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Process to Update these Lists" sheetId="1" r:id="rId3"/>
    <sheet state="visible" name="To Be Retired" sheetId="2" r:id="rId4"/>
    <sheet state="visible" name="Retired in 2022" sheetId="3" r:id="rId5"/>
    <sheet state="hidden" name="Tracker- Removal Prep" sheetId="4" r:id="rId6"/>
    <sheet state="visible" name="Retired in 2021" sheetId="5" r:id="rId7"/>
    <sheet state="hidden" name="Tracker- Retired 2021" sheetId="6" r:id="rId8"/>
    <sheet state="hidden" name="Tracker- Retired 2022" sheetId="7" r:id="rId9"/>
    <sheet state="visible" name="Retired in 2020" sheetId="8" r:id="rId10"/>
    <sheet state="visible" name="Retired in 2019" sheetId="9" r:id="rId11"/>
    <sheet state="hidden" name="Retired in 2018" sheetId="10" r:id="rId12"/>
    <sheet state="visible" name="Retired in 2017" sheetId="11" r:id="rId13"/>
    <sheet state="hidden" name="Tracker- Removed 2020" sheetId="12" r:id="rId14"/>
    <sheet state="hidden" name="Tracker- Removed 2019" sheetId="13" r:id="rId15"/>
    <sheet state="hidden" name="Tracker- Removed 2016" sheetId="14" r:id="rId16"/>
    <sheet state="hidden" name="Tracker- Removed 2018" sheetId="15" r:id="rId17"/>
    <sheet state="visible" name="Tracker- Removed 2017" sheetId="16" r:id="rId18"/>
    <sheet state="hidden" name="Raw Data_Course Titles" sheetId="17" r:id="rId19"/>
  </sheets>
  <definedNames>
    <definedName name="retired_2020">'Retired in 2020'!$A$3:$J$583</definedName>
    <definedName name="retired_2021">'Retired in 2021'!$A$3:$J$955</definedName>
    <definedName name="to_be_retired">'To Be Retired'!$A$3:$J$929</definedName>
    <definedName name="retired_2022">'Retired in 2022'!$A$3:$J$1460</definedName>
    <definedName name="retired_2019">'Retired in 2019'!$A$3:$J$455</definedName>
    <definedName hidden="1" localSheetId="7" name="_xlnm._FilterDatabase">'Retired in 2020'!$A$3:$J$583</definedName>
    <definedName hidden="1" localSheetId="9" name="_xlnm._FilterDatabase">'Retired in 2018'!$A$3:$G$616</definedName>
    <definedName hidden="1" localSheetId="10" name="_xlnm._FilterDatabase">'Retired in 2017'!$A$3:$G$429</definedName>
    <definedName hidden="1" localSheetId="1" name="Z_387DB711_A801_475C_B20E_84E85BB74852_.wvu.FilterData">'To Be Retired'!$A$3:$J$530</definedName>
  </definedNames>
  <calcPr/>
  <customWorkbookViews>
    <customWorkbookView activeSheetId="0" maximized="1" windowHeight="0" windowWidth="0" guid="{387DB711-A801-475C-B20E-84E85BB74852}" name="Jasmin's Filter"/>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=ARRAYFORMULA(VLOOKUP(A4,'Tracker- Removal Prep'!$D:$P,{2,8,9,10,11,12,13},0))
</t>
      </text>
    </comment>
  </commentList>
</comments>
</file>

<file path=xl/comments2.xml><?xml version="1.0" encoding="utf-8"?>
<comments xmlns:r="http://schemas.openxmlformats.org/officeDocument/2006/relationships" xmlns="http://schemas.openxmlformats.org/spreadsheetml/2006/main">
  <authors>
    <author/>
  </authors>
  <commentList>
    <comment authorId="0" ref="D3">
      <text>
        <t xml:space="preserve">=ARRAYFORMULA(VLOOKUP($A4,'Tracker- Retired 2022'!$B:$N,{3,8,9,10,11,12,13},0))</t>
      </text>
    </comment>
  </commentList>
</comments>
</file>

<file path=xl/comments3.xml><?xml version="1.0" encoding="utf-8"?>
<comments xmlns:r="http://schemas.openxmlformats.org/officeDocument/2006/relationships" xmlns="http://schemas.openxmlformats.org/spreadsheetml/2006/main">
  <authors>
    <author/>
  </authors>
  <commentList>
    <comment authorId="0" ref="D3">
      <text>
        <t xml:space="preserve">=ARRAYFORMULA(VLOOKUP($A4,'Tracker- Retired 2021'!$B:$N,{3,8,9,10,11,12,13},0))</t>
      </text>
    </comment>
  </commentList>
</comments>
</file>

<file path=xl/sharedStrings.xml><?xml version="1.0" encoding="utf-8"?>
<sst xmlns="http://schemas.openxmlformats.org/spreadsheetml/2006/main" count="19441" uniqueCount="3937">
  <si>
    <t>Process to Update this sheet:</t>
  </si>
  <si>
    <t>This document must be updated once a month as described below, after courses are scehduled for removal and retired from the collection. There is also a yearly refresh that takes place at the start of each new year described below.</t>
  </si>
  <si>
    <t>Monthly Update- To Be Retired Sheet</t>
  </si>
  <si>
    <t>1)</t>
  </si>
  <si>
    <r>
      <rPr>
        <rFont val="arial"/>
      </rPr>
      <t xml:space="preserve">On the </t>
    </r>
    <r>
      <rPr>
        <rFont val="arial"/>
        <b/>
      </rPr>
      <t>To Be Retired Sheet</t>
    </r>
    <r>
      <rPr>
        <rFont val="arial"/>
      </rPr>
      <t xml:space="preserve"> in this doc delete all of the existing course ids in column A.</t>
    </r>
  </si>
  <si>
    <t>2)</t>
  </si>
  <si>
    <r>
      <rPr>
        <rFont val="arial"/>
      </rPr>
      <t xml:space="preserve">Visit the </t>
    </r>
    <r>
      <rPr>
        <rFont val="arial"/>
        <b/>
      </rPr>
      <t>Removal Prep List</t>
    </r>
    <r>
      <rPr>
        <rFont val="arial"/>
      </rPr>
      <t xml:space="preserve"> of the </t>
    </r>
    <r>
      <rPr>
        <rFont val="arial"/>
        <color rgb="FF1155CC"/>
        <u/>
      </rPr>
      <t>Content Tracker</t>
    </r>
  </si>
  <si>
    <t>3)</t>
  </si>
  <si>
    <r>
      <rPr>
        <rFont val="arial"/>
      </rPr>
      <t xml:space="preserve">Assure that no other filters are active, copy all of the course ids in column D on the </t>
    </r>
    <r>
      <rPr>
        <rFont val="arial"/>
        <b/>
      </rPr>
      <t>Removal Prep List</t>
    </r>
    <r>
      <rPr>
        <rFont val="arial"/>
      </rPr>
      <t xml:space="preserve"> and paste them into column A of the </t>
    </r>
    <r>
      <rPr>
        <rFont val="arial"/>
        <b/>
      </rPr>
      <t>To Be Retired</t>
    </r>
    <r>
      <rPr>
        <rFont val="arial"/>
      </rPr>
      <t xml:space="preserve"> sheet in this doc.</t>
    </r>
  </si>
  <si>
    <t>3a)</t>
  </si>
  <si>
    <r>
      <rPr>
        <rFont val="Roboto, Arial"/>
        <color rgb="FF000000"/>
      </rPr>
      <t xml:space="preserve">The following columns should fill themselves in with the formulas existing in there. If they do not, drag the formulas in columns B, C, D &amp; E down to your new rows. If this doesn't work, you may need to refresh the importrange on the hidden </t>
    </r>
    <r>
      <rPr>
        <rFont val="Roboto, Arial"/>
        <b/>
        <color rgb="FF000000"/>
      </rPr>
      <t xml:space="preserve">Tracker-Removal Prep </t>
    </r>
    <r>
      <rPr>
        <rFont val="Roboto, Arial"/>
        <color rgb="FF000000"/>
      </rPr>
      <t>tab.</t>
    </r>
    <r>
      <rPr>
        <rFont val="Roboto, Arial"/>
        <b/>
        <color rgb="FF000000"/>
      </rPr>
      <t xml:space="preserve"> KEEP THIS PROCESS TAB AND THE TRACKER TAB HIDDEN WHEN NOT IN USE. </t>
    </r>
    <r>
      <rPr>
        <rFont val="Roboto, Arial"/>
        <color rgb="FF000000"/>
      </rPr>
      <t xml:space="preserve">Delete any extra rows that are not in use. </t>
    </r>
  </si>
  <si>
    <t>Monthly Update- Retired in 2021 Sheet</t>
  </si>
  <si>
    <r>
      <rPr>
        <rFont val="arial"/>
      </rPr>
      <t xml:space="preserve">On the </t>
    </r>
    <r>
      <rPr>
        <rFont val="arial"/>
        <b/>
      </rPr>
      <t>Retired in 2021</t>
    </r>
    <r>
      <rPr>
        <rFont val="arial"/>
      </rPr>
      <t xml:space="preserve"> in this doc delete all of the existing course ids in column A.</t>
    </r>
  </si>
  <si>
    <r>
      <rPr>
        <rFont val="arial"/>
      </rPr>
      <t xml:space="preserve">Visit the </t>
    </r>
    <r>
      <rPr>
        <rFont val="arial"/>
        <b/>
      </rPr>
      <t>Retired 2021</t>
    </r>
    <r>
      <rPr>
        <rFont val="arial"/>
      </rPr>
      <t xml:space="preserve"> tab of the </t>
    </r>
    <r>
      <rPr>
        <rFont val="arial"/>
        <color rgb="FF1155CC"/>
        <u/>
      </rPr>
      <t>Content Tracker</t>
    </r>
  </si>
  <si>
    <t>4)</t>
  </si>
  <si>
    <r>
      <rPr>
        <rFont val="arial"/>
      </rPr>
      <t xml:space="preserve">Assure that no other filters are active, copy all of the course ids in column D on the Retired 2021 tab and paste them into column A of the </t>
    </r>
    <r>
      <rPr>
        <rFont val="arial"/>
        <b/>
      </rPr>
      <t>Retired in 2021</t>
    </r>
    <r>
      <rPr>
        <rFont val="arial"/>
      </rPr>
      <t xml:space="preserve"> sheet in this doc.</t>
    </r>
  </si>
  <si>
    <t>4a)</t>
  </si>
  <si>
    <r>
      <rPr>
        <rFont val="Roboto, Arial"/>
        <color rgb="FF000000"/>
      </rPr>
      <t xml:space="preserve">The following columns should fill themselves in with the formulas existing in there. If they do not, drag the formulas in columns B &amp; C down to your new rows. If this doesn't work, you may need to refresh the importrange on the hidden </t>
    </r>
    <r>
      <rPr>
        <rFont val="Roboto, Arial"/>
        <b/>
        <color rgb="FF000000"/>
      </rPr>
      <t xml:space="preserve">Tracker-Retired 2021 </t>
    </r>
    <r>
      <rPr>
        <rFont val="Roboto, Arial"/>
        <color rgb="FF000000"/>
      </rPr>
      <t>tab.</t>
    </r>
    <r>
      <rPr>
        <rFont val="Roboto, Arial"/>
        <b/>
        <color rgb="FF000000"/>
      </rPr>
      <t xml:space="preserve"> KEEP THIS PROCESS TAB AND THE TRACKER TAB HIDDEN WHEN NOT IN USE.</t>
    </r>
  </si>
  <si>
    <t>Yearly Update- Tracker Tabs &amp; Retired Lists</t>
  </si>
  <si>
    <r>
      <rPr>
        <rFont val="Arial"/>
      </rPr>
      <t>Create a new tab in this doc, name it "</t>
    </r>
    <r>
      <rPr>
        <rFont val="Arial"/>
        <b/>
      </rPr>
      <t>Tracker- Retired {year}</t>
    </r>
    <r>
      <rPr>
        <rFont val="Arial"/>
      </rPr>
      <t xml:space="preserve">" and use the </t>
    </r>
    <r>
      <rPr>
        <rFont val="Arial"/>
        <color rgb="FF1155CC"/>
        <u/>
      </rPr>
      <t>=IMPORTRANGE</t>
    </r>
    <r>
      <rPr>
        <rFont val="Arial"/>
      </rPr>
      <t xml:space="preserve"> formula to pull in the newest </t>
    </r>
    <r>
      <rPr>
        <rFont val="Arial"/>
        <b/>
      </rPr>
      <t>Retired</t>
    </r>
    <r>
      <rPr>
        <rFont val="Arial"/>
      </rPr>
      <t xml:space="preserve"> tab of the </t>
    </r>
    <r>
      <rPr>
        <rFont val="Arial"/>
        <color rgb="FF1155CC"/>
        <u/>
      </rPr>
      <t>Content Tracker</t>
    </r>
    <r>
      <rPr>
        <rFont val="Arial"/>
      </rPr>
      <t>.</t>
    </r>
  </si>
  <si>
    <r>
      <rPr>
        <rFont val="arial"/>
      </rPr>
      <t>Select the most recent "</t>
    </r>
    <r>
      <rPr>
        <rFont val="arial"/>
        <b/>
      </rPr>
      <t>Retired in</t>
    </r>
    <r>
      <rPr>
        <rFont val="arial"/>
      </rPr>
      <t xml:space="preserve">" tab of this document, duplicate it and rename it to appropriate year (ex. </t>
    </r>
    <r>
      <rPr>
        <rFont val="arial"/>
        <b/>
      </rPr>
      <t>Retired in 2022</t>
    </r>
    <r>
      <rPr>
        <rFont val="arial"/>
      </rPr>
      <t>)</t>
    </r>
  </si>
  <si>
    <r>
      <rPr>
        <rFont val="Arial"/>
      </rPr>
      <t>Delete all of the course ids in this new "</t>
    </r>
    <r>
      <rPr>
        <rFont val="Arial"/>
        <b/>
      </rPr>
      <t>Retired in</t>
    </r>
    <r>
      <rPr>
        <rFont val="Arial"/>
      </rPr>
      <t>" tab and copy and paste in the appropriate course ids following the steps above in the "</t>
    </r>
    <r>
      <rPr>
        <rFont val="Arial"/>
        <b/>
      </rPr>
      <t>Monthly Update- Retired in 2021 Sheet</t>
    </r>
    <r>
      <rPr>
        <rFont val="Arial"/>
      </rPr>
      <t>" process above.</t>
    </r>
  </si>
  <si>
    <t>Update the index/match/vlookup formulas in columns B &amp; C to pull from your new Tracker Tab.</t>
  </si>
  <si>
    <t>5)</t>
  </si>
  <si>
    <r>
      <rPr>
        <rFont val="Arial"/>
      </rPr>
      <t>Delete extra/unused rows in this new "</t>
    </r>
    <r>
      <rPr>
        <rFont val="Arial"/>
        <b/>
      </rPr>
      <t>Retired in</t>
    </r>
    <r>
      <rPr>
        <rFont val="Arial"/>
      </rPr>
      <t>" tab, and hide your new Tracker tab.</t>
    </r>
  </si>
  <si>
    <t>Courses To Be Retired</t>
  </si>
  <si>
    <t>Here at Udemy Business, we are committed to building a world-class learning solution with the freshest, highest quality content. Our team is constantly adding, updating and removing courses to ensure we can deliver on this commitment. When a course no longer meets our quality standards or becomes outdated, we remove them from the collection. Courses are set for removal 3 months before being retired from the collection and when available, a replacement suggestion is provided. 
The courses below are scheduled for removal on the date listed in column B. Replacement courses are identified in columns G -J.</t>
  </si>
  <si>
    <t>Course ID</t>
  </si>
  <si>
    <t>Scheduled removal date</t>
  </si>
  <si>
    <t>Language</t>
  </si>
  <si>
    <t>Courses to be removed</t>
  </si>
  <si>
    <t>Course Category</t>
  </si>
  <si>
    <t>Course Subcategory</t>
  </si>
  <si>
    <t>Alternative Course ID - Option 1</t>
  </si>
  <si>
    <t>Title of Alternative Course - Option 1</t>
  </si>
  <si>
    <t>Alternative Course ID - Option 2</t>
  </si>
  <si>
    <t>Title of Alternative Course -  Option 2</t>
  </si>
  <si>
    <t>en</t>
  </si>
  <si>
    <t>Software Quality Assurance</t>
  </si>
  <si>
    <t>Development</t>
  </si>
  <si>
    <t>Software Testing</t>
  </si>
  <si>
    <t>Software Testing Masterclass (2021) - From Novice to Expert</t>
  </si>
  <si>
    <t>The Complete 2021 Software Testing Bootcamp</t>
  </si>
  <si>
    <t>pt</t>
  </si>
  <si>
    <t>Arduino - Curso Completo e Prático</t>
  </si>
  <si>
    <t>IT Operations</t>
  </si>
  <si>
    <t>Hardware</t>
  </si>
  <si>
    <t/>
  </si>
  <si>
    <t>Aprenda Arduino usando o simulador Tinkercad</t>
  </si>
  <si>
    <t>Mastering Puppet the devops way by School of DevOps®</t>
  </si>
  <si>
    <t>Development Tools</t>
  </si>
  <si>
    <t>Puppet for the Absolute Beginners - Hands-on - DevOps</t>
  </si>
  <si>
    <t>Master Puppet for DevOps Success</t>
  </si>
  <si>
    <t>Software Architecture: Dependency Injection for C# Devs</t>
  </si>
  <si>
    <t>Programming Languages</t>
  </si>
  <si>
    <t>Dependency Injection in C# and .NET with the Autofac Library</t>
  </si>
  <si>
    <t>Software Architecture Essentials for Business Applications</t>
  </si>
  <si>
    <t>Speed Reading MACHINE 3.1: How To Read 307 Books In 2021</t>
  </si>
  <si>
    <t>Personal Development</t>
  </si>
  <si>
    <t>Personal Growth</t>
  </si>
  <si>
    <t>Become a SuperLearner® 2: Learn Speed Reading &amp; Boost Memory</t>
  </si>
  <si>
    <t>10X SUPERHUMAN Learning: Speed Reading &amp; Memory Booster</t>
  </si>
  <si>
    <t>Alteryx: Real-Life Exercises For Data Analytics!</t>
  </si>
  <si>
    <t>Data Science</t>
  </si>
  <si>
    <t>Analytics</t>
  </si>
  <si>
    <t>Alteryx: Self-Service Analytics In Your Hands</t>
  </si>
  <si>
    <t>Alteryx Essentials</t>
  </si>
  <si>
    <t>Build Your Own RealTime OS (RTOS) From Ground Up™ on ARM 1</t>
  </si>
  <si>
    <t>Mastering RTOS: Hands on FreeRTOS and STM32Fx with Debugging</t>
  </si>
  <si>
    <t>Arduino  FreeRTOS  From Ground Up™ : Build RealTime Projects</t>
  </si>
  <si>
    <t>es</t>
  </si>
  <si>
    <t>Power BI Máster en poco tiempo - Desktop, Móvil y en la Nube</t>
  </si>
  <si>
    <t>Curso Power BI – Análisis de Datos y Business Intelligence</t>
  </si>
  <si>
    <t>Microsoft Power BI - Curso de Power BI Desktop</t>
  </si>
  <si>
    <t>TOTAL: CISM (Info. Security Mgr) Practice Tests - 400 Q's</t>
  </si>
  <si>
    <t>IT Certifications</t>
  </si>
  <si>
    <t>CISM Certification: FULL 150 question CISM practice test '22</t>
  </si>
  <si>
    <t>CISM Certification: CISM Domain 1 Video Boot Camp 2022</t>
  </si>
  <si>
    <t>Management System Auditor Training. ISO 19011</t>
  </si>
  <si>
    <t>Project Management &amp; Operations</t>
  </si>
  <si>
    <t>Project Management Tools</t>
  </si>
  <si>
    <t>ISO 9001:2015 Quality Management System Auditor Course</t>
  </si>
  <si>
    <t>Marketo for Managers</t>
  </si>
  <si>
    <t>Marketing</t>
  </si>
  <si>
    <t>Marketing Analytics &amp; Automation</t>
  </si>
  <si>
    <t>PTE Academic (English Test) - Mastering Listening -Score 79+</t>
  </si>
  <si>
    <t>Language Learning</t>
  </si>
  <si>
    <t>PTE Academic Exam Preparation: Writing Mastery (Achieve 79+)</t>
  </si>
  <si>
    <t>PTE Academic Exam Preparation: Speaking Mastery (Score 79+)</t>
  </si>
  <si>
    <t>AWS Advanced Security</t>
  </si>
  <si>
    <t>Network &amp; Security</t>
  </si>
  <si>
    <t>AWS Cloud Security: Learn to Protect &amp; Defend your resources</t>
  </si>
  <si>
    <t>AWS Advanced Security: SecOps Automation for the cloud</t>
  </si>
  <si>
    <t>Sitecore 10 Content Editing Basics Step-by-Step</t>
  </si>
  <si>
    <t>Content Marketing</t>
  </si>
  <si>
    <t>SAP S/4HANA Training with SAP HANA, S4 HANA Finance &amp; FIORI</t>
  </si>
  <si>
    <t>Finance &amp; Accounting</t>
  </si>
  <si>
    <t>Accounting Software</t>
  </si>
  <si>
    <t>SAP S/4HANA for Beginner: Learn SAP Overview 2021</t>
  </si>
  <si>
    <t>SAP S/4HANA Finance Training (vs SAP FICO)</t>
  </si>
  <si>
    <t>Marketing Cloud Intro</t>
  </si>
  <si>
    <t>Cloud Computing</t>
  </si>
  <si>
    <t>Cloud Certification</t>
  </si>
  <si>
    <t>Salesforce Marketing Cloud Email Specialist Practice Tests</t>
  </si>
  <si>
    <t>Curso de Edição de Vídeo com Vegas Pro</t>
  </si>
  <si>
    <t>Design</t>
  </si>
  <si>
    <t>Design Tools</t>
  </si>
  <si>
    <t>Curso online preparación del título oficial inglés B1 o B2</t>
  </si>
  <si>
    <t>Introduction to Algorithmic Trading</t>
  </si>
  <si>
    <t>Investing &amp; Trading</t>
  </si>
  <si>
    <t>Algorithmic Trading A-Z with Python, Machine Learning &amp; AWS</t>
  </si>
  <si>
    <t>Python for Financial Analysis and Algorithmic Trading</t>
  </si>
  <si>
    <t>LS DYNA - A Simulation Training with Practical Applications</t>
  </si>
  <si>
    <t>Software Engineering</t>
  </si>
  <si>
    <t>Mastering Databricks &amp; Apache spark -Build ETL data pipeline</t>
  </si>
  <si>
    <t>Big Data</t>
  </si>
  <si>
    <t>Databricks Fundamentals &amp; Apache Spark Core</t>
  </si>
  <si>
    <t>Databricks Essentials for Spark Developers (Azure and AWS)</t>
  </si>
  <si>
    <t>CKS : Certified Kubernetes Security Specialist Practice 2021</t>
  </si>
  <si>
    <t>Certified Kubernetes Security Specialist 2021</t>
  </si>
  <si>
    <t>Kubernetes CKS 2021 Complete Course - Theory - Practice</t>
  </si>
  <si>
    <t>Life Purpose Life Coach Certification 2WEC Training</t>
  </si>
  <si>
    <t>Leadership &amp; Management</t>
  </si>
  <si>
    <t>Leadership</t>
  </si>
  <si>
    <t>Women Empowerment Life Coach Certification 1WEC Training</t>
  </si>
  <si>
    <t>Personal Finance Life Coach Certification 3WEC Training</t>
  </si>
  <si>
    <t>Crowdfunding for Changemakers</t>
  </si>
  <si>
    <t>Strategy</t>
  </si>
  <si>
    <t>The Complete Crowdfunding Course for Kickstarter &amp; Indiegogo</t>
  </si>
  <si>
    <t>Private Equity and Venture Capital with a Witch</t>
  </si>
  <si>
    <t>Fixed Income Valuation and Analysis, CFA L2</t>
  </si>
  <si>
    <t>Financial Modeling &amp; Analysis</t>
  </si>
  <si>
    <t>CFA® Level 1 (2021/2022) - Complete Fixed Income</t>
  </si>
  <si>
    <t>UI Animation using Sketch 3, Principle App, and Flinto</t>
  </si>
  <si>
    <t>Mobile App Design In Sketch 3: UX and UI Design From Scratch</t>
  </si>
  <si>
    <t>Sketch from A to Z (2021): Become an app designer</t>
  </si>
  <si>
    <t>Curso Completo de Email Marketing - Actualizado 2021</t>
  </si>
  <si>
    <t>Curso Completo de Email Marketing para Negocios y Personas</t>
  </si>
  <si>
    <t>Email Marketing: La herramienta de ventas más efectiva</t>
  </si>
  <si>
    <t>Proyecto Java Web  JSP, Servlet con MySQL desde NetBeans IDE</t>
  </si>
  <si>
    <t>Web Development</t>
  </si>
  <si>
    <t>Curso Java SE, Java EE con MySQL - De básico hasta avanzado</t>
  </si>
  <si>
    <t>de</t>
  </si>
  <si>
    <t>Lehrinhalte für Seminare und Vorträge ausarbeiten</t>
  </si>
  <si>
    <t>Workplace &amp; Human Resources</t>
  </si>
  <si>
    <t>Learning &amp; Development</t>
  </si>
  <si>
    <t>Webinar Marketing: Erstelle Professionelle Webinar Funnels</t>
  </si>
  <si>
    <t>Digital Marketing</t>
  </si>
  <si>
    <t>Profitables E-Mail Marketing mit Quentn in 5 Stunden lernen</t>
  </si>
  <si>
    <t>Product Owner:in (agile/Scrum - v. 2020)</t>
  </si>
  <si>
    <t>Agile &amp; Scrum</t>
  </si>
  <si>
    <t>Agiles Projektmanagement gestalten mit Scrum &amp; Kanban</t>
  </si>
  <si>
    <t>Facebook Marketing Meisterkurs: Der Komplette Facebook Kurs</t>
  </si>
  <si>
    <t>Social Media Marketing</t>
  </si>
  <si>
    <t>Facebook Marketing - Seite, Gruppe, Livestream, Bots und Co.</t>
  </si>
  <si>
    <t>Facebook Ads Campaign Budget Optimization CBO Kurs Deutsch</t>
  </si>
  <si>
    <t>Microsoft SSAS (Deutsch) - Cube-Erstellung + PowerBI Zugriff</t>
  </si>
  <si>
    <t>Java Certification - OCP (1Z0-809) Topic-wise Tests [2021]</t>
  </si>
  <si>
    <t>Dauerhafter Erfolg als Führungskraft - inkl. Shortbook</t>
  </si>
  <si>
    <t>Build Library Management System | Python &amp; PyQt5</t>
  </si>
  <si>
    <t>Expressive und farbenfrohe Blumen in Aquarell</t>
  </si>
  <si>
    <t>Arts &amp; Creativity</t>
  </si>
  <si>
    <t>Zeichnungen, Aquarell und Lettering digitalisieren</t>
  </si>
  <si>
    <t>Design Thinking - Remoto  | 2020</t>
  </si>
  <si>
    <t>Design Thinking | De Cero a MAESTRO [2021]</t>
  </si>
  <si>
    <t>Design Thinking: dispara tu creatividad para innovar - 2021</t>
  </si>
  <si>
    <t>Introducción a Magento Open Source eCommerce 2</t>
  </si>
  <si>
    <t>Entrepreneurship</t>
  </si>
  <si>
    <t>Publishing Scientific Research</t>
  </si>
  <si>
    <t>Hobbies</t>
  </si>
  <si>
    <t>fr</t>
  </si>
  <si>
    <t>Powershell pour les (grands) débutants (2021)</t>
  </si>
  <si>
    <t>Operating Systems &amp; Servers</t>
  </si>
  <si>
    <t>PowerShell - Maitrisez les bases fondamentales</t>
  </si>
  <si>
    <t>Be an International Business Professional</t>
  </si>
  <si>
    <t>[NEW] Computer Networking : Go from Zero to Hero (2021)</t>
  </si>
  <si>
    <t>The Complete Networking Fundamentals Course. Your CCNA start</t>
  </si>
  <si>
    <t>Introduction to Computer Networks for Non-Techies</t>
  </si>
  <si>
    <t>HARD CISSP practice questions #4: All CISSP domains - 125Q</t>
  </si>
  <si>
    <t>CISSP Easy/Mid practice questions: Domain 3 &amp; 4 - 2022</t>
  </si>
  <si>
    <t>CISSP Certification: Domains 1, 2, 3 &amp; 4 Video Training-2020</t>
  </si>
  <si>
    <t>GraphQL with Spring Boot - Foundation I</t>
  </si>
  <si>
    <t>GraphQL API with Java Spring Boot &amp; Spring Framework</t>
  </si>
  <si>
    <t>Quantity Surveying Building Estimation With Cad And Excel</t>
  </si>
  <si>
    <t>Operations Management</t>
  </si>
  <si>
    <t>Quantity Surveying, Cost Estimation and Bill of Quantities</t>
  </si>
  <si>
    <t>Statistics / Data Analysis: Survey Data and Likert Scales</t>
  </si>
  <si>
    <t>ja</t>
  </si>
  <si>
    <t>作業時間を1／10にするエクセルHACK術！</t>
  </si>
  <si>
    <t>Office Productivity</t>
  </si>
  <si>
    <t>Spreadsheets</t>
  </si>
  <si>
    <t>最短・最速で学ぶ React Hooks 完全ガイド！ 現場で使えるReact開発+ステート管理をマスターしよう！</t>
  </si>
  <si>
    <t>React Hooks 入門 - HooksとReduxを組み合わせて最新のフロントエンド状態管理手法を習得</t>
  </si>
  <si>
    <t>ノンデザイナーのための「デザインをする前に知っておきたい7ステップ」〜問題解決に向けた思考の整理術〜</t>
  </si>
  <si>
    <t>Concept Art Architecture</t>
  </si>
  <si>
    <t>Art Fundamentals - Building Blocks of Digital Painting</t>
  </si>
  <si>
    <t>The Digital Painting MEGA Course: Beginner to Advanced</t>
  </si>
  <si>
    <t>Concept Art Character Design</t>
  </si>
  <si>
    <t>Graphic Design</t>
  </si>
  <si>
    <t>Character Art School: Complete Character Drawing Course</t>
  </si>
  <si>
    <t>AWS Certified Cloud Practitioner 2021 [dernière édition]</t>
  </si>
  <si>
    <t>米シリコンバレーDevOps監修！超AWS完全入門+本番運用向け上級編ベストプラクティスとTerraform</t>
  </si>
  <si>
    <t>米シリコンバレーDevOps監修！超Terraform完全入門(0.14) + AWS DevOps IaCをマスター！</t>
  </si>
  <si>
    <t>Cloud Development</t>
  </si>
  <si>
    <t>AWS と Terraformで実現するInfrastructure as Code</t>
  </si>
  <si>
    <t>AWS Certified Solutions Architect Associate 2021 [SAA-C02]</t>
  </si>
  <si>
    <t>ar</t>
  </si>
  <si>
    <t>تعلم لغة HTML5 من الصفر</t>
  </si>
  <si>
    <t>تعلم CSS3 من الصفر</t>
  </si>
  <si>
    <t>Crea tu Plan de Marketing Online</t>
  </si>
  <si>
    <t>CCNA 200-301 Pre-Exam Practice Tests</t>
  </si>
  <si>
    <t>構造設計実務者向けRevit Structure講座(Revit2019)</t>
  </si>
  <si>
    <t>3D &amp; Animation</t>
  </si>
  <si>
    <t>Flutter Essencial</t>
  </si>
  <si>
    <t>Mobile Development</t>
  </si>
  <si>
    <t>tr</t>
  </si>
  <si>
    <t>Siber Güvenlik Giriş Kursu</t>
  </si>
  <si>
    <t>Sıfırdan Uygulamalı Etik Hacker ve Siber Güvenlik Eğitimi</t>
  </si>
  <si>
    <t>Vendas por Telefone - 2.0 (Cold Calling)</t>
  </si>
  <si>
    <t>Sales</t>
  </si>
  <si>
    <t>Sales Skills &amp; Tools</t>
  </si>
  <si>
    <t>Microsoft Word Kursu</t>
  </si>
  <si>
    <t>Word Processing</t>
  </si>
  <si>
    <t>Microsoft Word | Sıfırdan Zirveye |2021|</t>
  </si>
  <si>
    <t>Ethical Hacking Profesional desde 0 a Avanzado, con Práctica</t>
  </si>
  <si>
    <t>Curso Completo de Hacking Ético</t>
  </si>
  <si>
    <t>Hacking Wifi. Ataque, Defensa y Expulsión de intrusos</t>
  </si>
  <si>
    <t>Seguridad en redes WiFi, Detección y Expulsión de Hackers</t>
  </si>
  <si>
    <t>Les fondamentaux Agile, Scrum et Kanban</t>
  </si>
  <si>
    <t>Gestion de projet Agile : Scrum et Kanban</t>
  </si>
  <si>
    <t>HIZLI GRAMER (YDS-YDT-YÖKDİL)</t>
  </si>
  <si>
    <t>YÖKdil SORU ÇÖZÜM TEKNİKLERİ</t>
  </si>
  <si>
    <t>Google Data Engineer Certification Practice Exams</t>
  </si>
  <si>
    <t>Digital y Remoto más fácil y más agradable</t>
  </si>
  <si>
    <t>Health &amp; Fitness</t>
  </si>
  <si>
    <t>Introducción a Oracle APEX 5.0</t>
  </si>
  <si>
    <t>MARKETING Digital para EMPRENDEDORES | PRINCIPIANTE - 2021</t>
  </si>
  <si>
    <t>Curso Completo de Marketing Digital - 23 Cursos en 1</t>
  </si>
  <si>
    <t>Master Flute Playing: Intermediate Instruction Made Simple!</t>
  </si>
  <si>
    <t>Learn to Play the Flute: Beginner Basics to Intermediate</t>
  </si>
  <si>
    <t>【Unityゲーム開発】プログラミングいらずのBoltで本格2Dシューティングゲーム開発講座！</t>
  </si>
  <si>
    <t>Game Development</t>
  </si>
  <si>
    <t>【Unityゲーム開発】初歩から学べる、本格ローグライクゲーム開発講座!!</t>
  </si>
  <si>
    <t>The Ultimate Marketing Training 2020 - Sales Copy Academy</t>
  </si>
  <si>
    <t>Product Marketing</t>
  </si>
  <si>
    <t>Write to Ignite - Master the Art of Sales Copy &amp; Copywriting</t>
  </si>
  <si>
    <t xml:space="preserve">Microsoft MTA Operating System Fundamental 98-349: Test Prep
</t>
  </si>
  <si>
    <t>Java Spring Security</t>
  </si>
  <si>
    <t>Learn SCADA from Scratch - Design, Program and Interface</t>
  </si>
  <si>
    <t>Become a Game Designer the Complete Series Coding to Design</t>
  </si>
  <si>
    <t>Effective Business English for Logistics</t>
  </si>
  <si>
    <t>101 Crucial Lessons They Don't Teach You In Business School</t>
  </si>
  <si>
    <t>レスポンシブル・スマートフォンサイト制作講座　70以上の充実レッスンで作れるようになる！</t>
  </si>
  <si>
    <t>Mobile Design</t>
  </si>
  <si>
    <t>Programación de Android desde cero con Java +40 horas</t>
  </si>
  <si>
    <t>Build Insightful Dashboards with Google Data Studio</t>
  </si>
  <si>
    <t>Data Visualization</t>
  </si>
  <si>
    <t>Aprende RPA (Robotic Process Automation) con UIPath</t>
  </si>
  <si>
    <t>Machine Learning</t>
  </si>
  <si>
    <t>Atlassian Bamboo from Beginner to Advanced!</t>
  </si>
  <si>
    <t>PMP Preparation Course 6th Edition includes 42 PDUs - Arabic</t>
  </si>
  <si>
    <t>Project Management Certifications</t>
  </si>
  <si>
    <t>Accounting101: Learn Accounts Receivable From A to Z</t>
  </si>
  <si>
    <t>Accounting</t>
  </si>
  <si>
    <t>Trends of the Future for Business &amp; Technology (2020 Update)</t>
  </si>
  <si>
    <t>Ultimate Openshift (2021)  Bootcamp by School of Devops®</t>
  </si>
  <si>
    <t>AWS Certified Solutions Architect - Associate</t>
  </si>
  <si>
    <t>Renewable Energy</t>
  </si>
  <si>
    <t>zh</t>
  </si>
  <si>
    <t>Java Web从入门到实战：老程序员手把手带您完成一个【网上商城】Web项目</t>
  </si>
  <si>
    <t>Design de présentation - Évitez la mort par PowerPoint</t>
  </si>
  <si>
    <t>Communication</t>
  </si>
  <si>
    <t>5G NR - Radio Link Control (RLC) Protocol - RAN Layer 2</t>
  </si>
  <si>
    <t>【SOA-C02版】AWS 認定SysOpsアドミニストレーター アソシエイト模擬試験問題集（全4回分294問）</t>
  </si>
  <si>
    <t>Practical Google BigQuery for those who already know SQL</t>
  </si>
  <si>
    <t>تعلم React Native</t>
  </si>
  <si>
    <t>CAN and LIN Communication Protocols</t>
  </si>
  <si>
    <t>AI-100: Designing and Implementing an Azure AI Solutions</t>
  </si>
  <si>
    <t>Information Technology Fundamentals</t>
  </si>
  <si>
    <t>Complete Google Hacking Practical Course C|GHPC</t>
  </si>
  <si>
    <t>Learn Avid Media Composer</t>
  </si>
  <si>
    <t>Crear un API RESTful con Slim PHP y usarla con AJAX</t>
  </si>
  <si>
    <t>2D Composition in Photoshop &amp; Animation in After Effects</t>
  </si>
  <si>
    <t>【3日でできる】はじめての Ruby on Rails 4 入門（Rubyから学べる）</t>
  </si>
  <si>
    <t>Strategisches, operatives und taktisches Management</t>
  </si>
  <si>
    <t>Marketing Strategy</t>
  </si>
  <si>
    <t>Quick Start Guide to Oracle SOA 12c</t>
  </si>
  <si>
    <t>Instagram Marketing - Die perfekte Werbung auf Instagram</t>
  </si>
  <si>
    <t>Umstieg auf Mac - macOS für Einsteiger</t>
  </si>
  <si>
    <t>Operating Systems</t>
  </si>
  <si>
    <t>Aprende a programar Android con Kotlin + Firebase + Google</t>
  </si>
  <si>
    <t>【IoT体験ガイド】JavaScriptとArduinoを使ってIoTハンズオンに挑戦しよう！</t>
  </si>
  <si>
    <t>Logic Pro X einfach lernen</t>
  </si>
  <si>
    <t>Introdução à Estatística para Data Science em R -Casos Reais</t>
  </si>
  <si>
    <t>Statistical Analysis</t>
  </si>
  <si>
    <t>Django y Flask - Desarrollo Web Profesional con Python</t>
  </si>
  <si>
    <t>SSAS Training MultiDimensional Model - Part 3</t>
  </si>
  <si>
    <t>Database Design &amp; Development</t>
  </si>
  <si>
    <t>Desarrollo Web con Python usando Django  para Principiantes</t>
  </si>
  <si>
    <t>Die Speedreading-Formel - 2x schneller lesen in 2 Wochen</t>
  </si>
  <si>
    <t>Email &amp; Productivity</t>
  </si>
  <si>
    <t>Mit Microsoft Teams Projekte erfolgreich bewältigen</t>
  </si>
  <si>
    <t>Reverse Engineering with Radare 2</t>
  </si>
  <si>
    <t>Curso Completo de Growth Hacking &amp; Growth Marketing</t>
  </si>
  <si>
    <t>A New Method For Product Development &amp; Design: SIMPSIS-Model</t>
  </si>
  <si>
    <t>Spring Batch par la pratique</t>
  </si>
  <si>
    <t>Apache Kafka: Real-Time Streaming für Big Data</t>
  </si>
  <si>
    <t>React practice course. Build React app from scratch.</t>
  </si>
  <si>
    <t>Introduction to Supermetrics for Data Studio and BigQuery</t>
  </si>
  <si>
    <t>最短・最速で作る ビデオチャットアプリケーション NodeJS + WebRTC編</t>
  </si>
  <si>
    <t>Diseño Creativo para Reclutamiento de RRHH</t>
  </si>
  <si>
    <t>Human Resources Fundamentals</t>
  </si>
  <si>
    <t>NLP Crashkurs, Einstieg in Neurolinguistisches Programmieren</t>
  </si>
  <si>
    <t>Productivity Hacks: Free Up Your Time &amp; Live Better</t>
  </si>
  <si>
    <t>Virtual Private Networks for beginners - VPN, Cisco training</t>
  </si>
  <si>
    <t>【プログラミング不要！】2日でできるWordPress超入門</t>
  </si>
  <si>
    <t>Web Design</t>
  </si>
  <si>
    <t>Objektorientierte Entwicklung mit PHP 7</t>
  </si>
  <si>
    <t>Der Komplette Android 8 Entwickler Kurs - Erstelle 20+ Apps</t>
  </si>
  <si>
    <t>PMI-ACP (Agile Certified Practitioner) Full Exam Preparation</t>
  </si>
  <si>
    <t>Design Thinking Crashkurs | Der Mensch im Innovationsprozess</t>
  </si>
  <si>
    <t>Systems Thinking: Essential Concepts</t>
  </si>
  <si>
    <t>The Complete iOS 12 &amp; Swift Developer Course - Build 28 Apps</t>
  </si>
  <si>
    <t>A Beginners Guide to Exadata Patching for Oracle DBA's</t>
  </si>
  <si>
    <t>Database Administration</t>
  </si>
  <si>
    <t>(HR) إدارة الموارد البشرية</t>
  </si>
  <si>
    <t>Git入門： ノンプログラマーのための Git</t>
  </si>
  <si>
    <t>Azure管理员认证考试AZ-103 之 管理 Azure 订阅和资源</t>
  </si>
  <si>
    <t>Inteligencia de Negocios  Con Power BI y Sql Server 2019</t>
  </si>
  <si>
    <t>اسرار السيو : كيف تصبح رقم #1 وتحقق ارباح كبيرة عبر الانترنت</t>
  </si>
  <si>
    <t>Search Engine Optimization</t>
  </si>
  <si>
    <t>API testing with RestSharp and Specflow in C#</t>
  </si>
  <si>
    <t>OpenFOAM Intermediate</t>
  </si>
  <si>
    <t>CompTIA IT Fundamentals ITF+ Exam (FC0-U61) : Practice Tests</t>
  </si>
  <si>
    <t>تصميم الخرائط الاحترافية</t>
  </si>
  <si>
    <t>Terraform - Automatizar Infraestructuras AWS</t>
  </si>
  <si>
    <t>The Complete SharePoint 2019 Advanced Technical Course</t>
  </si>
  <si>
    <t>Collaboration</t>
  </si>
  <si>
    <t>Selección IT y Marketing para Reclutamiento</t>
  </si>
  <si>
    <t>Talent Management</t>
  </si>
  <si>
    <t>Differential Gene Expression Analysis - Your Complete A to Z</t>
  </si>
  <si>
    <t>Data Science/MachineLearning Project Deployment Mastery 2022</t>
  </si>
  <si>
    <t>Python — Le Cours Ultime pour passer de Zéro à Pro</t>
  </si>
  <si>
    <t>Build UBER Clone App Using Flutter and Firebase (2020)</t>
  </si>
  <si>
    <t>OWASP Top 10 2017: Exploit and Mitigation</t>
  </si>
  <si>
    <t>Cómo Escribir Un Plan De Negocios Y Una Estrategia Comercial</t>
  </si>
  <si>
    <t>Learn Node.JS from Beginning to Mastery 2020 [بالعربية]</t>
  </si>
  <si>
    <t>Ultimate Adobe Photoshop CC 2019 Course (كورس بالعربية)</t>
  </si>
  <si>
    <t>Certified Risk and Information System Control  (CRISC-ISACA)</t>
  </si>
  <si>
    <t>Getting Started with Power Portals</t>
  </si>
  <si>
    <t>Hyper-V and Clustering on Microsoft Windows Server 2019</t>
  </si>
  <si>
    <t>Finanzas para No Financieros</t>
  </si>
  <si>
    <t>Finance Fundamentals</t>
  </si>
  <si>
    <t>Odoo Certification Practice Test</t>
  </si>
  <si>
    <t>Aprende a ser Community Manager</t>
  </si>
  <si>
    <t>Desarrollo de Videojuegos 2D en Unity 3D 5</t>
  </si>
  <si>
    <t>MDX Training Part 2</t>
  </si>
  <si>
    <t>Artificial Intelligence II - Hands-On Neural Networks (Java)</t>
  </si>
  <si>
    <t>アプリケーション開発者のための機械学習実践講座</t>
  </si>
  <si>
    <t>Video-Produktion mit jeder Kamera und Editing in Final Cut</t>
  </si>
  <si>
    <t>初心者でも最速でシゴトに使えるC#！</t>
  </si>
  <si>
    <t>Introduction au Web Design</t>
  </si>
  <si>
    <t>Bing Ads Masterclass: Werde zum Bing Ads Profi</t>
  </si>
  <si>
    <t>Guide complet ManyChat: créer un chatbot Facebook Messenger</t>
  </si>
  <si>
    <t>CRUD ASP.NET MVC</t>
  </si>
  <si>
    <t>Starting an ISP with MikroTik</t>
  </si>
  <si>
    <t>Ionic Apps with Firebase</t>
  </si>
  <si>
    <t>Lerne Blockchain Entwicklung: Ethereum, Solidity und Truffle</t>
  </si>
  <si>
    <t>Máster en CodeIgniter 3 con Bootstrap 4 y Vue - Desde Cero</t>
  </si>
  <si>
    <t>Certified Information Systems Security Professional (CISSP)</t>
  </si>
  <si>
    <t>Marketing Essencial: o que de fato funciona em Marketing!</t>
  </si>
  <si>
    <t>Spring Cloud Data Flow - Cloud Native Data Stream Processing</t>
  </si>
  <si>
    <t>Create a Simple Landing Page with Flutter Web and Firebase</t>
  </si>
  <si>
    <t>Quantum Computing und Programmierung mit Q#: Eine Einführung</t>
  </si>
  <si>
    <t>Change Prozesse erfolgreich managen</t>
  </si>
  <si>
    <t>SFTP Client/Server Deep Dive - With OpenSSH Server &amp; WinSCP</t>
  </si>
  <si>
    <t>NR-10 - Básico (Extensão)</t>
  </si>
  <si>
    <t>Work Safety</t>
  </si>
  <si>
    <t>The Complete 2021 LEED Green Associate Training</t>
  </si>
  <si>
    <t>Professional Life Coach Certification PCELC Coach Training</t>
  </si>
  <si>
    <t>Estrategia de Ventas B2B</t>
  </si>
  <si>
    <t>Estrategia de Negocio</t>
  </si>
  <si>
    <t>Preparatório para Certificação Linux LPIC-1 | Atualizado V5</t>
  </si>
  <si>
    <t>Serverless Framework Bootcamp: Node.js, AWS &amp; Microservices</t>
  </si>
  <si>
    <t>NestJS Zero to Hero - Modern TypeScript Back-end Development</t>
  </si>
  <si>
    <t>Her Seviyeye Uygun Python Egzersizleri (Soru-Çözüm) : PYT102</t>
  </si>
  <si>
    <t>Employee Stock Options &amp; RSUs</t>
  </si>
  <si>
    <t>Crea un Ecommerce con Laravel, Livewire, Tailwind y Alpine</t>
  </si>
  <si>
    <t>Aprende a crear una plataforma de cursos con Laravel</t>
  </si>
  <si>
    <t>تميّز فى فن البيع من البداية لأفضل نجاح</t>
  </si>
  <si>
    <t>TOTAL: CEH v10  (Ethical Hacker) Practice Tests - 500 Q's</t>
  </si>
  <si>
    <t>Digitalisierung mit Microsoft SharePoint Teamwebsites</t>
  </si>
  <si>
    <t>Sıfırdan İleri Seviyeye İngilizce Kursu ve Konuşma Eğitimi</t>
  </si>
  <si>
    <t>pl</t>
  </si>
  <si>
    <t>Uczenie maszynowe od podstaw z Azure ML Studio (classic)</t>
  </si>
  <si>
    <t>ru</t>
  </si>
  <si>
    <t>Пробные тесты к экзамену PMP</t>
  </si>
  <si>
    <t>Node JS. Практический курс. (Mongo, GraphQL, MySQL, Express)</t>
  </si>
  <si>
    <t>Angular 9. Теория и Практика 2020. Все включено + Бонусы</t>
  </si>
  <si>
    <t>React Native 2020. Мобильные приложения на JavaScript</t>
  </si>
  <si>
    <t>JavaScript 2021 - Полное Руководство с Нуля до Профи</t>
  </si>
  <si>
    <t>React JS. Практический Курс 2020 (вкл. Хуки, Классы, Redux)</t>
  </si>
  <si>
    <t>MEAN. Angular, Node, Express, Mongo. Создание Сервиса с Нуля</t>
  </si>
  <si>
    <t>Email Marketing y Marketing Automation con ActiveCampaign</t>
  </si>
  <si>
    <t>Diseño gráfico para SUPER NOVATOS</t>
  </si>
  <si>
    <t>Créer 5 applications de bureau avec Qt for Python (PySide2)</t>
  </si>
  <si>
    <t>Le traitement d'images avec Python</t>
  </si>
  <si>
    <t>Les bases de Python par la pratique</t>
  </si>
  <si>
    <t>Python : les interfaces graphiques avec PySide</t>
  </si>
  <si>
    <t>Créer une application web avec Django</t>
  </si>
  <si>
    <t>La Formation Complète PyCharm</t>
  </si>
  <si>
    <t>NativeScript + Angular: Build Native iOS, Android &amp; Web Apps</t>
  </si>
  <si>
    <t>Learn Web Designing &amp; HTML5/CSS3 Essentials in 4-Hours</t>
  </si>
  <si>
    <t>API in C#: The Best Practices of Design and Implementation</t>
  </si>
  <si>
    <t>Eliminate waste by implementing 5S</t>
  </si>
  <si>
    <t>SAP - Learn SAPUI5 Professional Development</t>
  </si>
  <si>
    <t>JavaScript : le Guide Ultime (ES6 et ES7 inclus)</t>
  </si>
  <si>
    <t>Curso de Angular 13 - Desde cero hasta profesional</t>
  </si>
  <si>
    <t>Yoga for Back Pain Relief &amp; Prevention-Certification Course</t>
  </si>
  <si>
    <t>Utiliser le marketing de contenu pour attirer des visiteurs</t>
  </si>
  <si>
    <t>Curso Diseño Grafico Completo</t>
  </si>
  <si>
    <t>المرجع الشامل لبناء وبرمجه المواقع ببايثون (Python+Django)</t>
  </si>
  <si>
    <t>SSH advanced usage</t>
  </si>
  <si>
    <t>Machine Learning In The Cloud With Azure Machine Learning</t>
  </si>
  <si>
    <t>Azure MasterClass: Manage Azure Cloud with ARM Templates</t>
  </si>
  <si>
    <t>PowerShell - essential course with labs</t>
  </si>
  <si>
    <t>Gestionar la Calidad del Código Fuente con SonarQube</t>
  </si>
  <si>
    <t>3D Programming with JavaScript and the Three.js 3D Library</t>
  </si>
  <si>
    <t>Vue.JS ：从初学者到专业人士</t>
  </si>
  <si>
    <t>Getting Started with .NET Core Identity Server 4</t>
  </si>
  <si>
    <t>NLP For Sales, Persuasion &amp; Influence: Certified NLP &amp; Sales</t>
  </si>
  <si>
    <t>VueCli3.0全栈开发Node后台/Vue前端/ElementUi</t>
  </si>
  <si>
    <t>Mechanical engineering design : Sheet metal design</t>
  </si>
  <si>
    <t>Buchhaltung - Crashkurs</t>
  </si>
  <si>
    <t>Curso de QA Automation con Serenity - De novato a experto!</t>
  </si>
  <si>
    <t>财务自由之路</t>
  </si>
  <si>
    <t>The Complete Magento 2 Course</t>
  </si>
  <si>
    <t>IT/NON-IT Recruiter Training to become a Recruiter (Junior)</t>
  </si>
  <si>
    <t>Medical coding for U.S. healthcare industry</t>
  </si>
  <si>
    <t>AZ-204 Microsoft Azure Developer Practice Tests</t>
  </si>
  <si>
    <t>Complete Backend (API) Development with Python A-Z™</t>
  </si>
  <si>
    <t>Curso de Espanhol para pessoas que falam português: 1 de 2</t>
  </si>
  <si>
    <t>IBM App Connect Enterprise &amp; IBM Integration Bus &amp; Broker</t>
  </si>
  <si>
    <t>Salesforce Certified Platform Developer 1 Exam Questions</t>
  </si>
  <si>
    <t>دبـلـومـة الـتـسـويـق الالـكـتـرونـي الـشـامـلـة</t>
  </si>
  <si>
    <t>JBOSS EAP Basics-Administration,configuration &amp; development</t>
  </si>
  <si>
    <t>■ LPI Linux Essentials （エッセンシャル） 資格取得コース （LPI公認）</t>
  </si>
  <si>
    <t>Ultimate Microsoft PowerPoint (بالعربية PowerPoint كورس)</t>
  </si>
  <si>
    <t>Presentations</t>
  </si>
  <si>
    <t>Professionell schreiben: Schneller, besser, kürzer</t>
  </si>
  <si>
    <t>كورس التسويق الإلكتروني الاحترافي الشامل إعلانات جوجل 2020</t>
  </si>
  <si>
    <t>Lead Generation &amp; Business Development: Lead Generation 2021</t>
  </si>
  <si>
    <t>Intro to Digital Marketing - تعلم أساسيات التسويق الرقمي</t>
  </si>
  <si>
    <t>UiPath RPA Associate Certification Exam Practice Questions</t>
  </si>
  <si>
    <t>Microsoft Azure: Simulado para prova AZ900 - Atualizado 2021</t>
  </si>
  <si>
    <t>Digital Marketing From An Agency: Understanding UR Customer</t>
  </si>
  <si>
    <t>تداول الأسهم - الدورة الأساسية المتكاملة - جميع الدول</t>
  </si>
  <si>
    <t>Introduction to Futures &amp; Options trading- A 360 degree view</t>
  </si>
  <si>
    <t>Export Import Logistics with Global Incoterms ® 2020 Rules</t>
  </si>
  <si>
    <t>Arabic Logo Design - دبلومة تصميم شعار بالخط العربي</t>
  </si>
  <si>
    <t>Fullstack Python &amp; Django | مسار تعلم برمجه المواقع بايثون</t>
  </si>
  <si>
    <t>SharePoint 365 for Power Users</t>
  </si>
  <si>
    <t>Microsoft Office (5 in 1):Word-Excel-PowerPt-Outlook-OneNote</t>
  </si>
  <si>
    <t>SAP for Retail Essentials: Learn SAP Retail Overview 2021</t>
  </si>
  <si>
    <t>Deep Learning: Convolutional Neural Networks</t>
  </si>
  <si>
    <t>Diseña tu Estrategia de Marca Personal paso a paso</t>
  </si>
  <si>
    <t>Cardiopulmonary Resuscitation (CPR), AED and First Aid</t>
  </si>
  <si>
    <t>Compliance</t>
  </si>
  <si>
    <t>Vagrant Quick Start: Virtualized Development Environments</t>
  </si>
  <si>
    <t>Web Scraping com Python e Beautiful Soup</t>
  </si>
  <si>
    <t>Learn AWS The Hard Way</t>
  </si>
  <si>
    <t>Maestría en Diseño Web Responsive (para no programadores)</t>
  </si>
  <si>
    <t>Mind Maps/ Mind Mapping for Teachers, Trainers, &amp; Presenters</t>
  </si>
  <si>
    <t>Curso de programación C# SQL SERVER para principiantes</t>
  </si>
  <si>
    <t>HTML in 1 Stunde vollständig lernen - HTML5 Online Kurs</t>
  </si>
  <si>
    <t>Project Leadership - Führungskompetenz im Projekt</t>
  </si>
  <si>
    <t>Empresas Familiares - desafios e oportunidades</t>
  </si>
  <si>
    <t>Die Swift &amp; iOS 12 Masterclass - App Entwicklung von A-Z</t>
  </si>
  <si>
    <t>Diseño Web y Móvil con Sketch</t>
  </si>
  <si>
    <t>Hosting Websites with Amazon Lightsail | AWS for 2020</t>
  </si>
  <si>
    <t>Acelerador de Vendas - Argumentos que Vendem Mais</t>
  </si>
  <si>
    <t>Maps with R Leaflet</t>
  </si>
  <si>
    <t>Building Blockchains with Hyperledger Fabric using Composer</t>
  </si>
  <si>
    <t>Salesforce Apex Trigger and Trigger Design Pattern</t>
  </si>
  <si>
    <t>Fondations du leadership</t>
  </si>
  <si>
    <t>Adobe Illustrator CC – Illustrator Werkzeuge &amp; Logodesign</t>
  </si>
  <si>
    <t>[2021] Fundamentos de Scrum: Simulador de Examen</t>
  </si>
  <si>
    <t>Complete Electricity for Electronics, Electrical Engineering</t>
  </si>
  <si>
    <t>React, TypeScript, Redux, StyledComponents: Build Sudoku App</t>
  </si>
  <si>
    <t>Spark Project on Cloudera Hadoop(CDH) and GCP for Beginners</t>
  </si>
  <si>
    <t>The Ultimate Spring Batch Developer Course</t>
  </si>
  <si>
    <t>Reverse Engineering 6: Reversing .NET with dnSpy</t>
  </si>
  <si>
    <t>Quant Trading - Operações de Long &amp; Short por Cointegração</t>
  </si>
  <si>
    <t>Authentisch und charismatisch führen</t>
  </si>
  <si>
    <t>Strongly Typed Next.js</t>
  </si>
  <si>
    <t>Project Implementation on Salesforce Einstein Analytics</t>
  </si>
  <si>
    <t>End to End React with Prisma 2</t>
  </si>
  <si>
    <t>Curso Completo de Marketing Digital - Con Proyecto desde 0</t>
  </si>
  <si>
    <t>MuleSoft Certified Developer-Level 1 (Mule 4)-MCD Mock Tests</t>
  </si>
  <si>
    <t>Curso de Embudos de Venta por WhatsApp 2021+ Ejemplos Reales</t>
  </si>
  <si>
    <t>How to Build Habit-Forming Products</t>
  </si>
  <si>
    <t>User Experience Design</t>
  </si>
  <si>
    <t>React Front To Back</t>
  </si>
  <si>
    <t>Sustainable living made simple</t>
  </si>
  <si>
    <t>Curso Completo Consultor SAP SD desde Cero</t>
  </si>
  <si>
    <t>Curso Completo Consultor SAP MM desde Cero</t>
  </si>
  <si>
    <t>Customer Success &amp; Service</t>
  </si>
  <si>
    <t>Mehr Verkäufe über Social Media: Marketing für Anfänger</t>
  </si>
  <si>
    <t>Mapas Mentales: usos prácticos</t>
  </si>
  <si>
    <t>Life Skills</t>
  </si>
  <si>
    <t>Microsoft Power Automate - Erste Schritte</t>
  </si>
  <si>
    <t>Criteria Cognitive Aptitude Test (CCAT) Practice Bundle 2021</t>
  </si>
  <si>
    <t>Application security on AWS with Amazon Cognito (June 2017)</t>
  </si>
  <si>
    <t>Continuous Delivery on Amazon Web Services (April 2017)</t>
  </si>
  <si>
    <t>The Gatsby Masterclass</t>
  </si>
  <si>
    <t>React Hooks</t>
  </si>
  <si>
    <t>MERN Stack - The Complete Guide</t>
  </si>
  <si>
    <t>Build a Social Network with Flutter and Firebase</t>
  </si>
  <si>
    <t>Serverless React with AWS Amplify - The Complete Guide</t>
  </si>
  <si>
    <t>Universal React with Next.js - The Ultimate Guide</t>
  </si>
  <si>
    <t>Build a Slack Chat App with React, Redux, and Firebase</t>
  </si>
  <si>
    <t>Build an Online Store with React and GraphQL in 90 Minutes</t>
  </si>
  <si>
    <t>Full-Stack React with GraphQL and Apollo Boost</t>
  </si>
  <si>
    <t>IELTS Speaking Success - Get a Band 7+</t>
  </si>
  <si>
    <t>Effective UI Test Automation With Serenity BDD And Selenium</t>
  </si>
  <si>
    <t>Dein Einstieg in React JS &amp; Redux</t>
  </si>
  <si>
    <t>Der komplette NodeJS Kurs - Vom Anfänger zum Profi</t>
  </si>
  <si>
    <t>Curso Completo de Bootstrap 4 + jQuery com 6 Projetos reais</t>
  </si>
  <si>
    <t>ko</t>
  </si>
  <si>
    <t>데이터 분석이 쉬워지는 R 프로그래밍의 모든 것</t>
  </si>
  <si>
    <t>데이터 분석 고민하지 마세요! 하루 딱 2시간만에 배우는 파이썬 입문</t>
  </si>
  <si>
    <t>Créez votre site web comme un pro du marketing</t>
  </si>
  <si>
    <t>Learning to Learn [Efficient Learning]: Zero to Mastery</t>
  </si>
  <si>
    <t>TigerGraph Bootcamp</t>
  </si>
  <si>
    <t>Spring RSocket</t>
  </si>
  <si>
    <t>Use SAP BRFplus Like a Pro!</t>
  </si>
  <si>
    <t>Le guide complet d'Hadoop : maîtriser votre Big Data</t>
  </si>
  <si>
    <t>Conduite agile du changement : accompagner vos projets</t>
  </si>
  <si>
    <t>Management</t>
  </si>
  <si>
    <t>Tokenisation and Encryption in Digital Payments, FinTech</t>
  </si>
  <si>
    <t>Buchführung &amp; Jahresabschluss einfach erklärt in 5 Stunden</t>
  </si>
  <si>
    <t>Master Fundamentals of ECG / EKG.</t>
  </si>
  <si>
    <t>Master Neuroscience and Neuroanatomy.</t>
  </si>
  <si>
    <t>Ethical Hacking for Beginners</t>
  </si>
  <si>
    <t>(NEW 2021) CompTIA Network+ (N10-008) Video Training Series</t>
  </si>
  <si>
    <t>Complete CCNP ENARSI (300-410) Master Class</t>
  </si>
  <si>
    <t>Complete CCNA (200-301) Master Class</t>
  </si>
  <si>
    <t>Complete CCNP ENCOR (350-401) Master Class</t>
  </si>
  <si>
    <t>CCA 175  Spark  Practice Tests &amp; Cluster Setup- Scala [2020]</t>
  </si>
  <si>
    <t>Apache Spark 2 and 3 using Scala (Formerly CCA 175)</t>
  </si>
  <si>
    <t>Salesforce Advanced Admin Practice Tests【240 Questions】'2021</t>
  </si>
  <si>
    <t>Salesforce Certified Administrator Training (aka 201) 2021</t>
  </si>
  <si>
    <t>AWS Certified Security Specialty Latest 2021 Practice Tests</t>
  </si>
  <si>
    <t>AWS Certified Security Specialty 2021</t>
  </si>
  <si>
    <t>Practice Exams | Oracle Database SQL 1Z0-071</t>
  </si>
  <si>
    <t>Oracle Database 12c SQL Certified Associate 1Z0-071</t>
  </si>
  <si>
    <t>Java Certification : OCA (1Z0-808) Exam Simulation [2021]</t>
  </si>
  <si>
    <t>Oracle Java Certification - Pass the Associate 1Z0-808 Exam.</t>
  </si>
  <si>
    <t>ServiceNow Certified System Administrator(CSA) Practice Test</t>
  </si>
  <si>
    <t>The Complete ServiceNow System Administrator Course</t>
  </si>
  <si>
    <t>CEH v11 312-50: Certified Ethical Hacker Practice Exams. NEW</t>
  </si>
  <si>
    <t>Certified Ethical Hacker (CEHv11) Exams #UNOFFICIAL#</t>
  </si>
  <si>
    <t>HashiCorp Certified: Terraform Associate Practice Exam 2021</t>
  </si>
  <si>
    <t>HashiCorp Certified: Terraform Associate 2021</t>
  </si>
  <si>
    <t>Docker Certified Associate (DCA) Practice Test - Set of 4</t>
  </si>
  <si>
    <t>Docker Certified Associate 2021</t>
  </si>
  <si>
    <t>ITSM Foundation Exam Prep / Practice Tests (updated 2021)</t>
  </si>
  <si>
    <t>ITIL 4 Foundation Practice Certification Exams (6 Exams)</t>
  </si>
  <si>
    <t>AWS Certified Data Analytics Specialty Practice Tests</t>
  </si>
  <si>
    <t>AWS Certified Data Analytics Specialty 2021 - Hands On!</t>
  </si>
  <si>
    <t>MICROSOFT POWER BI DA-100 EXAM: Advanced 2021 Practice Test</t>
  </si>
  <si>
    <t>DA-100 certification: Analyzing Data with Microsoft Power BI</t>
  </si>
  <si>
    <t>MICROSOFT POWER BI DA-100 EXAM Practice Test (Updated SEP21)</t>
  </si>
  <si>
    <t>GitLab Certified: CI/CD Specialist Practice Exam 2021</t>
  </si>
  <si>
    <t>GitLab CI: Pipelines, CI/CD and DevOps for Beginners</t>
  </si>
  <si>
    <t>SAP ABAP for HANA certification preparation test</t>
  </si>
  <si>
    <t>SAP ABAP on HANA Training for Beginners</t>
  </si>
  <si>
    <t>200-301 Cisco Certified Network Associate - Exam Simulations</t>
  </si>
  <si>
    <t xml:space="preserve">The Complete Guide to Salesforce Pardot Lightning
</t>
  </si>
  <si>
    <t>OKTA Certified Professional Practice Test</t>
  </si>
  <si>
    <t>Getting Started with Okta</t>
  </si>
  <si>
    <t>Microsoft Azure Certification AZ- 900 Latest Practice Exam</t>
  </si>
  <si>
    <t>AZ-900: Microsoft Azure Fundamentals Original Practice Tests</t>
  </si>
  <si>
    <t>Azure AI Fundamentals AI-900 practice exams -Pass guaranteed</t>
  </si>
  <si>
    <t>Google Certified Associate Cloud Engineer Practice Tests</t>
  </si>
  <si>
    <t>Google Associate Cloud Engineer: Get Certified 2021</t>
  </si>
  <si>
    <t>AWS Certified Machine Learning Specialty: 3 PRACTICE EXAMS</t>
  </si>
  <si>
    <t>AWS Certified Machine Learning Specialty Full Practice Exam</t>
  </si>
  <si>
    <t>(ISC)² Certified Cloud Security Professional (CCSP) Practice</t>
  </si>
  <si>
    <t>Certified Cloud Security Professional (CCSP)</t>
  </si>
  <si>
    <t>AWS Certified Solutions Architect Associate (SAA-C01) Prep</t>
  </si>
  <si>
    <t>Practice Exams | AWS Certified Solutions Architect Associate</t>
  </si>
  <si>
    <t>AWS Certified solution architect associate high level test</t>
  </si>
  <si>
    <t>LPIC-1 Linux Certification Practice Tests | UPDATED VERSION</t>
  </si>
  <si>
    <t>LPI Linux Essentials 010-160 (6 Practice Exams)</t>
  </si>
  <si>
    <t>Snowflake Certification - Architect</t>
  </si>
  <si>
    <t>Tackling Snowflake Certification - Practice Questions</t>
  </si>
  <si>
    <t>Java Certification (1Z0-815) Exam Simulation [2021]</t>
  </si>
  <si>
    <t>Java SE 11 Developer 1Z0-819 OCP Course - Part 1</t>
  </si>
  <si>
    <t>Java Certification (1Z0-815) Topic-wise Tests [2021]</t>
  </si>
  <si>
    <t>2021 Java SE 11 Certification Exam 1Z0-819  Practice Tests</t>
  </si>
  <si>
    <t>OCP Java SE 11 Developer 1Z0-819 Practice Exams new 2021!</t>
  </si>
  <si>
    <t>AZ-301/304 Azure Architect Design Practice Test</t>
  </si>
  <si>
    <t>AZ-304 Microsoft Azure Architect Design Certification 2021</t>
  </si>
  <si>
    <t>PCEP Python certification practice test</t>
  </si>
  <si>
    <t>The Complete Python Developer Certification Course</t>
  </si>
  <si>
    <t>5 Practice Tests for PCAP-31-03 Python Certification 2021</t>
  </si>
  <si>
    <t>AWS Certified Cloud Practitioner: 6 Full Practice Exams 2021</t>
  </si>
  <si>
    <t>[NEW] Ultimate AWS Certified Cloud Practitioner - 2021</t>
  </si>
  <si>
    <t>CompTIA Cloud+ (CV0-002) Exam Prep / Practice Tests</t>
  </si>
  <si>
    <t>CompTIA CySA+ (CS0-002) Practice Certification Exams</t>
  </si>
  <si>
    <t>PCNSA - Palo Alto Practice tests (111 questions to practice)</t>
  </si>
  <si>
    <t>Palo Alto Security Administrator - Part 1 PCNSA (EDU-210)</t>
  </si>
  <si>
    <t>VMware VCP DCV Exam Simulator (VCP-DCV 2020)</t>
  </si>
  <si>
    <t>Clear and Simple VMware vSphere 7 Professional VCP 2V0-21.20</t>
  </si>
  <si>
    <t>VMware vSphere Foundations Exam (VCP-DCV 2020)</t>
  </si>
  <si>
    <t>Professional VMware vSphere 7.x Exam VCP-DCV 2021</t>
  </si>
  <si>
    <t xml:space="preserve">Clear and Simple VMware vSphere 7 Professional VCP 2V0-21.20
</t>
  </si>
  <si>
    <t>DP-900 Microsoft Azure Data Fundamentals Practice test Oct21</t>
  </si>
  <si>
    <t>DP-900 Azure Data Fundamentals 100% Original Practice Exam</t>
  </si>
  <si>
    <t>AZ-400: Designing Implementing Microsoft DevOps Soln: Tests</t>
  </si>
  <si>
    <t>AZ-400 Designing and Implementing DevOps Certification 2021</t>
  </si>
  <si>
    <t>The Complete Palo Alto PCNSE v10.1 Practice Test for 2021</t>
  </si>
  <si>
    <t>Palo Alto Firewall PCNSE New V9 &amp; V10 Training</t>
  </si>
  <si>
    <t>ServiceNow CIS - Discovery Practice Exams | Rome | 2021</t>
  </si>
  <si>
    <t>ServiceNow IT Service Management (CIS - ITSM) Practice Tests</t>
  </si>
  <si>
    <t>Practice CompTIA PenTest+ Exam: 340 Questions, PT0-001</t>
  </si>
  <si>
    <t xml:space="preserve">CompTIA PenTest+ (PT0-001) Practice Certification Exams
</t>
  </si>
  <si>
    <t>AI-102 Microsoft Azure AI Solution Complete Real Exam Prep</t>
  </si>
  <si>
    <t xml:space="preserve">AI-102 Microsoft Azure AI Solution Complete Exam Prep
</t>
  </si>
  <si>
    <t>SAP Analytics Cloud {C_SAC_2021} -  Material and Q&amp;A Dumps</t>
  </si>
  <si>
    <t>The Complete SAP Analytics Cloud Course 2021</t>
  </si>
  <si>
    <t>SAP Cloud Platform Integration Certification C_CPI_13</t>
  </si>
  <si>
    <t>Tableau Desktop Specialist Certification Practice Tests 2021</t>
  </si>
  <si>
    <t>Tableau Certification Prep: Desktop Specialist + Associate</t>
  </si>
  <si>
    <t>Google Certified Professional Cloud Architect Practice Tests</t>
  </si>
  <si>
    <t>GCP Professional Cloud Architect: Google Cloud Certification</t>
  </si>
  <si>
    <t>SC-900 Practice Tests (MS Security &amp; Identity) [UP TO DATE]</t>
  </si>
  <si>
    <t>SC-900: Microsoft Security Fundamentals Exam Prep - NOV 2021</t>
  </si>
  <si>
    <t>Python PCEP Certification Practice Tests</t>
  </si>
  <si>
    <t>Python PCEP: Pass Certified Entry-Level Python Programmer</t>
  </si>
  <si>
    <t>Cisco CyberOps - 200-201 CBROPS - Exam Simulations (2020)</t>
  </si>
  <si>
    <t>Forensic Investigator Practice Exam</t>
  </si>
  <si>
    <t>Java Certification : OCP (1Z0-809) Exam Simulation [2021]</t>
  </si>
  <si>
    <t>Informatica Data Quality Developer Specialist Certification</t>
  </si>
  <si>
    <t>Microsoft Python Certification Exam (98-381): Practice Tests</t>
  </si>
  <si>
    <t>MTA 98-361 Software Development Fundamentals C# Exam Prep</t>
  </si>
  <si>
    <t>Informatica Cloud Specialist Certification</t>
  </si>
  <si>
    <t>ServiceNow HRSD Implementation Specialist Tests</t>
  </si>
  <si>
    <t>Level 4 Diploma - Ethical &amp; Responsible Sourcing (L4M4)</t>
  </si>
  <si>
    <t>CyberArk Certification - Defender &amp; Sentry Practice Exam</t>
  </si>
  <si>
    <t>CDMP Certified Data Management Professional Practice Exams</t>
  </si>
  <si>
    <t>CompTIA Cloud+ (CV0-003) Exam Prep / Practice Tests</t>
  </si>
  <si>
    <t>SAFe Scaled Agile Cert. in 1st Attempt - Practice Mock Tests</t>
  </si>
  <si>
    <t>PMP Certification Exam Prep : 500 Practice Questions</t>
  </si>
  <si>
    <t>PMP: The Complete PMP Course &amp; Practice Exam PMI PMBOK 6 '21</t>
  </si>
  <si>
    <t>N/A</t>
  </si>
  <si>
    <t>PMP Practice Test Exam 2021-PMBOK6</t>
  </si>
  <si>
    <t>Scrum Master certification - practice test questions</t>
  </si>
  <si>
    <t>Scrum for beginners + Scrum Master Certification Preparation</t>
  </si>
  <si>
    <t>CSM Practice Exams: Certified Scrum Master, 200 Questions</t>
  </si>
  <si>
    <t>PMI- SP Practice Tests: Scheduling Professional, 340 Q</t>
  </si>
  <si>
    <t>Level 4 Diploma - Defining Business Needs (L4M2)</t>
  </si>
  <si>
    <t>Level 4 Diploma - Commercial Contracting (L4M3)</t>
  </si>
  <si>
    <t>SPS ™ Scaled Professional Scrum ™ - Nexus ™ 2021 (160 Q)</t>
  </si>
  <si>
    <t>Level 4 Diploma - Commercial Negotiation (L4M5)</t>
  </si>
  <si>
    <t>The New Product Owner Certification of 2021 - 800 questions</t>
  </si>
  <si>
    <t xml:space="preserve">Agile &amp; Scrum for Product Owners + Certification Preparation
</t>
  </si>
  <si>
    <t>Level 4 Diploma - Supplier Relationships (L4M6)</t>
  </si>
  <si>
    <t>Highly Situational 2021 PMP Exams Updated With New Format</t>
  </si>
  <si>
    <t>AIGPEs Six Sigma Green Belt Certification Simulation Exam</t>
  </si>
  <si>
    <t>Certified Lean Six Sigma Green Belt, BKO Accredited Training</t>
  </si>
  <si>
    <t>Level 4 Diploma - Whole Life Asset Management (L4M7)</t>
  </si>
  <si>
    <t>The New Scrum Master Certification of 2021 - 800 questions</t>
  </si>
  <si>
    <t>Professional Scrum Master certification Practice Tests PSM1</t>
  </si>
  <si>
    <t>PSM2 Professional Scrum Master II certification Practice</t>
  </si>
  <si>
    <t>Criteria Cognitive Aptitude Test(CCAT) Practice Package 2021</t>
  </si>
  <si>
    <t>NEW SAFe 5 Agilist (Leading SAFe) Practice Exams (235 Q's)</t>
  </si>
  <si>
    <t>Leading SAFe 5.1</t>
  </si>
  <si>
    <t>How to Make Professional 2D Animation Videos in Vyond</t>
  </si>
  <si>
    <t>Understanding and Troubleshooting SIP</t>
  </si>
  <si>
    <t>영어 발음 디톡스 - 리스닝과 스피킹 동시에 해결하는 영어 발음 강의</t>
  </si>
  <si>
    <t>Der komplette C Kurs - Programmieren lernen von Anfang an</t>
  </si>
  <si>
    <t>ASP.NET Core Intensivkurs - C# Anwendungen und WebAPIs</t>
  </si>
  <si>
    <t>Der Angular 11 Crashkurs - Frontend Entwicklung für Anfänger</t>
  </si>
  <si>
    <t>Das komplette Python Bootcamp 2021 - von 0 auf 100 in Python</t>
  </si>
  <si>
    <t>Stratégie de prises de décisions : les succès de vos projets</t>
  </si>
  <si>
    <t>JAVA Performance : étude de cas concrets</t>
  </si>
  <si>
    <t>Prévenir et désamorcer les conflits interpersonnels</t>
  </si>
  <si>
    <t>jp</t>
  </si>
  <si>
    <t>GmailをLINEで受信！Messaging APIとGASで作りながら覚えるLinebot作り方講座</t>
  </si>
  <si>
    <t>Flutter × Firebaseで開発するモバイルアプリ入門</t>
  </si>
  <si>
    <t>繰り返しタスクをサクサクこなす! アウトライナーを使った行動リスト管理術</t>
  </si>
  <si>
    <t>AWS認定 DevOpsエンジニア – プロフェッショナル (DOP-C01) 模擬試験 (2021年試験対応版)</t>
  </si>
  <si>
    <t>ノーコード「Bubble」でメルカリを作る！  | アプリを収益化する方法を学べます</t>
  </si>
  <si>
    <t>【続】Microsoft Power Automate Desktop 入門講座 ～ PDF アクション 特訓編 ～</t>
  </si>
  <si>
    <t>Pythonとディープラーニングがわかる基礎講座（Windows10版）</t>
  </si>
  <si>
    <t>【Python 3 x Django 2.0】作りながら覚えるDjango</t>
  </si>
  <si>
    <t>Flutterアプリ開発基礎入門</t>
  </si>
  <si>
    <t>【YOLO v3で実践】ディープラーニングによる物体検出入門</t>
  </si>
  <si>
    <t>初心者のための『テーブル・データベース論理設計』〜ゼロからシステム開発に必要なデータベースの知識を身につけよう〜</t>
  </si>
  <si>
    <t>70以上のレッスンで、基礎からしっかり学べる！ HTML5完全マスターコース</t>
  </si>
  <si>
    <t>相手からOK/YESをもらう! アウトライナーを使ったロジカルなライティング構成の練り方</t>
  </si>
  <si>
    <t>マインドマップ本質講座 Vol.1【基礎編】〜本質を理解し、書いてみて初めて分かるマインドマップの効果を体感してみよう〜</t>
  </si>
  <si>
    <t>はじめてのLINEBOTの作り方　秘書ボットを作ろう</t>
  </si>
  <si>
    <t>LINEで順番待ち。順番待ちLINEボットの作り方講座</t>
  </si>
  <si>
    <t>Retired Courses</t>
  </si>
  <si>
    <t>In order to provide our users with access to the best and freshest content the Udemy marketplace has to offer we regularly investigate our 
offering daily to examine and fill gaps, remove content that doesn't meet our standards and assesses our customer's needs.
These courses were removed from the Collection on the date listed in column B.  Replacement courses currently in the collection are identified in columns G - J.</t>
  </si>
  <si>
    <t>TOTAL: CompTIA Cloud+ (CV0-002): 3 FULL Practice Tests</t>
  </si>
  <si>
    <t>NEW SAFe 5 Scrum Master (SSM) Practice Exams</t>
  </si>
  <si>
    <t>Scrum for Beginners + Scrum Master Certification Preparation</t>
  </si>
  <si>
    <t>Complete Agile Scrum Master Certification Training</t>
  </si>
  <si>
    <t>2021 Data Science/MachineLearning Project Deployment Mastery</t>
  </si>
  <si>
    <t>The Data Science Course 2022: Complete Data Science Bootcamp</t>
  </si>
  <si>
    <t>2D Game Artist: Learn GIMP For Game Art</t>
  </si>
  <si>
    <t>Die ultimative Power BI Masterclass 2022: Der Komplettkurs!</t>
  </si>
  <si>
    <t>Python Meisterkurs von A-Z: Komplettkurs für Anfänger 2022!</t>
  </si>
  <si>
    <t>it</t>
  </si>
  <si>
    <t>PLC : Programmare con CoDeSys V3.5.x da zero</t>
  </si>
  <si>
    <t>VENDITA TELEFONICA PERSUASIVA</t>
  </si>
  <si>
    <t>Strategie di Trading Online pronte all'uso</t>
  </si>
  <si>
    <t>Potere Personale - Le leve del Coaching per il Successo</t>
  </si>
  <si>
    <t>GDPR Fundamentals</t>
  </si>
  <si>
    <t>Corso per Impiegato Commerciale con esempi report Excel</t>
  </si>
  <si>
    <t>Instagram 2021 - Digital Marketing e Strategie di Crescita</t>
  </si>
  <si>
    <t>Il corso completo su Bitcoin e Blockchain</t>
  </si>
  <si>
    <t>Comunicazione Non Verbale sul lavoro - 35 errori da evitare</t>
  </si>
  <si>
    <t>Corso per creare App senza essere programmatori Gratis</t>
  </si>
  <si>
    <t>Corso base sul CRM: migliora la relazione con il cliente</t>
  </si>
  <si>
    <t>米シリコンバレーDevOps監修！Istio Service Mesh ハンズオン+Kubernetes AWS EKS</t>
  </si>
  <si>
    <t>シリコンバレーエンジニア監修！GAFAデータ構造コーディング試験入門in Java &amp; Python【やさしい図解説付】</t>
  </si>
  <si>
    <t>米シリコンバレーエンジニア監修！AWS EKS KubernetesハンズオンBest Practices (2020)</t>
  </si>
  <si>
    <t>Medical Coding: ICD-10-CM Essentials</t>
  </si>
  <si>
    <t>TOTAL: CompTIA Security+ Certification (SY0-501)</t>
  </si>
  <si>
    <t>Complete Istio Service Mesh (1.8) Masterclass + AWS EKS 2020</t>
  </si>
  <si>
    <t>Product Management &amp; Marketing: Personas</t>
  </si>
  <si>
    <t>Become a Product Manager | Learn the Skills &amp; Get the Job</t>
  </si>
  <si>
    <t>Complete SAP OS/DB Migration</t>
  </si>
  <si>
    <t>Talend Data Integration Course : Beginner to Expert</t>
  </si>
  <si>
    <t>Applied ISO14971 Medical Device Risk Management</t>
  </si>
  <si>
    <t>OpenID Connect &amp; JWT: Identity as a Service for your Apps</t>
  </si>
  <si>
    <t>Image Processing on Raspberry Pi - Beginner to Advanced</t>
  </si>
  <si>
    <t>2021 Ultimate Guide to Raspberry Pi : Tips, Tricks and Hacks</t>
  </si>
  <si>
    <t>Certified ISTQB Test Analyst Advanced Level (CTAL-TA) - 2021</t>
  </si>
  <si>
    <t>Certified Wireless Security Professional (CWSP)</t>
  </si>
  <si>
    <t>Scrum Master Professional Cert,Real Case,2021 Exam Questions</t>
  </si>
  <si>
    <t>Rust Programming Language for Beginners</t>
  </si>
  <si>
    <t>Learn Rust by Building Real Applications</t>
  </si>
  <si>
    <t>PDCA na prática COMPLETO</t>
  </si>
  <si>
    <t>Change Management: Design Successful Organizational Change</t>
  </si>
  <si>
    <t>CHANGE MANAGEMENT FOR ORGANIZATIONS: Drive Strategic Results</t>
  </si>
  <si>
    <t>Terraform Version 0.12 - Complete Guide on Microsoft Azure</t>
  </si>
  <si>
    <t>Introduction to D3.js with React</t>
  </si>
  <si>
    <t>Cloud Security Course: Cloud Compliance, Audits,Legal issues</t>
  </si>
  <si>
    <t>Cloud Fundamentals</t>
  </si>
  <si>
    <t>Understand the CCSK Cloud Security Certification (INTRODUCT)</t>
  </si>
  <si>
    <t>California Consumer Privacy Act-CCPA-Complete Course (CIPP)</t>
  </si>
  <si>
    <t>GDPR Certification &amp; Preparation to CIPP Certification Test</t>
  </si>
  <si>
    <t>Microsoft® AZ-900 Azure Fundamentals-Real Questions Jul 2021</t>
  </si>
  <si>
    <t>Microsoft Planner für Einsteiger</t>
  </si>
  <si>
    <t>Microsoft Office 2019 de A à Z</t>
  </si>
  <si>
    <t>Apprendre les Macros et le langage VBA avec Excel</t>
  </si>
  <si>
    <t>Microsoft Teams 2020</t>
  </si>
  <si>
    <t>Microsoft Teams Komplettkurs - Vom Einsteiger zum Profi</t>
  </si>
  <si>
    <t>Basics of Material selection for mechanical design engineers</t>
  </si>
  <si>
    <t>Salesforce Certification - Sales Cloud Consultant</t>
  </si>
  <si>
    <t>Salesforce Sales Cloud Consultant Certification Course</t>
  </si>
  <si>
    <t>Travel Management Course (Skill-Based)</t>
  </si>
  <si>
    <t>Docker and Kubernetes: The Complete Reference</t>
  </si>
  <si>
    <t>Docker and Kubernetes: The Complete Guide</t>
  </si>
  <si>
    <t>SAP S/4HANA Supply Chain Management Fundamentals</t>
  </si>
  <si>
    <t>CATIA V5 BASIC TO EXPERT IN INTERIOR &amp; EXTERIOR</t>
  </si>
  <si>
    <t>Catia V5 Beginner to Advanced - Automotive and Industrial</t>
  </si>
  <si>
    <t>GCP | Professional Cloud Architect | Practice Exams | MAR 21</t>
  </si>
  <si>
    <t>Bootcamp de Redacción Publicitaria (Copywriting Course)</t>
  </si>
  <si>
    <t>Copywriting Pro - Genera más clicks y más ventas</t>
  </si>
  <si>
    <t>MICROSOFT POWER BI DA-100 Certification Exam: Practice Test</t>
  </si>
  <si>
    <t>Complete Game Asset Workflow - The Treasure Chest</t>
  </si>
  <si>
    <t>Game Design</t>
  </si>
  <si>
    <t>Learn Professional 2D Game Asset Graphic Design in Photoshop</t>
  </si>
  <si>
    <t>Surviving Digital Forensics: Windows Shellbags</t>
  </si>
  <si>
    <t>Intermediate Computer Forensics</t>
  </si>
  <si>
    <t>Applied Petroleum Reservoir Engineering</t>
  </si>
  <si>
    <t>Certified Management Accountant's 2021 Exam #1 Prep.</t>
  </si>
  <si>
    <t>Advanced Accounting A Complete Study for CA/CMA/CFA/ACCA/CS</t>
  </si>
  <si>
    <t>Spring Core Advanced - Beyond the Basics</t>
  </si>
  <si>
    <t>Spring Framework In Easy Steps</t>
  </si>
  <si>
    <t>CURSO PROFESIONAL DE JAVA ORIENTADO A OBJETOS</t>
  </si>
  <si>
    <t>Tableau for R Users - Explore Tableau and Embed R Code</t>
  </si>
  <si>
    <t>48 Charts in Tableau 2020 -  Basic to Intermediate</t>
  </si>
  <si>
    <t>Develop Your First App in an Hour</t>
  </si>
  <si>
    <t>SAP ABAP Objects Komplettkurs für Praktiker</t>
  </si>
  <si>
    <t>SAP ABAP Programmierung auf einen Blick</t>
  </si>
  <si>
    <t>SAP DeepDive - SD Orders - Backorder using SAP Best Practice</t>
  </si>
  <si>
    <t>Learn Microsoft SQL Server 2016 Best Practices for VLDB</t>
  </si>
  <si>
    <t>Microsoft SQL Server Reporting Services (SSRS)</t>
  </si>
  <si>
    <t>Dynamic 2D video game character animation with free tools</t>
  </si>
  <si>
    <t>Data Science, Apache Spark &amp; Python: Analysiere echte Daten!</t>
  </si>
  <si>
    <t>Spark und Python für Big Data und Data Science mit PySpark</t>
  </si>
  <si>
    <t>CCNA 200-301 IP Addressing and Subnetting - Exam Prep</t>
  </si>
  <si>
    <t>Step by Step Branding and Customizing Search in SharePoint</t>
  </si>
  <si>
    <t>Divi: WordPress Theme Grundlagen</t>
  </si>
  <si>
    <t>Divi Masterclass: Website erstellen mit WordPress Theme Divi</t>
  </si>
  <si>
    <t>TensorFlow 101: Introduction to Deep Learning</t>
  </si>
  <si>
    <t>TensorFlow Developer Certificate in 2022: Zero to Mastery</t>
  </si>
  <si>
    <t>Curso para iniciar en YouTube y generar ingresos</t>
  </si>
  <si>
    <t>Video &amp; Mobile Marketing</t>
  </si>
  <si>
    <t>Máster en Marketing Digital - Posiciona tu negocio en la web</t>
  </si>
  <si>
    <t>Excel para la Gestión de Recursos Humanos</t>
  </si>
  <si>
    <t>Microsoft Excel - Fórmulas y Funciones Avanzadas en Excel</t>
  </si>
  <si>
    <t>MacOS Apps for iOS Developers</t>
  </si>
  <si>
    <t>ADSENSE ARBITRAGE:  ADSENSE TRAFFIC ARBITRAGE</t>
  </si>
  <si>
    <t>Learn Backup &amp; Restore with CommVault,Get a High paying JOB</t>
  </si>
  <si>
    <t>EE1C01 - Electronics Engineering Bootcamp</t>
  </si>
  <si>
    <t>The Complete Guide to Designing a Mobile App</t>
  </si>
  <si>
    <t>ANSYS ICEMCFD Hexa Basic course  (Part 1)</t>
  </si>
  <si>
    <t>Learn the Newest and EASIEST React Native Stack</t>
  </si>
  <si>
    <t>The complete React Native course ( 2021 edition )</t>
  </si>
  <si>
    <t>Linux Kernel Development Model and Compilation</t>
  </si>
  <si>
    <t>Complete Linux Training Course to Get Your Dream IT Job 2021</t>
  </si>
  <si>
    <t>Exam MS-700: Managing Microsoft Teams Questions &amp; Answers</t>
  </si>
  <si>
    <t>Mindset Finanzen: GRAFISCHES Coaching (Kursbeschreibung!!)</t>
  </si>
  <si>
    <t>Complete AWS EKS MasterClass (best practices) in 2021</t>
  </si>
  <si>
    <t>Zbrush Power Workshops (deutsch)</t>
  </si>
  <si>
    <t>AZ-900 - Cloud Microsoft Azure - Fondamentaux (2021)</t>
  </si>
  <si>
    <t>Experto en Firebase para Android + MVP Curso Completo +30hrs</t>
  </si>
  <si>
    <t>Structural Engineering Abaqus Tutorials</t>
  </si>
  <si>
    <t>Ansys Tutorial</t>
  </si>
  <si>
    <t>ArcGIS Level 1: GIS &amp; ArcMap, ArcCatalog, ArcGlobe, ArcScene</t>
  </si>
  <si>
    <t>GMO I Gestão de Mudanças I Change Management para Resultados</t>
  </si>
  <si>
    <t>Cisco AppDynamics Application Performance Management (APM)</t>
  </si>
  <si>
    <t>New Relic APM: Application Performance Management for DevOps</t>
  </si>
  <si>
    <t>IT &amp; Technical Support Guide to Helpdesk, Desktop &amp; Servers</t>
  </si>
  <si>
    <t>IT Help Desk Professional</t>
  </si>
  <si>
    <t>Automating Enterprise Infrastructure - Terraform and Packer</t>
  </si>
  <si>
    <t>Learn DevOps: Infrastructure Automation With Terraform</t>
  </si>
  <si>
    <t>PHP: The Complete PHP MVC Course</t>
  </si>
  <si>
    <t>The Ultimate Guide to Real World Applications with Unity</t>
  </si>
  <si>
    <t>Certified Kubernetes Security Specialist (CKS)</t>
  </si>
  <si>
    <t>Train and Deploy Tensorflow models using Google AI Platform</t>
  </si>
  <si>
    <t>Ultimate ServiceNow Security Operations Course</t>
  </si>
  <si>
    <t>Advanced UiPath Course- 5 Real time Projects by Amit &amp; Minal</t>
  </si>
  <si>
    <t>Practice Exams | Microsoft Azure Exam AZ-220 IoT Developer</t>
  </si>
  <si>
    <t>Audio Engineering: Mixing with Studio One</t>
  </si>
  <si>
    <t>audio engineering: EQ and Compression for beginners</t>
  </si>
  <si>
    <t>GMAT Data Sufficiency : The ULTIMATE GUIDE</t>
  </si>
  <si>
    <t>Dominate GMAT Verbal - Comprehensive GMAT Verbal Prep Course</t>
  </si>
  <si>
    <t>Adobe CS6 New Features</t>
  </si>
  <si>
    <t>Learn the Fundamentals of Adobe Edge Animate</t>
  </si>
  <si>
    <t>Awesome Electronics Course. Electronics from Soup to Nuts</t>
  </si>
  <si>
    <t>The Complete Basic Electricity &amp; Electronics Course</t>
  </si>
  <si>
    <t>Electronics - for Complete Beginners</t>
  </si>
  <si>
    <t>Logistics for Management Consultants - a practical guide</t>
  </si>
  <si>
    <t>Management Consulting Essential Training</t>
  </si>
  <si>
    <t>Management Consulting Project – Behind the Scenes</t>
  </si>
  <si>
    <t>Two popular tools -Easily Learn to work with Redis,Vagrant</t>
  </si>
  <si>
    <t>SAP ABAP in BW: Core ABAP Training</t>
  </si>
  <si>
    <t>SAP ABAP Programming For Beginners - Online Training</t>
  </si>
  <si>
    <t>SAP ABAP Training - in Plain English</t>
  </si>
  <si>
    <t>Shark Accounting - Building a Business by the Numbers!</t>
  </si>
  <si>
    <t>Accounting &amp; Financial Statement Analysis: Complete Training</t>
  </si>
  <si>
    <t>Accounting: From Beginner to Advanced!</t>
  </si>
  <si>
    <t>Effective use of Excel 2013 in real life</t>
  </si>
  <si>
    <t>Microsoft Excel - Excel from Beginner to Advanced</t>
  </si>
  <si>
    <t>Microsoft Excel - From Beginner to Expert in 6 Hours</t>
  </si>
  <si>
    <t>Learn what's new in PHP 7</t>
  </si>
  <si>
    <t>PHP for Beginners - Become a PHP Master - CMS Project</t>
  </si>
  <si>
    <t>PHP for Beginners</t>
  </si>
  <si>
    <t>Essentials of Developing Windows Store Apps Using C#</t>
  </si>
  <si>
    <t>Easy C# with Windows Forms +70 Projects for Beginners to Pro</t>
  </si>
  <si>
    <t>3D Game Development with Blender</t>
  </si>
  <si>
    <t>Blender Character Creator v2.0 for Video Games Design</t>
  </si>
  <si>
    <t>Master Full-Stack Web Development | Node, SQL, React, &amp; More</t>
  </si>
  <si>
    <t>Difficult Conversations at Work Made Easier</t>
  </si>
  <si>
    <t>Difficult Conversations: Master Difficult Conversations</t>
  </si>
  <si>
    <t>Facebook Ads Profit Bootcamp: Covert Ads into Sales!</t>
  </si>
  <si>
    <t>Paid Advertising</t>
  </si>
  <si>
    <t>10 Facebook Ads Strategies That Make Me 6-Figures</t>
  </si>
  <si>
    <t>Learn Bootstrap 4 by Example</t>
  </si>
  <si>
    <t>Bootstrap 4 From Scratch With 5 Projects</t>
  </si>
  <si>
    <t>The Bootstrap 4 Bootcamp</t>
  </si>
  <si>
    <t>Introduction to Microsoft Project 2010</t>
  </si>
  <si>
    <t>Unity Shaders con CG/HLSL y Shader Graph | Nivel Intermedio</t>
  </si>
  <si>
    <t>Finanzas Personales para Principiantes</t>
  </si>
  <si>
    <t>Curso de Finanzas Personales</t>
  </si>
  <si>
    <t>Curso Completo de Finanzas Personales para No Expertos</t>
  </si>
  <si>
    <t>Criando uma planilha de controle financeiro empresarial</t>
  </si>
  <si>
    <t>Google Ads - Curso Completo Desde lo Básico Hasta Avanzado</t>
  </si>
  <si>
    <t>サイバーセキュリティ～ハッキングと防御 ビギナー編</t>
  </si>
  <si>
    <t>今からでも基礎から学べるPythonによる自然言語処理（NLP）：現役データサイエンティストが教える「日本語」文書分類</t>
  </si>
  <si>
    <t>Informatica per principianti</t>
  </si>
  <si>
    <t>A Comprehensive Guide to Safeguarding Children</t>
  </si>
  <si>
    <t>Safeguarding Children Level One</t>
  </si>
  <si>
    <t>EN</t>
  </si>
  <si>
    <t>Programming Design Patterns For Unity - Write Better Code</t>
  </si>
  <si>
    <t>1080376</t>
  </si>
  <si>
    <t>Life Coaching Certification Course (Beginner to Advanced)</t>
  </si>
  <si>
    <t xml:space="preserve">100% Official Certified CBT Practitioner - IGCBT™ Certified </t>
  </si>
  <si>
    <t>1091520</t>
  </si>
  <si>
    <t>Cognitive Behavioural Therapy (CBT) Practitioner Certificate</t>
  </si>
  <si>
    <t>Mindfulness Teacher Training Certificate</t>
  </si>
  <si>
    <t>1141368</t>
  </si>
  <si>
    <t>Mindfulness Certificate Course (Level I, II, III and Master)</t>
  </si>
  <si>
    <t>1328588</t>
  </si>
  <si>
    <t>The NLP Confidence &amp; Self Esteem Breakthrough Programme</t>
  </si>
  <si>
    <t>1336870</t>
  </si>
  <si>
    <t>NLP Master Practitioner Certificate (Advanced to Specialist)</t>
  </si>
  <si>
    <t>1336872</t>
  </si>
  <si>
    <t>NLP Practitioner Certification Course (Beginner to Advanced)</t>
  </si>
  <si>
    <t xml:space="preserve">Creating a Meaningful Life &amp; Developing Habits of Happiness               </t>
  </si>
  <si>
    <t>184136</t>
  </si>
  <si>
    <t>Clarity: A Complete Blueprint For Getting 'Unstuck' in Life</t>
  </si>
  <si>
    <t>Confidence Blueprint: Develop Confidence &amp; a Growth Mindset</t>
  </si>
  <si>
    <t>184138</t>
  </si>
  <si>
    <t>Unshakable Confidence: Become 100% Secure in Who You Are</t>
  </si>
  <si>
    <t>1870492</t>
  </si>
  <si>
    <t>The Skilled Helper Training Course (with Gerard Egan Ph.D.)</t>
  </si>
  <si>
    <t xml:space="preserve">Intro to Entrepreneurship: Get started as an Entrepreneur	</t>
  </si>
  <si>
    <t>2953690</t>
  </si>
  <si>
    <t>The Business, Innovation and Entrepreneurship Masterclass</t>
  </si>
  <si>
    <t xml:space="preserve">Goal Setting Mastery Course	</t>
  </si>
  <si>
    <t>433024</t>
  </si>
  <si>
    <t>Goal Setting Success: A Complete Blueprint for Life Planning</t>
  </si>
  <si>
    <t xml:space="preserve">How I Overcame Social Anxiety, Grew Confidence &amp; Self-Esteem	</t>
  </si>
  <si>
    <t>592896</t>
  </si>
  <si>
    <t>Depression Breakthrough: How To End The Cycle of Depression</t>
  </si>
  <si>
    <t>Smart Tips: Communication</t>
  </si>
  <si>
    <t>Influence: Communication Skills for Management &amp; Leadership</t>
  </si>
  <si>
    <t>Time Management Mastery: Do More, Stress Less</t>
  </si>
  <si>
    <t xml:space="preserve">
Productivity Masterclass: A Guide To Personal Effectiveness</t>
  </si>
  <si>
    <t>Diploma in Modern Applied Psychology (DMAP.)</t>
  </si>
  <si>
    <t>تعلم الفوتوشوب من الصفر</t>
  </si>
  <si>
    <t>تعلم الهكر الأخلاقي من الصفر</t>
  </si>
  <si>
    <t>SalesForce на русском</t>
  </si>
  <si>
    <t>Концентрированный SMM</t>
  </si>
  <si>
    <t>Ораторское мастерство и эффективные коммуникации. Лекции</t>
  </si>
  <si>
    <t>React + Redux 2020, с нуля до про</t>
  </si>
  <si>
    <t>After Effects "ОТ НОВИЧКА ДО ЭКСПЕРТА" за 2 месяца</t>
  </si>
  <si>
    <t>Проектный менеджмент - Управление проектами в сфере IT</t>
  </si>
  <si>
    <t>git. Управление версиями для разработчиков</t>
  </si>
  <si>
    <t>Excel: Создание Эффектных и Профессиональных Дашбордов</t>
  </si>
  <si>
    <t>Практический курс по созданию iOS приложения на swif 22 часа</t>
  </si>
  <si>
    <t>Python: Быстрый старт</t>
  </si>
  <si>
    <t>Stress Management: 40+ easy ways to deal with stress</t>
  </si>
  <si>
    <t>Stress Management</t>
  </si>
  <si>
    <t>The Complete Mindfulness Course - Enjoy Life In the Present</t>
  </si>
  <si>
    <t>Manage Workplace Stress &amp; Strike a Balance</t>
  </si>
  <si>
    <t>UX Design Masterclass by Erick</t>
  </si>
  <si>
    <t>AWS S3, IAM, EC2, Lambda i DynamoDb - podstawy AWS 2022</t>
  </si>
  <si>
    <t>Photoshop Dla Fotografów - Od Zera do Profesjonalisty!</t>
  </si>
  <si>
    <t>Lean - Mapowanie Strumienia Wartości - szkolenie z ekspertem</t>
  </si>
  <si>
    <t>Zwycięska Sprzedaż</t>
  </si>
  <si>
    <t>Trening Mentalny -jak się podnieść, otrzepać i iść do przodu</t>
  </si>
  <si>
    <t>Kurs Microsoft Project 2016 - od Podstaw do Eksperta</t>
  </si>
  <si>
    <t>MySQL MariaDB From Scratch - Become an App Developer in 2021</t>
  </si>
  <si>
    <t>Emotionale Intelligenz - Wie man gute Entscheidungen trifft</t>
  </si>
  <si>
    <t>Distribution Power Engineering Fundamentals</t>
  </si>
  <si>
    <t>Fraud Analytics using R &amp; Microsoft Excel</t>
  </si>
  <si>
    <t>Aprende Xamarin Forms y desarrolla apps para Android y IOS</t>
  </si>
  <si>
    <t>Scrum Product Owner: Simulador &amp; Material de Estudio</t>
  </si>
  <si>
    <t>IT Cert</t>
  </si>
  <si>
    <t>Real-Time Data Stream Processing In Azure</t>
  </si>
  <si>
    <t xml:space="preserve">Azure Data Factory V2:Premium Hands on Practical Course 2021
</t>
  </si>
  <si>
    <t xml:space="preserve">Enable your learning agility
</t>
  </si>
  <si>
    <t>Game Devs Unleash Artificial Intelligence: Flocking Agents</t>
  </si>
  <si>
    <t>PHP with PDO - ULTIMATE Crash Course</t>
  </si>
  <si>
    <t>Aprende a crea tus propias apps para Android N desde cero</t>
  </si>
  <si>
    <t>How to Create Video Tutorials and Perform on Camera</t>
  </si>
  <si>
    <t>Python-Entwicklung für Einsteiger</t>
  </si>
  <si>
    <t xml:space="preserve">Beginner's Guide to Elm Programming. Build Web Apps!
</t>
  </si>
  <si>
    <t>Artificial Intelligence III - Deep Learning in Java</t>
  </si>
  <si>
    <t>YOUTUBE : 21 hacks pour avoir plus de vues</t>
  </si>
  <si>
    <t>ISTQB Foundation level certification training +1500 quiz</t>
  </si>
  <si>
    <t>Flutter e Dart - Curso Completo de Criação de Apps</t>
  </si>
  <si>
    <t>Exzellenter Kundenservice - Begeistern Sie Ihre Kunden!</t>
  </si>
  <si>
    <t>Customer Service</t>
  </si>
  <si>
    <t>Administração de redes - Linux 101 v2</t>
  </si>
  <si>
    <t>Fundamentos &amp; Sistema Dashboard de Seguimiento de Proyectos</t>
  </si>
  <si>
    <t>Windows 2019 - Aprendizado Definitivo</t>
  </si>
  <si>
    <t>Service clients, le guide complet pour des clients heureux</t>
  </si>
  <si>
    <t>[A-Z] Google Data Studio crea reportes, informes y dashboard</t>
  </si>
  <si>
    <t>Business Intelligence</t>
  </si>
  <si>
    <t>Getting Started with Embedded AI | Edge AI</t>
  </si>
  <si>
    <t>Cisco OSPF Practical Labs 2020- Basic to Advanced</t>
  </si>
  <si>
    <t>Amazon Cognito: The Complete Introduction (2019)</t>
  </si>
  <si>
    <t>[Official] Rasa Certification Workshop</t>
  </si>
  <si>
    <t xml:space="preserve">Rasa Advanced Deployment Workshop	</t>
  </si>
  <si>
    <t>SAP Vendor Invoice Management(VIM) by OpenText</t>
  </si>
  <si>
    <t>Neuroplasticity: Rewire Your Brain With Dr. Cliff Saunders</t>
  </si>
  <si>
    <t>Chef Fundamentals: A Recipe for Automating Infrastructure</t>
  </si>
  <si>
    <t>Android Architecture Components - основа надёжных приложений</t>
  </si>
  <si>
    <t>Vision Creation Practitioner Certificate [Accredited]</t>
  </si>
  <si>
    <t>Certified Resilience Practitioner: Psychology: [Accredited]</t>
  </si>
  <si>
    <t>TOTAL: CompTIA Security+ Cert. (SY0-501) Practice Tests.</t>
  </si>
  <si>
    <t>Certified Cloud Financial Operations (FinOps) Practitioner</t>
  </si>
  <si>
    <t>AWS Cost Management Tools (Cost Explorer) Crash Course</t>
  </si>
  <si>
    <t>Azure Deep Dive: Complete Cost Management Course</t>
  </si>
  <si>
    <t>Practice PMP Exam Questions: 3 Full PMP Exams, Jan 2021</t>
  </si>
  <si>
    <t>Project Management Fundamentals</t>
  </si>
  <si>
    <t>The Complete PEGA Senior Architect Course - 8.5 Updated</t>
  </si>
  <si>
    <t>Informatica Master Data Management ( Informatica MDM )</t>
  </si>
  <si>
    <t>Informatica Master Data Management Concepts (MDM)</t>
  </si>
  <si>
    <t>Real Exam Prep SC-200: Microsoft Security Operations Analyst</t>
  </si>
  <si>
    <t>SC-200: Microsoft Security Operations Analyst</t>
  </si>
  <si>
    <t xml:space="preserve">SC-200 Microsoft Security Operations Analyst
</t>
  </si>
  <si>
    <t>Medical Imaging, 3D Modelling and 3D Printing - Beginners</t>
  </si>
  <si>
    <t>Behavioral Economics &amp; Consumer Psychology in Marketing</t>
  </si>
  <si>
    <t>Oracle Fusion Smart View / Financial Reporting Studio / OTBI</t>
  </si>
  <si>
    <t>Curso de Day Trade Avançado no Mini Índice</t>
  </si>
  <si>
    <t>Day Trade e Swing Trade com Análise Técnica</t>
  </si>
  <si>
    <t>Day Trading</t>
  </si>
  <si>
    <t>Blender 3D Complete Volume One</t>
  </si>
  <si>
    <t>Complete Blender Creator: Learn 3D Modelling for Beginners</t>
  </si>
  <si>
    <t>Docker: Compreendendo e utilizando !</t>
  </si>
  <si>
    <t>Docker: Ferramenta essencial para Desenvolvedores</t>
  </si>
  <si>
    <t>Mobile Product Design: From Napkin to Launch</t>
  </si>
  <si>
    <t>Adobe Photoshop CC: Der große Webdesign-Praxis Kurs!</t>
  </si>
  <si>
    <t>Adobe Photoshop CC Masterclass — Vom Einsteiger zum Profi</t>
  </si>
  <si>
    <t>Curso Android UI - Mejora la Interfaz de Usuario de tus Apps</t>
  </si>
  <si>
    <t>Curso de MySQL para iniciantes - com módulo avançado!</t>
  </si>
  <si>
    <t>MySQL - Guia para iniciantes do zero (Curso Rápido)</t>
  </si>
  <si>
    <t>Do Waterfall ao Scrum: Acerte na Mudança do Modelo de Gestão</t>
  </si>
  <si>
    <t>Certificação Scrum Product Owner: Preparatório COMPLETO</t>
  </si>
  <si>
    <t>Java Network Programming - TCP/IP Socket Programming</t>
  </si>
  <si>
    <t>UI Automation with Serenity BDD (Selenium, Cucumber, Junit)</t>
  </si>
  <si>
    <t>REST API Automation:REST Assured,Serenity BDD Framework</t>
  </si>
  <si>
    <t>Learn PHP Symfony Hands-On Creating Real World Application</t>
  </si>
  <si>
    <t>Symfony API Platform with React Full Stack Masterclass</t>
  </si>
  <si>
    <t>Python Digital Image Processing From Ground Up™</t>
  </si>
  <si>
    <t>Splunk Hands-on - The Complete Data Analytics using Splunk</t>
  </si>
  <si>
    <t>Splunk 2021 - Beginner to Architect</t>
  </si>
  <si>
    <t>The Complete Splunk Enterprise Certified Admin Course 2021</t>
  </si>
  <si>
    <t>MobX In Depth With React(Hooks+TypeScript)</t>
  </si>
  <si>
    <t>Complete guide to building an app with .Net Core and React</t>
  </si>
  <si>
    <t>Lithium Ion Batteries-Fundamentals and Applications</t>
  </si>
  <si>
    <t>Créez des animations javascript avec l'HTML Canvas</t>
  </si>
  <si>
    <t>Apprendre le HTML5 et CSS3 | Débutant à Expert Guide complet</t>
  </si>
  <si>
    <t>HTML5 et CSS3 : la formation ULTIME</t>
  </si>
  <si>
    <t>SAP - C_CPE_12 Certification - Practice Questions</t>
  </si>
  <si>
    <t>SAP - C_CPI_13 Certification - Practice Questions</t>
  </si>
  <si>
    <t>SAP CPI: Overview of SAP Cloud Platform Integration</t>
  </si>
  <si>
    <t>SAP - C_ACTIVATE12 Certification - Practice Questions</t>
  </si>
  <si>
    <t>SAP ACTIVATE Project Manager Masterclass (on C_ACTIVATE13)</t>
  </si>
  <si>
    <t>China 101: All you need to succeed in the Middle Kingdom</t>
  </si>
  <si>
    <t>[最短合格]AWS認定 クラウドプラクティショナー(CLF-C01)演習テスト厳選200問 2021年版</t>
  </si>
  <si>
    <t>Digital Strategy Formulation: Become a Strategy Consultant</t>
  </si>
  <si>
    <t>Estrategia de Negocio : Conviértete en Consultor Estratégico</t>
  </si>
  <si>
    <t>Estrategia de Ventas B2B : Conviértete en un Vendedor Top</t>
  </si>
  <si>
    <t>GDPR - A 3-Step Process for applying GDPR +Tools +Templates™</t>
  </si>
  <si>
    <t>Java Certification SE 1Z0-808 Masterclass + Practice Exams™</t>
  </si>
  <si>
    <t>Java MTA - Introduction to Programming Using Java 98-388</t>
  </si>
  <si>
    <t>MCSD 70-483 C# Preparation Course + 2 Full Practice Exams</t>
  </si>
  <si>
    <t>[2021] Gestiona tu Proyecto Scrum con Jira Agile</t>
  </si>
  <si>
    <t xml:space="preserve">Domina SCRUM con JIRA - Metodología Agile [2021]	</t>
  </si>
  <si>
    <t>[2021] SCRUM Práctico en Proyectos de Software</t>
  </si>
  <si>
    <t xml:space="preserve">Especialización en Gestión de Proyectos [2021]	</t>
  </si>
  <si>
    <t>Implementa una Mesa de Ayuda con Jira Service Management</t>
  </si>
  <si>
    <t>AZ-304 : Microsoft Azure Architect Design Practice Tests</t>
  </si>
  <si>
    <t xml:space="preserve">AZ-304 Microsoft Azure Architect Design Certification 2021	</t>
  </si>
  <si>
    <t xml:space="preserve">AZ-304 Azure Architect Design Exam Prep 2021	</t>
  </si>
  <si>
    <t>Automation Anywhere Advanced RPA Professional - Mock Test</t>
  </si>
  <si>
    <t>UiPath Certified RPA Developer - Mock Test</t>
  </si>
  <si>
    <t>HR Analytics - Analytics in Talent Management</t>
  </si>
  <si>
    <t>Advanced Excel for HR Managers | Automation &amp; Analytics</t>
  </si>
  <si>
    <t>Risk Management for PMI Certification</t>
  </si>
  <si>
    <t>PMP Exam Prep Seminar - PMBOK Guide 6 includes 35 PDUs</t>
  </si>
  <si>
    <t>PMP Exam Prep Project Management Professional Certification</t>
  </si>
  <si>
    <t>Effective Problem-solving and Decision-making under Pressure</t>
  </si>
  <si>
    <t>Master your Decision-Making, and Critical Thinking Skills !</t>
  </si>
  <si>
    <t>Critical Thinking Strategies For Better Decisions</t>
  </si>
  <si>
    <t>Operations and Supply Chain Management</t>
  </si>
  <si>
    <t>Supply Chain Fundamentals: Understanding the Basics</t>
  </si>
  <si>
    <t>Supply Chain: Inventory Control &amp; Safety Stock Calculation</t>
  </si>
  <si>
    <t>PMI-ACP Certification: Initiation and Requirements Gathering</t>
  </si>
  <si>
    <t>PMI-ACP Agile Certified Exam Prep - PMI REP 21 PDUs</t>
  </si>
  <si>
    <t>PMI-ACP Exam Prep for PMBOK 6</t>
  </si>
  <si>
    <t>The Agile Certified Practitioner Training Program (PMI-ACP)</t>
  </si>
  <si>
    <t>The Operations Management Training Program</t>
  </si>
  <si>
    <t>Operations Management A-Z: Business Processes and Systems</t>
  </si>
  <si>
    <t>Lean Manufacturing A-Z: Lean Operations Management</t>
  </si>
  <si>
    <t>Risk Management for Project Professionals (PMBOK6 Updated)</t>
  </si>
  <si>
    <t>Performance Under Pressure - The Full Course</t>
  </si>
  <si>
    <t>Consulting Approach to Problem Solving</t>
  </si>
  <si>
    <t>Modern Productivity — Superhuman Focus In A Distracted World</t>
  </si>
  <si>
    <t>Operations Management: Supply Chains, Products and Services</t>
  </si>
  <si>
    <t>Decision-Making for Business</t>
  </si>
  <si>
    <t>ADDIE: Training and Development Professionals' Guide</t>
  </si>
  <si>
    <t>Teach Anybody Anything: Reach Any Learner Anywhere</t>
  </si>
  <si>
    <t>High Performance Learning 2.0</t>
  </si>
  <si>
    <t>Performance Under Pressure - Taking Action</t>
  </si>
  <si>
    <t>Product and Service Management</t>
  </si>
  <si>
    <t>Product Management 101</t>
  </si>
  <si>
    <t>Advanced Product Management: Vision, Strategy &amp; Metrics</t>
  </si>
  <si>
    <t>5 Decision-Making Techniques for Success</t>
  </si>
  <si>
    <t>12 Steps Business Case Development</t>
  </si>
  <si>
    <t>The MBA Core Courses - With Real Business Case Studies</t>
  </si>
  <si>
    <t>Business Analysis: Developing Irresistible Business Cases</t>
  </si>
  <si>
    <t>Cisco SD-WAN Solutions (ENSDWI 300-415) Weekend Crash Course</t>
  </si>
  <si>
    <t>Cisco SD-WAN (Viptela) with Lab Access</t>
  </si>
  <si>
    <t>Aprenda Inglês com Conversas: Comunique-se Com Confiança!</t>
  </si>
  <si>
    <t>Aprenda Inglês Com Conversas: Mais Confiança Ao Falar Inglês</t>
  </si>
  <si>
    <t>Comprehensive Ruby on Rails</t>
  </si>
  <si>
    <t>The Complete Ruby on Rails Developer Course</t>
  </si>
  <si>
    <t>Object Process Methodology (OPM) for MBSE</t>
  </si>
  <si>
    <t>Intro To Dynamic Programming - Coding Interview Preparation</t>
  </si>
  <si>
    <t>Dynamic Programming - I</t>
  </si>
  <si>
    <t>Master the art of Dynamic Programming</t>
  </si>
  <si>
    <t>Website Traffic Without SEO: 3 Traffic Boosting Case Studies</t>
  </si>
  <si>
    <t>Ethical Hacking - RASTREAMENTO DE PESSOAS</t>
  </si>
  <si>
    <t>Python Ethical Hacking | Build a Keylogger in Python 3</t>
  </si>
  <si>
    <t>Learn Python &amp; Ethical Hacking From Scratch</t>
  </si>
  <si>
    <t>7 Scientifically Proven Steps to Increase Your Influence</t>
  </si>
  <si>
    <t>Communication Skills Machine: Master Persuasion &amp; Influence</t>
  </si>
  <si>
    <t>Influence People with Persuasion Psychology</t>
  </si>
  <si>
    <t>Build Real world application with Blazor (.NET Core 3.1)</t>
  </si>
  <si>
    <t>3692056</t>
  </si>
  <si>
    <t>[2021] HR Analytics Master Course with Excel and R | Ver 9.1</t>
  </si>
  <si>
    <t>HR Analytics Master Course with Excel, Python and R</t>
  </si>
  <si>
    <t>Veeam Backup and Replication Zero To Hero</t>
  </si>
  <si>
    <t>PRTG Network Performance Monitoring Course</t>
  </si>
  <si>
    <t>Solarwinds Network Performance Monitoring Course</t>
  </si>
  <si>
    <t>VMware vSphere 7 Foundation: install, configure, manage [v7]</t>
  </si>
  <si>
    <t>vSphere 7 Overview: Upgrade Demos, Changes, &amp; New Features</t>
  </si>
  <si>
    <t>AZ-103 / AZ-104 : Microsoft Azure Administrator Full Course</t>
  </si>
  <si>
    <t>AZ-104: Microsoft Azure Administrator - Full Course</t>
  </si>
  <si>
    <t>The Secrets of Body Language</t>
  </si>
  <si>
    <t>CONFIDENCE and SELF ESTEEM: Develop Confident Body Language</t>
  </si>
  <si>
    <t>Body Language to Help Your Business Career</t>
  </si>
  <si>
    <t>Body Language for Entrepreneurs</t>
  </si>
  <si>
    <t>The Complete Body Language for Business Course</t>
  </si>
  <si>
    <t>How to Be A Human Lie Detector</t>
  </si>
  <si>
    <t>Never be Lied to Again: Advanced Lie Detection Course</t>
  </si>
  <si>
    <t>Digital Body Language</t>
  </si>
  <si>
    <t>Supercharge Your Sales with Body Language</t>
  </si>
  <si>
    <t>CAPM® Certification Exam Preparation 2020</t>
  </si>
  <si>
    <t>CAPM Exam Prep Seminar - PMBOK Guide, Sixth Edition</t>
  </si>
  <si>
    <t>Project Management Certified Associate: CAPM Practice Tests</t>
  </si>
  <si>
    <t>Cert Prep: PMI Agile Certified Practitioner (PMI-ACP)®</t>
  </si>
  <si>
    <t>500+ American Slang | Spoken English Vocabulary Course</t>
  </si>
  <si>
    <t>English Speaking Course. Speak English Slang &amp; Idioms. ESL.</t>
  </si>
  <si>
    <t>Build Your Team Like a Pro: Partners and Employees</t>
  </si>
  <si>
    <t>Building Your Team: How to put together the perfect team</t>
  </si>
  <si>
    <t>Ubuntu Linux Server Troubleshooting</t>
  </si>
  <si>
    <t>The invention of the Euro - Robert Mundell</t>
  </si>
  <si>
    <t>Xamarin Android - A Master Guide to App Development in C#</t>
  </si>
  <si>
    <t>Xamarin Forms: Build Native Cross-platform Apps with C#</t>
  </si>
  <si>
    <t>The Complete Xamarin Developer Course: iOS And Android!</t>
  </si>
  <si>
    <t>Learning Autodesk® Revit® Architecture 2013</t>
  </si>
  <si>
    <t>The Complete Beginners Guide to Autodesk Revit Architecture</t>
  </si>
  <si>
    <t>Revit Architecture 2020-2021 From Zero to Hero</t>
  </si>
  <si>
    <t>Learning Autodesk® Maya® 2013</t>
  </si>
  <si>
    <t>Maya for Beginners: Complete Guide to 3D Animation in Maya</t>
  </si>
  <si>
    <t>Learn Maya - A Beginners guide to Creating Realistic Scenes</t>
  </si>
  <si>
    <t>Office 2013 For Dummies Video Training, Deluxe Edition</t>
  </si>
  <si>
    <t>MS Office 2013: 10-in-1 Courses To Maximize Productivity</t>
  </si>
  <si>
    <t>Statistical Analysis Excel 2013 Essentials</t>
  </si>
  <si>
    <t>Create Your Own DVR with Mythbuntu (Ubuntu + MythTV)</t>
  </si>
  <si>
    <t>やさしいフランス語</t>
  </si>
  <si>
    <t>Examen de nivelación de Matematicas</t>
  </si>
  <si>
    <t>ISTQB Advanced Level Test Automation Engineering Training</t>
  </si>
  <si>
    <t>Certified ISTQB Test Manager Advanced Level Exam (CTAL-TM)</t>
  </si>
  <si>
    <t>Software Testing: WEB, Mobile, API + 12 tools + ISTQB exam</t>
  </si>
  <si>
    <t>Guide complet du nouveau manager</t>
  </si>
  <si>
    <t>Devenir manager coach</t>
  </si>
  <si>
    <t>BIM Autodesk Revit Dynamo Player for Fast Modeling</t>
  </si>
  <si>
    <t>Xamarin iOS - A Master Guide to App Development in C#</t>
  </si>
  <si>
    <t>Xamarin iOS App in C# &amp; Firebase</t>
  </si>
  <si>
    <t>Python GUI - Build a Calculator with PyQt and Qml</t>
  </si>
  <si>
    <t>Python Tkinter Masterclass - Learn Python GUI Programming</t>
  </si>
  <si>
    <t>How To Become A SQL Server Cloud Architect on AWS</t>
  </si>
  <si>
    <t>Crash Course - Learn to Create a PHP MVC Framework</t>
  </si>
  <si>
    <t>Object Oriented PHP &amp; MVC</t>
  </si>
  <si>
    <t>Advanced framework development with Coded UI Test 2015/2017</t>
  </si>
  <si>
    <t>Chartanalyse für FOREX &amp; Kryptowährungen für Beginner</t>
  </si>
  <si>
    <t>Real World SQL Server From The Ground Up</t>
  </si>
  <si>
    <t>SQL for Beginners: Learn SQL using MySQL and Database Design</t>
  </si>
  <si>
    <t>El curso Profesional de WordPress más completo y actualizado</t>
  </si>
  <si>
    <t>WordPress - Curso Completo WordPress y Sitios Web</t>
  </si>
  <si>
    <t>GMAT® Math | Official Guide 2018</t>
  </si>
  <si>
    <t>GMAT® Math | Official Guide 2020</t>
  </si>
  <si>
    <t>Learn Adobe Dreamweaver CC - For Absolute Beginners</t>
  </si>
  <si>
    <t>Dreamweaver - Coding your first website using Dreamweaver</t>
  </si>
  <si>
    <t>Responsive Design HTML CSS Web design - Dreamweaver CC</t>
  </si>
  <si>
    <t>メディアリテラシー マスター講座</t>
  </si>
  <si>
    <t>Administering Microsoft SQL Server 2012 Databases - 70-462</t>
  </si>
  <si>
    <t>70-462: SQL Server Database Administration (DBA)</t>
  </si>
  <si>
    <t>Unit Testing AngularJS: Build Bugfree Apps That Always Work!</t>
  </si>
  <si>
    <t>Twitter Blueprint</t>
  </si>
  <si>
    <t>The Complete Twitter Marketing Bootcamp</t>
  </si>
  <si>
    <t>Talend Data Integration course Basics ,Advanced &amp; ADMIN</t>
  </si>
  <si>
    <t>Refactoring Java with IntelliJ IDEA</t>
  </si>
  <si>
    <t>Podcasting für Einsteiger - Ganz einfach zum ersten Podcast!</t>
  </si>
  <si>
    <t>Die Podcast-Masterclass: systematischer Podcasting-Einstieg</t>
  </si>
  <si>
    <t>Effective Debt Collection Strategies</t>
  </si>
  <si>
    <t>ITトレンド丸わかり ～デジタルトランスフォーメーション時代の必須知識～</t>
  </si>
  <si>
    <t>Programming in SAS for beginners</t>
  </si>
  <si>
    <t>SAS Programming - Learn SAS from Beginner to Advanced</t>
  </si>
  <si>
    <t>Bitfountain iOS Design Foundations</t>
  </si>
  <si>
    <t>Hyperledger Fabric and Composer - First Practical Blockchain</t>
  </si>
  <si>
    <t>Blockchain Development on Hyperledger Fabric using Composer</t>
  </si>
  <si>
    <t>Compass - powerful SASS library that makes your life easier</t>
  </si>
  <si>
    <t>The Complete Sass &amp; SCSS Course: From Beginner to Advanced</t>
  </si>
  <si>
    <t>Docker y DevOps: De novato a experto.</t>
  </si>
  <si>
    <t>Docker, de principiante a experto</t>
  </si>
  <si>
    <t>Get Started with MATLAB &amp; Simulink: An Intro for Beginners</t>
  </si>
  <si>
    <t>MATLAB/SIMULINK Bible|Go From Zero to Hero!</t>
  </si>
  <si>
    <t>Unity Game Development Using uScript</t>
  </si>
  <si>
    <t>Effective teamwork using SharePoint and Lync 2010</t>
  </si>
  <si>
    <t>Introduction to RF Design Theory and Principles - RAHRF201</t>
  </si>
  <si>
    <t>Bounce Back From Failure &amp; Turn Conflict into Collaboration</t>
  </si>
  <si>
    <t>Become a Master at Conflict Management at Home or Work</t>
  </si>
  <si>
    <t>The Ultimate Data Manipulation Course using SAS Programming</t>
  </si>
  <si>
    <t>SAS Programming Complete: Learn SAS and Become a Data Ninja</t>
  </si>
  <si>
    <t>Spring 入門 ～ SpringBoot 2 を使ってお問い合わせアプリとToDoアプリを作る ～</t>
  </si>
  <si>
    <t>Master the 5 Key Elements of Story</t>
  </si>
  <si>
    <t>Storytelling to Influence</t>
  </si>
  <si>
    <t>How to tell a story with data</t>
  </si>
  <si>
    <t>Practical Deep Learning with Keras and Python</t>
  </si>
  <si>
    <t>Deep Learning with Python and Keras</t>
  </si>
  <si>
    <t>JavaScriptの動作を論理的に解説！JavaScript中級者への道</t>
  </si>
  <si>
    <t>【JS】ガチで学びたい人のためのJavaScriptメカニズム</t>
  </si>
  <si>
    <t>The Business Building Email Formula to Launch Your Startup</t>
  </si>
  <si>
    <t>Content Marketing Masterclass: Create Content That Sells</t>
  </si>
  <si>
    <t>Desarrolla una plataforma de cursos Online con Laravel 5.6</t>
  </si>
  <si>
    <t>Desarrollo web en PHP con Laravel 5.6, VueJS y MariaDB Mysql</t>
  </si>
  <si>
    <t>Elixir and Phoenix: Real World Functional Programming</t>
  </si>
  <si>
    <t>The Complete Elixir and Phoenix Bootcamp</t>
  </si>
  <si>
    <t>Laravel Homestead</t>
  </si>
  <si>
    <t>PHP with Laravel for beginners - Become a Master in Laravel</t>
  </si>
  <si>
    <t>Restoring Deep Sleep to Enhance your Health</t>
  </si>
  <si>
    <t>Mindfulness for Anxiety and Sleep - with Tara Brach</t>
  </si>
  <si>
    <t>YOGA FOR INSOMNIA: 7 DAYS TO SLEEP LIKE A DREAM!</t>
  </si>
  <si>
    <t>RF Basic Concepts &amp; Components Radio Frequency- Entry Level</t>
  </si>
  <si>
    <t>Learn Federal Government Contracting From An Expert</t>
  </si>
  <si>
    <t>Feedback: Employee Engagement Certificate - New Leaders</t>
  </si>
  <si>
    <t>Giving and Receiving Feedback for Management and Leadership</t>
  </si>
  <si>
    <t>RF Design Architecture of Receiver Transmitter &amp; Transceiver</t>
  </si>
  <si>
    <t>Modulation in Communication System for RF Engineers RAHRF152</t>
  </si>
  <si>
    <t>Linux Tutorials and Projects (Free)</t>
  </si>
  <si>
    <t>Success in sales: Building your book of business</t>
  </si>
  <si>
    <t>SalesSchool: Sales Training for the Entrepreneurial Business</t>
  </si>
  <si>
    <t>Advanced Java programming with JavaFx: Write an email client</t>
  </si>
  <si>
    <t>Java Programming Masterclass for Software Developers</t>
  </si>
  <si>
    <t>So you think you know JavaScript?</t>
  </si>
  <si>
    <t>Advanced Javascript</t>
  </si>
  <si>
    <t>Facebook Ads - Ciblage Laser</t>
  </si>
  <si>
    <t>Publicité Google Ads &amp; Facebook Ads : le Guide Complet</t>
  </si>
  <si>
    <t>Branding: How to Brand Yourself and Your Business</t>
  </si>
  <si>
    <t>Business Branding With Personality: Build An Authentic Brand</t>
  </si>
  <si>
    <t>QuickBooks Pro 2013 Training the Easy Way</t>
  </si>
  <si>
    <t>QuickBooks Online 2021 &amp; 2020 Start to Finish</t>
  </si>
  <si>
    <t>Selling Sponsorships for Meetings, Events &amp; Nonprofits</t>
  </si>
  <si>
    <t>The Ultimate Guide in Becoming a SQL Server DBA</t>
  </si>
  <si>
    <t>How To Begin Your Career As a SQL Server DBA</t>
  </si>
  <si>
    <t>Presenting Financials with Excel and PowerPoint</t>
  </si>
  <si>
    <t>PLC Programming From Scratch (PLC I)</t>
  </si>
  <si>
    <t>From Wire to PLC , A Bootcamp In Industrial Automation</t>
  </si>
  <si>
    <t>Forex Trading with Pro Trader: Price Action Trading</t>
  </si>
  <si>
    <t>Candlestick Patterns to Master Forex Trading Price Action</t>
  </si>
  <si>
    <t>Terraform for AWS - Beginner to Expert 2020 (0.12)</t>
  </si>
  <si>
    <t>VPC Solutions with EC2 for Production: AWS with Terraform</t>
  </si>
  <si>
    <t>Microsoft Excel 2013 Beginners/Intermediate Training</t>
  </si>
  <si>
    <t>HashiCorp Certified: Terraform Associate Prep Course 2020</t>
  </si>
  <si>
    <t>Mastering Brushstrokes - Part 1</t>
  </si>
  <si>
    <t>Personal Branding: Deliver a Clear Elevator Pitch</t>
  </si>
  <si>
    <t>Personal Branding Masterclass: The Complete Branding Course</t>
  </si>
  <si>
    <t>Fundamentals of Programming: Understanding C#</t>
  </si>
  <si>
    <t>Complete C# Masterclass</t>
  </si>
  <si>
    <t>RF Microwave &amp; Transmission Line Theory - RAHRF200</t>
  </si>
  <si>
    <t>Linux Command Line - From Zero to Expert</t>
  </si>
  <si>
    <t>Linux Mastery: Master the Linux Command Line in 11.5 Hours</t>
  </si>
  <si>
    <t>Ultimate Kubernetes Fast-Track Beginner to Advanced</t>
  </si>
  <si>
    <t>How to Program Games: Tile Classics in JS for HTML5 Canvas</t>
  </si>
  <si>
    <t>Process Visualization with HMI / SCADA (PLC III)</t>
  </si>
  <si>
    <t>HMI Programming &amp; Design - FactoryTalk View ME SCADA PLC</t>
  </si>
  <si>
    <t>Foundations for Mastering Watercolor Painting</t>
  </si>
  <si>
    <t>BEST SELLER Beginners Watercolor. Get clear on the BASICS.</t>
  </si>
  <si>
    <t>Object Orientation in PHP</t>
  </si>
  <si>
    <t>3D Modeling Piped Systems in AutoCAD</t>
  </si>
  <si>
    <t>60 AutoCAD 2D &amp; 3D Drawings and Practical Projects</t>
  </si>
  <si>
    <t>The complete AutoCAD 2018-21 course</t>
  </si>
  <si>
    <t>Using Modern JavaScript Today</t>
  </si>
  <si>
    <t>The Modern JavaScript Bootcamp</t>
  </si>
  <si>
    <t>Adobe Muse CC Course - Design and Launch Websites</t>
  </si>
  <si>
    <t>8-Hour Yoga Alignment Course with Lesley Fightmaster</t>
  </si>
  <si>
    <t>15 Minutes x 15 Days Yoga Mobility Challenge</t>
  </si>
  <si>
    <t>Siemens TIA Portal Step 7 WinCC PLC HMI (PLC-S)</t>
  </si>
  <si>
    <t>Adobe Illustrator CS5 (Beginning, Intermediate, &amp; Advanced)</t>
  </si>
  <si>
    <t>Illustrator 2021 MasterClass</t>
  </si>
  <si>
    <t>Practical PLC Programming (PLC II)</t>
  </si>
  <si>
    <t>Mastering Brushstrokes - Part 2</t>
  </si>
  <si>
    <t>DevOps potencializa implantação de qualidade e agilidade</t>
  </si>
  <si>
    <t>Azure DevOps - Integração Contínua e Entrega Contínua</t>
  </si>
  <si>
    <t>Advanced Programming Paradigms (PLC IV)</t>
  </si>
  <si>
    <t>Convert HEX to Decimal in under 30 seconds!</t>
  </si>
  <si>
    <t>ボディランゲージの秘訣（日本語字幕版）</t>
  </si>
  <si>
    <t>SQL Básico - Intermedio ¡Añade valor a tu CV en 2 horas!</t>
  </si>
  <si>
    <t>SQL. Curso completo de SQL. Aprende desde cero. Comandos SQL</t>
  </si>
  <si>
    <t>Master SQL: De cero a experto en Bases de Datos</t>
  </si>
  <si>
    <t>Crowdfunding Startups and Nonprofits: 4 Keys to Success</t>
  </si>
  <si>
    <t>Körpersprache: Sehen, was Menschen nicht sagen</t>
  </si>
  <si>
    <t>Wirkungsfaktor Körpersprache - Zeichen sagen mehr als Worte</t>
  </si>
  <si>
    <t>Bank Reconciliation &amp; VAT on Excel</t>
  </si>
  <si>
    <t>【ダイヤモンド編集部が厳選、超基礎編！】あなたのチームの創造力を強くする 10のフレームワークと思考法</t>
  </si>
  <si>
    <t>Become Expert on Grafana Dashboard</t>
  </si>
  <si>
    <t>Grafana Master Course - Time Series Data Visualization</t>
  </si>
  <si>
    <t>Azure AZ-500 Security Technologies Practice Test (Oct 2020)</t>
  </si>
  <si>
    <t>LinkedIn Sales Navigator: LinkedIn's tool for B2B Sales</t>
  </si>
  <si>
    <t>Linkedin Marketing: B2B Sales &amp; Lead Generation From Scratch</t>
  </si>
  <si>
    <t>TIBCO Cloud Spotfire Data Visualization and Analytics</t>
  </si>
  <si>
    <t>CCNA and CCNP Real World Labs - Data Centers and Cabling</t>
  </si>
  <si>
    <t>CCNP Route -300-101</t>
  </si>
  <si>
    <t>Cisco CCNP Route (300-101): The Complete Course</t>
  </si>
  <si>
    <t>Cisco CCNP ROUTE Practice Tests</t>
  </si>
  <si>
    <t>Cisco CCNP Switch (300-115): The Complete Course</t>
  </si>
  <si>
    <t>CCNP Switch Verison 2.0 (300-115)</t>
  </si>
  <si>
    <t>BGP Mastery For The CCNP ROUTE And TSHOOT Exams</t>
  </si>
  <si>
    <t>Mastering BGP in Depth on Cisco Routers</t>
  </si>
  <si>
    <t>MPLS Fundamentals: Cisco CCNP &amp; Real World</t>
  </si>
  <si>
    <t>Free Cisco CCNA and CCNP Remote Labs! Free Cisco VIRL labs!</t>
  </si>
  <si>
    <t>Cisco CCNA Packet Tracer Ultimate labs: CCNA 200-301 labs</t>
  </si>
  <si>
    <t>Cisco CCNP T-Shoot (300-135): The Complete Course</t>
  </si>
  <si>
    <t>CINEMA 4D Unleashed - Master 3D Fundamentals</t>
  </si>
  <si>
    <t>Cinema 4D Masterclass: The Ultimate Guide for Beginners</t>
  </si>
  <si>
    <t>Learn Cinema 4D - Create Abstract 3D Design Elements</t>
  </si>
  <si>
    <t>Record Your Voice Like A Pro! The Complete Voice Over Course</t>
  </si>
  <si>
    <t>Voice-Over Training: Record And Edit Voice Overs Like A Pro</t>
  </si>
  <si>
    <t>Build 20 SpriteKit Games for iPad and build 15 Websites!</t>
  </si>
  <si>
    <t>Google Analytics for Marketing - Boost Sales &amp; Lower Costs</t>
  </si>
  <si>
    <t>Google Analytics Certification - Get Certified in Just 1 Day</t>
  </si>
  <si>
    <t>Google Analytics for Beginners | Hands-On Training Course</t>
  </si>
  <si>
    <t>正規表現講座</t>
  </si>
  <si>
    <t>Instagram Stories 2020: Um Guia Para Conquistar Clientes</t>
  </si>
  <si>
    <t>Curso Completo de Instagram Marketing</t>
  </si>
  <si>
    <t>Curso Instagram Marketing Completo - Do Básico ao Avançado.</t>
  </si>
  <si>
    <t>日本人のためのアメリカ英語発音矯正コース Chapter 1</t>
  </si>
  <si>
    <t>英語の発音レベルアップ：カタカナ英語をやめて、ネイティブのような発音に！</t>
  </si>
  <si>
    <t>Lean Six Sigma White Belt (CLSSWB)</t>
  </si>
  <si>
    <t>Cisco CCNA 200-301 - Practicas de configuracion en español</t>
  </si>
  <si>
    <t>Chapter 3 日本人のためのアメリカ英語の発音矯正コース</t>
  </si>
  <si>
    <t>日本人のためのアメリカ英語発音矯正コース Chapter 2</t>
  </si>
  <si>
    <t>Node.js速習講座 Part2</t>
  </si>
  <si>
    <t>Node.js + Express で作る Webアプリケーション 実践講座</t>
  </si>
  <si>
    <t>Sketching for Fashion Design -- Beginner Course</t>
  </si>
  <si>
    <t>ISO 27001: Curso completo para certificação EXIN ISFS!</t>
  </si>
  <si>
    <t>Natural Language Processing with Deep Learning in Python</t>
  </si>
  <si>
    <t>Qlik Sense Muito Mais que um Dashboard</t>
  </si>
  <si>
    <t>ISO 27001: Construindo Políticas de Segurança da Informação</t>
  </si>
  <si>
    <t>Cluster Analysis and Unsupervised Machine Learning in Python</t>
  </si>
  <si>
    <t>The Data Science Course 2021: Complete Data Science Bootcamp</t>
  </si>
  <si>
    <t>Cisco CCNP GNS3 Labs: Pass your CCNP exams with GNS3!</t>
  </si>
  <si>
    <t>Windows 8 For Dummies Video Training</t>
  </si>
  <si>
    <t>Microsoft Windows 8</t>
  </si>
  <si>
    <t>Make tech circles in Adobe Illustrator in 30 minutes</t>
  </si>
  <si>
    <t>Adobe Illustrator CC Mastery: Zero to Hero in Illustrator</t>
  </si>
  <si>
    <t>Learning AutoCAD® 2013</t>
  </si>
  <si>
    <t>SEO for Content Marketers: Boost Your Rank with Ahrefs</t>
  </si>
  <si>
    <t>Bob Davis' Professional Photography Lighting Techniques</t>
  </si>
  <si>
    <t>Photography Masterclass: A Complete Guide to Photography</t>
  </si>
  <si>
    <t>The Ultimate Beginner's Guide to Outdoor Photography - 2018</t>
  </si>
  <si>
    <t>Ruby on Rails 4.x - Curso Completo</t>
  </si>
  <si>
    <t>Ruby on Rails 5.x - Do início ao fim!</t>
  </si>
  <si>
    <t>ITIL 4 Foundation Course: Video Lectures + Full Length Tests</t>
  </si>
  <si>
    <t>ProfitProphet™ Swing Trading | Swing Trading Path to Profit</t>
  </si>
  <si>
    <t>Day Trading and Swing Trading Strategies For Stocks</t>
  </si>
  <si>
    <t>UAS/Drone Remote Pilot Test Prep for Part 107</t>
  </si>
  <si>
    <t>The complete JavaScript developer: MEAN stack zero-to-hero</t>
  </si>
  <si>
    <t>The Unity C# Survival Guide</t>
  </si>
  <si>
    <t>Complete C# Unity Game Developer 2D</t>
  </si>
  <si>
    <t>Complete C# Unity Game Developer 3D</t>
  </si>
  <si>
    <t>Oracle Integration Cloud (OIC) in Depth</t>
  </si>
  <si>
    <t>AI-900 : Microsoft Azure AI Fundamentals Real exam questions</t>
  </si>
  <si>
    <t>AI-900 Azure AI Fundamentals 5 practice tests</t>
  </si>
  <si>
    <t>AI-900 Azure AI Fundamentals Exam Prep In One Day - Jan 2021</t>
  </si>
  <si>
    <t>DP-900: Microsoft Azure Data Fundamentals Real exam question</t>
  </si>
  <si>
    <t>DP-900 Azure Data Fundamentals Exam Prep In One Day</t>
  </si>
  <si>
    <t>DP-900 Azure Data Fundamentals 5 practice tests</t>
  </si>
  <si>
    <t>1Z0-1042-20: Oracle Cloud Platform App Integration Dumps</t>
  </si>
  <si>
    <t>Aprende a vender el SISTEMA TDC</t>
  </si>
  <si>
    <t>WordPress Webseite mit dem Premium Theme Enfold aufbauen</t>
  </si>
  <si>
    <t>Wordpress Einfach &amp; Komplett: Erstelle deine eigene Website</t>
  </si>
  <si>
    <t>Adobe Animate CC 2018 - HTML5 Banner Ads</t>
  </si>
  <si>
    <t>Rigging and Recording in Adobe Character Animator</t>
  </si>
  <si>
    <t>Improve your English with TOEFL Speaking Success</t>
  </si>
  <si>
    <t>The Complete TOEFL iBT Success Course (NEW VERSION)</t>
  </si>
  <si>
    <t>Emergency Course for the TOEFL®: TOEFL Prep in Just 2 Days</t>
  </si>
  <si>
    <t>Snapchat Ads 101 - Build 4 Marketing Ad Campaigns</t>
  </si>
  <si>
    <t>Raspberry Pi für Einsteiger 2020 Edition (Mac+PC)</t>
  </si>
  <si>
    <t>SAP HANA Modeling &amp; Security On Free Cloud Server</t>
  </si>
  <si>
    <t>Spiele entwickeln mit Unity 3D- Erstelle eigene Games in C#</t>
  </si>
  <si>
    <t>Die komplette Unity &amp; C# Masterclass - Entwickle 5 Spiele</t>
  </si>
  <si>
    <t>HDPCD:Spark using Scala</t>
  </si>
  <si>
    <t>【コピペで簡単、すぐに動く！】ゼロから始める「Python」世界最速入門コース</t>
  </si>
  <si>
    <t>Phonegap &amp; Ludei - Build HTML5 CSS &amp; JS Apps</t>
  </si>
  <si>
    <t>Create Animated Explainer Videos - Complete Walkthrough</t>
  </si>
  <si>
    <t>How to Create Animated Videos with Powerpoint</t>
  </si>
  <si>
    <t>The Complete Video Production Bootcamp</t>
  </si>
  <si>
    <t>Microsoft Excel UserForms</t>
  </si>
  <si>
    <t>Excel Makros - Automatisiere Deine Excel Arbeit!</t>
  </si>
  <si>
    <t>In 8 Schritten zur erfolgreichen Facebook-Fanpage</t>
  </si>
  <si>
    <t>REST API for beginners - Retrofit and Android</t>
  </si>
  <si>
    <t>【エクセル・会計知識不要！】いきなりビジネスシュミレーション！ 会計／ファイナンスが本職の方は受講しないで下さい</t>
  </si>
  <si>
    <t>【 初心者から財務プロまで 】エクセルで学ぶビジネス・シミュレーション講座 マスターコース</t>
  </si>
  <si>
    <t>デザイン思考の先【アートシンキング（アート思考）入門講座】先行き不透明なVUCA時代をイノベーション創出で乗り越えろ！</t>
  </si>
  <si>
    <t>【情報セキュリティ基礎】ハッカーの視点から見るセキュリティ対策の必要性</t>
  </si>
  <si>
    <t>Laravel: Construindo APIs REST</t>
  </si>
  <si>
    <t>Laravel 5.8 Completo - O mais poderoso Framework PHP</t>
  </si>
  <si>
    <t>Criando REST API com Laravel 5.7</t>
  </si>
  <si>
    <t>Orientação a Objetos com PHP - Crie 5 Projetos Práticos</t>
  </si>
  <si>
    <t>C# COMPLETO Programação Orientada a Objetos + Projetos</t>
  </si>
  <si>
    <t>Filmen mit dem Smartphone</t>
  </si>
  <si>
    <t>Professionelle Video-Produktion mit Smartphone und Kamera</t>
  </si>
  <si>
    <t>L'essentiel du hacking éthique par la Pentest School</t>
  </si>
  <si>
    <t>Dynamo Player on Autodesk Revit for Quantity Takeoff</t>
  </si>
  <si>
    <t>Data Science: Supervised Machine Learning in Python</t>
  </si>
  <si>
    <t>Python for Data Science and Machine Learning Bootcamp</t>
  </si>
  <si>
    <t>Machine Learning A-Z™: Hands-On Python &amp; R In Data Science</t>
  </si>
  <si>
    <t>Unsupervised Deep Learning in Python</t>
  </si>
  <si>
    <t>Machine Learning, Data Science and Deep Learning with Python</t>
  </si>
  <si>
    <t>Ensemble Machine Learning in Python: Random Forest, AdaBoost</t>
  </si>
  <si>
    <t>Swift - TDD, Clean Architecture, Design Patterns, SOLID, MVP</t>
  </si>
  <si>
    <t>Desenvolvimento Android - Crie 13 apps completos e modernos</t>
  </si>
  <si>
    <t>ReactJS, Hooks, Recoil, TDD, Clean Architecture, SOLID</t>
  </si>
  <si>
    <t>Design de API's RestFul com Spring Boot, TDD e o novo JUnit5</t>
  </si>
  <si>
    <t>NodeJs, Typescript, TDD, DDD, Clean Architecture e SOLID</t>
  </si>
  <si>
    <t>Which ASP.NET Core</t>
  </si>
  <si>
    <t>Build an app with ASPNET Core and Angular from scratch</t>
  </si>
  <si>
    <t>Microservices Architecture and Implementation on .NET 5</t>
  </si>
  <si>
    <t>CSS Grid: o sistema definitivo de layouts</t>
  </si>
  <si>
    <t>Curso Web Design Completo: HTML5, CSS3 e JS + 5 Projetos</t>
  </si>
  <si>
    <t>CSS: um passo adiante</t>
  </si>
  <si>
    <t>Flexbox: o guia completo</t>
  </si>
  <si>
    <t>HTML5 e CSS3: Técnicas Avançadas (Com Flexbox e 5 Projetos)</t>
  </si>
  <si>
    <t>Desenvolvimento Web Completo 2021 - 20 cursos + 20 projetos</t>
  </si>
  <si>
    <t>Practical Ethical Hacking - The Complete Course</t>
  </si>
  <si>
    <t>Learn Ethical Hacking From Scratch</t>
  </si>
  <si>
    <t>The Complete Cyber Security Course : Hackers Exposed!</t>
  </si>
  <si>
    <t>Linux Privilege Escalation for Beginners</t>
  </si>
  <si>
    <t>Linux Privilege Escalation for OSCP &amp; Beyond!</t>
  </si>
  <si>
    <t>Kali Linux Tutorial For Beginners</t>
  </si>
  <si>
    <t>Windows Privilege Escalation for Beginners</t>
  </si>
  <si>
    <t>Windows Privilege Escalation for OSCP &amp; Beyond!</t>
  </si>
  <si>
    <t>Stored Procedures Unpacked: Learn to Code T-SQL Stored Procs</t>
  </si>
  <si>
    <t>Subquery Magic: Write awesome SQL, Master T-SQL Sub Queries</t>
  </si>
  <si>
    <t>Sales skills training: practical sales SKILLS CRAFT SYSTEM</t>
  </si>
  <si>
    <t>Sales Training: Practical Sales Techniques</t>
  </si>
  <si>
    <t>Sales Training – Everyone sells!</t>
  </si>
  <si>
    <t>Golang: Intro to REST API JWT auth with Go programming lang</t>
  </si>
  <si>
    <t>Web Authentication, Encryption, JWT, HMAC, &amp; OAuth With Go</t>
  </si>
  <si>
    <t>Advanced ASP.NET Core 3.1 MVC</t>
  </si>
  <si>
    <t>ASP.NET Core MVC - Up and Running Part 1 (.NET 5)</t>
  </si>
  <si>
    <t>ASP.NET Core MVC - Up and Running Part 2 (.NET 5)</t>
  </si>
  <si>
    <t>Office 365 Grundkurs</t>
  </si>
  <si>
    <t>Das ultimative Office 365 Kompendium für Einsteiger!</t>
  </si>
  <si>
    <t>Aufbau einer Testumgebung mit Windows Server 2019</t>
  </si>
  <si>
    <t>Cisco Routing und Switching Grundkurs</t>
  </si>
  <si>
    <t>Active Directory mit Windows PowerShell Grundkurs</t>
  </si>
  <si>
    <t>Erweitertes Active Directory u. GPOs mit Windows Server 2016</t>
  </si>
  <si>
    <t>Linux Foundation Certified System Admin (LFCS) - Teil 1/2</t>
  </si>
  <si>
    <t>Active Directory mit Windows Server 2016</t>
  </si>
  <si>
    <t>Hyper-V mit Windows Server 2016</t>
  </si>
  <si>
    <t>Netzwerkanalyse mit Wireshark</t>
  </si>
  <si>
    <t>Hacking und Netzwerkanalyse mit Wireshark - Der Komplettkurs</t>
  </si>
  <si>
    <t>Red Hat Cert Prep RHCSA 1: Verwenden der wichtigsten Tools</t>
  </si>
  <si>
    <t>IT Sicherheitstests und Ethical Hacking mit Kali Linux</t>
  </si>
  <si>
    <t>Active Directory Zertifikatsdienste mit Windows Server 2019</t>
  </si>
  <si>
    <t>Active Directory Migration 2008 R2 auf 2016/2019</t>
  </si>
  <si>
    <t>Metasploit Grundkurs</t>
  </si>
  <si>
    <t>Ethical Hacking (CEHv10) - Der umfassende Kurs</t>
  </si>
  <si>
    <t>Erweiterte Netzwerkdienste mit Windows Server 2016</t>
  </si>
  <si>
    <t>Cisco CCNA Routing &amp; Switching 4: Infrastructure Services</t>
  </si>
  <si>
    <t>Red Hat Cert Prep RHCSA 3: Konfiguration von lokalem Storage</t>
  </si>
  <si>
    <t>Cisco CCNA Routing &amp; Switching 3: WAN Technologies</t>
  </si>
  <si>
    <t>Hyper-V Failover Cluster mit Windows Server 2016</t>
  </si>
  <si>
    <t>INSTAGRAM: Trucos Prácticos para las Historias de Instagram</t>
  </si>
  <si>
    <t>INSTAGRAM MARKETING: Curso Intensivo de Instagram</t>
  </si>
  <si>
    <t>Curso Completo de Instagram Marketing .</t>
  </si>
  <si>
    <t>RPG 2D com Unity: Jogos no estilo Top Down</t>
  </si>
  <si>
    <t>Aprenda Unity - 2D Definitivo</t>
  </si>
  <si>
    <t>CCNA VLOGs: Pass your CCNA 200-125, ICND1 or ICND2 exam!</t>
  </si>
  <si>
    <t>Cisco NEW CCNA R/S (200-125): The Complete Course</t>
  </si>
  <si>
    <t>Cisco CCNA Packet Tracer Ultimate labs: ICND2 Exam prep labs</t>
  </si>
  <si>
    <t>Master Riot v3: Learn Riot.js from Scratch</t>
  </si>
  <si>
    <t>The Philosophy of FileMaker - Part 1</t>
  </si>
  <si>
    <t>The Philosophy of FileMaker - Part 2</t>
  </si>
  <si>
    <t>The Philosophy of FileMaker - Part 4</t>
  </si>
  <si>
    <t>The Philosophy of FileMaker - Part 3</t>
  </si>
  <si>
    <t>Excel for Accountants: Volume 1</t>
  </si>
  <si>
    <t>Microsoft Excel - Advanced Excel Formulas &amp; Functions</t>
  </si>
  <si>
    <t>Excel for Accountants: Volume 2</t>
  </si>
  <si>
    <t>Excel for Accountants: Volume 3</t>
  </si>
  <si>
    <t>Learn to Use jQuery UI Widgets</t>
  </si>
  <si>
    <t>The Complete jQuery Course: From Beginner To Advanced!</t>
  </si>
  <si>
    <t>jQuery Crash Course: Learn the Essentials of jQuery Fast</t>
  </si>
  <si>
    <t>Basics of Python &amp; arcpy , the Python library of ESRI ArcGIS</t>
  </si>
  <si>
    <t>Data Visualisation with Plotly and Python</t>
  </si>
  <si>
    <t>Interactive Python Dashboards with Plotly and Dash</t>
  </si>
  <si>
    <t>Supercharge Your Productivity</t>
  </si>
  <si>
    <t>Productivity and Time Management for the Overwhelmed</t>
  </si>
  <si>
    <t>Become an Android Developer from Scratch</t>
  </si>
  <si>
    <t>The Complete Android N Developer Course</t>
  </si>
  <si>
    <t>The Complete Android Oreo Developer Course - Build 23 Apps!</t>
  </si>
  <si>
    <t>Learn Java the Easy Way: Build Desktop &amp; Android Mobile Apps</t>
  </si>
  <si>
    <t>Android Java Masterclass - Become an App Developer</t>
  </si>
  <si>
    <t>npm - Mastering the Basics</t>
  </si>
  <si>
    <t>Master Ionic 3 with Ionic Native and Cordova Integrations</t>
  </si>
  <si>
    <t>Ionic - Build iOS, Android &amp; Web Apps with Ionic &amp; Angular</t>
  </si>
  <si>
    <t>The Ultimate Guide for Land Surveying with Drones - Part 1</t>
  </si>
  <si>
    <t>The Ultimate Guide for Land Surveying with Drones - Part 3</t>
  </si>
  <si>
    <t>The Ultimate Guide for Land Surveying with Drones - Part 2</t>
  </si>
  <si>
    <t>Quickly Batch Export &amp; Package Logo Files for Clients</t>
  </si>
  <si>
    <t>Website Copywriting</t>
  </si>
  <si>
    <t>The Complete Copywriting Course : Write to Sell Like a Pro</t>
  </si>
  <si>
    <t>Master Microsoft Outlook 2010 the Easy Way</t>
  </si>
  <si>
    <t>Microsoft Outlook 2016: Beginner and Intermediate Training</t>
  </si>
  <si>
    <t>Sci-Fi Interior Environment Creation for Virtual Reality</t>
  </si>
  <si>
    <t>Blender 2.81 - Substance painter - Sci fi asset creation</t>
  </si>
  <si>
    <t>3DSMax 2016 &amp; Substance Painter for Videogame Production</t>
  </si>
  <si>
    <t>Mobile Machine Learning for Android: TensorFlow &amp; Python</t>
  </si>
  <si>
    <t>HSE/GED/TASC/HiSET Prep: Math (Unit 1 - Arithmetic)</t>
  </si>
  <si>
    <t>Running A Dojo</t>
  </si>
  <si>
    <t>U.S. History 201</t>
  </si>
  <si>
    <t>Robot Structural analysis (Steel structure)</t>
  </si>
  <si>
    <t>Robot structural Analysis (RC building)</t>
  </si>
  <si>
    <t>Learn Mindfulness Meditation for a Calmer and Clearer mind</t>
  </si>
  <si>
    <t>Practical Mindfulness - Mindfulness and mindful meditation</t>
  </si>
  <si>
    <t>MINDFULNESS MEDITATION with Jack Kornfield</t>
  </si>
  <si>
    <t>Understanding Docker and using it for Selenium automation</t>
  </si>
  <si>
    <t>Selenium WebDriver MasterClass for Automation Testing</t>
  </si>
  <si>
    <t>Jupyter Notebook Server with AWS EC2 and AWS VPC</t>
  </si>
  <si>
    <t>2021 Complete Python Bootcamp From Zero to Hero in Python</t>
  </si>
  <si>
    <t>Learn LibreOffice now, start using the FREE suite: Writer</t>
  </si>
  <si>
    <t>Foundation of Statistics with Minitab</t>
  </si>
  <si>
    <t>Coding for Visual Learners: Learning JavaScript from Scratch</t>
  </si>
  <si>
    <t>The Complete JavaScript Course 2021: From Zero to Expert!</t>
  </si>
  <si>
    <t>JavaScript - The Complete Guide 2021 (Beginner + Advanced)</t>
  </si>
  <si>
    <t>Facebook Marketing: A Step-by-Step to Your First 1000 Fans!</t>
  </si>
  <si>
    <t>Facebook Ads &amp; Facebook Marketing MASTERY 2021 | Coursenvy ®</t>
  </si>
  <si>
    <t>The Complete Facebook Ads Course - Beginner to Advanced</t>
  </si>
  <si>
    <t>Thinking Like an Art Director with PaintShop Pro</t>
  </si>
  <si>
    <t>Learn By Example: jQuery</t>
  </si>
  <si>
    <t>JavaScript Game Development: Create Your Own Breakout Game</t>
  </si>
  <si>
    <t>55 Modern JavaScript Dynamic Interactive Projects Games</t>
  </si>
  <si>
    <t>Markdown: Learn to Write HTML-Ready Content in ANY Web Tool!</t>
  </si>
  <si>
    <t>Markdown Mastery: Simple yet Powerful Writing Format</t>
  </si>
  <si>
    <t>Learn 500 Arabic Words with Flashcards + Grammar Essentials</t>
  </si>
  <si>
    <t>Arabic language | The comprehensive course - Learn modern</t>
  </si>
  <si>
    <t>Learn Arabic! Start Speaking Arabic Now!</t>
  </si>
  <si>
    <t>Linux Security Fundamentals: Level up your security skills</t>
  </si>
  <si>
    <t>Linux Security and Hardening, The Practical Security Guide.</t>
  </si>
  <si>
    <t>Complete Linux Security &amp; Hardening with Practical Examples</t>
  </si>
  <si>
    <t>Master Microsoft Excel, Outlook and Word 2013 - 26 Hours</t>
  </si>
  <si>
    <t>Salesforce Service Cloud Exams/ Practice Tests &amp;Exam Voucher</t>
  </si>
  <si>
    <t>Hiperconvergencia con Nutanix: instalación y configuración</t>
  </si>
  <si>
    <t>Torne-se um desenvolvedor Front End Magento</t>
  </si>
  <si>
    <t>AI-100 Designing And Implement Azure AI Solution Exam Prep</t>
  </si>
  <si>
    <t>Layer 2 Switching &amp; VLAN's for Cisco CCNA</t>
  </si>
  <si>
    <t>Cisco CCNA: The A, B, C's of IPv6</t>
  </si>
  <si>
    <t>The Complete Cisco CCNA &amp; CCNP Networking Labs Course 2021</t>
  </si>
  <si>
    <t>Cisco Troubleshooting Labs For CCNA, CCNP, and CCIE Students</t>
  </si>
  <si>
    <t>NEW Cisco CCNA IPv4 Course!</t>
  </si>
  <si>
    <t>Cisco CCENT / ICND1 (100-105) + Bonus: The Complete Course</t>
  </si>
  <si>
    <t>Cisco CCNA &amp; NEW CCENT / ICND1 (100-105) Labs &amp; More!</t>
  </si>
  <si>
    <t>MCSA Windows Server 2016 (70-740) Course</t>
  </si>
  <si>
    <t>Cisco CCNA: Vlans, Access-List &amp; NAT + Bonus Material!</t>
  </si>
  <si>
    <t>Cisco OSPF Breakdown!</t>
  </si>
  <si>
    <t>Cisco OSPF Practical Labs 2021- Basic to Advanced</t>
  </si>
  <si>
    <t>[DESATUALIZADO] Introdução a Segurança da Informação</t>
  </si>
  <si>
    <t>Segurança da Informação: conceitos para atuar nessa área</t>
  </si>
  <si>
    <t>Redes en Microsoft Azure (2018)</t>
  </si>
  <si>
    <t>Curso de redes en Microsoft Azure (IaaS y PaaS)</t>
  </si>
  <si>
    <t>Introduction to GIS: Spatial Data Analysis with QGIS</t>
  </si>
  <si>
    <t>Core Spatial Data Analysis: Introductory GIS with R and QGIS</t>
  </si>
  <si>
    <t>360 Grad Architektur mit Unity und Cinema 4D</t>
  </si>
  <si>
    <t>Salesforce Development &amp; Administration for Beginners</t>
  </si>
  <si>
    <t>Salesforce Development Training for Beginners</t>
  </si>
  <si>
    <t>Salesforce Developer Training with real-time project</t>
  </si>
  <si>
    <t>Growth Hacking con Marketing Digital</t>
  </si>
  <si>
    <t>Transformación Digital para Empresas y Profesionales.</t>
  </si>
  <si>
    <t>Complete Practical LINQ Tutorial in C#</t>
  </si>
  <si>
    <t>Mastering LINQ with C# and .NET</t>
  </si>
  <si>
    <t>The Ultimate LINQ with C# Masterclass - Basics to Advanced</t>
  </si>
  <si>
    <t>The Comprehensive Guide to Scene Kit - 3D iOS Development</t>
  </si>
  <si>
    <t>Motivation Masterkurs - Ziele erreichen</t>
  </si>
  <si>
    <t>Motivation ohne tschakka! 10 beste Tools, sich zu motivieren</t>
  </si>
  <si>
    <t>Dein bestes Jahr 2021! Ziele erreichen, erfolgreich leben</t>
  </si>
  <si>
    <t>Cold Calling: A New Approach</t>
  </si>
  <si>
    <t>Cold Calling for B2B Sales: How to Prospect over the Phone</t>
  </si>
  <si>
    <t>Leadership: Teaching Managers to be Leaders</t>
  </si>
  <si>
    <t>Continuing Education Units</t>
  </si>
  <si>
    <t>Professional Development Units (PDUs)</t>
  </si>
  <si>
    <t>Leadership: Practical Leadership Skills</t>
  </si>
  <si>
    <t>Guía completa para ser un profesional del e-mail marketing</t>
  </si>
  <si>
    <t>Marketing Digital Completo: Desde Cero a Experto en el 2020</t>
  </si>
  <si>
    <t>Creating websites with Accelerated Mobile Pages (AMP)</t>
  </si>
  <si>
    <t>Advanced iOS: Volume 1 - All source code updated to Swift 5</t>
  </si>
  <si>
    <t>Comment attirer ton client idéal ?</t>
  </si>
  <si>
    <t>Become a QlikView Expert</t>
  </si>
  <si>
    <t>The Complete QlikView Boot Camp</t>
  </si>
  <si>
    <t>AngularJS - Desde Hola Mundo hasta una Aplicación (legacy)</t>
  </si>
  <si>
    <t>ionic 2/3: Crea apps para Android e iOS desde cero. (legacy)</t>
  </si>
  <si>
    <t>Freight Broker Training</t>
  </si>
  <si>
    <t>Google Ad Grant for Nonprofits</t>
  </si>
  <si>
    <t>Easy, Effective Google Grant Ads for Non-Profits</t>
  </si>
  <si>
    <t>IT Governance Management: Governança de TI</t>
  </si>
  <si>
    <t>Fundamentals of Asana in 2019 (Project Management)</t>
  </si>
  <si>
    <t>Social Confidence for Introverts</t>
  </si>
  <si>
    <t>CONFIDENCE Tools - Confidence &amp; Self Esteem for Introverts</t>
  </si>
  <si>
    <t>Unreal Engine 4: Souls-Like Action RPG w/ Multiplayer</t>
  </si>
  <si>
    <t>Procreate Handbuch</t>
  </si>
  <si>
    <t>Curso completo de renta variable</t>
  </si>
  <si>
    <t>Product Development &amp; Systems Engineering</t>
  </si>
  <si>
    <t>Integrando Docker a su infraestructura y servicios.</t>
  </si>
  <si>
    <t>Automação de Testes com Selenium WebDriver em Java</t>
  </si>
  <si>
    <t>Processo de Automação de Teste Com Selenium WebDriver e Java</t>
  </si>
  <si>
    <t>ITIL 4 MP Transition (Unofficial) - 4 Practice Exams</t>
  </si>
  <si>
    <t>TERADATA: Data Warehousing technology</t>
  </si>
  <si>
    <t>SQL - Teradata SQL for Data Science and Data Analytics 2021</t>
  </si>
  <si>
    <t>Python 3: A' dan Z' ye Programlama</t>
  </si>
  <si>
    <t>Python 3: Sıfırdan Programcılık Mesleğine</t>
  </si>
  <si>
    <t>Infinite Mind: Acquire Photographic Memory &amp; Become a Genius</t>
  </si>
  <si>
    <t>Docker ve Swarm Orkestrasyon</t>
  </si>
  <si>
    <t>Docker: A'dan Z'ye Tüm Yönleriyle</t>
  </si>
  <si>
    <t>Docker: Sıfırdan Tüm Yönleriyle Öğrenin (İddialı)</t>
  </si>
  <si>
    <t>Python Data Science Bootcamp with 5 Data Science Projects</t>
  </si>
  <si>
    <t>Complete Machine Learning &amp; Data Science Bootcamp 2021</t>
  </si>
  <si>
    <t>SASS - Beginner Crash Course</t>
  </si>
  <si>
    <t>Process Improvement</t>
  </si>
  <si>
    <t>Leadership, Business Process Improvement, &amp; Process Mapping!</t>
  </si>
  <si>
    <t>Tally Erp 9 + Tally Prime with GST 2021 - Certificate Course</t>
  </si>
  <si>
    <t>Complete Tally ERP 9 (GST) Course with Live Project 2021</t>
  </si>
  <si>
    <t>DevOps Essentials</t>
  </si>
  <si>
    <t>The DevOps Essentials - The Handbook</t>
  </si>
  <si>
    <t>AWS Concepts</t>
  </si>
  <si>
    <t>AWS Essentials</t>
  </si>
  <si>
    <t>Introduction to Cloud Computing on Amazon AWS for Beginners</t>
  </si>
  <si>
    <t>Ultimate AWS Certified Solutions Architect Associate 2021</t>
  </si>
  <si>
    <t>AWS Certified Developer - Associate</t>
  </si>
  <si>
    <t>Ultimate AWS Certified Developer Associate 2021 - NEW!</t>
  </si>
  <si>
    <t>AWS Certified Cloud Practitioner (LEGACY)</t>
  </si>
  <si>
    <t>Red Hat Certified Systems Administrator Prep</t>
  </si>
  <si>
    <t>AWS Essentials (2019)</t>
  </si>
  <si>
    <t>Serverless Concepts</t>
  </si>
  <si>
    <t>AWS Lambda &amp; Azure Functions - Go Serverless</t>
  </si>
  <si>
    <t>Google Cloud Platform (GCP) Fundamentals for Beginners</t>
  </si>
  <si>
    <t>AWS Certified SysOps Administrator - Associate</t>
  </si>
  <si>
    <t>Ultimate AWS Certified SysOps Administrator Associate 2021</t>
  </si>
  <si>
    <t>Learn Amazon Web Services (AWS): The complete introduction</t>
  </si>
  <si>
    <t>Gestão Ágil com Scrum - Preparatório certificação PSM I ™</t>
  </si>
  <si>
    <t>Certificação Scrum Master: Curso Preparatório COMPLETO</t>
  </si>
  <si>
    <t>Digital Oil and Gas</t>
  </si>
  <si>
    <t>Website erstellen - Wordpress Kurs für Anfänger</t>
  </si>
  <si>
    <t>WordPress für Macher und Anwender - vom Anfänger zum Profi</t>
  </si>
  <si>
    <t>Administração Empreendedora e Startups</t>
  </si>
  <si>
    <t>Design &amp; Criação de Personagens</t>
  </si>
  <si>
    <t>Curso 3ds Max : Design e Criação de Personagens 3D</t>
  </si>
  <si>
    <t>Maya - Design e Criação de Personagens 3D</t>
  </si>
  <si>
    <t>Erfolgreiche Landingpages durch Insiderwissen</t>
  </si>
  <si>
    <t>⭐️[Mehr Leads] Landingpages &amp; Lead-Generation mit WordPress!</t>
  </si>
  <si>
    <t>100% Sure Success in Day Trading : My SECRET™ Strategy</t>
  </si>
  <si>
    <t>Technical Analysis MasterClass:Trading By Technical Analysis</t>
  </si>
  <si>
    <t>Learn ETL Testing With Informatica PowerCenter Today</t>
  </si>
  <si>
    <t>Complete Angular 11 from Zero to Hero | Get Hired</t>
  </si>
  <si>
    <t>Master Computer Vision™ OpenCV4 in Python with Deep Learning</t>
  </si>
  <si>
    <t>Python for Computer Vision with OpenCV and Deep Learning</t>
  </si>
  <si>
    <t>Learn Redis And Utilize Jedis With Spring Data Redis</t>
  </si>
  <si>
    <t>AZ-300 Microsoft Azure Architect Practice Exam Questions NEW</t>
  </si>
  <si>
    <t>SAP Simple Finance Course</t>
  </si>
  <si>
    <t>AZ-104 Microsoft Azure Administrator Practice Exam Questions</t>
  </si>
  <si>
    <t>AZ-104 Microsoft Azure Administrator Certification 2021</t>
  </si>
  <si>
    <t>Microsoft AZ-104:Azure Administrator Exam Certification 2020</t>
  </si>
  <si>
    <t>Introduction to Hiring and Recruiting Strategy</t>
  </si>
  <si>
    <t>[2021] Recruiting: Talent Acquisition &amp; Hiring (Version 3)</t>
  </si>
  <si>
    <t>Recruitment Interviewing Essentials: Interviewing Made Easy</t>
  </si>
  <si>
    <t>Bluetooth Low Energy (BLE) From Ground Up™</t>
  </si>
  <si>
    <t>Oracle E-Business Suite (R12.1.3) Technical RICEW</t>
  </si>
  <si>
    <t>VLSI System On Chip Design</t>
  </si>
  <si>
    <t>Event Management for Beginners</t>
  </si>
  <si>
    <t>Successful Events: Event Planning, Marketing &amp; Management</t>
  </si>
  <si>
    <t>Strategic HR in Modern Times</t>
  </si>
  <si>
    <t>Learn HR Fundamentals for a Career in Human Resources</t>
  </si>
  <si>
    <t>Learn Estimating &amp; Cost Control</t>
  </si>
  <si>
    <t>Budgeting for Business</t>
  </si>
  <si>
    <t>GCP - Professional Cloud Architect - Practice Exams - FREE!</t>
  </si>
  <si>
    <t>GCP: Complete Google Data Engineer and Cloud Architect Guide</t>
  </si>
  <si>
    <t>AWS MasterClass: DevOps w/ AWS Command Line Interface (CLI)</t>
  </si>
  <si>
    <t>Quick Start to GTD</t>
  </si>
  <si>
    <t>Get Things Done: How To Organize Your Life And Take Action</t>
  </si>
  <si>
    <t>Process Validation (101) in ISO 9001/Quality/Risk Management</t>
  </si>
  <si>
    <t>Mastering ISO 9001:2015+Self-Assessment Tool</t>
  </si>
  <si>
    <t>SharePoint Online part 1 Sites, Lists and Libraries</t>
  </si>
  <si>
    <t>Getting Started With SharePoint Online</t>
  </si>
  <si>
    <t>Burp-suite: A Master of bug bounty hunter</t>
  </si>
  <si>
    <t>Hacking Web Applications and Penetration Testing: Fast Start</t>
  </si>
  <si>
    <t>Advanced React (Render Performance Best Practices Patterns)</t>
  </si>
  <si>
    <t>React - The Complete Guide (incl Hooks, React Router, Redux)</t>
  </si>
  <si>
    <t>B2B Sales - Close More Deals, Get More Leads, Work Less</t>
  </si>
  <si>
    <t>Business Development &amp; B2B Sales for Startups- Sales Valley</t>
  </si>
  <si>
    <t>Sales Machine: The Sales Training B2B Master Course</t>
  </si>
  <si>
    <t>CompTIA Linux+ LX0-101 &amp; LX0-102</t>
  </si>
  <si>
    <t>Data Structures and Algorithms in C++ For Coding Interview</t>
  </si>
  <si>
    <t>Master the Coding Interview: Data Structures + Algorithms</t>
  </si>
  <si>
    <t>Mastering Data Structures &amp; Algorithms using C and C++</t>
  </si>
  <si>
    <t>Learn the Basics of Waste Management: Manage &amp; Reduce Waste</t>
  </si>
  <si>
    <t>Solid Waste Mangement</t>
  </si>
  <si>
    <t>PMP Exam Maths, Formulas &amp; Equations Simplified for PMP 6</t>
  </si>
  <si>
    <t>PMP: The Complete PMP Course &amp; Practice Exam PMI PMBOK 6 '20</t>
  </si>
  <si>
    <t>Google Analytics, Curso completo con Profesor Certificado</t>
  </si>
  <si>
    <t>Spring Boot</t>
  </si>
  <si>
    <t>AWS para Iniciantes</t>
  </si>
  <si>
    <t>AWS para Iniciantes 2020 - Aprenda e Domine a nuvem Amazon</t>
  </si>
  <si>
    <t>コロナ時代の「超 テレワーク 仕事術」 週4日の働きで成果を上げる、リモートワーク先進企業の生産性アップ術 160分講座</t>
  </si>
  <si>
    <t>【更新：2021.01.10】会社の売り上げに貢献するSNS活用 基礎講座（企業ブログ活用の重点解説付き）</t>
  </si>
  <si>
    <t>Como Vender Mais Com Ofertas Poderosas e Persuasivas + Copy</t>
  </si>
  <si>
    <t>Gestão de Marketing | Atualizado |</t>
  </si>
  <si>
    <t>Estratégia de Marketing</t>
  </si>
  <si>
    <t>Curso Completo de Marketing Digital - 23 Cursos em 1</t>
  </si>
  <si>
    <t>CCNA7: Examen Cisco CCNA 200-301</t>
  </si>
  <si>
    <t>Introducción a la programación orientada a objetos con PHP</t>
  </si>
  <si>
    <t>Fundamentos de Programación, Algoritmos en 5 Lenguajes.</t>
  </si>
  <si>
    <t>Fundamentos de Programación</t>
  </si>
  <si>
    <t>Curso de AndroidX y Firebase con Java Login y crud de datos</t>
  </si>
  <si>
    <t>Google Apps für Anfänger (deutsch)</t>
  </si>
  <si>
    <t>Dein Powerstart für Einsteiger: Android 8 Apps und Firebase</t>
  </si>
  <si>
    <t>Produktivität steigern: Effizientes Zeitmanagement im Alltag</t>
  </si>
  <si>
    <t>Effizienz und Effektivität steigern: Mehr Produktivität!</t>
  </si>
  <si>
    <t>Superproduktiv werden! Tipps, Tricks, Tools und Strategien</t>
  </si>
  <si>
    <t>Ultimate AngularJS: Build a Real-World App from Scratch</t>
  </si>
  <si>
    <t>Learn and Understand AngularJS</t>
  </si>
  <si>
    <t>Framer Crash Course – Design, Code, and Collaborate</t>
  </si>
  <si>
    <t>React, Redux, &amp; Enzyme - Introducing Apps &amp; Tests</t>
  </si>
  <si>
    <t>Complete Selenium Ruby Automation Engineer Bootcamp</t>
  </si>
  <si>
    <t>70-764 Administering a SQL Database Infrastructure</t>
  </si>
  <si>
    <t>Snowflake Certification Preparation</t>
  </si>
  <si>
    <t>Power Engineering: Power System Analysis - Part 1</t>
  </si>
  <si>
    <t>Electrical Power Engineering Principles</t>
  </si>
  <si>
    <t>Power Engineering: Power System Analysis - Part 2</t>
  </si>
  <si>
    <t>MikroTik Security Engineer with LABS</t>
  </si>
  <si>
    <t>MikroTik Switching - Spanning Tree Protocol</t>
  </si>
  <si>
    <t>OSPF on MikroTik with LABS</t>
  </si>
  <si>
    <t>MikroTik CAPsMAN with LABS</t>
  </si>
  <si>
    <t>MikroTik Failover Setup with LABS</t>
  </si>
  <si>
    <t>Fortinet FortiGate Firewall 5-in-1 Training Bundle</t>
  </si>
  <si>
    <t>Fortigate Firewall - Admin Crash Course</t>
  </si>
  <si>
    <t>Leader Impact 3.0</t>
  </si>
  <si>
    <t>Leadership – devenez un leader inspirant</t>
  </si>
  <si>
    <t>Desenvolvedor Qlikview do Zero</t>
  </si>
  <si>
    <t>Microsoft Power Virtual Agents for beginners</t>
  </si>
  <si>
    <t>Crie sites profissionais com Wordpress 2021 - 6 Projetos</t>
  </si>
  <si>
    <t>Curso Completo Criar Sites com Design Profissional WordPress</t>
  </si>
  <si>
    <t>Wordpress - Como Criar Um Site Profissional Para Seu Negocio</t>
  </si>
  <si>
    <t>Desenvolvimento Android e IOS com Flutter 2021 -Crie 15 Apps</t>
  </si>
  <si>
    <t>Aprenda Flutter e Desenvolva Apps Para Android e IOS 2021</t>
  </si>
  <si>
    <t>pfSense Fundamentals - Secure Networks With pfSense Firewall</t>
  </si>
  <si>
    <t>Mastering pfSense</t>
  </si>
  <si>
    <t>Data Processing with Python</t>
  </si>
  <si>
    <t>DevOps Deployment Automation with Terraform, AWS and Docker</t>
  </si>
  <si>
    <t>FRM Part 1 (2020) - Book 1 - Foundations of Risk Management</t>
  </si>
  <si>
    <t>SAFe(R) Scrum Master 5.0 (SSM) - Practice Exams 2021</t>
  </si>
  <si>
    <t>Leading SAFe(R) 5.0.1 and 5.1- SA-Practice Exams 2021</t>
  </si>
  <si>
    <t>A Course on Part Modelling in PTC Creo Software</t>
  </si>
  <si>
    <t>Modern Server Side Rendering with React and Next.JS</t>
  </si>
  <si>
    <t>Complete Next.js with React &amp; Node - Beautiful Portfolio App</t>
  </si>
  <si>
    <t>Java/Apache Maven: Stop Building Java Programs the Hard Way!</t>
  </si>
  <si>
    <t>Apache Maven: Beginner to Guru</t>
  </si>
  <si>
    <t>Learning Sketchup for Beginners</t>
  </si>
  <si>
    <t>C*5 Introduction - This course is scheduled to be retired</t>
  </si>
  <si>
    <t>Master KnockoutJS : Knockout JS - JavaScript MVVM</t>
  </si>
  <si>
    <t>Importing from China - How to manage your first China trip</t>
  </si>
  <si>
    <t>Android N: From Beginner to Paid Professional</t>
  </si>
  <si>
    <t>The Complete Spine Game Rigging &amp; Animation Course</t>
  </si>
  <si>
    <t>Devenez un leader charismatique - Chilina Hills</t>
  </si>
  <si>
    <t>Curso de NodeJS y Angular - Crea webapps con el MEAN Stack</t>
  </si>
  <si>
    <t>Máster en JavaScript: ECMAScript, Angular 9+, React, NodeJS</t>
  </si>
  <si>
    <t>Biotechnology Law: GMOs to Designer Babies</t>
  </si>
  <si>
    <t>Biotechnology/Biotech Business, Policy, Law, and Science</t>
  </si>
  <si>
    <t>Linux Security &amp; Hardening, The Practical Approach</t>
  </si>
  <si>
    <t>Pinterest Marketing, die meist unterschätze Plattform</t>
  </si>
  <si>
    <t>【夢月流】Pythonスクレイピング入門2～Web APIを使ってスクレイピングプログラムを素早く作るコツを教えます～</t>
  </si>
  <si>
    <t>Docker für Softwareentwickler - Schnellstart für den Alltag</t>
  </si>
  <si>
    <t>An Introduction to the Ethernet/IP Protocol</t>
  </si>
  <si>
    <t>How to Program an Arduino for CAN bus Network Communication</t>
  </si>
  <si>
    <t>A Practical Introduction to the BACnet Protocol</t>
  </si>
  <si>
    <t>An Introduction to Profibus DP Networking</t>
  </si>
  <si>
    <t>Mastering Modbus RS485 Network Communication</t>
  </si>
  <si>
    <t>How to Install and Configure OPC Client/Server Software</t>
  </si>
  <si>
    <t>Mastering Modbus TCP/IP Network Communication</t>
  </si>
  <si>
    <t>Basics of Digital Signal Processing for Power Engineers</t>
  </si>
  <si>
    <t>Signal processing problems, solved in MATLAB and in Python</t>
  </si>
  <si>
    <t>Simulating Power Electronic Circuits using Python</t>
  </si>
  <si>
    <t>Become AWS Certified - Solutions Architect Associate 2018</t>
  </si>
  <si>
    <t>AWS Certified Solutions Architect Associate - 2021 [SAA-C02]</t>
  </si>
  <si>
    <t>Autocad 2020 - 21 crash course</t>
  </si>
  <si>
    <t>The Complete VMware vSphere 7 : Beginner to Advanced-pt 2/2</t>
  </si>
  <si>
    <t>Game Character Course - ZBrush to Substance Painter and more</t>
  </si>
  <si>
    <t>Realistic Character Modeling For Game In Maya and Zbrush</t>
  </si>
  <si>
    <t>Sketchup Architect Beginner Fast Track</t>
  </si>
  <si>
    <t>SketchUp for Woodworkers: bring your designs to life in 3D</t>
  </si>
  <si>
    <t>LX Design 101: Teach Anything in the Workplace!</t>
  </si>
  <si>
    <t>Instructional Design for Classroom Training</t>
  </si>
  <si>
    <t>Adobe Captivate - Focus on Demonstrations</t>
  </si>
  <si>
    <t>Adobe Captivate - Focus on Simulations</t>
  </si>
  <si>
    <t>FPGA Turbo Series - Implementing a UART</t>
  </si>
  <si>
    <t>Learn VHDL and FPGA Development</t>
  </si>
  <si>
    <t>Learn SystemVerilog Assertions and Coverage Coding in-depth</t>
  </si>
  <si>
    <t>SystemVerilog Assertions &amp; Functional Coverage FROM SCRATCH</t>
  </si>
  <si>
    <t>SDF: Weblog Forensics</t>
  </si>
  <si>
    <t>Surviving Digital Forensics: Understanding OS X Time Stamps</t>
  </si>
  <si>
    <t>Learn QuickBooks Pro 2014 the Easy Way</t>
  </si>
  <si>
    <t>Master QuickBooks Pro 2015 &amp; 2016 the Easy Way</t>
  </si>
  <si>
    <t>MikroTik RouterOS Hardening LABS</t>
  </si>
  <si>
    <t>MikroTik Routing All-in-1 Video Bootcamp</t>
  </si>
  <si>
    <t>MikroTik Hotspot with User Manager</t>
  </si>
  <si>
    <t>Asterisk Administrators Guide to VoIP Polycom IP SIP Phones</t>
  </si>
  <si>
    <t>FreePBX Asterisk 13 VoIP Server Administration Step by Step</t>
  </si>
  <si>
    <t>Os segredos da Influência e linguagem corporal</t>
  </si>
  <si>
    <t>Curso de Linguagem Corporal no Universo Corporativo</t>
  </si>
  <si>
    <t>Curso Completo de MS Project - Do básico ao Avançado</t>
  </si>
  <si>
    <t>Solver - Resolva Problemas de Logística usando o Excel</t>
  </si>
  <si>
    <t>Change Management</t>
  </si>
  <si>
    <t>Change Management: Real World Strategies &amp; Tools</t>
  </si>
  <si>
    <t>SAP Activate Project Manager Material &amp; Test | C_ACTIVATE13</t>
  </si>
  <si>
    <t>SAP Analytics Cloud C_SAC_2021 Certification Exam Guide</t>
  </si>
  <si>
    <t>How to Prepare Your Taxes</t>
  </si>
  <si>
    <t>How to Prepare Your U.S. Federal Tax Returns Online</t>
  </si>
  <si>
    <t>Le guide complet pour débuter sur Arduino de A à Z</t>
  </si>
  <si>
    <t>Formation Complète sur Arduino : les premiers pas vers l'IoT</t>
  </si>
  <si>
    <t>Scrum: un marco para el desarrollo ágil de proyectos</t>
  </si>
  <si>
    <t>[2021] Learn How to Build a Personal Brand on LinkedIn®</t>
  </si>
  <si>
    <t>Newly Updated for 2020/21 - Comprehensive Guide to LinkedIn</t>
  </si>
  <si>
    <t>Master Mathematical Cryptography 2020: Crack Any Code</t>
  </si>
  <si>
    <t>SVG &amp; CSS Animation - Using HTML &amp; CSS</t>
  </si>
  <si>
    <t>Learn SVG Animation - With HTML, CSS &amp; Javascript</t>
  </si>
  <si>
    <t>Cloud Computing Sales</t>
  </si>
  <si>
    <t>SAP Finance and Controlling</t>
  </si>
  <si>
    <t>Unity Android Game Development : Build 7 2D &amp; 3D Games</t>
  </si>
  <si>
    <t>Unity Game Development Build 2D &amp; 3D Games</t>
  </si>
  <si>
    <t>The Ultimate Guide to Game Development with Unity 2019</t>
  </si>
  <si>
    <t>CISSP - Certified Information Systems Security Professional</t>
  </si>
  <si>
    <t>CISSP Certification: CISSP Domain 1 &amp; 2 Boot Camp UPDATED 21</t>
  </si>
  <si>
    <t>Master Planning v3.0 (2020): Plan Your Week, Month and Year</t>
  </si>
  <si>
    <t>Finance Training for Financial Analysts</t>
  </si>
  <si>
    <t>The Complete Financial Analyst Course 2021</t>
  </si>
  <si>
    <t>Digital Signal Processing (DSP) From Ground Up™ with MATLAB</t>
  </si>
  <si>
    <t>IBM SPSS AMOS Foundation Course: SEM Scratch to Advanced</t>
  </si>
  <si>
    <t>Performance Management: Objective setting for NEW MANAGERS</t>
  </si>
  <si>
    <t>Performance Management For Managers</t>
  </si>
  <si>
    <t>[2021] The Essentials of Feedback &amp; Performance Management</t>
  </si>
  <si>
    <t>【TensorFlow・Kerasで学ぶ】時系列データ処理入門（RNN/LSTM, Word2Vec)</t>
  </si>
  <si>
    <t>Jetzt mit Bootstrap 4 starten - mit Praxisprojekt!</t>
  </si>
  <si>
    <t>Bootstrap 4 - Meistere modernes Webdesign mit 5 Projekten</t>
  </si>
  <si>
    <t>Master Your Personal Brand Like a Marketing Pro</t>
  </si>
  <si>
    <t>Personal Branding Mastery: The System To Reinvent Yourself!</t>
  </si>
  <si>
    <t>Ultimate Venture Capital: How to model investment rounds</t>
  </si>
  <si>
    <t>2020 Complete Instagram Marketing Masterclass: Become a Pro</t>
  </si>
  <si>
    <t>Instagram Marketing 2021: Complete Guide To Instagram Growth</t>
  </si>
  <si>
    <t>Instagram Marketing 2021: Hashtags, Live, Stories, Ads &amp;more</t>
  </si>
  <si>
    <t>Certified Information Security Manager (CISM)</t>
  </si>
  <si>
    <t>CISM Certification: FULL 150 question CISM practice test '21</t>
  </si>
  <si>
    <t>ISO 45001 Occupational Safety &amp; Health Management System</t>
  </si>
  <si>
    <t>ISO 45001. Occupational Health &amp; Safety management system</t>
  </si>
  <si>
    <t>Kaizen - Continuous Improvement Practitioner Course</t>
  </si>
  <si>
    <t>Raspberry Pi とTensorFlow ではじめるAI・IoTアプリ開発入門</t>
  </si>
  <si>
    <t>Amazon (AWS) QuickSight, Glue, Athena &amp; S3 Fundamentals</t>
  </si>
  <si>
    <t>Mastering AWS Glue, QuickSight, Athena &amp; Redshift Spectrum</t>
  </si>
  <si>
    <t>Revenue Recognition - IFRS 15 &amp; ASC 606</t>
  </si>
  <si>
    <t>Oracle 19c Database - An Introduction</t>
  </si>
  <si>
    <t>Salesforce Admin Certification (CRT-101) Practice Tests</t>
  </si>
  <si>
    <t>Unit, integration and functional Testing in Golang (Go)</t>
  </si>
  <si>
    <t>Go: The Complete Developer's Guide (Golang)</t>
  </si>
  <si>
    <t>Master Go (Golang) Programming:The Complete Go Bootcamp 2021</t>
  </si>
  <si>
    <t>REST APIs mit Asp.Net core und C# entwicklen</t>
  </si>
  <si>
    <t>Aprende Java Enterprise Edition (JavaEE) paso a paso</t>
  </si>
  <si>
    <t>Angular y Java EE - Conviértete en Java Full Stack Developer</t>
  </si>
  <si>
    <t>Java EE 7 &amp; Frameworks - JSF2, Spring 4, Struts 2 y EJB3</t>
  </si>
  <si>
    <t>Oracle Performance Tuning</t>
  </si>
  <si>
    <t>Oracle SQL Performance Tuning Masterclass 2021</t>
  </si>
  <si>
    <t>Salesforce Apex Coding &amp; VisualForce Designing for beginners</t>
  </si>
  <si>
    <t>Salesforce Apex Programming Language</t>
  </si>
  <si>
    <t>Salesforce Visualforce Development: Create Visualforce pages</t>
  </si>
  <si>
    <t>JavaFX 8 - Der Einstieg in die Java-GUI Programmierung</t>
  </si>
  <si>
    <t>JavaFX - Java Programme mit Oberflächen / GUIs erstellen</t>
  </si>
  <si>
    <t>Embarcadero Delphi für Anfänger und Fortgeschrittene</t>
  </si>
  <si>
    <t>Oracle Business Intelligence Enterprise Edition (OBIEE 11g)</t>
  </si>
  <si>
    <t>Negocia como experto</t>
  </si>
  <si>
    <t>Negociación: Cómo Negociar con Eficacia y Éxito</t>
  </si>
  <si>
    <t>Negociación Creativa - El Modelo de Negociación de Harvard</t>
  </si>
  <si>
    <t>Desarrollo Web Spring Framework 4.3 &amp; Hibernate</t>
  </si>
  <si>
    <t>Adobe InDesign CC: Curso Completo desde Cero</t>
  </si>
  <si>
    <t>Adobe InDesign CC Máster: De Básico a Profesional.</t>
  </si>
  <si>
    <t>Angular 5 - Moderne Webseiten erstellen</t>
  </si>
  <si>
    <t>Oracle Database Administration Cloud Backup and Recovery</t>
  </si>
  <si>
    <t>Crea una landing page EFECTIVA, gratuita y sin programar</t>
  </si>
  <si>
    <t>Landing Pages y Embudos de Venta - Actualizado 2021</t>
  </si>
  <si>
    <t>【ARKit2.0対応】6つのチャレンジでARKitを徹底攻略</t>
  </si>
  <si>
    <t>Ionic 4 Crash Course with Heartstone API &amp; Angular</t>
  </si>
  <si>
    <t>Desenvolva sua Liderança com o Programa TOOL</t>
  </si>
  <si>
    <t>Fundamentos da Liderança e como fazer Gestão de Pessoas</t>
  </si>
  <si>
    <t>Liderança de Alta Performance</t>
  </si>
  <si>
    <t>Python para Data Science do Zero Absoluto ao Domínio em 5h</t>
  </si>
  <si>
    <t>Machine Learning e Data Science com Python de A à Z</t>
  </si>
  <si>
    <t>Data Science e Machine Learning com Estatística e Python</t>
  </si>
  <si>
    <t>Optimizing web performance and critical rendering path</t>
  </si>
  <si>
    <t>The Complete Junior to Senior Web Developer Roadmap (2021)</t>
  </si>
  <si>
    <t>Dialogflow Completo-Domine a Criação de Assistentes Virtuais</t>
  </si>
  <si>
    <t>Dialogflow Avançado-Domine a Plataforma por Completo</t>
  </si>
  <si>
    <t>Unsupervised Machine Learning Hidden Markov Models in Python</t>
  </si>
  <si>
    <t>Machine Learning and AI: Support Vector Machines in Python</t>
  </si>
  <si>
    <t>Deep Learning: GANs and Variational Autoencoders</t>
  </si>
  <si>
    <t>Snort Intrusion Detection, Rule Writing, and PCAP Analysis</t>
  </si>
  <si>
    <t>Network Security Analysis Using Wireshark, Snort, and SO</t>
  </si>
  <si>
    <t>Wireshark: Packet Analysis and Ethical Hacking: Core Skills</t>
  </si>
  <si>
    <t>Affinity Photo for the iPad: Special Effects</t>
  </si>
  <si>
    <t>Affinity Photo for the iPad</t>
  </si>
  <si>
    <t>Affinity Photo: Raw Image Development</t>
  </si>
  <si>
    <t>Affinity Photo: Solid Foundations</t>
  </si>
  <si>
    <t>Préparation à la Certification PMP6- OBSOLETE: ancienne vers</t>
  </si>
  <si>
    <t>CDI/CD with TeamCity From Beginner to Advanced</t>
  </si>
  <si>
    <t>Mastering CI/CD with TeamCity and Octopus Deploy</t>
  </si>
  <si>
    <t>Cómo Aprender Inglés en Casa Rápido con 3 Técnicas Fáciles</t>
  </si>
  <si>
    <t>Inglés Básico para Principiantes: Una sólida base, hablando.</t>
  </si>
  <si>
    <t>Electric Vehicle Charging Station</t>
  </si>
  <si>
    <t>GeoServer from A-Z</t>
  </si>
  <si>
    <t>Curso de Verb Tenses - Os 12 Tempos Verbais do Inglês</t>
  </si>
  <si>
    <t>Curso de Inglês - Domine Tempos Verbais e Fale Melhor Agora!</t>
  </si>
  <si>
    <t>LoRa et LoRaWAN pour l'Internet des Objets</t>
  </si>
  <si>
    <t>Mastering Ansys CFD (Level 2)</t>
  </si>
  <si>
    <t>Ansys Basic Course-Basics of FEM &amp; Static Analysis Tutorials</t>
  </si>
  <si>
    <t>Learn Confluence in 4hrs</t>
  </si>
  <si>
    <t xml:space="preserve">Understanding Confluence for users, managers and admins	</t>
  </si>
  <si>
    <t xml:space="preserve">Atlassian Confluence for Project Managers	</t>
  </si>
  <si>
    <t>【GCP認定資格】 Professional Cloud Architect 模擬問題集</t>
  </si>
  <si>
    <t>Google Cloud Security Engineer Certification Practice Exams</t>
  </si>
  <si>
    <t>Microservices Software Architecture: Patterns and Techniques</t>
  </si>
  <si>
    <t>Microservices Architecture - The Complete Guide</t>
  </si>
  <si>
    <t>Domain Driven Design: Complete Software Architecture Course</t>
  </si>
  <si>
    <t xml:space="preserve">Spring MicroServices using DDD and deploy to PCF(TAS)	</t>
  </si>
  <si>
    <t>Software Architecture for the Enterprise Architect</t>
  </si>
  <si>
    <t xml:space="preserve">Software Architecture Essentials for Business Applications	</t>
  </si>
  <si>
    <t xml:space="preserve">SOLID Principles of Object-Oriented Design and Architecture	</t>
  </si>
  <si>
    <t>Mastering Agile Scrum Project Management</t>
  </si>
  <si>
    <t xml:space="preserve">Agile Crash Course: Agile Project Management; Agile Delivery	</t>
  </si>
  <si>
    <t xml:space="preserve">The Complete Agile Scrum Fundamentals Course + Certification	</t>
  </si>
  <si>
    <t>Ultimate DevSecOps With Real World Scenarios</t>
  </si>
  <si>
    <t>Devops Fundamentals - CI/CD with AWS +Docker+Ansible+Jenkins</t>
  </si>
  <si>
    <t>DevOps Project: CI/CD with Jenkins Ansible Docker Kubernetes</t>
  </si>
  <si>
    <t>How to Edit Your Videos: Official Udemy Course</t>
  </si>
  <si>
    <t>How to Create an Online Course: The Official Udemy Course</t>
  </si>
  <si>
    <t>How to Film your Videos: Official Udemy Course</t>
  </si>
  <si>
    <t>How to Set your Course Goals: Official Udemy Course</t>
  </si>
  <si>
    <t>How to Add Practice Activities: Official Udemy Course</t>
  </si>
  <si>
    <t>How to Improve Your Video Quality: Official Udemy Course</t>
  </si>
  <si>
    <t>How to Create your Course Outline: Official Udemy Course</t>
  </si>
  <si>
    <t>Master Pivotal Cloud Foundry (PCF) with Spring Microservices</t>
  </si>
  <si>
    <t>Learn to Develop for Cloud with Pivotal Cloud Foundry</t>
  </si>
  <si>
    <t>Flutter, TDD, Clean Architecture, SOLID e Design Patterns</t>
  </si>
  <si>
    <t>【Python・PyAutoGUI】オリジナル業務効率化（RPA）ツールを作って単純作業を自動化しよう！</t>
  </si>
  <si>
    <t>Cypress test automation for people in a hurry</t>
  </si>
  <si>
    <t>SOA Exam P/CAS Exam 1: Probability for Actuaries Part 2</t>
  </si>
  <si>
    <t>SOA Exam P/CAS Exam 1: Probability for Actuaries Part 1</t>
  </si>
  <si>
    <t>WebSphere 8.5 Administration - Hands-On &amp; Practical</t>
  </si>
  <si>
    <t>Automatize o SAP|Excel, Ribbon e Macros|SAP Aberto/Fechado</t>
  </si>
  <si>
    <t>Excel Básico Avançado 5 Cursos - Formação Especialista</t>
  </si>
  <si>
    <t>Macros VBA para Excel Completo - Construa 7+ Ferramentas</t>
  </si>
  <si>
    <t>More than Certified in Terraform</t>
  </si>
  <si>
    <t>Identifiez les prospects qui seront fans de votre produit</t>
  </si>
  <si>
    <t>Android O &amp; Java - The Complete Android Development Bootcamp</t>
  </si>
  <si>
    <t>BUCHFÜHRUNG - KOMPLETTKURS</t>
  </si>
  <si>
    <t>SysAdmin Linux para o mercado de trabalho</t>
  </si>
  <si>
    <t>Logistic Regression using SAS - Indepth Predictive Modeling</t>
  </si>
  <si>
    <t>MTA: Windows Server Administration Fundamentals: 98-365</t>
  </si>
  <si>
    <t>Hotel Management Fundamentals: Kickstart Your Career Success</t>
  </si>
  <si>
    <t>TripAdvisor Domination For Hospitality &amp; Hotel Management</t>
  </si>
  <si>
    <t>Java/Apache Maven: The Truth About Building Java Programs</t>
  </si>
  <si>
    <t>ElasticSearch, LogStash, Kibana ELK #2 - Learn LogStash</t>
  </si>
  <si>
    <t>Complete Guide to Elasticsearch</t>
  </si>
  <si>
    <t>Marketing Campaign Strategy from A to Z</t>
  </si>
  <si>
    <t>The Complete Digital Marketing Course - 12 Courses in 1</t>
  </si>
  <si>
    <t>Emotional Intelligence Training: EI in the Workplace</t>
  </si>
  <si>
    <t>Emotional Intelligence at Work: Learn from Your Emotions</t>
  </si>
  <si>
    <t>Onboarding New Employees: Increase retention and performance</t>
  </si>
  <si>
    <t>The Complete Microsoft Dynamics NAV 2018 Beginners Course</t>
  </si>
  <si>
    <t>Applied Time Series Analysis and Forecasting with R Projects</t>
  </si>
  <si>
    <t>Introduction to Time Series Analysis and Forecasting in R</t>
  </si>
  <si>
    <t>Real World SAP - Plant Maintenance Orders and Notifications</t>
  </si>
  <si>
    <t>SAP Simplified for Absolute Beginners</t>
  </si>
  <si>
    <t>Cryptography Beginners Guide with openSSL</t>
  </si>
  <si>
    <t>Certified Electronic Health Records Specialist</t>
  </si>
  <si>
    <t>CRISPR/Cas9 Crash Course for Beginners</t>
  </si>
  <si>
    <t>The Complete Azure SQL Database Bootcamp:Beginner To Expert</t>
  </si>
  <si>
    <t>Introduction to Azure SQL Database for Beginners</t>
  </si>
  <si>
    <t>Azure SQL Data Warehouse Synapse Analytics Service</t>
  </si>
  <si>
    <t>Salesforce Lightning web component with live project</t>
  </si>
  <si>
    <t>The Ultimate Hands-On Lightning Web Component</t>
  </si>
  <si>
    <t>Master Salesforce Lightning Reports, Dashboards &amp; Listviews</t>
  </si>
  <si>
    <t>TensorFlow 2.0 Practical Advanced</t>
  </si>
  <si>
    <t>Deep Learning with TensorFlow 2.0 [2021]</t>
  </si>
  <si>
    <t>TensorFlow 2.0 Practical</t>
  </si>
  <si>
    <t>Performance Testing Using Locust 1.0</t>
  </si>
  <si>
    <t>Microsoft AZ-900 Real Exam Simulation</t>
  </si>
  <si>
    <t>AZ-900 - Microsoft Azure Fundamentals Practice Tests 2021</t>
  </si>
  <si>
    <t>Microsoft AZ-900 Certification: Azure Fundamentals</t>
  </si>
  <si>
    <t>Socket.IO Chat App in React Native for iOS/Android</t>
  </si>
  <si>
    <t>Office 365 modern SharePoint sites for beginners</t>
  </si>
  <si>
    <t>The ultimate real-life Office 365 productivity course</t>
  </si>
  <si>
    <t>Oracle Cloud Infrastructure Foundations 2020 Practice sets</t>
  </si>
  <si>
    <t>Double Your Academic Writing Quality: Practical Writing Tips</t>
  </si>
  <si>
    <t>Effective Academic Writing: Write Papers that Get Results</t>
  </si>
  <si>
    <t>Learn about Apigee API Management Platform</t>
  </si>
  <si>
    <t>Prepare the Safe 5.0 Leading Safe certificate</t>
  </si>
  <si>
    <t>Getting Started with LESS - Beginner Crash Course</t>
  </si>
  <si>
    <t>Marketing de Afiliados: Como Generar Ingresos Pasivos Online</t>
  </si>
  <si>
    <t>Final Cut Pro X Deutsch</t>
  </si>
  <si>
    <t>Apple Final Cut Pro X - Videos schneiden lernen in FCPX</t>
  </si>
  <si>
    <t>Como Editar Vídeos - Módulo Básico - SUB Español</t>
  </si>
  <si>
    <t>Curso de EDIÇÃO DE VÍDEO - Do básico até o avançado!</t>
  </si>
  <si>
    <t>Edição de Vídeo para Iniciantes - Saindo do zero</t>
  </si>
  <si>
    <t>The Extensive WebGL Series ! - Part1 : Low Level Graphics</t>
  </si>
  <si>
    <t>WebGL w/ Unity: The Ultimate Guide to Games in the Browser</t>
  </si>
  <si>
    <t>Learn PHP 7 and Laravel Master Course</t>
  </si>
  <si>
    <t>Master Laravel for Beginners &amp; Intermediate [2020 Update]</t>
  </si>
  <si>
    <t>Marketing de contenidos. Estrategias para tus redes sociales</t>
  </si>
  <si>
    <t>Marketing de Contenidos para Principiantes: La Guía Completa</t>
  </si>
  <si>
    <t>3ds Max + Vray : 3d Visualizer handbook to Interior daylight</t>
  </si>
  <si>
    <t>3ds Max + V-Ray: Complete 3D Photorealistic Rendering Course</t>
  </si>
  <si>
    <t>3ds Max + Vray: Advanced Architectural Exteriors</t>
  </si>
  <si>
    <t>Oracle 18c and Dataguard setup on premises and oracle Cloud</t>
  </si>
  <si>
    <t>Oracle 12c Data Guard Administration</t>
  </si>
  <si>
    <t>Modern Deliverability for Cold Email</t>
  </si>
  <si>
    <t>Lead Generation Machine: Cold Email B2B Sales Master Course</t>
  </si>
  <si>
    <t>Small Business Lead Generation &amp; Cold Email | B2B &amp; B2C</t>
  </si>
  <si>
    <t>An Introduction to Digital Platform Governance</t>
  </si>
  <si>
    <t>Microservice, RESTAPI, CI/CD, Deploy, LoadBalancer e Monitor</t>
  </si>
  <si>
    <t>Azure Pipelines - CI/CD, Docker e Kubernetes no Azure DevOps</t>
  </si>
  <si>
    <t>ITIL 4 Foundation Préparation Complète - Version Française</t>
  </si>
  <si>
    <t>Watercolor Painting Landscapes I By Award Winning Artist</t>
  </si>
  <si>
    <t>Design Gráfico - Fundamentos COMPLETÍSSIMO</t>
  </si>
  <si>
    <t>c++ sıfırdan</t>
  </si>
  <si>
    <t>Aprende Spring Framework de la manera más simple en español</t>
  </si>
  <si>
    <t>Desarrollo Web con Spring 4</t>
  </si>
  <si>
    <t>Universidad Java 2021 - De Cero a Experto! +105 hrs</t>
  </si>
  <si>
    <t>Aprende Programación en Java (de Básico a Avanzado)</t>
  </si>
  <si>
    <t>Máster Completo en Java de cero a experto con IntelliJ 2021</t>
  </si>
  <si>
    <t>Java EE - Desde cero a Experto (EJB, JPA, Web Services, JSF)</t>
  </si>
  <si>
    <t>Crea Aplicaciones Java Web. Completísimo y Desde Cero!</t>
  </si>
  <si>
    <t>Universidad Java 2: Spring, Hibernate, Struts y más!</t>
  </si>
  <si>
    <t>Spring Boot 2 &amp; Spring MVC-Desarrollo web profesional(2021)</t>
  </si>
  <si>
    <t>Java Masterclass: De cero a Heroe en tiempo record</t>
  </si>
  <si>
    <t>Máster Completo en Java de cero a experto con IntelliJ 2097</t>
  </si>
  <si>
    <t>Universidad Angular 2021 - De Cero a Experto en Angular!</t>
  </si>
  <si>
    <t>Angular: De cero a experto - ( Edición 2021 )</t>
  </si>
  <si>
    <t>Curso de Angular 12 - Desde cero hasta profesional</t>
  </si>
  <si>
    <t>Universidad JavaScript 2021 - De Cero a Experto JavaScript!</t>
  </si>
  <si>
    <t>Master en JavaScript: Aprender JS, jQuery, Angular, NodeJS</t>
  </si>
  <si>
    <t>JavaScript Moderno: Guía para dominar el lenguaje</t>
  </si>
  <si>
    <t>Club Java Master: De Novato a Experto Java. +80 hrs</t>
  </si>
  <si>
    <t>Programacion Orientada a Objetos con Java y Netbeans</t>
  </si>
  <si>
    <t>Desarrolla sistemas en Java, MySQL, DAO, POO, Swing, 3 Capas</t>
  </si>
  <si>
    <t>Máster Completo en Java de cero a experto con IntelliJ 2087</t>
  </si>
  <si>
    <t>Universidad Spring 2021 - Spring Framework y Spring Boot!</t>
  </si>
  <si>
    <t>Spring Framework 5: Creando webapp de cero a experto 2021</t>
  </si>
  <si>
    <t>Universidad Python  2021 - POO, Django, Flask y Postgresql</t>
  </si>
  <si>
    <t>Master en Python: Aprender Python 3, Django, Flask y Tkinter</t>
  </si>
  <si>
    <t>Flask con Python 3 + integración con Vue y Bootstrap 4</t>
  </si>
  <si>
    <t>Universidad Desarrollo Web 2021 - FrontEnd Web Developer!</t>
  </si>
  <si>
    <t>Desarrollo Web Completo con HTML5, CSS3, JS AJAX PHP y MySQL</t>
  </si>
  <si>
    <t>Diseño Web Profesional El Curso Completo, Práctico y desde 0</t>
  </si>
  <si>
    <t xml:space="preserve">Flute : Beginners Indian Course LEVEL 1	</t>
  </si>
  <si>
    <t>Periscope: Use Periscope To Grow Your Business</t>
  </si>
  <si>
    <t>Azure Data Engineer Technologies for Beginners [Bundle]</t>
  </si>
  <si>
    <t xml:space="preserve">Azure Data Factory For Data Engineers - Project on Covid19	</t>
  </si>
  <si>
    <t>DP-900 Microsoft Azure Data Fundamentals Certification 2021</t>
  </si>
  <si>
    <t>DP-203 - Data Engineering on Microsoft Azure 2021</t>
  </si>
  <si>
    <t>Microsoft Azure Data Lake Storage Service (Gen1 &amp; Gen2)</t>
  </si>
  <si>
    <t>Azure Data Factory For Data Engineers - Project on Covid19</t>
  </si>
  <si>
    <t>Learn Azure Cosmos DB basics this weekend in 3 hour</t>
  </si>
  <si>
    <t>DP-203: Data Engineering on Microsoft Azure + Practice Tests</t>
  </si>
  <si>
    <t>Design and Implement Cloud Data Solutions</t>
  </si>
  <si>
    <t>DP-900: Microsoft Azure Data Fundamentals Video Course + Qus</t>
  </si>
  <si>
    <t>AI-900: Microsoft Azure AI Fundamentals Video Course + Ques</t>
  </si>
  <si>
    <t>AI-900 Microsoft Azure AI Fundamentals Certification 2021</t>
  </si>
  <si>
    <t>MS-900 Exam: Microsoft 365 Fundamentals Video Course + Ques</t>
  </si>
  <si>
    <t>Gestión de Proyectos con Estándares  PMI y la Guía PMBOK 6</t>
  </si>
  <si>
    <t xml:space="preserve">Gestión de Proyectos con Project y Excel bajo enfoque PMBOK	</t>
  </si>
  <si>
    <t xml:space="preserve">Gestión de Proyectos: Los 49 procesos de la Guía PMBOK VI	</t>
  </si>
  <si>
    <t>Simulador del examen PMP del PMI 2021</t>
  </si>
  <si>
    <t xml:space="preserve">Tips para el Examen PMP - Version 6 del PMBOK	</t>
  </si>
  <si>
    <t>Inteligencia Emocional: Resiliencia y Mindfulness</t>
  </si>
  <si>
    <t xml:space="preserve">Domina la Inteligencia Emocional | Psicología Aplicada	</t>
  </si>
  <si>
    <t>Curso en contrucción</t>
  </si>
  <si>
    <t>Curso en revisión</t>
  </si>
  <si>
    <t>Preparación Examen PMP 2021 + simulacro de 180 preguntas</t>
  </si>
  <si>
    <t>AZ-304 - Microsoft Azure Architect Practice Tests 2021</t>
  </si>
  <si>
    <t xml:space="preserve">AZ-304 Azure Architect Design Exam Prep 2021        </t>
  </si>
  <si>
    <t>AZ-303 - Microsoft Azure Architect Practice Tests 2021</t>
  </si>
  <si>
    <t xml:space="preserve">AZ-303 Azure Architecture Technologies Exam Prep 2021	</t>
  </si>
  <si>
    <t>AZ-104  - Microsoft Azure Administrator Practice Tests 2021</t>
  </si>
  <si>
    <t xml:space="preserve">AZ-104 Exam Prep: Microsoft Azure Administrator	</t>
  </si>
  <si>
    <t xml:space="preserve">AZ-900: Microsoft Azure Fundamentals Exam Prep - MAY 2021        </t>
  </si>
  <si>
    <t>AZ-104 Microsoft Azure Administrator Training Bootcamp 2021</t>
  </si>
  <si>
    <t>AZ-900 - Microsoft Azure Fundamentals Training Bootcamp 2021</t>
  </si>
  <si>
    <t>AWS Certified Cloud Practitioner Training Bootcamp 2021</t>
  </si>
  <si>
    <t>Intro to Cisco Firepower Threat Defense (FTD) Firewall</t>
  </si>
  <si>
    <t xml:space="preserve">Practical Cisco Firepower Training	</t>
  </si>
  <si>
    <t>AZ-400 Microsoft Azure DevOps Expert - Prc Test:UPDATED 2021</t>
  </si>
  <si>
    <t>MS Cybersecurity Pro Track: Enterprise Security Fundamentals</t>
  </si>
  <si>
    <t>Windows Server 2019 Hyper-V, Storage, Clustering and NLB</t>
  </si>
  <si>
    <t xml:space="preserve">Windows Server 2016 Administration	</t>
  </si>
  <si>
    <t>MS-100 Microsoft 365 Identity and Services Real Exam Tests</t>
  </si>
  <si>
    <t xml:space="preserve">[NEW] Exam MS-100 Microsoft 365 Identity and Services - 2021	</t>
  </si>
  <si>
    <t>Microsoft Cybersecurity Pro Track: Threat Detection</t>
  </si>
  <si>
    <t>DP-200/203: Data Engineering on Microsoft Azure</t>
  </si>
  <si>
    <t xml:space="preserve">DP-200 Implementing Azure Data Exam Prep In One Day	</t>
  </si>
  <si>
    <t xml:space="preserve">AI-900 Azure AI Fundamentals Exam Prep In One Day - Jan 2021	</t>
  </si>
  <si>
    <t xml:space="preserve">DP-900: Microsoft Azure Data Fundamentals Video Course + Qus	</t>
  </si>
  <si>
    <t>DP-201 Implementing an Azure Data Solution 5 practice tests</t>
  </si>
  <si>
    <t>[NEW] PL-900 Microsoft Power Platforms- 5 practice tests</t>
  </si>
  <si>
    <t xml:space="preserve">PL-900: Microsoft Power Platform Fundamentals	</t>
  </si>
  <si>
    <t>[NEW] MS-900 Microsoft 365 Fundamentals-5 practice tests</t>
  </si>
  <si>
    <t xml:space="preserve">MS-900 Exam Prep: Microsoft 365 Fundamentals Course	</t>
  </si>
  <si>
    <t>AWS Certified Solution Architect - Associate</t>
  </si>
  <si>
    <t>AWS Certified Cloud Practitioner - Updated 2020</t>
  </si>
  <si>
    <t>AWS Certifications Practice Tests</t>
  </si>
  <si>
    <t>AWS Certified Solution Architect Associate - Preparation</t>
  </si>
  <si>
    <t>AZ-303 Azure Architect Technologies Certification 2021</t>
  </si>
  <si>
    <t xml:space="preserve">Microsoft AZ-303 Certification: Azure Architect Technologies	</t>
  </si>
  <si>
    <t>AZ-204 Developing Solutions for Azure Certification 2021</t>
  </si>
  <si>
    <t xml:space="preserve">AZ-204 Developing for Microsoft Azure Exam Prep        </t>
  </si>
  <si>
    <t>Microsoft AZ-304 Certification: Azure Architect Design</t>
  </si>
  <si>
    <t>AZ-500 Microsoft Azure Security Exam Certification 2021</t>
  </si>
  <si>
    <t>AZ-303: Microsoft Azure Architect Technologies Practice Test</t>
  </si>
  <si>
    <t>AZ-304: Microsoft Azure Architect Design Practice Tests</t>
  </si>
  <si>
    <t xml:space="preserve">Microsoft AZ-304 Certification: Azure Architect Design        </t>
  </si>
  <si>
    <t>AZ-500: Microsoft Azure Security Technologies Practice Tests</t>
  </si>
  <si>
    <t xml:space="preserve">Microsoft AZ-500 Certification: Azure Security Technologies        </t>
  </si>
  <si>
    <t>AZ-204 Developing Solutions for MS Azure Practice Tests</t>
  </si>
  <si>
    <t xml:space="preserve">AZ-204 Developing for Microsoft Azure Exam Prep	</t>
  </si>
  <si>
    <t>AZ-104 Microsoft Azure Administrator Practice Tests</t>
  </si>
  <si>
    <t xml:space="preserve">AZ-104: Microsoft Azure Administrator - Full Course	</t>
  </si>
  <si>
    <t>Microsoft Power BI Certification: DA-100 Exam Prep</t>
  </si>
  <si>
    <t xml:space="preserve">MICROSOFT POWER BI DA-100 EXAM: Advanced 2021 Practice Test	</t>
  </si>
  <si>
    <t>Microsoft's certification course</t>
  </si>
  <si>
    <t>استخدام بايثون في الشبكات و الامن السيبراني</t>
  </si>
  <si>
    <t>tekla structures version 2020 (steel structures)</t>
  </si>
  <si>
    <t>القرصنة الأخلاقية مع كالي لينكس - الكورس الأقوى</t>
  </si>
  <si>
    <t>PRIMAVERA P6 (Project PLAN+UPDATE+CONTROL) Arabic بريمافيرا</t>
  </si>
  <si>
    <t>Amazon affiliate from zero to Hero Arabic, أمازون افلييت</t>
  </si>
  <si>
    <t>Autodesk Revit Structure 2020 - Arabic</t>
  </si>
  <si>
    <t>Introduction to SIP</t>
  </si>
  <si>
    <t>Quick Start to OpenSIPS 3.1</t>
  </si>
  <si>
    <t>Complete Asterisk Training</t>
  </si>
  <si>
    <t>Practice Exams : Professional Scrum Kanban (PSK)</t>
  </si>
  <si>
    <t>Scrum with Kanban PSK-I™ Certification 2019</t>
  </si>
  <si>
    <t>Django &amp; Python: complete BUNDLE + Django real project 2020</t>
  </si>
  <si>
    <t>Django 2.2 &amp; Python | The Ultimate Web Development Bootcamp</t>
  </si>
  <si>
    <t>A Consultant's Guide to PowerPoint</t>
  </si>
  <si>
    <t>Powerpoint 2016 2019 - Master powerpoint presentation</t>
  </si>
  <si>
    <t>The Real Estate Financial Modeling Bootcamp</t>
  </si>
  <si>
    <t>Fundamentals of Analyzing Real Estate Investments</t>
  </si>
  <si>
    <t>1 Hour CSS</t>
  </si>
  <si>
    <t>CSS - The Complete Guide 2021 (incl. Flexbox, Grid &amp; Sass)</t>
  </si>
  <si>
    <t>LeetCode In Python: 50 Algorithms Coding Interview Questions</t>
  </si>
  <si>
    <t>11 Essential Coding Interview Questions + Coding Exercises!</t>
  </si>
  <si>
    <t>Real Estate Asset Management 101</t>
  </si>
  <si>
    <t>1 hour jQuery</t>
  </si>
  <si>
    <t>The Real Estate Syndication Process</t>
  </si>
  <si>
    <t>three.js and webgl 3D programming master class 2021</t>
  </si>
  <si>
    <t>Make a low poly scene in Blender and Unity in 30 minutes</t>
  </si>
  <si>
    <t>Low-Poly Vehicle Design in Blender for Unity Game Developers</t>
  </si>
  <si>
    <t>Supercharge Your Email Productivity</t>
  </si>
  <si>
    <t>Email Ninja - Take Back Control of Your Email Inbox</t>
  </si>
  <si>
    <t>Anime Drawing for Beginners</t>
  </si>
  <si>
    <t>Character Art School: Complete Coloring and Painting Course</t>
  </si>
  <si>
    <t>APIs with Postman for Absolute Beginners</t>
  </si>
  <si>
    <t>Postman: The Complete Guide - REST API Testing</t>
  </si>
  <si>
    <t>Flipped Learning for Businesses</t>
  </si>
  <si>
    <t>ServiceNow Kickstart: Basic Skills for CMDB Administration</t>
  </si>
  <si>
    <t>Create Complete Web Applications easily with APEX 5</t>
  </si>
  <si>
    <t>How To Create Complete Oracle APEX Web Apps Easily</t>
  </si>
  <si>
    <t>Mastering the Basics of SQL Server Query Optimization</t>
  </si>
  <si>
    <t>RHCE Linux System Engineer Complete Course</t>
  </si>
  <si>
    <t>Essential Theory and Technique for Guitar</t>
  </si>
  <si>
    <t>Complete Guitar Lessons System - Beginner to Advanced</t>
  </si>
  <si>
    <t>Ultimate Electrical Design Engineering Course Bundle</t>
  </si>
  <si>
    <t>Develop your innovation - Certified Design Thinking Bootcamp</t>
  </si>
  <si>
    <t>Design Thinking for Beginners: Develop Innovative Ideas</t>
  </si>
  <si>
    <t>Tableau Certified Associate in 60 Minutes with Practice Exam</t>
  </si>
  <si>
    <t>The Credit Analyst Training course</t>
  </si>
  <si>
    <t>Kubernetes On The Cloud &amp; The CNCF CKA Certification</t>
  </si>
  <si>
    <t>Cyber Security Incident Handling and Response</t>
  </si>
  <si>
    <t>TOTAL: AWS Solutions Architect SAA-C02 Practice Tests.</t>
  </si>
  <si>
    <t>Customer Experience Management (CX): MASTERCLASS 2021</t>
  </si>
  <si>
    <t>RabbitMQ : Messaging with Java, Spring Boot And Spring MVC</t>
  </si>
  <si>
    <t>Learn RabbitMQ: Asynchronous Messaging with Java and Spring</t>
  </si>
  <si>
    <t>Stakeholder Management &amp; Engagement</t>
  </si>
  <si>
    <t>Learn HubSpot CRM From Scratch</t>
  </si>
  <si>
    <t>Microsoft Powerapps Essential Training 2021</t>
  </si>
  <si>
    <t>Abaqus CAE : Learn Static and Dynamic Analysis</t>
  </si>
  <si>
    <t>Professional Scrum Product Owner™ II (PSPO II) Exam Prep</t>
  </si>
  <si>
    <t>GMail, IFTTT, Virtual Assistant - Ultimate Productivity Trio</t>
  </si>
  <si>
    <t>Learn Advanced Game Mechanics in Unity for Game Development</t>
  </si>
  <si>
    <t>Copywriting: How To Convert Features Into Benefits That Sell</t>
  </si>
  <si>
    <t>Build Your Own Online Store - No Coding Required!</t>
  </si>
  <si>
    <t>Predictable Revenue Pipedrive Mastery Course</t>
  </si>
  <si>
    <t>Moodle 3.0x Administration Tutorial: ADVANCED COURSE</t>
  </si>
  <si>
    <t>Moodle: From Novice Teacher to Expert Online Educator</t>
  </si>
  <si>
    <t>Building an Automated SQL Server Performance Tuning Engine</t>
  </si>
  <si>
    <t>Fluent API Design - A Crash Course</t>
  </si>
  <si>
    <t>Software Architecture: REST API Design - The Complete Guide</t>
  </si>
  <si>
    <t>Facebook ChatBot Marketing: The Smart Way To Use ManyChat</t>
  </si>
  <si>
    <t>Facebook Marketing - Build Facebook Messenger Chatbots</t>
  </si>
  <si>
    <t>Electric Vehicle Education</t>
  </si>
  <si>
    <t>How Sustainability is Changing The Financial Sector</t>
  </si>
  <si>
    <t>Corporate Finance</t>
  </si>
  <si>
    <t>Getting started with Sap Analytics Cloud</t>
  </si>
  <si>
    <t>SAP Analytics Cloud(C_SAC_2021) : Exam questions</t>
  </si>
  <si>
    <t>Automotive Engineering; Hybrid Electric Vehicles</t>
  </si>
  <si>
    <t>Work with RDS and DynamoDB: AWS with Python and Boto3 Series</t>
  </si>
  <si>
    <t>AWS DynamoDB - The Complete Guide (Build 18+ Hands On Demos)</t>
  </si>
  <si>
    <t>Open a Non-Medical Home Care Agency - Home Based Business</t>
  </si>
  <si>
    <t>REST API Using Java and BDD Cucumber: API Testing</t>
  </si>
  <si>
    <t>TEKLA STRUCTURES for Beginners &amp; Intermediates</t>
  </si>
  <si>
    <t>Ultimate IELTS Writing: Learn to Master IELTS Writing Task 2</t>
  </si>
  <si>
    <t>Mastering IELTS Writing: Task 2 (Band 9 Model Answers)</t>
  </si>
  <si>
    <t>Mastering Apache Maven</t>
  </si>
  <si>
    <t>Understanding HIPAA for the Medical Office</t>
  </si>
  <si>
    <t>Understanding and Complying with HIPAA</t>
  </si>
  <si>
    <t>Statistics &amp; Data Analysis: Linear Regression Models in SPSS</t>
  </si>
  <si>
    <t>Entity Framework (EF) core Komplettkurs: Datenzugriff mit C#</t>
  </si>
  <si>
    <t>Selbstmanagement für wichtige Aufgaben und Ziele</t>
  </si>
  <si>
    <t>Powerpoint - verblüffende Effekte und Animationen</t>
  </si>
  <si>
    <t>Next Level PowerPoint - kreative Bildgestaltung im Marketing</t>
  </si>
  <si>
    <t>Social Media Marketing - Deine Content Strategie</t>
  </si>
  <si>
    <t>Künstliche Intelligenz für Business Manager*innen</t>
  </si>
  <si>
    <t>PINTEREST MARKETING: Pinterest SEO &amp; Pinterest Business</t>
  </si>
  <si>
    <t>Programación Java SE desde 0</t>
  </si>
  <si>
    <t>Android y Kotlin Desde Cero a Profesional Completo +45 horas</t>
  </si>
  <si>
    <t>Aprende Android Kotlin desde cero</t>
  </si>
  <si>
    <t>Android Completo con Kotlin: Aprende creando apps</t>
  </si>
  <si>
    <t>Guía Definitiva: 70-532 Developing Microsoft Azure Solutions</t>
  </si>
  <si>
    <t>Implementación de soluciones en Microsoft Azure</t>
  </si>
  <si>
    <t>CHATBOT ManyChat 2020: Embudo de VENTAS Facebook Messenger</t>
  </si>
  <si>
    <t>Curso de Facebook Messenger ChatBot</t>
  </si>
  <si>
    <t>Domina ACTIVECAMPAIGN Desde Cero Y AUTOMATIZA Tu Negocio</t>
  </si>
  <si>
    <t>Facebook Ads ESTRATÉGICO 2020: Marketing Digital para VENDER</t>
  </si>
  <si>
    <t>Facebook Ads 2020 : Domina el Marketing en Facebook</t>
  </si>
  <si>
    <t>Crea Tu EMBUDO DE VENTAS Paso a Paso Y VENDE Por Internet</t>
  </si>
  <si>
    <t>Adobe Premiere Pro CC | Initiation | Outils + Ateliers créas</t>
  </si>
  <si>
    <t>Maîtriser le montage Vidéo avec Adobe Première CC</t>
  </si>
  <si>
    <t>Augmentez le ROI de vos actions avec le Marketing Analytique</t>
  </si>
  <si>
    <t>【 TensorFlow・Python3 で学ぶ】深層強化学習入門</t>
  </si>
  <si>
    <t>【画像判定AIアプリ開発・パート1】TensorFlow・Python・Flaskで作る画像判定AIアプリ開発入門</t>
  </si>
  <si>
    <t>Cronoanálise aplicada em BPM e Lean Thinking</t>
  </si>
  <si>
    <t>UI Design: Design de Interfaces com foco em Projetos Web</t>
  </si>
  <si>
    <t>Sketch: UI Design do básico aos protótipos responsivos</t>
  </si>
  <si>
    <t>Curso Básico de Francês - Curso completo para iniciantes</t>
  </si>
  <si>
    <t>Curso básico francês em francês 1: aprenda com aulas online</t>
  </si>
  <si>
    <t>Copywriting Expert | Torne-se um Mestre das Vendas</t>
  </si>
  <si>
    <t>Copywriting: As 7 fórmulas atemporais para cartas de vendas.</t>
  </si>
  <si>
    <t>Pentest para Iniciantes</t>
  </si>
  <si>
    <t>Web Hacking - Técnicas de Invasão em Ambientes Web [Pentest]</t>
  </si>
  <si>
    <t>Conscious Business Module 1: True Success by Being Yourself</t>
  </si>
  <si>
    <t>Conscious Business: Building Collaborative &amp; Engaged Teams</t>
  </si>
  <si>
    <t>Conscious Business: Building Empowered Relationships</t>
  </si>
  <si>
    <t>Creando Tienda Online con Wordpress y WooCommerce desde cero</t>
  </si>
  <si>
    <t>Desarrollo de Tiendas Virtuales con WordPress y WooCommerce</t>
  </si>
  <si>
    <t>Creación de Tiendas Online: Fácil, Completo y desde Cero</t>
  </si>
  <si>
    <t>Curso de Negociação e Vendas + PNL - Aprenda na prática!</t>
  </si>
  <si>
    <t>Vendas de Serviços de Alto Valor</t>
  </si>
  <si>
    <t>Administração do Tempo</t>
  </si>
  <si>
    <t>Gestão de Tempo - como aumentar sua produtividade</t>
  </si>
  <si>
    <t>Gestão do Tempo para Alta Performance</t>
  </si>
  <si>
    <t>Leadership: New Manager Training for Technical Professionals</t>
  </si>
  <si>
    <t>PMI Professional Development Units (PDUs)</t>
  </si>
  <si>
    <t>JavaScript: The Advanced Concepts (2021)</t>
  </si>
  <si>
    <t>Advanced JavaScript Topics</t>
  </si>
  <si>
    <t>Primal Learning - Join the Top 1% Fastest Learners</t>
  </si>
  <si>
    <t>How to Learn: Effective Approaches for Self-Guided Learning</t>
  </si>
  <si>
    <t>Complete SQL and Databases Bootcamp: Zero to Mastery [2021]</t>
  </si>
  <si>
    <t>The Complete SQL Bootcamp 2021: Go from Zero to Hero</t>
  </si>
  <si>
    <t>MySQL, SQL and Stored Procedures from Beginner to Advanced</t>
  </si>
  <si>
    <t>2021 Update! React Testing with Jest and Enzyme</t>
  </si>
  <si>
    <t>Deno: The Complete Guide Zero to Mastery</t>
  </si>
  <si>
    <t>NodeJS - The Complete Guide (MVC, REST APIs, GraphQL, Deno)</t>
  </si>
  <si>
    <t>Learn to create WebXR, VR and AR, experiences using Three.JS</t>
  </si>
  <si>
    <t>Learn A-Frame And Get Ready For WebVR</t>
  </si>
  <si>
    <t>Learn Terraform v0.13 v0.14 v0.15 on Azure DevOps Automation</t>
  </si>
  <si>
    <t>Terraform Master Course | HashiCorp Certified Terraform 2021</t>
  </si>
  <si>
    <t>Hashicorp Certified: Terraform Associate 2021</t>
  </si>
  <si>
    <t>Les animations au Scroll en 9 projets</t>
  </si>
  <si>
    <t>The Ultimate Piano Chords Course - for Piano &amp; Keyboard</t>
  </si>
  <si>
    <t>Pianoforall - Incredible New Way To Learn Piano &amp; Keyboard</t>
  </si>
  <si>
    <t>Jazz Piano - Ultimate Beginners Course for Piano &amp; Keyboard</t>
  </si>
  <si>
    <t>Formação em Análise de Negócios com base no Guia BABOK ® v3</t>
  </si>
  <si>
    <t>CUCM - Cisco Unified Communication Manager Administration</t>
  </si>
  <si>
    <t>Masterclass en Innovación y Organizaciones Exponenciales</t>
  </si>
  <si>
    <t>Laravel für Anfänger - Lerne Laravel in nur 4 Stunden</t>
  </si>
  <si>
    <t>Introduction To Unity® For Absolute Beginners | 2018 ready</t>
  </si>
  <si>
    <t>Discover Voice Controlled AR Apps|Unity &amp; A Cloud Based AI</t>
  </si>
  <si>
    <t>Build 15 Augmented Reality (AR) apps with Unity &amp; Vuforia</t>
  </si>
  <si>
    <t>Tailwind CSS Einführung - eine neue Art CSS zu denken!</t>
  </si>
  <si>
    <t>Laravel 7 - Praxiskurs für Anfänger: Alle Grundlagen am Bsp.</t>
  </si>
  <si>
    <t>Gestion des émotions</t>
  </si>
  <si>
    <t>Développez votre intelligence émotionnelle</t>
  </si>
  <si>
    <t>Langage corporel : les clés pour l'analyser &amp; le comprendre</t>
  </si>
  <si>
    <t>Langage corporel pour la réussite et la confiance en soi</t>
  </si>
  <si>
    <t>Oracle Data Integrator (ODI) 12C - All Steps - Hands on</t>
  </si>
  <si>
    <t>Learn Photography: A Simple System for Photography Starters</t>
  </si>
  <si>
    <t>Internal Controls - Design, Implementation and Monitoring</t>
  </si>
  <si>
    <t>Grundlagen des Innovationsmanagements</t>
  </si>
  <si>
    <t>Curso de Laravel desde cero + APIs RESTful y webs Angular</t>
  </si>
  <si>
    <t>Master en webs Full Stack: Angular, Node, Laravel, Symfony +</t>
  </si>
  <si>
    <t>Marketing Strategy : 21 Digital Marketing Tips &amp; Techniques</t>
  </si>
  <si>
    <t>Mega Digital Marketing Course A-Z: 12 Courses in 1 + Updates</t>
  </si>
  <si>
    <t>Audit Command Language for Beginners</t>
  </si>
  <si>
    <t>Copywriting Secrets: Become a Content Writing Expert</t>
  </si>
  <si>
    <t>Modern Copywriting: Writing copy that sells in 2021</t>
  </si>
  <si>
    <t>Introdução à Estratégia e Redação Publicitária (Copywriting)</t>
  </si>
  <si>
    <t>Die Schreibwerkstatt</t>
  </si>
  <si>
    <t>Teaser, die zum Weiterlesen animieren</t>
  </si>
  <si>
    <t>Salesforce community cloud implementation with live project</t>
  </si>
  <si>
    <t>The Complete Salesforce Development Course</t>
  </si>
  <si>
    <t>Salesforce Development Project</t>
  </si>
  <si>
    <t>Quantum Computing and Quantum Machine Learning - Part 1</t>
  </si>
  <si>
    <t>QC101 Quantum Computing &amp; Quantum Physics for Beginners</t>
  </si>
  <si>
    <t>QC151 Quantum Physics for Quantum Computing</t>
  </si>
  <si>
    <t>Compensation 101 for HR Professionals</t>
  </si>
  <si>
    <t>The Ultimate Gmail Productivity System For Business</t>
  </si>
  <si>
    <t>Double your Gmail productivity in just over one hour</t>
  </si>
  <si>
    <t>The Java Spring Tutorial: Learn Java's Popular Web Framework</t>
  </si>
  <si>
    <t>Java Programming for Complete Beginners</t>
  </si>
  <si>
    <t>Spring Framework Master Class - Java Spring the Modern Way</t>
  </si>
  <si>
    <t>Sales Coaching - All you need to be a great sales coach</t>
  </si>
  <si>
    <t>LinkedIn Marketing Lead Generation for B2B Sales and Coaches</t>
  </si>
  <si>
    <t>Sketch from A to Z (2020): Become an app designer</t>
  </si>
  <si>
    <t>The Complete Sketch 5 Course - Design Apps &amp; Websites 2020</t>
  </si>
  <si>
    <t>Design thinking for entrepreneurs &amp; startups (part 1)</t>
  </si>
  <si>
    <t>Design Thinking + Entrepreneurship: My 8-Step Launch Program</t>
  </si>
  <si>
    <t>Design Thinking Crash Course | From Beginner to Practitioner</t>
  </si>
  <si>
    <t>Karriere managen: Die besten Erfolgsstrategien</t>
  </si>
  <si>
    <t>Mitarbeitergespräche: Leitfaden &amp; Praxistips für Mitarbeiter</t>
  </si>
  <si>
    <t>Learn SAP DMS Document Management System – SAP PLM</t>
  </si>
  <si>
    <t>Hacking with watchOS 5 - Build Amazing Apple Watch Apps</t>
  </si>
  <si>
    <t>Apple Watch Programming for iOS Developers - WatchOS 3 Apps</t>
  </si>
  <si>
    <t>50 Tipps um deine Fotos professioneller aussehen zu lassen!</t>
  </si>
  <si>
    <t>Produktfotografie von Low Budget bis Profilösung</t>
  </si>
  <si>
    <t>Entrenamiento para la Certificación de Red Hat RHCE</t>
  </si>
  <si>
    <t>SEO: Suchmaschinenoptimierung für Google in 8 Tagen umsetzen</t>
  </si>
  <si>
    <t>SEO GURU | Workshop für SEO-Muffel</t>
  </si>
  <si>
    <t>[A-Z] Google Tag Manager de básico a especialista de tags</t>
  </si>
  <si>
    <t>Google Sheet Data API JSON AJAX</t>
  </si>
  <si>
    <t>Präsentieren und Reden halten - Das Präsentationstraining</t>
  </si>
  <si>
    <t>Schlagfertigkeit: Die 30 besten Schlagfertigkeits-Techniken!</t>
  </si>
  <si>
    <t>Schwierige Gespräche führen im Beruf: Konfliktmanagement</t>
  </si>
  <si>
    <t>Photoshop Grundlagen - Grundkurs für jeden Einsteiger</t>
  </si>
  <si>
    <t>Adobe Design Bootcamp -Photoshop, Illustrator und InDesign!</t>
  </si>
  <si>
    <t>Photoshop Werkzeuge leicht gemacht</t>
  </si>
  <si>
    <t>How to make a Social Networking app -Android App Development</t>
  </si>
  <si>
    <t>ReactJS pour débutants (+ React Router)</t>
  </si>
  <si>
    <t>2021 Part1 CIA Exam- Essentials of Internal Auditing</t>
  </si>
  <si>
    <t>Quickstart to FreeSwitch Training</t>
  </si>
  <si>
    <t>Obtenir la certification Linux Essentials du LPI (2021)</t>
  </si>
  <si>
    <t>ES</t>
  </si>
  <si>
    <t>Ultimate AWS Certified Cloud Practitioner [NEW] - OCT 2021</t>
  </si>
  <si>
    <t>Corporate investment management: from beginner to expert.</t>
  </si>
  <si>
    <t>The Complete Investment Banking Course 2021</t>
  </si>
  <si>
    <t>Interpretación de la Norma ISO 9001:2015 completo</t>
  </si>
  <si>
    <t>ISO 9001:2015  Principios y fundamentos</t>
  </si>
  <si>
    <t>Japonés para principiantes. El método completo. Nivel 1</t>
  </si>
  <si>
    <t>personal Development</t>
  </si>
  <si>
    <t>id</t>
  </si>
  <si>
    <t>Otodidak Desain 3D dan Blender untuk Pemula</t>
  </si>
  <si>
    <t>Testing untuk Web Developer</t>
  </si>
  <si>
    <t>Dasar Jaringan Komputer untuk Pemula</t>
  </si>
  <si>
    <t>Mahir Tanpa Guru: Desain Grafis Photoshop dan Illustrator</t>
  </si>
  <si>
    <t>Uplifting Service</t>
  </si>
  <si>
    <t>Linux Server Configuration</t>
  </si>
  <si>
    <t>Menjadi Public Speaker Professional yang Penuh Percaya Diri</t>
  </si>
  <si>
    <t>Mempelajari Machine Learning dengan Python</t>
  </si>
  <si>
    <t>The complete AutoCAD 2017-21 Course</t>
  </si>
  <si>
    <t>ISTQB Foundation Level (CTFL) Exam Review - Updated 2021</t>
  </si>
  <si>
    <t>Certified Tester ISTQB Foundation Level (CTFL) -Updated 2021</t>
  </si>
  <si>
    <t>DSGVO - Zusammenfassung und Tipps für die Umsetzung</t>
  </si>
  <si>
    <t>Meetingmarathon - Das Geheimnis produktiver Meetings</t>
  </si>
  <si>
    <t>Produktive Meetings: Geheimnisse effektiver Besprechungen</t>
  </si>
  <si>
    <t>AWS ECS (Elastic Container Service) - Deep Dive</t>
  </si>
  <si>
    <t>[NEW] Amazon ECS &amp; Fargate Master Class - Docker on AWS</t>
  </si>
  <si>
    <t>Parler anglais comme un anglophone – Speak English Better</t>
  </si>
  <si>
    <t>IT Professional 2.0: Take Your Career To The Next Level</t>
  </si>
  <si>
    <t>SAP WM Warehouse Management</t>
  </si>
  <si>
    <t>SAP Extended Warehouse Management - Fundamentals of SAP EWM</t>
  </si>
  <si>
    <t>ICO. Launch a DeFi Initial Coin Offering &amp; Raise Investment</t>
  </si>
  <si>
    <t>SAP MM (Materials Management) - Configuration and End User</t>
  </si>
  <si>
    <t>Oracle Apps R12 Financials Course Online Training</t>
  </si>
  <si>
    <t>Basics in Plan to Produce (P2P) Process: Oracle SCM Cloud</t>
  </si>
  <si>
    <t>Wondershare Filmora Masterclass A Complete Guide to Filmora</t>
  </si>
  <si>
    <t>Ansible入門</t>
  </si>
  <si>
    <t>Python Game Development using Pygame and Python 3</t>
  </si>
  <si>
    <t>SAP MDG Workflows ( BRF+ Rule Based / Static ) with Hands-On</t>
  </si>
  <si>
    <t>Sensu - Intermediate</t>
  </si>
  <si>
    <t>Reactive JS:  Are you ready for the next big paradigm shift?</t>
  </si>
  <si>
    <t>React in easy steps with Node and Java Backend</t>
  </si>
  <si>
    <t>Modelagem para Jogos com Blender 3D</t>
  </si>
  <si>
    <t>Crie seu personagem 3D completo no Blender!</t>
  </si>
  <si>
    <t>Produktivität: Der etwas andere Produktivitätskurs</t>
  </si>
  <si>
    <t>Produktivität im Arbeitsalltag</t>
  </si>
  <si>
    <t>Learn complete Java  -  Core Java &amp; JSP &amp; Servlets</t>
  </si>
  <si>
    <t>Java Programming Masterclass covering Java 11 &amp; Java 17</t>
  </si>
  <si>
    <t>Pardot Specialist Certification Practice Tests</t>
  </si>
  <si>
    <t>Get Clients Now Funnel (Client Acquisition, Lead Gen)</t>
  </si>
  <si>
    <t>30 Facebook Marketing Hacks: Der Komplette Facebook Kurs</t>
  </si>
  <si>
    <t>Facebook Werbeanzeigen Meisterkurs: Facebook Werbung von A-Z</t>
  </si>
  <si>
    <t>Email Marketing - The Complete Guide to MailChimp</t>
  </si>
  <si>
    <t>Email Marketing 2021: Build and Launch Effective Campaigns</t>
  </si>
  <si>
    <t>LINKEDIN POUR LES DÉBUTANTS (2021)</t>
  </si>
  <si>
    <t>SAP Cloud Platform - Essential Training { 2021 }</t>
  </si>
  <si>
    <t>Mastering Burp Suite Pro - Dynamic course</t>
  </si>
  <si>
    <t>Burp Suite: In Depth Survival Guide</t>
  </si>
  <si>
    <t>Fundamentals of Business Crisis Management</t>
  </si>
  <si>
    <t>A+ 2016: PC Components Fundamentals</t>
  </si>
  <si>
    <t>A+ 2016: Operating Systems Fundamentals</t>
  </si>
  <si>
    <t>A+ 2016: PC Assembly Fundamentals</t>
  </si>
  <si>
    <t>Managing Employees Young &amp; Old (Multi-Generation Mgmt)</t>
  </si>
  <si>
    <t>Managing Generational Conflict</t>
  </si>
  <si>
    <t>Effective Delegation</t>
  </si>
  <si>
    <t>Effective Delegation for New Managers</t>
  </si>
  <si>
    <t>Communication in the Workplace: Using Humor at Work</t>
  </si>
  <si>
    <t>Communication Skills for Beginners</t>
  </si>
  <si>
    <t>Climbing the Ladder: Moving from IT Pro to Manager</t>
  </si>
  <si>
    <t>New Manager: The Basics and More of Being a Great Leader</t>
  </si>
  <si>
    <t>Installing and Configuring Windows Server 2012 (70-410)</t>
  </si>
  <si>
    <t>Successful HR in Business</t>
  </si>
  <si>
    <t>Employment Law Compliance Made Easy</t>
  </si>
  <si>
    <t>Effectively Managing Employee Performance</t>
  </si>
  <si>
    <t>OSHA Workplace Safety (General Industry 6 Hr Class)</t>
  </si>
  <si>
    <t>Configuring Server 2012 (70-412)</t>
  </si>
  <si>
    <t>Designing Server 2012 (70-413)</t>
  </si>
  <si>
    <t>Getting Started with Google Office: Docs, Sheets, Slides</t>
  </si>
  <si>
    <t>Google Sheets - The Comprehensive Masterclass</t>
  </si>
  <si>
    <t>Administering Windows Server 2012 (70-411)</t>
  </si>
  <si>
    <t>Server Administration Fundamentals 2017 (Server+ SK0-004)</t>
  </si>
  <si>
    <t>Server side rendering with Next JS</t>
  </si>
  <si>
    <t>Sexual Harassment Training for Employees in the Workplace</t>
  </si>
  <si>
    <t>(Updated 2021) سيكولوجية الإعلان</t>
  </si>
  <si>
    <t>(Updated 2021) الاستهداف السيكولوجي</t>
  </si>
  <si>
    <t>(Updated 2021) التسعير السيكولوجي</t>
  </si>
  <si>
    <t>In order to provide our users with access to the best and freshest content the Udemy marketplace has to offer we regularly investigate our 
offering daily to examine and fill gaps, remove content that doesn't meet our standards and assesses our customer's needs.
These courses were removed from the Collection on the date listed in column A. 
Replacement courses currently in the collection are identified in columns G &amp; H.</t>
  </si>
  <si>
    <t>Werde ein LinkedIn Superstar! Optimiere dein Profil!</t>
  </si>
  <si>
    <t>Maschinelles Lernen &amp; Künstliche Intelligenz in der Theorie</t>
  </si>
  <si>
    <t>Deep Learning, Neuronale Netze &amp; AI: Der Komplettkurs</t>
  </si>
  <si>
    <t>Agile &amp; Scrum in &lt; 60 min.</t>
  </si>
  <si>
    <t>Scrum &amp; Agile Meisterkurs mit Praxisbeispielen und PSM1-Test</t>
  </si>
  <si>
    <t>Setup &amp; Configure PowerMTA Server + IP Rotation on AWS Cloud</t>
  </si>
  <si>
    <t>Learning Path: Learn VMware VRealize Operations Manager</t>
  </si>
  <si>
    <t>Clear and Simple VMware Certified Associate (VCA-DBT)</t>
  </si>
  <si>
    <t>Jupyter Notebook for Data Science</t>
  </si>
  <si>
    <t>API Testing, Automation with POSTMAN and RestAssured &amp; Java</t>
  </si>
  <si>
    <t>REST API Testing, Automation using POSTMAN</t>
  </si>
  <si>
    <t>Learning Path: PowerShell: The Road to PowerShell DSC</t>
  </si>
  <si>
    <t>PowerShell version 5.1 and 6: Step-by-Step</t>
  </si>
  <si>
    <t>ICS/SCADA Network Security Monitoring (NSM)</t>
  </si>
  <si>
    <t>Using a Third Party API to Send SMS with PHP (SMS)</t>
  </si>
  <si>
    <t>みんなのディープラーニング講座 ゼロからChainerとPythonで学ぶ深層学習の基礎</t>
  </si>
  <si>
    <t>Sicherheit im Internet - Grundlagen</t>
  </si>
  <si>
    <t>Sicherheit und Privatsphäre im Internet für Einsteiger</t>
  </si>
  <si>
    <t>英語の前置詞を攻略すれば、あなたも簡単に英会話を攻略できる！</t>
  </si>
  <si>
    <t>AZ-103 Microsoft Azure Administrator Practice Exam Questions</t>
  </si>
  <si>
    <t>AZ-104 Microsoft Azure Administrator Exam Certification 2021</t>
  </si>
  <si>
    <t>Blockchain &amp; Kryptowährungen - Bitcoin und Co durchleuchtet</t>
  </si>
  <si>
    <t>Krypto Academy - Beginner zum Tradingprofi (Kryptowährungen)</t>
  </si>
  <si>
    <t>Mastering C++ Standard Library Features</t>
  </si>
  <si>
    <t>Complete Modern C++ (C++11/14/17)</t>
  </si>
  <si>
    <t>Master Automation with Ansible and Puppet: 4-in-1</t>
  </si>
  <si>
    <t>The Startup Equity Calculator</t>
  </si>
  <si>
    <t>SAP Web Dynpro ABAP</t>
  </si>
  <si>
    <t>Learn SAP ABAP Objects - Online Training Course</t>
  </si>
  <si>
    <t>Gerenciador de Negócios do Facebook - Edição 2020</t>
  </si>
  <si>
    <t>Statistik für Data Science und Business Analytics</t>
  </si>
  <si>
    <t>LEARNING PATH: Python: Functional Programming with Python</t>
  </si>
  <si>
    <t>Python 3: Deep Dive (Part 1 - Functional)</t>
  </si>
  <si>
    <t>ASIC Bootcamp for VLSI Engineer: STA Basic Concepts</t>
  </si>
  <si>
    <t>Bootstrap 4 Crash­kurs</t>
  </si>
  <si>
    <t>Learning Path: Functional Programming in JavaScript</t>
  </si>
  <si>
    <t>Functional Programming in JavaScript: A Practical Guide</t>
  </si>
  <si>
    <t>Become a Python Data Analyst</t>
  </si>
  <si>
    <t>Drupal 8 for Beginners</t>
  </si>
  <si>
    <t>Learn Drupal 8 module development with examples</t>
  </si>
  <si>
    <t>Learning Path: Automation with Ansible, Puppet, and Salt</t>
  </si>
  <si>
    <t>Ansible for the Absolute Beginner - Hands-On - DevOps</t>
  </si>
  <si>
    <t>Unreal Engine 4.x Projects</t>
  </si>
  <si>
    <t>Unreal Engine 4: The Complete Beginner's Course</t>
  </si>
  <si>
    <t>Instagram Ads para Empresas</t>
  </si>
  <si>
    <t>Curso Completo de Anúncios no Instagram</t>
  </si>
  <si>
    <t>Getting Started with PHP 7</t>
  </si>
  <si>
    <t>Mastering Puppet for Large Infrastructures</t>
  </si>
  <si>
    <t>Netapp ONTAP WAFL explored</t>
  </si>
  <si>
    <t>Learning Path: Wireshark -The Advanced Network Analysis Tool</t>
  </si>
  <si>
    <t>Build Internet of Things with ESP8266 &amp; MicroPython</t>
  </si>
  <si>
    <t>The Psychology of Color in Game Design &amp; Development</t>
  </si>
  <si>
    <t>Colors for Data Science A-Z: Data Visualization Color Theory</t>
  </si>
  <si>
    <t>Learning Path: Powershell: Getting Started with Powershell 6</t>
  </si>
  <si>
    <t>MongoDB Administration</t>
  </si>
  <si>
    <t>MongoDB - The Complete Developer's Guide 2021</t>
  </si>
  <si>
    <t>LEARNING PATH: Azure: Explore Azure Functions and Logic Apps</t>
  </si>
  <si>
    <t>Azure Serverless Functions and Logic Apps</t>
  </si>
  <si>
    <t>SQL Server 2016 Database Reporting</t>
  </si>
  <si>
    <t>Mastering SQL Server 2016 Integration Services (SSIS)-Part 1</t>
  </si>
  <si>
    <t>DevOps Fundamentals with Azure</t>
  </si>
  <si>
    <t>DevOps For Beginners - Docker, Kubernetes and Azure DevOps</t>
  </si>
  <si>
    <t>OpenStack: Design and Implement Cloud Infrastructure</t>
  </si>
  <si>
    <t>OpenStack Essentials</t>
  </si>
  <si>
    <t>Rust: Building Reusable Code with Rust from Scratch</t>
  </si>
  <si>
    <t>The Rust Programming Language</t>
  </si>
  <si>
    <t>Level Design Master Class: All in One Complete Course</t>
  </si>
  <si>
    <t>Primavera P6 Professional Training</t>
  </si>
  <si>
    <t>Primavera P6 Foundations Course</t>
  </si>
  <si>
    <t>Getting Started with Azure Functions</t>
  </si>
  <si>
    <t>Aprende a Vender como un Experto y Duplica Tu Clientela</t>
  </si>
  <si>
    <t>Learning VMware vRealize Operations Manager</t>
  </si>
  <si>
    <t>The Complete PHP Masterclass - Go from Beginner to Artisan</t>
  </si>
  <si>
    <t>Creating Reports with SQL Server 2012 Reporting Services</t>
  </si>
  <si>
    <t>LEARNING PATH: Complete Roadway to Informatica Powercenter 9</t>
  </si>
  <si>
    <t>Informatica PowerCenter - Beginner to Expert Level</t>
  </si>
  <si>
    <t>Building your First VR Experience with Unity</t>
  </si>
  <si>
    <t>Métricas e Relatório de Mídias Sociais | Atualizado 2020</t>
  </si>
  <si>
    <t>Mastering Wireshark 2</t>
  </si>
  <si>
    <t>The Complete iOS 14 / iOS 13 Developer Course - and SwiftUI!</t>
  </si>
  <si>
    <t>iOS &amp; Swift - The Complete iOS App Development Bootcamp</t>
  </si>
  <si>
    <t>Statistical Analysis with Excel 2013 Advanced Skills</t>
  </si>
  <si>
    <t>Microsoft Excel - Data Analysis with Excel Pivot Tables</t>
  </si>
  <si>
    <t>Mastering Clean Code in JavaScript</t>
  </si>
  <si>
    <t>IBM Cognos Connection and Workspace Advanced</t>
  </si>
  <si>
    <t>Complete IBM Cognos Analytics 11 Cloud Training Course</t>
  </si>
  <si>
    <t>Learn VirtualBox: Step by Step (Install 5 Operating Systems)</t>
  </si>
  <si>
    <t>Ubuntu Linux on Windows With VirtualBox For Web Development</t>
  </si>
  <si>
    <t>Angular 4 Java Developers</t>
  </si>
  <si>
    <t>The Complete Angular Course: Beginner to Advanced</t>
  </si>
  <si>
    <t>The Complete SwiftUI Developer Course</t>
  </si>
  <si>
    <t>Jira 7: For Developer, Administrator &amp; Project Managers</t>
  </si>
  <si>
    <t>Learn JIRA with real-world examples (+Confluence bonus)</t>
  </si>
  <si>
    <t>Learning Path: Microsoft System Center Configuration Manager</t>
  </si>
  <si>
    <t>Microsoft SCCM/Endpoint Configuration Manager for Beginners</t>
  </si>
  <si>
    <t>Dive Into Ansible - From Beginner to Expert in Ansible</t>
  </si>
  <si>
    <t>Mastering Microsoft Teams (2020)</t>
  </si>
  <si>
    <t>Up and Running with Microsoft Teams</t>
  </si>
  <si>
    <t>Software Defined Networking with VMware NSX</t>
  </si>
  <si>
    <t>Clear and Simple VMware NSX 6.2 and vSphere Virtual Networks</t>
  </si>
  <si>
    <t>Statistique pour la Data Science</t>
  </si>
  <si>
    <t>Master CMake for Cross-Platform C++ Project Building</t>
  </si>
  <si>
    <t>C Programming For Beginners - Master the C Language</t>
  </si>
  <si>
    <t>Learning Pivotal Cloud Foundry for Web Developers</t>
  </si>
  <si>
    <t>Learning Salt</t>
  </si>
  <si>
    <t>Planejamento de Conteúdo para Mídias Sociais - Edição 2020</t>
  </si>
  <si>
    <t>Microsoft PowerPoint - Advanced PowerPoint Training</t>
  </si>
  <si>
    <t>Microsoft PowerPoint From Beginner to Advanced</t>
  </si>
  <si>
    <t>Meditação Mindfulness: aprendendo a meditar na prática</t>
  </si>
  <si>
    <t>Drone Programming Primer for Software Development</t>
  </si>
  <si>
    <t>Mastering Palo Alto Networks</t>
  </si>
  <si>
    <t>Nailed It! Turn your B2B Sales Meetings into Opportunities</t>
  </si>
  <si>
    <t>The Complete WordPress Theme Development Course</t>
  </si>
  <si>
    <t>Complete WordPress Theme &amp; Plugin Development Course [2021]</t>
  </si>
  <si>
    <t>The Complete Guide to Building Premium WordPress Themes</t>
  </si>
  <si>
    <t>Netapp ONTAP 9 Troubleshooting</t>
  </si>
  <si>
    <t>NetApp ONTAP 9 Storage Essentials</t>
  </si>
  <si>
    <t>Cybersecurity Attacks (Red Team Activity)</t>
  </si>
  <si>
    <t>Real-World Ethical Hacking: Hands-on Cybersecurity</t>
  </si>
  <si>
    <t>Microsoft Excel - vom Einsteiger zum Fortgeschrittenen</t>
  </si>
  <si>
    <t>Microsoft Excel - Excel für Anfänger</t>
  </si>
  <si>
    <t>Master Math by Coding in Python</t>
  </si>
  <si>
    <t>Master statistics &amp; machine learning: intuition, math, code</t>
  </si>
  <si>
    <t>Curso Forex Básico - Ejemplos EN VIVO de Trading Real</t>
  </si>
  <si>
    <t>Invertir en [ FOREX] y ACCIONES EEUU - 0 a Experto (16hs)</t>
  </si>
  <si>
    <t>Creating Team Vision, Mission &amp; Values</t>
  </si>
  <si>
    <t>WordPress E-commerce: Build 2 Websites &amp; Dropshipping Store</t>
  </si>
  <si>
    <t>WordPress E-Commerce Development w/ WooCommerce &amp; Storefront</t>
  </si>
  <si>
    <t>How to build an ecommerce store with wordpress &amp; woocommerce</t>
  </si>
  <si>
    <t>Routing Configuration &amp; Router Administration for Cisco CCNA</t>
  </si>
  <si>
    <t>CCNA 2020 - CCNA 200-301 exam - a complete guide - Cisco</t>
  </si>
  <si>
    <t>Designing and Building Custom Apps using Dynamics 365</t>
  </si>
  <si>
    <t>Microsoft Dynamics 365 (CRM, NAV, AX) Intro Training Course</t>
  </si>
  <si>
    <t>UAS/Drone Remote Pilot Test Prep for Part 107 (Init &amp; Recur)</t>
  </si>
  <si>
    <t>A Beginner's Guide to Google Analytics</t>
  </si>
  <si>
    <t>Basics of BIND DNS Server</t>
  </si>
  <si>
    <t>Design a Unique Bookstore-Quality Photo Book with Blurb</t>
  </si>
  <si>
    <t>Adobe Lightroom Masterclass - Beginner to Expert</t>
  </si>
  <si>
    <t>Tutorial: Set up Multi Org Hyperledger Fabric v1.4 Network</t>
  </si>
  <si>
    <t>From 0 to 1: Design Patterns - 24 That Matter - In Java</t>
  </si>
  <si>
    <t>Design Patterns in Java</t>
  </si>
  <si>
    <t>The Voice Course: UX, UI, Strategy &amp; Design</t>
  </si>
  <si>
    <t>Practical Hands-on Guide for Alexa Skill Development (2020)</t>
  </si>
  <si>
    <t>Parametric Families For Autodesk Revit BIM LOD 200-400</t>
  </si>
  <si>
    <t>MS-900:Microsoft 365&amp; Office 365 Administration Fundamentals</t>
  </si>
  <si>
    <t>Microsoft MS-900 Certification: M365 Fundamentals</t>
  </si>
  <si>
    <t>Tools for Dealing with Rejection for B2B Sales Reps</t>
  </si>
  <si>
    <t>Jewelry Making For Beginners: Alcohol Ink Pendant Necklace</t>
  </si>
  <si>
    <t>Proposal Tips from a B2B Sales Pro</t>
  </si>
  <si>
    <t>SAP UI5 Development Re-Introduction</t>
  </si>
  <si>
    <t>Microsoft Dynamics 365 &amp; PowerApps Developer Course - Part 1</t>
  </si>
  <si>
    <t>Microsoft Dynamics 365 &amp; PowerApps Developer Course - Part 2</t>
  </si>
  <si>
    <t>The Foundations of Fiction (Writing Mastery)</t>
  </si>
  <si>
    <t>Increase Your Sales Commissions by Winning the Numbers Game</t>
  </si>
  <si>
    <t>Sales Skills Mastery - An Immediate Increase In Your Results</t>
  </si>
  <si>
    <t>Write a Bestselling Novel in 15 Steps (Writing Mastery)</t>
  </si>
  <si>
    <t>Cold Calling for B2B Sales: How to Prospect on Foot</t>
  </si>
  <si>
    <t>B2B Sales Training: Why Some Customers Buy &amp; Others Don’t</t>
  </si>
  <si>
    <t>Learn to make an HTML 5 website with a video background</t>
  </si>
  <si>
    <t>PT</t>
  </si>
  <si>
    <t>Curso de Solidworks 2017 (CURSO DESACTUALIZADO)</t>
  </si>
  <si>
    <t>Curso de SolidWorks desde Cero y Completo</t>
  </si>
  <si>
    <t>Guia para a Certificação DBA Oracle / Oracle DBA Cert. Guide</t>
  </si>
  <si>
    <t>JP</t>
  </si>
  <si>
    <t>【キカガク流】現場で使えるChainerによるディープラーニング入門</t>
  </si>
  <si>
    <t>Formação em Robótica Educacional (Com kits Openrobotics)</t>
  </si>
  <si>
    <t>FR</t>
  </si>
  <si>
    <t>Unreal Engine 4 : Le Guide Complet</t>
  </si>
  <si>
    <t>Unreal Engine 4 : Le Guide Complet (2020)</t>
  </si>
  <si>
    <t>Agile Leadership™ Exam Prep 2020 - Pass on your FIRST try!</t>
  </si>
  <si>
    <t>Fundamentals of Logic &amp; Reasoning Skills</t>
  </si>
  <si>
    <t>Power BI Masterclass - beginners to advanced</t>
  </si>
  <si>
    <t>Microsoft Power BI - A Complete Introduction [2021 EDITION]</t>
  </si>
  <si>
    <t>Microsoft Power BI Desktop for Business Intelligence</t>
  </si>
  <si>
    <t>Power BI Masterclass - How to use CALCULATE in DAX</t>
  </si>
  <si>
    <t>Power BI Master Class-Data Models and DAX Formulas 2021</t>
  </si>
  <si>
    <t>Advanced DAX for Microsoft Power BI Desktop</t>
  </si>
  <si>
    <t>Microsoft Power BI Masterclass - Expand Excellence</t>
  </si>
  <si>
    <t>Power BI A-Z: Hands-On Power BI Training For Data Science!</t>
  </si>
  <si>
    <t>Complete Introduction to Microsoft Power BI [2021 Edition]</t>
  </si>
  <si>
    <t>Microsoft Power BI Masterclass 7 Learn DAX, R, and Gateways</t>
  </si>
  <si>
    <t>DE</t>
  </si>
  <si>
    <t>Einführung in Berechnungen mit Microsoft Power BI Desktop</t>
  </si>
  <si>
    <t>Microsoft Power BI – Die vollständige Einführung von A-Z</t>
  </si>
  <si>
    <t>Effizientes Arbeiten mit Microsoft Power BI Desktop</t>
  </si>
  <si>
    <t>Einführung in Microsoft Power BI Desktop</t>
  </si>
  <si>
    <t>Microsoft Azure AZ- 900 Certification Exam Practice Tests</t>
  </si>
  <si>
    <t>Microsoft Azure AZ-104 Certification Exam Practice Tests</t>
  </si>
  <si>
    <t>Cybersecurity Data Science</t>
  </si>
  <si>
    <t>Copywriting Blueprint: Write Epic Marketing and Sales Copy</t>
  </si>
  <si>
    <t>英語のひとことフレーズ555選</t>
  </si>
  <si>
    <t>BIM Modeling Structure LOD 300-350 Autodesk Revit and Dynamo</t>
  </si>
  <si>
    <t>HDPCD:Spark using Python (pyspark)</t>
  </si>
  <si>
    <t>Spark and Python for Big Data with PySpark</t>
  </si>
  <si>
    <t>Office365 and AzureAD for Developers</t>
  </si>
  <si>
    <t>Build an Advanced Keylogger using C++ for Ethical Hacking!</t>
  </si>
  <si>
    <t>Web Content Optimization - Building an audience of true fans</t>
  </si>
  <si>
    <t>How To Create Highly Successful Retargeting Campaigns (2020)</t>
  </si>
  <si>
    <t>Learn Computer Vision and Image Processing in LabVIEW</t>
  </si>
  <si>
    <t>CompTIA Cloud+ Certification Exam Prep CV002 - 2019</t>
  </si>
  <si>
    <t>TOTAL: Cloud Computing / CompTIA Cloud+ Cert. (CV0-002)</t>
  </si>
  <si>
    <t>Creativity for Coders: How to Create Ideas from Scratch</t>
  </si>
  <si>
    <t>Pre-Programming: Everything you need to know before you code</t>
  </si>
  <si>
    <t>Go: The Complete Developer's Guide to Golang: 4-in-1</t>
  </si>
  <si>
    <t>The Complete Android &amp; Java Bootcamp - Material Design UI/UX</t>
  </si>
  <si>
    <t>Fundamentals of Structural Analysis</t>
  </si>
  <si>
    <t>【IoT101】知識ゼロから作って学ぶIoT入門</t>
  </si>
  <si>
    <t>Copywriting Blunders: Do You Make these 10 Common Mistakes?</t>
  </si>
  <si>
    <t>Ninja Writing: The Four Levels Of Writing Mastery</t>
  </si>
  <si>
    <t>Grafische Anwendungen in C# mit der WPF für Anfänger</t>
  </si>
  <si>
    <t>Die komplette C# Masterclass - von 0 auf 100 in 6 Wochen</t>
  </si>
  <si>
    <t>PLC Object Oriented Programming :Advanced Infrastructure</t>
  </si>
  <si>
    <t>Ethereum Developer Masterclass: Build Real World Projects</t>
  </si>
  <si>
    <t>30 Copywriting Secrets from the Best Ad Campaign of All Time</t>
  </si>
  <si>
    <t>Copywriting secrets - How to write copy that sells</t>
  </si>
  <si>
    <t>Discovering Godot: Make Video Games in Python-like GDScript</t>
  </si>
  <si>
    <t>PLC at home using Arduino and CODESYS-Automation Control lab</t>
  </si>
  <si>
    <t>Selenium WebDriver with Docker, Jenkins &amp; AWS</t>
  </si>
  <si>
    <t>Inspirational Leadership Skills</t>
  </si>
  <si>
    <t>Java 8 and Beyond for SDET</t>
  </si>
  <si>
    <t>Learn to make a colorful one page website</t>
  </si>
  <si>
    <t>SAP HANA SQL Scripting - Step 1</t>
  </si>
  <si>
    <t>Scrum Master II™ Exam Prep 2020 - Pass on your FIRST try!</t>
  </si>
  <si>
    <t>Photoshop 1x1 - Photoshop für Anfänger und Fortgeschrittene</t>
  </si>
  <si>
    <t>Curso de Arabe 2020</t>
  </si>
  <si>
    <t>Aprende Árabe #1 El Alfabeto</t>
  </si>
  <si>
    <t>Como FALAR EM PÚBLICO e FAZER APRESENTAÇÕES!</t>
  </si>
  <si>
    <t>Arduino Graphic TFT LCD with touch screen master class</t>
  </si>
  <si>
    <t>Arduino Programming and Hardware Fundamentals with Hackster</t>
  </si>
  <si>
    <t>Certified Secure Web Application Engineer (CSWAE)</t>
  </si>
  <si>
    <t>Hands-On Sketch Masterclass - Learn Web and Mobile Design</t>
  </si>
  <si>
    <t>Polymer 3 - Code Like A Google Developer</t>
  </si>
  <si>
    <t>Vet Your Startup Ideas With the Startup Matrix</t>
  </si>
  <si>
    <t>How to Find, Evaluate and Launch New Startup Ideas</t>
  </si>
  <si>
    <t>Financial Modeling for Startups &amp; Small Businesses</t>
  </si>
  <si>
    <t>Performance Testing Using Gatling</t>
  </si>
  <si>
    <t>Gatling Fundamentals for Stress, Load &amp; Performance Testing</t>
  </si>
  <si>
    <t>Azure MasterClass: Analyze Data With Azure Stream Analytics</t>
  </si>
  <si>
    <t>Turkish language course - from beginner to fluent speaker!</t>
  </si>
  <si>
    <t>Angular automation with Protractor + Typescript + Cucumber</t>
  </si>
  <si>
    <t>Learn Protractor(Angular Testing) from scratch +Framework</t>
  </si>
  <si>
    <t>SALES LEADERSHIP Sales Management Training &amp; Coach Training</t>
  </si>
  <si>
    <t>CheckPoint Firewall R80.10 - Complete Training Bootcamp</t>
  </si>
  <si>
    <t>Complete, practical SDN and OpenFlow Fundamentals: over 8hrs</t>
  </si>
  <si>
    <t>Elasticsearch 6 and Elastic Stack - In Depth and Hands On!</t>
  </si>
  <si>
    <t>Elasticsearch 7 and the Elastic Stack: In Depth and Hands On</t>
  </si>
  <si>
    <t>Hyperion Financial Management Advanced Course</t>
  </si>
  <si>
    <t>GNS3, Docker, Open vSwitch, SDN, OpenDaylight and OpenFlow</t>
  </si>
  <si>
    <t>Mastering Price Action Trading with Supply and Demand</t>
  </si>
  <si>
    <t>Advanced Stock Trading Course + Strategies</t>
  </si>
  <si>
    <t>OOP Object Oriented Programming In PHP 7</t>
  </si>
  <si>
    <t>Java Memory Management</t>
  </si>
  <si>
    <t>Java Application Performance and Memory Management</t>
  </si>
  <si>
    <t>QuickBooks Pro 2017 Training: Manage Small Business Finances</t>
  </si>
  <si>
    <t>Vue.js Essentials - 3 Course Bundle</t>
  </si>
  <si>
    <t>Vue - The Complete Guide (w/ Router, Vuex, Composition API)</t>
  </si>
  <si>
    <t>Artificial Intelligence: Reinforcement Learning in Python</t>
  </si>
  <si>
    <t>Cumulus Linux Fundamentals, plus Ansible automation</t>
  </si>
  <si>
    <t>Advanced Machine Learning &amp; Data Analysis Projects Bootcamp</t>
  </si>
  <si>
    <t>Broker U - Gateway to Becoming a Freight Broker</t>
  </si>
  <si>
    <t>Advanced AI: Deep Reinforcement Learning in Python</t>
  </si>
  <si>
    <t>SDN, NFV, Whitebox switching and OpenFlow Intro 2017 Updates</t>
  </si>
  <si>
    <t>Overlay SDN Solutions (Network Virtualization) Introduction</t>
  </si>
  <si>
    <t>Dramatic Black and White Photography in the Digital Age</t>
  </si>
  <si>
    <t>Identity and Access Management Course</t>
  </si>
  <si>
    <t>The Complete C++ Developer Course</t>
  </si>
  <si>
    <t>SAP PM Plant Maintenance (beginner to advanced level)</t>
  </si>
  <si>
    <t>Spring und Hibernate für Anfänger (mit Spring Boot 2)</t>
  </si>
  <si>
    <t>Linux Foundation Certified System Admin (LFCS) - Teil 2/2</t>
  </si>
  <si>
    <t>Professionelle Restful APIs mit Java und Spring Boot 2</t>
  </si>
  <si>
    <t>Infrastructure as a service mit Microsoft Azure Grundkurs</t>
  </si>
  <si>
    <t>Einführung in die Linux-Befehlszeile</t>
  </si>
  <si>
    <t>Linux für Einsteiger – Das ultimative Einsteiger-Training!</t>
  </si>
  <si>
    <t>Wie du deinen WordPress Blog mit HTML in den Griff bekommst!</t>
  </si>
  <si>
    <t>Kali Linux für angehende Hacker und PenTester</t>
  </si>
  <si>
    <t>Ethical Hacking mit Python in der Praxis: Der Komplettkurs</t>
  </si>
  <si>
    <t>Linux für Junior System Administratoren</t>
  </si>
  <si>
    <t>Youtube SEO Course :How TO Rank #1 On YouTube in 2020</t>
  </si>
  <si>
    <t>YouTube Masterclass - Your Complete Guide to YouTube</t>
  </si>
  <si>
    <t>Fraud Analytics: Case study using Logistic Regression</t>
  </si>
  <si>
    <t>Real-time Credit card Fraud Detection using Spark 2.2</t>
  </si>
  <si>
    <t>Advanced Project Management (1/4): Project Initiation</t>
  </si>
  <si>
    <t>Beginning Project Management: Project Management Level One</t>
  </si>
  <si>
    <t>AWS Certified SysOps Administrator Associate Practice Exams</t>
  </si>
  <si>
    <t>Part 1: AWS Certified Solutions Architect SAA C02</t>
  </si>
  <si>
    <t>Part 2: AWS Certified Solutions Architect SAA C02</t>
  </si>
  <si>
    <t>Serverless Computing with Azure Functions</t>
  </si>
  <si>
    <t>Performance Testing using Gatling - Beginner Level</t>
  </si>
  <si>
    <t>Pimcore 4 Developer: Implement a Blog from a Bootstrap Theme</t>
  </si>
  <si>
    <t>Fusion 360 Simulations, Modal Analysis and Event Simulations</t>
  </si>
  <si>
    <t>Fusion 360 for 3D Printing - Designing with Components</t>
  </si>
  <si>
    <t>Hard Surface Character Creation in Zbrush</t>
  </si>
  <si>
    <t>Complete Game Character Workflow 01 Character Modeling</t>
  </si>
  <si>
    <t>Selenium Java : Beginner to Advanced [Live Project]</t>
  </si>
  <si>
    <t>Selenium WebDriver with Java -Basics to Advanced+Frameworks</t>
  </si>
  <si>
    <t>Internet Mapping with Geoserver, Postgres, and Openlayers 3</t>
  </si>
  <si>
    <t>[Intermediate] Spatial Data Analysis with R, QGIS &amp; More</t>
  </si>
  <si>
    <t>Learn MSBI , SSIS , SSRS and SSAS Step by Step</t>
  </si>
  <si>
    <t>Microsoft Power BI - Up &amp; Running With Power BI Service 2021</t>
  </si>
  <si>
    <t>The Complete Prezi Course for Prezi Next 2019</t>
  </si>
  <si>
    <t>How to Create Epic Presentations &amp; Videos with Prezi</t>
  </si>
  <si>
    <t>Using Open Source Tools to Create an Enterprise GIS</t>
  </si>
  <si>
    <t>VPN Tunneling Protocols on MikroTik with LABS</t>
  </si>
  <si>
    <t>Fusion 360 Simulations, Complete Static Structural Training</t>
  </si>
  <si>
    <t>An Introduction to Stata</t>
  </si>
  <si>
    <t>Tensorflow 2.0: Deep Learning and Artificial Intelligence</t>
  </si>
  <si>
    <t>Complete Tensorflow 2 and Keras Deep Learning Bootcamp</t>
  </si>
  <si>
    <t>Job Search Mastery: Create Your Dream Job &amp; Networking Guide</t>
  </si>
  <si>
    <t>[2021] Career Hacking: World's Bestselling Job Search Course</t>
  </si>
  <si>
    <t>Learn Bootstrap 4 By Creating An Advanced Bootstrap Theme</t>
  </si>
  <si>
    <t>3D Game Character Creature - Full Complete Pipeline</t>
  </si>
  <si>
    <t>Garbage Collection Algorithms</t>
  </si>
  <si>
    <t>C# Memory Tricks: Learn How To Master The Garbage Collector</t>
  </si>
  <si>
    <t>【AIのビジネス活用をお考えの方向け】人工知能を利用したビジネス活用・人材・スキルを学ぶ講座</t>
  </si>
  <si>
    <t>Curso Maya 2018: Formação Completa do Básico ao Avançado.</t>
  </si>
  <si>
    <t>Autodesk Maya : Design 3D do Básico ao Avançado Rápido</t>
  </si>
  <si>
    <t>Fundamentos do Design Gráfico</t>
  </si>
  <si>
    <t>CompTIA Security+ (SY0-501) Practice Exams with Simulations</t>
  </si>
  <si>
    <t>CompTIA CySA+ (CS0-001) 5 Practice Certification Exams</t>
  </si>
  <si>
    <t>Oracle Cloud Infrastructure 2019 Cloud Operations Associate</t>
  </si>
  <si>
    <t>Oracle Cloud Infrastructure Developer 2020 Associate</t>
  </si>
  <si>
    <t>Oracle Cloud Infrastructure 2019 Architect Professional</t>
  </si>
  <si>
    <t>Oracle Cloud Infrastructure Foundations 2020 Associate</t>
  </si>
  <si>
    <t>Oracle Autonomous Database Cloud 2019 Specialist 1Z0-931</t>
  </si>
  <si>
    <t>Oracle Cloud Infrastructure 2019 Architect Associate</t>
  </si>
  <si>
    <t>CAPM Exam Prep: Earn Your CAPM Certification</t>
  </si>
  <si>
    <t>PMP Exam Prep: Earn Your PMP Certification</t>
  </si>
  <si>
    <t>Learn By Example : Apache Storm</t>
  </si>
  <si>
    <t>Powerful Excel Gantt charts -Effortless Project Management !</t>
  </si>
  <si>
    <t>Project Management: Master Project Management - PMP/PMI</t>
  </si>
  <si>
    <t>Management Consulting Presentation Masterclass</t>
  </si>
  <si>
    <t>The Complete Communication Skills Master Class for Life</t>
  </si>
  <si>
    <t>ElasticSearch, LogStash, Kibana ELK #1 - Learn ElasticSearch</t>
  </si>
  <si>
    <t>The Ultimate Guide to Funnel Optimization</t>
  </si>
  <si>
    <t>Email Marketing with Mailchimp + Sales Funnels &amp; Copywriting</t>
  </si>
  <si>
    <t>How To VLOG on YouTube! Create, Edit, &amp; Publish Your Videos</t>
  </si>
  <si>
    <t>Host on Amazon S3 For Pennies And Save Your Hosting Budget</t>
  </si>
  <si>
    <t>Amazon s3 Mastery - THE How-To' Guides For Amazon S3</t>
  </si>
  <si>
    <t>Sketch von A bis Z: Werde App-Designer</t>
  </si>
  <si>
    <t>Todd Lammle's ICND1 100-105 Certification Practice Tests</t>
  </si>
  <si>
    <t>Certified Information Security Manager 2020 - CISM</t>
  </si>
  <si>
    <t>ElasticSearch, LogStash, Kibana ELK #3 - Learn Kibana</t>
  </si>
  <si>
    <t>Complete Elasticsearch Masterclass with Logstash and Kibana</t>
  </si>
  <si>
    <t>Storytelling para negocios, impacta contando historias</t>
  </si>
  <si>
    <t>Secretos de las Presentaciones Efectivas : Storytelling</t>
  </si>
  <si>
    <t>PowerUp Automation with Unified Functional Testing/UFT</t>
  </si>
  <si>
    <t>HP UFT - Basic to Intermediate</t>
  </si>
  <si>
    <t>Byte-Sized-Chunks: Recommendation Systems</t>
  </si>
  <si>
    <t>Recommender Systems and Deep Learning in Python</t>
  </si>
  <si>
    <t>Todd Lammle's CCNA R/S 200-125 Certification Practice Tests</t>
  </si>
  <si>
    <t>CCNA 200-301 &amp; Network+Practice Pack: Subnetting Success!</t>
  </si>
  <si>
    <t>TensorFlow and the Google Cloud ML Engine for Deep Learning</t>
  </si>
  <si>
    <t>Advanced Leadership: Managing People, Knowledge and Change</t>
  </si>
  <si>
    <t>誰でもIBM WatsonでAI（人工知能）チャットボットが作れる！！Watson Assistant構築7時間講座</t>
  </si>
  <si>
    <t>Angular 6 e 7, Apollo, GraphQL e Graphcool - Guia completo</t>
  </si>
  <si>
    <t xml:space="preserve">PT </t>
  </si>
  <si>
    <t>Coaching para seleção de pessoas</t>
  </si>
  <si>
    <t>Formação em Scrum - Preparatório Certificação PSM-I</t>
  </si>
  <si>
    <t>Ansible Grundkurs</t>
  </si>
  <si>
    <t>Strategien entwickeln und umsetzen</t>
  </si>
  <si>
    <t>Financial modeling | Project Finance &amp; Infrastructure</t>
  </si>
  <si>
    <t>Create Your Own Hedge Fund: Trade Stocks Like A Fund Manager</t>
  </si>
  <si>
    <t>SOLIDWORKS: Become a Certified Associate Today (CSWA)</t>
  </si>
  <si>
    <t>SOLIDWORKS 2017-20 :Become a Certified Associate Today-CSWA</t>
  </si>
  <si>
    <t>SOLIDWORKS: Become a Certified Professional Today (CSWP)</t>
  </si>
  <si>
    <t>Learn to draw fashion with Adobe Illustrator CC - Beginners</t>
  </si>
  <si>
    <t>Adobe Illustrator CC - Essentials Training Course</t>
  </si>
  <si>
    <t>Learn to draw fashion with Adobe Illustrator CC Intermediate</t>
  </si>
  <si>
    <t>Understanding CouchDB : Learn Basic &amp; Advanced NoSQL Skills</t>
  </si>
  <si>
    <t>Certified Blockchain Solution Architect (CBSA) Practice Exam</t>
  </si>
  <si>
    <t>Digital Painting | Powerful Fundamentals for New Artists</t>
  </si>
  <si>
    <t>Projektmanagement: Risiken erkennen und beherrschen</t>
  </si>
  <si>
    <t>Audio für Video &amp; Screencast➤ Richtig Aufnehmen &amp; Bearbeiten</t>
  </si>
  <si>
    <t>MCSA Windows Server 2016 – Exame 70 740</t>
  </si>
  <si>
    <t>MCSA Windows Server 2016 – Exame 70 741</t>
  </si>
  <si>
    <t>MCSA Windows Server 2016 – Exame 70 742</t>
  </si>
  <si>
    <t>Windows 10 – Modern Desktop Administrator Associate MD-100</t>
  </si>
  <si>
    <t>Accelerated Spring Boot With MongoDB</t>
  </si>
  <si>
    <t>Spring Framework 5: Beginner to Guru</t>
  </si>
  <si>
    <t>Backlink Kurs - Der Ranking-Boost für deine Webseite!</t>
  </si>
  <si>
    <t>SEO &amp; Content Marketing - Mit System zum Ranking-Erfolg</t>
  </si>
  <si>
    <t>Email Marketing mit MailChimp erfolgreich meistern</t>
  </si>
  <si>
    <t>Die Digital Marketing Masterclass: Lerne alles von A-Z</t>
  </si>
  <si>
    <t>Der ultimative Instagram-Kurs 2020: Endlich mehr Follower!</t>
  </si>
  <si>
    <t>Die Instagram Marketing Masterclass: Lerne alles von A-Z</t>
  </si>
  <si>
    <t>Instagram: Mehr Follower durch die perfekte Story gewinnen!</t>
  </si>
  <si>
    <t>Der ultimative Digital Marketing Kurs - DIGIMAKU</t>
  </si>
  <si>
    <t>ᐅ Google My Business mehr Besucher, mehr Kunden, mehr Umsatz</t>
  </si>
  <si>
    <t>Das große Instagram-Kompendium 2020: Instagram von A bis Z</t>
  </si>
  <si>
    <t>XING 2020: Mehr Kontakte durch das perfekte Profil</t>
  </si>
  <si>
    <t>Ladezeitoptimierung für deine Webseite! Ideal für WordPress</t>
  </si>
  <si>
    <t>Mastering Office 365 (2019)</t>
  </si>
  <si>
    <t>Office 365 - Exchange Online - Beginner to Professional 2019</t>
  </si>
  <si>
    <t>Motivational Ethics</t>
  </si>
  <si>
    <t>Leadership Ethics and Integrity: A Comprehensive Guide !</t>
  </si>
  <si>
    <t>Learning Terraform on Microsoft Azure - 2020</t>
  </si>
  <si>
    <t>Learn Hacking Using Android From Scratch</t>
  </si>
  <si>
    <t>Indian Culinary World - Master the art of Indian Cooking</t>
  </si>
  <si>
    <t>Rocking AWS CloudFormation, CDK with DevOps, Interview Guide</t>
  </si>
  <si>
    <t>SAP Extended Warehouse Management - Mock Tests</t>
  </si>
  <si>
    <t>Fast, Good &amp; Cheap</t>
  </si>
  <si>
    <t>Agile Crash Course: Agile Project Management; Agile Delivery</t>
  </si>
  <si>
    <t>Cluster Analysis- Theory &amp; workout using SAS and R</t>
  </si>
  <si>
    <t>The Ultimate Microsoft Project 2010 Training Course 17 Hours</t>
  </si>
  <si>
    <t>Hack Multiple Choice Exams and Pass</t>
  </si>
  <si>
    <t>Passing Certification Exams with Strategic Test Taking!</t>
  </si>
  <si>
    <t>Learn Smart Plant Instrumentation (SPI) - INtools</t>
  </si>
  <si>
    <t>Managed Extensibility Framework, MEF, from Novice to Guru</t>
  </si>
  <si>
    <t>Learn Subnetting So You Can Network With Confidence</t>
  </si>
  <si>
    <t>Introduction to IP Addressing and Subnetting the Easy Way</t>
  </si>
  <si>
    <t>Mental Health and Neuroplasticity: Change your Brain</t>
  </si>
  <si>
    <t>Neuroplasticity: How To Rewire Your Brain</t>
  </si>
  <si>
    <t>AWS Certified Solutions Architect Associate 2018 - Exam Prep</t>
  </si>
  <si>
    <t>Microsoft Office 2016 Essential Training: 9 Course Bundle</t>
  </si>
  <si>
    <t>Microsoft Excel 2016 Beginners &amp; Intermediate Excel Training</t>
  </si>
  <si>
    <t>Ethereum Game Development: Build A Game On The Blockchain</t>
  </si>
  <si>
    <t>Ethereum and Solidity: The Complete Developer's Guide</t>
  </si>
  <si>
    <t>Security: Manage Network Security With pfSense Firewall</t>
  </si>
  <si>
    <t>Learn Advanced Python Programming</t>
  </si>
  <si>
    <t>Complete Python Developer in 2021: Zero to Mastery</t>
  </si>
  <si>
    <t>Burp Suite Bug Bounty Web Hacking from Scratch</t>
  </si>
  <si>
    <t>Ethical Hacking &amp; Bug Hunting: Buffer Overflow For Beginners</t>
  </si>
  <si>
    <t>Change Management - Verhalten und Handeln verstehen</t>
  </si>
  <si>
    <t>Workday Integrations</t>
  </si>
  <si>
    <t>Workday HCM (Human Capital Management)</t>
  </si>
  <si>
    <t>Scrum Master Exam Prep</t>
  </si>
  <si>
    <t>Creative CSS Animations, Transitions And Transforms Course</t>
  </si>
  <si>
    <t>Advanced CSS and Sass: Flexbox, Grid, Animations and More!</t>
  </si>
  <si>
    <t>Spring Framework 5: Creando webapp de cero a experto (2020)</t>
  </si>
  <si>
    <t>Microsoft Office 365</t>
  </si>
  <si>
    <t>Microservicios con Spring Boot y Spring Cloud Netflix Eureka</t>
  </si>
  <si>
    <t>SAP ABAP Programación Iniciación</t>
  </si>
  <si>
    <t>Curso De Francés Básico Para Hispanohablantes (paso a paso)</t>
  </si>
  <si>
    <t>Nagios: El estándar en monitoreo de infraestructura</t>
  </si>
  <si>
    <t>Bacula: La solución empresarial de copias de seguridad</t>
  </si>
  <si>
    <t>Aprender Holandés para hispanohablantes</t>
  </si>
  <si>
    <t>Photographie : Bases complètes pour débutants</t>
  </si>
  <si>
    <t>Photoshop Para Todos</t>
  </si>
  <si>
    <t>ZBrush</t>
  </si>
  <si>
    <t>Der Weg zum professionellen Softwareentwickler</t>
  </si>
  <si>
    <t>SCRUM verstehen — Agil denken und arbeiten</t>
  </si>
  <si>
    <t>Clean Code: Entwurfsmuster und objektorientiertes Design</t>
  </si>
  <si>
    <t>Agile Softwareentwicklung: Extreme Programming (XP) erklärt</t>
  </si>
  <si>
    <t>Eine Einführung in Clean Code — saubere Software entwicklen!</t>
  </si>
  <si>
    <t>Pinterest Workshop für Anfänger - Die Macht von Pinterest!</t>
  </si>
  <si>
    <t>The Soul of Leadership with Deepak Chopra</t>
  </si>
  <si>
    <t>Management Skills: New Manager Training in Essential Skills</t>
  </si>
  <si>
    <t>Google Tag Manager for Beginners+ (Challenges)</t>
  </si>
  <si>
    <t>Reactive Angular Course (with RxJs)</t>
  </si>
  <si>
    <t>Webpack 4 in 2020: The Complete Tutorial For Beginners</t>
  </si>
  <si>
    <t>Webpack 4: Beyond the Basics</t>
  </si>
  <si>
    <t>RxJs 6 In Practice (with FREE E-Book)</t>
  </si>
  <si>
    <t>Zbrush: Hard Surface Sculpting for All Levels!</t>
  </si>
  <si>
    <t>NgRx (with NgRx Data) - The Complete Guide (FREE E-Book)</t>
  </si>
  <si>
    <t>JNCIA-Junos JN0-103</t>
  </si>
  <si>
    <t>JNCIA-Junos JN0-103 Practice Exams</t>
  </si>
  <si>
    <t>Angular Core Deep Dive (with FREE E-Book)</t>
  </si>
  <si>
    <t>All about Deception and Dishonesty, Learn from the Research!</t>
  </si>
  <si>
    <t>Master Microsoft Excel 2013 &amp; 2016 for Beginners</t>
  </si>
  <si>
    <t>Excel Essentials: The Complete Excel Series - Level 1, 2 &amp; 3</t>
  </si>
  <si>
    <t>Angular Advanced MasterClass &amp; FREE E-Book</t>
  </si>
  <si>
    <t>Angular - The Complete Guide (2021 Edition)</t>
  </si>
  <si>
    <t>Angular Security Masterclass (with FREE E-Book)</t>
  </si>
  <si>
    <t>The Ultimate QuickBooks Pro Training Bundle - 60+ Hours</t>
  </si>
  <si>
    <t>Robust Qt &amp; C++ Gui Programming 2D Graphics App Tutorial</t>
  </si>
  <si>
    <t>CompTIA Project+ Exam Prep</t>
  </si>
  <si>
    <t>Pass the Exam: CompTIA Project+ PK0-004</t>
  </si>
  <si>
    <t>Typescript Masterclass &amp; FREE E-Book</t>
  </si>
  <si>
    <t>Understanding TypeScript - 2021 Edition</t>
  </si>
  <si>
    <t>Chatfuel for Beginners: Build a Chatbot Without Coding</t>
  </si>
  <si>
    <t>Building a Facebook Chatbot in Chatfuel</t>
  </si>
  <si>
    <t>Ermin Kreponic's Course for CentOS and Red Hat Linux - RHCSA</t>
  </si>
  <si>
    <t>Email Marketing 2020 - Beginners Guide To Email Marketing</t>
  </si>
  <si>
    <t>Digital Marketing Masterclass - 23 Courses in 1</t>
  </si>
  <si>
    <t>ComputerCavalry: IT Backup Administrator</t>
  </si>
  <si>
    <t>Ecommerce - Introduction To The Top 12 Ecommerce Platforms</t>
  </si>
  <si>
    <t>Fundamentals of SEMrush</t>
  </si>
  <si>
    <t>Six Sigma Green Belt Using Minitab</t>
  </si>
  <si>
    <t>Lean Six Sigma Green Belt Certification (Accredited)</t>
  </si>
  <si>
    <t>3d modelling - a Modo modeling guide</t>
  </si>
  <si>
    <t>iOS Application: Penetration Testing Ethical Hacking Domain</t>
  </si>
  <si>
    <t>SAP ABAP Programación - Curso completo</t>
  </si>
  <si>
    <t>Chatbots con Chatfuel para principiantes</t>
  </si>
  <si>
    <t>Ionic 4, Angular, Firebase, Firestore e Login com Facebook</t>
  </si>
  <si>
    <t>Vue JS - Guia Completo (Vue CLI, Vue Router, Vuex e GraphQL)</t>
  </si>
  <si>
    <t>Getting Started with 3D Printing</t>
  </si>
  <si>
    <t>Designing for 3D Printing with Fusion 360</t>
  </si>
  <si>
    <t>Build Your own Self Driving Car | Deep Learning, OpenCV, C++</t>
  </si>
  <si>
    <t>The Complete Self-Driving Car Course - Applied Deep Learning</t>
  </si>
  <si>
    <t>Digital Strategy Mastery : Learn Success Secrets from Amazon</t>
  </si>
  <si>
    <t>Learn the Foundations of Blender</t>
  </si>
  <si>
    <t>Create Game Characters with Blender</t>
  </si>
  <si>
    <t>Create a Game Environment with Blender and Unity</t>
  </si>
  <si>
    <t>Creating 3D environments in Blender</t>
  </si>
  <si>
    <t>Deep Learning Prerequisites: Linear Regression in Python</t>
  </si>
  <si>
    <t>Deep Learning Prerequisites: Logistic Regression in Python</t>
  </si>
  <si>
    <t>Data Science: Deep Learning in Python</t>
  </si>
  <si>
    <t>Data Science: Natural Language Processing (NLP) in Python</t>
  </si>
  <si>
    <t>Deep Learning: Advanced NLP and RNNs</t>
  </si>
  <si>
    <t>Data Analytics: SQL for newbs, beginners and marketers</t>
  </si>
  <si>
    <t>SQL for Data Analysis: Weekender Crash Course for Beginners</t>
  </si>
  <si>
    <t>Cucumber BDD for Selenium &amp; Appium with Live Projects</t>
  </si>
  <si>
    <t>Cucumber with Java-Build Automation Framework in lesser code</t>
  </si>
  <si>
    <t>Selenium WebDriver with Java &amp; Cucumber BDD</t>
  </si>
  <si>
    <t>Project Management: Simple Software Project Management</t>
  </si>
  <si>
    <t>Learn Basic Microsoft ASP.Net Development with Visual Studio</t>
  </si>
  <si>
    <t>Python Programming: Build Matchmaking Website + Geolocator</t>
  </si>
  <si>
    <t>Brand Campfire: The Art &amp; Science Of Brand Storytelling</t>
  </si>
  <si>
    <t>Business Branding: The Complete Course Part 1 - Strategy</t>
  </si>
  <si>
    <t>Learn Xamarin by Creating Real World Cross-Platform Apps</t>
  </si>
  <si>
    <t>Talent Management basics: learn modern Human Resources (HR)</t>
  </si>
  <si>
    <t>Human Resources</t>
  </si>
  <si>
    <t>World-Class HR: 21st Century Talent Management</t>
  </si>
  <si>
    <t>INTERVIEW TRAINING: Ask Better Questions, Hire Better People</t>
  </si>
  <si>
    <t>SAP Basis One-on-One Foundations</t>
  </si>
  <si>
    <t>SAP Basis Administration</t>
  </si>
  <si>
    <t>Data Structures &amp; Algorithms !</t>
  </si>
  <si>
    <t>Data Structures and Algorithms: Deep Dive Using Java</t>
  </si>
  <si>
    <t>Practical Data Structures &amp; Algorithms in Java + HW</t>
  </si>
  <si>
    <t>Affiliate Marketing + SEO: Amazon Affiliate Marketing</t>
  </si>
  <si>
    <t>SEO:Amazon Affiliate Marketing+SEO |250+ Videos |18.0 Hours</t>
  </si>
  <si>
    <t>Complete SEO Training With Top SEO Expert Peter Kent!</t>
  </si>
  <si>
    <t>SAP S4 HANA SIMPLE LOGISTICS</t>
  </si>
  <si>
    <t>SAP S/4HANA Training - in Plain English</t>
  </si>
  <si>
    <t>Der komplette Blender-Kurs für Unity: Lerne 3D-Modellierung</t>
  </si>
  <si>
    <t>Der komplette Blender Kurs - Erstelle hochwertige 3D Modelle</t>
  </si>
  <si>
    <t>Der Unity 2017 &amp; Blender Komplettkurs: Erstelle Top 3D Games</t>
  </si>
  <si>
    <t>Swift 2.2 und iOS9 - App Entwicklung für iPhone und iPad</t>
  </si>
  <si>
    <t>SQL desde cero: Curso práctico y sin prerrequisitos técnicos</t>
  </si>
  <si>
    <t>Learn to Create Pixel Art for your Games</t>
  </si>
  <si>
    <t>Learn Professional Pixel Art &amp; Animation for Games</t>
  </si>
  <si>
    <t>Pixel art for Video games</t>
  </si>
  <si>
    <t>Internet of Things (IoT) - The Mega Course</t>
  </si>
  <si>
    <t>Active Listening: A Practical Guide to Be an Active Listener</t>
  </si>
  <si>
    <t>Conscious Listening</t>
  </si>
  <si>
    <t>IBM Cognos Report Studio</t>
  </si>
  <si>
    <t>Multithreading and Parallel Programming in C#</t>
  </si>
  <si>
    <t>Learn Parallel Programming with C# and .NET</t>
  </si>
  <si>
    <t>Express Pilates: Build a Daily Practice</t>
  </si>
  <si>
    <t>The complete ASP.NET MVC Core 2.0 Course</t>
  </si>
  <si>
    <t>Data Visualization with Python and Matplotlib</t>
  </si>
  <si>
    <t>Complete Course on Data Visualization, Matplotlib and Python</t>
  </si>
  <si>
    <t>Networking for Introverts: Overcoming Nervousness</t>
  </si>
  <si>
    <t>IELTS Writing Task 1 Academic [MASTERCLASS]</t>
  </si>
  <si>
    <t>IELTS Band 7+ Complete Prep Course</t>
  </si>
  <si>
    <t>Microsoft Sway Essentials</t>
  </si>
  <si>
    <t>Complete ASP.NET Core 2.0 with Razor Pages</t>
  </si>
  <si>
    <t>Master ASP.NET Core 3.1 Razor Pages</t>
  </si>
  <si>
    <t>5 Exotic Guitar Scales and How to Use Them Effectively</t>
  </si>
  <si>
    <t>Fundamentals of Decision Trees in Machine Learning</t>
  </si>
  <si>
    <t>A Comprehensive Guide On Domain Name &amp; Web Hosting</t>
  </si>
  <si>
    <t>Web Hosting 101: Get Your Website Live on the Web in No Time</t>
  </si>
  <si>
    <t>Getting Started with Ruby on Rails</t>
  </si>
  <si>
    <t>Excel 2013 For Dummies Video Training, Deluxe Edition</t>
  </si>
  <si>
    <t>The Ultimate Microsoft Excel 2013 Training Bundle - 19 Hours</t>
  </si>
  <si>
    <t>PMP Exam Prep: 2 Full PMP Exam &amp; PMP Change Management Qs</t>
  </si>
  <si>
    <t>WordPress | Themes entwickeln und gestalten - Komplettkurs</t>
  </si>
  <si>
    <t>Agile Project Management for Business Managers</t>
  </si>
  <si>
    <t>Agile BM 301 Enterprise-level Agile Business Management</t>
  </si>
  <si>
    <t>Agile BM 201 Mastering Agile Business Management</t>
  </si>
  <si>
    <t>Bessere Körperhaltung für ein Leben ohne Rückenschmerzen</t>
  </si>
  <si>
    <t>Cómo implementar e-learning efectivo y sin fracaso</t>
  </si>
  <si>
    <t>¡Aprende a programar! ¡Aprende con C!</t>
  </si>
  <si>
    <t>Aprende Programación en C desde cero</t>
  </si>
  <si>
    <t>VideoScribe: Mejora tu negocio y tus ventas con animaciones</t>
  </si>
  <si>
    <t>Tutorial práctico de XML: Crea y Valida Documentos XML</t>
  </si>
  <si>
    <t>Aprende Microsoft Outlook 2016 y Mejora tu Productividad!</t>
  </si>
  <si>
    <t>Ruso Básico: Ruso Fácil con Liza</t>
  </si>
  <si>
    <t>Cisco CCNA Routing &amp; Switching 1: LAN Switching Technologies</t>
  </si>
  <si>
    <t>Cisco CCNA Routing &amp; Switching 2: Routing Technologies</t>
  </si>
  <si>
    <t>Lernweg - SCCM Current Branch 1: Einführung</t>
  </si>
  <si>
    <t>C Programmieren - Praxisorientierter Einsteiger Kurs</t>
  </si>
  <si>
    <t>JavaScript &amp; jQuery: Einsteigerfreundlich &amp; Praxisnah</t>
  </si>
  <si>
    <t>Modernes JavaScript (ES6): jQuery, node.js, und viel Praxis!</t>
  </si>
  <si>
    <t>Die komplette JavaScript Masterclass: Vom Anfänger zum Profi</t>
  </si>
  <si>
    <t>Java Programmieren - Der umfassende Einsteigerkurs</t>
  </si>
  <si>
    <t>Das Java - Bootcamp: Lerne Java für Hobby, Beruf &amp; Studium</t>
  </si>
  <si>
    <t>Java leicht gemacht - Der umfassende Java Einsteigerkurs A-Z</t>
  </si>
  <si>
    <t>Das große Videotraining zu TYPO3 8 LTS</t>
  </si>
  <si>
    <t>Java Programmieren - Der Fortgeschrittenen Kurs</t>
  </si>
  <si>
    <t>Java Design Patterns - Entwurfsmuster für sauberen Code</t>
  </si>
  <si>
    <t>Microservices mit Spring Cloud, Apache Kafka und GraphQL</t>
  </si>
  <si>
    <t>Interkulturelle Kompetenz erlangen in 50 Minuten</t>
  </si>
  <si>
    <t>verkaufen leicht gelernt</t>
  </si>
  <si>
    <t>Mit PowerPoint 2016 als Anfänger erfolgreich durchstarten</t>
  </si>
  <si>
    <t>Masterkurs - Erfolgreicher verkaufen - in 54 Lektionen</t>
  </si>
  <si>
    <t>Cisco ICND1 100-105 - CCENT Certification Bootcamp</t>
  </si>
  <si>
    <t>Cisco CCNA 200-301 Exam: Complete Course with practical labs</t>
  </si>
  <si>
    <t>Cisco ICND2 200-105 - CCNA Bootcamp</t>
  </si>
  <si>
    <t>Cisco CCNA 200-301 Complete Course: Packet Tracer Labs</t>
  </si>
  <si>
    <t>CCNA Security - 7 Days till your Cisco 210-260 exam - Labs</t>
  </si>
  <si>
    <t>Cisco Network Security Master Class</t>
  </si>
  <si>
    <t>Chris Bryant's CCNA Practice Exam Pack #2 (ICND2 Topics)</t>
  </si>
  <si>
    <t>CCNA 2019 200-125 Video Boot Camp With Chris Bryant</t>
  </si>
  <si>
    <t>Cisco CCNA 200-301 - Your Guide to Passing - 2021</t>
  </si>
  <si>
    <t>Cisco CCNA 200-301 – The Complete Guide to Getting Certified</t>
  </si>
  <si>
    <t>CCNA Security 2019 210-260 Video Boot Camp With Chris Bryant</t>
  </si>
  <si>
    <t>CCNP ROUTE 300-101 Video Boot Camp With Chris Bryant</t>
  </si>
  <si>
    <t>CCNP All-in-1 Video Boot Camp With Chris Bryant</t>
  </si>
  <si>
    <t>CCNP ROUTE 2018 Free Video Boot Camp: BGP Success</t>
  </si>
  <si>
    <t>CCNP SWITCH 300-115 Video Boot Camp With Chris Bryant</t>
  </si>
  <si>
    <t>CCNP TSHOOT 300-135 2019 Video Boot Camp with Chris Bryant</t>
  </si>
  <si>
    <t>Free CCNP SWITCH Video Boot Camp: HSRP And Security</t>
  </si>
  <si>
    <t>Typography for Designers &amp; Developers - Don't suck at design</t>
  </si>
  <si>
    <t>Workflow of Modern Web Design from Wireframes to Style Guide</t>
  </si>
  <si>
    <t>Building Serverless Web Applications on AWS</t>
  </si>
  <si>
    <t>AWS Serverless APIs &amp; Apps - A Complete Introduction</t>
  </si>
  <si>
    <t>Instagram Marketing | Grow Your Audience With Instagram 2019</t>
  </si>
  <si>
    <t>Leadership | How to Make Best Learning Environment Choices</t>
  </si>
  <si>
    <t>Build Upwards Relationships &amp; Manage Your Career</t>
  </si>
  <si>
    <t>Career Navigator: A Manager's Guide to Career Development</t>
  </si>
  <si>
    <t>Calculus 1 Fundamentals</t>
  </si>
  <si>
    <t>Become a Calculus 1 Master</t>
  </si>
  <si>
    <t>Introduction to Stata - Hands on!</t>
  </si>
  <si>
    <t>TeamCity: continuous integration &amp; DevOps with Java and .NET</t>
  </si>
  <si>
    <t>Die Datenschutzgrundverordnung (DSGVO) richtig anwenden!</t>
  </si>
  <si>
    <t>Sleep and insomnia: Improving health with CBT and meditation</t>
  </si>
  <si>
    <t>Excel 2013 Introduction</t>
  </si>
  <si>
    <t>Excel 2010 Intermediate</t>
  </si>
  <si>
    <t>First Guide to Dashboards using IBM Cognos Analytics (V11)</t>
  </si>
  <si>
    <t>Introduction to Server Administration</t>
  </si>
  <si>
    <t>Leading Disciplinary Meetings and Investigations</t>
  </si>
  <si>
    <t>Advanced Linux System Administration</t>
  </si>
  <si>
    <t>Linux Administration Bootcamp: Go from Beginner to Advanced</t>
  </si>
  <si>
    <t>Customer | How to Develop Customer Centric Metrics</t>
  </si>
  <si>
    <t>GraphQL (2016)</t>
  </si>
  <si>
    <t>Designing Architectures in AWS</t>
  </si>
  <si>
    <t>BDD in C# - using Specflow (Cucumber) to develop a REST API and automate software testing</t>
  </si>
  <si>
    <t>Engage Your Audience with Animated Presentations in AE</t>
  </si>
  <si>
    <t>After Effects CC Masterclass: Complete After Effects Course</t>
  </si>
  <si>
    <t>Selling More by Talking Less</t>
  </si>
  <si>
    <t>Office 2013 New Features</t>
  </si>
  <si>
    <t>Organizational Culture, Identity and Change</t>
  </si>
  <si>
    <t>Leadership Styles and Corporate Culture</t>
  </si>
  <si>
    <t>Ubuntu Web Development Setup</t>
  </si>
  <si>
    <t>PowerPoint 2013 Introduction</t>
  </si>
  <si>
    <t>Introduction to Microsoft PowerPoint 2013</t>
  </si>
  <si>
    <t>Delivering Organisational Change</t>
  </si>
  <si>
    <t>Managing Change: Learn to thrive through change.</t>
  </si>
  <si>
    <t>Managing Difficult Conversations with skill and confidence</t>
  </si>
  <si>
    <t>Lync 2013 Introduction</t>
  </si>
  <si>
    <t>AZ-900 Azure Exam Prep: Security Privacy Compliance &amp; Trust</t>
  </si>
  <si>
    <t>Microsoft Azure - Beginner's Guide + AZ-900 - UPDATED 2021</t>
  </si>
  <si>
    <t>Tackling sensitive workplace conversations with confidence</t>
  </si>
  <si>
    <t>Understanding and tackling Gender Bias in the workplace</t>
  </si>
  <si>
    <t>Respect Gender &amp; Sexual Differences &amp; Assert Yourself</t>
  </si>
  <si>
    <t>Scaling Docker on AWS</t>
  </si>
  <si>
    <t>SharePoint 2016 Site Owner</t>
  </si>
  <si>
    <t>Azure - Deploying Websites</t>
  </si>
  <si>
    <t>Azure - SQL</t>
  </si>
  <si>
    <t>Creating a working environment based on RESPECT</t>
  </si>
  <si>
    <t>Navigate Diversity</t>
  </si>
  <si>
    <t>Manage Diversity</t>
  </si>
  <si>
    <t>Transgender awareness for work and life: Rachel's story</t>
  </si>
  <si>
    <t>Office 365 Yammer</t>
  </si>
  <si>
    <t>AZ-900 Azure Exam Prep: Understand Azure Pricing &amp; Support</t>
  </si>
  <si>
    <t>7 steps to effective Performance Management Conversations</t>
  </si>
  <si>
    <t>Access 2013 Advanced</t>
  </si>
  <si>
    <t>Microsoft Access 2013 Advanced Course</t>
  </si>
  <si>
    <t>Windows Server-Installation, Storage, Compute (Exam 70-740)</t>
  </si>
  <si>
    <t>Introduction to Google Sheets</t>
  </si>
  <si>
    <t>The Complete Google Sheets Course: Beginner to Advanced!</t>
  </si>
  <si>
    <t>Master Google Sheets (and see why it's better than Excel)</t>
  </si>
  <si>
    <t>PowerPoint 2013 Advanced</t>
  </si>
  <si>
    <t>Azure - Active Directory</t>
  </si>
  <si>
    <t>AZ-900 Azure Exam Prep: Understanding Core Azure Services</t>
  </si>
  <si>
    <t>Office 365 OneNote Online</t>
  </si>
  <si>
    <t>Microsoft OneNote Like a Boss. The Definitive Course.</t>
  </si>
  <si>
    <t>Excel 2016 Advanced</t>
  </si>
  <si>
    <t>Captivate 5 New Features</t>
  </si>
  <si>
    <t>Understanding Unconscious Bias</t>
  </si>
  <si>
    <t>Psychology of Diversity and Unconscious Bias</t>
  </si>
  <si>
    <t>Microsoft Office PowerPoint 2016: Level 2 (Fortgeschritten)</t>
  </si>
  <si>
    <t>Microsoft OneNote 2016 - das elektronische Notizbuch</t>
  </si>
  <si>
    <t>PowerPoint 2016 Advanced</t>
  </si>
  <si>
    <t>C# - Der Fortgeschrittenen Kurs</t>
  </si>
  <si>
    <t>Tech Explorations™ The Electronics Workbench: a Setup Guide</t>
  </si>
  <si>
    <t>Citrix Cloud 2018 - Introduction</t>
  </si>
  <si>
    <t>Managing conflict with skill and confidence</t>
  </si>
  <si>
    <t>Conflict Management with Emotional Intelligence</t>
  </si>
  <si>
    <t>Performance appraisal: Manager's guide to performance review</t>
  </si>
  <si>
    <t>Windows 10 Troubleshooting</t>
  </si>
  <si>
    <t>Understanding and developing Emotional Intelligence</t>
  </si>
  <si>
    <t>Database Design Introduction</t>
  </si>
  <si>
    <t>Relational Database Design</t>
  </si>
  <si>
    <t>Managing mental health issues in the workplace</t>
  </si>
  <si>
    <t>Emotional Intelligence: The Complete Masterclass ®</t>
  </si>
  <si>
    <t>Office 365 Teams</t>
  </si>
  <si>
    <t>Cold Email Recruiter Training: Write Powerful Cold Emails</t>
  </si>
  <si>
    <t>Master Business Writing and Editing</t>
  </si>
  <si>
    <t>Excel 2010 Advanced</t>
  </si>
  <si>
    <t>Mastering Effective Communication</t>
  </si>
  <si>
    <t>Communication Fundamentals: How To Communicate Better</t>
  </si>
  <si>
    <t>Seven effective ways to maximise Team Performance</t>
  </si>
  <si>
    <t>Performance Management: Build a High Performing Team</t>
  </si>
  <si>
    <t>Excel 2010 VBA</t>
  </si>
  <si>
    <t>Excel with Microsoft Excel VBA User Forms</t>
  </si>
  <si>
    <t>Access 2013 Intermediate</t>
  </si>
  <si>
    <t>Learn Microsoft Access 2013 the Easy Way - 10 Hours</t>
  </si>
  <si>
    <t>Outlook 2016 Advanced</t>
  </si>
  <si>
    <t>Outlook 13/16/19 Like a Boss. The Complete Course.</t>
  </si>
  <si>
    <t>Assert Yourself - Master the benefits of assertive behaviour</t>
  </si>
  <si>
    <t>Office 365 SharePoint Sites</t>
  </si>
  <si>
    <t>Manifesting Your Best Life with Deepak Chopra - Part 1</t>
  </si>
  <si>
    <t>Success: How To Take Your Life From Good To Great To Amazing</t>
  </si>
  <si>
    <t>The Build a SAAS App with Flask Course</t>
  </si>
  <si>
    <t>Office 365 Power BI</t>
  </si>
  <si>
    <t>Oracle 11g PL/SQL Fundamentals I</t>
  </si>
  <si>
    <t>PL/SQL by Example - Beginner to Advanced PL/SQL</t>
  </si>
  <si>
    <t>The Complete PL/SQL Bootcamp : "Beginner to Advanced PL/SQL"</t>
  </si>
  <si>
    <t>Windows 7 New Features</t>
  </si>
  <si>
    <t>Office 365 Delve</t>
  </si>
  <si>
    <t>Access 2016 Advanced</t>
  </si>
  <si>
    <t>Microsoft Access 2016 Master Class: Beginner to Advanced</t>
  </si>
  <si>
    <t>Scrapy: Powerful Web Scraping &amp; Crawling with Python</t>
  </si>
  <si>
    <t>Modern Web Scraping with Python using Scrapy Splash Selenium</t>
  </si>
  <si>
    <t>Coaching skills for managers</t>
  </si>
  <si>
    <t>How to Become a Workplace Coach: The Fundamentals</t>
  </si>
  <si>
    <t>Office 365 Getting the Most out of OneDrive</t>
  </si>
  <si>
    <t>Office 365 Skype for Business</t>
  </si>
  <si>
    <t>Windows 10 End User</t>
  </si>
  <si>
    <t>Learn Microsoft Windows 10 the Easy Way for Beginners</t>
  </si>
  <si>
    <t>Free Automated A+ Graded SSL Certificates with Let's Encrypt</t>
  </si>
  <si>
    <t>Tech Explorations™ Make an Open Source Drone</t>
  </si>
  <si>
    <t>VB.NET Introduction</t>
  </si>
  <si>
    <t>VB.NET with VS 2017 and Windows Forms</t>
  </si>
  <si>
    <t>Outlook 2010 Advanced</t>
  </si>
  <si>
    <t>Effective use of Outlook 2010</t>
  </si>
  <si>
    <t>Captivate 5 Introduction</t>
  </si>
  <si>
    <t>7 tips for new leaders - avoiding common mistakes</t>
  </si>
  <si>
    <t>Introduction to Google Docs</t>
  </si>
  <si>
    <t>Access 2013 Introduction</t>
  </si>
  <si>
    <t>Microsoft Access: Complete MS Access Mastery for Beginners</t>
  </si>
  <si>
    <t>C# - Benutzeroberflächen mit der WPF</t>
  </si>
  <si>
    <t>Successfully leading through change and uncertainty</t>
  </si>
  <si>
    <t>Change Management Training: Master the Change Process!</t>
  </si>
  <si>
    <t>Master the Product Manager Interview - The Complete Guide</t>
  </si>
  <si>
    <t>Excel 2016 Intermediate</t>
  </si>
  <si>
    <t>Tech Explorations™ Raspberry Pi Full Stack Raspbian</t>
  </si>
  <si>
    <t>Raspberry Pi Workshop 2018 Become a Coder / Maker / Inventor</t>
  </si>
  <si>
    <t>American Sign Language Level 1</t>
  </si>
  <si>
    <t>Learn &amp; Master Sign Language</t>
  </si>
  <si>
    <t>Oracle PL/SQL Fundamentals vol. I &amp; II</t>
  </si>
  <si>
    <t>Microsoft Office PowerPoint 2016: Level 1 (Grundlagen)</t>
  </si>
  <si>
    <t>Alteryx Masterclass - crash course in alteryx for beginners</t>
  </si>
  <si>
    <t>Alteryx Bootcamp</t>
  </si>
  <si>
    <t>SharePoint 2010 Introduction</t>
  </si>
  <si>
    <t>Basics of Meditation with Deepak Chopra</t>
  </si>
  <si>
    <t>Practical Meditation - Master Meditation Today</t>
  </si>
  <si>
    <t>Learn Meditation with Certification to Guide Others</t>
  </si>
  <si>
    <t>Office 2010 New Features</t>
  </si>
  <si>
    <t>The Ultimate Microsoft Office 2010 Training Bundle 48 Hours</t>
  </si>
  <si>
    <t>Tech Explorations™ Arduino Step by Step Getting Serious</t>
  </si>
  <si>
    <t>Microsoft Visio 2016 sicher beherrschen.</t>
  </si>
  <si>
    <t>Tech Explorations™ Arduino: Make an IoT environment monitor</t>
  </si>
  <si>
    <t>Access 2016 Introduction</t>
  </si>
  <si>
    <t>Tech Explorations™ KiCad Like a Pro 2nd edition</t>
  </si>
  <si>
    <t>Oracle 11g PL/SQL Fundamentals II</t>
  </si>
  <si>
    <t>Tech Explorations™ Advanced Arduino Boards and Tools</t>
  </si>
  <si>
    <t>Tech Explorations™ Basic electronics for Arduino Makers</t>
  </si>
  <si>
    <t>Programming the Arduino - Getting Started</t>
  </si>
  <si>
    <t>Tech Explorations™ Arduino Step by Step: Getting Started</t>
  </si>
  <si>
    <t>Unreal Engine C++ Developer: Learn C++ and Make Video Games</t>
  </si>
  <si>
    <t>Unreal Engine 4: How to Develop Your First Two Games</t>
  </si>
  <si>
    <t>Adobe Acrobat Pro 9</t>
  </si>
  <si>
    <t>Complete C# Unity Developer 3D: Learn to Code Making Games</t>
  </si>
  <si>
    <t>Working with InfoPath 2013 in SharePoint</t>
  </si>
  <si>
    <t>Unreal Engine Blueprint Developer: Learn Visual Scripting</t>
  </si>
  <si>
    <t>Create a Battle Royale game using Unreal Engine 4 Blueprints</t>
  </si>
  <si>
    <t>Tech Explorations™ KiCad like a Pro</t>
  </si>
  <si>
    <t>Manifesting Your Best Life with Deepak Chopra – Part 2</t>
  </si>
  <si>
    <t>Complete Personal Development Personal Transformation Course</t>
  </si>
  <si>
    <t>Access 2016 Intermediate</t>
  </si>
  <si>
    <t>Outlook 2016 Introduction</t>
  </si>
  <si>
    <t>Tech Explorations™ Arduino Robotics with the mBot</t>
  </si>
  <si>
    <t>RPG Core Combat Creator: Learn Intermediate Unity C# Coding</t>
  </si>
  <si>
    <t>Learn To Create An RPG Game In Unity</t>
  </si>
  <si>
    <t>Microsoft Office Outlook 2016: Teil 1 (Grundlagen)</t>
  </si>
  <si>
    <t>MS Outlook - Das ultimative Training vom Anfänger zum Profi</t>
  </si>
  <si>
    <t>Tech Explorations™ Arduino Mastery Projects</t>
  </si>
  <si>
    <t>Arduino Bootcamp : Learning Through Projects</t>
  </si>
  <si>
    <t>Sexual Harassment Prevention for Managers</t>
  </si>
  <si>
    <t>AWS Certified Cloud Practitioner Practice Exams</t>
  </si>
  <si>
    <t>AWS Certified Cloud Practitioner 500 Practice Exam Questions</t>
  </si>
  <si>
    <t>AWS Solutions Architect – Associate SAA-C01 Practice Exams</t>
  </si>
  <si>
    <t>AWS Certified Solutions Architect Associate Practice Exams</t>
  </si>
  <si>
    <t>Practice Test AWS Solutions Architect Associate SAA C02</t>
  </si>
  <si>
    <t>AWS Certified Big Data - Speciality Practice Exams</t>
  </si>
  <si>
    <t>✔Master en [ RECUPERACIÓN ] de Datos Informáticos. Año 2020.</t>
  </si>
  <si>
    <t>In order to provide our users with access to the best and freshest content the Udemy marketplace has to offer we regularly investigate our 
offering daily to examine and fill gaps, remove content that doesn't meet our standards and assesses our customer's needs.
These courses were removed from the Collection on the date listed in column A. 
Replacement courses currently in the collection are identified in columns F &amp; G.</t>
  </si>
  <si>
    <t>Find and Fix Fraud at Your Company</t>
  </si>
  <si>
    <t>Corporate Internal Controls and Fraud Controls</t>
  </si>
  <si>
    <t>Introduction to Corporate Information Security</t>
  </si>
  <si>
    <t>Information Security Awareness-ISO 27001:2013</t>
  </si>
  <si>
    <t>The Fast Route to a Faster Financial Close</t>
  </si>
  <si>
    <t>Effective Executive Presentation Skills</t>
  </si>
  <si>
    <t>Presentation Skills: Give More Powerful, Memorable Talks</t>
  </si>
  <si>
    <t>Complete Presentation Skills Masterclass for Every Occasion</t>
  </si>
  <si>
    <t>Avoiding Common Mistakes New Managers Make</t>
  </si>
  <si>
    <t>60 Minutes to Fundamental Accounting Skills</t>
  </si>
  <si>
    <t>Core Financial Statement Concepts</t>
  </si>
  <si>
    <t>Corporate Ethics</t>
  </si>
  <si>
    <t>Ratio Analysis for Financial Statements</t>
  </si>
  <si>
    <t>Building a Balanced Scorecard</t>
  </si>
  <si>
    <t>Proper Segregation of Duties for Internal Control</t>
  </si>
  <si>
    <t>Why EQ Trumps IQ</t>
  </si>
  <si>
    <t>Leadership: How to Become an Effective CEO, Leader, Manager</t>
  </si>
  <si>
    <t>How to Become a Corporate Leader</t>
  </si>
  <si>
    <t>How to Use Leadership Styles Effectively: Matched Leadership</t>
  </si>
  <si>
    <t>Understanding Yourself and Others Through Myers-Briggs®</t>
  </si>
  <si>
    <t>Planning and Executing a Financial Statement Audit</t>
  </si>
  <si>
    <t>Discovering the Leader Within You</t>
  </si>
  <si>
    <t>Effective Strategies for Managing E-mail</t>
  </si>
  <si>
    <t>Financial Statement Auditing Cycles</t>
  </si>
  <si>
    <t>Ethical Decision Making Framework</t>
  </si>
  <si>
    <t>Effectively Create Goals and Set Priorities</t>
  </si>
  <si>
    <t>Success: How to Set and Achieve Goals</t>
  </si>
  <si>
    <t>Building an Effective Corporate Code of Conduct</t>
  </si>
  <si>
    <t>PCI (Payment Card) Standards for Corporate Professionals</t>
  </si>
  <si>
    <t>Credit Card Security Basics</t>
  </si>
  <si>
    <t>Administrative Human Resources (HR) for Beginners</t>
  </si>
  <si>
    <t>Questions that Sell</t>
  </si>
  <si>
    <t>Learn to Sell Anything by Grant Cardone</t>
  </si>
  <si>
    <t>How to Identify Key Factors For Winning Change Management</t>
  </si>
  <si>
    <t>Leading Global Teams - Inclusively</t>
  </si>
  <si>
    <t>Making your Marketing Memorable</t>
  </si>
  <si>
    <t>Content Marketing Mastery 2018: Beginner's Ultimate Guide</t>
  </si>
  <si>
    <t>Selling to Different Personality Types</t>
  </si>
  <si>
    <t>Creating a Vision for Leading Global Change at Your Company</t>
  </si>
  <si>
    <t>Better Leadership Through Better Coaching</t>
  </si>
  <si>
    <t>Coaching Managers &amp; Leaders for Continuous Improvement</t>
  </si>
  <si>
    <t>Global Business: Cultural and Behavioral Norms</t>
  </si>
  <si>
    <t>Understanding Cultural Implications When Leading Change</t>
  </si>
  <si>
    <t>Connecting Globally When Leading Change</t>
  </si>
  <si>
    <t>Understand Core Finance Principles in 60 Minutes</t>
  </si>
  <si>
    <t>Introduction to Finance, Accounting, Modeling and Valuation</t>
  </si>
  <si>
    <t>Effective Business Strategy and Leadership</t>
  </si>
  <si>
    <t>Intro to Excel Macros Part 1</t>
  </si>
  <si>
    <t>Unlock Excel VBA and Excel Macros</t>
  </si>
  <si>
    <t>Master Microsoft Excel Macros and Excel VBA</t>
  </si>
  <si>
    <t>Leadership &amp; Likability - Striking the Right Balance</t>
  </si>
  <si>
    <t>Java Non-Blocking IO with Java.NIO and Design Patterns</t>
  </si>
  <si>
    <t>Evernote GTD - How To Maximize Your Productivity in 2019</t>
  </si>
  <si>
    <t>Building WordPress Themes: The Step-by-Step Guide</t>
  </si>
  <si>
    <t>Starting with Altium Designer</t>
  </si>
  <si>
    <t>Get Big Things Done: Become a Standout Collaborator</t>
  </si>
  <si>
    <t>Business Strategy Development: The Art of Differentiation</t>
  </si>
  <si>
    <t>Motivation - Learn to Finally Take Action - by Edwin Diaz</t>
  </si>
  <si>
    <t>Boost Your Productivity: Adapt, Improve, Do!</t>
  </si>
  <si>
    <t>ROS Basics: Program Robots!</t>
  </si>
  <si>
    <t>ROS For Beginners (ROS Noetic, Melodic, Kinetic)</t>
  </si>
  <si>
    <t>Introduction to Project Management for Finance and Acct'g</t>
  </si>
  <si>
    <t>Recruiter Secrets: How To Find Your Prospects Interests</t>
  </si>
  <si>
    <t>FPGA Design Learning VHDL</t>
  </si>
  <si>
    <t>Balanced Scorecard: Master Your Data Driven Performance</t>
  </si>
  <si>
    <t>Learning Haskell Programming</t>
  </si>
  <si>
    <t>Data Mining Through Cluster Analysis Using Python</t>
  </si>
  <si>
    <t>Django + AngularJS for a Powerful Web Application</t>
  </si>
  <si>
    <t>How to Negotiate a Higher Salary with Any Employer</t>
  </si>
  <si>
    <t>Scale Your Business With Web Analytics &amp; Conversion Strategy</t>
  </si>
  <si>
    <t>Web Analytics &amp; Digital Marketing Analytics - Zero to Hero</t>
  </si>
  <si>
    <t>Delivering Useful Feedback in a Corporate Setting</t>
  </si>
  <si>
    <t>Deliver Powerful, Painless Feedback to Motivate vs Frustrate</t>
  </si>
  <si>
    <t>Giving Effective Feedback: Empower and Retain Your Employees</t>
  </si>
  <si>
    <t>Don't Launch your Survey Yet! 4 Traps to Remove First</t>
  </si>
  <si>
    <t>Create Professional Character Designs in Photoshop</t>
  </si>
  <si>
    <t>The Ultimate 2D Game Character Design &amp; Animation Course</t>
  </si>
  <si>
    <t>Effortless Email: Achieve Inbox Zero for Good &amp; Master Gmail</t>
  </si>
  <si>
    <t>A Complete Guide to Creating Animated Information Graphics</t>
  </si>
  <si>
    <t>After Effects CC Expressions: Animated Infographics Design</t>
  </si>
  <si>
    <t>iOS 11 &amp; Swift 4: From Beginner to Paid Professional™</t>
  </si>
  <si>
    <t>How to Make a Freaking iPhone App - iOS 11 and Swift 4</t>
  </si>
  <si>
    <t>The Complete iOS 11 &amp; Swift Developer Course - Build 20 Apps</t>
  </si>
  <si>
    <t>Intermediate iOS - Complex and Advanced iPhone Apps</t>
  </si>
  <si>
    <t>Machine Learning y Data Science con Python</t>
  </si>
  <si>
    <t>Machine Learning de A a la Z: R y Python para Data Science</t>
  </si>
  <si>
    <t>Fundamentos de Programación con Java</t>
  </si>
  <si>
    <t>Einstieg in C# - Software programmieren wie ein Profi</t>
  </si>
  <si>
    <t>Complete Oracle JavaFX with Database &amp; Advance Java projects</t>
  </si>
  <si>
    <t>Java Masterclass - Beginner to Expert Guide: Java &amp; JavaFX</t>
  </si>
  <si>
    <t>iOS 11 and Xcode 9 - Complete Swift 4 &amp; Objective-C Course</t>
  </si>
  <si>
    <t>Machine Learning with Python from Scratch</t>
  </si>
  <si>
    <t>Six steps to leading productive meetings</t>
  </si>
  <si>
    <t>Leading Effective Meetings - You Can Lead Effective Meetings</t>
  </si>
  <si>
    <t>Beginner API development in Node, Express, ES6, &amp; MongoDB</t>
  </si>
  <si>
    <t>Introduction to Unit Testing</t>
  </si>
  <si>
    <t>MSTest Unit Testing Tutorial for beginners : C# Unit Testing</t>
  </si>
  <si>
    <t>Unit Testing for C# Developers</t>
  </si>
  <si>
    <t>AWS Master Class: Databases In The Cloud With AWS RDS</t>
  </si>
  <si>
    <t>Become A Conversion Rate Optimization (CRO) Expert</t>
  </si>
  <si>
    <t>Landing Page Design &amp; Conversion Rate Optimization 2018</t>
  </si>
  <si>
    <t>Leading Global Virtual Teams</t>
  </si>
  <si>
    <t>Leading Virtual Teams - A Quick Course</t>
  </si>
  <si>
    <t>Form Your Virtual Team &amp; Lead Your Virtual Team</t>
  </si>
  <si>
    <t>AWS Certified Big Data - Specialty 2019 (Exam Prep Course)</t>
  </si>
  <si>
    <t>The Complete free SAP NW Installation Guide for ABAP and BW</t>
  </si>
  <si>
    <t>Managing Change Resistance – Clear a Path to Success</t>
  </si>
  <si>
    <t>Hands on projects with the I2C protocol - Learn by doing!</t>
  </si>
  <si>
    <t>Master Microcontroller and Embedded Driver Development(MCU1)</t>
  </si>
  <si>
    <t>Interior Design for your Modern Home: A Room by Room Guide</t>
  </si>
  <si>
    <t>Design is in the Details: How to Accessorize Like a Pro</t>
  </si>
  <si>
    <t>Hacking For Beginners</t>
  </si>
  <si>
    <t>The Absolute Beginners Guide to Cyber Security 2021 - Part 1</t>
  </si>
  <si>
    <t>Webpack 4 in 2019: The Complete Tutorial For Beginners</t>
  </si>
  <si>
    <t>Full-Stack Web Apps with Meteor and React</t>
  </si>
  <si>
    <t>MERN Stack Front To Back: Full Stack React, Redux &amp; Node.js</t>
  </si>
  <si>
    <t>Automate Web Development With Gulp JS</t>
  </si>
  <si>
    <t>The Complete Guide to Professional Trading with Elliott Wave</t>
  </si>
  <si>
    <t>Desarrollo móvil con React Native, Expo y Firebase</t>
  </si>
  <si>
    <t>MailChimp: Email Marketing Desde Cero Para Negocios</t>
  </si>
  <si>
    <t>Docker für Anfänger - Eine Reise im Container</t>
  </si>
  <si>
    <t>Docker Bootcamp - vom Anfänger zum Profi</t>
  </si>
  <si>
    <t>How To Train Your Team - Team Leadership Management Skills</t>
  </si>
  <si>
    <t>Fast MBA - Marketing Digital</t>
  </si>
  <si>
    <t>ITIL Foundation (2011): Complete Course &amp; 2 Practice Exams</t>
  </si>
  <si>
    <t>ITIL Foundation (2011/v3): Practice Exams (6 Exams)</t>
  </si>
  <si>
    <t>ITIL 4 Foundation: Complete Course &amp; 2 Practice Exams</t>
  </si>
  <si>
    <t>ITIL 4 Foundation: Practice Certification Exams (6 Exams)</t>
  </si>
  <si>
    <t>PRINCE2 Foundation Complete Course &amp; 2 Practice Exams</t>
  </si>
  <si>
    <t>PRINCE2 Agile Foundation: Complete Course &amp; 2 Practice Exams</t>
  </si>
  <si>
    <t>PRINCE2 Foundation: Practice Certification Exams (6 Exams)</t>
  </si>
  <si>
    <t>Curso Oficial Preparatório ITIL 4 Foundation</t>
  </si>
  <si>
    <t>Recruitment for startups: How to avoid common pitfalls</t>
  </si>
  <si>
    <t>Selenium Mastery: Apply What You Learn Here Today By RicherU</t>
  </si>
  <si>
    <t>Selenium WebDriver Training with Java &amp; Many Live Frameworks</t>
  </si>
  <si>
    <t>Advanced SQL Server Performance Tuning</t>
  </si>
  <si>
    <t>SQL Server Performance Tuning Part 1</t>
  </si>
  <si>
    <t>UX Research for Apps: User-centric from Concept to Launch</t>
  </si>
  <si>
    <t>The Complete App Design Course - UX, UI and Design Thinking</t>
  </si>
  <si>
    <t>UI/UX design with Adobe XD: Design &amp; Prototype a Mobile App</t>
  </si>
  <si>
    <t>Serverless Data Processing on AWS</t>
  </si>
  <si>
    <t>AWS Lambda and the Serverless Framework - Hands On Learning!</t>
  </si>
  <si>
    <t>Microsoft Word for Mac - From Beginner to Expert in 5 Hours</t>
  </si>
  <si>
    <t>Microsoft Word for Mac - Office 365 on Mac OS</t>
  </si>
  <si>
    <t>Master Microsoft Word Beginner to Advanced</t>
  </si>
  <si>
    <t>Programming Internet of Things - Beginning to Advanced Level</t>
  </si>
  <si>
    <t>Exploring AWS IoT</t>
  </si>
  <si>
    <t>Excel 2010 Introduction</t>
  </si>
  <si>
    <t>Introduction to Microsoft Excel 2010</t>
  </si>
  <si>
    <t>CISSP practice questions #3 - ALL CISSP domains 250 Q - 2019</t>
  </si>
  <si>
    <t>CISSP: How to study, plans, tips, materials, and more - 2021</t>
  </si>
  <si>
    <t>Business Leadership &amp; Management: How To Be A Better Leader</t>
  </si>
  <si>
    <t>Leadership: How to Influence, Inspire and Impact as a Leader</t>
  </si>
  <si>
    <t>Management Skills - Team Leadership Skills Masterclass 2021</t>
  </si>
  <si>
    <t>Data Mining with Rattle</t>
  </si>
  <si>
    <t>Data Science:Data Mining &amp; Natural Language Processing in R</t>
  </si>
  <si>
    <t>R Level 1 - Data Analytics with R</t>
  </si>
  <si>
    <t>Modern .NET Ecosystem and .NET Core</t>
  </si>
  <si>
    <t>Master ASP.NET MVC Core 3.1</t>
  </si>
  <si>
    <t>ServiceNow Certified System Administrator CSA Practice Exam</t>
  </si>
  <si>
    <t>ServiceNow Certified Administration For Beginners</t>
  </si>
  <si>
    <t>The Complete Soft Skills Course for Techies and Coders</t>
  </si>
  <si>
    <t>Soft Skills: The 11 Essential Career Soft Skills</t>
  </si>
  <si>
    <t>CCL Boost™: Flip Your Script For New Leader Success</t>
  </si>
  <si>
    <t>Working with MongoDB</t>
  </si>
  <si>
    <t>The Complete Developers Guide to MongoDB</t>
  </si>
  <si>
    <t>Make flat design trees in Adobe Illustrator in 30 minutes!</t>
  </si>
  <si>
    <t>ARKit and Unity : Build a Drivable Car in Augmented Reality</t>
  </si>
  <si>
    <t>A Beginner's Guide to Augmented Reality with Unity</t>
  </si>
  <si>
    <t>The Complete ARKit Course - Build 11 Augmented Reality Apps</t>
  </si>
  <si>
    <t>Making Tax Digital - UK HMRC Legislation Explained</t>
  </si>
  <si>
    <t>Javascript Intermediate level 1 - Mastering the DOM</t>
  </si>
  <si>
    <t>Six Sigma Green Belt</t>
  </si>
  <si>
    <t>Lean Six Sigma Green Belt Online Course (2020)</t>
  </si>
  <si>
    <t>Design The Future: UX Design For Emerging Technologies</t>
  </si>
  <si>
    <t>User Experience Design Essentials - Adobe XD UI UX Design</t>
  </si>
  <si>
    <t>User Experience Design Fundamentals</t>
  </si>
  <si>
    <t>Anatomy of a Cyber Attack: Beginner Hacking with Metasploit!</t>
  </si>
  <si>
    <t>Ethical Hacking with Metasploit: Exploit &amp; Post Exploit</t>
  </si>
  <si>
    <t>Metasploit Framework: Penetration Testing with Metasploit</t>
  </si>
  <si>
    <t>WiFi Hacking: Wireless Penetration Testing for Beginners</t>
  </si>
  <si>
    <t>Introduction to Malware Analysis for Incident Responders</t>
  </si>
  <si>
    <t>Certified Ethical Hacker (CEHv10) Exams #UNOFFICIAL#</t>
  </si>
  <si>
    <t>English Grammar: Apostrophe Beginner to Apostrophe Expert</t>
  </si>
  <si>
    <t>Master English: Improve Your Speaking, Listening, &amp; Writing</t>
  </si>
  <si>
    <t>English Speaking Patterns Mastery: Upgrade your English</t>
  </si>
  <si>
    <t>Increase sales through great customer service skills</t>
  </si>
  <si>
    <t>Customer Service: Soft Skills Fundamentals</t>
  </si>
  <si>
    <t>Brilliant Customer Service: How to Impress your Customers!</t>
  </si>
  <si>
    <t>First Meeting B2B Sales Tips That Close for the Next Step</t>
  </si>
  <si>
    <t>Closing Sales - Business by Design</t>
  </si>
  <si>
    <t>No Pressure Prospecting - Close More Sales</t>
  </si>
  <si>
    <t>POWER Sales Questions</t>
  </si>
  <si>
    <t>Compile Your First Ethereum Smart Contract With Solidity</t>
  </si>
  <si>
    <t>Build and Deploy Your First Decentralized App with Etherem</t>
  </si>
  <si>
    <t>Learn to Trade for Profit: Ten Most Profitable Trading Rules</t>
  </si>
  <si>
    <t>Comprehensive Guide to Financial Markets, Investing &amp;Trading</t>
  </si>
  <si>
    <t>Trading for Profit: 10 Primary Candlestick Reversal Patterns</t>
  </si>
  <si>
    <t>Options Trading for Rookies: Understand Options Completely</t>
  </si>
  <si>
    <t>Node.js, Express &amp; MongoDB Dev to Deployment</t>
  </si>
  <si>
    <t>Node.js API Masterclass With Express &amp; MongoDB</t>
  </si>
  <si>
    <t>Become AWS Certified - Solutions Architect Associate (CSA)</t>
  </si>
  <si>
    <t>AWS Solutions Architect Associate 2021 with Practice Test</t>
  </si>
  <si>
    <t>iOS 11 &amp; Swift 4 - The Complete iOS App Development Bootcamp</t>
  </si>
  <si>
    <t>Linux Academy Red Hat Certified Systems Administrator Prep</t>
  </si>
  <si>
    <t>Prepare RHCSA 8 Exams on RHEL 8 with Real Exam Practice Test</t>
  </si>
  <si>
    <t>Acumen Presents: Seth Godin's Leadership Workshop</t>
  </si>
  <si>
    <t>The Superboss Playbook for Managers</t>
  </si>
  <si>
    <t>Acumen Presents: Chris Anderson on Public Speaking</t>
  </si>
  <si>
    <t>Effective Presentation and TED like Public Speaking</t>
  </si>
  <si>
    <t>Powerful speaking</t>
  </si>
  <si>
    <t>Acumen Presents: Dan Ariely on Changing Customer Behavior</t>
  </si>
  <si>
    <t>The Ultimate Facebook Ads and Facebook Marketing Guide 2019</t>
  </si>
  <si>
    <t>Acumen Presents: Sheila Heen on Difficult Conversations</t>
  </si>
  <si>
    <t>How to Manage Difficult Conversations: Beginner's Guide</t>
  </si>
  <si>
    <t>12 Strategies for Dealing With Difficult People</t>
  </si>
  <si>
    <t>Acumen Presents: Elizabeth Gilbert's Creativity Workshop</t>
  </si>
  <si>
    <t>Creativity, Design Thinking, and Innovation for Business</t>
  </si>
  <si>
    <t>Skyrocket Your Creativity and Get Better Ideas: 7 Easy Ways</t>
  </si>
  <si>
    <t>Acumen Presents: Angela Duckworth on Building Grit</t>
  </si>
  <si>
    <t>Build Grit</t>
  </si>
  <si>
    <t>Become the Leader on Effective Workplace Communication</t>
  </si>
  <si>
    <t>Acumen Presents: Adam Grant on Developing Original Ideas</t>
  </si>
  <si>
    <t>Accelerate Innovation &amp; Creativity, a Research based Guide !</t>
  </si>
  <si>
    <t>IBM Qradar SIEM Admin&amp;Config for Incident Response</t>
  </si>
  <si>
    <t>Azure - Deploying Virtual Machines</t>
  </si>
  <si>
    <t>How a Building is Designed and Built - Part 1 of 6</t>
  </si>
  <si>
    <t>Linux Academy Red Hat Certified Engineer Prep</t>
  </si>
  <si>
    <t>Protocol Oriented Programming in Swift 4 and iOS 11</t>
  </si>
  <si>
    <t>iOS &amp; Swift: Become An App Developer</t>
  </si>
  <si>
    <t>Constructive Feedback: Manager's Step-By-Step Guide</t>
  </si>
  <si>
    <t>Feedback is Fuel</t>
  </si>
  <si>
    <t>Zimbra Messaging Server Complete Course</t>
  </si>
  <si>
    <t>iPexpert's CCNA DCICN Data Center Course</t>
  </si>
  <si>
    <t>Acumen Presents: Krista Tippett on the Art of Conversation</t>
  </si>
  <si>
    <t>Listening Skills - The Ultimate Workplace Soft Skills</t>
  </si>
  <si>
    <t>Active Listening Masterclass</t>
  </si>
  <si>
    <t>Acumen Presents: Daniel Pink on the Art of Selling</t>
  </si>
  <si>
    <t>Acumen Presents: Mihir Desai on Demystifying Finance</t>
  </si>
  <si>
    <t>Finance for Non-Finance: Learn Quick and Easy</t>
  </si>
  <si>
    <t>Acumen Presents: Sarah Robb O'Hagan on Competitive Advantage</t>
  </si>
  <si>
    <t>The Ultimate Disruption Playbook with Charlene Li</t>
  </si>
  <si>
    <t>Technical Analysis - A practical approach for trade entry</t>
  </si>
  <si>
    <t>Advanced Technical Analysis PART1!</t>
  </si>
  <si>
    <t>Advanced Technical Analysis PART 2</t>
  </si>
  <si>
    <t>How a Building is Designed and Built - Part 2 of 6</t>
  </si>
  <si>
    <t>Create a vSphere 6.0 VCP Lab with VMware Workstation</t>
  </si>
  <si>
    <t>Clear and Simple VMware vSphere 6.5 Foundations VCP - Part 1</t>
  </si>
  <si>
    <t>Clear and Simple VMware vSphere 6.5 VCP-DCV (VCP 2019)</t>
  </si>
  <si>
    <t>[DEPRECIATED] Parse Server: From Front End to Full Stack</t>
  </si>
  <si>
    <t>Getting Started with Ionic v2/v3 and Parse Server</t>
  </si>
  <si>
    <t>How a Building is Designed and Built - Part 5 of 6</t>
  </si>
  <si>
    <t>How a Building is Designed and Built - Part 6 of 6</t>
  </si>
  <si>
    <t>How a Building is Designed and Built - Part 4 of 6</t>
  </si>
  <si>
    <t>How a Building is Designed and Built - Part 3 of 6</t>
  </si>
  <si>
    <t>New Leader Crash Course Part 2</t>
  </si>
  <si>
    <t>New Leader Crash Course Part 3</t>
  </si>
  <si>
    <t>Acumen Presents: Al Pittampalli on Open-Mindedness</t>
  </si>
  <si>
    <t>How to be Successful: Create A Growth Mindset For Success</t>
  </si>
  <si>
    <t>Acumen Presents: Scott Sonenshein on Resourcefulness</t>
  </si>
  <si>
    <t>Acumen Presents: Jonathan Greenblatt on Fighting Hate &amp; Bias</t>
  </si>
  <si>
    <t>Debbie Millman on Branding for Social Change</t>
  </si>
  <si>
    <t>End-to-end Machine Learning: Polynomial Regression</t>
  </si>
  <si>
    <t>End-to-end Machine Learning: Decision trees</t>
  </si>
  <si>
    <t>RESTful API with Laravel (5.0 to 5.2)</t>
  </si>
  <si>
    <t>Personal Branding Blueprint</t>
  </si>
  <si>
    <t>Personal Branding: Strengthen Your Professional Reputation</t>
  </si>
  <si>
    <t>How To Write Better Headlines - For Content, Email &amp; Social</t>
  </si>
  <si>
    <t>Writing With Flair: How To Become An Exceptional Writer</t>
  </si>
  <si>
    <t>Getting Started with Google Drive</t>
  </si>
  <si>
    <t>Google Cloud Productivity - Drive and Google's Office Suite</t>
  </si>
  <si>
    <t>SystemVerilog Verification -5: Functional Coverage Coding</t>
  </si>
  <si>
    <t>Email Sales Prospecting – With The High Value Email</t>
  </si>
  <si>
    <t>The Complete Mailchimp Email Marketing Course</t>
  </si>
  <si>
    <t>Competition Analysis course for new digital marketers</t>
  </si>
  <si>
    <t>How to be uncommonly productive using Evernote</t>
  </si>
  <si>
    <t>Presentation Skills: How to Give a Virtual Keynote Speech</t>
  </si>
  <si>
    <t>2021 Complete Public Speaking Masterclass For Every Occasion</t>
  </si>
  <si>
    <t>The Complete Presentation and Public Speaking/Speech Course</t>
  </si>
  <si>
    <t>Blender 2.8 Game Character Creation</t>
  </si>
  <si>
    <t>Preparing to Certified OpenStack Administrator (COA) Exam</t>
  </si>
  <si>
    <t>The Complete SDLC Course for Beginners</t>
  </si>
  <si>
    <t>G Suite Setup for Your Business - The Right Way</t>
  </si>
  <si>
    <t>Google Workspace (G Suite) Admin - The Complete Course</t>
  </si>
  <si>
    <t>Leadership | How to Succeed through Direction</t>
  </si>
  <si>
    <t>Startup Fundamentals! Become a Successful Business Owner!</t>
  </si>
  <si>
    <t>Business Fundamentals: Corporate Strategy</t>
  </si>
  <si>
    <t>Introduction to PgMP® Certification (1 PDU)</t>
  </si>
  <si>
    <t>MB2-718 Dynamics 365 Unified Service Desk (USD) (Part 4)</t>
  </si>
  <si>
    <t>AWS Certified Security Specialty - Practice Tests</t>
  </si>
  <si>
    <t>Coaching Skills For Retail Managers</t>
  </si>
  <si>
    <t>Tech Explorations™ Raspberry Pi: Full Stack Minibian</t>
  </si>
  <si>
    <t>Learn and Build using Polymer LitElement (beyond Polymer 3)</t>
  </si>
  <si>
    <t>PHP Date and Time with Carbon by Edwin Diaz</t>
  </si>
  <si>
    <t>Practical PHP: Master the Basics and Code Dynamic Websites</t>
  </si>
  <si>
    <t>Google Cloud Professional Cloud Architect Practice Test</t>
  </si>
  <si>
    <t>Design and Animate a Gamer UI</t>
  </si>
  <si>
    <t>Using Advanced iOS Frameworks and Techniques with Swift 3</t>
  </si>
  <si>
    <t>iOS 12: Learn to Code &amp; Build Real iOS 12 Apps in Swift 4.2</t>
  </si>
  <si>
    <t>MB2-718 Dynamics 365 Queues, Entitlements and SLAs (Part 2)</t>
  </si>
  <si>
    <t>MB2-718 Cases, Knowledge Base, Customer Service Hub (Part 1)</t>
  </si>
  <si>
    <t>MB2-718 Service Analysis &amp; Voice of the Customer (Part 3)</t>
  </si>
  <si>
    <t>Become an expert in the new SAP Activate Methodology.</t>
  </si>
  <si>
    <t>PowerPoint 2016 Introduction</t>
  </si>
  <si>
    <t>Master Microsoft PowerPoint 2016 the Easy Way</t>
  </si>
  <si>
    <t>The FliPsides of Collaborative Decision Making</t>
  </si>
  <si>
    <t>Culture | How to Make Team Decisions</t>
  </si>
  <si>
    <t>Decision Making: Solve Problems with Emotional Intelligence</t>
  </si>
  <si>
    <t>Short and Sweet: Basic Programming Concepts in 2 Hours</t>
  </si>
  <si>
    <t>Programming 101</t>
  </si>
  <si>
    <t>Coding for Writers: Basic Programming</t>
  </si>
  <si>
    <t>MB2-718 Microsoft Dynamics 365 Field Service (Part 5)</t>
  </si>
  <si>
    <t>Short and Sweet: Next-Level Git and GitHub - Get Productive</t>
  </si>
  <si>
    <t>Git Complete: The definitive, step-by-step guide to Git</t>
  </si>
  <si>
    <t>Git Going Fast: One Hour Git Crash Course</t>
  </si>
  <si>
    <t>Sketchup PRO - Curso completo</t>
  </si>
  <si>
    <t>Modela en 3D con SketchUp Pro. 2021 Impartido por Arquitecto</t>
  </si>
  <si>
    <t>Writing With Flair (New Edition)</t>
  </si>
  <si>
    <t>Lumion 8 Pro - Del Básico al Avanzado</t>
  </si>
  <si>
    <t>Storage Area Network with Oracle ZFS on Centos Linux : L1</t>
  </si>
  <si>
    <t>Cryptocurrency Trading Course 2019: Achieve Wins Daily!</t>
  </si>
  <si>
    <t>Cryptocurrency Investing: Buy &amp; Trade Bitcoin &amp; Altcoins</t>
  </si>
  <si>
    <t>Full Cryptocurrency Course: Bitcoin, Ethereum &amp; Blockchain</t>
  </si>
  <si>
    <t>RabbitMQ: The Complete Guide with Software Architecture Applications</t>
  </si>
  <si>
    <t>IBM Qradar SIEM Fundamentals for Incident Response</t>
  </si>
  <si>
    <t>Red Hat OpenShift With Jenkins: DevOps For Beginners</t>
  </si>
  <si>
    <t>Snowflake Data Warehouse and Cloud Data Analytics</t>
  </si>
  <si>
    <t>Hands-on Chatbots with Google Dialogflow</t>
  </si>
  <si>
    <t>Build Incredible Chatbots</t>
  </si>
  <si>
    <t>Payroll Accounting Introduction</t>
  </si>
  <si>
    <t>Accounting 2 Simplified for You</t>
  </si>
  <si>
    <t>How to Ask Powerful, Emotionally Engaging Questions</t>
  </si>
  <si>
    <t>Ask Better Questions - Build Better Relationships</t>
  </si>
  <si>
    <t>Mindfulness For Busy People</t>
  </si>
  <si>
    <t>Mindfulness Meditation for Real Life</t>
  </si>
  <si>
    <t>Learning Autodesk AutoCAD - Crash Course</t>
  </si>
  <si>
    <t>YouTube: Get Laser Targeted Traffic With YouTube Ads</t>
  </si>
  <si>
    <t>YouTube Marketing 2021 &amp; YouTube SEO To Get 1,000,000+ Views</t>
  </si>
  <si>
    <t>YouTube SEO: How to Rank #1 on YouTube</t>
  </si>
  <si>
    <t>Negotiate like a Champion in Any Walk of Life</t>
  </si>
  <si>
    <t>Successful Negotiation: Master Your Negotiating Skills</t>
  </si>
  <si>
    <t>Negotiation Fundamentals: How To Negotiate Effectively</t>
  </si>
  <si>
    <t>Introduction to Microsoft Windows Workflow Foundation WF</t>
  </si>
  <si>
    <t>Building Games with Phaser</t>
  </si>
  <si>
    <t>Mastering Yii 2</t>
  </si>
  <si>
    <t>Introduction to Organization Change - Getting Started</t>
  </si>
  <si>
    <t>Acumen Presents: Kim Scott on Radical Candor</t>
  </si>
  <si>
    <t>Learn Android Application Development</t>
  </si>
  <si>
    <t>Angular 4: Entwickle tolle Webseiten und Apps</t>
  </si>
  <si>
    <t>Angular (2+) verstehen und anwenden</t>
  </si>
  <si>
    <t>Learn FISMA Compliance (RMF steps 1-5)</t>
  </si>
  <si>
    <t>Python 2 Network Programming - Build 12 Multi-Vendor Tools</t>
  </si>
  <si>
    <t>Python Network Programming Complete Masterclass</t>
  </si>
  <si>
    <t>Complete Russian Language course for Beginners A1</t>
  </si>
  <si>
    <t>Conversational Russian for beginners</t>
  </si>
  <si>
    <t>SAS Programming Advanced Certification Prep Course: 3 in 1</t>
  </si>
  <si>
    <t>CompTIA A+ Certification 901. The Total Course</t>
  </si>
  <si>
    <t>TOTAL: CompTIA A+ Certification (220-1001).</t>
  </si>
  <si>
    <t>CompTIA A+ Certification 902. The Total Course</t>
  </si>
  <si>
    <t>TOTAL: CompTIA A+ Certification (220-1002).</t>
  </si>
  <si>
    <t>CompTIA A+ Certification 220-901: Practice Tests</t>
  </si>
  <si>
    <t>CompTIA A+ Certification 220-902: Practice Tests</t>
  </si>
  <si>
    <t>HP ATP HP0-Y49 and HP2-Z30 exams. Downloadable Videos +more</t>
  </si>
  <si>
    <t>Java Multithreading, Concurrency &amp; Performance Optimization</t>
  </si>
  <si>
    <t>AWS para administradores de sistemas e profissionais de TI</t>
  </si>
  <si>
    <t>Certificação Amazon AWS Para Iniciantes - 2021</t>
  </si>
  <si>
    <t>Curso Blender 2.8 | Aprenda 3D do Zero!</t>
  </si>
  <si>
    <t>Curso de Fluxo de Caixa em Excel</t>
  </si>
  <si>
    <t>Curso Excel COMPLETO do Básico ao Avançado</t>
  </si>
  <si>
    <t>Curso ISO/IEC20000 Foundation Bridge</t>
  </si>
  <si>
    <t>Curso Preparatório para Certificação Linux LPIC-2</t>
  </si>
  <si>
    <t>Curso de Excel 2013 Avançado - Super Didático</t>
  </si>
  <si>
    <t>Do Básico ao Avançado - O Curso Completo de Microsoft Excel</t>
  </si>
  <si>
    <t>Curso de Excel Básico - Super Didático</t>
  </si>
  <si>
    <t>Curso Avançado de Gráficos em Excel 2016 - Super Didático</t>
  </si>
  <si>
    <t>Curso de Dashboard em Excel 2016 - Super Didático</t>
  </si>
  <si>
    <t>Excel Profissional | Do Básico ao Avançado</t>
  </si>
  <si>
    <t>Curso de VBA para Excel</t>
  </si>
  <si>
    <t>VBA Descomplicado: Como Criar Ferramentas Incríveis no Excel</t>
  </si>
  <si>
    <t>Espanhol para Iniciantes - Nível 1</t>
  </si>
  <si>
    <t>Espanhol para Iniciantes - Nível 2</t>
  </si>
  <si>
    <t>PMP® Practice Exam 2019</t>
  </si>
  <si>
    <t>PMP Certification Practice Test Exam-High Quality Questions</t>
  </si>
  <si>
    <t>Trade: Supply Chain, Logistics,Transportation, Import-Export</t>
  </si>
  <si>
    <t>Supply Chain: Planning of Resources &amp; Detailed Scheduling</t>
  </si>
  <si>
    <t>Python Certification Exam Preparation ‎PCAP &amp; ‎PCPP</t>
  </si>
  <si>
    <t>Azure 70-473 Designing and Implementing Cloud Data Solutions</t>
  </si>
  <si>
    <t>Microsoft AZ-102: Azure Administrator Cert Transition</t>
  </si>
  <si>
    <t>AZ-102 Azure Administrator Transition Exam Cert Prep</t>
  </si>
  <si>
    <t>Navigating Through Change</t>
  </si>
  <si>
    <t>Lean Leadership Skills, Lean Culture &amp; Lean Management</t>
  </si>
  <si>
    <t>​Influence at Work for Managers, Team Members &amp; New Leaders</t>
  </si>
  <si>
    <t>Leadership Skills: How to Increase Your Influence at Work</t>
  </si>
  <si>
    <t>The Game Theory - John Nash</t>
  </si>
  <si>
    <t>Learn some Simple Strategies from Game Theory !</t>
  </si>
  <si>
    <t>Create a Responsive Business Website with WordPress</t>
  </si>
  <si>
    <t>Become a WordPress Developer: Unlocking Power With Code</t>
  </si>
  <si>
    <t>Wordpress for Beginners - Master Wordpress Quickly</t>
  </si>
  <si>
    <t>Java Design Patterns &amp; SOLID Design Principles</t>
  </si>
  <si>
    <t>Power Pitch: use presentations to sell your ideas to anyone</t>
  </si>
  <si>
    <t>Public Speaking and Presentations Pro: No Beginners Allowed!</t>
  </si>
  <si>
    <t>A Million Subs In A Year: YouTube Marketing and YouTube SEO</t>
  </si>
  <si>
    <t>PMI Program Management Professional (PgMP®) practice tests</t>
  </si>
  <si>
    <t>Revamp your belief system to overcome limiting beliefs</t>
  </si>
  <si>
    <t>How to Build Confidence in Your Abilities</t>
  </si>
  <si>
    <t>Introduction to Google Slides</t>
  </si>
  <si>
    <t>Top Tips for Corporate Leader &amp; Employee Conflict Resolution</t>
  </si>
  <si>
    <t>Conflict Management at Work: Real World Strategies &amp; Tools</t>
  </si>
  <si>
    <t>Complete Guide to Conflict Management in the Workplace</t>
  </si>
  <si>
    <t>Deliver Value: A Cash Source Crash Course</t>
  </si>
  <si>
    <t>Diversity for Dummies: Making Multiculturalism Work</t>
  </si>
  <si>
    <t>Pass the Cisco CCNA Voice 640-461 exam (ICOMM) Downloadable</t>
  </si>
  <si>
    <t>Discover the Secrets to Being an Awesome Radio DJ</t>
  </si>
  <si>
    <t>Setup Free SAP 7.5 Trial System</t>
  </si>
  <si>
    <t>Interactive Dashboards with Excel Pivot Tables &amp; PivotCharts</t>
  </si>
  <si>
    <t>Visually Effective Excel Dashboards</t>
  </si>
  <si>
    <t>Excel Interactive Dashboards and Data Analysis</t>
  </si>
  <si>
    <t>Data Modelling and Analysis with Excel Power Pivot</t>
  </si>
  <si>
    <t>Microsoft Excel: Business Intelligence w/ Power Query &amp; DAX</t>
  </si>
  <si>
    <t>Excel Power Query, Power Pivot, Power Map &amp; DAX Masterclass</t>
  </si>
  <si>
    <t>Amazing Reports and Dashboards with Excel Power View</t>
  </si>
  <si>
    <t>Business Intelligence with Excel 2013</t>
  </si>
  <si>
    <t>The Smart Guide to Marketing Your Business on Social Media</t>
  </si>
  <si>
    <t>Social Media Marketing - Content Marketing Masterclass 2021</t>
  </si>
  <si>
    <t>Social Media Marketing MASTERY | Learn Ads on 10+ Platforms</t>
  </si>
  <si>
    <t>The Cash Flow Statement - An Introduction</t>
  </si>
  <si>
    <t>Equity Products</t>
  </si>
  <si>
    <t>The Stock Market - Robert Merton</t>
  </si>
  <si>
    <t>Guide to Stock Trading with Candlestick &amp; Technical Analysis</t>
  </si>
  <si>
    <t>Real Estate Investing: Analysis Made Simple</t>
  </si>
  <si>
    <t>Multifamily Real Estate Investing Rules of Thumb</t>
  </si>
  <si>
    <t>Vagrant for DevOps</t>
  </si>
  <si>
    <t>PHP Security</t>
  </si>
  <si>
    <t>Modern JavaScript: Building Real-World, Real-Time Apps</t>
  </si>
  <si>
    <t>Performance Tuning SQL Server On RDS</t>
  </si>
  <si>
    <t>SystemVerilog Verification -3: Object Oriented Programming</t>
  </si>
  <si>
    <t>One Week To Better Sleep</t>
  </si>
  <si>
    <t>Introduction to Internet of Things</t>
  </si>
  <si>
    <t>Master Python and Excel: File Automation with OpenPyXL</t>
  </si>
  <si>
    <t>Modern, Effective Leadership</t>
  </si>
  <si>
    <t>Learn DevOps Helm/Helmfile Kubernetes deployment</t>
  </si>
  <si>
    <t>Learn DevOps: The Complete Kubernetes Course</t>
  </si>
  <si>
    <t>Mastering Server Side Swift Using Vapor 2</t>
  </si>
  <si>
    <t>Azure Bundle Prep for AZ-100 , AZ-101 and 70-533</t>
  </si>
  <si>
    <t>Microsoft AZ-101: Azure Integration and Security Exam Prep</t>
  </si>
  <si>
    <t>70-347: Administración de Office 365</t>
  </si>
  <si>
    <t>Office 365 Administration (Exam 70-346)</t>
  </si>
  <si>
    <t>Azure Solutions (Exam 70-533) &amp; 365 Admin–(10-Course Bundle)</t>
  </si>
  <si>
    <t>ITIL Foundation (2011/v3): Cram to Pass the ITIL Exam!</t>
  </si>
  <si>
    <t>Building Effective Employee Rewards and Recognition Programs</t>
  </si>
  <si>
    <t>The People Side of Change Management</t>
  </si>
  <si>
    <t>Manage Change Through Collaboration and Team Work</t>
  </si>
  <si>
    <t>Learn DevOps: Scaling apps On-Premises and in the Cloud</t>
  </si>
  <si>
    <t>Learn DevOps: On-Prem or Cloud Agnostic Kubernetes</t>
  </si>
  <si>
    <t>Craft a Value Proposition &amp; Ready Your Sales Team</t>
  </si>
  <si>
    <t>Create B2B Sales Cold Calling Scripts &amp; Value Propositions</t>
  </si>
  <si>
    <t>Hosting Django: Amazon Web Services (AWS) Fundamentals</t>
  </si>
  <si>
    <t>Leadership: Advanced Training for Experienced Managers</t>
  </si>
  <si>
    <t>Low-cost Marketing Strategies: Social Media and Beyond</t>
  </si>
  <si>
    <t>Introduction to HTML5 Canvas basics of drawing</t>
  </si>
  <si>
    <t>Strategy Unplugged</t>
  </si>
  <si>
    <t>Business Strategy Execution: Agile Organization Design</t>
  </si>
  <si>
    <t>SystemVerilog Functional Coverage Language/methodology/apps</t>
  </si>
  <si>
    <t>IAS 18 - Revenue</t>
  </si>
  <si>
    <t>Organisational Culture Change Training - Management Skills</t>
  </si>
  <si>
    <t>Management Crash Course: Tactical Training for New Managers</t>
  </si>
  <si>
    <t>New Leader Crash Course</t>
  </si>
  <si>
    <t>PMP® Real Exams - PMBOK Sixth Edition</t>
  </si>
  <si>
    <t>Adobe XD CC - Master: Professional design prototypes. 2019</t>
  </si>
  <si>
    <t>Adobe XD: Aprende a crear prototipos profesionales desde 0</t>
  </si>
  <si>
    <t>Adobe Illustrator CC Master: Basic to Professional. 2019.</t>
  </si>
  <si>
    <t>Ilustración Digital para Principiantes en Adobe Illustrator</t>
  </si>
  <si>
    <t>Adobe InDesign CC Masters: From Basic to Professional. New in 2018.</t>
  </si>
  <si>
    <t>***OUTDATED*** Salesforce for NonProfits &amp; NGOs</t>
  </si>
  <si>
    <t>The Complete Spring Security Developer Course</t>
  </si>
  <si>
    <t>Spring &amp; Hibernate for Beginners (includes Spring Boot)</t>
  </si>
  <si>
    <t>Learn Spring Boot in 100 Steps - Beginner to Expert</t>
  </si>
  <si>
    <t>The Complete Spring Batch Developer Course</t>
  </si>
  <si>
    <t>Selling With Stories - For Content Writers and Copywriters</t>
  </si>
  <si>
    <t>Writing Tools &amp; Hacks: Copywriting/Blogging/Content Writing</t>
  </si>
  <si>
    <t>Writing With Confidence: Writing Beginner To Writing Pro</t>
  </si>
  <si>
    <t>Microsoft Certification for SQL server 70-762 Practice Test</t>
  </si>
  <si>
    <t>Entity Framework in Depth: The Complete Guide</t>
  </si>
  <si>
    <t>Microsoft SQL for Beginners</t>
  </si>
  <si>
    <t>C# Anti-Patterns: A List Of Programming Practices To Avoid</t>
  </si>
  <si>
    <t>C# Basics for Beginners: Learn C# Fundamentals by Coding</t>
  </si>
  <si>
    <t>Cisco CCNA 200-125: Beginner's Guide to Networking World</t>
  </si>
  <si>
    <t>Sublime Text for Rapid Web Development with code auto-format</t>
  </si>
  <si>
    <t>Deeper Instructional Design</t>
  </si>
  <si>
    <t>Instructional Design Pro (Part 1): No Beginners Allowed!</t>
  </si>
  <si>
    <t>70-533 Implementing Microsoft Azure Infrastructure Solutions</t>
  </si>
  <si>
    <t>Master Jenkins CI For DevOps and Developers</t>
  </si>
  <si>
    <t>Robot Framework - Jenkins CI &amp; Git Version Control</t>
  </si>
  <si>
    <t>Rest API Testing (Automation) from Scratch-Rest Assured Java</t>
  </si>
  <si>
    <t>TOGAF 9 Level 2 (OG0-092) Practice tests ( NEW - 2019)</t>
  </si>
  <si>
    <t>Part 1 Foundation Enterprise Architect Certification Trng</t>
  </si>
  <si>
    <t>Part 2 Certified Enterprise Architect Certification Training</t>
  </si>
  <si>
    <t>PMP Exam Prep 2019: Pass the PMP Exam on your first try!</t>
  </si>
  <si>
    <t>Google Ads / AdWords Certification - Get Certified in 2 Days</t>
  </si>
  <si>
    <t>Ultimate Google Ads Training 2020: Profit with Pay Per Click</t>
  </si>
  <si>
    <t>Google AdWords for Beginners 2020</t>
  </si>
  <si>
    <t>Time Management Skills: Become the Master of your Time!</t>
  </si>
  <si>
    <t>A Mini Course on Time Management</t>
  </si>
  <si>
    <t>Leadership Skills Training: Become an Inspiring Leader!</t>
  </si>
  <si>
    <t>Team Leadership &amp; Team Management Skills Certification</t>
  </si>
  <si>
    <t>The Science of Leadership</t>
  </si>
  <si>
    <t>Speeding up WordPress</t>
  </si>
  <si>
    <t>WordPress Theme Development with Bootstrap in 2021</t>
  </si>
  <si>
    <t>SAP Fiori Simplified: For ABAPers</t>
  </si>
  <si>
    <t>Advanced Medical Device Development</t>
  </si>
  <si>
    <t>US Regulatory Strategy for Biologics &amp; Pharmaceutical Drugs</t>
  </si>
  <si>
    <t>SAP ASE 16 / Sybase ASE - Installation and Configuration</t>
  </si>
  <si>
    <t>Learning Microsoft Powerapps</t>
  </si>
  <si>
    <t>CompTIA Security+ (SY0-401) : The Complete Course</t>
  </si>
  <si>
    <t>Stress Less</t>
  </si>
  <si>
    <t>Flourishing in Stressful Times - with Tara Brach</t>
  </si>
  <si>
    <t>WordPress SEO</t>
  </si>
  <si>
    <t>SEO Training: Get Free Traffic to Your Website With SEO</t>
  </si>
  <si>
    <t>SOLID Software Architecture: Complete Guide with Coding Examples</t>
  </si>
  <si>
    <t>Software Architecture: Meta and SOLID Principles in C#</t>
  </si>
  <si>
    <t>VoiceTraining: You Can Speak With Confidence</t>
  </si>
  <si>
    <t>Project Management Professional : the PMP in Four Weeks</t>
  </si>
  <si>
    <t>Project Management With MS Project - Scheduling Master Class</t>
  </si>
  <si>
    <t>The Complete Apache Tomcat Web Server Course</t>
  </si>
  <si>
    <t>Become an Awesome Instructional Designer</t>
  </si>
  <si>
    <t>Excel Spreadsheet Auditing Part 1</t>
  </si>
  <si>
    <t>Cryptocurrency Wallets Course: Secure Your Cryptos Safely!</t>
  </si>
  <si>
    <t>Bitcoin and Cryptocurrency Bootcamp</t>
  </si>
  <si>
    <t>Ruby on Rails 5 - BDD, RSpec and Capybara</t>
  </si>
  <si>
    <t>Capital Market Road Map</t>
  </si>
  <si>
    <t>Capital Market Immersion</t>
  </si>
  <si>
    <t>Master Dynamic Gantt charts and amazing Time lines In Excel</t>
  </si>
  <si>
    <t>Microsoft Excel - Data Visualization, Excel Charts &amp; Graphs</t>
  </si>
  <si>
    <t>Email Productivity for Business Professionals</t>
  </si>
  <si>
    <t>Microsoft SharePoint 2013 Foundation and Server 2013 Bundle</t>
  </si>
  <si>
    <t>SharePoint 2013 Complete Training</t>
  </si>
  <si>
    <t>SharePoint 2013: Site Manager</t>
  </si>
  <si>
    <t>SAS SQL: SQL for the SAS Programmer/Analyst #2</t>
  </si>
  <si>
    <t>Software testing and Automation of APIs with UFT/QTP</t>
  </si>
  <si>
    <t>WebServices/Rest API Testing with SoapUI +Real time Projects</t>
  </si>
  <si>
    <t>Writing a Professional Business Plan: The Dos and Don'ts</t>
  </si>
  <si>
    <t>Mergers &amp; Acquisitions - M&amp;A, Valuation &amp; Selling a Company</t>
  </si>
  <si>
    <t>Learn How To Become an Azure SQL Database Architect</t>
  </si>
  <si>
    <t>AZ-303 Azure Architecture Technologies Exam Prep 2021</t>
  </si>
  <si>
    <t>Essential influencing skills for the workplace</t>
  </si>
  <si>
    <t>Building Influence at Work</t>
  </si>
  <si>
    <t>Instructional Design for Corporate Learning and Development</t>
  </si>
  <si>
    <t>Become A Learning Machine 2.0: Read 300 Books This Year</t>
  </si>
  <si>
    <t>Mobile App Marketing Masterclass</t>
  </si>
  <si>
    <t>The Complete App Marketing Course</t>
  </si>
  <si>
    <t>Object Oriented Programming (OOP) in PHP - Build An OOP Site</t>
  </si>
  <si>
    <t>PHP OOP: Object Oriented Programming for beginners + Project</t>
  </si>
  <si>
    <t>Employee Relations Skills</t>
  </si>
  <si>
    <t>HR 101: Compliance Made Easy - U.S. Employers Must Have</t>
  </si>
  <si>
    <t>Serverless Workflow Management with AWS Step Functions</t>
  </si>
  <si>
    <t>SQL Server Internals and Architecture Overview</t>
  </si>
  <si>
    <t>Learn Grunt with Examples: Automate Your Front End Workflow</t>
  </si>
  <si>
    <t>Technology Trends</t>
  </si>
  <si>
    <t>Artificial Intelligence A-Z™: Learn How To Build An AI</t>
  </si>
  <si>
    <t>Understanding Statistics In SQL Server</t>
  </si>
  <si>
    <t>SQL &amp; Database Design A-Z™: Learn MS SQL Server + PostgreSQL</t>
  </si>
  <si>
    <t>Automate application with Specflow and Selenium C#</t>
  </si>
  <si>
    <t>Robot Framework Test Automation - Level 1 ( Selenium )</t>
  </si>
  <si>
    <t>Intro to Investment Banking, M&amp;A, IPO, Modeling + Free Book</t>
  </si>
  <si>
    <t>Advanced SAS: Indices &amp; the Macro Facility #3</t>
  </si>
  <si>
    <t>Improve Your Parenting Skills</t>
  </si>
  <si>
    <t>Parenting Skills to Raise Responsible, Mature Children</t>
  </si>
  <si>
    <t>Build+Deploy+Test with TFS 2015 and Selenium</t>
  </si>
  <si>
    <t>Best Practices in Corporate Budgeting</t>
  </si>
  <si>
    <t>Designing a SQL Server Database &amp; Storage Solution (70-465)</t>
  </si>
  <si>
    <t>Building and Optimizing a SQL Server Database (70-464)</t>
  </si>
  <si>
    <t>Automation Testing with QTP</t>
  </si>
  <si>
    <t>Migrating Your Existing SQL Server Estate to Amazon's RDS</t>
  </si>
  <si>
    <t>Talent Management: Grow great employees strategically</t>
  </si>
  <si>
    <t>Interviewing: An Art and A Science</t>
  </si>
  <si>
    <t>Interview Questions: Interview Like a Professional HRM</t>
  </si>
  <si>
    <t>Data Science Career Guide - Interview Preparation</t>
  </si>
  <si>
    <t>Security Awareness for the Digital Professional</t>
  </si>
  <si>
    <t>The Complete Cyber Security Course : Network Security!</t>
  </si>
  <si>
    <t>How to Lead Through Diversity and Inclusion</t>
  </si>
  <si>
    <t>Lease Accounting Fundamentals - ASC Topic 842</t>
  </si>
  <si>
    <t>Managing social media in the workplace</t>
  </si>
  <si>
    <t>How to Ace Your Work Performance Review</t>
  </si>
  <si>
    <t>5 Characteristics of Successful Organizations</t>
  </si>
  <si>
    <t>Monitor and Maintaining Server 2012 (70-414)</t>
  </si>
  <si>
    <t>Microsoft Windows Server 2016 Training for Beginners</t>
  </si>
  <si>
    <t>Windows Server 2016 Administration</t>
  </si>
  <si>
    <t>Organization Design (OD) Theory and Practice</t>
  </si>
  <si>
    <t>The Complete Excel 2013 Course for Beginners: Learn by Doing</t>
  </si>
  <si>
    <t>Be a Consultative Solution Seller (Chief Problem Solver)!</t>
  </si>
  <si>
    <t>3D Printing for Entrepreneurs</t>
  </si>
  <si>
    <t>Being a Multi-Professional (Occasional Project Management)</t>
  </si>
  <si>
    <t>Deeply Practical Project Management (Earn 16 PDUs)</t>
  </si>
  <si>
    <t>Server API Development in Swift, Kitura, &amp; Bluemix</t>
  </si>
  <si>
    <t>Creating and Maintaining the Best Company Culture</t>
  </si>
  <si>
    <t>Build A Culture of Freedom &amp; Responsibility by Patty McCord</t>
  </si>
  <si>
    <t>Build a Digital Transformation Dream Team</t>
  </si>
  <si>
    <t>Culture | How to Build Collaborative and Focused Teams</t>
  </si>
  <si>
    <t>Cloud Computing with Apache CloudStack: Run your own cloud</t>
  </si>
  <si>
    <t>Mastering Microsoft Outlook 2016 Made Easy Training Tutorial</t>
  </si>
  <si>
    <t>The Complete Microsoft Word 2016 Training For Everyone</t>
  </si>
  <si>
    <t>Learn Microsoft Word 2016 For Beginners - Basics to Advanced</t>
  </si>
  <si>
    <t>How to Pull Off Major Organization Development (OD) changes</t>
  </si>
  <si>
    <t>Global Business: Cultural and Behavioral Norms Part II</t>
  </si>
  <si>
    <t>Investigating Corporate Inappropriate Behavior Complaints</t>
  </si>
  <si>
    <t>Rapid PrimeFaces</t>
  </si>
  <si>
    <t>Dreamweaver Web Design for Complete Beginners</t>
  </si>
  <si>
    <t>How to Make IT Work Successfully in Capital Markets</t>
  </si>
  <si>
    <t>The 3 Levers: Create a 12-Month Business Growth Strategy</t>
  </si>
  <si>
    <t>MBA in a Box: Business Lessons from a CEO</t>
  </si>
  <si>
    <t>Mr. Spreadsheet’s Favorite Excel 2010 Tips &amp; Tricks</t>
  </si>
  <si>
    <t>Beginner to Pro in Excel: Financial Modeling and Valuation</t>
  </si>
  <si>
    <t>C# Cross-Platform Tricks: Run ASP.NET Applications On Linux</t>
  </si>
  <si>
    <t>Learn Linux in 5 Days and Level Up Your Career</t>
  </si>
  <si>
    <t>The Evolution of Organization Development</t>
  </si>
  <si>
    <t>Webinar Success Formula: How to Create Awesome Webinars</t>
  </si>
  <si>
    <t>The Webinar Selling System</t>
  </si>
  <si>
    <t>Virtual Presentation Skills Webinar - Beginner to Advanced!</t>
  </si>
  <si>
    <t>Snapchat Marketing For Business: Quick Start Guide</t>
  </si>
  <si>
    <t>Foundation 5 - Learn Responsive Design &amp; Rapid Prototyping</t>
  </si>
  <si>
    <t>Adobe XD UI/UX Design, prototype, and handoff from scratch</t>
  </si>
  <si>
    <t>Apple based system: How to profit from a Mac, iPhone, &amp; iPad</t>
  </si>
  <si>
    <t>The Guide to macOS Sierra / High Sierra</t>
  </si>
  <si>
    <t>Diversifying Your Products or Services</t>
  </si>
  <si>
    <t>Beginning Yii</t>
  </si>
  <si>
    <t>Windows Phone Mobile App Development</t>
  </si>
  <si>
    <t>ScreenFlow: Complete Guide to Screencasting with ScreenFlow</t>
  </si>
  <si>
    <t>iPad for Beginners</t>
  </si>
  <si>
    <t>Mastering Camera Raw and Adobe Bridge</t>
  </si>
  <si>
    <t>Podcasting: How to Speak Effectively on Your Own Podcast</t>
  </si>
  <si>
    <t>The Podcast Masterclass: The Complete Guide to Podcasting</t>
  </si>
  <si>
    <t>Professional Podcast Production, Editing &amp; Blueprint</t>
  </si>
  <si>
    <t>Leverage the Power of Generations</t>
  </si>
  <si>
    <t>PowerPoint for Mac - From Beginner to Expert in 4 Hours</t>
  </si>
  <si>
    <t>Microsoft PowerPoint in 1 Hour : Introduction to PowerPoint</t>
  </si>
  <si>
    <t>Learning Yii 2</t>
  </si>
  <si>
    <t>Culture | How to Seek and Retain a Culturally Aligned Work</t>
  </si>
  <si>
    <t>Winning Negotiation: Essential Business &amp; Life Skills</t>
  </si>
  <si>
    <t>The Fast Track to High Performance Corporate Culture</t>
  </si>
  <si>
    <t>Know, Like, Trust - Increase your referrals and repeat sales</t>
  </si>
  <si>
    <t>The Complete Sales Prospecting Bootcamp Course</t>
  </si>
  <si>
    <t>High ROI Corporate Training Design</t>
  </si>
  <si>
    <t>Funding Your Business: Bootstrapping, Debt, or Equity?</t>
  </si>
  <si>
    <t>Introduction to Corporate Finance (Mergers &amp; Acquisitions)</t>
  </si>
  <si>
    <t>Acorns' Guide to Personal Finance</t>
  </si>
  <si>
    <t>Zaxwerks 3D ProAnimator Unleashed - Master 3D Fundamentals</t>
  </si>
  <si>
    <t>Mastering Excel 2016 for Lawyers Training Tutorial</t>
  </si>
  <si>
    <t>Mastering Outlook 2016 for Lawyers Training Tutorial</t>
  </si>
  <si>
    <t>Revolutionize Your Hiring System in 3 Easy Steps</t>
  </si>
  <si>
    <t>The Latest Updates 2016 Financial Accounting Standards Board</t>
  </si>
  <si>
    <t>Accounting: Learn Everything!</t>
  </si>
  <si>
    <t>How do I do _____ in Construct 2?</t>
  </si>
  <si>
    <t>Industrial CATIA V5 R20: Deep Learning All In One from A- Z</t>
  </si>
  <si>
    <t>The Complete Digital Marketing Course 2.0 - 15 Courses in 1</t>
  </si>
  <si>
    <t>The Ultimate Digital Marketing Bootcamp</t>
  </si>
  <si>
    <t>Management Consulting: Succeeding as a Management Consultant</t>
  </si>
  <si>
    <t>Be Approachable &amp; Coach as a Manager</t>
  </si>
  <si>
    <t>Docker from A to Z™: Swarm + Jenkins</t>
  </si>
  <si>
    <t>Docker Mastery: with Kubernetes +Swarm from a Docker Captain</t>
  </si>
  <si>
    <t>Docker - SWARM - Hands-on - DevOps</t>
  </si>
  <si>
    <t>Informatica Tutorial: Beginner to Expert Level</t>
  </si>
  <si>
    <t>Data Warehouse Development Process</t>
  </si>
  <si>
    <t>Implementing a Data Warehouse with SQL Server 2012</t>
  </si>
  <si>
    <t>Informatica Power Center Administration</t>
  </si>
  <si>
    <t>Driving To Close with John Barrows</t>
  </si>
  <si>
    <t>Sales Training: How To Close More Sales</t>
  </si>
  <si>
    <t>Filling the Funnel with John Barrows</t>
  </si>
  <si>
    <t>Date Retired</t>
  </si>
  <si>
    <t>Course Title</t>
  </si>
  <si>
    <t>Category of Retired Course</t>
  </si>
  <si>
    <t>Subcategory of Retired Course</t>
  </si>
  <si>
    <t>IT and Software</t>
  </si>
  <si>
    <t>Operating Systems and Servers</t>
  </si>
  <si>
    <t>Databases</t>
  </si>
  <si>
    <t>Programming</t>
  </si>
  <si>
    <t>Email and Productivity</t>
  </si>
  <si>
    <t>It Certifications</t>
  </si>
  <si>
    <t>Personal Well-Being</t>
  </si>
  <si>
    <t>Project Management and Operations</t>
  </si>
  <si>
    <t>Agile and Scrum</t>
  </si>
  <si>
    <t>Network and Security</t>
  </si>
  <si>
    <t>Influence</t>
  </si>
  <si>
    <t>Finance and Accounting</t>
  </si>
  <si>
    <t>Financial Modeling and Analysis</t>
  </si>
  <si>
    <t>Investing and Trading</t>
  </si>
  <si>
    <t>Arts and Creativity</t>
  </si>
  <si>
    <t>Public Relations</t>
  </si>
  <si>
    <t>Sales Skills</t>
  </si>
  <si>
    <t>3D and Animation</t>
  </si>
  <si>
    <t>Content and Email Marketing</t>
  </si>
  <si>
    <t>Social Media</t>
  </si>
  <si>
    <t>Learning and Organizational Development</t>
  </si>
  <si>
    <t>Health and Fitness</t>
  </si>
  <si>
    <t>Personal Finance</t>
  </si>
  <si>
    <t>Sales Tools</t>
  </si>
  <si>
    <t>Productivity</t>
  </si>
  <si>
    <t>Marketing Tools</t>
  </si>
  <si>
    <t>Marketing Fundamentals</t>
  </si>
  <si>
    <t>Sales Tools and Techniques</t>
  </si>
  <si>
    <t>Security</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</si>
</sst>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
    <numFmt numFmtId="165" formatCode="yyyy-mm-dd"/>
    <numFmt numFmtId="166" formatCode="mm&quot;-&quot;dd&quot;-&quot;yy"/>
    <numFmt numFmtId="167" formatCode="yyyy&quot;-&quot;mm&quot;-&quot;dd"/>
    <numFmt numFmtId="168" formatCode="0.0"/>
    <numFmt numFmtId="169" formatCode="&quot;$&quot;#,##0.00"/>
  </numFmts>
  <fonts count="33">
    <font>
      <sz val="10.0"/>
      <color rgb="FF000000"/>
      <name val="Arial"/>
    </font>
    <font>
      <b/>
      <u/>
      <sz val="11.0"/>
      <name val="Arial"/>
    </font>
    <font>
      <name val="Arial"/>
    </font>
    <font>
      <b/>
      <name val="Arial"/>
    </font>
    <font/>
    <font>
      <u/>
      <color rgb="FF0000FF"/>
      <name val="Arial"/>
    </font>
    <font>
      <color rgb="FF000000"/>
      <name val="Roboto"/>
    </font>
    <font>
      <u/>
      <color rgb="FF0000FF"/>
      <name val="Arial"/>
    </font>
    <font>
      <name val="Source Sans Pro"/>
    </font>
    <font>
      <b/>
      <u/>
      <sz val="11.0"/>
      <color rgb="FF000000"/>
      <name val="Source Sans Pro"/>
    </font>
    <font>
      <b/>
      <u/>
      <sz val="10.0"/>
      <color rgb="FF000000"/>
      <name val="Source Sans Pro"/>
    </font>
    <font>
      <sz val="10.0"/>
      <color rgb="FF000000"/>
      <name val="Source Sans Pro"/>
    </font>
    <font>
      <sz val="9.0"/>
      <color rgb="FF000000"/>
      <name val="Source Sans Pro"/>
    </font>
    <font>
      <sz val="10.0"/>
      <color rgb="FFFFFFFF"/>
      <name val="Source Sans Pro"/>
    </font>
    <font>
      <color rgb="FF000000"/>
      <name val="Arial"/>
    </font>
    <font>
      <color rgb="FF222222"/>
      <name val="&quot;Source Sans Pro&quot;"/>
    </font>
    <font>
      <sz val="10.0"/>
      <name val="Source Sans Pro"/>
    </font>
    <font>
      <sz val="11.0"/>
      <color rgb="FF2F3941"/>
      <name val="System-ui"/>
    </font>
    <font>
      <color rgb="FF000000"/>
      <name val="&quot;Open Sans&quot;"/>
    </font>
    <font>
      <color rgb="FF2F3941"/>
      <name val="Arial"/>
    </font>
    <font>
      <sz val="11.0"/>
      <color rgb="FF2F3941"/>
      <name val="Arial"/>
    </font>
    <font>
      <b/>
      <u/>
      <sz val="10.0"/>
      <color rgb="FF000000"/>
      <name val="Source Sans Pro"/>
    </font>
    <font>
      <b/>
      <u/>
      <sz val="10.0"/>
      <color rgb="FF000000"/>
      <name val="Source Sans Pro"/>
    </font>
    <font>
      <color rgb="FF333333"/>
      <name val="Roboto"/>
    </font>
    <font>
      <color rgb="FF3C3B37"/>
      <name val="Arial"/>
    </font>
    <font>
      <sz val="11.0"/>
      <color rgb="FF000000"/>
      <name val="Inconsolata"/>
    </font>
    <font>
      <color rgb="FF222222"/>
      <name val="Source Sans Pro"/>
    </font>
    <font>
      <b/>
      <u/>
      <sz val="10.0"/>
      <color rgb="FF000000"/>
      <name val="Source Sans Pro"/>
    </font>
    <font>
      <b/>
      <sz val="10.0"/>
      <color rgb="FFFFFFFF"/>
      <name val="Source Sans Pro"/>
    </font>
    <font>
      <color rgb="FF000000"/>
      <name val="Source Sans Pro"/>
    </font>
    <font>
      <sz val="10.0"/>
      <color rgb="FF333333"/>
      <name val="Source Sans Pro"/>
    </font>
    <font>
      <u/>
      <color rgb="FF0000FF"/>
    </font>
    <font>
      <b/>
    </font>
  </fonts>
  <fills count="7">
    <fill>
      <patternFill patternType="none"/>
    </fill>
    <fill>
      <patternFill patternType="lightGray"/>
    </fill>
    <fill>
      <patternFill patternType="solid">
        <fgColor rgb="FFFFFFFF"/>
        <bgColor rgb="FFFFFFFF"/>
      </patternFill>
    </fill>
    <fill>
      <patternFill patternType="solid">
        <fgColor rgb="FFA435F0"/>
        <bgColor rgb="FFA435F0"/>
      </patternFill>
    </fill>
    <fill>
      <patternFill patternType="solid">
        <fgColor rgb="FFF4C7C3"/>
        <bgColor rgb="FFF4C7C3"/>
      </patternFill>
    </fill>
    <fill>
      <patternFill patternType="solid">
        <fgColor rgb="FFEC5252"/>
        <bgColor rgb="FFEC5252"/>
      </patternFill>
    </fill>
    <fill>
      <patternFill patternType="solid">
        <fgColor rgb="FFFFF2CC"/>
        <bgColor rgb="FFFFF2CC"/>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rder>
  </borders>
  <cellStyleXfs count="1">
    <xf borderId="0" fillId="0" fontId="0" numFmtId="0" applyAlignment="1" applyFont="1"/>
  </cellStyleXfs>
  <cellXfs count="207">
    <xf borderId="0" fillId="0" fontId="0" numFmtId="0" xfId="0" applyAlignment="1" applyFont="1">
      <alignment readingOrder="0" shrinkToFit="0" vertical="bottom" wrapText="0"/>
    </xf>
    <xf borderId="1" fillId="0" fontId="1" numFmtId="0" xfId="0" applyAlignment="1" applyBorder="1" applyFont="1">
      <alignment shrinkToFit="0" vertical="bottom" wrapText="0"/>
    </xf>
    <xf borderId="1" fillId="0" fontId="2" numFmtId="0" xfId="0" applyAlignment="1" applyBorder="1" applyFont="1">
      <alignment vertical="bottom"/>
    </xf>
    <xf borderId="0" fillId="0" fontId="2" numFmtId="0" xfId="0" applyAlignment="1" applyFont="1">
      <alignment vertical="bottom"/>
    </xf>
    <xf borderId="0" fillId="0" fontId="2" numFmtId="0" xfId="0" applyAlignment="1" applyFont="1">
      <alignment shrinkToFit="0" vertical="bottom" wrapText="1"/>
    </xf>
    <xf borderId="1" fillId="0" fontId="3" numFmtId="0" xfId="0" applyAlignment="1" applyBorder="1" applyFont="1">
      <alignment shrinkToFit="0" vertical="bottom" wrapText="0"/>
    </xf>
    <xf borderId="1" fillId="0" fontId="3" numFmtId="0" xfId="0" applyAlignment="1" applyBorder="1" applyFont="1">
      <alignment vertical="bottom"/>
    </xf>
    <xf borderId="2" fillId="0" fontId="2" numFmtId="0" xfId="0" applyAlignment="1" applyBorder="1" applyFont="1">
      <alignment shrinkToFit="0" vertical="bottom" wrapText="1"/>
    </xf>
    <xf borderId="3" fillId="0" fontId="4" numFmtId="0" xfId="0" applyBorder="1" applyFont="1"/>
    <xf borderId="4" fillId="0" fontId="4" numFmtId="0" xfId="0" applyBorder="1" applyFont="1"/>
    <xf borderId="2" fillId="0" fontId="5" numFmtId="0" xfId="0" applyAlignment="1" applyBorder="1" applyFont="1">
      <alignment shrinkToFit="0" vertical="bottom" wrapText="1"/>
    </xf>
    <xf borderId="1" fillId="0" fontId="3" numFmtId="0" xfId="0" applyAlignment="1" applyBorder="1" applyFont="1">
      <alignment readingOrder="0" vertical="bottom"/>
    </xf>
    <xf borderId="2" fillId="0" fontId="2" numFmtId="0" xfId="0" applyAlignment="1" applyBorder="1" applyFont="1">
      <alignment readingOrder="0" shrinkToFit="0" vertical="bottom" wrapText="1"/>
    </xf>
    <xf borderId="2" fillId="2" fontId="6" numFmtId="0" xfId="0" applyAlignment="1" applyBorder="1" applyFill="1" applyFont="1">
      <alignment readingOrder="0" shrinkToFit="0" vertical="bottom" wrapText="1"/>
    </xf>
    <xf borderId="2" fillId="2" fontId="6" numFmtId="0" xfId="0" applyAlignment="1" applyBorder="1" applyFont="1">
      <alignment shrinkToFit="0" vertical="bottom" wrapText="1"/>
    </xf>
    <xf borderId="2" fillId="0" fontId="7" numFmtId="0" xfId="0" applyAlignment="1" applyBorder="1" applyFont="1">
      <alignment shrinkToFit="0" vertical="bottom" wrapText="1"/>
    </xf>
    <xf borderId="2" fillId="0" fontId="2" numFmtId="0" xfId="0" applyAlignment="1" applyBorder="1" applyFont="1">
      <alignment shrinkToFit="0" vertical="bottom" wrapText="1"/>
    </xf>
    <xf borderId="2" fillId="0" fontId="2" numFmtId="0" xfId="0" applyAlignment="1" applyBorder="1" applyFont="1">
      <alignment shrinkToFit="0" vertical="bottom" wrapText="1"/>
    </xf>
    <xf borderId="1" fillId="0" fontId="2" numFmtId="0" xfId="0" applyAlignment="1" applyBorder="1" applyFont="1">
      <alignment shrinkToFit="0" vertical="bottom" wrapText="0"/>
    </xf>
    <xf borderId="0" fillId="0" fontId="4" numFmtId="0" xfId="0" applyAlignment="1" applyFont="1">
      <alignment horizontal="center" vertical="center"/>
    </xf>
    <xf borderId="0" fillId="0" fontId="8" numFmtId="0" xfId="0" applyAlignment="1" applyFont="1">
      <alignment horizontal="center" readingOrder="0" vertical="center"/>
    </xf>
    <xf borderId="0" fillId="0" fontId="9" numFmtId="0" xfId="0" applyAlignment="1" applyFont="1">
      <alignment horizontal="center" readingOrder="0" shrinkToFit="0" vertical="center" wrapText="0"/>
    </xf>
    <xf borderId="0" fillId="0" fontId="10" numFmtId="164" xfId="0" applyAlignment="1" applyFont="1" applyNumberFormat="1">
      <alignment horizontal="center" readingOrder="0" shrinkToFit="0" vertical="center" wrapText="0"/>
    </xf>
    <xf borderId="0" fillId="0"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5" fillId="3" fontId="13" numFmtId="0" xfId="0" applyAlignment="1" applyBorder="1" applyFill="1" applyFont="1">
      <alignment horizontal="center" readingOrder="0" shrinkToFit="0" vertical="center" wrapText="1"/>
    </xf>
    <xf borderId="0" fillId="0" fontId="2" numFmtId="0" xfId="0" applyAlignment="1" applyFont="1">
      <alignment horizontal="right" vertical="bottom"/>
    </xf>
    <xf borderId="0" fillId="0" fontId="14" numFmtId="165" xfId="0" applyAlignment="1" applyFont="1" applyNumberFormat="1">
      <alignment readingOrder="0"/>
    </xf>
    <xf borderId="0" fillId="0" fontId="2" numFmtId="0" xfId="0" applyAlignment="1" applyFont="1">
      <alignment horizontal="center" readingOrder="0" vertical="bottom"/>
    </xf>
    <xf borderId="0" fillId="0" fontId="15" numFmtId="166" xfId="0" applyAlignment="1" applyFont="1" applyNumberFormat="1">
      <alignment horizontal="center"/>
    </xf>
    <xf borderId="0" fillId="0" fontId="16" numFmtId="166" xfId="0" applyAlignment="1" applyFont="1" applyNumberFormat="1">
      <alignment horizontal="center" shrinkToFit="0" vertical="center" wrapText="1"/>
    </xf>
    <xf borderId="0" fillId="0" fontId="16" numFmtId="49" xfId="0" applyAlignment="1" applyFont="1" applyNumberFormat="1">
      <alignment horizontal="center" shrinkToFit="0" vertical="center" wrapText="1"/>
    </xf>
    <xf borderId="0" fillId="0" fontId="16" numFmtId="0" xfId="0" applyAlignment="1" applyFont="1">
      <alignment horizontal="center" shrinkToFit="0" vertical="center" wrapText="1"/>
    </xf>
    <xf borderId="0" fillId="4" fontId="2" numFmtId="0" xfId="0" applyAlignment="1" applyFill="1" applyFont="1">
      <alignment horizontal="right" vertical="bottom"/>
    </xf>
    <xf borderId="0" fillId="0" fontId="2" numFmtId="0" xfId="0" applyAlignment="1" applyFont="1">
      <alignment horizontal="right" vertical="bottom"/>
    </xf>
    <xf borderId="0" fillId="0" fontId="2" numFmtId="0" xfId="0" applyAlignment="1" applyFont="1">
      <alignment horizontal="center" readingOrder="0" vertical="bottom"/>
    </xf>
    <xf borderId="0" fillId="0" fontId="2" numFmtId="0" xfId="0" applyAlignment="1" applyFont="1">
      <alignment horizontal="right" vertical="bottom"/>
    </xf>
    <xf borderId="0" fillId="4" fontId="2" numFmtId="0" xfId="0" applyAlignment="1" applyFont="1">
      <alignment horizontal="right" vertical="bottom"/>
    </xf>
    <xf borderId="0" fillId="0" fontId="2" numFmtId="0" xfId="0" applyAlignment="1" applyFont="1">
      <alignment horizontal="center" vertical="bottom"/>
    </xf>
    <xf borderId="0" fillId="2" fontId="2" numFmtId="0" xfId="0" applyAlignment="1" applyFont="1">
      <alignment horizontal="right" vertical="bottom"/>
    </xf>
    <xf borderId="0" fillId="2" fontId="2" numFmtId="165" xfId="0" applyAlignment="1" applyFont="1" applyNumberFormat="1">
      <alignment readingOrder="0" vertical="bottom"/>
    </xf>
    <xf borderId="0" fillId="0" fontId="14" numFmtId="0" xfId="0" applyAlignment="1" applyFont="1">
      <alignment horizontal="center" readingOrder="0"/>
    </xf>
    <xf borderId="0" fillId="0" fontId="2" numFmtId="0" xfId="0" applyAlignment="1" applyFont="1">
      <alignment horizontal="center"/>
    </xf>
    <xf borderId="0" fillId="0" fontId="14" numFmtId="164" xfId="0" applyAlignment="1" applyFont="1" applyNumberFormat="1">
      <alignment horizontal="center" readingOrder="0"/>
    </xf>
    <xf borderId="0" fillId="4" fontId="2" numFmtId="0" xfId="0" applyAlignment="1" applyFont="1">
      <alignment horizontal="right" shrinkToFit="0" wrapText="1"/>
    </xf>
    <xf borderId="0" fillId="0" fontId="2" numFmtId="0" xfId="0" applyAlignment="1" applyFont="1">
      <alignment horizontal="right" shrinkToFit="0" wrapText="1"/>
    </xf>
    <xf borderId="0" fillId="0" fontId="2" numFmtId="167" xfId="0" applyAlignment="1" applyFont="1" applyNumberFormat="1">
      <alignment readingOrder="0"/>
    </xf>
    <xf borderId="0" fillId="2" fontId="17" numFmtId="0" xfId="0" applyAlignment="1" applyFont="1">
      <alignment horizontal="right" vertical="bottom"/>
    </xf>
    <xf borderId="0" fillId="0" fontId="2" numFmtId="165" xfId="0" applyAlignment="1" applyFont="1" applyNumberFormat="1">
      <alignment readingOrder="0"/>
    </xf>
    <xf borderId="0" fillId="0" fontId="2" numFmtId="0" xfId="0" applyAlignment="1" applyFont="1">
      <alignment shrinkToFit="0" wrapText="1"/>
    </xf>
    <xf borderId="0" fillId="2" fontId="14" numFmtId="0" xfId="0" applyAlignment="1" applyFont="1">
      <alignment vertical="bottom"/>
    </xf>
    <xf borderId="0" fillId="0" fontId="2" numFmtId="0" xfId="0" applyAlignment="1" applyFont="1">
      <alignment horizontal="right" shrinkToFit="0" vertical="bottom" wrapText="1"/>
    </xf>
    <xf borderId="0" fillId="0" fontId="2" numFmtId="167" xfId="0" applyAlignment="1" applyFont="1" applyNumberFormat="1">
      <alignment horizontal="right" readingOrder="0" vertical="bottom"/>
    </xf>
    <xf borderId="0" fillId="2" fontId="18" numFmtId="0" xfId="0" applyAlignment="1" applyFont="1">
      <alignment horizontal="right" vertical="bottom"/>
    </xf>
    <xf borderId="0" fillId="2" fontId="14" numFmtId="167" xfId="0" applyAlignment="1" applyFont="1" applyNumberFormat="1">
      <alignment horizontal="right" readingOrder="0" vertical="bottom"/>
    </xf>
    <xf borderId="0" fillId="4" fontId="2" numFmtId="0" xfId="0" applyAlignment="1" applyFont="1">
      <alignment horizontal="right" shrinkToFit="0" vertical="bottom" wrapText="1"/>
    </xf>
    <xf borderId="0" fillId="0" fontId="2" numFmtId="167" xfId="0" applyAlignment="1" applyFont="1" applyNumberFormat="1">
      <alignment readingOrder="0" vertical="bottom"/>
    </xf>
    <xf borderId="0" fillId="0" fontId="2" numFmtId="0" xfId="0" applyAlignment="1" applyFont="1">
      <alignment horizontal="right" vertical="bottom"/>
    </xf>
    <xf borderId="0" fillId="2" fontId="6" numFmtId="0" xfId="0" applyAlignment="1" applyFont="1">
      <alignment horizontal="right" vertical="bottom"/>
    </xf>
    <xf borderId="0" fillId="4" fontId="14" numFmtId="0" xfId="0" applyAlignment="1" applyFont="1">
      <alignment horizontal="right" vertical="bottom"/>
    </xf>
    <xf borderId="0" fillId="2" fontId="14" numFmtId="0" xfId="0" applyAlignment="1" applyFont="1">
      <alignment horizontal="right" vertical="bottom"/>
    </xf>
    <xf borderId="0" fillId="0" fontId="2" numFmtId="0" xfId="0" applyAlignment="1" applyFont="1">
      <alignment horizontal="center" readingOrder="0" vertical="center"/>
    </xf>
    <xf borderId="0" fillId="0" fontId="14" numFmtId="167" xfId="0" applyAlignment="1" applyFont="1" applyNumberFormat="1">
      <alignment horizontal="right" readingOrder="0" vertical="bottom"/>
    </xf>
    <xf borderId="0" fillId="0" fontId="2" numFmtId="0" xfId="0" applyAlignment="1" applyFont="1">
      <alignment horizontal="right"/>
    </xf>
    <xf borderId="0" fillId="0" fontId="14" numFmtId="167" xfId="0" applyAlignment="1" applyFont="1" applyNumberFormat="1">
      <alignment horizontal="right" readingOrder="0"/>
    </xf>
    <xf borderId="0" fillId="2" fontId="19" numFmtId="0" xfId="0" applyAlignment="1" applyFont="1">
      <alignment horizontal="right" vertical="bottom"/>
    </xf>
    <xf borderId="0" fillId="2" fontId="20" numFmtId="0" xfId="0" applyAlignment="1" applyFont="1">
      <alignment horizontal="right" vertical="bottom"/>
    </xf>
    <xf borderId="0" fillId="0" fontId="20" numFmtId="0" xfId="0" applyAlignment="1" applyFont="1">
      <alignment horizontal="right" vertical="bottom"/>
    </xf>
    <xf borderId="0" fillId="0" fontId="8" numFmtId="0" xfId="0" applyAlignment="1" applyFont="1">
      <alignment horizontal="center" readingOrder="0" shrinkToFit="0" vertical="center" wrapText="1"/>
    </xf>
    <xf borderId="0" fillId="0" fontId="2" numFmtId="0" xfId="0" applyAlignment="1" applyFont="1">
      <alignment horizontal="center" vertical="bottom"/>
    </xf>
    <xf borderId="0" fillId="0" fontId="2" numFmtId="167" xfId="0" applyAlignment="1" applyFont="1" applyNumberFormat="1">
      <alignment horizontal="center" vertical="bottom"/>
    </xf>
    <xf borderId="0" fillId="0" fontId="16" numFmtId="0" xfId="0" applyAlignment="1" applyFont="1">
      <alignment horizontal="center" vertical="center"/>
    </xf>
    <xf borderId="0" fillId="0" fontId="8" numFmtId="166" xfId="0" applyAlignment="1" applyFont="1" applyNumberFormat="1">
      <alignment horizontal="center" vertical="center"/>
    </xf>
    <xf borderId="0" fillId="0" fontId="21" numFmtId="0" xfId="0" applyAlignment="1" applyFont="1">
      <alignment horizontal="center" readingOrder="0" shrinkToFit="0" vertical="center" wrapText="1"/>
    </xf>
    <xf borderId="0" fillId="0" fontId="22" numFmtId="49" xfId="0" applyAlignment="1" applyFont="1" applyNumberFormat="1">
      <alignment horizontal="center" readingOrder="0" shrinkToFit="0" vertical="center" wrapText="0"/>
    </xf>
    <xf borderId="0" fillId="2" fontId="11" numFmtId="0" xfId="0" applyAlignment="1" applyFont="1">
      <alignment horizontal="center" readingOrder="0" shrinkToFit="0" vertical="center" wrapText="1"/>
    </xf>
    <xf borderId="0" fillId="2" fontId="12" numFmtId="164" xfId="0" applyAlignment="1" applyFont="1" applyNumberFormat="1">
      <alignment horizontal="center" readingOrder="0" shrinkToFit="0" vertical="center" wrapText="1"/>
    </xf>
    <xf borderId="0" fillId="2" fontId="23" numFmtId="164" xfId="0" applyAlignment="1" applyFont="1" applyNumberFormat="1">
      <alignment horizontal="right" vertical="bottom"/>
    </xf>
    <xf borderId="0" fillId="0" fontId="4" numFmtId="167" xfId="0" applyAlignment="1" applyFont="1" applyNumberFormat="1">
      <alignment horizontal="center" readingOrder="0"/>
    </xf>
    <xf borderId="0" fillId="0" fontId="4" numFmtId="0" xfId="0" applyAlignment="1" applyFont="1">
      <alignment horizontal="center" readingOrder="0"/>
    </xf>
    <xf borderId="0" fillId="0" fontId="2" numFmtId="164" xfId="0" applyAlignment="1" applyFont="1" applyNumberFormat="1">
      <alignment horizontal="right" vertical="bottom"/>
    </xf>
    <xf borderId="0" fillId="0" fontId="4" numFmtId="164" xfId="0" applyAlignment="1" applyFont="1" applyNumberFormat="1">
      <alignment horizontal="center" readingOrder="0"/>
    </xf>
    <xf borderId="0" fillId="0" fontId="2" numFmtId="164" xfId="0" applyAlignment="1" applyFont="1" applyNumberFormat="1">
      <alignment horizontal="center"/>
    </xf>
    <xf borderId="0" fillId="0" fontId="2" numFmtId="164" xfId="0" applyAlignment="1" applyFont="1" applyNumberFormat="1">
      <alignment horizontal="right" vertical="bottom"/>
    </xf>
    <xf borderId="0" fillId="2" fontId="2" numFmtId="164" xfId="0" applyAlignment="1" applyFont="1" applyNumberFormat="1">
      <alignment horizontal="right" vertical="bottom"/>
    </xf>
    <xf borderId="0" fillId="0" fontId="4" numFmtId="165" xfId="0" applyAlignment="1" applyFont="1" applyNumberFormat="1">
      <alignment horizontal="center" readingOrder="0"/>
    </xf>
    <xf borderId="0" fillId="0" fontId="16" numFmtId="49" xfId="0" applyAlignment="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0" fillId="0" fontId="2" numFmtId="164" xfId="0" applyAlignment="1" applyFont="1" applyNumberFormat="1">
      <alignment horizontal="center"/>
    </xf>
    <xf borderId="0" fillId="0" fontId="2" numFmtId="164" xfId="0" applyAlignment="1" applyFont="1" applyNumberFormat="1">
      <alignment horizontal="right" shrinkToFit="0" wrapText="1"/>
    </xf>
    <xf borderId="0" fillId="2" fontId="14" numFmtId="164" xfId="0" applyAlignment="1" applyFont="1" applyNumberFormat="1">
      <alignment horizontal="center" vertical="bottom"/>
    </xf>
    <xf borderId="0" fillId="0" fontId="2" numFmtId="165" xfId="0" applyAlignment="1" applyFont="1" applyNumberFormat="1">
      <alignment horizontal="center" readingOrder="0"/>
    </xf>
    <xf borderId="0" fillId="0" fontId="14" numFmtId="0" xfId="0" applyAlignment="1" applyFont="1">
      <alignment horizontal="center" readingOrder="0" shrinkToFit="0" wrapText="1"/>
    </xf>
    <xf borderId="0" fillId="0" fontId="2" numFmtId="0" xfId="0" applyAlignment="1" applyFont="1">
      <alignment horizontal="center"/>
    </xf>
    <xf borderId="0" fillId="0" fontId="2" numFmtId="0" xfId="0" applyAlignment="1" applyFont="1">
      <alignment shrinkToFit="0" vertical="bottom" wrapText="1"/>
    </xf>
    <xf borderId="0" fillId="0" fontId="14" numFmtId="167" xfId="0" applyAlignment="1" applyFont="1" applyNumberFormat="1">
      <alignment horizontal="center" readingOrder="0" shrinkToFit="0" wrapText="1"/>
    </xf>
    <xf borderId="0" fillId="0" fontId="2" numFmtId="0" xfId="0" applyAlignment="1" applyFont="1">
      <alignment horizontal="center" readingOrder="0"/>
    </xf>
    <xf borderId="0" fillId="0" fontId="2" numFmtId="1" xfId="0" applyAlignment="1" applyFont="1" applyNumberFormat="1">
      <alignment horizontal="right" vertical="bottom"/>
    </xf>
    <xf borderId="0" fillId="0" fontId="2" numFmtId="1" xfId="0" applyAlignment="1" applyFont="1" applyNumberFormat="1">
      <alignment horizontal="right" vertical="bottom"/>
    </xf>
    <xf borderId="0" fillId="2" fontId="20" numFmtId="164" xfId="0" applyAlignment="1" applyFont="1" applyNumberFormat="1">
      <alignment horizontal="right" vertical="bottom"/>
    </xf>
    <xf borderId="0" fillId="2" fontId="2" numFmtId="164" xfId="0" applyAlignment="1" applyFont="1" applyNumberFormat="1">
      <alignment horizontal="center" readingOrder="0"/>
    </xf>
    <xf borderId="0" fillId="0" fontId="2" numFmtId="0" xfId="0" applyAlignment="1" applyFont="1">
      <alignment horizontal="right" readingOrder="0" vertical="bottom"/>
    </xf>
    <xf borderId="0" fillId="2" fontId="2" numFmtId="164" xfId="0" applyAlignment="1" applyFont="1" applyNumberFormat="1">
      <alignment horizontal="center"/>
    </xf>
    <xf borderId="0" fillId="0" fontId="14" numFmtId="167" xfId="0" applyAlignment="1" applyFont="1" applyNumberFormat="1">
      <alignment horizontal="center" shrinkToFit="0" wrapText="1"/>
    </xf>
    <xf borderId="0" fillId="0" fontId="2" numFmtId="166" xfId="0" applyAlignment="1" applyFont="1" applyNumberFormat="1">
      <alignment horizontal="center"/>
    </xf>
    <xf borderId="0" fillId="2" fontId="2" numFmtId="1" xfId="0" applyAlignment="1" applyFont="1" applyNumberFormat="1">
      <alignment horizontal="center"/>
    </xf>
    <xf borderId="0" fillId="2" fontId="2" numFmtId="1" xfId="0" applyAlignment="1" applyFont="1" applyNumberFormat="1">
      <alignment horizontal="center"/>
    </xf>
    <xf borderId="0" fillId="2" fontId="2" numFmtId="0" xfId="0" applyAlignment="1" applyFont="1">
      <alignment horizontal="center"/>
    </xf>
    <xf borderId="0" fillId="0" fontId="2" numFmtId="0" xfId="0" applyAlignment="1" applyFon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0" xfId="0" applyAlignment="1" applyFont="1">
      <alignment horizontal="center" shrinkToFit="0" wrapText="1"/>
    </xf>
    <xf borderId="0" fillId="0" fontId="2" numFmtId="166" xfId="0" applyAlignment="1" applyFont="1" applyNumberFormat="1">
      <alignment horizontal="center" shrinkToFit="0" wrapText="1"/>
    </xf>
    <xf borderId="0" fillId="0" fontId="2" numFmtId="1" xfId="0" applyAlignment="1" applyFont="1" applyNumberFormat="1">
      <alignment horizontal="center" shrinkToFit="0" wrapText="1"/>
    </xf>
    <xf borderId="0" fillId="0" fontId="2" numFmtId="164" xfId="0" applyAlignment="1" applyFont="1" applyNumberFormat="1">
      <alignment horizontal="center" shrinkToFit="0" wrapText="1"/>
    </xf>
    <xf borderId="0" fillId="0" fontId="2" numFmtId="1" xfId="0" applyAlignment="1" applyFont="1" applyNumberFormat="1">
      <alignment horizontal="center" shrinkToFit="0" wrapText="1"/>
    </xf>
    <xf borderId="0" fillId="0" fontId="2" numFmtId="1" xfId="0" applyAlignment="1" applyFont="1" applyNumberFormat="1">
      <alignment horizontal="center" vertical="bottom"/>
    </xf>
    <xf borderId="0" fillId="0" fontId="2" numFmtId="167" xfId="0" applyAlignment="1" applyFont="1" applyNumberFormat="1">
      <alignment horizontal="center"/>
    </xf>
    <xf borderId="0" fillId="0" fontId="2" numFmtId="166" xfId="0" applyAlignment="1" applyFont="1" applyNumberFormat="1">
      <alignment horizontal="center" vertical="bottom"/>
    </xf>
    <xf borderId="0" fillId="0" fontId="2" numFmtId="1" xfId="0" applyAlignment="1" applyFont="1" applyNumberFormat="1">
      <alignment horizontal="center"/>
    </xf>
    <xf borderId="0" fillId="2" fontId="24" numFmtId="1" xfId="0" applyAlignment="1" applyFont="1" applyNumberFormat="1">
      <alignment horizontal="center" vertical="bottom"/>
    </xf>
    <xf borderId="0" fillId="0" fontId="2" numFmtId="1" xfId="0" applyAlignment="1" applyFont="1" applyNumberFormat="1">
      <alignment horizontal="center"/>
    </xf>
    <xf borderId="0" fillId="0" fontId="2" numFmtId="1" xfId="0" applyAlignment="1" applyFont="1" applyNumberFormat="1">
      <alignment horizontal="center"/>
    </xf>
    <xf borderId="0" fillId="0" fontId="14" numFmtId="166" xfId="0" applyAlignment="1" applyFont="1" applyNumberFormat="1">
      <alignment horizontal="center"/>
    </xf>
    <xf borderId="0" fillId="0" fontId="2" numFmtId="1" xfId="0" applyAlignment="1" applyFont="1" applyNumberFormat="1">
      <alignment horizontal="center" vertical="bottom"/>
    </xf>
    <xf borderId="0" fillId="0" fontId="2" numFmtId="1" xfId="0" applyAlignment="1" applyFont="1" applyNumberFormat="1">
      <alignment horizontal="center" vertical="bottom"/>
    </xf>
    <xf borderId="0" fillId="0" fontId="2" numFmtId="166" xfId="0" applyAlignment="1" applyFont="1" applyNumberFormat="1">
      <alignment horizontal="center" vertical="bottom"/>
    </xf>
    <xf borderId="0" fillId="0" fontId="14" numFmtId="1" xfId="0" applyAlignment="1" applyFont="1" applyNumberFormat="1">
      <alignment horizontal="center"/>
    </xf>
    <xf borderId="0" fillId="0" fontId="2" numFmtId="166" xfId="0" applyAlignment="1" applyFont="1" applyNumberFormat="1">
      <alignment horizontal="center"/>
    </xf>
    <xf borderId="0" fillId="0" fontId="14" numFmtId="164" xfId="0" applyAlignment="1" applyFont="1" applyNumberFormat="1">
      <alignment horizontal="center"/>
    </xf>
    <xf borderId="0" fillId="2" fontId="14" numFmtId="166" xfId="0" applyAlignment="1" applyFont="1" applyNumberFormat="1">
      <alignment horizontal="center"/>
    </xf>
    <xf borderId="0" fillId="0" fontId="2" numFmtId="164" xfId="0" applyAlignment="1" applyFont="1" applyNumberFormat="1">
      <alignment horizontal="center" vertical="bottom"/>
    </xf>
    <xf borderId="0" fillId="0" fontId="2" numFmtId="164" xfId="0" applyAlignment="1" applyFont="1" applyNumberFormat="1">
      <alignment horizontal="center" vertical="bottom"/>
    </xf>
    <xf borderId="0" fillId="0" fontId="2" numFmtId="167" xfId="0" applyAlignment="1" applyFont="1" applyNumberFormat="1">
      <alignment horizontal="center" vertical="bottom"/>
    </xf>
    <xf borderId="0" fillId="0" fontId="2" numFmtId="165" xfId="0" applyAlignment="1" applyFont="1" applyNumberFormat="1">
      <alignment horizontal="center"/>
    </xf>
    <xf borderId="0" fillId="0" fontId="2" numFmtId="164" xfId="0" applyAlignment="1" applyFont="1" applyNumberFormat="1">
      <alignment horizontal="center" vertical="bottom"/>
    </xf>
    <xf borderId="0" fillId="0" fontId="2" numFmtId="165" xfId="0" applyAlignment="1" applyFont="1" applyNumberFormat="1">
      <alignment horizontal="center" shrinkToFit="0" vertical="bottom" wrapText="1"/>
    </xf>
    <xf borderId="0" fillId="0" fontId="2" numFmtId="166" xfId="0" applyAlignment="1" applyFont="1" applyNumberFormat="1">
      <alignment horizontal="center" vertical="bottom"/>
    </xf>
    <xf borderId="0" fillId="2" fontId="14" numFmtId="164" xfId="0" applyAlignment="1" applyFont="1" applyNumberFormat="1">
      <alignment horizontal="center" vertical="bottom"/>
    </xf>
    <xf borderId="0" fillId="2" fontId="25" numFmtId="0" xfId="0" applyFont="1"/>
    <xf borderId="0" fillId="0" fontId="4" numFmtId="164" xfId="0" applyFont="1" applyNumberFormat="1"/>
    <xf borderId="0" fillId="0" fontId="4" numFmtId="165" xfId="0" applyFont="1" applyNumberFormat="1"/>
    <xf borderId="0" fillId="0" fontId="4" numFmtId="49" xfId="0" applyFont="1" applyNumberFormat="1"/>
    <xf borderId="0" fillId="0" fontId="4" numFmtId="167" xfId="0" applyFont="1" applyNumberFormat="1"/>
    <xf borderId="0" fillId="0" fontId="4" numFmtId="168" xfId="0" applyFont="1" applyNumberFormat="1"/>
    <xf borderId="0" fillId="0" fontId="4" numFmtId="1" xfId="0" applyFont="1" applyNumberFormat="1"/>
    <xf borderId="0" fillId="0" fontId="16" numFmtId="0" xfId="0" applyAlignment="1" applyFont="1">
      <alignment vertical="center"/>
    </xf>
    <xf borderId="0" fillId="0" fontId="8" numFmtId="166" xfId="0" applyAlignment="1" applyFont="1" applyNumberFormat="1">
      <alignment vertical="center"/>
    </xf>
    <xf borderId="0" fillId="0" fontId="2" numFmtId="164" xfId="0" applyAlignment="1" applyFont="1" applyNumberFormat="1">
      <alignment horizontal="center"/>
    </xf>
    <xf borderId="0" fillId="0" fontId="2" numFmtId="1" xfId="0" applyAlignment="1" applyFont="1" applyNumberFormat="1">
      <alignment horizontal="center"/>
    </xf>
    <xf borderId="0" fillId="0" fontId="2" numFmtId="166" xfId="0" applyAlignment="1" applyFont="1" applyNumberFormat="1">
      <alignment vertical="bottom"/>
    </xf>
    <xf borderId="0" fillId="0" fontId="2" numFmtId="1" xfId="0" applyAlignment="1" applyFont="1" applyNumberFormat="1">
      <alignment horizontal="right" vertical="bottom"/>
    </xf>
    <xf borderId="0" fillId="0" fontId="2" numFmtId="166" xfId="0" applyAlignment="1" applyFont="1" applyNumberFormat="1">
      <alignment horizontal="right" vertical="bottom"/>
    </xf>
    <xf borderId="0" fillId="0" fontId="2" numFmtId="165" xfId="0" applyAlignment="1" applyFont="1" applyNumberFormat="1">
      <alignment horizontal="right" shrinkToFit="0" vertical="bottom" wrapText="1"/>
    </xf>
    <xf borderId="0" fillId="2" fontId="25" numFmtId="167" xfId="0" applyFont="1" applyNumberFormat="1"/>
    <xf borderId="0" fillId="0" fontId="4" numFmtId="1" xfId="0" applyFont="1" applyNumberFormat="1"/>
    <xf borderId="0" fillId="2" fontId="12" numFmtId="49" xfId="0" applyAlignment="1" applyFont="1" applyNumberFormat="1">
      <alignment horizontal="center" readingOrder="0" shrinkToFit="0" vertical="center" wrapText="1"/>
    </xf>
    <xf borderId="0" fillId="0" fontId="8" numFmtId="1" xfId="0" applyAlignment="1" applyFont="1" applyNumberFormat="1">
      <alignment horizontal="center" readingOrder="0" vertical="center"/>
    </xf>
    <xf borderId="0" fillId="0" fontId="8" numFmtId="167" xfId="0" applyAlignment="1" applyFont="1" applyNumberFormat="1">
      <alignment horizontal="center" readingOrder="0" shrinkToFit="0" vertical="center" wrapText="1"/>
    </xf>
    <xf borderId="0" fillId="2" fontId="11" numFmtId="166" xfId="0" applyAlignment="1" applyFont="1" applyNumberFormat="1">
      <alignment horizontal="center" shrinkToFit="0" vertical="center" wrapText="1"/>
    </xf>
    <xf borderId="0" fillId="0" fontId="8" numFmtId="164" xfId="0" applyAlignment="1" applyFont="1" applyNumberFormat="1">
      <alignment horizontal="center" readingOrder="0" vertical="center"/>
    </xf>
    <xf borderId="0" fillId="0" fontId="4" numFmtId="0" xfId="0" applyAlignment="1" applyFont="1">
      <alignment horizontal="center" shrinkToFit="0" vertical="center" wrapText="1"/>
    </xf>
    <xf borderId="0" fillId="2" fontId="26" numFmtId="164" xfId="0" applyAlignment="1" applyFont="1" applyNumberFormat="1">
      <alignment horizontal="center" readingOrder="0" vertical="center"/>
    </xf>
    <xf borderId="0" fillId="0" fontId="27" numFmtId="0" xfId="0" applyAlignment="1" applyFont="1">
      <alignment horizontal="center" readingOrder="0" shrinkToFit="0" vertical="center" wrapText="0"/>
    </xf>
    <xf borderId="0" fillId="0" fontId="2" numFmtId="167" xfId="0" applyAlignment="1" applyFont="1" applyNumberFormat="1">
      <alignment horizontal="right" vertical="bottom"/>
    </xf>
    <xf borderId="0" fillId="0" fontId="2" numFmtId="166" xfId="0" applyAlignment="1" applyFont="1" applyNumberFormat="1">
      <alignment vertical="bottom"/>
    </xf>
    <xf borderId="0" fillId="0" fontId="2" numFmtId="49" xfId="0" applyAlignment="1" applyFont="1" applyNumberFormat="1">
      <alignment vertical="bottom"/>
    </xf>
    <xf borderId="0" fillId="0" fontId="2" numFmtId="49" xfId="0" applyAlignment="1" applyFont="1" applyNumberFormat="1">
      <alignment horizontal="right" vertical="bottom"/>
    </xf>
    <xf borderId="0" fillId="0" fontId="2" numFmtId="49" xfId="0" applyAlignment="1" applyFont="1" applyNumberFormat="1">
      <alignment shrinkToFit="0" vertical="bottom" wrapText="0"/>
    </xf>
    <xf borderId="0" fillId="0" fontId="2" numFmtId="166" xfId="0" applyAlignment="1" applyFont="1" applyNumberFormat="1">
      <alignment shrinkToFit="0" vertical="bottom" wrapText="0"/>
    </xf>
    <xf borderId="0" fillId="0" fontId="2" numFmtId="49" xfId="0" applyAlignment="1" applyFont="1" applyNumberFormat="1">
      <alignment horizontal="center" vertical="bottom"/>
    </xf>
    <xf borderId="0" fillId="2" fontId="12" numFmtId="0" xfId="0" applyAlignment="1" applyFont="1">
      <alignment horizontal="center" readingOrder="0" shrinkToFit="0" vertical="center" wrapText="1"/>
    </xf>
    <xf borderId="0" fillId="5" fontId="28" numFmtId="0" xfId="0" applyAlignment="1" applyFill="1" applyFont="1">
      <alignment horizontal="center" readingOrder="0" shrinkToFit="0" vertical="center" wrapText="1"/>
    </xf>
    <xf borderId="0" fillId="5" fontId="28" numFmtId="166" xfId="0" applyAlignment="1" applyFont="1" applyNumberFormat="1">
      <alignment horizontal="center" readingOrder="0" shrinkToFit="0" vertical="center" wrapText="1"/>
    </xf>
    <xf borderId="0" fillId="5" fontId="28" numFmtId="164" xfId="0" applyAlignment="1" applyFont="1" applyNumberFormat="1">
      <alignment horizontal="center" readingOrder="0" shrinkToFit="0" vertical="center" wrapText="1"/>
    </xf>
    <xf borderId="0" fillId="0" fontId="8" numFmtId="164" xfId="0" applyAlignment="1" applyFont="1" applyNumberFormat="1">
      <alignment horizontal="center" vertical="center"/>
    </xf>
    <xf borderId="0" fillId="0" fontId="16" numFmtId="167" xfId="0" applyAlignment="1" applyFont="1" applyNumberFormat="1">
      <alignment horizontal="center" readingOrder="0" shrinkToFit="0" vertical="center" wrapText="1"/>
    </xf>
    <xf borderId="0" fillId="0" fontId="29" numFmtId="164" xfId="0" applyAlignment="1" applyFont="1" applyNumberFormat="1">
      <alignment horizontal="center" vertical="center"/>
    </xf>
    <xf borderId="0" fillId="0" fontId="11" numFmtId="164" xfId="0" applyAlignment="1" applyFont="1" applyNumberFormat="1">
      <alignment horizontal="center" vertical="center"/>
    </xf>
    <xf borderId="0" fillId="0" fontId="16" numFmtId="164" xfId="0" applyAlignment="1" applyFont="1" applyNumberFormat="1">
      <alignment horizontal="center" readingOrder="0" shrinkToFit="0" vertical="center" wrapText="1"/>
    </xf>
    <xf borderId="0" fillId="0" fontId="16" numFmtId="164" xfId="0" applyAlignment="1" applyFont="1" applyNumberFormat="1">
      <alignment horizontal="center" shrinkToFit="0" vertical="center" wrapText="1"/>
    </xf>
    <xf borderId="0" fillId="0" fontId="11" numFmtId="164" xfId="0" applyAlignment="1" applyFont="1" applyNumberFormat="1">
      <alignment horizontal="center" shrinkToFit="0" vertical="center" wrapText="1"/>
    </xf>
    <xf borderId="0" fillId="0" fontId="16" numFmtId="164" xfId="0" applyAlignment="1" applyFont="1" applyNumberFormat="1">
      <alignment horizontal="center" readingOrder="0" vertical="center"/>
    </xf>
    <xf borderId="0" fillId="0" fontId="16" numFmtId="164" xfId="0" applyAlignment="1" applyFont="1" applyNumberFormat="1">
      <alignment horizontal="center" vertical="center"/>
    </xf>
    <xf borderId="0" fillId="0" fontId="16" numFmtId="167" xfId="0" applyAlignment="1" applyFont="1" applyNumberFormat="1">
      <alignment horizontal="center" shrinkToFit="0" vertical="center" wrapText="1"/>
    </xf>
    <xf borderId="0" fillId="0" fontId="16" numFmtId="0" xfId="0" applyAlignment="1" applyFont="1">
      <alignment horizontal="center" vertical="center"/>
    </xf>
    <xf borderId="0" fillId="0" fontId="16" numFmtId="167" xfId="0" applyAlignment="1" applyFont="1" applyNumberFormat="1">
      <alignment horizontal="center" shrinkToFit="0" wrapText="1"/>
    </xf>
    <xf borderId="0" fillId="0" fontId="11" numFmtId="0" xfId="0" applyAlignment="1" applyFont="1">
      <alignment horizontal="center" shrinkToFit="0" vertical="center" wrapText="1"/>
    </xf>
    <xf borderId="0" fillId="2" fontId="11"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11" numFmtId="49" xfId="0" applyAlignment="1" applyFont="1" applyNumberFormat="1">
      <alignment horizontal="center" shrinkToFit="0" vertical="center" wrapText="1"/>
    </xf>
    <xf borderId="0" fillId="0" fontId="11" numFmtId="166" xfId="0" applyAlignment="1" applyFont="1" applyNumberFormat="1">
      <alignment horizontal="center" shrinkToFit="0" vertical="center" wrapText="1"/>
    </xf>
    <xf borderId="0" fillId="0" fontId="16" numFmtId="165" xfId="0" applyAlignment="1" applyFont="1" applyNumberFormat="1">
      <alignment horizontal="center" shrinkToFit="0" wrapText="1"/>
    </xf>
    <xf borderId="0" fillId="6" fontId="16" numFmtId="166" xfId="0" applyAlignment="1" applyFill="1" applyFont="1" applyNumberFormat="1">
      <alignment horizontal="center" shrinkToFit="0" vertical="center" wrapText="1"/>
    </xf>
    <xf borderId="0" fillId="0" fontId="29" numFmtId="164" xfId="0" applyAlignment="1" applyFont="1" applyNumberFormat="1">
      <alignment horizontal="center" readingOrder="0" vertical="center"/>
    </xf>
    <xf borderId="0" fillId="0" fontId="11" numFmtId="164" xfId="0" applyAlignment="1" applyFont="1" applyNumberFormat="1">
      <alignment horizontal="center" readingOrder="0" vertical="center"/>
    </xf>
    <xf borderId="0" fillId="0" fontId="11" numFmtId="164" xfId="0" applyAlignment="1" applyFont="1" applyNumberFormat="1">
      <alignment horizontal="center" readingOrder="0" shrinkToFit="0" vertical="center" wrapText="1"/>
    </xf>
    <xf borderId="0" fillId="0" fontId="16" numFmtId="0" xfId="0" applyAlignment="1" applyFont="1">
      <alignment horizontal="center" readingOrder="0" vertical="center"/>
    </xf>
    <xf borderId="0" fillId="0" fontId="30" numFmtId="0" xfId="0" applyAlignment="1" applyFont="1">
      <alignment horizontal="center" readingOrder="0" shrinkToFit="0" vertical="center" wrapText="1"/>
    </xf>
    <xf borderId="0" fillId="0" fontId="4" numFmtId="167" xfId="0" applyFont="1" applyNumberFormat="1"/>
    <xf borderId="0" fillId="0" fontId="31" numFmtId="1" xfId="0" applyFont="1" applyNumberFormat="1"/>
    <xf borderId="0" fillId="0" fontId="4" numFmtId="169" xfId="0" applyFont="1" applyNumberFormat="1"/>
    <xf borderId="0" fillId="0" fontId="4" numFmtId="4" xfId="0" applyFont="1" applyNumberFormat="1"/>
    <xf borderId="0" fillId="2" fontId="25" numFmtId="164" xfId="0" applyFont="1" applyNumberFormat="1"/>
    <xf borderId="0" fillId="0" fontId="32" numFmtId="0" xfId="0" applyFont="1"/>
    <xf borderId="0" fillId="0" fontId="32" numFmtId="0" xfId="0" applyAlignment="1" applyFont="1">
      <alignment readingOrder="0"/>
    </xf>
    <xf borderId="0" fillId="0" fontId="4" numFmtId="0" xfId="0" applyAlignment="1" applyFont="1">
      <alignment readingOrder="0"/>
    </xf>
  </cellXfs>
  <cellStyles count="1">
    <cellStyle xfId="0" name="Normal" builtinId="0"/>
  </cellStyles>
  <dxfs count="1">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0</xdr:row>
      <xdr:rowOff>209550</xdr:rowOff>
    </xdr:from>
    <xdr:ext cx="1676400" cy="428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247650</xdr:colOff>
      <xdr:row>0</xdr:row>
      <xdr:rowOff>95250</xdr:rowOff>
    </xdr:from>
    <xdr:ext cx="552450" cy="7048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211</xdr:row>
      <xdr:rowOff>209550</xdr:rowOff>
    </xdr:from>
    <xdr:ext cx="1676400" cy="4286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247650</xdr:colOff>
      <xdr:row>0</xdr:row>
      <xdr:rowOff>95250</xdr:rowOff>
    </xdr:from>
    <xdr:ext cx="552450" cy="7048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247650</xdr:colOff>
      <xdr:row>0</xdr:row>
      <xdr:rowOff>95250</xdr:rowOff>
    </xdr:from>
    <xdr:ext cx="676275" cy="866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0</xdr:row>
      <xdr:rowOff>104775</xdr:rowOff>
    </xdr:from>
    <xdr:ext cx="590550" cy="7524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247650</xdr:colOff>
      <xdr:row>0</xdr:row>
      <xdr:rowOff>95250</xdr:rowOff>
    </xdr:from>
    <xdr:ext cx="581025" cy="7429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0</xdr:row>
      <xdr:rowOff>104775</xdr:rowOff>
    </xdr:from>
    <xdr:ext cx="590550" cy="7524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247650</xdr:colOff>
      <xdr:row>0</xdr:row>
      <xdr:rowOff>95250</xdr:rowOff>
    </xdr:from>
    <xdr:ext cx="581025" cy="7429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PGtQfbeuiWnM5yK4JbSPcN2oBJ9Xk5oQx_g5stVnf0/edit" TargetMode="External"/><Relationship Id="rId2" Type="http://schemas.openxmlformats.org/officeDocument/2006/relationships/hyperlink" Target="https://docs.google.com/spreadsheets/d/1-PGtQfbeuiWnM5yK4JbSPcN2oBJ9Xk5oQx_g5stVnf0/edit" TargetMode="External"/><Relationship Id="rId3" Type="http://schemas.openxmlformats.org/officeDocument/2006/relationships/hyperlink" Target="https://support.google.com/docs/answer/3093340?hl=e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udemy.slack.com/archives/C1KDU77AM/p1543857743005400"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5" t="s">
        <v>2</v>
      </c>
      <c r="B4" s="2"/>
      <c r="C4" s="2"/>
      <c r="D4" s="2"/>
      <c r="E4" s="2"/>
      <c r="F4" s="2"/>
      <c r="G4" s="2"/>
      <c r="H4" s="3"/>
      <c r="I4" s="3"/>
      <c r="J4" s="3"/>
      <c r="K4" s="3"/>
      <c r="L4" s="3"/>
      <c r="M4" s="3"/>
      <c r="N4" s="3"/>
      <c r="O4" s="3"/>
      <c r="P4" s="3"/>
      <c r="Q4" s="3"/>
      <c r="R4" s="3"/>
      <c r="S4" s="3"/>
      <c r="T4" s="3"/>
      <c r="U4" s="3"/>
      <c r="V4" s="3"/>
      <c r="W4" s="3"/>
      <c r="X4" s="3"/>
      <c r="Y4" s="3"/>
      <c r="Z4" s="3"/>
    </row>
    <row r="5">
      <c r="A5" s="6" t="s">
        <v>3</v>
      </c>
      <c r="B5" s="7" t="s">
        <v>4</v>
      </c>
      <c r="C5" s="8"/>
      <c r="D5" s="8"/>
      <c r="E5" s="8"/>
      <c r="F5" s="8"/>
      <c r="G5" s="9"/>
      <c r="H5" s="3"/>
      <c r="I5" s="3"/>
      <c r="J5" s="3"/>
      <c r="K5" s="3"/>
      <c r="L5" s="3"/>
      <c r="M5" s="3"/>
      <c r="N5" s="3"/>
      <c r="O5" s="3"/>
      <c r="P5" s="3"/>
      <c r="Q5" s="3"/>
      <c r="R5" s="3"/>
      <c r="S5" s="3"/>
      <c r="T5" s="3"/>
      <c r="U5" s="3"/>
      <c r="V5" s="3"/>
      <c r="W5" s="3"/>
      <c r="X5" s="3"/>
      <c r="Y5" s="3"/>
      <c r="Z5" s="3"/>
    </row>
    <row r="6">
      <c r="A6" s="6" t="s">
        <v>5</v>
      </c>
      <c r="B6" s="10" t="s">
        <v>6</v>
      </c>
      <c r="C6" s="8"/>
      <c r="D6" s="8"/>
      <c r="E6" s="8"/>
      <c r="F6" s="8"/>
      <c r="G6" s="9"/>
      <c r="H6" s="3"/>
      <c r="I6" s="3"/>
      <c r="J6" s="3"/>
      <c r="K6" s="3"/>
      <c r="L6" s="3"/>
      <c r="M6" s="3"/>
      <c r="N6" s="3"/>
      <c r="O6" s="3"/>
      <c r="P6" s="3"/>
      <c r="Q6" s="3"/>
      <c r="R6" s="3"/>
      <c r="S6" s="3"/>
      <c r="T6" s="3"/>
      <c r="U6" s="3"/>
      <c r="V6" s="3"/>
      <c r="W6" s="3"/>
      <c r="X6" s="3"/>
      <c r="Y6" s="3"/>
      <c r="Z6" s="3"/>
    </row>
    <row r="7">
      <c r="A7" s="11" t="s">
        <v>7</v>
      </c>
      <c r="B7" s="12" t="s">
        <v>8</v>
      </c>
      <c r="C7" s="8"/>
      <c r="D7" s="8"/>
      <c r="E7" s="8"/>
      <c r="F7" s="8"/>
      <c r="G7" s="9"/>
      <c r="H7" s="3"/>
      <c r="I7" s="3"/>
      <c r="J7" s="3"/>
      <c r="K7" s="3"/>
      <c r="L7" s="3"/>
      <c r="M7" s="3"/>
      <c r="N7" s="3"/>
      <c r="O7" s="3"/>
      <c r="P7" s="3"/>
      <c r="Q7" s="3"/>
      <c r="R7" s="3"/>
      <c r="S7" s="3"/>
      <c r="T7" s="3"/>
      <c r="U7" s="3"/>
      <c r="V7" s="3"/>
      <c r="W7" s="3"/>
      <c r="X7" s="3"/>
      <c r="Y7" s="3"/>
      <c r="Z7" s="3"/>
    </row>
    <row r="8">
      <c r="A8" s="11" t="s">
        <v>9</v>
      </c>
      <c r="B8" s="13" t="s">
        <v>10</v>
      </c>
      <c r="C8" s="8"/>
      <c r="D8" s="8"/>
      <c r="E8" s="8"/>
      <c r="F8" s="8"/>
      <c r="G8" s="9"/>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5" t="s">
        <v>11</v>
      </c>
      <c r="B10" s="2"/>
      <c r="C10" s="2"/>
      <c r="D10" s="2"/>
      <c r="E10" s="2"/>
      <c r="F10" s="2"/>
      <c r="G10" s="2"/>
      <c r="H10" s="3"/>
      <c r="I10" s="3"/>
      <c r="J10" s="3"/>
      <c r="K10" s="3"/>
      <c r="L10" s="3"/>
      <c r="M10" s="3"/>
      <c r="N10" s="3"/>
      <c r="O10" s="3"/>
      <c r="P10" s="3"/>
      <c r="Q10" s="3"/>
      <c r="R10" s="3"/>
      <c r="S10" s="3"/>
      <c r="T10" s="3"/>
      <c r="U10" s="3"/>
      <c r="V10" s="3"/>
      <c r="W10" s="3"/>
      <c r="X10" s="3"/>
      <c r="Y10" s="3"/>
      <c r="Z10" s="3"/>
    </row>
    <row r="11">
      <c r="A11" s="6" t="s">
        <v>3</v>
      </c>
      <c r="B11" s="7" t="s">
        <v>12</v>
      </c>
      <c r="C11" s="8"/>
      <c r="D11" s="8"/>
      <c r="E11" s="8"/>
      <c r="F11" s="8"/>
      <c r="G11" s="9"/>
      <c r="H11" s="3"/>
      <c r="I11" s="3"/>
      <c r="J11" s="3"/>
      <c r="K11" s="3"/>
      <c r="L11" s="3"/>
      <c r="M11" s="3"/>
      <c r="N11" s="3"/>
      <c r="O11" s="3"/>
      <c r="P11" s="3"/>
      <c r="Q11" s="3"/>
      <c r="R11" s="3"/>
      <c r="S11" s="3"/>
      <c r="T11" s="3"/>
      <c r="U11" s="3"/>
      <c r="V11" s="3"/>
      <c r="W11" s="3"/>
      <c r="X11" s="3"/>
      <c r="Y11" s="3"/>
      <c r="Z11" s="3"/>
    </row>
    <row r="12">
      <c r="A12" s="6" t="s">
        <v>5</v>
      </c>
      <c r="B12" s="10" t="s">
        <v>13</v>
      </c>
      <c r="C12" s="8"/>
      <c r="D12" s="8"/>
      <c r="E12" s="8"/>
      <c r="F12" s="8"/>
      <c r="G12" s="9"/>
      <c r="H12" s="3"/>
      <c r="I12" s="3"/>
      <c r="J12" s="3"/>
      <c r="K12" s="3"/>
      <c r="L12" s="3"/>
      <c r="M12" s="3"/>
      <c r="N12" s="3"/>
      <c r="O12" s="3"/>
      <c r="P12" s="3"/>
      <c r="Q12" s="3"/>
      <c r="R12" s="3"/>
      <c r="S12" s="3"/>
      <c r="T12" s="3"/>
      <c r="U12" s="3"/>
      <c r="V12" s="3"/>
      <c r="W12" s="3"/>
      <c r="X12" s="3"/>
      <c r="Y12" s="3"/>
      <c r="Z12" s="3"/>
    </row>
    <row r="13">
      <c r="A13" s="6" t="s">
        <v>14</v>
      </c>
      <c r="B13" s="12" t="s">
        <v>15</v>
      </c>
      <c r="C13" s="8"/>
      <c r="D13" s="8"/>
      <c r="E13" s="8"/>
      <c r="F13" s="8"/>
      <c r="G13" s="9"/>
      <c r="H13" s="3"/>
      <c r="I13" s="3"/>
      <c r="J13" s="3"/>
      <c r="K13" s="3"/>
      <c r="L13" s="3"/>
      <c r="M13" s="3"/>
      <c r="N13" s="3"/>
      <c r="O13" s="3"/>
      <c r="P13" s="3"/>
      <c r="Q13" s="3"/>
      <c r="R13" s="3"/>
      <c r="S13" s="3"/>
      <c r="T13" s="3"/>
      <c r="U13" s="3"/>
      <c r="V13" s="3"/>
      <c r="W13" s="3"/>
      <c r="X13" s="3"/>
      <c r="Y13" s="3"/>
      <c r="Z13" s="3"/>
    </row>
    <row r="14">
      <c r="A14" s="6" t="s">
        <v>16</v>
      </c>
      <c r="B14" s="14" t="s">
        <v>17</v>
      </c>
      <c r="C14" s="8"/>
      <c r="D14" s="8"/>
      <c r="E14" s="8"/>
      <c r="F14" s="8"/>
      <c r="G14" s="9"/>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5" t="s">
        <v>18</v>
      </c>
      <c r="B16" s="2"/>
      <c r="C16" s="2"/>
      <c r="D16" s="2"/>
      <c r="E16" s="2"/>
      <c r="F16" s="2"/>
      <c r="G16" s="2"/>
      <c r="H16" s="3"/>
      <c r="I16" s="3"/>
      <c r="J16" s="3"/>
      <c r="K16" s="3"/>
      <c r="L16" s="3"/>
      <c r="M16" s="3"/>
      <c r="N16" s="3"/>
      <c r="O16" s="3"/>
      <c r="P16" s="3"/>
      <c r="Q16" s="3"/>
      <c r="R16" s="3"/>
      <c r="S16" s="3"/>
      <c r="T16" s="3"/>
      <c r="U16" s="3"/>
      <c r="V16" s="3"/>
      <c r="W16" s="3"/>
      <c r="X16" s="3"/>
      <c r="Y16" s="3"/>
      <c r="Z16" s="3"/>
    </row>
    <row r="17">
      <c r="A17" s="6" t="s">
        <v>3</v>
      </c>
      <c r="B17" s="15" t="s">
        <v>19</v>
      </c>
      <c r="C17" s="8"/>
      <c r="D17" s="8"/>
      <c r="E17" s="8"/>
      <c r="F17" s="8"/>
      <c r="G17" s="9"/>
      <c r="H17" s="3"/>
      <c r="I17" s="3"/>
      <c r="J17" s="3"/>
      <c r="K17" s="3"/>
      <c r="L17" s="3"/>
      <c r="M17" s="3"/>
      <c r="N17" s="3"/>
      <c r="O17" s="3"/>
      <c r="P17" s="3"/>
      <c r="Q17" s="3"/>
      <c r="R17" s="3"/>
      <c r="S17" s="3"/>
      <c r="T17" s="3"/>
      <c r="U17" s="3"/>
      <c r="V17" s="3"/>
      <c r="W17" s="3"/>
      <c r="X17" s="3"/>
      <c r="Y17" s="3"/>
      <c r="Z17" s="3"/>
    </row>
    <row r="18">
      <c r="A18" s="6" t="s">
        <v>5</v>
      </c>
      <c r="B18" s="7" t="s">
        <v>20</v>
      </c>
      <c r="C18" s="8"/>
      <c r="D18" s="8"/>
      <c r="E18" s="8"/>
      <c r="F18" s="8"/>
      <c r="G18" s="9"/>
      <c r="H18" s="3"/>
      <c r="I18" s="3"/>
      <c r="J18" s="3"/>
      <c r="K18" s="3"/>
      <c r="L18" s="3"/>
      <c r="M18" s="3"/>
      <c r="N18" s="3"/>
      <c r="O18" s="3"/>
      <c r="P18" s="3"/>
      <c r="Q18" s="3"/>
      <c r="R18" s="3"/>
      <c r="S18" s="3"/>
      <c r="T18" s="3"/>
      <c r="U18" s="3"/>
      <c r="V18" s="3"/>
      <c r="W18" s="3"/>
      <c r="X18" s="3"/>
      <c r="Y18" s="3"/>
      <c r="Z18" s="3"/>
    </row>
    <row r="19">
      <c r="A19" s="6" t="s">
        <v>7</v>
      </c>
      <c r="B19" s="16" t="s">
        <v>21</v>
      </c>
      <c r="C19" s="8"/>
      <c r="D19" s="8"/>
      <c r="E19" s="8"/>
      <c r="F19" s="8"/>
      <c r="G19" s="9"/>
      <c r="H19" s="3"/>
      <c r="I19" s="3"/>
      <c r="J19" s="3"/>
      <c r="K19" s="3"/>
      <c r="L19" s="3"/>
      <c r="M19" s="3"/>
      <c r="N19" s="3"/>
      <c r="O19" s="3"/>
      <c r="P19" s="3"/>
      <c r="Q19" s="3"/>
      <c r="R19" s="3"/>
      <c r="S19" s="3"/>
      <c r="T19" s="3"/>
      <c r="U19" s="3"/>
      <c r="V19" s="3"/>
      <c r="W19" s="3"/>
      <c r="X19" s="3"/>
      <c r="Y19" s="3"/>
      <c r="Z19" s="3"/>
    </row>
    <row r="20">
      <c r="A20" s="6" t="s">
        <v>14</v>
      </c>
      <c r="B20" s="17" t="s">
        <v>22</v>
      </c>
      <c r="C20" s="8"/>
      <c r="D20" s="8"/>
      <c r="E20" s="8"/>
      <c r="F20" s="8"/>
      <c r="G20" s="9"/>
      <c r="H20" s="3"/>
      <c r="I20" s="3"/>
      <c r="J20" s="3"/>
      <c r="K20" s="3"/>
      <c r="L20" s="3"/>
      <c r="M20" s="3"/>
      <c r="N20" s="3"/>
      <c r="O20" s="3"/>
      <c r="P20" s="3"/>
      <c r="Q20" s="3"/>
      <c r="R20" s="3"/>
      <c r="S20" s="3"/>
      <c r="T20" s="3"/>
      <c r="U20" s="3"/>
      <c r="V20" s="3"/>
      <c r="W20" s="3"/>
      <c r="X20" s="3"/>
      <c r="Y20" s="3"/>
      <c r="Z20" s="3"/>
    </row>
    <row r="21">
      <c r="A21" s="6" t="s">
        <v>23</v>
      </c>
      <c r="B21" s="18" t="s">
        <v>24</v>
      </c>
      <c r="C21" s="2"/>
      <c r="D21" s="2"/>
      <c r="E21" s="2"/>
      <c r="F21" s="2"/>
      <c r="G21" s="2"/>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13">
    <mergeCell ref="B13:G13"/>
    <mergeCell ref="B14:G14"/>
    <mergeCell ref="B17:G17"/>
    <mergeCell ref="B18:G18"/>
    <mergeCell ref="B19:G19"/>
    <mergeCell ref="B20:G20"/>
    <mergeCell ref="A2:G2"/>
    <mergeCell ref="B5:G5"/>
    <mergeCell ref="B6:G6"/>
    <mergeCell ref="B7:G7"/>
    <mergeCell ref="B8:G8"/>
    <mergeCell ref="B11:G11"/>
    <mergeCell ref="B12:G12"/>
  </mergeCells>
  <hyperlinks>
    <hyperlink r:id="rId1" location="gid=424435508&amp;range=A1" ref="B6"/>
    <hyperlink r:id="rId2" location="gid=982786439&amp;range=A1" ref="B12"/>
    <hyperlink r:id="rId3" ref="B17"/>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11.71"/>
    <col customWidth="1" min="2" max="2" width="15.0"/>
    <col customWidth="1" min="3" max="3" width="12.57"/>
    <col customWidth="1" min="4" max="4" width="81.57"/>
    <col customWidth="1" min="5" max="6" width="26.57"/>
    <col customWidth="1" min="7" max="7" width="20.43"/>
    <col customWidth="1" min="8" max="8" width="32.0"/>
    <col customWidth="1" min="9" max="9" width="21.0"/>
    <col customWidth="1" min="10" max="10" width="33.0"/>
  </cols>
  <sheetData>
    <row r="1">
      <c r="A1" s="19"/>
      <c r="B1" s="20"/>
      <c r="C1" s="21" t="s">
        <v>25</v>
      </c>
      <c r="H1" s="22"/>
      <c r="I1" s="22"/>
      <c r="J1" s="22"/>
    </row>
    <row r="2">
      <c r="A2" s="19"/>
      <c r="C2" s="23" t="s">
        <v>26</v>
      </c>
      <c r="H2" s="24"/>
      <c r="I2" s="24"/>
      <c r="J2" s="24"/>
    </row>
    <row r="3">
      <c r="A3" s="25" t="s">
        <v>27</v>
      </c>
      <c r="B3" s="25" t="s">
        <v>28</v>
      </c>
      <c r="C3" s="25" t="s">
        <v>29</v>
      </c>
      <c r="D3" s="25" t="s">
        <v>30</v>
      </c>
      <c r="E3" s="25" t="s">
        <v>31</v>
      </c>
      <c r="F3" s="25" t="s">
        <v>32</v>
      </c>
      <c r="G3" s="25" t="s">
        <v>33</v>
      </c>
      <c r="H3" s="25" t="s">
        <v>34</v>
      </c>
      <c r="I3" s="25" t="s">
        <v>35</v>
      </c>
      <c r="J3" s="25" t="s">
        <v>36</v>
      </c>
    </row>
    <row r="4">
      <c r="A4" s="26">
        <v>341348.0</v>
      </c>
      <c r="B4" s="27">
        <v>44651.0</v>
      </c>
      <c r="C4" s="28" t="s">
        <v>37</v>
      </c>
      <c r="D4" s="29" t="s">
        <v>38</v>
      </c>
      <c r="E4" s="30" t="s">
        <v>39</v>
      </c>
      <c r="F4" s="30" t="s">
        <v>40</v>
      </c>
      <c r="G4" s="31">
        <v>2151486.0</v>
      </c>
      <c r="H4" s="30" t="s">
        <v>41</v>
      </c>
      <c r="I4" s="31">
        <v>2125112.0</v>
      </c>
      <c r="J4" s="30" t="s">
        <v>42</v>
      </c>
    </row>
    <row r="5">
      <c r="A5" s="26">
        <v>871674.0</v>
      </c>
      <c r="B5" s="27">
        <v>44651.0</v>
      </c>
      <c r="C5" s="28" t="s">
        <v>43</v>
      </c>
      <c r="D5" s="29" t="s">
        <v>44</v>
      </c>
      <c r="E5" s="32" t="s">
        <v>45</v>
      </c>
      <c r="F5" s="32" t="s">
        <v>46</v>
      </c>
      <c r="G5" s="32">
        <v>1522710.0</v>
      </c>
      <c r="H5" s="32" t="s">
        <v>47</v>
      </c>
      <c r="I5" s="32">
        <v>144634.0</v>
      </c>
      <c r="J5" s="32" t="s">
        <v>48</v>
      </c>
    </row>
    <row r="6">
      <c r="A6" s="26">
        <v>1271898.0</v>
      </c>
      <c r="B6" s="27">
        <v>44651.0</v>
      </c>
      <c r="C6" s="28" t="s">
        <v>37</v>
      </c>
      <c r="D6" s="29" t="s">
        <v>49</v>
      </c>
      <c r="E6" s="32" t="s">
        <v>39</v>
      </c>
      <c r="F6" s="32" t="s">
        <v>50</v>
      </c>
      <c r="G6" s="32">
        <v>1691424.0</v>
      </c>
      <c r="H6" s="32" t="s">
        <v>51</v>
      </c>
      <c r="I6" s="32">
        <v>1259936.0</v>
      </c>
      <c r="J6" s="32" t="s">
        <v>52</v>
      </c>
    </row>
    <row r="7">
      <c r="A7" s="26">
        <v>1324854.0</v>
      </c>
      <c r="B7" s="27">
        <v>44651.0</v>
      </c>
      <c r="C7" s="28" t="s">
        <v>37</v>
      </c>
      <c r="D7" s="29" t="s">
        <v>53</v>
      </c>
      <c r="E7" s="32" t="s">
        <v>39</v>
      </c>
      <c r="F7" s="32" t="s">
        <v>54</v>
      </c>
      <c r="G7" s="32">
        <v>1093920.0</v>
      </c>
      <c r="H7" s="32" t="s">
        <v>55</v>
      </c>
      <c r="I7" s="32">
        <v>3951580.0</v>
      </c>
      <c r="J7" s="32" t="s">
        <v>56</v>
      </c>
    </row>
    <row r="8">
      <c r="A8" s="26">
        <v>1341646.0</v>
      </c>
      <c r="B8" s="27">
        <v>44651.0</v>
      </c>
      <c r="C8" s="28" t="s">
        <v>37</v>
      </c>
      <c r="D8" s="29" t="s">
        <v>57</v>
      </c>
      <c r="E8" s="32" t="s">
        <v>58</v>
      </c>
      <c r="F8" s="32" t="s">
        <v>59</v>
      </c>
      <c r="G8" s="32">
        <v>591930.0</v>
      </c>
      <c r="H8" s="32" t="s">
        <v>60</v>
      </c>
      <c r="I8" s="32">
        <v>571876.0</v>
      </c>
      <c r="J8" s="32" t="s">
        <v>61</v>
      </c>
    </row>
    <row r="9">
      <c r="A9" s="26">
        <v>1365728.0</v>
      </c>
      <c r="B9" s="27">
        <v>44651.0</v>
      </c>
      <c r="C9" s="28" t="s">
        <v>37</v>
      </c>
      <c r="D9" s="29" t="s">
        <v>62</v>
      </c>
      <c r="E9" s="32" t="s">
        <v>63</v>
      </c>
      <c r="F9" s="32" t="s">
        <v>64</v>
      </c>
      <c r="G9" s="32">
        <v>1040480.0</v>
      </c>
      <c r="H9" s="32" t="s">
        <v>65</v>
      </c>
      <c r="I9" s="32">
        <v>2169820.0</v>
      </c>
      <c r="J9" s="32" t="s">
        <v>66</v>
      </c>
    </row>
    <row r="10">
      <c r="A10" s="26">
        <v>1446160.0</v>
      </c>
      <c r="B10" s="27">
        <v>44651.0</v>
      </c>
      <c r="C10" s="28" t="s">
        <v>37</v>
      </c>
      <c r="D10" s="29" t="s">
        <v>67</v>
      </c>
      <c r="E10" s="32" t="s">
        <v>45</v>
      </c>
      <c r="F10" s="32" t="s">
        <v>46</v>
      </c>
      <c r="G10" s="32">
        <v>915690.0</v>
      </c>
      <c r="H10" s="32" t="s">
        <v>68</v>
      </c>
      <c r="I10" s="32">
        <v>995334.0</v>
      </c>
      <c r="J10" s="32" t="s">
        <v>69</v>
      </c>
    </row>
    <row r="11">
      <c r="A11" s="26">
        <v>1656124.0</v>
      </c>
      <c r="B11" s="27">
        <v>44651.0</v>
      </c>
      <c r="C11" s="28" t="s">
        <v>70</v>
      </c>
      <c r="D11" s="29" t="s">
        <v>71</v>
      </c>
      <c r="E11" s="32" t="s">
        <v>63</v>
      </c>
      <c r="F11" s="32" t="s">
        <v>64</v>
      </c>
      <c r="G11" s="32">
        <v>2178672.0</v>
      </c>
      <c r="H11" s="32" t="s">
        <v>72</v>
      </c>
      <c r="I11" s="32">
        <v>2587102.0</v>
      </c>
      <c r="J11" s="32" t="s">
        <v>73</v>
      </c>
    </row>
    <row r="12">
      <c r="A12" s="26">
        <v>1683324.0</v>
      </c>
      <c r="B12" s="27">
        <v>44651.0</v>
      </c>
      <c r="C12" s="28" t="s">
        <v>37</v>
      </c>
      <c r="D12" s="29" t="s">
        <v>74</v>
      </c>
      <c r="E12" s="32" t="s">
        <v>45</v>
      </c>
      <c r="F12" s="32" t="s">
        <v>75</v>
      </c>
      <c r="G12" s="32">
        <v>2311262.0</v>
      </c>
      <c r="H12" s="32" t="s">
        <v>76</v>
      </c>
      <c r="I12" s="32">
        <v>2111474.0</v>
      </c>
      <c r="J12" s="32" t="s">
        <v>77</v>
      </c>
    </row>
    <row r="13">
      <c r="A13" s="26">
        <v>2080214.0</v>
      </c>
      <c r="B13" s="27">
        <v>44651.0</v>
      </c>
      <c r="C13" s="28" t="s">
        <v>37</v>
      </c>
      <c r="D13" s="29" t="s">
        <v>78</v>
      </c>
      <c r="E13" s="32" t="s">
        <v>79</v>
      </c>
      <c r="F13" s="32" t="s">
        <v>80</v>
      </c>
      <c r="G13" s="32">
        <v>1049210.0</v>
      </c>
      <c r="H13" s="32" t="s">
        <v>81</v>
      </c>
      <c r="I13" s="32"/>
      <c r="J13" s="32" t="s">
        <v>47</v>
      </c>
    </row>
    <row r="14">
      <c r="A14" s="26">
        <v>2198184.0</v>
      </c>
      <c r="B14" s="27">
        <v>44651.0</v>
      </c>
      <c r="C14" s="28" t="s">
        <v>37</v>
      </c>
      <c r="D14" s="29" t="s">
        <v>82</v>
      </c>
      <c r="E14" s="32" t="s">
        <v>83</v>
      </c>
      <c r="F14" s="32" t="s">
        <v>84</v>
      </c>
      <c r="G14" s="32"/>
      <c r="H14" s="32" t="s">
        <v>47</v>
      </c>
      <c r="I14" s="32"/>
      <c r="J14" s="32" t="s">
        <v>47</v>
      </c>
    </row>
    <row r="15">
      <c r="A15" s="26">
        <v>2245880.0</v>
      </c>
      <c r="B15" s="27">
        <v>44651.0</v>
      </c>
      <c r="C15" s="28" t="s">
        <v>37</v>
      </c>
      <c r="D15" s="29" t="s">
        <v>85</v>
      </c>
      <c r="E15" s="32" t="s">
        <v>58</v>
      </c>
      <c r="F15" s="32" t="s">
        <v>86</v>
      </c>
      <c r="G15" s="32">
        <v>3237155.0</v>
      </c>
      <c r="H15" s="32" t="s">
        <v>87</v>
      </c>
      <c r="I15" s="32">
        <v>3930060.0</v>
      </c>
      <c r="J15" s="32" t="s">
        <v>88</v>
      </c>
    </row>
    <row r="16">
      <c r="A16" s="26">
        <v>2585574.0</v>
      </c>
      <c r="B16" s="27">
        <v>44651.0</v>
      </c>
      <c r="C16" s="28" t="s">
        <v>37</v>
      </c>
      <c r="D16" s="29" t="s">
        <v>89</v>
      </c>
      <c r="E16" s="32" t="s">
        <v>45</v>
      </c>
      <c r="F16" s="32" t="s">
        <v>90</v>
      </c>
      <c r="G16" s="32">
        <v>2699024.0</v>
      </c>
      <c r="H16" s="32" t="s">
        <v>91</v>
      </c>
      <c r="I16" s="32">
        <v>2745980.0</v>
      </c>
      <c r="J16" s="32" t="s">
        <v>92</v>
      </c>
    </row>
    <row r="17">
      <c r="A17" s="26">
        <v>2594642.0</v>
      </c>
      <c r="B17" s="27">
        <v>44651.0</v>
      </c>
      <c r="C17" s="28" t="s">
        <v>37</v>
      </c>
      <c r="D17" s="29" t="s">
        <v>93</v>
      </c>
      <c r="E17" s="32" t="s">
        <v>83</v>
      </c>
      <c r="F17" s="32" t="s">
        <v>94</v>
      </c>
      <c r="G17" s="32"/>
      <c r="H17" s="32" t="s">
        <v>47</v>
      </c>
      <c r="I17" s="32"/>
      <c r="J17" s="32" t="s">
        <v>47</v>
      </c>
    </row>
    <row r="18">
      <c r="A18" s="26">
        <v>2615378.0</v>
      </c>
      <c r="B18" s="27">
        <v>44651.0</v>
      </c>
      <c r="C18" s="28" t="s">
        <v>37</v>
      </c>
      <c r="D18" s="29" t="s">
        <v>95</v>
      </c>
      <c r="E18" s="32" t="s">
        <v>96</v>
      </c>
      <c r="F18" s="32" t="s">
        <v>97</v>
      </c>
      <c r="G18" s="32">
        <v>4146768.0</v>
      </c>
      <c r="H18" s="32" t="s">
        <v>98</v>
      </c>
      <c r="I18" s="32">
        <v>2616370.0</v>
      </c>
      <c r="J18" s="32" t="s">
        <v>99</v>
      </c>
    </row>
    <row r="19">
      <c r="A19" s="26">
        <v>2865598.0</v>
      </c>
      <c r="B19" s="27">
        <v>44651.0</v>
      </c>
      <c r="C19" s="28" t="s">
        <v>37</v>
      </c>
      <c r="D19" s="29" t="s">
        <v>100</v>
      </c>
      <c r="E19" s="32" t="s">
        <v>101</v>
      </c>
      <c r="F19" s="32" t="s">
        <v>102</v>
      </c>
      <c r="G19" s="32">
        <v>2167462.0</v>
      </c>
      <c r="H19" s="32" t="s">
        <v>103</v>
      </c>
      <c r="I19" s="32"/>
      <c r="J19" s="32" t="s">
        <v>47</v>
      </c>
    </row>
    <row r="20">
      <c r="A20" s="26">
        <v>3110166.0</v>
      </c>
      <c r="B20" s="27">
        <v>44651.0</v>
      </c>
      <c r="C20" s="28" t="s">
        <v>43</v>
      </c>
      <c r="D20" s="29" t="s">
        <v>104</v>
      </c>
      <c r="E20" s="32" t="s">
        <v>105</v>
      </c>
      <c r="F20" s="32" t="s">
        <v>106</v>
      </c>
      <c r="G20" s="32"/>
      <c r="H20" s="32" t="s">
        <v>47</v>
      </c>
      <c r="I20" s="32"/>
      <c r="J20" s="32" t="s">
        <v>47</v>
      </c>
    </row>
    <row r="21">
      <c r="A21" s="26">
        <v>3131302.0</v>
      </c>
      <c r="B21" s="27">
        <v>44651.0</v>
      </c>
      <c r="C21" s="28" t="s">
        <v>70</v>
      </c>
      <c r="D21" s="29" t="s">
        <v>107</v>
      </c>
      <c r="E21" s="32" t="s">
        <v>58</v>
      </c>
      <c r="F21" s="32" t="s">
        <v>86</v>
      </c>
      <c r="G21" s="32"/>
      <c r="H21" s="32" t="s">
        <v>47</v>
      </c>
      <c r="I21" s="32"/>
      <c r="J21" s="32" t="s">
        <v>47</v>
      </c>
    </row>
    <row r="22">
      <c r="A22" s="26">
        <v>3232703.0</v>
      </c>
      <c r="B22" s="27">
        <v>44651.0</v>
      </c>
      <c r="C22" s="28" t="s">
        <v>37</v>
      </c>
      <c r="D22" s="29" t="s">
        <v>108</v>
      </c>
      <c r="E22" s="32" t="s">
        <v>96</v>
      </c>
      <c r="F22" s="32" t="s">
        <v>109</v>
      </c>
      <c r="G22" s="32">
        <v>3395102.0</v>
      </c>
      <c r="H22" s="32" t="s">
        <v>110</v>
      </c>
      <c r="I22" s="32">
        <v>1212032.0</v>
      </c>
      <c r="J22" s="32" t="s">
        <v>111</v>
      </c>
    </row>
    <row r="23">
      <c r="A23" s="26">
        <v>3683388.0</v>
      </c>
      <c r="B23" s="27">
        <v>44651.0</v>
      </c>
      <c r="C23" s="28" t="s">
        <v>37</v>
      </c>
      <c r="D23" s="29" t="s">
        <v>112</v>
      </c>
      <c r="E23" s="32" t="s">
        <v>39</v>
      </c>
      <c r="F23" s="32" t="s">
        <v>113</v>
      </c>
      <c r="G23" s="32"/>
      <c r="H23" s="32" t="s">
        <v>47</v>
      </c>
      <c r="I23" s="32"/>
      <c r="J23" s="32" t="s">
        <v>47</v>
      </c>
    </row>
    <row r="24">
      <c r="A24" s="26">
        <v>3902836.0</v>
      </c>
      <c r="B24" s="27">
        <v>44651.0</v>
      </c>
      <c r="C24" s="28" t="s">
        <v>37</v>
      </c>
      <c r="D24" s="29" t="s">
        <v>114</v>
      </c>
      <c r="E24" s="32" t="s">
        <v>63</v>
      </c>
      <c r="F24" s="32" t="s">
        <v>115</v>
      </c>
      <c r="G24" s="32">
        <v>2718352.0</v>
      </c>
      <c r="H24" s="32" t="s">
        <v>116</v>
      </c>
      <c r="I24" s="32">
        <v>2511956.0</v>
      </c>
      <c r="J24" s="32" t="s">
        <v>117</v>
      </c>
    </row>
    <row r="25">
      <c r="A25" s="33">
        <v>4119872.0</v>
      </c>
      <c r="B25" s="27">
        <v>44651.0</v>
      </c>
      <c r="C25" s="28" t="s">
        <v>37</v>
      </c>
      <c r="D25" s="29" t="s">
        <v>118</v>
      </c>
      <c r="E25" s="32" t="s">
        <v>45</v>
      </c>
      <c r="F25" s="32" t="s">
        <v>75</v>
      </c>
      <c r="G25" s="32">
        <v>3336410.0</v>
      </c>
      <c r="H25" s="32" t="s">
        <v>119</v>
      </c>
      <c r="I25" s="32">
        <v>3573079.0</v>
      </c>
      <c r="J25" s="32" t="s">
        <v>120</v>
      </c>
    </row>
    <row r="26">
      <c r="A26" s="26">
        <v>430282.0</v>
      </c>
      <c r="B26" s="27">
        <v>44651.0</v>
      </c>
      <c r="C26" s="28" t="s">
        <v>37</v>
      </c>
      <c r="D26" s="29" t="s">
        <v>121</v>
      </c>
      <c r="E26" s="32" t="s">
        <v>122</v>
      </c>
      <c r="F26" s="32" t="s">
        <v>123</v>
      </c>
      <c r="G26" s="32">
        <v>430234.0</v>
      </c>
      <c r="H26" s="32" t="s">
        <v>124</v>
      </c>
      <c r="I26" s="32">
        <v>435902.0</v>
      </c>
      <c r="J26" s="32" t="s">
        <v>125</v>
      </c>
    </row>
    <row r="27">
      <c r="A27" s="26">
        <v>526570.0</v>
      </c>
      <c r="B27" s="27">
        <v>44651.0</v>
      </c>
      <c r="C27" s="28" t="s">
        <v>37</v>
      </c>
      <c r="D27" s="29" t="s">
        <v>126</v>
      </c>
      <c r="E27" s="32" t="s">
        <v>122</v>
      </c>
      <c r="F27" s="32" t="s">
        <v>127</v>
      </c>
      <c r="G27" s="32">
        <v>1255050.0</v>
      </c>
      <c r="H27" s="32" t="s">
        <v>128</v>
      </c>
      <c r="I27" s="32">
        <v>3349106.0</v>
      </c>
      <c r="J27" s="32" t="s">
        <v>129</v>
      </c>
    </row>
    <row r="28">
      <c r="A28" s="26">
        <v>714188.0</v>
      </c>
      <c r="B28" s="27">
        <v>44651.0</v>
      </c>
      <c r="C28" s="28" t="s">
        <v>37</v>
      </c>
      <c r="D28" s="29" t="s">
        <v>130</v>
      </c>
      <c r="E28" s="32" t="s">
        <v>96</v>
      </c>
      <c r="F28" s="32" t="s">
        <v>131</v>
      </c>
      <c r="G28" s="32">
        <v>1934778.0</v>
      </c>
      <c r="H28" s="32" t="s">
        <v>132</v>
      </c>
      <c r="I28" s="32"/>
      <c r="J28" s="32" t="s">
        <v>47</v>
      </c>
    </row>
    <row r="29">
      <c r="A29" s="26">
        <v>864758.0</v>
      </c>
      <c r="B29" s="27">
        <v>44651.0</v>
      </c>
      <c r="C29" s="28" t="s">
        <v>37</v>
      </c>
      <c r="D29" s="29" t="s">
        <v>133</v>
      </c>
      <c r="E29" s="32" t="s">
        <v>105</v>
      </c>
      <c r="F29" s="32" t="s">
        <v>106</v>
      </c>
      <c r="G29" s="32">
        <v>381850.0</v>
      </c>
      <c r="H29" s="32" t="s">
        <v>134</v>
      </c>
      <c r="I29" s="32">
        <v>371074.0</v>
      </c>
      <c r="J29" s="32" t="s">
        <v>135</v>
      </c>
    </row>
    <row r="30">
      <c r="A30" s="34">
        <v>1316658.0</v>
      </c>
      <c r="B30" s="27">
        <v>44651.0</v>
      </c>
      <c r="C30" s="35" t="s">
        <v>70</v>
      </c>
      <c r="D30" s="29" t="s">
        <v>136</v>
      </c>
      <c r="E30" s="32" t="s">
        <v>83</v>
      </c>
      <c r="F30" s="32" t="s">
        <v>94</v>
      </c>
      <c r="G30" s="32">
        <v>1362058.0</v>
      </c>
      <c r="H30" s="32" t="s">
        <v>137</v>
      </c>
      <c r="I30" s="32">
        <v>1485712.0</v>
      </c>
      <c r="J30" s="32" t="s">
        <v>138</v>
      </c>
    </row>
    <row r="31">
      <c r="A31" s="36">
        <v>1351182.0</v>
      </c>
      <c r="B31" s="27">
        <v>44651.0</v>
      </c>
      <c r="C31" s="35" t="s">
        <v>70</v>
      </c>
      <c r="D31" s="29" t="s">
        <v>139</v>
      </c>
      <c r="E31" s="32" t="s">
        <v>39</v>
      </c>
      <c r="F31" s="32" t="s">
        <v>140</v>
      </c>
      <c r="G31" s="32">
        <v>781696.0</v>
      </c>
      <c r="H31" s="32" t="s">
        <v>141</v>
      </c>
      <c r="I31" s="32"/>
      <c r="J31" s="32" t="s">
        <v>47</v>
      </c>
    </row>
    <row r="32">
      <c r="A32" s="36">
        <v>1355300.0</v>
      </c>
      <c r="B32" s="27">
        <v>44651.0</v>
      </c>
      <c r="C32" s="35" t="s">
        <v>142</v>
      </c>
      <c r="D32" s="29" t="s">
        <v>143</v>
      </c>
      <c r="E32" s="32" t="s">
        <v>144</v>
      </c>
      <c r="F32" s="32" t="s">
        <v>145</v>
      </c>
      <c r="G32" s="32"/>
      <c r="H32" s="32" t="s">
        <v>47</v>
      </c>
      <c r="I32" s="32"/>
      <c r="J32" s="32" t="s">
        <v>47</v>
      </c>
    </row>
    <row r="33">
      <c r="A33" s="36">
        <v>1573650.0</v>
      </c>
      <c r="B33" s="27">
        <v>44651.0</v>
      </c>
      <c r="C33" s="35" t="s">
        <v>142</v>
      </c>
      <c r="D33" s="29" t="s">
        <v>146</v>
      </c>
      <c r="E33" s="32" t="s">
        <v>83</v>
      </c>
      <c r="F33" s="32" t="s">
        <v>147</v>
      </c>
      <c r="G33" s="32">
        <v>2753438.0</v>
      </c>
      <c r="H33" s="32" t="s">
        <v>148</v>
      </c>
      <c r="I33" s="32"/>
      <c r="J33" s="32" t="s">
        <v>47</v>
      </c>
    </row>
    <row r="34">
      <c r="A34" s="36">
        <v>1581856.0</v>
      </c>
      <c r="B34" s="27">
        <v>44651.0</v>
      </c>
      <c r="C34" s="35" t="s">
        <v>142</v>
      </c>
      <c r="D34" s="29" t="s">
        <v>149</v>
      </c>
      <c r="E34" s="32" t="s">
        <v>79</v>
      </c>
      <c r="F34" s="32" t="s">
        <v>150</v>
      </c>
      <c r="G34" s="32">
        <v>2878920.0</v>
      </c>
      <c r="H34" s="32" t="s">
        <v>151</v>
      </c>
      <c r="I34" s="32"/>
      <c r="J34" s="32" t="s">
        <v>47</v>
      </c>
    </row>
    <row r="35">
      <c r="A35" s="36">
        <v>1592594.0</v>
      </c>
      <c r="B35" s="27">
        <v>44651.0</v>
      </c>
      <c r="C35" s="35" t="s">
        <v>142</v>
      </c>
      <c r="D35" s="29" t="s">
        <v>152</v>
      </c>
      <c r="E35" s="32" t="s">
        <v>83</v>
      </c>
      <c r="F35" s="32" t="s">
        <v>153</v>
      </c>
      <c r="G35" s="32">
        <v>1622104.0</v>
      </c>
      <c r="H35" s="32" t="s">
        <v>154</v>
      </c>
      <c r="I35" s="32">
        <v>2591016.0</v>
      </c>
      <c r="J35" s="32" t="s">
        <v>155</v>
      </c>
    </row>
    <row r="36">
      <c r="A36" s="36">
        <v>1607512.0</v>
      </c>
      <c r="B36" s="27">
        <v>44651.0</v>
      </c>
      <c r="C36" s="35" t="s">
        <v>142</v>
      </c>
      <c r="D36" s="29" t="s">
        <v>156</v>
      </c>
      <c r="E36" s="32" t="s">
        <v>63</v>
      </c>
      <c r="F36" s="32" t="s">
        <v>64</v>
      </c>
      <c r="G36" s="32"/>
      <c r="H36" s="32" t="s">
        <v>47</v>
      </c>
      <c r="I36" s="32"/>
      <c r="J36" s="32" t="s">
        <v>47</v>
      </c>
    </row>
    <row r="37">
      <c r="A37" s="37">
        <v>1783040.0</v>
      </c>
      <c r="B37" s="27">
        <v>44651.0</v>
      </c>
      <c r="C37" s="35" t="s">
        <v>37</v>
      </c>
      <c r="D37" s="29" t="s">
        <v>157</v>
      </c>
      <c r="E37" s="32" t="s">
        <v>45</v>
      </c>
      <c r="F37" s="32" t="s">
        <v>75</v>
      </c>
      <c r="G37" s="32"/>
      <c r="H37" s="32" t="s">
        <v>47</v>
      </c>
      <c r="I37" s="32"/>
      <c r="J37" s="32" t="s">
        <v>47</v>
      </c>
    </row>
    <row r="38">
      <c r="A38" s="36">
        <v>1854702.0</v>
      </c>
      <c r="B38" s="27">
        <v>44651.0</v>
      </c>
      <c r="C38" s="35" t="s">
        <v>142</v>
      </c>
      <c r="D38" s="29" t="s">
        <v>158</v>
      </c>
      <c r="E38" s="32" t="s">
        <v>122</v>
      </c>
      <c r="F38" s="32" t="s">
        <v>123</v>
      </c>
      <c r="G38" s="32"/>
      <c r="H38" s="32" t="s">
        <v>47</v>
      </c>
      <c r="I38" s="32"/>
      <c r="J38" s="32" t="s">
        <v>47</v>
      </c>
    </row>
    <row r="39">
      <c r="A39" s="36">
        <v>2131092.0</v>
      </c>
      <c r="B39" s="27">
        <v>44651.0</v>
      </c>
      <c r="C39" s="35" t="s">
        <v>37</v>
      </c>
      <c r="D39" s="29" t="s">
        <v>159</v>
      </c>
      <c r="E39" s="32" t="s">
        <v>39</v>
      </c>
      <c r="F39" s="32" t="s">
        <v>54</v>
      </c>
      <c r="G39" s="32"/>
      <c r="H39" s="32" t="s">
        <v>47</v>
      </c>
      <c r="I39" s="32"/>
      <c r="J39" s="32" t="s">
        <v>47</v>
      </c>
    </row>
    <row r="40">
      <c r="A40" s="36">
        <v>2210888.0</v>
      </c>
      <c r="B40" s="27">
        <v>44651.0</v>
      </c>
      <c r="C40" s="35" t="s">
        <v>142</v>
      </c>
      <c r="D40" s="29" t="s">
        <v>160</v>
      </c>
      <c r="E40" s="32" t="s">
        <v>58</v>
      </c>
      <c r="F40" s="32" t="s">
        <v>161</v>
      </c>
      <c r="G40" s="32">
        <v>1745938.0</v>
      </c>
      <c r="H40" s="32" t="s">
        <v>162</v>
      </c>
      <c r="I40" s="32"/>
      <c r="J40" s="32" t="s">
        <v>47</v>
      </c>
    </row>
    <row r="41">
      <c r="A41" s="36">
        <v>2360418.0</v>
      </c>
      <c r="B41" s="27">
        <v>44651.0</v>
      </c>
      <c r="C41" s="35" t="s">
        <v>70</v>
      </c>
      <c r="D41" s="29" t="s">
        <v>163</v>
      </c>
      <c r="E41" s="32" t="s">
        <v>122</v>
      </c>
      <c r="F41" s="32" t="s">
        <v>127</v>
      </c>
      <c r="G41" s="32">
        <v>2148064.0</v>
      </c>
      <c r="H41" s="32" t="s">
        <v>164</v>
      </c>
      <c r="I41" s="32">
        <v>3541506.0</v>
      </c>
      <c r="J41" s="32" t="s">
        <v>165</v>
      </c>
    </row>
    <row r="42">
      <c r="A42" s="36">
        <v>2633560.0</v>
      </c>
      <c r="B42" s="27">
        <v>44651.0</v>
      </c>
      <c r="C42" s="35" t="s">
        <v>70</v>
      </c>
      <c r="D42" s="29" t="s">
        <v>166</v>
      </c>
      <c r="E42" s="32" t="s">
        <v>58</v>
      </c>
      <c r="F42" s="32" t="s">
        <v>167</v>
      </c>
      <c r="G42" s="32"/>
      <c r="H42" s="32" t="s">
        <v>47</v>
      </c>
      <c r="I42" s="32"/>
      <c r="J42" s="32" t="s">
        <v>47</v>
      </c>
    </row>
    <row r="43">
      <c r="A43" s="36">
        <v>2658062.0</v>
      </c>
      <c r="B43" s="27">
        <v>44651.0</v>
      </c>
      <c r="C43" s="35" t="s">
        <v>37</v>
      </c>
      <c r="D43" s="29" t="s">
        <v>168</v>
      </c>
      <c r="E43" s="32" t="s">
        <v>58</v>
      </c>
      <c r="F43" s="32" t="s">
        <v>169</v>
      </c>
      <c r="G43" s="32"/>
      <c r="H43" s="32" t="s">
        <v>47</v>
      </c>
      <c r="I43" s="32"/>
      <c r="J43" s="32" t="s">
        <v>47</v>
      </c>
    </row>
    <row r="44">
      <c r="A44" s="36">
        <v>3104846.0</v>
      </c>
      <c r="B44" s="27">
        <v>44651.0</v>
      </c>
      <c r="C44" s="35" t="s">
        <v>170</v>
      </c>
      <c r="D44" s="29" t="s">
        <v>171</v>
      </c>
      <c r="E44" s="32" t="s">
        <v>45</v>
      </c>
      <c r="F44" s="32" t="s">
        <v>172</v>
      </c>
      <c r="G44" s="32">
        <v>2037912.0</v>
      </c>
      <c r="H44" s="32" t="s">
        <v>173</v>
      </c>
      <c r="I44" s="32"/>
      <c r="J44" s="32" t="s">
        <v>47</v>
      </c>
    </row>
    <row r="45">
      <c r="A45" s="36">
        <v>3326742.0</v>
      </c>
      <c r="B45" s="27">
        <v>44651.0</v>
      </c>
      <c r="C45" s="35" t="s">
        <v>37</v>
      </c>
      <c r="D45" s="29" t="s">
        <v>174</v>
      </c>
      <c r="E45" s="32" t="s">
        <v>122</v>
      </c>
      <c r="F45" s="32" t="s">
        <v>127</v>
      </c>
      <c r="G45" s="32"/>
      <c r="H45" s="32" t="s">
        <v>47</v>
      </c>
      <c r="I45" s="32"/>
      <c r="J45" s="32" t="s">
        <v>47</v>
      </c>
    </row>
    <row r="46">
      <c r="A46" s="36">
        <v>3401208.0</v>
      </c>
      <c r="B46" s="27">
        <v>44651.0</v>
      </c>
      <c r="C46" s="35" t="s">
        <v>37</v>
      </c>
      <c r="D46" s="29" t="s">
        <v>175</v>
      </c>
      <c r="E46" s="32" t="s">
        <v>45</v>
      </c>
      <c r="F46" s="32" t="s">
        <v>90</v>
      </c>
      <c r="G46" s="32">
        <v>751094.0</v>
      </c>
      <c r="H46" s="32" t="s">
        <v>176</v>
      </c>
      <c r="I46" s="32">
        <v>580876.0</v>
      </c>
      <c r="J46" s="32" t="s">
        <v>177</v>
      </c>
    </row>
    <row r="47">
      <c r="A47" s="36">
        <v>4110754.0</v>
      </c>
      <c r="B47" s="27">
        <v>44651.0</v>
      </c>
      <c r="C47" s="35" t="s">
        <v>37</v>
      </c>
      <c r="D47" s="29" t="s">
        <v>178</v>
      </c>
      <c r="E47" s="32" t="s">
        <v>45</v>
      </c>
      <c r="F47" s="32" t="s">
        <v>75</v>
      </c>
      <c r="G47" s="32">
        <v>1473322.0</v>
      </c>
      <c r="H47" s="32" t="s">
        <v>179</v>
      </c>
      <c r="I47" s="32">
        <v>2427428.0</v>
      </c>
      <c r="J47" s="32" t="s">
        <v>180</v>
      </c>
    </row>
    <row r="48">
      <c r="A48" s="38">
        <v>2566564.0</v>
      </c>
      <c r="B48" s="27">
        <v>44651.0</v>
      </c>
      <c r="C48" s="35" t="s">
        <v>37</v>
      </c>
      <c r="D48" s="29" t="s">
        <v>181</v>
      </c>
      <c r="E48" s="32" t="s">
        <v>39</v>
      </c>
      <c r="F48" s="32" t="s">
        <v>140</v>
      </c>
      <c r="G48" s="32">
        <v>3430412.0</v>
      </c>
      <c r="H48" s="32" t="s">
        <v>182</v>
      </c>
      <c r="I48" s="32"/>
      <c r="J48" s="32" t="s">
        <v>47</v>
      </c>
    </row>
    <row r="49">
      <c r="A49" s="38">
        <v>1927536.0</v>
      </c>
      <c r="B49" s="27">
        <v>44651.0</v>
      </c>
      <c r="C49" s="35" t="s">
        <v>37</v>
      </c>
      <c r="D49" s="29" t="s">
        <v>183</v>
      </c>
      <c r="E49" s="32" t="s">
        <v>79</v>
      </c>
      <c r="F49" s="32" t="s">
        <v>184</v>
      </c>
      <c r="G49" s="32">
        <v>4052730.0</v>
      </c>
      <c r="H49" s="32" t="s">
        <v>185</v>
      </c>
      <c r="I49" s="32">
        <v>244692.0</v>
      </c>
      <c r="J49" s="32" t="s">
        <v>186</v>
      </c>
    </row>
    <row r="50">
      <c r="A50" s="26">
        <v>564216.0</v>
      </c>
      <c r="B50" s="27">
        <v>44651.0</v>
      </c>
      <c r="C50" s="28" t="s">
        <v>187</v>
      </c>
      <c r="D50" s="29" t="s">
        <v>188</v>
      </c>
      <c r="E50" s="32" t="s">
        <v>189</v>
      </c>
      <c r="F50" s="32" t="s">
        <v>190</v>
      </c>
      <c r="G50" s="32"/>
      <c r="H50" s="32" t="s">
        <v>47</v>
      </c>
      <c r="I50" s="32"/>
      <c r="J50" s="32" t="s">
        <v>47</v>
      </c>
    </row>
    <row r="51">
      <c r="A51" s="26">
        <v>2702356.0</v>
      </c>
      <c r="B51" s="27">
        <v>44651.0</v>
      </c>
      <c r="C51" s="28" t="s">
        <v>187</v>
      </c>
      <c r="D51" s="29" t="s">
        <v>191</v>
      </c>
      <c r="E51" s="32" t="s">
        <v>39</v>
      </c>
      <c r="F51" s="32" t="s">
        <v>140</v>
      </c>
      <c r="G51" s="32">
        <v>2329814.0</v>
      </c>
      <c r="H51" s="32" t="s">
        <v>192</v>
      </c>
      <c r="I51" s="32"/>
      <c r="J51" s="32" t="s">
        <v>47</v>
      </c>
    </row>
    <row r="52">
      <c r="A52" s="26">
        <v>3572357.0</v>
      </c>
      <c r="B52" s="27">
        <v>44651.0</v>
      </c>
      <c r="C52" s="28" t="s">
        <v>187</v>
      </c>
      <c r="D52" s="29" t="s">
        <v>193</v>
      </c>
      <c r="E52" s="32" t="s">
        <v>122</v>
      </c>
      <c r="F52" s="32" t="s">
        <v>127</v>
      </c>
      <c r="G52" s="32"/>
      <c r="H52" s="32" t="s">
        <v>47</v>
      </c>
      <c r="I52" s="32"/>
      <c r="J52" s="32" t="s">
        <v>47</v>
      </c>
    </row>
    <row r="53">
      <c r="A53" s="39">
        <v>1693328.0</v>
      </c>
      <c r="B53" s="40">
        <v>44651.0</v>
      </c>
      <c r="C53" s="41" t="s">
        <v>37</v>
      </c>
      <c r="D53" s="29" t="s">
        <v>194</v>
      </c>
      <c r="E53" s="32" t="s">
        <v>58</v>
      </c>
      <c r="F53" s="32" t="s">
        <v>59</v>
      </c>
      <c r="G53" s="32"/>
      <c r="H53" s="32" t="s">
        <v>47</v>
      </c>
      <c r="I53" s="32"/>
      <c r="J53" s="32" t="s">
        <v>47</v>
      </c>
    </row>
    <row r="54">
      <c r="A54" s="39">
        <v>1298438.0</v>
      </c>
      <c r="B54" s="40">
        <v>44651.0</v>
      </c>
      <c r="C54" s="41" t="s">
        <v>37</v>
      </c>
      <c r="D54" s="29" t="s">
        <v>195</v>
      </c>
      <c r="E54" s="32" t="s">
        <v>58</v>
      </c>
      <c r="F54" s="32" t="s">
        <v>161</v>
      </c>
      <c r="G54" s="32">
        <v>1458304.0</v>
      </c>
      <c r="H54" s="32" t="s">
        <v>196</v>
      </c>
      <c r="I54" s="32"/>
      <c r="J54" s="32" t="s">
        <v>47</v>
      </c>
    </row>
    <row r="55">
      <c r="A55" s="39">
        <v>2551711.0</v>
      </c>
      <c r="B55" s="40">
        <v>44651.0</v>
      </c>
      <c r="C55" s="41" t="s">
        <v>37</v>
      </c>
      <c r="D55" s="29" t="s">
        <v>197</v>
      </c>
      <c r="E55" s="32" t="s">
        <v>105</v>
      </c>
      <c r="F55" s="32" t="s">
        <v>198</v>
      </c>
      <c r="G55" s="32">
        <v>1259404.0</v>
      </c>
      <c r="H55" s="32" t="s">
        <v>199</v>
      </c>
      <c r="I55" s="32"/>
      <c r="J55" s="32" t="s">
        <v>47</v>
      </c>
    </row>
    <row r="56">
      <c r="A56" s="42">
        <v>2768824.0</v>
      </c>
      <c r="B56" s="27">
        <v>45016.0</v>
      </c>
      <c r="C56" s="43" t="s">
        <v>170</v>
      </c>
      <c r="D56" s="29" t="s">
        <v>200</v>
      </c>
      <c r="E56" s="32" t="s">
        <v>101</v>
      </c>
      <c r="F56" s="32" t="s">
        <v>102</v>
      </c>
      <c r="G56" s="32"/>
      <c r="H56" s="32" t="s">
        <v>47</v>
      </c>
      <c r="I56" s="32"/>
      <c r="J56" s="32" t="s">
        <v>47</v>
      </c>
    </row>
    <row r="57">
      <c r="A57" s="39">
        <v>3471832.0</v>
      </c>
      <c r="B57" s="40">
        <v>44771.0</v>
      </c>
      <c r="C57" s="41" t="s">
        <v>187</v>
      </c>
      <c r="D57" s="29" t="s">
        <v>201</v>
      </c>
      <c r="E57" s="32" t="s">
        <v>45</v>
      </c>
      <c r="F57" s="32" t="s">
        <v>90</v>
      </c>
      <c r="G57" s="32"/>
      <c r="H57" s="32" t="s">
        <v>47</v>
      </c>
      <c r="I57" s="32"/>
      <c r="J57" s="32" t="s">
        <v>47</v>
      </c>
    </row>
    <row r="58">
      <c r="A58" s="39">
        <v>3880570.0</v>
      </c>
      <c r="B58" s="40">
        <v>44771.0</v>
      </c>
      <c r="C58" s="41" t="s">
        <v>187</v>
      </c>
      <c r="D58" s="29" t="s">
        <v>202</v>
      </c>
      <c r="E58" s="32" t="s">
        <v>101</v>
      </c>
      <c r="F58" s="32" t="s">
        <v>203</v>
      </c>
      <c r="G58" s="32">
        <v>3747522.0</v>
      </c>
      <c r="H58" s="32" t="s">
        <v>204</v>
      </c>
      <c r="I58" s="32"/>
      <c r="J58" s="32" t="s">
        <v>47</v>
      </c>
    </row>
    <row r="59">
      <c r="A59" s="42">
        <v>3277156.0</v>
      </c>
      <c r="B59" s="27">
        <v>45169.0</v>
      </c>
      <c r="C59" s="43" t="s">
        <v>170</v>
      </c>
      <c r="D59" s="29" t="s">
        <v>205</v>
      </c>
      <c r="E59" s="32" t="s">
        <v>101</v>
      </c>
      <c r="F59" s="32" t="s">
        <v>102</v>
      </c>
      <c r="G59" s="32"/>
      <c r="H59" s="32" t="s">
        <v>47</v>
      </c>
      <c r="I59" s="32"/>
      <c r="J59" s="32" t="s">
        <v>47</v>
      </c>
    </row>
    <row r="60">
      <c r="A60" s="26">
        <v>2478258.0</v>
      </c>
      <c r="B60" s="40">
        <v>44648.0</v>
      </c>
      <c r="C60" s="43" t="s">
        <v>206</v>
      </c>
      <c r="D60" s="29" t="s">
        <v>207</v>
      </c>
      <c r="E60" s="32" t="s">
        <v>39</v>
      </c>
      <c r="F60" s="32" t="s">
        <v>140</v>
      </c>
      <c r="G60" s="32"/>
      <c r="H60" s="32" t="s">
        <v>47</v>
      </c>
      <c r="I60" s="32"/>
      <c r="J60" s="32" t="s">
        <v>47</v>
      </c>
    </row>
    <row r="61">
      <c r="A61" s="26">
        <v>2478354.0</v>
      </c>
      <c r="B61" s="40">
        <v>44648.0</v>
      </c>
      <c r="C61" s="43" t="s">
        <v>206</v>
      </c>
      <c r="D61" s="29" t="s">
        <v>208</v>
      </c>
      <c r="E61" s="32" t="s">
        <v>39</v>
      </c>
      <c r="F61" s="32" t="s">
        <v>140</v>
      </c>
      <c r="G61" s="32">
        <v>4016598.0</v>
      </c>
      <c r="H61" s="32" t="s">
        <v>47</v>
      </c>
      <c r="I61" s="32"/>
      <c r="J61" s="32" t="s">
        <v>47</v>
      </c>
    </row>
    <row r="62">
      <c r="A62" s="26">
        <v>233830.0</v>
      </c>
      <c r="B62" s="40">
        <v>44648.0</v>
      </c>
      <c r="C62" s="43" t="s">
        <v>70</v>
      </c>
      <c r="D62" s="29" t="s">
        <v>209</v>
      </c>
      <c r="E62" s="32" t="s">
        <v>83</v>
      </c>
      <c r="F62" s="32" t="s">
        <v>147</v>
      </c>
      <c r="G62" s="32"/>
      <c r="H62" s="32" t="s">
        <v>47</v>
      </c>
      <c r="I62" s="32"/>
      <c r="J62" s="32" t="s">
        <v>47</v>
      </c>
    </row>
    <row r="63">
      <c r="A63" s="44">
        <v>2804061.0</v>
      </c>
      <c r="B63" s="40">
        <v>44648.0</v>
      </c>
      <c r="C63" s="43" t="s">
        <v>37</v>
      </c>
      <c r="D63" s="29" t="s">
        <v>210</v>
      </c>
      <c r="E63" s="32" t="s">
        <v>45</v>
      </c>
      <c r="F63" s="32" t="s">
        <v>75</v>
      </c>
      <c r="G63" s="32"/>
      <c r="H63" s="32" t="s">
        <v>47</v>
      </c>
      <c r="I63" s="32"/>
      <c r="J63" s="32" t="s">
        <v>47</v>
      </c>
    </row>
    <row r="64">
      <c r="A64" s="45">
        <v>2343592.0</v>
      </c>
      <c r="B64" s="46">
        <v>44651.0</v>
      </c>
      <c r="C64" s="43" t="s">
        <v>187</v>
      </c>
      <c r="D64" s="29" t="s">
        <v>211</v>
      </c>
      <c r="E64" s="32" t="s">
        <v>105</v>
      </c>
      <c r="F64" s="32" t="s">
        <v>212</v>
      </c>
      <c r="G64" s="32"/>
      <c r="H64" s="32" t="s">
        <v>47</v>
      </c>
      <c r="I64" s="32"/>
      <c r="J64" s="32" t="s">
        <v>47</v>
      </c>
    </row>
    <row r="65">
      <c r="A65" s="26">
        <v>2196754.0</v>
      </c>
      <c r="B65" s="40">
        <v>44648.0</v>
      </c>
      <c r="C65" s="43" t="s">
        <v>43</v>
      </c>
      <c r="D65" s="29" t="s">
        <v>213</v>
      </c>
      <c r="E65" s="32" t="s">
        <v>39</v>
      </c>
      <c r="F65" s="32" t="s">
        <v>214</v>
      </c>
      <c r="G65" s="32"/>
      <c r="H65" s="32" t="s">
        <v>47</v>
      </c>
      <c r="I65" s="32"/>
      <c r="J65" s="32" t="s">
        <v>47</v>
      </c>
    </row>
    <row r="66">
      <c r="A66" s="26">
        <v>2794542.0</v>
      </c>
      <c r="B66" s="46">
        <v>44651.0</v>
      </c>
      <c r="C66" s="43" t="s">
        <v>215</v>
      </c>
      <c r="D66" s="29" t="s">
        <v>216</v>
      </c>
      <c r="E66" s="32" t="s">
        <v>45</v>
      </c>
      <c r="F66" s="32" t="s">
        <v>90</v>
      </c>
      <c r="G66" s="32">
        <v>3037338.0</v>
      </c>
      <c r="H66" s="32" t="s">
        <v>217</v>
      </c>
      <c r="I66" s="32"/>
      <c r="J66" s="32" t="s">
        <v>47</v>
      </c>
    </row>
    <row r="67">
      <c r="A67" s="26">
        <v>2124212.0</v>
      </c>
      <c r="B67" s="40">
        <v>44651.0</v>
      </c>
      <c r="C67" s="43" t="s">
        <v>43</v>
      </c>
      <c r="D67" s="29" t="s">
        <v>218</v>
      </c>
      <c r="E67" s="32" t="s">
        <v>219</v>
      </c>
      <c r="F67" s="32" t="s">
        <v>220</v>
      </c>
      <c r="G67" s="32"/>
      <c r="H67" s="32" t="s">
        <v>47</v>
      </c>
      <c r="I67" s="32"/>
      <c r="J67" s="32" t="s">
        <v>47</v>
      </c>
    </row>
    <row r="68">
      <c r="A68" s="26">
        <v>2546901.0</v>
      </c>
      <c r="B68" s="40">
        <v>44651.0</v>
      </c>
      <c r="C68" s="43" t="s">
        <v>215</v>
      </c>
      <c r="D68" s="29" t="s">
        <v>221</v>
      </c>
      <c r="E68" s="32" t="s">
        <v>189</v>
      </c>
      <c r="F68" s="32" t="s">
        <v>222</v>
      </c>
      <c r="G68" s="32">
        <v>1099896.0</v>
      </c>
      <c r="H68" s="32" t="s">
        <v>223</v>
      </c>
      <c r="I68" s="32"/>
      <c r="J68" s="32" t="s">
        <v>47</v>
      </c>
    </row>
    <row r="69">
      <c r="A69" s="26">
        <v>3725760.0</v>
      </c>
      <c r="B69" s="40">
        <v>44651.0</v>
      </c>
      <c r="C69" s="43" t="s">
        <v>70</v>
      </c>
      <c r="D69" s="29" t="s">
        <v>224</v>
      </c>
      <c r="E69" s="32" t="s">
        <v>45</v>
      </c>
      <c r="F69" s="32" t="s">
        <v>90</v>
      </c>
      <c r="G69" s="32">
        <v>1266732.0</v>
      </c>
      <c r="H69" s="32" t="s">
        <v>225</v>
      </c>
      <c r="I69" s="32"/>
      <c r="J69" s="32" t="s">
        <v>47</v>
      </c>
    </row>
    <row r="70">
      <c r="A70" s="47">
        <v>3637674.0</v>
      </c>
      <c r="B70" s="40">
        <v>44651.0</v>
      </c>
      <c r="C70" s="43" t="s">
        <v>70</v>
      </c>
      <c r="D70" s="29" t="s">
        <v>226</v>
      </c>
      <c r="E70" s="32" t="s">
        <v>45</v>
      </c>
      <c r="F70" s="32" t="s">
        <v>90</v>
      </c>
      <c r="G70" s="32">
        <v>1816278.0</v>
      </c>
      <c r="H70" s="32" t="s">
        <v>227</v>
      </c>
      <c r="I70" s="32"/>
      <c r="J70" s="32" t="s">
        <v>47</v>
      </c>
    </row>
    <row r="71">
      <c r="A71" s="26">
        <v>2979424.0</v>
      </c>
      <c r="B71" s="40">
        <v>44651.0</v>
      </c>
      <c r="C71" s="43" t="s">
        <v>170</v>
      </c>
      <c r="D71" s="29" t="s">
        <v>228</v>
      </c>
      <c r="E71" s="32" t="s">
        <v>79</v>
      </c>
      <c r="F71" s="32" t="s">
        <v>150</v>
      </c>
      <c r="G71" s="32">
        <v>3819578.0</v>
      </c>
      <c r="H71" s="32" t="s">
        <v>229</v>
      </c>
      <c r="I71" s="32"/>
      <c r="J71" s="32" t="s">
        <v>47</v>
      </c>
    </row>
    <row r="72">
      <c r="A72" s="26">
        <v>3259330.0</v>
      </c>
      <c r="B72" s="40">
        <v>44651.0</v>
      </c>
      <c r="C72" s="43" t="s">
        <v>215</v>
      </c>
      <c r="D72" s="29" t="s">
        <v>230</v>
      </c>
      <c r="E72" s="32" t="s">
        <v>58</v>
      </c>
      <c r="F72" s="32" t="s">
        <v>86</v>
      </c>
      <c r="G72" s="32"/>
      <c r="H72" s="32"/>
      <c r="I72" s="32"/>
      <c r="J72" s="32" t="s">
        <v>47</v>
      </c>
    </row>
    <row r="73">
      <c r="A73" s="26">
        <v>2679292.0</v>
      </c>
      <c r="B73" s="40">
        <v>44651.0</v>
      </c>
      <c r="C73" s="43" t="s">
        <v>215</v>
      </c>
      <c r="D73" s="29" t="s">
        <v>231</v>
      </c>
      <c r="E73" s="32" t="s">
        <v>58</v>
      </c>
      <c r="F73" s="32" t="s">
        <v>86</v>
      </c>
      <c r="G73" s="32"/>
      <c r="H73" s="32"/>
      <c r="I73" s="32"/>
      <c r="J73" s="32" t="s">
        <v>47</v>
      </c>
    </row>
    <row r="74">
      <c r="A74" s="33">
        <v>2870638.0</v>
      </c>
      <c r="B74" s="40">
        <v>44651.0</v>
      </c>
      <c r="C74" s="43" t="s">
        <v>37</v>
      </c>
      <c r="D74" s="29" t="s">
        <v>232</v>
      </c>
      <c r="E74" s="32" t="s">
        <v>45</v>
      </c>
      <c r="F74" s="32" t="s">
        <v>75</v>
      </c>
      <c r="G74" s="32"/>
      <c r="H74" s="32"/>
      <c r="I74" s="32"/>
      <c r="J74" s="32" t="s">
        <v>47</v>
      </c>
    </row>
    <row r="75">
      <c r="A75" s="45">
        <v>3877216.0</v>
      </c>
      <c r="B75" s="48">
        <v>44681.0</v>
      </c>
      <c r="C75" s="43" t="s">
        <v>70</v>
      </c>
      <c r="D75" s="29" t="s">
        <v>233</v>
      </c>
      <c r="E75" s="32" t="s">
        <v>58</v>
      </c>
      <c r="F75" s="32" t="s">
        <v>234</v>
      </c>
      <c r="G75" s="32"/>
      <c r="H75" s="32"/>
      <c r="I75" s="32"/>
      <c r="J75" s="32" t="s">
        <v>47</v>
      </c>
    </row>
    <row r="76">
      <c r="A76" s="26">
        <v>883398.0</v>
      </c>
      <c r="B76" s="48">
        <v>44681.0</v>
      </c>
      <c r="C76" s="43" t="s">
        <v>70</v>
      </c>
      <c r="D76" s="29" t="s">
        <v>235</v>
      </c>
      <c r="E76" s="32" t="s">
        <v>39</v>
      </c>
      <c r="F76" s="32" t="s">
        <v>140</v>
      </c>
      <c r="G76" s="32"/>
      <c r="H76" s="32"/>
      <c r="I76" s="32"/>
      <c r="J76" s="32"/>
    </row>
    <row r="77">
      <c r="A77" s="33">
        <v>3128814.0</v>
      </c>
      <c r="B77" s="48">
        <v>44681.0</v>
      </c>
      <c r="C77" s="43" t="s">
        <v>70</v>
      </c>
      <c r="D77" s="29" t="s">
        <v>236</v>
      </c>
      <c r="E77" s="32" t="s">
        <v>83</v>
      </c>
      <c r="F77" s="32" t="s">
        <v>147</v>
      </c>
      <c r="G77" s="32">
        <v>2217998.0</v>
      </c>
      <c r="H77" s="32" t="s">
        <v>237</v>
      </c>
      <c r="I77" s="32"/>
      <c r="J77" s="32"/>
    </row>
    <row r="78">
      <c r="A78" s="26">
        <v>324226.0</v>
      </c>
      <c r="B78" s="40">
        <v>44651.0</v>
      </c>
      <c r="C78" s="43" t="s">
        <v>37</v>
      </c>
      <c r="D78" s="29" t="s">
        <v>238</v>
      </c>
      <c r="E78" s="32" t="s">
        <v>58</v>
      </c>
      <c r="F78" s="32" t="s">
        <v>161</v>
      </c>
      <c r="G78" s="32">
        <v>324224.0</v>
      </c>
      <c r="H78" s="32" t="s">
        <v>239</v>
      </c>
      <c r="I78" s="32"/>
      <c r="J78" s="32"/>
    </row>
    <row r="79">
      <c r="A79" s="49">
        <v>3543620.0</v>
      </c>
      <c r="B79" s="48">
        <v>44681.0</v>
      </c>
      <c r="C79" s="43" t="s">
        <v>187</v>
      </c>
      <c r="D79" s="29" t="s">
        <v>240</v>
      </c>
      <c r="E79" s="32" t="s">
        <v>39</v>
      </c>
      <c r="F79" s="32" t="s">
        <v>241</v>
      </c>
      <c r="G79" s="32"/>
      <c r="H79" s="32" t="s">
        <v>47</v>
      </c>
      <c r="I79" s="32"/>
      <c r="J79" s="32"/>
    </row>
    <row r="80">
      <c r="A80" s="50">
        <v>3626008.0</v>
      </c>
      <c r="B80" s="48">
        <v>44681.0</v>
      </c>
      <c r="C80" s="43" t="s">
        <v>187</v>
      </c>
      <c r="D80" s="29" t="s">
        <v>242</v>
      </c>
      <c r="E80" s="32" t="s">
        <v>39</v>
      </c>
      <c r="F80" s="32" t="s">
        <v>241</v>
      </c>
      <c r="G80" s="32"/>
      <c r="H80" s="32" t="s">
        <v>47</v>
      </c>
      <c r="I80" s="32"/>
      <c r="J80" s="32"/>
    </row>
    <row r="81">
      <c r="A81" s="50">
        <v>874604.0</v>
      </c>
      <c r="B81" s="48">
        <v>44681.0</v>
      </c>
      <c r="C81" s="43" t="s">
        <v>37</v>
      </c>
      <c r="D81" s="29" t="s">
        <v>243</v>
      </c>
      <c r="E81" s="32" t="s">
        <v>83</v>
      </c>
      <c r="F81" s="32" t="s">
        <v>244</v>
      </c>
      <c r="G81" s="32">
        <v>778340.0</v>
      </c>
      <c r="H81" s="32" t="s">
        <v>245</v>
      </c>
      <c r="I81" s="32"/>
      <c r="J81" s="32"/>
    </row>
    <row r="82">
      <c r="A82" s="49">
        <v>1837118.0</v>
      </c>
      <c r="B82" s="48">
        <v>44681.0</v>
      </c>
      <c r="C82" s="43" t="s">
        <v>37</v>
      </c>
      <c r="D82" s="29" t="s">
        <v>246</v>
      </c>
      <c r="E82" s="32" t="s">
        <v>45</v>
      </c>
      <c r="F82" s="32" t="s">
        <v>75</v>
      </c>
      <c r="G82" s="32"/>
      <c r="H82" s="32" t="s">
        <v>47</v>
      </c>
      <c r="I82" s="32"/>
      <c r="J82" s="32"/>
    </row>
    <row r="83">
      <c r="A83" s="26">
        <v>344224.0</v>
      </c>
      <c r="B83" s="40">
        <v>44712.0</v>
      </c>
      <c r="C83" s="28" t="s">
        <v>37</v>
      </c>
      <c r="D83" s="29" t="s">
        <v>247</v>
      </c>
      <c r="E83" s="32" t="s">
        <v>45</v>
      </c>
      <c r="F83" s="32" t="s">
        <v>90</v>
      </c>
      <c r="G83" s="32"/>
      <c r="H83" s="32"/>
      <c r="I83" s="32"/>
      <c r="J83" s="32"/>
    </row>
    <row r="84">
      <c r="A84" s="26">
        <v>442896.0</v>
      </c>
      <c r="B84" s="40">
        <v>44712.0</v>
      </c>
      <c r="C84" s="28" t="s">
        <v>37</v>
      </c>
      <c r="D84" s="29" t="s">
        <v>248</v>
      </c>
      <c r="E84" s="32" t="s">
        <v>45</v>
      </c>
      <c r="F84" s="32" t="s">
        <v>46</v>
      </c>
      <c r="G84" s="32"/>
      <c r="H84" s="32"/>
      <c r="I84" s="32"/>
      <c r="J84" s="32"/>
    </row>
    <row r="85">
      <c r="A85" s="26">
        <v>526534.0</v>
      </c>
      <c r="B85" s="40">
        <v>44712.0</v>
      </c>
      <c r="C85" s="28" t="s">
        <v>37</v>
      </c>
      <c r="D85" s="29" t="s">
        <v>249</v>
      </c>
      <c r="E85" s="32" t="s">
        <v>105</v>
      </c>
      <c r="F85" s="32" t="s">
        <v>212</v>
      </c>
      <c r="G85" s="32"/>
      <c r="H85" s="32"/>
      <c r="I85" s="32"/>
      <c r="J85" s="32"/>
    </row>
    <row r="86">
      <c r="A86" s="26">
        <v>617118.0</v>
      </c>
      <c r="B86" s="40">
        <v>44712.0</v>
      </c>
      <c r="C86" s="28" t="s">
        <v>37</v>
      </c>
      <c r="D86" s="29" t="s">
        <v>250</v>
      </c>
      <c r="E86" s="32" t="s">
        <v>58</v>
      </c>
      <c r="F86" s="32" t="s">
        <v>86</v>
      </c>
      <c r="G86" s="32"/>
      <c r="H86" s="32"/>
      <c r="I86" s="32"/>
      <c r="J86" s="32"/>
    </row>
    <row r="87">
      <c r="A87" s="26">
        <v>637932.0</v>
      </c>
      <c r="B87" s="40">
        <v>44712.0</v>
      </c>
      <c r="C87" s="28" t="s">
        <v>37</v>
      </c>
      <c r="D87" s="29" t="s">
        <v>251</v>
      </c>
      <c r="E87" s="32" t="s">
        <v>122</v>
      </c>
      <c r="F87" s="32" t="s">
        <v>123</v>
      </c>
      <c r="G87" s="32"/>
      <c r="H87" s="32"/>
      <c r="I87" s="32"/>
      <c r="J87" s="32"/>
    </row>
    <row r="88">
      <c r="A88" s="26">
        <v>785690.0</v>
      </c>
      <c r="B88" s="40">
        <v>44712.0</v>
      </c>
      <c r="C88" s="28" t="s">
        <v>187</v>
      </c>
      <c r="D88" s="29" t="s">
        <v>252</v>
      </c>
      <c r="E88" s="32" t="s">
        <v>105</v>
      </c>
      <c r="F88" s="32" t="s">
        <v>253</v>
      </c>
      <c r="G88" s="32"/>
      <c r="H88" s="32"/>
      <c r="I88" s="32"/>
      <c r="J88" s="32"/>
    </row>
    <row r="89">
      <c r="A89" s="26">
        <v>957106.0</v>
      </c>
      <c r="B89" s="40">
        <v>44712.0</v>
      </c>
      <c r="C89" s="28" t="s">
        <v>70</v>
      </c>
      <c r="D89" s="29" t="s">
        <v>254</v>
      </c>
      <c r="E89" s="32" t="s">
        <v>39</v>
      </c>
      <c r="F89" s="32" t="s">
        <v>214</v>
      </c>
      <c r="G89" s="32"/>
      <c r="H89" s="32"/>
      <c r="I89" s="32"/>
      <c r="J89" s="32"/>
    </row>
    <row r="90">
      <c r="A90" s="26">
        <v>1162868.0</v>
      </c>
      <c r="B90" s="40">
        <v>44712.0</v>
      </c>
      <c r="C90" s="28" t="s">
        <v>37</v>
      </c>
      <c r="D90" s="29" t="s">
        <v>255</v>
      </c>
      <c r="E90" s="32" t="s">
        <v>63</v>
      </c>
      <c r="F90" s="32" t="s">
        <v>256</v>
      </c>
      <c r="G90" s="32"/>
      <c r="H90" s="32"/>
      <c r="I90" s="32"/>
      <c r="J90" s="32"/>
    </row>
    <row r="91">
      <c r="A91" s="26">
        <v>1506872.0</v>
      </c>
      <c r="B91" s="40">
        <v>44712.0</v>
      </c>
      <c r="C91" s="28" t="s">
        <v>70</v>
      </c>
      <c r="D91" s="29" t="s">
        <v>257</v>
      </c>
      <c r="E91" s="32" t="s">
        <v>63</v>
      </c>
      <c r="F91" s="32" t="s">
        <v>258</v>
      </c>
      <c r="G91" s="32"/>
      <c r="H91" s="32"/>
      <c r="I91" s="32"/>
      <c r="J91" s="32"/>
    </row>
    <row r="92">
      <c r="A92" s="26">
        <v>1520666.0</v>
      </c>
      <c r="B92" s="40">
        <v>44712.0</v>
      </c>
      <c r="C92" s="28" t="s">
        <v>37</v>
      </c>
      <c r="D92" s="29" t="s">
        <v>259</v>
      </c>
      <c r="E92" s="32" t="s">
        <v>39</v>
      </c>
      <c r="F92" s="32" t="s">
        <v>50</v>
      </c>
      <c r="G92" s="32"/>
      <c r="H92" s="32"/>
      <c r="I92" s="32"/>
      <c r="J92" s="32"/>
    </row>
    <row r="93">
      <c r="A93" s="26">
        <v>1552376.0</v>
      </c>
      <c r="B93" s="40">
        <v>44712.0</v>
      </c>
      <c r="C93" s="28" t="s">
        <v>206</v>
      </c>
      <c r="D93" s="29" t="s">
        <v>260</v>
      </c>
      <c r="E93" s="32" t="s">
        <v>79</v>
      </c>
      <c r="F93" s="32" t="s">
        <v>261</v>
      </c>
      <c r="G93" s="32"/>
      <c r="H93" s="32"/>
      <c r="I93" s="32"/>
      <c r="J93" s="32"/>
    </row>
    <row r="94">
      <c r="A94" s="26">
        <v>1640530.0</v>
      </c>
      <c r="B94" s="40">
        <v>44712.0</v>
      </c>
      <c r="C94" s="28" t="s">
        <v>37</v>
      </c>
      <c r="D94" s="29" t="s">
        <v>262</v>
      </c>
      <c r="E94" s="32" t="s">
        <v>96</v>
      </c>
      <c r="F94" s="32" t="s">
        <v>263</v>
      </c>
      <c r="G94" s="32"/>
      <c r="H94" s="32"/>
      <c r="I94" s="32"/>
      <c r="J94" s="32"/>
    </row>
    <row r="95">
      <c r="A95" s="26">
        <v>1814516.0</v>
      </c>
      <c r="B95" s="40">
        <v>44712.0</v>
      </c>
      <c r="C95" s="28" t="s">
        <v>37</v>
      </c>
      <c r="D95" s="29" t="s">
        <v>264</v>
      </c>
      <c r="E95" s="32" t="s">
        <v>122</v>
      </c>
      <c r="F95" s="32" t="s">
        <v>127</v>
      </c>
      <c r="G95" s="32"/>
      <c r="H95" s="32"/>
      <c r="I95" s="32"/>
      <c r="J95" s="32"/>
    </row>
    <row r="96">
      <c r="A96" s="26">
        <v>1843628.0</v>
      </c>
      <c r="B96" s="40">
        <v>44712.0</v>
      </c>
      <c r="C96" s="28" t="s">
        <v>37</v>
      </c>
      <c r="D96" s="29" t="s">
        <v>265</v>
      </c>
      <c r="E96" s="32" t="s">
        <v>45</v>
      </c>
      <c r="F96" s="32" t="s">
        <v>90</v>
      </c>
      <c r="G96" s="32"/>
      <c r="H96" s="32"/>
      <c r="I96" s="32"/>
      <c r="J96" s="32"/>
    </row>
    <row r="97">
      <c r="A97" s="26">
        <v>1845824.0</v>
      </c>
      <c r="B97" s="40">
        <v>44712.0</v>
      </c>
      <c r="C97" s="28" t="s">
        <v>37</v>
      </c>
      <c r="D97" s="29" t="s">
        <v>266</v>
      </c>
      <c r="E97" s="32" t="s">
        <v>45</v>
      </c>
      <c r="F97" s="32" t="s">
        <v>75</v>
      </c>
      <c r="G97" s="32"/>
      <c r="H97" s="32"/>
      <c r="I97" s="32"/>
      <c r="J97" s="32"/>
    </row>
    <row r="98">
      <c r="A98" s="26">
        <v>1897918.0</v>
      </c>
      <c r="B98" s="40">
        <v>44712.0</v>
      </c>
      <c r="C98" s="28" t="s">
        <v>37</v>
      </c>
      <c r="D98" s="29" t="s">
        <v>267</v>
      </c>
      <c r="E98" s="32" t="s">
        <v>58</v>
      </c>
      <c r="F98" s="32" t="s">
        <v>169</v>
      </c>
      <c r="G98" s="32"/>
      <c r="H98" s="32"/>
      <c r="I98" s="32"/>
      <c r="J98" s="32"/>
    </row>
    <row r="99">
      <c r="A99" s="26">
        <v>2144246.0</v>
      </c>
      <c r="B99" s="40">
        <v>44712.0</v>
      </c>
      <c r="C99" s="28" t="s">
        <v>268</v>
      </c>
      <c r="D99" s="29" t="s">
        <v>269</v>
      </c>
      <c r="E99" s="32" t="s">
        <v>39</v>
      </c>
      <c r="F99" s="32" t="s">
        <v>54</v>
      </c>
      <c r="G99" s="32"/>
      <c r="H99" s="32"/>
      <c r="I99" s="32"/>
      <c r="J99" s="32"/>
    </row>
    <row r="100">
      <c r="A100" s="26">
        <v>2329320.0</v>
      </c>
      <c r="B100" s="40">
        <v>44712.0</v>
      </c>
      <c r="C100" s="28" t="s">
        <v>170</v>
      </c>
      <c r="D100" s="29" t="s">
        <v>270</v>
      </c>
      <c r="E100" s="32" t="s">
        <v>122</v>
      </c>
      <c r="F100" s="32" t="s">
        <v>271</v>
      </c>
      <c r="G100" s="32"/>
      <c r="H100" s="32"/>
      <c r="I100" s="32"/>
      <c r="J100" s="32"/>
    </row>
    <row r="101">
      <c r="A101" s="26">
        <v>2807003.0</v>
      </c>
      <c r="B101" s="40">
        <v>44712.0</v>
      </c>
      <c r="C101" s="28" t="s">
        <v>37</v>
      </c>
      <c r="D101" s="29" t="s">
        <v>272</v>
      </c>
      <c r="E101" s="32" t="s">
        <v>45</v>
      </c>
      <c r="F101" s="32" t="s">
        <v>90</v>
      </c>
      <c r="G101" s="32"/>
      <c r="H101" s="32"/>
      <c r="I101" s="32"/>
      <c r="J101" s="32"/>
    </row>
    <row r="102">
      <c r="A102" s="26">
        <v>2897780.0</v>
      </c>
      <c r="B102" s="40">
        <v>44712.0</v>
      </c>
      <c r="C102" s="28" t="s">
        <v>187</v>
      </c>
      <c r="D102" s="29" t="s">
        <v>273</v>
      </c>
      <c r="E102" s="32" t="s">
        <v>45</v>
      </c>
      <c r="F102" s="32" t="s">
        <v>75</v>
      </c>
      <c r="G102" s="32"/>
      <c r="H102" s="32"/>
      <c r="I102" s="32"/>
      <c r="J102" s="32"/>
    </row>
    <row r="103">
      <c r="A103" s="26">
        <v>2898416.0</v>
      </c>
      <c r="B103" s="40">
        <v>44712.0</v>
      </c>
      <c r="C103" s="28" t="s">
        <v>37</v>
      </c>
      <c r="D103" s="29" t="s">
        <v>274</v>
      </c>
      <c r="E103" s="32" t="s">
        <v>63</v>
      </c>
      <c r="F103" s="32" t="s">
        <v>64</v>
      </c>
      <c r="G103" s="32"/>
      <c r="H103" s="32"/>
      <c r="I103" s="32"/>
      <c r="J103" s="32"/>
    </row>
    <row r="104">
      <c r="A104" s="26">
        <v>3091858.0</v>
      </c>
      <c r="B104" s="40">
        <v>44712.0</v>
      </c>
      <c r="C104" s="28" t="s">
        <v>206</v>
      </c>
      <c r="D104" s="29" t="s">
        <v>275</v>
      </c>
      <c r="E104" s="32" t="s">
        <v>39</v>
      </c>
      <c r="F104" s="32" t="s">
        <v>140</v>
      </c>
      <c r="G104" s="32"/>
      <c r="H104" s="32"/>
      <c r="I104" s="32"/>
      <c r="J104" s="32"/>
    </row>
    <row r="105">
      <c r="A105" s="26">
        <v>3166512.0</v>
      </c>
      <c r="B105" s="40">
        <v>44712.0</v>
      </c>
      <c r="C105" s="28" t="s">
        <v>37</v>
      </c>
      <c r="D105" s="29" t="s">
        <v>276</v>
      </c>
      <c r="E105" s="32" t="s">
        <v>45</v>
      </c>
      <c r="F105" s="32" t="s">
        <v>90</v>
      </c>
      <c r="G105" s="32"/>
      <c r="H105" s="32"/>
      <c r="I105" s="32"/>
      <c r="J105" s="32"/>
    </row>
    <row r="106">
      <c r="A106" s="26">
        <v>3315948.0</v>
      </c>
      <c r="B106" s="40">
        <v>44712.0</v>
      </c>
      <c r="C106" s="28" t="s">
        <v>37</v>
      </c>
      <c r="D106" s="29" t="s">
        <v>277</v>
      </c>
      <c r="E106" s="32" t="s">
        <v>45</v>
      </c>
      <c r="F106" s="32" t="s">
        <v>75</v>
      </c>
      <c r="G106" s="32"/>
      <c r="H106" s="32"/>
      <c r="I106" s="32"/>
      <c r="J106" s="32"/>
    </row>
    <row r="107">
      <c r="A107" s="36">
        <v>3886214.0</v>
      </c>
      <c r="B107" s="40">
        <v>44712.0</v>
      </c>
      <c r="C107" s="35" t="s">
        <v>206</v>
      </c>
      <c r="D107" s="29" t="s">
        <v>278</v>
      </c>
      <c r="E107" s="32" t="s">
        <v>45</v>
      </c>
      <c r="F107" s="32" t="s">
        <v>75</v>
      </c>
      <c r="G107" s="32"/>
      <c r="H107" s="32"/>
      <c r="I107" s="32"/>
      <c r="J107" s="32"/>
    </row>
    <row r="108">
      <c r="A108" s="36">
        <v>4035162.0</v>
      </c>
      <c r="B108" s="40">
        <v>44712.0</v>
      </c>
      <c r="C108" s="35" t="s">
        <v>37</v>
      </c>
      <c r="D108" s="29" t="s">
        <v>279</v>
      </c>
      <c r="E108" s="32" t="s">
        <v>45</v>
      </c>
      <c r="F108" s="32" t="s">
        <v>90</v>
      </c>
      <c r="G108" s="32"/>
      <c r="H108" s="32"/>
      <c r="I108" s="32"/>
      <c r="J108" s="32"/>
    </row>
    <row r="109">
      <c r="A109" s="36">
        <v>50134.0</v>
      </c>
      <c r="B109" s="40">
        <v>44712.0</v>
      </c>
      <c r="C109" s="35" t="s">
        <v>37</v>
      </c>
      <c r="D109" s="29" t="s">
        <v>280</v>
      </c>
      <c r="E109" s="32" t="s">
        <v>105</v>
      </c>
      <c r="F109" s="32" t="s">
        <v>106</v>
      </c>
      <c r="G109" s="32"/>
      <c r="H109" s="32"/>
      <c r="I109" s="32"/>
      <c r="J109" s="32"/>
    </row>
    <row r="110">
      <c r="A110" s="36">
        <v>684114.0</v>
      </c>
      <c r="B110" s="40">
        <v>44712.0</v>
      </c>
      <c r="C110" s="35" t="s">
        <v>70</v>
      </c>
      <c r="D110" s="29" t="s">
        <v>281</v>
      </c>
      <c r="E110" s="32" t="s">
        <v>39</v>
      </c>
      <c r="F110" s="32" t="s">
        <v>140</v>
      </c>
      <c r="G110" s="32"/>
      <c r="H110" s="32"/>
      <c r="I110" s="32"/>
      <c r="J110" s="32"/>
    </row>
    <row r="111">
      <c r="A111" s="36">
        <v>715444.0</v>
      </c>
      <c r="B111" s="40">
        <v>44712.0</v>
      </c>
      <c r="C111" s="35" t="s">
        <v>37</v>
      </c>
      <c r="D111" s="29" t="s">
        <v>282</v>
      </c>
      <c r="E111" s="32" t="s">
        <v>105</v>
      </c>
      <c r="F111" s="32" t="s">
        <v>106</v>
      </c>
      <c r="G111" s="32"/>
      <c r="H111" s="32"/>
      <c r="I111" s="32"/>
      <c r="J111" s="32"/>
    </row>
    <row r="112">
      <c r="A112" s="36">
        <v>720490.0</v>
      </c>
      <c r="B112" s="40">
        <v>44712.0</v>
      </c>
      <c r="C112" s="35" t="s">
        <v>187</v>
      </c>
      <c r="D112" s="29" t="s">
        <v>283</v>
      </c>
      <c r="E112" s="32" t="s">
        <v>39</v>
      </c>
      <c r="F112" s="32" t="s">
        <v>54</v>
      </c>
      <c r="G112" s="32"/>
      <c r="H112" s="32"/>
      <c r="I112" s="32"/>
      <c r="J112" s="32"/>
    </row>
    <row r="113">
      <c r="A113" s="36">
        <v>929120.0</v>
      </c>
      <c r="B113" s="40">
        <v>44712.0</v>
      </c>
      <c r="C113" s="35" t="s">
        <v>142</v>
      </c>
      <c r="D113" s="29" t="s">
        <v>284</v>
      </c>
      <c r="E113" s="32" t="s">
        <v>83</v>
      </c>
      <c r="F113" s="32" t="s">
        <v>285</v>
      </c>
      <c r="G113" s="32"/>
      <c r="H113" s="32"/>
      <c r="I113" s="32"/>
      <c r="J113" s="32"/>
    </row>
    <row r="114">
      <c r="A114" s="36">
        <v>1005550.0</v>
      </c>
      <c r="B114" s="40">
        <v>44712.0</v>
      </c>
      <c r="C114" s="35" t="s">
        <v>37</v>
      </c>
      <c r="D114" s="29" t="s">
        <v>286</v>
      </c>
      <c r="E114" s="32" t="s">
        <v>39</v>
      </c>
      <c r="F114" s="32" t="s">
        <v>113</v>
      </c>
      <c r="G114" s="32"/>
      <c r="H114" s="32"/>
      <c r="I114" s="32"/>
      <c r="J114" s="32"/>
    </row>
    <row r="115">
      <c r="A115" s="36">
        <v>1182864.0</v>
      </c>
      <c r="B115" s="40">
        <v>44712.0</v>
      </c>
      <c r="C115" s="35" t="s">
        <v>142</v>
      </c>
      <c r="D115" s="29" t="s">
        <v>287</v>
      </c>
      <c r="E115" s="32" t="s">
        <v>83</v>
      </c>
      <c r="F115" s="32" t="s">
        <v>153</v>
      </c>
      <c r="G115" s="32"/>
      <c r="H115" s="32"/>
      <c r="I115" s="32"/>
      <c r="J115" s="32"/>
    </row>
    <row r="116">
      <c r="A116" s="36">
        <v>1256794.0</v>
      </c>
      <c r="B116" s="40">
        <v>44712.0</v>
      </c>
      <c r="C116" s="35" t="s">
        <v>142</v>
      </c>
      <c r="D116" s="29" t="s">
        <v>288</v>
      </c>
      <c r="E116" s="32" t="s">
        <v>189</v>
      </c>
      <c r="F116" s="32" t="s">
        <v>289</v>
      </c>
      <c r="G116" s="32"/>
      <c r="H116" s="32"/>
      <c r="I116" s="32"/>
      <c r="J116" s="32"/>
    </row>
    <row r="117">
      <c r="A117" s="36">
        <v>1325930.0</v>
      </c>
      <c r="B117" s="40">
        <v>44712.0</v>
      </c>
      <c r="C117" s="35" t="s">
        <v>70</v>
      </c>
      <c r="D117" s="29" t="s">
        <v>290</v>
      </c>
      <c r="E117" s="32" t="s">
        <v>39</v>
      </c>
      <c r="F117" s="32" t="s">
        <v>214</v>
      </c>
      <c r="G117" s="32"/>
      <c r="H117" s="32"/>
      <c r="I117" s="32"/>
      <c r="J117" s="32"/>
    </row>
    <row r="118">
      <c r="A118" s="36">
        <v>1448908.0</v>
      </c>
      <c r="B118" s="40">
        <v>44712.0</v>
      </c>
      <c r="C118" s="35" t="s">
        <v>187</v>
      </c>
      <c r="D118" s="29" t="s">
        <v>291</v>
      </c>
      <c r="E118" s="32" t="s">
        <v>39</v>
      </c>
      <c r="F118" s="32" t="s">
        <v>50</v>
      </c>
      <c r="G118" s="32"/>
      <c r="H118" s="32"/>
      <c r="I118" s="32"/>
      <c r="J118" s="32"/>
    </row>
    <row r="119">
      <c r="A119" s="36">
        <v>1457162.0</v>
      </c>
      <c r="B119" s="40">
        <v>44712.0</v>
      </c>
      <c r="C119" s="35" t="s">
        <v>142</v>
      </c>
      <c r="D119" s="29" t="s">
        <v>292</v>
      </c>
      <c r="E119" s="32" t="s">
        <v>58</v>
      </c>
      <c r="F119" s="32" t="s">
        <v>161</v>
      </c>
      <c r="G119" s="32"/>
      <c r="H119" s="32"/>
      <c r="I119" s="32"/>
      <c r="J119" s="32"/>
    </row>
    <row r="120">
      <c r="A120" s="36">
        <v>1650782.0</v>
      </c>
      <c r="B120" s="40">
        <v>44712.0</v>
      </c>
      <c r="C120" s="35" t="s">
        <v>43</v>
      </c>
      <c r="D120" s="29" t="s">
        <v>293</v>
      </c>
      <c r="E120" s="32" t="s">
        <v>63</v>
      </c>
      <c r="F120" s="32" t="s">
        <v>294</v>
      </c>
      <c r="G120" s="32"/>
      <c r="H120" s="32"/>
      <c r="I120" s="32"/>
      <c r="J120" s="32"/>
    </row>
    <row r="121">
      <c r="A121" s="36">
        <v>1658542.0</v>
      </c>
      <c r="B121" s="40">
        <v>44712.0</v>
      </c>
      <c r="C121" s="35" t="s">
        <v>70</v>
      </c>
      <c r="D121" s="29" t="s">
        <v>295</v>
      </c>
      <c r="E121" s="32" t="s">
        <v>39</v>
      </c>
      <c r="F121" s="32" t="s">
        <v>140</v>
      </c>
      <c r="G121" s="32"/>
      <c r="H121" s="32"/>
      <c r="I121" s="32"/>
      <c r="J121" s="32"/>
    </row>
    <row r="122">
      <c r="A122" s="36">
        <v>1874592.0</v>
      </c>
      <c r="B122" s="40">
        <v>44712.0</v>
      </c>
      <c r="C122" s="35" t="s">
        <v>37</v>
      </c>
      <c r="D122" s="29" t="s">
        <v>296</v>
      </c>
      <c r="E122" s="32" t="s">
        <v>39</v>
      </c>
      <c r="F122" s="32" t="s">
        <v>297</v>
      </c>
      <c r="G122" s="32"/>
      <c r="H122" s="32"/>
      <c r="I122" s="32"/>
      <c r="J122" s="32"/>
    </row>
    <row r="123">
      <c r="A123" s="36">
        <v>1902716.0</v>
      </c>
      <c r="B123" s="40">
        <v>44712.0</v>
      </c>
      <c r="C123" s="35" t="s">
        <v>70</v>
      </c>
      <c r="D123" s="29" t="s">
        <v>298</v>
      </c>
      <c r="E123" s="32" t="s">
        <v>39</v>
      </c>
      <c r="F123" s="32" t="s">
        <v>140</v>
      </c>
      <c r="G123" s="32"/>
      <c r="H123" s="32"/>
      <c r="I123" s="32"/>
      <c r="J123" s="32"/>
    </row>
    <row r="124">
      <c r="A124" s="36">
        <v>2102888.0</v>
      </c>
      <c r="B124" s="40">
        <v>44712.0</v>
      </c>
      <c r="C124" s="35" t="s">
        <v>142</v>
      </c>
      <c r="D124" s="29" t="s">
        <v>299</v>
      </c>
      <c r="E124" s="32" t="s">
        <v>189</v>
      </c>
      <c r="F124" s="32" t="s">
        <v>300</v>
      </c>
      <c r="G124" s="32"/>
      <c r="H124" s="32"/>
      <c r="I124" s="32"/>
      <c r="J124" s="32"/>
    </row>
    <row r="125">
      <c r="A125" s="37">
        <v>2137242.0</v>
      </c>
      <c r="B125" s="40">
        <v>44712.0</v>
      </c>
      <c r="C125" s="35" t="s">
        <v>142</v>
      </c>
      <c r="D125" s="29" t="s">
        <v>301</v>
      </c>
      <c r="E125" s="32" t="s">
        <v>189</v>
      </c>
      <c r="F125" s="32" t="s">
        <v>300</v>
      </c>
      <c r="G125" s="32"/>
      <c r="H125" s="32"/>
      <c r="I125" s="32"/>
      <c r="J125" s="32"/>
    </row>
    <row r="126">
      <c r="A126" s="36">
        <v>2265298.0</v>
      </c>
      <c r="B126" s="40">
        <v>44712.0</v>
      </c>
      <c r="C126" s="35" t="s">
        <v>37</v>
      </c>
      <c r="D126" s="29" t="s">
        <v>302</v>
      </c>
      <c r="E126" s="32" t="s">
        <v>45</v>
      </c>
      <c r="F126" s="32" t="s">
        <v>90</v>
      </c>
      <c r="G126" s="32"/>
      <c r="H126" s="32"/>
      <c r="I126" s="32"/>
      <c r="J126" s="32"/>
    </row>
    <row r="127">
      <c r="A127" s="36">
        <v>2337088.0</v>
      </c>
      <c r="B127" s="40">
        <v>44712.0</v>
      </c>
      <c r="C127" s="35" t="s">
        <v>70</v>
      </c>
      <c r="D127" s="29" t="s">
        <v>303</v>
      </c>
      <c r="E127" s="32" t="s">
        <v>83</v>
      </c>
      <c r="F127" s="32" t="s">
        <v>147</v>
      </c>
      <c r="G127" s="32"/>
      <c r="H127" s="32"/>
      <c r="I127" s="32"/>
      <c r="J127" s="32"/>
    </row>
    <row r="128">
      <c r="A128" s="36">
        <v>2558916.0</v>
      </c>
      <c r="B128" s="40">
        <v>44712.0</v>
      </c>
      <c r="C128" s="35" t="s">
        <v>37</v>
      </c>
      <c r="D128" s="29" t="s">
        <v>304</v>
      </c>
      <c r="E128" s="32" t="s">
        <v>83</v>
      </c>
      <c r="F128" s="32" t="s">
        <v>285</v>
      </c>
      <c r="G128" s="32"/>
      <c r="H128" s="32"/>
      <c r="I128" s="32"/>
      <c r="J128" s="32"/>
    </row>
    <row r="129">
      <c r="A129" s="26">
        <v>2616454.0</v>
      </c>
      <c r="B129" s="40">
        <v>44712.0</v>
      </c>
      <c r="C129" s="28" t="s">
        <v>170</v>
      </c>
      <c r="D129" s="29" t="s">
        <v>305</v>
      </c>
      <c r="E129" s="32" t="s">
        <v>39</v>
      </c>
      <c r="F129" s="32" t="s">
        <v>54</v>
      </c>
      <c r="G129" s="32"/>
      <c r="H129" s="32"/>
      <c r="I129" s="32"/>
      <c r="J129" s="32"/>
    </row>
    <row r="130">
      <c r="A130" s="26">
        <v>2789434.0</v>
      </c>
      <c r="B130" s="40">
        <v>44712.0</v>
      </c>
      <c r="C130" s="28" t="s">
        <v>142</v>
      </c>
      <c r="D130" s="29" t="s">
        <v>306</v>
      </c>
      <c r="E130" s="32" t="s">
        <v>63</v>
      </c>
      <c r="F130" s="32" t="s">
        <v>115</v>
      </c>
      <c r="G130" s="32"/>
      <c r="H130" s="32"/>
      <c r="I130" s="32"/>
      <c r="J130" s="32"/>
    </row>
    <row r="131">
      <c r="A131" s="26">
        <v>3328870.0</v>
      </c>
      <c r="B131" s="40">
        <v>44712.0</v>
      </c>
      <c r="C131" s="28" t="s">
        <v>37</v>
      </c>
      <c r="D131" s="29" t="s">
        <v>307</v>
      </c>
      <c r="E131" s="32" t="s">
        <v>39</v>
      </c>
      <c r="F131" s="32" t="s">
        <v>140</v>
      </c>
      <c r="G131" s="32"/>
      <c r="H131" s="32"/>
      <c r="I131" s="32"/>
      <c r="J131" s="32"/>
    </row>
    <row r="132">
      <c r="A132" s="26">
        <v>3368010.0</v>
      </c>
      <c r="B132" s="40">
        <v>44712.0</v>
      </c>
      <c r="C132" s="28" t="s">
        <v>37</v>
      </c>
      <c r="D132" s="29" t="s">
        <v>308</v>
      </c>
      <c r="E132" s="32" t="s">
        <v>63</v>
      </c>
      <c r="F132" s="32" t="s">
        <v>64</v>
      </c>
      <c r="G132" s="32"/>
      <c r="H132" s="32"/>
      <c r="I132" s="32"/>
      <c r="J132" s="32"/>
    </row>
    <row r="133">
      <c r="A133" s="26">
        <v>3522706.0</v>
      </c>
      <c r="B133" s="40">
        <v>44712.0</v>
      </c>
      <c r="C133" s="28" t="s">
        <v>187</v>
      </c>
      <c r="D133" s="29" t="s">
        <v>309</v>
      </c>
      <c r="E133" s="32" t="s">
        <v>39</v>
      </c>
      <c r="F133" s="32" t="s">
        <v>140</v>
      </c>
      <c r="G133" s="32"/>
      <c r="H133" s="32"/>
      <c r="I133" s="32"/>
      <c r="J133" s="32"/>
    </row>
    <row r="134">
      <c r="A134" s="26">
        <v>3538444.0</v>
      </c>
      <c r="B134" s="40">
        <v>44712.0</v>
      </c>
      <c r="C134" s="28" t="s">
        <v>70</v>
      </c>
      <c r="D134" s="29" t="s">
        <v>310</v>
      </c>
      <c r="E134" s="32" t="s">
        <v>144</v>
      </c>
      <c r="F134" s="32" t="s">
        <v>311</v>
      </c>
      <c r="G134" s="32"/>
      <c r="H134" s="32"/>
      <c r="I134" s="32"/>
      <c r="J134" s="32"/>
    </row>
    <row r="135">
      <c r="A135" s="26">
        <v>3864872.0</v>
      </c>
      <c r="B135" s="40">
        <v>44712.0</v>
      </c>
      <c r="C135" s="28" t="s">
        <v>142</v>
      </c>
      <c r="D135" s="29" t="s">
        <v>312</v>
      </c>
      <c r="E135" s="32" t="s">
        <v>58</v>
      </c>
      <c r="F135" s="32" t="s">
        <v>59</v>
      </c>
      <c r="G135" s="32"/>
      <c r="H135" s="32"/>
      <c r="I135" s="32"/>
      <c r="J135" s="32"/>
    </row>
    <row r="136">
      <c r="A136" s="26">
        <v>189086.0</v>
      </c>
      <c r="B136" s="40">
        <v>44712.0</v>
      </c>
      <c r="C136" s="43" t="s">
        <v>37</v>
      </c>
      <c r="D136" s="29" t="s">
        <v>313</v>
      </c>
      <c r="E136" s="32" t="s">
        <v>58</v>
      </c>
      <c r="F136" s="32" t="s">
        <v>59</v>
      </c>
      <c r="G136" s="32"/>
      <c r="H136" s="32"/>
      <c r="I136" s="32"/>
      <c r="J136" s="32"/>
    </row>
    <row r="137">
      <c r="A137" s="26">
        <v>234558.0</v>
      </c>
      <c r="B137" s="40">
        <v>44712.0</v>
      </c>
      <c r="C137" s="43" t="s">
        <v>37</v>
      </c>
      <c r="D137" s="29" t="s">
        <v>314</v>
      </c>
      <c r="E137" s="32" t="s">
        <v>45</v>
      </c>
      <c r="F137" s="32" t="s">
        <v>90</v>
      </c>
      <c r="G137" s="32"/>
      <c r="H137" s="32"/>
      <c r="I137" s="32"/>
      <c r="J137" s="32"/>
    </row>
    <row r="138">
      <c r="A138" s="26">
        <v>801618.0</v>
      </c>
      <c r="B138" s="40">
        <v>44712.0</v>
      </c>
      <c r="C138" s="43" t="s">
        <v>187</v>
      </c>
      <c r="D138" s="29" t="s">
        <v>315</v>
      </c>
      <c r="E138" s="32" t="s">
        <v>105</v>
      </c>
      <c r="F138" s="32" t="s">
        <v>316</v>
      </c>
      <c r="G138" s="32"/>
      <c r="H138" s="32"/>
      <c r="I138" s="32"/>
      <c r="J138" s="32"/>
    </row>
    <row r="139">
      <c r="A139" s="26">
        <v>846406.0</v>
      </c>
      <c r="B139" s="40">
        <v>44712.0</v>
      </c>
      <c r="C139" s="43" t="s">
        <v>142</v>
      </c>
      <c r="D139" s="29" t="s">
        <v>317</v>
      </c>
      <c r="E139" s="32" t="s">
        <v>39</v>
      </c>
      <c r="F139" s="32" t="s">
        <v>140</v>
      </c>
      <c r="G139" s="32"/>
      <c r="H139" s="32"/>
      <c r="I139" s="32"/>
      <c r="J139" s="32"/>
    </row>
    <row r="140">
      <c r="A140" s="26">
        <v>1517150.0</v>
      </c>
      <c r="B140" s="40">
        <v>44712.0</v>
      </c>
      <c r="C140" s="43" t="s">
        <v>142</v>
      </c>
      <c r="D140" s="29" t="s">
        <v>318</v>
      </c>
      <c r="E140" s="32" t="s">
        <v>39</v>
      </c>
      <c r="F140" s="32" t="s">
        <v>214</v>
      </c>
      <c r="G140" s="32"/>
      <c r="H140" s="32"/>
      <c r="I140" s="32"/>
      <c r="J140" s="32"/>
    </row>
    <row r="141">
      <c r="A141" s="26">
        <v>1670200.0</v>
      </c>
      <c r="B141" s="40">
        <v>44712.0</v>
      </c>
      <c r="C141" s="43" t="s">
        <v>206</v>
      </c>
      <c r="D141" s="29" t="s">
        <v>319</v>
      </c>
      <c r="E141" s="32" t="s">
        <v>79</v>
      </c>
      <c r="F141" s="32" t="s">
        <v>261</v>
      </c>
      <c r="G141" s="32"/>
      <c r="H141" s="32"/>
      <c r="I141" s="32"/>
      <c r="J141" s="32"/>
    </row>
    <row r="142">
      <c r="A142" s="26">
        <v>1711186.0</v>
      </c>
      <c r="B142" s="40">
        <v>44712.0</v>
      </c>
      <c r="C142" s="43" t="s">
        <v>142</v>
      </c>
      <c r="D142" s="29" t="s">
        <v>320</v>
      </c>
      <c r="E142" s="32" t="s">
        <v>122</v>
      </c>
      <c r="F142" s="32" t="s">
        <v>127</v>
      </c>
      <c r="G142" s="32"/>
      <c r="H142" s="32"/>
      <c r="I142" s="32"/>
      <c r="J142" s="32"/>
    </row>
    <row r="143">
      <c r="A143" s="26">
        <v>1746910.0</v>
      </c>
      <c r="B143" s="40">
        <v>44712.0</v>
      </c>
      <c r="C143" s="43" t="s">
        <v>37</v>
      </c>
      <c r="D143" s="29" t="s">
        <v>321</v>
      </c>
      <c r="E143" s="32" t="s">
        <v>58</v>
      </c>
      <c r="F143" s="32" t="s">
        <v>59</v>
      </c>
      <c r="G143" s="32"/>
      <c r="H143" s="32"/>
      <c r="I143" s="32"/>
      <c r="J143" s="32"/>
    </row>
    <row r="144">
      <c r="A144" s="26">
        <v>1768792.0</v>
      </c>
      <c r="B144" s="40">
        <v>44712.0</v>
      </c>
      <c r="C144" s="43" t="s">
        <v>37</v>
      </c>
      <c r="D144" s="29" t="s">
        <v>322</v>
      </c>
      <c r="E144" s="32" t="s">
        <v>39</v>
      </c>
      <c r="F144" s="32" t="s">
        <v>214</v>
      </c>
      <c r="G144" s="32"/>
      <c r="H144" s="32"/>
      <c r="I144" s="32"/>
      <c r="J144" s="32"/>
    </row>
    <row r="145">
      <c r="A145" s="26">
        <v>1786976.0</v>
      </c>
      <c r="B145" s="40">
        <v>44712.0</v>
      </c>
      <c r="C145" s="43" t="s">
        <v>37</v>
      </c>
      <c r="D145" s="29" t="s">
        <v>323</v>
      </c>
      <c r="E145" s="32" t="s">
        <v>45</v>
      </c>
      <c r="F145" s="32" t="s">
        <v>324</v>
      </c>
      <c r="G145" s="32"/>
      <c r="H145" s="32"/>
      <c r="I145" s="32"/>
      <c r="J145" s="32"/>
    </row>
    <row r="146">
      <c r="A146" s="26">
        <v>1941202.0</v>
      </c>
      <c r="B146" s="40">
        <v>44712.0</v>
      </c>
      <c r="C146" s="43" t="s">
        <v>206</v>
      </c>
      <c r="D146" s="29" t="s">
        <v>325</v>
      </c>
      <c r="E146" s="32" t="s">
        <v>144</v>
      </c>
      <c r="F146" s="32" t="s">
        <v>311</v>
      </c>
      <c r="G146" s="32"/>
      <c r="H146" s="32"/>
      <c r="I146" s="32"/>
      <c r="J146" s="32"/>
    </row>
    <row r="147">
      <c r="A147" s="26">
        <v>1961628.0</v>
      </c>
      <c r="B147" s="40">
        <v>44712.0</v>
      </c>
      <c r="C147" s="43" t="s">
        <v>187</v>
      </c>
      <c r="D147" s="29" t="s">
        <v>326</v>
      </c>
      <c r="E147" s="32" t="s">
        <v>39</v>
      </c>
      <c r="F147" s="32" t="s">
        <v>50</v>
      </c>
      <c r="G147" s="32"/>
      <c r="H147" s="32"/>
      <c r="I147" s="32"/>
      <c r="J147" s="32"/>
    </row>
    <row r="148">
      <c r="A148" s="26">
        <v>2068465.0</v>
      </c>
      <c r="B148" s="40">
        <v>44712.0</v>
      </c>
      <c r="C148" s="43" t="s">
        <v>268</v>
      </c>
      <c r="D148" s="29" t="s">
        <v>327</v>
      </c>
      <c r="E148" s="32" t="s">
        <v>101</v>
      </c>
      <c r="F148" s="32" t="s">
        <v>102</v>
      </c>
      <c r="G148" s="32"/>
      <c r="H148" s="32"/>
      <c r="I148" s="32"/>
      <c r="J148" s="32"/>
    </row>
    <row r="149">
      <c r="A149" s="26">
        <v>2182970.0</v>
      </c>
      <c r="B149" s="40">
        <v>44712.0</v>
      </c>
      <c r="C149" s="43" t="s">
        <v>70</v>
      </c>
      <c r="D149" s="29" t="s">
        <v>328</v>
      </c>
      <c r="E149" s="32" t="s">
        <v>63</v>
      </c>
      <c r="F149" s="32" t="s">
        <v>64</v>
      </c>
      <c r="G149" s="32"/>
      <c r="H149" s="32"/>
      <c r="I149" s="32"/>
      <c r="J149" s="32"/>
    </row>
    <row r="150">
      <c r="A150" s="26">
        <v>2252896.0</v>
      </c>
      <c r="B150" s="40">
        <v>44712.0</v>
      </c>
      <c r="C150" s="43" t="s">
        <v>206</v>
      </c>
      <c r="D150" s="29" t="s">
        <v>329</v>
      </c>
      <c r="E150" s="32" t="s">
        <v>83</v>
      </c>
      <c r="F150" s="32" t="s">
        <v>330</v>
      </c>
      <c r="G150" s="32"/>
      <c r="H150" s="32"/>
      <c r="I150" s="32"/>
      <c r="J150" s="32"/>
    </row>
    <row r="151">
      <c r="A151" s="26">
        <v>2260646.0</v>
      </c>
      <c r="B151" s="40">
        <v>44712.0</v>
      </c>
      <c r="C151" s="43" t="s">
        <v>37</v>
      </c>
      <c r="D151" s="29" t="s">
        <v>331</v>
      </c>
      <c r="E151" s="32" t="s">
        <v>39</v>
      </c>
      <c r="F151" s="32" t="s">
        <v>40</v>
      </c>
      <c r="G151" s="32"/>
      <c r="H151" s="32"/>
      <c r="I151" s="32"/>
      <c r="J151" s="32"/>
    </row>
    <row r="152">
      <c r="A152" s="26">
        <v>2324132.0</v>
      </c>
      <c r="B152" s="40">
        <v>44712.0</v>
      </c>
      <c r="C152" s="43" t="s">
        <v>37</v>
      </c>
      <c r="D152" s="29" t="s">
        <v>332</v>
      </c>
      <c r="E152" s="32" t="s">
        <v>39</v>
      </c>
      <c r="F152" s="32" t="s">
        <v>50</v>
      </c>
      <c r="G152" s="32"/>
      <c r="H152" s="32"/>
      <c r="I152" s="32"/>
      <c r="J152" s="32"/>
    </row>
    <row r="153">
      <c r="A153" s="33">
        <v>2427368.0</v>
      </c>
      <c r="B153" s="40">
        <v>44712.0</v>
      </c>
      <c r="C153" s="43" t="s">
        <v>37</v>
      </c>
      <c r="D153" s="29" t="s">
        <v>333</v>
      </c>
      <c r="E153" s="32" t="s">
        <v>45</v>
      </c>
      <c r="F153" s="32" t="s">
        <v>75</v>
      </c>
      <c r="G153" s="32"/>
      <c r="H153" s="32"/>
      <c r="I153" s="32"/>
      <c r="J153" s="32"/>
    </row>
    <row r="154">
      <c r="A154" s="26">
        <v>2474414.0</v>
      </c>
      <c r="B154" s="40">
        <v>44712.0</v>
      </c>
      <c r="C154" s="43" t="s">
        <v>206</v>
      </c>
      <c r="D154" s="29" t="s">
        <v>334</v>
      </c>
      <c r="E154" s="32" t="s">
        <v>63</v>
      </c>
      <c r="F154" s="32" t="s">
        <v>115</v>
      </c>
      <c r="G154" s="32"/>
      <c r="H154" s="32"/>
      <c r="I154" s="32"/>
      <c r="J154" s="32"/>
    </row>
    <row r="155">
      <c r="A155" s="26">
        <v>2547345.0</v>
      </c>
      <c r="B155" s="40">
        <v>44712.0</v>
      </c>
      <c r="C155" s="43" t="s">
        <v>70</v>
      </c>
      <c r="D155" s="29" t="s">
        <v>335</v>
      </c>
      <c r="E155" s="32" t="s">
        <v>101</v>
      </c>
      <c r="F155" s="32" t="s">
        <v>203</v>
      </c>
      <c r="G155" s="32"/>
      <c r="H155" s="32"/>
      <c r="I155" s="32"/>
      <c r="J155" s="32"/>
    </row>
    <row r="156">
      <c r="A156" s="26">
        <v>2593180.0</v>
      </c>
      <c r="B156" s="40">
        <v>44712.0</v>
      </c>
      <c r="C156" s="43" t="s">
        <v>37</v>
      </c>
      <c r="D156" s="29" t="s">
        <v>336</v>
      </c>
      <c r="E156" s="32" t="s">
        <v>189</v>
      </c>
      <c r="F156" s="32" t="s">
        <v>337</v>
      </c>
      <c r="G156" s="32"/>
      <c r="H156" s="32"/>
      <c r="I156" s="32"/>
      <c r="J156" s="32"/>
    </row>
    <row r="157">
      <c r="A157" s="26">
        <v>2755348.0</v>
      </c>
      <c r="B157" s="40">
        <v>44712.0</v>
      </c>
      <c r="C157" s="43" t="s">
        <v>70</v>
      </c>
      <c r="D157" s="29" t="s">
        <v>338</v>
      </c>
      <c r="E157" s="32" t="s">
        <v>144</v>
      </c>
      <c r="F157" s="32" t="s">
        <v>339</v>
      </c>
      <c r="G157" s="32"/>
      <c r="H157" s="32"/>
      <c r="I157" s="32"/>
      <c r="J157" s="32"/>
    </row>
    <row r="158">
      <c r="A158" s="26">
        <v>2811999.0</v>
      </c>
      <c r="B158" s="40">
        <v>44712.0</v>
      </c>
      <c r="C158" s="43" t="s">
        <v>37</v>
      </c>
      <c r="D158" s="29" t="s">
        <v>340</v>
      </c>
      <c r="E158" s="32" t="s">
        <v>58</v>
      </c>
      <c r="F158" s="32" t="s">
        <v>59</v>
      </c>
      <c r="G158" s="32"/>
      <c r="H158" s="32"/>
      <c r="I158" s="32"/>
      <c r="J158" s="32"/>
    </row>
    <row r="159">
      <c r="A159" s="26">
        <v>2916422.0</v>
      </c>
      <c r="B159" s="40">
        <v>44712.0</v>
      </c>
      <c r="C159" s="43" t="s">
        <v>37</v>
      </c>
      <c r="D159" s="29" t="s">
        <v>341</v>
      </c>
      <c r="E159" s="32" t="s">
        <v>63</v>
      </c>
      <c r="F159" s="32" t="s">
        <v>258</v>
      </c>
      <c r="G159" s="32"/>
      <c r="H159" s="32"/>
      <c r="I159" s="32"/>
      <c r="J159" s="32"/>
    </row>
    <row r="160">
      <c r="A160" s="26">
        <v>2983204.0</v>
      </c>
      <c r="B160" s="40">
        <v>44712.0</v>
      </c>
      <c r="C160" s="43" t="s">
        <v>170</v>
      </c>
      <c r="D160" s="29" t="s">
        <v>342</v>
      </c>
      <c r="E160" s="32" t="s">
        <v>39</v>
      </c>
      <c r="F160" s="32" t="s">
        <v>54</v>
      </c>
      <c r="G160" s="32"/>
      <c r="H160" s="32"/>
      <c r="I160" s="32"/>
      <c r="J160" s="32"/>
    </row>
    <row r="161">
      <c r="A161" s="26">
        <v>3014266.0</v>
      </c>
      <c r="B161" s="40">
        <v>44712.0</v>
      </c>
      <c r="C161" s="43" t="s">
        <v>37</v>
      </c>
      <c r="D161" s="29" t="s">
        <v>343</v>
      </c>
      <c r="E161" s="32" t="s">
        <v>39</v>
      </c>
      <c r="F161" s="32" t="s">
        <v>214</v>
      </c>
      <c r="G161" s="32"/>
      <c r="H161" s="32"/>
      <c r="I161" s="32"/>
      <c r="J161" s="32"/>
    </row>
    <row r="162">
      <c r="A162" s="26">
        <v>3053168.0</v>
      </c>
      <c r="B162" s="40">
        <v>44712.0</v>
      </c>
      <c r="C162" s="43" t="s">
        <v>37</v>
      </c>
      <c r="D162" s="29" t="s">
        <v>344</v>
      </c>
      <c r="E162" s="32" t="s">
        <v>45</v>
      </c>
      <c r="F162" s="32" t="s">
        <v>90</v>
      </c>
      <c r="G162" s="32"/>
      <c r="H162" s="32"/>
      <c r="I162" s="32"/>
      <c r="J162" s="32"/>
    </row>
    <row r="163">
      <c r="A163" s="26">
        <v>3116520.0</v>
      </c>
      <c r="B163" s="40">
        <v>44712.0</v>
      </c>
      <c r="C163" s="43" t="s">
        <v>70</v>
      </c>
      <c r="D163" s="29" t="s">
        <v>345</v>
      </c>
      <c r="E163" s="32" t="s">
        <v>122</v>
      </c>
      <c r="F163" s="32" t="s">
        <v>127</v>
      </c>
      <c r="G163" s="32"/>
      <c r="H163" s="32"/>
      <c r="I163" s="32"/>
      <c r="J163" s="32"/>
    </row>
    <row r="164">
      <c r="A164" s="26">
        <v>3118344.0</v>
      </c>
      <c r="B164" s="40">
        <v>44712.0</v>
      </c>
      <c r="C164" s="43" t="s">
        <v>206</v>
      </c>
      <c r="D164" s="29" t="s">
        <v>346</v>
      </c>
      <c r="E164" s="32" t="s">
        <v>39</v>
      </c>
      <c r="F164" s="32" t="s">
        <v>140</v>
      </c>
      <c r="G164" s="32"/>
      <c r="H164" s="32"/>
      <c r="I164" s="32"/>
      <c r="J164" s="32"/>
    </row>
    <row r="165">
      <c r="A165" s="26">
        <v>3129162.0</v>
      </c>
      <c r="B165" s="40">
        <v>44712.0</v>
      </c>
      <c r="C165" s="43" t="s">
        <v>206</v>
      </c>
      <c r="D165" s="29" t="s">
        <v>347</v>
      </c>
      <c r="E165" s="32" t="s">
        <v>105</v>
      </c>
      <c r="F165" s="32" t="s">
        <v>106</v>
      </c>
      <c r="G165" s="32"/>
      <c r="H165" s="32"/>
      <c r="I165" s="32"/>
      <c r="J165" s="32"/>
    </row>
    <row r="166">
      <c r="A166" s="26">
        <v>3351220.0</v>
      </c>
      <c r="B166" s="40">
        <v>44712.0</v>
      </c>
      <c r="C166" s="43" t="s">
        <v>37</v>
      </c>
      <c r="D166" s="29" t="s">
        <v>348</v>
      </c>
      <c r="E166" s="32" t="s">
        <v>45</v>
      </c>
      <c r="F166" s="32" t="s">
        <v>90</v>
      </c>
      <c r="G166" s="32"/>
      <c r="H166" s="32"/>
      <c r="I166" s="32"/>
      <c r="J166" s="32"/>
    </row>
    <row r="167">
      <c r="A167" s="26">
        <v>3451330.0</v>
      </c>
      <c r="B167" s="40">
        <v>44712.0</v>
      </c>
      <c r="C167" s="43" t="s">
        <v>37</v>
      </c>
      <c r="D167" s="29" t="s">
        <v>349</v>
      </c>
      <c r="E167" s="32" t="s">
        <v>189</v>
      </c>
      <c r="F167" s="32" t="s">
        <v>337</v>
      </c>
      <c r="G167" s="32"/>
      <c r="H167" s="32"/>
      <c r="I167" s="32"/>
      <c r="J167" s="32"/>
    </row>
    <row r="168">
      <c r="A168" s="26">
        <v>3526120.0</v>
      </c>
      <c r="B168" s="40">
        <v>44712.0</v>
      </c>
      <c r="C168" s="43" t="s">
        <v>37</v>
      </c>
      <c r="D168" s="29" t="s">
        <v>350</v>
      </c>
      <c r="E168" s="32" t="s">
        <v>45</v>
      </c>
      <c r="F168" s="32" t="s">
        <v>172</v>
      </c>
      <c r="G168" s="32"/>
      <c r="H168" s="32"/>
      <c r="I168" s="32"/>
      <c r="J168" s="32"/>
    </row>
    <row r="169">
      <c r="A169" s="26">
        <v>3706696.0</v>
      </c>
      <c r="B169" s="40">
        <v>44712.0</v>
      </c>
      <c r="C169" s="43" t="s">
        <v>70</v>
      </c>
      <c r="D169" s="29" t="s">
        <v>351</v>
      </c>
      <c r="E169" s="32" t="s">
        <v>96</v>
      </c>
      <c r="F169" s="32" t="s">
        <v>352</v>
      </c>
      <c r="G169" s="32"/>
      <c r="H169" s="32"/>
      <c r="I169" s="32"/>
      <c r="J169" s="32"/>
    </row>
    <row r="170">
      <c r="A170" s="33">
        <v>3869200.0</v>
      </c>
      <c r="B170" s="40">
        <v>44712.0</v>
      </c>
      <c r="C170" s="43" t="s">
        <v>37</v>
      </c>
      <c r="D170" s="29" t="s">
        <v>353</v>
      </c>
      <c r="E170" s="32" t="s">
        <v>45</v>
      </c>
      <c r="F170" s="32" t="s">
        <v>75</v>
      </c>
      <c r="G170" s="32"/>
      <c r="H170" s="32"/>
      <c r="I170" s="32"/>
      <c r="J170" s="32"/>
    </row>
    <row r="171">
      <c r="A171" s="26">
        <v>336628.0</v>
      </c>
      <c r="B171" s="40">
        <v>44712.0</v>
      </c>
      <c r="C171" s="43" t="s">
        <v>70</v>
      </c>
      <c r="D171" s="29" t="s">
        <v>354</v>
      </c>
      <c r="E171" s="32" t="s">
        <v>83</v>
      </c>
      <c r="F171" s="32" t="s">
        <v>153</v>
      </c>
      <c r="G171" s="32"/>
      <c r="H171" s="32"/>
      <c r="I171" s="32"/>
      <c r="J171" s="32"/>
    </row>
    <row r="172">
      <c r="A172" s="26">
        <v>481712.0</v>
      </c>
      <c r="B172" s="40">
        <v>44712.0</v>
      </c>
      <c r="C172" s="43" t="s">
        <v>70</v>
      </c>
      <c r="D172" s="29" t="s">
        <v>355</v>
      </c>
      <c r="E172" s="32" t="s">
        <v>39</v>
      </c>
      <c r="F172" s="32" t="s">
        <v>241</v>
      </c>
      <c r="G172" s="32"/>
      <c r="H172" s="32"/>
      <c r="I172" s="32"/>
      <c r="J172" s="32"/>
    </row>
    <row r="173">
      <c r="A173" s="26">
        <v>507078.0</v>
      </c>
      <c r="B173" s="40">
        <v>44712.0</v>
      </c>
      <c r="C173" s="43" t="s">
        <v>37</v>
      </c>
      <c r="D173" s="29" t="s">
        <v>356</v>
      </c>
      <c r="E173" s="32" t="s">
        <v>63</v>
      </c>
      <c r="F173" s="32" t="s">
        <v>115</v>
      </c>
      <c r="G173" s="32"/>
      <c r="H173" s="32"/>
      <c r="I173" s="32"/>
      <c r="J173" s="32"/>
    </row>
    <row r="174">
      <c r="A174" s="26">
        <v>714978.0</v>
      </c>
      <c r="B174" s="40">
        <v>44712.0</v>
      </c>
      <c r="C174" s="43" t="s">
        <v>37</v>
      </c>
      <c r="D174" s="29" t="s">
        <v>357</v>
      </c>
      <c r="E174" s="32" t="s">
        <v>63</v>
      </c>
      <c r="F174" s="32" t="s">
        <v>258</v>
      </c>
      <c r="G174" s="32"/>
      <c r="H174" s="32"/>
      <c r="I174" s="32"/>
      <c r="J174" s="32"/>
    </row>
    <row r="175">
      <c r="A175" s="26">
        <v>1015438.0</v>
      </c>
      <c r="B175" s="40">
        <v>44712.0</v>
      </c>
      <c r="C175" s="43" t="s">
        <v>187</v>
      </c>
      <c r="D175" s="29" t="s">
        <v>358</v>
      </c>
      <c r="E175" s="32" t="s">
        <v>63</v>
      </c>
      <c r="F175" s="32" t="s">
        <v>258</v>
      </c>
      <c r="G175" s="32"/>
      <c r="H175" s="32"/>
      <c r="I175" s="32"/>
      <c r="J175" s="32"/>
    </row>
    <row r="176">
      <c r="A176" s="36">
        <v>1019086.0</v>
      </c>
      <c r="B176" s="40">
        <v>44712.0</v>
      </c>
      <c r="C176" s="43" t="s">
        <v>142</v>
      </c>
      <c r="D176" s="29" t="s">
        <v>359</v>
      </c>
      <c r="E176" s="32" t="s">
        <v>58</v>
      </c>
      <c r="F176" s="32" t="s">
        <v>161</v>
      </c>
      <c r="G176" s="32"/>
      <c r="H176" s="32"/>
      <c r="I176" s="32"/>
      <c r="J176" s="32"/>
    </row>
    <row r="177">
      <c r="A177" s="36">
        <v>1227216.0</v>
      </c>
      <c r="B177" s="40">
        <v>44712.0</v>
      </c>
      <c r="C177" s="43" t="s">
        <v>187</v>
      </c>
      <c r="D177" s="29" t="s">
        <v>360</v>
      </c>
      <c r="E177" s="32" t="s">
        <v>39</v>
      </c>
      <c r="F177" s="32" t="s">
        <v>54</v>
      </c>
      <c r="G177" s="32"/>
      <c r="H177" s="32"/>
      <c r="I177" s="32"/>
      <c r="J177" s="32"/>
    </row>
    <row r="178">
      <c r="A178" s="36">
        <v>1262988.0</v>
      </c>
      <c r="B178" s="40">
        <v>44712.0</v>
      </c>
      <c r="C178" s="43" t="s">
        <v>170</v>
      </c>
      <c r="D178" s="29" t="s">
        <v>361</v>
      </c>
      <c r="E178" s="32" t="s">
        <v>105</v>
      </c>
      <c r="F178" s="32" t="s">
        <v>316</v>
      </c>
      <c r="G178" s="32"/>
      <c r="H178" s="32"/>
      <c r="I178" s="32"/>
      <c r="J178" s="32"/>
    </row>
    <row r="179">
      <c r="A179" s="36">
        <v>1321492.0</v>
      </c>
      <c r="B179" s="40">
        <v>44712.0</v>
      </c>
      <c r="C179" s="43" t="s">
        <v>142</v>
      </c>
      <c r="D179" s="29" t="s">
        <v>362</v>
      </c>
      <c r="E179" s="32" t="s">
        <v>83</v>
      </c>
      <c r="F179" s="32" t="s">
        <v>330</v>
      </c>
      <c r="G179" s="32"/>
      <c r="H179" s="32"/>
      <c r="I179" s="32"/>
      <c r="J179" s="32"/>
    </row>
    <row r="180">
      <c r="A180" s="36">
        <v>1436102.0</v>
      </c>
      <c r="B180" s="40">
        <v>44712.0</v>
      </c>
      <c r="C180" s="43" t="s">
        <v>170</v>
      </c>
      <c r="D180" s="29" t="s">
        <v>363</v>
      </c>
      <c r="E180" s="32" t="s">
        <v>83</v>
      </c>
      <c r="F180" s="32" t="s">
        <v>153</v>
      </c>
      <c r="G180" s="32"/>
      <c r="H180" s="32"/>
      <c r="I180" s="32"/>
      <c r="J180" s="32"/>
    </row>
    <row r="181">
      <c r="A181" s="36">
        <v>1550366.0</v>
      </c>
      <c r="B181" s="40">
        <v>44712.0</v>
      </c>
      <c r="C181" s="43" t="s">
        <v>70</v>
      </c>
      <c r="D181" s="29" t="s">
        <v>364</v>
      </c>
      <c r="E181" s="32" t="s">
        <v>45</v>
      </c>
      <c r="F181" s="32" t="s">
        <v>172</v>
      </c>
      <c r="G181" s="32"/>
      <c r="H181" s="32"/>
      <c r="I181" s="32"/>
      <c r="J181" s="32"/>
    </row>
    <row r="182">
      <c r="A182" s="36">
        <v>1605180.0</v>
      </c>
      <c r="B182" s="40">
        <v>44712.0</v>
      </c>
      <c r="C182" s="43" t="s">
        <v>37</v>
      </c>
      <c r="D182" s="29" t="s">
        <v>365</v>
      </c>
      <c r="E182" s="32" t="s">
        <v>45</v>
      </c>
      <c r="F182" s="32" t="s">
        <v>90</v>
      </c>
      <c r="G182" s="32"/>
      <c r="H182" s="32"/>
      <c r="I182" s="32"/>
      <c r="J182" s="32"/>
    </row>
    <row r="183">
      <c r="A183" s="36">
        <v>1691572.0</v>
      </c>
      <c r="B183" s="40">
        <v>44712.0</v>
      </c>
      <c r="C183" s="43" t="s">
        <v>37</v>
      </c>
      <c r="D183" s="29" t="s">
        <v>366</v>
      </c>
      <c r="E183" s="32" t="s">
        <v>39</v>
      </c>
      <c r="F183" s="32" t="s">
        <v>214</v>
      </c>
      <c r="G183" s="32"/>
      <c r="H183" s="32"/>
      <c r="I183" s="32"/>
      <c r="J183" s="32"/>
    </row>
    <row r="184">
      <c r="A184" s="36">
        <v>1833306.0</v>
      </c>
      <c r="B184" s="40">
        <v>44712.0</v>
      </c>
      <c r="C184" s="43" t="s">
        <v>142</v>
      </c>
      <c r="D184" s="29" t="s">
        <v>367</v>
      </c>
      <c r="E184" s="32" t="s">
        <v>39</v>
      </c>
      <c r="F184" s="32" t="s">
        <v>297</v>
      </c>
      <c r="G184" s="32"/>
      <c r="H184" s="32"/>
      <c r="I184" s="32"/>
      <c r="J184" s="32"/>
    </row>
    <row r="185">
      <c r="A185" s="36">
        <v>2111190.0</v>
      </c>
      <c r="B185" s="40">
        <v>44712.0</v>
      </c>
      <c r="C185" s="43" t="s">
        <v>70</v>
      </c>
      <c r="D185" s="29" t="s">
        <v>368</v>
      </c>
      <c r="E185" s="32" t="s">
        <v>39</v>
      </c>
      <c r="F185" s="32" t="s">
        <v>140</v>
      </c>
      <c r="G185" s="32"/>
      <c r="H185" s="32"/>
      <c r="I185" s="32"/>
      <c r="J185" s="32"/>
    </row>
    <row r="186">
      <c r="A186" s="36">
        <v>2278183.0</v>
      </c>
      <c r="B186" s="40">
        <v>44712.0</v>
      </c>
      <c r="C186" s="43" t="s">
        <v>37</v>
      </c>
      <c r="D186" s="29" t="s">
        <v>369</v>
      </c>
      <c r="E186" s="32" t="s">
        <v>45</v>
      </c>
      <c r="F186" s="32" t="s">
        <v>75</v>
      </c>
      <c r="G186" s="32"/>
      <c r="H186" s="32"/>
      <c r="I186" s="32"/>
      <c r="J186" s="32"/>
    </row>
    <row r="187">
      <c r="A187" s="36">
        <v>2335338.0</v>
      </c>
      <c r="B187" s="40">
        <v>44712.0</v>
      </c>
      <c r="C187" s="43" t="s">
        <v>43</v>
      </c>
      <c r="D187" s="29" t="s">
        <v>370</v>
      </c>
      <c r="E187" s="32" t="s">
        <v>83</v>
      </c>
      <c r="F187" s="32" t="s">
        <v>285</v>
      </c>
      <c r="G187" s="32"/>
      <c r="H187" s="32"/>
      <c r="I187" s="32"/>
      <c r="J187" s="32"/>
    </row>
    <row r="188">
      <c r="A188" s="36">
        <v>2463454.0</v>
      </c>
      <c r="B188" s="40">
        <v>44712.0</v>
      </c>
      <c r="C188" s="43" t="s">
        <v>37</v>
      </c>
      <c r="D188" s="29" t="s">
        <v>371</v>
      </c>
      <c r="E188" s="32" t="s">
        <v>39</v>
      </c>
      <c r="F188" s="32" t="s">
        <v>140</v>
      </c>
      <c r="G188" s="32"/>
      <c r="H188" s="32"/>
      <c r="I188" s="32"/>
      <c r="J188" s="32"/>
    </row>
    <row r="189">
      <c r="A189" s="36">
        <v>2774302.0</v>
      </c>
      <c r="B189" s="40">
        <v>44712.0</v>
      </c>
      <c r="C189" s="43" t="s">
        <v>37</v>
      </c>
      <c r="D189" s="29" t="s">
        <v>372</v>
      </c>
      <c r="E189" s="32" t="s">
        <v>39</v>
      </c>
      <c r="F189" s="32" t="s">
        <v>140</v>
      </c>
      <c r="G189" s="32"/>
      <c r="H189" s="32"/>
      <c r="I189" s="32"/>
      <c r="J189" s="32"/>
    </row>
    <row r="190">
      <c r="A190" s="36">
        <v>2975316.0</v>
      </c>
      <c r="B190" s="40">
        <v>44712.0</v>
      </c>
      <c r="C190" s="43" t="s">
        <v>142</v>
      </c>
      <c r="D190" s="29" t="s">
        <v>373</v>
      </c>
      <c r="E190" s="32" t="s">
        <v>39</v>
      </c>
      <c r="F190" s="32" t="s">
        <v>113</v>
      </c>
      <c r="G190" s="32"/>
      <c r="H190" s="32"/>
      <c r="I190" s="32"/>
      <c r="J190" s="32"/>
    </row>
    <row r="191">
      <c r="A191" s="36">
        <v>3083514.0</v>
      </c>
      <c r="B191" s="40">
        <v>44712.0</v>
      </c>
      <c r="C191" s="43" t="s">
        <v>142</v>
      </c>
      <c r="D191" s="29" t="s">
        <v>374</v>
      </c>
      <c r="E191" s="32" t="s">
        <v>122</v>
      </c>
      <c r="F191" s="32" t="s">
        <v>123</v>
      </c>
      <c r="G191" s="32"/>
      <c r="H191" s="32"/>
      <c r="I191" s="32"/>
      <c r="J191" s="32"/>
    </row>
    <row r="192">
      <c r="A192" s="36">
        <v>3101698.0</v>
      </c>
      <c r="B192" s="40">
        <v>44712.0</v>
      </c>
      <c r="C192" s="41" t="s">
        <v>37</v>
      </c>
      <c r="D192" s="29" t="s">
        <v>375</v>
      </c>
      <c r="E192" s="32" t="e">
        <v>#N/A</v>
      </c>
      <c r="F192" s="32" t="e">
        <v>#N/A</v>
      </c>
      <c r="G192" s="32"/>
      <c r="H192" s="32"/>
      <c r="I192" s="32"/>
      <c r="J192" s="32"/>
    </row>
    <row r="193">
      <c r="A193" s="36">
        <v>3208413.0</v>
      </c>
      <c r="B193" s="40">
        <v>44712.0</v>
      </c>
      <c r="C193" s="43" t="s">
        <v>43</v>
      </c>
      <c r="D193" s="29" t="s">
        <v>376</v>
      </c>
      <c r="E193" s="32" t="s">
        <v>144</v>
      </c>
      <c r="F193" s="32" t="s">
        <v>377</v>
      </c>
      <c r="G193" s="32"/>
      <c r="H193" s="32"/>
      <c r="I193" s="32"/>
      <c r="J193" s="32"/>
    </row>
    <row r="194">
      <c r="A194" s="36">
        <v>3296310.0</v>
      </c>
      <c r="B194" s="40">
        <v>44712.0</v>
      </c>
      <c r="C194" s="43" t="s">
        <v>37</v>
      </c>
      <c r="D194" s="29" t="s">
        <v>378</v>
      </c>
      <c r="E194" s="32" t="s">
        <v>58</v>
      </c>
      <c r="F194" s="32" t="s">
        <v>167</v>
      </c>
      <c r="G194" s="32">
        <v>692418.0</v>
      </c>
      <c r="H194" s="32" t="s">
        <v>379</v>
      </c>
      <c r="I194" s="32"/>
      <c r="J194" s="32"/>
    </row>
    <row r="195">
      <c r="A195" s="51">
        <v>1214088.0</v>
      </c>
      <c r="B195" s="52">
        <v>44681.0</v>
      </c>
      <c r="C195" s="43" t="s">
        <v>70</v>
      </c>
      <c r="D195" s="29" t="s">
        <v>380</v>
      </c>
      <c r="E195" s="32" t="s">
        <v>219</v>
      </c>
      <c r="F195" s="32" t="s">
        <v>220</v>
      </c>
      <c r="G195" s="32"/>
      <c r="H195" s="32"/>
      <c r="I195" s="32"/>
      <c r="J195" s="32"/>
    </row>
    <row r="196">
      <c r="A196" s="51">
        <v>1230710.0</v>
      </c>
      <c r="B196" s="52">
        <v>44681.0</v>
      </c>
      <c r="C196" s="43" t="s">
        <v>70</v>
      </c>
      <c r="D196" s="29" t="s">
        <v>381</v>
      </c>
      <c r="E196" s="32" t="s">
        <v>122</v>
      </c>
      <c r="F196" s="32" t="s">
        <v>127</v>
      </c>
      <c r="G196" s="32"/>
      <c r="H196" s="32"/>
      <c r="I196" s="32"/>
      <c r="J196" s="32"/>
    </row>
    <row r="197">
      <c r="A197" s="51">
        <v>1115290.0</v>
      </c>
      <c r="B197" s="52">
        <v>44681.0</v>
      </c>
      <c r="C197" s="43" t="s">
        <v>43</v>
      </c>
      <c r="D197" s="29" t="s">
        <v>382</v>
      </c>
      <c r="E197" s="32" t="s">
        <v>45</v>
      </c>
      <c r="F197" s="32" t="s">
        <v>75</v>
      </c>
      <c r="G197" s="32"/>
      <c r="H197" s="32"/>
      <c r="I197" s="32"/>
      <c r="J197" s="32"/>
    </row>
    <row r="198">
      <c r="A198" s="53">
        <v>2997692.0</v>
      </c>
      <c r="B198" s="54">
        <v>44681.0</v>
      </c>
      <c r="C198" s="43" t="s">
        <v>37</v>
      </c>
      <c r="D198" s="29" t="s">
        <v>383</v>
      </c>
      <c r="E198" s="32" t="s">
        <v>45</v>
      </c>
      <c r="F198" s="32" t="s">
        <v>75</v>
      </c>
      <c r="G198" s="32"/>
      <c r="H198" s="32"/>
      <c r="I198" s="32"/>
      <c r="J198" s="32"/>
    </row>
    <row r="199">
      <c r="A199" s="53">
        <v>2053219.0</v>
      </c>
      <c r="B199" s="54">
        <v>44681.0</v>
      </c>
      <c r="C199" s="43" t="s">
        <v>37</v>
      </c>
      <c r="D199" s="29" t="s">
        <v>384</v>
      </c>
      <c r="E199" s="32" t="s">
        <v>39</v>
      </c>
      <c r="F199" s="32" t="s">
        <v>140</v>
      </c>
      <c r="G199" s="32"/>
      <c r="H199" s="32"/>
      <c r="I199" s="32"/>
      <c r="J199" s="32"/>
    </row>
    <row r="200">
      <c r="A200" s="51">
        <v>2759198.0</v>
      </c>
      <c r="B200" s="54">
        <v>44681.0</v>
      </c>
      <c r="C200" s="43" t="s">
        <v>215</v>
      </c>
      <c r="D200" s="29" t="s">
        <v>385</v>
      </c>
      <c r="E200" s="32" t="s">
        <v>39</v>
      </c>
      <c r="F200" s="32" t="s">
        <v>54</v>
      </c>
      <c r="G200" s="32"/>
      <c r="H200" s="32"/>
      <c r="I200" s="32"/>
      <c r="J200" s="32"/>
    </row>
    <row r="201">
      <c r="A201" s="51">
        <v>820114.0</v>
      </c>
      <c r="B201" s="54">
        <v>44681.0</v>
      </c>
      <c r="C201" s="43" t="s">
        <v>37</v>
      </c>
      <c r="D201" s="29" t="s">
        <v>386</v>
      </c>
      <c r="E201" s="32" t="s">
        <v>96</v>
      </c>
      <c r="F201" s="32" t="s">
        <v>109</v>
      </c>
      <c r="G201" s="32"/>
      <c r="H201" s="32"/>
      <c r="I201" s="32"/>
      <c r="J201" s="32"/>
    </row>
    <row r="202">
      <c r="A202" s="26">
        <v>3971238.0</v>
      </c>
      <c r="B202" s="54">
        <v>44681.0</v>
      </c>
      <c r="C202" s="43" t="s">
        <v>70</v>
      </c>
      <c r="D202" s="29" t="s">
        <v>387</v>
      </c>
      <c r="E202" s="32" t="s">
        <v>39</v>
      </c>
      <c r="F202" s="32" t="s">
        <v>140</v>
      </c>
      <c r="G202" s="32"/>
      <c r="H202" s="32"/>
      <c r="I202" s="32"/>
      <c r="J202" s="32"/>
    </row>
    <row r="203">
      <c r="A203" s="26">
        <v>3623532.0</v>
      </c>
      <c r="B203" s="54">
        <v>44681.0</v>
      </c>
      <c r="C203" s="43" t="s">
        <v>70</v>
      </c>
      <c r="D203" s="29" t="s">
        <v>388</v>
      </c>
      <c r="E203" s="32" t="s">
        <v>39</v>
      </c>
      <c r="F203" s="32" t="s">
        <v>140</v>
      </c>
      <c r="G203" s="32"/>
      <c r="H203" s="32"/>
      <c r="I203" s="32"/>
      <c r="J203" s="32"/>
    </row>
    <row r="204">
      <c r="A204" s="50">
        <v>542654.0</v>
      </c>
      <c r="B204" s="54">
        <v>44681.0</v>
      </c>
      <c r="C204" s="43" t="s">
        <v>206</v>
      </c>
      <c r="D204" s="29" t="s">
        <v>389</v>
      </c>
      <c r="E204" s="32" t="s">
        <v>219</v>
      </c>
      <c r="F204" s="32" t="s">
        <v>220</v>
      </c>
      <c r="G204" s="32"/>
      <c r="H204" s="32"/>
      <c r="I204" s="32"/>
      <c r="J204" s="32"/>
    </row>
    <row r="205">
      <c r="A205" s="49">
        <v>2745122.0</v>
      </c>
      <c r="B205" s="54">
        <v>44681.0</v>
      </c>
      <c r="C205" s="43" t="s">
        <v>37</v>
      </c>
      <c r="D205" s="29" t="s">
        <v>390</v>
      </c>
      <c r="E205" s="32" t="s">
        <v>45</v>
      </c>
      <c r="F205" s="32" t="s">
        <v>75</v>
      </c>
      <c r="G205" s="32"/>
      <c r="H205" s="32"/>
      <c r="I205" s="32"/>
      <c r="J205" s="32"/>
    </row>
    <row r="206">
      <c r="A206" s="33">
        <v>2137242.0</v>
      </c>
      <c r="B206" s="54">
        <v>44681.0</v>
      </c>
      <c r="C206" s="43" t="s">
        <v>142</v>
      </c>
      <c r="D206" s="29" t="s">
        <v>301</v>
      </c>
      <c r="E206" s="32" t="s">
        <v>189</v>
      </c>
      <c r="F206" s="32" t="s">
        <v>300</v>
      </c>
      <c r="G206" s="32"/>
      <c r="H206" s="32"/>
      <c r="I206" s="32"/>
      <c r="J206" s="32"/>
    </row>
    <row r="207">
      <c r="A207" s="26">
        <v>2516268.0</v>
      </c>
      <c r="B207" s="54">
        <v>44681.0</v>
      </c>
      <c r="C207" s="43" t="s">
        <v>142</v>
      </c>
      <c r="D207" s="29" t="s">
        <v>391</v>
      </c>
      <c r="E207" s="32" t="s">
        <v>189</v>
      </c>
      <c r="F207" s="32" t="s">
        <v>337</v>
      </c>
      <c r="G207" s="32"/>
      <c r="H207" s="32"/>
      <c r="I207" s="32"/>
      <c r="J207" s="32"/>
    </row>
    <row r="208">
      <c r="A208" s="55">
        <v>3043952.0</v>
      </c>
      <c r="B208" s="54">
        <v>44681.0</v>
      </c>
      <c r="C208" s="43" t="s">
        <v>215</v>
      </c>
      <c r="D208" s="29" t="s">
        <v>392</v>
      </c>
      <c r="E208" s="32" t="s">
        <v>58</v>
      </c>
      <c r="F208" s="32" t="s">
        <v>86</v>
      </c>
      <c r="G208" s="32"/>
      <c r="H208" s="32"/>
      <c r="I208" s="32"/>
      <c r="J208" s="32"/>
    </row>
    <row r="209">
      <c r="A209" s="51">
        <v>1588828.0</v>
      </c>
      <c r="B209" s="54">
        <v>44681.0</v>
      </c>
      <c r="C209" s="43" t="s">
        <v>393</v>
      </c>
      <c r="D209" s="29" t="s">
        <v>394</v>
      </c>
      <c r="E209" s="32" t="s">
        <v>101</v>
      </c>
      <c r="F209" s="32" t="s">
        <v>203</v>
      </c>
      <c r="G209" s="32"/>
      <c r="H209" s="32"/>
      <c r="I209" s="32"/>
      <c r="J209" s="32"/>
    </row>
    <row r="210">
      <c r="A210" s="26">
        <v>3156084.0</v>
      </c>
      <c r="B210" s="40">
        <v>44712.0</v>
      </c>
      <c r="C210" s="43" t="s">
        <v>395</v>
      </c>
      <c r="D210" s="29" t="s">
        <v>396</v>
      </c>
      <c r="E210" s="32" t="s">
        <v>79</v>
      </c>
      <c r="F210" s="32" t="s">
        <v>261</v>
      </c>
      <c r="G210" s="32"/>
      <c r="H210" s="32"/>
      <c r="I210" s="32"/>
      <c r="J210" s="32"/>
    </row>
    <row r="211">
      <c r="A211" s="26">
        <v>2864648.0</v>
      </c>
      <c r="B211" s="40">
        <v>44712.0</v>
      </c>
      <c r="C211" s="43" t="s">
        <v>395</v>
      </c>
      <c r="D211" s="29" t="s">
        <v>397</v>
      </c>
      <c r="E211" s="32" t="s">
        <v>39</v>
      </c>
      <c r="F211" s="32" t="s">
        <v>140</v>
      </c>
      <c r="G211" s="32"/>
      <c r="H211" s="32"/>
      <c r="I211" s="32"/>
      <c r="J211" s="32"/>
    </row>
    <row r="212">
      <c r="A212" s="26">
        <v>2486704.0</v>
      </c>
      <c r="B212" s="40">
        <v>44712.0</v>
      </c>
      <c r="C212" s="43" t="s">
        <v>395</v>
      </c>
      <c r="D212" s="29" t="s">
        <v>398</v>
      </c>
      <c r="E212" s="32" t="s">
        <v>39</v>
      </c>
      <c r="F212" s="32" t="s">
        <v>140</v>
      </c>
      <c r="G212" s="32"/>
      <c r="H212" s="32"/>
      <c r="I212" s="32"/>
      <c r="J212" s="32"/>
    </row>
    <row r="213">
      <c r="A213" s="26">
        <v>2650970.0</v>
      </c>
      <c r="B213" s="40">
        <v>44712.0</v>
      </c>
      <c r="C213" s="43" t="s">
        <v>395</v>
      </c>
      <c r="D213" s="29" t="s">
        <v>399</v>
      </c>
      <c r="E213" s="32" t="s">
        <v>39</v>
      </c>
      <c r="F213" s="32" t="s">
        <v>214</v>
      </c>
      <c r="G213" s="32"/>
      <c r="H213" s="32"/>
      <c r="I213" s="32"/>
      <c r="J213" s="32"/>
    </row>
    <row r="214">
      <c r="A214" s="26">
        <v>3699478.0</v>
      </c>
      <c r="B214" s="40">
        <v>44712.0</v>
      </c>
      <c r="C214" s="43" t="s">
        <v>395</v>
      </c>
      <c r="D214" s="29" t="s">
        <v>400</v>
      </c>
      <c r="E214" s="32" t="s">
        <v>39</v>
      </c>
      <c r="F214" s="32" t="s">
        <v>54</v>
      </c>
      <c r="G214" s="32"/>
      <c r="H214" s="32"/>
      <c r="I214" s="32"/>
      <c r="J214" s="32"/>
    </row>
    <row r="215">
      <c r="A215" s="26">
        <v>2708348.0</v>
      </c>
      <c r="B215" s="40">
        <v>44712.0</v>
      </c>
      <c r="C215" s="43" t="s">
        <v>395</v>
      </c>
      <c r="D215" s="29" t="s">
        <v>401</v>
      </c>
      <c r="E215" s="32" t="s">
        <v>39</v>
      </c>
      <c r="F215" s="32" t="s">
        <v>140</v>
      </c>
      <c r="G215" s="32"/>
      <c r="H215" s="32"/>
      <c r="I215" s="32"/>
      <c r="J215" s="32"/>
    </row>
    <row r="216">
      <c r="A216" s="26">
        <v>2940352.0</v>
      </c>
      <c r="B216" s="40">
        <v>44712.0</v>
      </c>
      <c r="C216" s="43" t="s">
        <v>395</v>
      </c>
      <c r="D216" s="29" t="s">
        <v>402</v>
      </c>
      <c r="E216" s="32" t="s">
        <v>39</v>
      </c>
      <c r="F216" s="32" t="s">
        <v>140</v>
      </c>
      <c r="G216" s="32"/>
      <c r="H216" s="32"/>
      <c r="I216" s="32"/>
      <c r="J216" s="32"/>
    </row>
    <row r="217">
      <c r="A217" s="26">
        <v>3072474.0</v>
      </c>
      <c r="B217" s="40">
        <v>44712.0</v>
      </c>
      <c r="C217" s="43" t="s">
        <v>70</v>
      </c>
      <c r="D217" s="29" t="s">
        <v>403</v>
      </c>
      <c r="E217" s="32" t="s">
        <v>83</v>
      </c>
      <c r="F217" s="32" t="s">
        <v>84</v>
      </c>
      <c r="G217" s="32"/>
      <c r="H217" s="32"/>
      <c r="I217" s="32"/>
      <c r="J217" s="32"/>
    </row>
    <row r="218">
      <c r="A218" s="53">
        <v>1852524.0</v>
      </c>
      <c r="B218" s="52">
        <v>44712.0</v>
      </c>
      <c r="C218" s="43" t="s">
        <v>70</v>
      </c>
      <c r="D218" s="29" t="s">
        <v>404</v>
      </c>
      <c r="E218" s="32" t="s">
        <v>105</v>
      </c>
      <c r="F218" s="32" t="s">
        <v>198</v>
      </c>
      <c r="G218" s="32"/>
      <c r="H218" s="32"/>
      <c r="I218" s="32"/>
      <c r="J218" s="32"/>
    </row>
    <row r="219">
      <c r="A219" s="51">
        <v>3573079.0</v>
      </c>
      <c r="B219" s="52">
        <v>44712.0</v>
      </c>
      <c r="C219" s="43" t="s">
        <v>37</v>
      </c>
      <c r="D219" s="29" t="s">
        <v>120</v>
      </c>
      <c r="E219" s="32" t="s">
        <v>45</v>
      </c>
      <c r="F219" s="32" t="s">
        <v>75</v>
      </c>
      <c r="G219" s="32"/>
      <c r="H219" s="32"/>
      <c r="I219" s="32"/>
      <c r="J219" s="32"/>
    </row>
    <row r="220">
      <c r="A220" s="51">
        <v>2556876.0</v>
      </c>
      <c r="B220" s="52">
        <v>44712.0</v>
      </c>
      <c r="C220" s="43" t="s">
        <v>170</v>
      </c>
      <c r="D220" s="29" t="s">
        <v>405</v>
      </c>
      <c r="E220" s="32" t="s">
        <v>39</v>
      </c>
      <c r="F220" s="32" t="s">
        <v>54</v>
      </c>
      <c r="G220" s="32"/>
      <c r="H220" s="32"/>
      <c r="I220" s="32"/>
      <c r="J220" s="32"/>
    </row>
    <row r="221">
      <c r="A221" s="51">
        <v>2071361.0</v>
      </c>
      <c r="B221" s="52">
        <v>44712.0</v>
      </c>
      <c r="C221" s="43" t="s">
        <v>170</v>
      </c>
      <c r="D221" s="29" t="s">
        <v>406</v>
      </c>
      <c r="E221" s="32" t="s">
        <v>39</v>
      </c>
      <c r="F221" s="32" t="s">
        <v>140</v>
      </c>
      <c r="G221" s="32"/>
      <c r="H221" s="32"/>
      <c r="I221" s="32"/>
      <c r="J221" s="32"/>
    </row>
    <row r="222">
      <c r="A222" s="51">
        <v>1484660.0</v>
      </c>
      <c r="B222" s="52">
        <v>44712.0</v>
      </c>
      <c r="C222" s="43" t="s">
        <v>170</v>
      </c>
      <c r="D222" s="29" t="s">
        <v>407</v>
      </c>
      <c r="E222" s="32" t="s">
        <v>39</v>
      </c>
      <c r="F222" s="32" t="s">
        <v>140</v>
      </c>
      <c r="G222" s="32"/>
      <c r="H222" s="32"/>
      <c r="I222" s="32"/>
      <c r="J222" s="32"/>
    </row>
    <row r="223">
      <c r="A223" s="51">
        <v>1347140.0</v>
      </c>
      <c r="B223" s="52">
        <v>44712.0</v>
      </c>
      <c r="C223" s="43" t="s">
        <v>170</v>
      </c>
      <c r="D223" s="29" t="s">
        <v>408</v>
      </c>
      <c r="E223" s="32" t="s">
        <v>39</v>
      </c>
      <c r="F223" s="32" t="s">
        <v>54</v>
      </c>
      <c r="G223" s="32"/>
      <c r="H223" s="32"/>
      <c r="I223" s="32"/>
      <c r="J223" s="32"/>
    </row>
    <row r="224">
      <c r="A224" s="51">
        <v>3057822.0</v>
      </c>
      <c r="B224" s="52">
        <v>44712.0</v>
      </c>
      <c r="C224" s="43" t="s">
        <v>170</v>
      </c>
      <c r="D224" s="29" t="s">
        <v>409</v>
      </c>
      <c r="E224" s="32" t="s">
        <v>39</v>
      </c>
      <c r="F224" s="32" t="s">
        <v>140</v>
      </c>
      <c r="G224" s="32"/>
      <c r="H224" s="32"/>
      <c r="I224" s="32"/>
      <c r="J224" s="32"/>
    </row>
    <row r="225">
      <c r="A225" s="51">
        <v>3225647.0</v>
      </c>
      <c r="B225" s="52">
        <v>44712.0</v>
      </c>
      <c r="C225" s="43" t="s">
        <v>170</v>
      </c>
      <c r="D225" s="29" t="s">
        <v>410</v>
      </c>
      <c r="E225" s="32" t="s">
        <v>39</v>
      </c>
      <c r="F225" s="32" t="s">
        <v>50</v>
      </c>
      <c r="G225" s="32"/>
      <c r="H225" s="32"/>
      <c r="I225" s="32"/>
      <c r="J225" s="32"/>
    </row>
    <row r="226">
      <c r="A226" s="51">
        <v>2126948.0</v>
      </c>
      <c r="B226" s="52">
        <v>44742.0</v>
      </c>
      <c r="C226" s="43" t="s">
        <v>37</v>
      </c>
      <c r="D226" s="29" t="s">
        <v>411</v>
      </c>
      <c r="E226" s="32" t="s">
        <v>39</v>
      </c>
      <c r="F226" s="32" t="s">
        <v>214</v>
      </c>
      <c r="G226" s="32"/>
      <c r="H226" s="32"/>
      <c r="I226" s="32"/>
      <c r="J226" s="32"/>
    </row>
    <row r="227">
      <c r="A227" s="26">
        <v>28295.0</v>
      </c>
      <c r="B227" s="52">
        <v>44742.0</v>
      </c>
      <c r="C227" s="43" t="s">
        <v>37</v>
      </c>
      <c r="D227" s="29" t="s">
        <v>412</v>
      </c>
      <c r="E227" s="32" t="s">
        <v>105</v>
      </c>
      <c r="F227" s="32" t="s">
        <v>316</v>
      </c>
      <c r="G227" s="32"/>
      <c r="H227" s="32" t="s">
        <v>47</v>
      </c>
      <c r="I227" s="32"/>
      <c r="J227" s="32" t="s">
        <v>47</v>
      </c>
    </row>
    <row r="228">
      <c r="A228" s="26">
        <v>34897.0</v>
      </c>
      <c r="B228" s="52">
        <v>44742.0</v>
      </c>
      <c r="C228" s="43" t="s">
        <v>37</v>
      </c>
      <c r="D228" s="29" t="s">
        <v>413</v>
      </c>
      <c r="E228" s="32" t="s">
        <v>39</v>
      </c>
      <c r="F228" s="32" t="s">
        <v>54</v>
      </c>
      <c r="G228" s="32"/>
      <c r="H228" s="32" t="s">
        <v>47</v>
      </c>
      <c r="I228" s="32"/>
      <c r="J228" s="32" t="s">
        <v>47</v>
      </c>
    </row>
    <row r="229">
      <c r="A229" s="26">
        <v>265578.0</v>
      </c>
      <c r="B229" s="52">
        <v>44742.0</v>
      </c>
      <c r="C229" s="43" t="s">
        <v>37</v>
      </c>
      <c r="D229" s="29" t="s">
        <v>414</v>
      </c>
      <c r="E229" s="32" t="s">
        <v>79</v>
      </c>
      <c r="F229" s="32" t="s">
        <v>184</v>
      </c>
      <c r="G229" s="32"/>
      <c r="H229" s="32" t="s">
        <v>47</v>
      </c>
      <c r="I229" s="32"/>
      <c r="J229" s="32" t="s">
        <v>47</v>
      </c>
    </row>
    <row r="230">
      <c r="A230" s="26">
        <v>828042.0</v>
      </c>
      <c r="B230" s="52">
        <v>44742.0</v>
      </c>
      <c r="C230" s="43" t="s">
        <v>37</v>
      </c>
      <c r="D230" s="29" t="s">
        <v>415</v>
      </c>
      <c r="E230" s="32" t="s">
        <v>39</v>
      </c>
      <c r="F230" s="32" t="s">
        <v>140</v>
      </c>
      <c r="G230" s="32"/>
      <c r="H230" s="32" t="s">
        <v>47</v>
      </c>
      <c r="I230" s="32"/>
      <c r="J230" s="32" t="s">
        <v>47</v>
      </c>
    </row>
    <row r="231">
      <c r="A231" s="26">
        <v>1134644.0</v>
      </c>
      <c r="B231" s="52">
        <v>44742.0</v>
      </c>
      <c r="C231" s="43" t="s">
        <v>170</v>
      </c>
      <c r="D231" s="29" t="s">
        <v>416</v>
      </c>
      <c r="E231" s="32" t="s">
        <v>39</v>
      </c>
      <c r="F231" s="32" t="s">
        <v>140</v>
      </c>
      <c r="G231" s="32"/>
      <c r="H231" s="32" t="s">
        <v>47</v>
      </c>
      <c r="I231" s="32"/>
      <c r="J231" s="32" t="s">
        <v>47</v>
      </c>
    </row>
    <row r="232">
      <c r="A232" s="26">
        <v>1156926.0</v>
      </c>
      <c r="B232" s="52">
        <v>44742.0</v>
      </c>
      <c r="C232" s="43" t="s">
        <v>70</v>
      </c>
      <c r="D232" s="29" t="s">
        <v>417</v>
      </c>
      <c r="E232" s="32" t="s">
        <v>39</v>
      </c>
      <c r="F232" s="32" t="s">
        <v>140</v>
      </c>
      <c r="G232" s="32"/>
      <c r="H232" s="32" t="s">
        <v>47</v>
      </c>
      <c r="I232" s="32"/>
      <c r="J232" s="32" t="s">
        <v>47</v>
      </c>
    </row>
    <row r="233">
      <c r="A233" s="26">
        <v>1278290.0</v>
      </c>
      <c r="B233" s="52">
        <v>44742.0</v>
      </c>
      <c r="C233" s="43" t="s">
        <v>37</v>
      </c>
      <c r="D233" s="29" t="s">
        <v>418</v>
      </c>
      <c r="E233" s="32" t="s">
        <v>58</v>
      </c>
      <c r="F233" s="32" t="s">
        <v>234</v>
      </c>
      <c r="G233" s="32"/>
      <c r="H233" s="32" t="s">
        <v>47</v>
      </c>
      <c r="I233" s="32"/>
      <c r="J233" s="32" t="s">
        <v>47</v>
      </c>
    </row>
    <row r="234">
      <c r="A234" s="26">
        <v>1323124.0</v>
      </c>
      <c r="B234" s="52">
        <v>44742.0</v>
      </c>
      <c r="C234" s="43" t="s">
        <v>170</v>
      </c>
      <c r="D234" s="29" t="s">
        <v>419</v>
      </c>
      <c r="E234" s="32" t="s">
        <v>83</v>
      </c>
      <c r="F234" s="32" t="s">
        <v>94</v>
      </c>
      <c r="G234" s="32"/>
      <c r="H234" s="32" t="s">
        <v>47</v>
      </c>
      <c r="I234" s="32"/>
      <c r="J234" s="32" t="s">
        <v>47</v>
      </c>
    </row>
    <row r="235">
      <c r="A235" s="26">
        <v>1361684.0</v>
      </c>
      <c r="B235" s="52">
        <v>44742.0</v>
      </c>
      <c r="C235" s="43" t="s">
        <v>70</v>
      </c>
      <c r="D235" s="29" t="s">
        <v>420</v>
      </c>
      <c r="E235" s="32" t="s">
        <v>105</v>
      </c>
      <c r="F235" s="32" t="s">
        <v>198</v>
      </c>
      <c r="G235" s="32"/>
      <c r="H235" s="32" t="s">
        <v>47</v>
      </c>
      <c r="I235" s="32"/>
      <c r="J235" s="32" t="s">
        <v>47</v>
      </c>
    </row>
    <row r="236">
      <c r="A236" s="26">
        <v>1421718.0</v>
      </c>
      <c r="B236" s="52">
        <v>44742.0</v>
      </c>
      <c r="C236" s="43" t="s">
        <v>206</v>
      </c>
      <c r="D236" s="29" t="s">
        <v>421</v>
      </c>
      <c r="E236" s="32" t="s">
        <v>39</v>
      </c>
      <c r="F236" s="32" t="s">
        <v>54</v>
      </c>
      <c r="G236" s="32"/>
      <c r="H236" s="32" t="s">
        <v>47</v>
      </c>
      <c r="I236" s="32"/>
      <c r="J236" s="32" t="s">
        <v>47</v>
      </c>
    </row>
    <row r="237">
      <c r="A237" s="26">
        <v>1511066.0</v>
      </c>
      <c r="B237" s="52">
        <v>44742.0</v>
      </c>
      <c r="C237" s="43" t="s">
        <v>37</v>
      </c>
      <c r="D237" s="29" t="s">
        <v>422</v>
      </c>
      <c r="E237" s="32" t="s">
        <v>45</v>
      </c>
      <c r="F237" s="32" t="s">
        <v>90</v>
      </c>
      <c r="G237" s="32"/>
      <c r="H237" s="32" t="s">
        <v>47</v>
      </c>
      <c r="I237" s="32"/>
      <c r="J237" s="32" t="s">
        <v>47</v>
      </c>
    </row>
    <row r="238">
      <c r="A238" s="26">
        <v>1568060.0</v>
      </c>
      <c r="B238" s="52">
        <v>44742.0</v>
      </c>
      <c r="C238" s="43" t="s">
        <v>37</v>
      </c>
      <c r="D238" s="29" t="s">
        <v>423</v>
      </c>
      <c r="E238" s="32" t="s">
        <v>101</v>
      </c>
      <c r="F238" s="32" t="s">
        <v>203</v>
      </c>
      <c r="G238" s="32"/>
      <c r="H238" s="32" t="s">
        <v>47</v>
      </c>
      <c r="I238" s="32"/>
      <c r="J238" s="32" t="s">
        <v>47</v>
      </c>
    </row>
    <row r="239">
      <c r="A239" s="26">
        <v>1614454.0</v>
      </c>
      <c r="B239" s="52">
        <v>44742.0</v>
      </c>
      <c r="C239" s="43" t="s">
        <v>37</v>
      </c>
      <c r="D239" s="29" t="s">
        <v>424</v>
      </c>
      <c r="E239" s="32" t="s">
        <v>39</v>
      </c>
      <c r="F239" s="32" t="s">
        <v>50</v>
      </c>
      <c r="G239" s="32"/>
      <c r="H239" s="32" t="s">
        <v>47</v>
      </c>
      <c r="I239" s="32"/>
      <c r="J239" s="32" t="s">
        <v>47</v>
      </c>
    </row>
    <row r="240">
      <c r="A240" s="26">
        <v>1656672.0</v>
      </c>
      <c r="B240" s="52">
        <v>44742.0</v>
      </c>
      <c r="C240" s="43" t="s">
        <v>37</v>
      </c>
      <c r="D240" s="29" t="s">
        <v>425</v>
      </c>
      <c r="E240" s="32" t="s">
        <v>45</v>
      </c>
      <c r="F240" s="32" t="s">
        <v>172</v>
      </c>
      <c r="G240" s="32"/>
      <c r="H240" s="32" t="s">
        <v>47</v>
      </c>
      <c r="I240" s="32"/>
      <c r="J240" s="32" t="s">
        <v>47</v>
      </c>
    </row>
    <row r="241">
      <c r="A241" s="26">
        <v>1723712.0</v>
      </c>
      <c r="B241" s="52">
        <v>44742.0</v>
      </c>
      <c r="C241" s="43" t="s">
        <v>70</v>
      </c>
      <c r="D241" s="29" t="s">
        <v>426</v>
      </c>
      <c r="E241" s="32" t="s">
        <v>39</v>
      </c>
      <c r="F241" s="32" t="s">
        <v>50</v>
      </c>
      <c r="G241" s="32"/>
      <c r="H241" s="32" t="s">
        <v>47</v>
      </c>
      <c r="I241" s="32"/>
      <c r="J241" s="32" t="s">
        <v>47</v>
      </c>
    </row>
    <row r="242">
      <c r="A242" s="26">
        <v>1747524.0</v>
      </c>
      <c r="B242" s="52">
        <v>44742.0</v>
      </c>
      <c r="C242" s="43" t="s">
        <v>37</v>
      </c>
      <c r="D242" s="29" t="s">
        <v>427</v>
      </c>
      <c r="E242" s="32" t="s">
        <v>39</v>
      </c>
      <c r="F242" s="32" t="s">
        <v>140</v>
      </c>
      <c r="G242" s="32"/>
      <c r="H242" s="32" t="s">
        <v>47</v>
      </c>
      <c r="I242" s="32"/>
      <c r="J242" s="32" t="s">
        <v>47</v>
      </c>
    </row>
    <row r="243">
      <c r="A243" s="26">
        <v>1804944.0</v>
      </c>
      <c r="B243" s="52">
        <v>44742.0</v>
      </c>
      <c r="C243" s="43" t="s">
        <v>268</v>
      </c>
      <c r="D243" s="29" t="s">
        <v>428</v>
      </c>
      <c r="E243" s="32" t="s">
        <v>39</v>
      </c>
      <c r="F243" s="32" t="s">
        <v>140</v>
      </c>
      <c r="G243" s="32"/>
      <c r="H243" s="32" t="s">
        <v>47</v>
      </c>
      <c r="I243" s="32"/>
      <c r="J243" s="32" t="s">
        <v>47</v>
      </c>
    </row>
    <row r="244">
      <c r="A244" s="26">
        <v>1851642.0</v>
      </c>
      <c r="B244" s="52">
        <v>44742.0</v>
      </c>
      <c r="C244" s="43" t="s">
        <v>37</v>
      </c>
      <c r="D244" s="29" t="s">
        <v>429</v>
      </c>
      <c r="E244" s="32" t="s">
        <v>39</v>
      </c>
      <c r="F244" s="32" t="s">
        <v>140</v>
      </c>
      <c r="G244" s="32"/>
      <c r="H244" s="32" t="s">
        <v>47</v>
      </c>
      <c r="I244" s="32"/>
      <c r="J244" s="32" t="s">
        <v>47</v>
      </c>
    </row>
    <row r="245">
      <c r="A245" s="26">
        <v>1896302.0</v>
      </c>
      <c r="B245" s="52">
        <v>44742.0</v>
      </c>
      <c r="C245" s="43" t="s">
        <v>37</v>
      </c>
      <c r="D245" s="29" t="s">
        <v>430</v>
      </c>
      <c r="E245" s="32" t="s">
        <v>219</v>
      </c>
      <c r="F245" s="32" t="s">
        <v>220</v>
      </c>
      <c r="G245" s="32"/>
      <c r="H245" s="32" t="s">
        <v>47</v>
      </c>
      <c r="I245" s="32"/>
      <c r="J245" s="32" t="s">
        <v>47</v>
      </c>
    </row>
    <row r="246">
      <c r="A246" s="26">
        <v>1932846.0</v>
      </c>
      <c r="B246" s="52">
        <v>44742.0</v>
      </c>
      <c r="C246" s="43" t="s">
        <v>268</v>
      </c>
      <c r="D246" s="29" t="s">
        <v>431</v>
      </c>
      <c r="E246" s="32" t="s">
        <v>39</v>
      </c>
      <c r="F246" s="32" t="s">
        <v>140</v>
      </c>
      <c r="G246" s="32"/>
      <c r="H246" s="32" t="s">
        <v>47</v>
      </c>
      <c r="I246" s="32"/>
      <c r="J246" s="32" t="s">
        <v>47</v>
      </c>
    </row>
    <row r="247">
      <c r="A247" s="26">
        <v>2014090.0</v>
      </c>
      <c r="B247" s="52">
        <v>44742.0</v>
      </c>
      <c r="C247" s="43" t="s">
        <v>37</v>
      </c>
      <c r="D247" s="29" t="s">
        <v>432</v>
      </c>
      <c r="E247" s="32" t="s">
        <v>58</v>
      </c>
      <c r="F247" s="32" t="s">
        <v>169</v>
      </c>
      <c r="G247" s="32"/>
      <c r="H247" s="32" t="s">
        <v>47</v>
      </c>
      <c r="I247" s="32"/>
      <c r="J247" s="32" t="s">
        <v>47</v>
      </c>
    </row>
    <row r="248">
      <c r="A248" s="26">
        <v>2032114.0</v>
      </c>
      <c r="B248" s="52">
        <v>44742.0</v>
      </c>
      <c r="C248" s="43" t="s">
        <v>142</v>
      </c>
      <c r="D248" s="29" t="s">
        <v>433</v>
      </c>
      <c r="E248" s="32" t="s">
        <v>96</v>
      </c>
      <c r="F248" s="32" t="s">
        <v>352</v>
      </c>
      <c r="G248" s="32"/>
      <c r="H248" s="32" t="s">
        <v>47</v>
      </c>
      <c r="I248" s="32"/>
      <c r="J248" s="32" t="s">
        <v>47</v>
      </c>
    </row>
    <row r="249">
      <c r="A249" s="26">
        <v>2150362.0</v>
      </c>
      <c r="B249" s="52">
        <v>44742.0</v>
      </c>
      <c r="C249" s="43" t="s">
        <v>70</v>
      </c>
      <c r="D249" s="29" t="s">
        <v>434</v>
      </c>
      <c r="E249" s="32" t="s">
        <v>39</v>
      </c>
      <c r="F249" s="32" t="s">
        <v>40</v>
      </c>
      <c r="G249" s="32"/>
      <c r="H249" s="32" t="s">
        <v>47</v>
      </c>
      <c r="I249" s="32"/>
      <c r="J249" s="32" t="s">
        <v>47</v>
      </c>
    </row>
    <row r="250">
      <c r="A250" s="26">
        <v>2193194.0</v>
      </c>
      <c r="B250" s="52">
        <v>44742.0</v>
      </c>
      <c r="C250" s="43" t="s">
        <v>268</v>
      </c>
      <c r="D250" s="29" t="s">
        <v>435</v>
      </c>
      <c r="E250" s="32" t="s">
        <v>96</v>
      </c>
      <c r="F250" s="32" t="s">
        <v>263</v>
      </c>
      <c r="G250" s="32"/>
      <c r="H250" s="32" t="s">
        <v>47</v>
      </c>
      <c r="I250" s="32"/>
      <c r="J250" s="32" t="s">
        <v>47</v>
      </c>
    </row>
    <row r="251">
      <c r="A251" s="26">
        <v>2216986.0</v>
      </c>
      <c r="B251" s="52">
        <v>44742.0</v>
      </c>
      <c r="C251" s="43" t="s">
        <v>37</v>
      </c>
      <c r="D251" s="29" t="s">
        <v>436</v>
      </c>
      <c r="E251" s="32" t="s">
        <v>39</v>
      </c>
      <c r="F251" s="32" t="s">
        <v>140</v>
      </c>
      <c r="G251" s="32"/>
      <c r="H251" s="32" t="s">
        <v>47</v>
      </c>
      <c r="I251" s="32"/>
      <c r="J251" s="32" t="s">
        <v>47</v>
      </c>
    </row>
    <row r="252">
      <c r="A252" s="26">
        <v>2396452.0</v>
      </c>
      <c r="B252" s="52">
        <v>44742.0</v>
      </c>
      <c r="C252" s="43" t="s">
        <v>37</v>
      </c>
      <c r="D252" s="29" t="s">
        <v>437</v>
      </c>
      <c r="E252" s="32" t="s">
        <v>144</v>
      </c>
      <c r="F252" s="32" t="s">
        <v>339</v>
      </c>
      <c r="G252" s="32"/>
      <c r="H252" s="32" t="s">
        <v>47</v>
      </c>
      <c r="I252" s="32"/>
      <c r="J252" s="32" t="s">
        <v>47</v>
      </c>
    </row>
    <row r="253">
      <c r="A253" s="26">
        <v>2464950.0</v>
      </c>
      <c r="B253" s="52">
        <v>44742.0</v>
      </c>
      <c r="C253" s="43" t="s">
        <v>37</v>
      </c>
      <c r="D253" s="29" t="s">
        <v>438</v>
      </c>
      <c r="E253" s="32" t="s">
        <v>58</v>
      </c>
      <c r="F253" s="32" t="s">
        <v>234</v>
      </c>
      <c r="G253" s="32"/>
      <c r="H253" s="32" t="s">
        <v>47</v>
      </c>
      <c r="I253" s="32"/>
      <c r="J253" s="32" t="s">
        <v>47</v>
      </c>
    </row>
    <row r="254">
      <c r="A254" s="26">
        <v>2519188.0</v>
      </c>
      <c r="B254" s="52">
        <v>44742.0</v>
      </c>
      <c r="C254" s="43" t="s">
        <v>37</v>
      </c>
      <c r="D254" s="29" t="s">
        <v>439</v>
      </c>
      <c r="E254" s="32" t="s">
        <v>101</v>
      </c>
      <c r="F254" s="32" t="s">
        <v>102</v>
      </c>
      <c r="G254" s="32"/>
      <c r="H254" s="32" t="s">
        <v>47</v>
      </c>
      <c r="I254" s="32"/>
      <c r="J254" s="32" t="s">
        <v>47</v>
      </c>
    </row>
    <row r="255">
      <c r="A255" s="26">
        <v>2551689.0</v>
      </c>
      <c r="B255" s="52">
        <v>44742.0</v>
      </c>
      <c r="C255" s="43" t="s">
        <v>37</v>
      </c>
      <c r="D255" s="29" t="s">
        <v>440</v>
      </c>
      <c r="E255" s="32" t="s">
        <v>39</v>
      </c>
      <c r="F255" s="32" t="s">
        <v>40</v>
      </c>
      <c r="G255" s="32"/>
      <c r="H255" s="32" t="s">
        <v>47</v>
      </c>
      <c r="I255" s="32"/>
      <c r="J255" s="32" t="s">
        <v>47</v>
      </c>
    </row>
    <row r="256">
      <c r="A256" s="26">
        <v>2596032.0</v>
      </c>
      <c r="B256" s="52">
        <v>44742.0</v>
      </c>
      <c r="C256" s="43" t="s">
        <v>43</v>
      </c>
      <c r="D256" s="29" t="s">
        <v>441</v>
      </c>
      <c r="E256" s="32" t="s">
        <v>58</v>
      </c>
      <c r="F256" s="32" t="s">
        <v>86</v>
      </c>
      <c r="G256" s="32"/>
      <c r="H256" s="32" t="s">
        <v>47</v>
      </c>
      <c r="I256" s="32"/>
      <c r="J256" s="32" t="s">
        <v>47</v>
      </c>
    </row>
    <row r="257">
      <c r="A257" s="26">
        <v>2649938.0</v>
      </c>
      <c r="B257" s="52">
        <v>44742.0</v>
      </c>
      <c r="C257" s="43" t="s">
        <v>37</v>
      </c>
      <c r="D257" s="29" t="s">
        <v>442</v>
      </c>
      <c r="E257" s="32" t="s">
        <v>39</v>
      </c>
      <c r="F257" s="32" t="s">
        <v>113</v>
      </c>
      <c r="G257" s="32"/>
      <c r="H257" s="32" t="s">
        <v>47</v>
      </c>
      <c r="I257" s="32"/>
      <c r="J257" s="32" t="s">
        <v>47</v>
      </c>
    </row>
    <row r="258">
      <c r="A258" s="33">
        <v>2759122.0</v>
      </c>
      <c r="B258" s="52">
        <v>44742.0</v>
      </c>
      <c r="C258" s="43" t="s">
        <v>37</v>
      </c>
      <c r="D258" s="29" t="s">
        <v>443</v>
      </c>
      <c r="E258" s="32" t="s">
        <v>45</v>
      </c>
      <c r="F258" s="32" t="s">
        <v>75</v>
      </c>
      <c r="G258" s="32"/>
      <c r="H258" s="32" t="s">
        <v>47</v>
      </c>
      <c r="I258" s="32"/>
      <c r="J258" s="32" t="s">
        <v>47</v>
      </c>
    </row>
    <row r="259">
      <c r="A259" s="26">
        <v>2882552.0</v>
      </c>
      <c r="B259" s="52">
        <v>44742.0</v>
      </c>
      <c r="C259" s="43" t="s">
        <v>206</v>
      </c>
      <c r="D259" s="29" t="s">
        <v>444</v>
      </c>
      <c r="E259" s="32" t="s">
        <v>83</v>
      </c>
      <c r="F259" s="32" t="s">
        <v>147</v>
      </c>
      <c r="G259" s="32"/>
      <c r="H259" s="32" t="s">
        <v>47</v>
      </c>
      <c r="I259" s="32"/>
      <c r="J259" s="32" t="s">
        <v>47</v>
      </c>
    </row>
    <row r="260">
      <c r="A260" s="26">
        <v>2927502.0</v>
      </c>
      <c r="B260" s="52">
        <v>44742.0</v>
      </c>
      <c r="C260" s="43" t="s">
        <v>37</v>
      </c>
      <c r="D260" s="29" t="s">
        <v>445</v>
      </c>
      <c r="E260" s="32" t="s">
        <v>39</v>
      </c>
      <c r="F260" s="32" t="s">
        <v>50</v>
      </c>
      <c r="G260" s="32"/>
      <c r="H260" s="32" t="s">
        <v>47</v>
      </c>
      <c r="I260" s="32"/>
      <c r="J260" s="32" t="s">
        <v>47</v>
      </c>
    </row>
    <row r="261">
      <c r="A261" s="26">
        <v>2931610.0</v>
      </c>
      <c r="B261" s="56">
        <v>44742.0</v>
      </c>
      <c r="C261" s="43" t="s">
        <v>187</v>
      </c>
      <c r="D261" s="29" t="s">
        <v>446</v>
      </c>
      <c r="E261" s="32" t="s">
        <v>45</v>
      </c>
      <c r="F261" s="32" t="s">
        <v>75</v>
      </c>
      <c r="G261" s="32"/>
      <c r="H261" s="32" t="s">
        <v>47</v>
      </c>
      <c r="I261" s="32"/>
      <c r="J261" s="32" t="s">
        <v>47</v>
      </c>
    </row>
    <row r="262">
      <c r="A262" s="26">
        <v>2936972.0</v>
      </c>
      <c r="B262" s="52">
        <v>44742.0</v>
      </c>
      <c r="C262" s="43" t="s">
        <v>206</v>
      </c>
      <c r="D262" s="29" t="s">
        <v>447</v>
      </c>
      <c r="E262" s="32" t="s">
        <v>189</v>
      </c>
      <c r="F262" s="32" t="s">
        <v>448</v>
      </c>
      <c r="G262" s="32"/>
      <c r="H262" s="32" t="s">
        <v>47</v>
      </c>
      <c r="I262" s="32"/>
      <c r="J262" s="32" t="s">
        <v>47</v>
      </c>
    </row>
    <row r="263">
      <c r="A263" s="26">
        <v>3111326.0</v>
      </c>
      <c r="B263" s="52">
        <v>44742.0</v>
      </c>
      <c r="C263" s="43" t="s">
        <v>142</v>
      </c>
      <c r="D263" s="29" t="s">
        <v>449</v>
      </c>
      <c r="E263" s="32" t="s">
        <v>122</v>
      </c>
      <c r="F263" s="32" t="s">
        <v>271</v>
      </c>
      <c r="G263" s="32"/>
      <c r="H263" s="32" t="s">
        <v>47</v>
      </c>
      <c r="I263" s="32"/>
      <c r="J263" s="32" t="s">
        <v>47</v>
      </c>
    </row>
    <row r="264">
      <c r="A264" s="26">
        <v>3151916.0</v>
      </c>
      <c r="B264" s="52">
        <v>44742.0</v>
      </c>
      <c r="C264" s="43" t="s">
        <v>206</v>
      </c>
      <c r="D264" s="29" t="s">
        <v>450</v>
      </c>
      <c r="E264" s="32" t="s">
        <v>83</v>
      </c>
      <c r="F264" s="32" t="s">
        <v>330</v>
      </c>
      <c r="G264" s="32"/>
      <c r="H264" s="32" t="s">
        <v>47</v>
      </c>
      <c r="I264" s="32"/>
      <c r="J264" s="32" t="s">
        <v>47</v>
      </c>
    </row>
    <row r="265">
      <c r="A265" s="36">
        <v>3165962.0</v>
      </c>
      <c r="B265" s="52">
        <v>44742.0</v>
      </c>
      <c r="C265" s="43" t="s">
        <v>37</v>
      </c>
      <c r="D265" s="29" t="s">
        <v>451</v>
      </c>
      <c r="E265" s="32" t="s">
        <v>83</v>
      </c>
      <c r="F265" s="32" t="s">
        <v>285</v>
      </c>
      <c r="G265" s="32"/>
      <c r="H265" s="32" t="s">
        <v>47</v>
      </c>
      <c r="I265" s="32"/>
      <c r="J265" s="32" t="s">
        <v>47</v>
      </c>
    </row>
    <row r="266">
      <c r="A266" s="36">
        <v>3236087.0</v>
      </c>
      <c r="B266" s="52">
        <v>44742.0</v>
      </c>
      <c r="C266" s="43" t="s">
        <v>206</v>
      </c>
      <c r="D266" s="29" t="s">
        <v>452</v>
      </c>
      <c r="E266" s="32" t="s">
        <v>83</v>
      </c>
      <c r="F266" s="32" t="s">
        <v>147</v>
      </c>
      <c r="G266" s="32"/>
      <c r="H266" s="32" t="s">
        <v>47</v>
      </c>
      <c r="I266" s="32"/>
      <c r="J266" s="32" t="s">
        <v>47</v>
      </c>
    </row>
    <row r="267">
      <c r="A267" s="36">
        <v>3311638.0</v>
      </c>
      <c r="B267" s="52">
        <v>44742.0</v>
      </c>
      <c r="C267" s="43" t="s">
        <v>37</v>
      </c>
      <c r="D267" s="29" t="s">
        <v>453</v>
      </c>
      <c r="E267" s="32" t="s">
        <v>45</v>
      </c>
      <c r="F267" s="32" t="s">
        <v>75</v>
      </c>
      <c r="G267" s="32"/>
      <c r="H267" s="32" t="s">
        <v>47</v>
      </c>
      <c r="I267" s="32"/>
      <c r="J267" s="32" t="s">
        <v>47</v>
      </c>
    </row>
    <row r="268">
      <c r="A268" s="36">
        <v>3313750.0</v>
      </c>
      <c r="B268" s="52">
        <v>44742.0</v>
      </c>
      <c r="C268" s="43" t="s">
        <v>43</v>
      </c>
      <c r="D268" s="29" t="s">
        <v>454</v>
      </c>
      <c r="E268" s="32" t="s">
        <v>101</v>
      </c>
      <c r="F268" s="32" t="s">
        <v>102</v>
      </c>
      <c r="G268" s="32"/>
      <c r="H268" s="32" t="s">
        <v>47</v>
      </c>
      <c r="I268" s="32"/>
      <c r="J268" s="32" t="s">
        <v>47</v>
      </c>
    </row>
    <row r="269">
      <c r="A269" s="36">
        <v>3340284.0</v>
      </c>
      <c r="B269" s="52">
        <v>44742.0</v>
      </c>
      <c r="C269" s="43" t="s">
        <v>206</v>
      </c>
      <c r="D269" s="29" t="s">
        <v>455</v>
      </c>
      <c r="E269" s="32" t="s">
        <v>83</v>
      </c>
      <c r="F269" s="32" t="s">
        <v>147</v>
      </c>
      <c r="G269" s="32"/>
      <c r="H269" s="32" t="s">
        <v>47</v>
      </c>
      <c r="I269" s="32"/>
      <c r="J269" s="32" t="s">
        <v>47</v>
      </c>
    </row>
    <row r="270">
      <c r="A270" s="36">
        <v>3539808.0</v>
      </c>
      <c r="B270" s="52">
        <v>44742.0</v>
      </c>
      <c r="C270" s="43" t="s">
        <v>206</v>
      </c>
      <c r="D270" s="29" t="s">
        <v>456</v>
      </c>
      <c r="E270" s="32" t="s">
        <v>96</v>
      </c>
      <c r="F270" s="32" t="s">
        <v>109</v>
      </c>
      <c r="G270" s="32"/>
      <c r="H270" s="32" t="s">
        <v>47</v>
      </c>
      <c r="I270" s="32"/>
      <c r="J270" s="32" t="s">
        <v>47</v>
      </c>
    </row>
    <row r="271">
      <c r="A271" s="36">
        <v>3560337.0</v>
      </c>
      <c r="B271" s="52">
        <v>44742.0</v>
      </c>
      <c r="C271" s="43" t="s">
        <v>37</v>
      </c>
      <c r="D271" s="29" t="s">
        <v>457</v>
      </c>
      <c r="E271" s="32" t="s">
        <v>96</v>
      </c>
      <c r="F271" s="32" t="s">
        <v>109</v>
      </c>
      <c r="G271" s="32"/>
      <c r="H271" s="32" t="s">
        <v>47</v>
      </c>
      <c r="I271" s="32"/>
      <c r="J271" s="32" t="s">
        <v>47</v>
      </c>
    </row>
    <row r="272">
      <c r="A272" s="36">
        <v>3711436.0</v>
      </c>
      <c r="B272" s="52">
        <v>44742.0</v>
      </c>
      <c r="C272" s="43" t="s">
        <v>37</v>
      </c>
      <c r="D272" s="29" t="s">
        <v>458</v>
      </c>
      <c r="E272" s="32" t="s">
        <v>79</v>
      </c>
      <c r="F272" s="32" t="s">
        <v>184</v>
      </c>
      <c r="G272" s="32"/>
      <c r="H272" s="32" t="s">
        <v>47</v>
      </c>
      <c r="I272" s="32"/>
      <c r="J272" s="32" t="s">
        <v>47</v>
      </c>
    </row>
    <row r="273">
      <c r="A273" s="36">
        <v>3808468.0</v>
      </c>
      <c r="B273" s="52">
        <v>44742.0</v>
      </c>
      <c r="C273" s="43" t="s">
        <v>206</v>
      </c>
      <c r="D273" s="29" t="s">
        <v>459</v>
      </c>
      <c r="E273" s="32" t="s">
        <v>105</v>
      </c>
      <c r="F273" s="32" t="s">
        <v>198</v>
      </c>
      <c r="G273" s="32"/>
      <c r="H273" s="32" t="s">
        <v>47</v>
      </c>
      <c r="I273" s="32"/>
      <c r="J273" s="32" t="s">
        <v>47</v>
      </c>
    </row>
    <row r="274">
      <c r="A274" s="36">
        <v>3831822.0</v>
      </c>
      <c r="B274" s="52">
        <v>44742.0</v>
      </c>
      <c r="C274" s="43" t="s">
        <v>206</v>
      </c>
      <c r="D274" s="29" t="s">
        <v>460</v>
      </c>
      <c r="E274" s="32" t="s">
        <v>39</v>
      </c>
      <c r="F274" s="32" t="s">
        <v>54</v>
      </c>
      <c r="G274" s="32"/>
      <c r="H274" s="32" t="s">
        <v>47</v>
      </c>
      <c r="I274" s="32"/>
      <c r="J274" s="32" t="s">
        <v>47</v>
      </c>
    </row>
    <row r="275">
      <c r="A275" s="36">
        <v>3936796.0</v>
      </c>
      <c r="B275" s="52">
        <v>44742.0</v>
      </c>
      <c r="C275" s="43" t="s">
        <v>37</v>
      </c>
      <c r="D275" s="29" t="s">
        <v>461</v>
      </c>
      <c r="E275" s="32" t="s">
        <v>45</v>
      </c>
      <c r="F275" s="32" t="s">
        <v>172</v>
      </c>
      <c r="G275" s="32"/>
      <c r="H275" s="32" t="s">
        <v>47</v>
      </c>
      <c r="I275" s="32"/>
      <c r="J275" s="32" t="s">
        <v>47</v>
      </c>
    </row>
    <row r="276">
      <c r="A276" s="36">
        <v>4161284.0</v>
      </c>
      <c r="B276" s="52">
        <v>44742.0</v>
      </c>
      <c r="C276" s="43" t="s">
        <v>170</v>
      </c>
      <c r="D276" s="29" t="s">
        <v>462</v>
      </c>
      <c r="E276" s="32" t="s">
        <v>189</v>
      </c>
      <c r="F276" s="32" t="s">
        <v>300</v>
      </c>
      <c r="G276" s="32"/>
      <c r="H276" s="32" t="s">
        <v>47</v>
      </c>
      <c r="I276" s="32"/>
      <c r="J276" s="32" t="s">
        <v>47</v>
      </c>
    </row>
    <row r="277">
      <c r="A277" s="36">
        <v>4200930.0</v>
      </c>
      <c r="B277" s="52">
        <v>44742.0</v>
      </c>
      <c r="C277" s="43" t="s">
        <v>37</v>
      </c>
      <c r="D277" s="29" t="s">
        <v>463</v>
      </c>
      <c r="E277" s="32" t="s">
        <v>219</v>
      </c>
      <c r="F277" s="32" t="s">
        <v>220</v>
      </c>
      <c r="G277" s="32"/>
      <c r="H277" s="32" t="s">
        <v>47</v>
      </c>
      <c r="I277" s="32"/>
      <c r="J277" s="32" t="s">
        <v>47</v>
      </c>
    </row>
    <row r="278">
      <c r="A278" s="36">
        <v>4276232.0</v>
      </c>
      <c r="B278" s="52">
        <v>44742.0</v>
      </c>
      <c r="C278" s="43" t="s">
        <v>206</v>
      </c>
      <c r="D278" s="29" t="s">
        <v>464</v>
      </c>
      <c r="E278" s="32" t="s">
        <v>63</v>
      </c>
      <c r="F278" s="32" t="s">
        <v>258</v>
      </c>
      <c r="G278" s="32"/>
      <c r="H278" s="32" t="s">
        <v>47</v>
      </c>
      <c r="I278" s="32"/>
      <c r="J278" s="32" t="s">
        <v>47</v>
      </c>
    </row>
    <row r="279">
      <c r="A279" s="36">
        <v>27464.0</v>
      </c>
      <c r="B279" s="52">
        <v>44742.0</v>
      </c>
      <c r="C279" s="43" t="s">
        <v>70</v>
      </c>
      <c r="D279" s="29" t="s">
        <v>465</v>
      </c>
      <c r="E279" s="32" t="s">
        <v>58</v>
      </c>
      <c r="F279" s="32" t="s">
        <v>59</v>
      </c>
      <c r="G279" s="32"/>
      <c r="H279" s="32" t="s">
        <v>47</v>
      </c>
      <c r="I279" s="32"/>
      <c r="J279" s="32" t="s">
        <v>47</v>
      </c>
    </row>
    <row r="280">
      <c r="A280" s="36">
        <v>274574.0</v>
      </c>
      <c r="B280" s="52">
        <v>44742.0</v>
      </c>
      <c r="C280" s="43" t="s">
        <v>37</v>
      </c>
      <c r="D280" s="29" t="s">
        <v>466</v>
      </c>
      <c r="E280" s="32" t="s">
        <v>144</v>
      </c>
      <c r="F280" s="32" t="s">
        <v>467</v>
      </c>
      <c r="G280" s="32"/>
      <c r="H280" s="32" t="s">
        <v>47</v>
      </c>
      <c r="I280" s="32"/>
      <c r="J280" s="32" t="s">
        <v>47</v>
      </c>
    </row>
    <row r="281">
      <c r="A281" s="36">
        <v>744606.0</v>
      </c>
      <c r="B281" s="52">
        <v>44742.0</v>
      </c>
      <c r="C281" s="43" t="s">
        <v>37</v>
      </c>
      <c r="D281" s="29" t="s">
        <v>468</v>
      </c>
      <c r="E281" s="32" t="s">
        <v>39</v>
      </c>
      <c r="F281" s="32" t="s">
        <v>50</v>
      </c>
      <c r="G281" s="32"/>
      <c r="H281" s="32" t="s">
        <v>47</v>
      </c>
      <c r="I281" s="32"/>
      <c r="J281" s="32" t="s">
        <v>47</v>
      </c>
    </row>
    <row r="282">
      <c r="A282" s="36">
        <v>781696.0</v>
      </c>
      <c r="B282" s="52">
        <v>44742.0</v>
      </c>
      <c r="C282" s="43" t="s">
        <v>70</v>
      </c>
      <c r="D282" s="29" t="s">
        <v>141</v>
      </c>
      <c r="E282" s="32" t="s">
        <v>39</v>
      </c>
      <c r="F282" s="32" t="s">
        <v>140</v>
      </c>
      <c r="G282" s="32"/>
      <c r="H282" s="32" t="s">
        <v>47</v>
      </c>
      <c r="I282" s="32"/>
      <c r="J282" s="32" t="s">
        <v>47</v>
      </c>
    </row>
    <row r="283">
      <c r="A283" s="36">
        <v>903390.0</v>
      </c>
      <c r="B283" s="52">
        <v>44742.0</v>
      </c>
      <c r="C283" s="43" t="s">
        <v>43</v>
      </c>
      <c r="D283" s="29" t="s">
        <v>469</v>
      </c>
      <c r="E283" s="32" t="s">
        <v>39</v>
      </c>
      <c r="F283" s="32" t="s">
        <v>140</v>
      </c>
      <c r="G283" s="32"/>
      <c r="H283" s="32" t="s">
        <v>47</v>
      </c>
      <c r="I283" s="32"/>
      <c r="J283" s="32" t="s">
        <v>47</v>
      </c>
    </row>
    <row r="284">
      <c r="A284" s="36">
        <v>923290.0</v>
      </c>
      <c r="B284" s="52">
        <v>44742.0</v>
      </c>
      <c r="C284" s="43" t="s">
        <v>37</v>
      </c>
      <c r="D284" s="29" t="s">
        <v>470</v>
      </c>
      <c r="E284" s="32" t="s">
        <v>101</v>
      </c>
      <c r="F284" s="32" t="s">
        <v>203</v>
      </c>
      <c r="G284" s="32"/>
      <c r="H284" s="32" t="s">
        <v>47</v>
      </c>
      <c r="I284" s="32"/>
      <c r="J284" s="32" t="s">
        <v>47</v>
      </c>
    </row>
    <row r="285">
      <c r="A285" s="36">
        <v>1018788.0</v>
      </c>
      <c r="B285" s="52">
        <v>44742.0</v>
      </c>
      <c r="C285" s="43" t="s">
        <v>70</v>
      </c>
      <c r="D285" s="29" t="s">
        <v>471</v>
      </c>
      <c r="E285" s="32" t="s">
        <v>105</v>
      </c>
      <c r="F285" s="32" t="s">
        <v>316</v>
      </c>
      <c r="G285" s="32"/>
      <c r="H285" s="32" t="s">
        <v>47</v>
      </c>
      <c r="I285" s="32"/>
      <c r="J285" s="32" t="s">
        <v>47</v>
      </c>
    </row>
    <row r="286">
      <c r="A286" s="36">
        <v>1089734.0</v>
      </c>
      <c r="B286" s="52">
        <v>44742.0</v>
      </c>
      <c r="C286" s="43" t="s">
        <v>37</v>
      </c>
      <c r="D286" s="29" t="s">
        <v>472</v>
      </c>
      <c r="E286" s="32" t="s">
        <v>144</v>
      </c>
      <c r="F286" s="32" t="s">
        <v>145</v>
      </c>
      <c r="G286" s="32"/>
      <c r="H286" s="32" t="s">
        <v>47</v>
      </c>
      <c r="I286" s="32"/>
      <c r="J286" s="32" t="s">
        <v>47</v>
      </c>
    </row>
    <row r="287">
      <c r="A287" s="36">
        <v>1113090.0</v>
      </c>
      <c r="B287" s="52">
        <v>44742.0</v>
      </c>
      <c r="C287" s="43" t="s">
        <v>70</v>
      </c>
      <c r="D287" s="29" t="s">
        <v>473</v>
      </c>
      <c r="E287" s="32" t="s">
        <v>45</v>
      </c>
      <c r="F287" s="32" t="s">
        <v>172</v>
      </c>
      <c r="G287" s="32"/>
      <c r="H287" s="32" t="s">
        <v>47</v>
      </c>
      <c r="I287" s="32"/>
      <c r="J287" s="32" t="s">
        <v>47</v>
      </c>
    </row>
    <row r="288">
      <c r="A288" s="36">
        <v>1158546.0</v>
      </c>
      <c r="B288" s="52">
        <v>44742.0</v>
      </c>
      <c r="C288" s="43" t="s">
        <v>142</v>
      </c>
      <c r="D288" s="29" t="s">
        <v>474</v>
      </c>
      <c r="E288" s="32" t="s">
        <v>39</v>
      </c>
      <c r="F288" s="32" t="s">
        <v>140</v>
      </c>
      <c r="G288" s="32"/>
      <c r="H288" s="32" t="s">
        <v>47</v>
      </c>
      <c r="I288" s="32"/>
      <c r="J288" s="32" t="s">
        <v>47</v>
      </c>
    </row>
    <row r="289">
      <c r="A289" s="36">
        <v>1230976.0</v>
      </c>
      <c r="B289" s="52">
        <v>44742.0</v>
      </c>
      <c r="C289" s="43" t="s">
        <v>142</v>
      </c>
      <c r="D289" s="29" t="s">
        <v>475</v>
      </c>
      <c r="E289" s="32" t="s">
        <v>122</v>
      </c>
      <c r="F289" s="32" t="s">
        <v>123</v>
      </c>
      <c r="G289" s="32"/>
      <c r="H289" s="32" t="s">
        <v>47</v>
      </c>
      <c r="I289" s="32"/>
      <c r="J289" s="32" t="s">
        <v>47</v>
      </c>
    </row>
    <row r="290">
      <c r="A290" s="36">
        <v>1235914.0</v>
      </c>
      <c r="B290" s="52">
        <v>44742.0</v>
      </c>
      <c r="C290" s="43" t="s">
        <v>43</v>
      </c>
      <c r="D290" s="29" t="s">
        <v>476</v>
      </c>
      <c r="E290" s="32" t="s">
        <v>122</v>
      </c>
      <c r="F290" s="32" t="s">
        <v>123</v>
      </c>
      <c r="G290" s="32"/>
      <c r="H290" s="32" t="s">
        <v>47</v>
      </c>
      <c r="I290" s="32"/>
      <c r="J290" s="32" t="s">
        <v>47</v>
      </c>
    </row>
    <row r="291">
      <c r="A291" s="36">
        <v>1240084.0</v>
      </c>
      <c r="B291" s="52">
        <v>44742.0</v>
      </c>
      <c r="C291" s="43" t="s">
        <v>142</v>
      </c>
      <c r="D291" s="29" t="s">
        <v>477</v>
      </c>
      <c r="E291" s="32" t="s">
        <v>39</v>
      </c>
      <c r="F291" s="32" t="s">
        <v>214</v>
      </c>
      <c r="G291" s="32"/>
      <c r="H291" s="32" t="s">
        <v>47</v>
      </c>
      <c r="I291" s="32"/>
      <c r="J291" s="32" t="s">
        <v>47</v>
      </c>
    </row>
    <row r="292">
      <c r="A292" s="36">
        <v>1304386.0</v>
      </c>
      <c r="B292" s="52">
        <v>44742.0</v>
      </c>
      <c r="C292" s="43" t="s">
        <v>70</v>
      </c>
      <c r="D292" s="29" t="s">
        <v>478</v>
      </c>
      <c r="E292" s="32" t="s">
        <v>105</v>
      </c>
      <c r="F292" s="32" t="s">
        <v>198</v>
      </c>
      <c r="G292" s="32"/>
      <c r="H292" s="32" t="s">
        <v>47</v>
      </c>
      <c r="I292" s="32"/>
      <c r="J292" s="32" t="s">
        <v>47</v>
      </c>
    </row>
    <row r="293">
      <c r="A293" s="36">
        <v>1445848.0</v>
      </c>
      <c r="B293" s="52">
        <v>44742.0</v>
      </c>
      <c r="C293" s="43" t="s">
        <v>37</v>
      </c>
      <c r="D293" s="29" t="s">
        <v>479</v>
      </c>
      <c r="E293" s="32" t="s">
        <v>101</v>
      </c>
      <c r="F293" s="32" t="s">
        <v>203</v>
      </c>
      <c r="G293" s="32"/>
      <c r="H293" s="32" t="s">
        <v>47</v>
      </c>
      <c r="I293" s="32"/>
      <c r="J293" s="32" t="s">
        <v>47</v>
      </c>
    </row>
    <row r="294">
      <c r="A294" s="36">
        <v>1742940.0</v>
      </c>
      <c r="B294" s="52">
        <v>44742.0</v>
      </c>
      <c r="C294" s="43" t="s">
        <v>43</v>
      </c>
      <c r="D294" s="29" t="s">
        <v>480</v>
      </c>
      <c r="E294" s="32" t="s">
        <v>219</v>
      </c>
      <c r="F294" s="32" t="s">
        <v>220</v>
      </c>
      <c r="G294" s="32"/>
      <c r="H294" s="32" t="s">
        <v>47</v>
      </c>
      <c r="I294" s="32"/>
      <c r="J294" s="32" t="s">
        <v>47</v>
      </c>
    </row>
    <row r="295">
      <c r="A295" s="36">
        <v>1885796.0</v>
      </c>
      <c r="B295" s="52">
        <v>44742.0</v>
      </c>
      <c r="C295" s="43" t="s">
        <v>37</v>
      </c>
      <c r="D295" s="29" t="s">
        <v>481</v>
      </c>
      <c r="E295" s="32" t="s">
        <v>63</v>
      </c>
      <c r="F295" s="32" t="s">
        <v>64</v>
      </c>
      <c r="G295" s="32"/>
      <c r="H295" s="32" t="s">
        <v>47</v>
      </c>
      <c r="I295" s="32"/>
      <c r="J295" s="32" t="s">
        <v>47</v>
      </c>
    </row>
    <row r="296">
      <c r="A296" s="36">
        <v>2025430.0</v>
      </c>
      <c r="B296" s="52">
        <v>44742.0</v>
      </c>
      <c r="C296" s="43" t="s">
        <v>37</v>
      </c>
      <c r="D296" s="29" t="s">
        <v>482</v>
      </c>
      <c r="E296" s="32" t="s">
        <v>39</v>
      </c>
      <c r="F296" s="32" t="s">
        <v>297</v>
      </c>
      <c r="G296" s="32"/>
      <c r="H296" s="32" t="s">
        <v>47</v>
      </c>
      <c r="I296" s="32"/>
      <c r="J296" s="32" t="s">
        <v>47</v>
      </c>
    </row>
    <row r="297">
      <c r="A297" s="36">
        <v>2155366.0</v>
      </c>
      <c r="B297" s="52">
        <v>44742.0</v>
      </c>
      <c r="C297" s="43" t="s">
        <v>37</v>
      </c>
      <c r="D297" s="29" t="s">
        <v>483</v>
      </c>
      <c r="E297" s="32" t="s">
        <v>39</v>
      </c>
      <c r="F297" s="32" t="s">
        <v>54</v>
      </c>
      <c r="G297" s="32"/>
      <c r="H297" s="32" t="s">
        <v>47</v>
      </c>
      <c r="I297" s="32"/>
      <c r="J297" s="32" t="s">
        <v>47</v>
      </c>
    </row>
    <row r="298">
      <c r="A298" s="36">
        <v>2340022.0</v>
      </c>
      <c r="B298" s="52">
        <v>44742.0</v>
      </c>
      <c r="C298" s="43" t="s">
        <v>170</v>
      </c>
      <c r="D298" s="29" t="s">
        <v>484</v>
      </c>
      <c r="E298" s="32" t="s">
        <v>122</v>
      </c>
      <c r="F298" s="32" t="s">
        <v>123</v>
      </c>
      <c r="G298" s="32"/>
      <c r="H298" s="32" t="s">
        <v>47</v>
      </c>
      <c r="I298" s="32"/>
      <c r="J298" s="32" t="s">
        <v>47</v>
      </c>
    </row>
    <row r="299">
      <c r="A299" s="36">
        <v>2541474.0</v>
      </c>
      <c r="B299" s="52">
        <v>44742.0</v>
      </c>
      <c r="C299" s="43" t="s">
        <v>142</v>
      </c>
      <c r="D299" s="29" t="s">
        <v>485</v>
      </c>
      <c r="E299" s="32" t="s">
        <v>58</v>
      </c>
      <c r="F299" s="32" t="s">
        <v>59</v>
      </c>
      <c r="G299" s="32"/>
      <c r="H299" s="32" t="s">
        <v>47</v>
      </c>
      <c r="I299" s="32"/>
      <c r="J299" s="32" t="s">
        <v>47</v>
      </c>
    </row>
    <row r="300">
      <c r="A300" s="36">
        <v>2585152.0</v>
      </c>
      <c r="B300" s="52">
        <v>44742.0</v>
      </c>
      <c r="C300" s="43" t="s">
        <v>70</v>
      </c>
      <c r="D300" s="29" t="s">
        <v>486</v>
      </c>
      <c r="E300" s="32" t="s">
        <v>79</v>
      </c>
      <c r="F300" s="32" t="s">
        <v>150</v>
      </c>
      <c r="G300" s="32"/>
      <c r="H300" s="32" t="s">
        <v>47</v>
      </c>
      <c r="I300" s="32"/>
      <c r="J300" s="32" t="s">
        <v>47</v>
      </c>
    </row>
    <row r="301">
      <c r="A301" s="36">
        <v>2627024.0</v>
      </c>
      <c r="B301" s="52">
        <v>44742.0</v>
      </c>
      <c r="C301" s="43" t="s">
        <v>37</v>
      </c>
      <c r="D301" s="29" t="s">
        <v>487</v>
      </c>
      <c r="E301" s="32" t="s">
        <v>45</v>
      </c>
      <c r="F301" s="32" t="s">
        <v>46</v>
      </c>
      <c r="G301" s="32"/>
      <c r="H301" s="32" t="s">
        <v>47</v>
      </c>
      <c r="I301" s="32"/>
      <c r="J301" s="32" t="s">
        <v>47</v>
      </c>
    </row>
    <row r="302">
      <c r="A302" s="36">
        <v>2725112.0</v>
      </c>
      <c r="B302" s="52">
        <v>44742.0</v>
      </c>
      <c r="C302" s="43" t="s">
        <v>37</v>
      </c>
      <c r="D302" s="29" t="s">
        <v>488</v>
      </c>
      <c r="E302" s="32" t="s">
        <v>39</v>
      </c>
      <c r="F302" s="32" t="s">
        <v>140</v>
      </c>
      <c r="G302" s="32"/>
      <c r="H302" s="32" t="s">
        <v>47</v>
      </c>
      <c r="I302" s="32"/>
      <c r="J302" s="32" t="s">
        <v>47</v>
      </c>
    </row>
    <row r="303">
      <c r="A303" s="36">
        <v>2771132.0</v>
      </c>
      <c r="B303" s="52">
        <v>44742.0</v>
      </c>
      <c r="C303" s="41" t="s">
        <v>37</v>
      </c>
      <c r="D303" s="29" t="s">
        <v>489</v>
      </c>
      <c r="E303" s="32" t="s">
        <v>45</v>
      </c>
      <c r="F303" s="32" t="s">
        <v>172</v>
      </c>
      <c r="G303" s="32"/>
      <c r="H303" s="32" t="s">
        <v>47</v>
      </c>
      <c r="I303" s="32"/>
      <c r="J303" s="32" t="s">
        <v>47</v>
      </c>
    </row>
    <row r="304">
      <c r="A304" s="36">
        <v>2868014.0</v>
      </c>
      <c r="B304" s="52">
        <v>44742.0</v>
      </c>
      <c r="C304" s="43" t="s">
        <v>37</v>
      </c>
      <c r="D304" s="29" t="s">
        <v>490</v>
      </c>
      <c r="E304" s="32" t="s">
        <v>39</v>
      </c>
      <c r="F304" s="32" t="s">
        <v>140</v>
      </c>
      <c r="G304" s="32"/>
      <c r="H304" s="32" t="s">
        <v>47</v>
      </c>
      <c r="I304" s="32"/>
      <c r="J304" s="32" t="s">
        <v>47</v>
      </c>
    </row>
    <row r="305">
      <c r="A305" s="36">
        <v>3308996.0</v>
      </c>
      <c r="B305" s="52">
        <v>44742.0</v>
      </c>
      <c r="C305" s="43" t="s">
        <v>37</v>
      </c>
      <c r="D305" s="29" t="s">
        <v>491</v>
      </c>
      <c r="E305" s="32" t="s">
        <v>45</v>
      </c>
      <c r="F305" s="32" t="s">
        <v>90</v>
      </c>
      <c r="G305" s="32"/>
      <c r="H305" s="32" t="s">
        <v>47</v>
      </c>
      <c r="I305" s="32"/>
      <c r="J305" s="32" t="s">
        <v>47</v>
      </c>
    </row>
    <row r="306">
      <c r="A306" s="36">
        <v>3540466.0</v>
      </c>
      <c r="B306" s="52">
        <v>44742.0</v>
      </c>
      <c r="C306" s="43" t="s">
        <v>43</v>
      </c>
      <c r="D306" s="29" t="s">
        <v>492</v>
      </c>
      <c r="E306" s="32" t="s">
        <v>96</v>
      </c>
      <c r="F306" s="32" t="s">
        <v>109</v>
      </c>
      <c r="G306" s="32"/>
      <c r="H306" s="32" t="s">
        <v>47</v>
      </c>
      <c r="I306" s="32"/>
      <c r="J306" s="32" t="s">
        <v>47</v>
      </c>
    </row>
    <row r="307">
      <c r="A307" s="36">
        <v>3649974.0</v>
      </c>
      <c r="B307" s="52">
        <v>44742.0</v>
      </c>
      <c r="C307" s="43" t="s">
        <v>142</v>
      </c>
      <c r="D307" s="29" t="s">
        <v>493</v>
      </c>
      <c r="E307" s="32" t="s">
        <v>58</v>
      </c>
      <c r="F307" s="32" t="s">
        <v>59</v>
      </c>
      <c r="G307" s="32"/>
      <c r="H307" s="32" t="s">
        <v>47</v>
      </c>
      <c r="I307" s="32"/>
      <c r="J307" s="32" t="s">
        <v>47</v>
      </c>
    </row>
    <row r="308">
      <c r="A308" s="36">
        <v>3652198.0</v>
      </c>
      <c r="B308" s="52">
        <v>44742.0</v>
      </c>
      <c r="C308" s="41" t="s">
        <v>37</v>
      </c>
      <c r="D308" s="29" t="s">
        <v>494</v>
      </c>
      <c r="E308" s="32" t="e">
        <v>#N/A</v>
      </c>
      <c r="F308" s="32" t="e">
        <v>#N/A</v>
      </c>
      <c r="G308" s="32"/>
      <c r="H308" s="32"/>
      <c r="I308" s="32"/>
      <c r="J308" s="32"/>
    </row>
    <row r="309">
      <c r="A309" s="36">
        <v>3694846.0</v>
      </c>
      <c r="B309" s="52">
        <v>44742.0</v>
      </c>
      <c r="C309" s="43" t="s">
        <v>37</v>
      </c>
      <c r="D309" s="29" t="s">
        <v>495</v>
      </c>
      <c r="E309" s="32" t="s">
        <v>39</v>
      </c>
      <c r="F309" s="32" t="s">
        <v>113</v>
      </c>
      <c r="G309" s="32"/>
      <c r="H309" s="32" t="s">
        <v>47</v>
      </c>
      <c r="I309" s="32"/>
      <c r="J309" s="32" t="s">
        <v>47</v>
      </c>
    </row>
    <row r="310">
      <c r="A310" s="36">
        <v>3782122.0</v>
      </c>
      <c r="B310" s="52">
        <v>44742.0</v>
      </c>
      <c r="C310" s="43" t="s">
        <v>37</v>
      </c>
      <c r="D310" s="29" t="s">
        <v>496</v>
      </c>
      <c r="E310" s="32" t="s">
        <v>39</v>
      </c>
      <c r="F310" s="32" t="s">
        <v>140</v>
      </c>
      <c r="G310" s="32"/>
      <c r="H310" s="32" t="s">
        <v>47</v>
      </c>
      <c r="I310" s="32"/>
      <c r="J310" s="32" t="s">
        <v>47</v>
      </c>
    </row>
    <row r="311">
      <c r="A311" s="36">
        <v>3821294.0</v>
      </c>
      <c r="B311" s="52">
        <v>44742.0</v>
      </c>
      <c r="C311" s="43" t="s">
        <v>70</v>
      </c>
      <c r="D311" s="29" t="s">
        <v>497</v>
      </c>
      <c r="E311" s="32" t="s">
        <v>83</v>
      </c>
      <c r="F311" s="32" t="s">
        <v>147</v>
      </c>
      <c r="G311" s="32"/>
      <c r="H311" s="32" t="s">
        <v>47</v>
      </c>
      <c r="I311" s="32"/>
      <c r="J311" s="32" t="s">
        <v>47</v>
      </c>
    </row>
    <row r="312">
      <c r="A312" s="33">
        <v>3926940.0</v>
      </c>
      <c r="B312" s="52">
        <v>44742.0</v>
      </c>
      <c r="C312" s="43" t="s">
        <v>37</v>
      </c>
      <c r="D312" s="29" t="s">
        <v>498</v>
      </c>
      <c r="E312" s="32" t="s">
        <v>45</v>
      </c>
      <c r="F312" s="32" t="s">
        <v>75</v>
      </c>
      <c r="G312" s="32"/>
      <c r="H312" s="32" t="s">
        <v>47</v>
      </c>
      <c r="I312" s="32"/>
      <c r="J312" s="32" t="s">
        <v>47</v>
      </c>
    </row>
    <row r="313">
      <c r="A313" s="26">
        <v>4165390.0</v>
      </c>
      <c r="B313" s="52">
        <v>44742.0</v>
      </c>
      <c r="C313" s="43" t="s">
        <v>70</v>
      </c>
      <c r="D313" s="29" t="s">
        <v>499</v>
      </c>
      <c r="E313" s="32" t="s">
        <v>219</v>
      </c>
      <c r="F313" s="32" t="s">
        <v>220</v>
      </c>
      <c r="G313" s="32"/>
      <c r="H313" s="32" t="s">
        <v>47</v>
      </c>
      <c r="I313" s="32"/>
      <c r="J313" s="32" t="s">
        <v>47</v>
      </c>
    </row>
    <row r="314">
      <c r="A314" s="57">
        <v>126684.0</v>
      </c>
      <c r="B314" s="52">
        <v>44742.0</v>
      </c>
      <c r="C314" s="43" t="s">
        <v>37</v>
      </c>
      <c r="D314" s="29" t="s">
        <v>500</v>
      </c>
      <c r="E314" s="32" t="s">
        <v>105</v>
      </c>
      <c r="F314" s="32" t="s">
        <v>501</v>
      </c>
      <c r="G314" s="32"/>
      <c r="H314" s="32" t="s">
        <v>47</v>
      </c>
      <c r="I314" s="32"/>
      <c r="J314" s="32" t="s">
        <v>47</v>
      </c>
    </row>
    <row r="315">
      <c r="A315" s="58">
        <v>2395488.0</v>
      </c>
      <c r="B315" s="52">
        <v>44742.0</v>
      </c>
      <c r="C315" s="43" t="s">
        <v>37</v>
      </c>
      <c r="D315" s="29" t="s">
        <v>502</v>
      </c>
      <c r="E315" s="32" t="s">
        <v>39</v>
      </c>
      <c r="F315" s="32" t="s">
        <v>140</v>
      </c>
      <c r="G315" s="32"/>
      <c r="H315" s="32" t="s">
        <v>47</v>
      </c>
      <c r="I315" s="32"/>
      <c r="J315" s="32" t="s">
        <v>47</v>
      </c>
    </row>
    <row r="316">
      <c r="A316" s="59">
        <v>3128814.0</v>
      </c>
      <c r="B316" s="52">
        <v>44742.0</v>
      </c>
      <c r="C316" s="43" t="s">
        <v>70</v>
      </c>
      <c r="D316" s="29" t="s">
        <v>236</v>
      </c>
      <c r="E316" s="32" t="s">
        <v>83</v>
      </c>
      <c r="F316" s="32" t="s">
        <v>147</v>
      </c>
      <c r="G316" s="32">
        <v>2217998.0</v>
      </c>
      <c r="H316" s="32" t="s">
        <v>237</v>
      </c>
      <c r="I316" s="32"/>
      <c r="J316" s="32"/>
    </row>
    <row r="317">
      <c r="A317" s="49">
        <v>746302.0</v>
      </c>
      <c r="B317" s="52">
        <v>44742.0</v>
      </c>
      <c r="C317" s="43" t="s">
        <v>37</v>
      </c>
      <c r="D317" s="29" t="s">
        <v>503</v>
      </c>
      <c r="E317" s="32" t="s">
        <v>58</v>
      </c>
      <c r="F317" s="32" t="s">
        <v>169</v>
      </c>
      <c r="G317" s="32"/>
      <c r="H317" s="32" t="s">
        <v>47</v>
      </c>
      <c r="I317" s="32"/>
      <c r="J317" s="32" t="s">
        <v>47</v>
      </c>
    </row>
    <row r="318">
      <c r="A318" s="60">
        <v>2950882.0</v>
      </c>
      <c r="B318" s="52">
        <v>44712.0</v>
      </c>
      <c r="C318" s="43" t="s">
        <v>70</v>
      </c>
      <c r="D318" s="29" t="s">
        <v>504</v>
      </c>
      <c r="E318" s="32" t="s">
        <v>219</v>
      </c>
      <c r="F318" s="32" t="s">
        <v>220</v>
      </c>
      <c r="G318" s="32"/>
      <c r="H318" s="32" t="s">
        <v>47</v>
      </c>
      <c r="I318" s="32"/>
      <c r="J318" s="32" t="s">
        <v>47</v>
      </c>
    </row>
    <row r="319">
      <c r="A319" s="60">
        <v>177906.0</v>
      </c>
      <c r="B319" s="52">
        <v>44712.0</v>
      </c>
      <c r="C319" s="43" t="s">
        <v>70</v>
      </c>
      <c r="D319" s="29" t="s">
        <v>505</v>
      </c>
      <c r="E319" s="32" t="s">
        <v>219</v>
      </c>
      <c r="F319" s="32" t="s">
        <v>506</v>
      </c>
      <c r="G319" s="32"/>
      <c r="H319" s="32" t="s">
        <v>47</v>
      </c>
      <c r="I319" s="32"/>
      <c r="J319" s="32" t="s">
        <v>47</v>
      </c>
    </row>
    <row r="320">
      <c r="A320" s="49">
        <v>2858842.0</v>
      </c>
      <c r="B320" s="52">
        <v>44712.0</v>
      </c>
      <c r="C320" s="43" t="s">
        <v>142</v>
      </c>
      <c r="D320" s="29" t="s">
        <v>507</v>
      </c>
      <c r="E320" s="32" t="s">
        <v>83</v>
      </c>
      <c r="F320" s="32" t="s">
        <v>285</v>
      </c>
      <c r="G320" s="32"/>
      <c r="H320" s="32" t="s">
        <v>47</v>
      </c>
      <c r="I320" s="32"/>
      <c r="J320" s="32" t="s">
        <v>47</v>
      </c>
    </row>
    <row r="321">
      <c r="A321" s="49">
        <v>2972612.0</v>
      </c>
      <c r="B321" s="52">
        <v>44712.0</v>
      </c>
      <c r="C321" s="43" t="s">
        <v>70</v>
      </c>
      <c r="D321" s="29" t="s">
        <v>508</v>
      </c>
      <c r="E321" s="32" t="s">
        <v>58</v>
      </c>
      <c r="F321" s="61" t="s">
        <v>509</v>
      </c>
      <c r="G321" s="32"/>
      <c r="H321" s="32" t="s">
        <v>47</v>
      </c>
      <c r="I321" s="32"/>
      <c r="J321" s="32" t="s">
        <v>47</v>
      </c>
    </row>
    <row r="322">
      <c r="A322" s="51">
        <v>3212337.0</v>
      </c>
      <c r="B322" s="52">
        <v>44742.0</v>
      </c>
      <c r="C322" s="41" t="s">
        <v>142</v>
      </c>
      <c r="D322" s="29" t="s">
        <v>510</v>
      </c>
      <c r="E322" s="32" t="s">
        <v>45</v>
      </c>
      <c r="F322" s="32"/>
      <c r="G322" s="32"/>
      <c r="H322" s="32" t="s">
        <v>47</v>
      </c>
      <c r="I322" s="32"/>
      <c r="J322" s="32" t="s">
        <v>47</v>
      </c>
    </row>
    <row r="323">
      <c r="A323" s="55">
        <v>3797264.0</v>
      </c>
      <c r="B323" s="52">
        <v>44742.0</v>
      </c>
      <c r="C323" s="43" t="s">
        <v>37</v>
      </c>
      <c r="D323" s="29" t="s">
        <v>511</v>
      </c>
      <c r="E323" s="32" t="s">
        <v>144</v>
      </c>
      <c r="F323" s="32" t="s">
        <v>311</v>
      </c>
      <c r="G323" s="32"/>
      <c r="H323" s="32" t="s">
        <v>47</v>
      </c>
      <c r="I323" s="32"/>
      <c r="J323" s="32" t="s">
        <v>47</v>
      </c>
    </row>
    <row r="324">
      <c r="A324" s="51">
        <v>1236580.0</v>
      </c>
      <c r="B324" s="52">
        <v>44742.0</v>
      </c>
      <c r="C324" s="43" t="s">
        <v>37</v>
      </c>
      <c r="D324" s="29" t="s">
        <v>512</v>
      </c>
      <c r="E324" s="32" t="s">
        <v>101</v>
      </c>
      <c r="F324" s="32" t="s">
        <v>203</v>
      </c>
      <c r="G324" s="32"/>
      <c r="H324" s="32" t="s">
        <v>47</v>
      </c>
      <c r="I324" s="32"/>
      <c r="J324" s="32" t="s">
        <v>47</v>
      </c>
    </row>
    <row r="325">
      <c r="A325" s="51">
        <v>1124968.0</v>
      </c>
      <c r="B325" s="52">
        <v>44742.0</v>
      </c>
      <c r="C325" s="43" t="s">
        <v>37</v>
      </c>
      <c r="D325" s="29" t="s">
        <v>513</v>
      </c>
      <c r="E325" s="32" t="s">
        <v>101</v>
      </c>
      <c r="F325" s="32" t="s">
        <v>203</v>
      </c>
      <c r="G325" s="32"/>
      <c r="H325" s="32" t="s">
        <v>47</v>
      </c>
      <c r="I325" s="32"/>
      <c r="J325" s="32" t="s">
        <v>47</v>
      </c>
    </row>
    <row r="326">
      <c r="A326" s="60">
        <v>2159160.0</v>
      </c>
      <c r="B326" s="52">
        <v>44742.0</v>
      </c>
      <c r="C326" s="43" t="s">
        <v>37</v>
      </c>
      <c r="D326" s="29" t="s">
        <v>514</v>
      </c>
      <c r="E326" s="32" t="s">
        <v>39</v>
      </c>
      <c r="F326" s="32" t="s">
        <v>140</v>
      </c>
      <c r="G326" s="32"/>
      <c r="H326" s="32" t="s">
        <v>47</v>
      </c>
      <c r="I326" s="32"/>
      <c r="J326" s="32" t="s">
        <v>47</v>
      </c>
    </row>
    <row r="327">
      <c r="A327" s="60">
        <v>2051705.0</v>
      </c>
      <c r="B327" s="52">
        <v>44742.0</v>
      </c>
      <c r="C327" s="43" t="s">
        <v>37</v>
      </c>
      <c r="D327" s="29" t="s">
        <v>515</v>
      </c>
      <c r="E327" s="32" t="s">
        <v>39</v>
      </c>
      <c r="F327" s="32" t="s">
        <v>140</v>
      </c>
      <c r="G327" s="32"/>
      <c r="H327" s="32" t="s">
        <v>47</v>
      </c>
      <c r="I327" s="32"/>
      <c r="J327" s="32" t="s">
        <v>47</v>
      </c>
    </row>
    <row r="328">
      <c r="A328" s="60">
        <v>2564962.0</v>
      </c>
      <c r="B328" s="52">
        <v>44742.0</v>
      </c>
      <c r="C328" s="43" t="s">
        <v>37</v>
      </c>
      <c r="D328" s="29" t="s">
        <v>516</v>
      </c>
      <c r="E328" s="32" t="s">
        <v>39</v>
      </c>
      <c r="F328" s="32" t="s">
        <v>140</v>
      </c>
      <c r="G328" s="32"/>
      <c r="H328" s="32"/>
      <c r="I328" s="32"/>
      <c r="J328" s="32"/>
    </row>
    <row r="329">
      <c r="A329" s="60">
        <v>2444444.0</v>
      </c>
      <c r="B329" s="52">
        <v>44742.0</v>
      </c>
      <c r="C329" s="43" t="s">
        <v>37</v>
      </c>
      <c r="D329" s="29" t="s">
        <v>517</v>
      </c>
      <c r="E329" s="32" t="s">
        <v>39</v>
      </c>
      <c r="F329" s="32" t="s">
        <v>214</v>
      </c>
      <c r="G329" s="32"/>
      <c r="H329" s="32"/>
      <c r="I329" s="32"/>
      <c r="J329" s="32"/>
    </row>
    <row r="330">
      <c r="A330" s="60">
        <v>2102800.0</v>
      </c>
      <c r="B330" s="52">
        <v>44742.0</v>
      </c>
      <c r="C330" s="43" t="s">
        <v>37</v>
      </c>
      <c r="D330" s="29" t="s">
        <v>518</v>
      </c>
      <c r="E330" s="32" t="s">
        <v>39</v>
      </c>
      <c r="F330" s="32" t="s">
        <v>140</v>
      </c>
      <c r="G330" s="32"/>
      <c r="H330" s="32"/>
      <c r="I330" s="32"/>
      <c r="J330" s="32"/>
    </row>
    <row r="331">
      <c r="A331" s="60">
        <v>2019358.0</v>
      </c>
      <c r="B331" s="52">
        <v>44742.0</v>
      </c>
      <c r="C331" s="43" t="s">
        <v>37</v>
      </c>
      <c r="D331" s="29" t="s">
        <v>519</v>
      </c>
      <c r="E331" s="32" t="s">
        <v>39</v>
      </c>
      <c r="F331" s="32" t="s">
        <v>140</v>
      </c>
      <c r="G331" s="32"/>
      <c r="H331" s="32"/>
      <c r="I331" s="32"/>
      <c r="J331" s="32"/>
    </row>
    <row r="332">
      <c r="A332" s="60">
        <v>1806572.0</v>
      </c>
      <c r="B332" s="52">
        <v>44742.0</v>
      </c>
      <c r="C332" s="43" t="s">
        <v>37</v>
      </c>
      <c r="D332" s="29" t="s">
        <v>520</v>
      </c>
      <c r="E332" s="32" t="s">
        <v>39</v>
      </c>
      <c r="F332" s="32" t="s">
        <v>140</v>
      </c>
      <c r="G332" s="32"/>
      <c r="H332" s="32"/>
      <c r="I332" s="32"/>
      <c r="J332" s="32"/>
    </row>
    <row r="333">
      <c r="A333" s="60">
        <v>1796660.0</v>
      </c>
      <c r="B333" s="52">
        <v>44742.0</v>
      </c>
      <c r="C333" s="43" t="s">
        <v>37</v>
      </c>
      <c r="D333" s="29" t="s">
        <v>521</v>
      </c>
      <c r="E333" s="32" t="s">
        <v>39</v>
      </c>
      <c r="F333" s="32" t="s">
        <v>140</v>
      </c>
      <c r="G333" s="32"/>
      <c r="H333" s="32"/>
      <c r="I333" s="32"/>
      <c r="J333" s="32"/>
    </row>
    <row r="334">
      <c r="A334" s="60">
        <v>1715894.0</v>
      </c>
      <c r="B334" s="52">
        <v>44742.0</v>
      </c>
      <c r="C334" s="43" t="s">
        <v>37</v>
      </c>
      <c r="D334" s="29" t="s">
        <v>522</v>
      </c>
      <c r="E334" s="32" t="s">
        <v>39</v>
      </c>
      <c r="F334" s="32" t="s">
        <v>140</v>
      </c>
      <c r="G334" s="32"/>
      <c r="H334" s="32"/>
      <c r="I334" s="32"/>
      <c r="J334" s="32"/>
    </row>
    <row r="335">
      <c r="A335" s="51">
        <v>2246386.0</v>
      </c>
      <c r="B335" s="52">
        <v>44742.0</v>
      </c>
      <c r="C335" s="43" t="s">
        <v>37</v>
      </c>
      <c r="D335" s="29" t="s">
        <v>523</v>
      </c>
      <c r="E335" s="32" t="s">
        <v>58</v>
      </c>
      <c r="F335" s="32" t="s">
        <v>86</v>
      </c>
      <c r="G335" s="32"/>
      <c r="H335" s="32"/>
      <c r="I335" s="32"/>
      <c r="J335" s="32"/>
    </row>
    <row r="336">
      <c r="A336" s="51">
        <v>4215764.0</v>
      </c>
      <c r="B336" s="52">
        <v>44742.0</v>
      </c>
      <c r="C336" s="43" t="s">
        <v>37</v>
      </c>
      <c r="D336" s="29" t="s">
        <v>524</v>
      </c>
      <c r="E336" s="32" t="s">
        <v>39</v>
      </c>
      <c r="F336" s="32" t="s">
        <v>40</v>
      </c>
      <c r="G336" s="32"/>
      <c r="H336" s="32"/>
      <c r="I336" s="32"/>
      <c r="J336" s="32"/>
    </row>
    <row r="337">
      <c r="A337" s="60">
        <v>1144840.0</v>
      </c>
      <c r="B337" s="52">
        <v>44742.0</v>
      </c>
      <c r="C337" s="43" t="s">
        <v>142</v>
      </c>
      <c r="D337" s="29" t="s">
        <v>525</v>
      </c>
      <c r="E337" s="32" t="s">
        <v>39</v>
      </c>
      <c r="F337" s="32" t="s">
        <v>140</v>
      </c>
      <c r="G337" s="32"/>
      <c r="H337" s="32"/>
      <c r="I337" s="32"/>
      <c r="J337" s="32"/>
    </row>
    <row r="338">
      <c r="A338" s="60">
        <v>688196.0</v>
      </c>
      <c r="B338" s="52">
        <v>44742.0</v>
      </c>
      <c r="C338" s="41" t="s">
        <v>142</v>
      </c>
      <c r="D338" s="29" t="s">
        <v>526</v>
      </c>
      <c r="E338" s="32" t="s">
        <v>39</v>
      </c>
      <c r="F338" s="32" t="s">
        <v>140</v>
      </c>
      <c r="G338" s="32"/>
      <c r="H338" s="32"/>
      <c r="I338" s="32"/>
      <c r="J338" s="32"/>
    </row>
    <row r="339">
      <c r="A339" s="45">
        <v>1922324.0</v>
      </c>
      <c r="B339" s="46">
        <v>44771.0</v>
      </c>
      <c r="C339" s="43" t="s">
        <v>43</v>
      </c>
      <c r="D339" s="29" t="s">
        <v>527</v>
      </c>
      <c r="E339" s="32" t="s">
        <v>39</v>
      </c>
      <c r="F339" s="32" t="s">
        <v>140</v>
      </c>
      <c r="G339" s="32"/>
      <c r="H339" s="32"/>
      <c r="I339" s="32"/>
      <c r="J339" s="32"/>
    </row>
    <row r="340">
      <c r="A340" s="60">
        <v>4115896.0</v>
      </c>
      <c r="B340" s="52">
        <v>44742.0</v>
      </c>
      <c r="C340" s="43" t="s">
        <v>528</v>
      </c>
      <c r="D340" s="29" t="s">
        <v>529</v>
      </c>
      <c r="E340" s="32" t="s">
        <v>39</v>
      </c>
      <c r="F340" s="32" t="s">
        <v>54</v>
      </c>
      <c r="G340" s="32"/>
      <c r="H340" s="32"/>
      <c r="I340" s="32"/>
      <c r="J340" s="32"/>
    </row>
    <row r="341">
      <c r="A341" s="60">
        <v>4094572.0</v>
      </c>
      <c r="B341" s="52">
        <v>44742.0</v>
      </c>
      <c r="C341" s="43" t="s">
        <v>528</v>
      </c>
      <c r="D341" s="29" t="s">
        <v>530</v>
      </c>
      <c r="E341" s="32" t="s">
        <v>39</v>
      </c>
      <c r="F341" s="32" t="s">
        <v>54</v>
      </c>
      <c r="G341" s="32"/>
      <c r="H341" s="32"/>
      <c r="I341" s="32"/>
      <c r="J341" s="32"/>
    </row>
    <row r="342">
      <c r="A342" s="45">
        <v>2713640.0</v>
      </c>
      <c r="B342" s="52">
        <v>44742.0</v>
      </c>
      <c r="C342" s="43" t="s">
        <v>170</v>
      </c>
      <c r="D342" s="29" t="s">
        <v>531</v>
      </c>
      <c r="E342" s="32" t="s">
        <v>83</v>
      </c>
      <c r="F342" s="32" t="s">
        <v>147</v>
      </c>
      <c r="G342" s="32"/>
      <c r="H342" s="32"/>
      <c r="I342" s="32"/>
      <c r="J342" s="32"/>
    </row>
    <row r="343">
      <c r="A343" s="51">
        <v>2771350.0</v>
      </c>
      <c r="B343" s="52">
        <v>44742.0</v>
      </c>
      <c r="C343" s="43" t="s">
        <v>37</v>
      </c>
      <c r="D343" s="29" t="s">
        <v>532</v>
      </c>
      <c r="E343" s="32" t="s">
        <v>58</v>
      </c>
      <c r="F343" s="32" t="s">
        <v>59</v>
      </c>
      <c r="G343" s="32"/>
      <c r="H343" s="32"/>
      <c r="I343" s="32"/>
      <c r="J343" s="32"/>
    </row>
    <row r="344">
      <c r="A344" s="51">
        <v>3622040.0</v>
      </c>
      <c r="B344" s="62">
        <v>44742.0</v>
      </c>
      <c r="C344" s="43" t="s">
        <v>37</v>
      </c>
      <c r="D344" s="29" t="s">
        <v>533</v>
      </c>
      <c r="E344" s="32" t="s">
        <v>63</v>
      </c>
      <c r="F344" s="32" t="s">
        <v>294</v>
      </c>
      <c r="G344" s="32"/>
      <c r="H344" s="32"/>
      <c r="I344" s="32"/>
      <c r="J344" s="32"/>
    </row>
    <row r="345">
      <c r="A345" s="53">
        <v>3936930.0</v>
      </c>
      <c r="B345" s="62">
        <v>44742.0</v>
      </c>
      <c r="C345" s="43" t="s">
        <v>37</v>
      </c>
      <c r="D345" s="29" t="s">
        <v>534</v>
      </c>
      <c r="E345" s="32" t="s">
        <v>39</v>
      </c>
      <c r="F345" s="32" t="s">
        <v>113</v>
      </c>
      <c r="G345" s="32"/>
      <c r="H345" s="32"/>
      <c r="I345" s="32"/>
      <c r="J345" s="32"/>
    </row>
    <row r="346">
      <c r="A346" s="51">
        <v>963324.0</v>
      </c>
      <c r="B346" s="62">
        <v>44742.0</v>
      </c>
      <c r="C346" s="43" t="s">
        <v>37</v>
      </c>
      <c r="D346" s="29" t="s">
        <v>535</v>
      </c>
      <c r="E346" s="32" t="s">
        <v>45</v>
      </c>
      <c r="F346" s="32" t="s">
        <v>172</v>
      </c>
      <c r="G346" s="32"/>
      <c r="H346" s="32"/>
      <c r="I346" s="32"/>
      <c r="J346" s="32"/>
    </row>
    <row r="347">
      <c r="A347" s="60">
        <v>3411646.0</v>
      </c>
      <c r="B347" s="52">
        <v>44926.0</v>
      </c>
      <c r="C347" s="41" t="s">
        <v>170</v>
      </c>
      <c r="D347" s="29" t="s">
        <v>536</v>
      </c>
      <c r="E347" s="32" t="s">
        <v>63</v>
      </c>
      <c r="F347" s="32" t="s">
        <v>115</v>
      </c>
      <c r="G347" s="32"/>
      <c r="H347" s="32"/>
      <c r="I347" s="32"/>
      <c r="J347" s="32"/>
    </row>
    <row r="348">
      <c r="A348" s="59">
        <v>2892470.0</v>
      </c>
      <c r="B348" s="52">
        <v>44926.0</v>
      </c>
      <c r="C348" s="43" t="s">
        <v>170</v>
      </c>
      <c r="D348" s="29" t="s">
        <v>537</v>
      </c>
      <c r="E348" s="32" t="s">
        <v>122</v>
      </c>
      <c r="F348" s="32" t="s">
        <v>538</v>
      </c>
      <c r="G348" s="32"/>
      <c r="H348" s="32"/>
      <c r="I348" s="32"/>
      <c r="J348" s="32"/>
    </row>
    <row r="349">
      <c r="A349" s="63">
        <v>3370416.0</v>
      </c>
      <c r="B349" s="64">
        <v>44771.0</v>
      </c>
      <c r="C349" s="43" t="s">
        <v>37</v>
      </c>
      <c r="D349" s="29" t="s">
        <v>539</v>
      </c>
      <c r="E349" s="32" t="s">
        <v>45</v>
      </c>
      <c r="F349" s="32" t="s">
        <v>90</v>
      </c>
      <c r="G349" s="32"/>
      <c r="H349" s="32"/>
      <c r="I349" s="32"/>
      <c r="J349" s="32"/>
    </row>
    <row r="350">
      <c r="A350" s="51">
        <v>3043952.0</v>
      </c>
      <c r="B350" s="52">
        <v>44773.0</v>
      </c>
      <c r="C350" s="43" t="s">
        <v>215</v>
      </c>
      <c r="D350" s="29" t="s">
        <v>392</v>
      </c>
      <c r="E350" s="32" t="s">
        <v>58</v>
      </c>
      <c r="F350" s="32" t="s">
        <v>86</v>
      </c>
      <c r="G350" s="32"/>
      <c r="H350" s="32"/>
      <c r="I350" s="32"/>
      <c r="J350" s="32"/>
    </row>
    <row r="351">
      <c r="A351" s="51">
        <v>2826011.0</v>
      </c>
      <c r="B351" s="52">
        <v>44773.0</v>
      </c>
      <c r="C351" s="43" t="s">
        <v>142</v>
      </c>
      <c r="D351" s="29" t="s">
        <v>540</v>
      </c>
      <c r="E351" s="32" t="s">
        <v>96</v>
      </c>
      <c r="F351" s="32" t="s">
        <v>352</v>
      </c>
      <c r="G351" s="32"/>
      <c r="H351" s="32"/>
      <c r="I351" s="32"/>
      <c r="J351" s="32"/>
    </row>
    <row r="352">
      <c r="A352" s="65">
        <v>2479338.0</v>
      </c>
      <c r="B352" s="52">
        <v>44773.0</v>
      </c>
      <c r="C352" s="43" t="s">
        <v>37</v>
      </c>
      <c r="D352" s="29" t="s">
        <v>541</v>
      </c>
      <c r="E352" s="32" t="s">
        <v>58</v>
      </c>
      <c r="F352" s="32" t="s">
        <v>234</v>
      </c>
      <c r="G352" s="32"/>
      <c r="H352" s="32"/>
      <c r="I352" s="32"/>
      <c r="J352" s="32"/>
    </row>
    <row r="353">
      <c r="A353" s="65">
        <v>2443266.0</v>
      </c>
      <c r="B353" s="52">
        <v>44773.0</v>
      </c>
      <c r="C353" s="43" t="s">
        <v>37</v>
      </c>
      <c r="D353" s="29" t="s">
        <v>542</v>
      </c>
      <c r="E353" s="32" t="s">
        <v>58</v>
      </c>
      <c r="F353" s="32" t="s">
        <v>59</v>
      </c>
      <c r="G353" s="32"/>
      <c r="H353" s="32"/>
      <c r="I353" s="32"/>
      <c r="J353" s="32"/>
    </row>
    <row r="354">
      <c r="A354" s="65">
        <v>4063124.0</v>
      </c>
      <c r="B354" s="52">
        <v>44773.0</v>
      </c>
      <c r="C354" s="43" t="s">
        <v>37</v>
      </c>
      <c r="D354" s="29" t="s">
        <v>543</v>
      </c>
      <c r="E354" s="32" t="s">
        <v>45</v>
      </c>
      <c r="F354" s="32" t="s">
        <v>90</v>
      </c>
      <c r="G354" s="32"/>
      <c r="H354" s="32"/>
      <c r="I354" s="32"/>
      <c r="J354" s="32"/>
    </row>
    <row r="355">
      <c r="A355" s="66">
        <v>3985912.0</v>
      </c>
      <c r="B355" s="52">
        <v>44773.0</v>
      </c>
      <c r="C355" s="43" t="s">
        <v>37</v>
      </c>
      <c r="D355" s="29" t="s">
        <v>544</v>
      </c>
      <c r="E355" s="32" t="s">
        <v>45</v>
      </c>
      <c r="F355" s="32" t="s">
        <v>90</v>
      </c>
      <c r="G355" s="32"/>
      <c r="H355" s="32"/>
      <c r="I355" s="32"/>
      <c r="J355" s="32"/>
    </row>
    <row r="356">
      <c r="A356" s="66">
        <v>4206756.0</v>
      </c>
      <c r="B356" s="52">
        <v>44773.0</v>
      </c>
      <c r="C356" s="43" t="s">
        <v>37</v>
      </c>
      <c r="D356" s="29" t="s">
        <v>545</v>
      </c>
      <c r="E356" s="32" t="s">
        <v>101</v>
      </c>
      <c r="F356" s="32" t="s">
        <v>102</v>
      </c>
      <c r="G356" s="32"/>
      <c r="H356" s="32"/>
      <c r="I356" s="32"/>
      <c r="J356" s="32"/>
    </row>
    <row r="357">
      <c r="A357" s="67">
        <v>4189210.0</v>
      </c>
      <c r="B357" s="52">
        <v>44773.0</v>
      </c>
      <c r="C357" s="43" t="s">
        <v>37</v>
      </c>
      <c r="D357" s="29" t="s">
        <v>546</v>
      </c>
      <c r="E357" s="32" t="s">
        <v>45</v>
      </c>
      <c r="F357" s="32" t="s">
        <v>75</v>
      </c>
      <c r="G357" s="32"/>
      <c r="H357" s="32"/>
      <c r="I357" s="32"/>
      <c r="J357" s="32"/>
    </row>
    <row r="358">
      <c r="A358" s="67">
        <v>4187754.0</v>
      </c>
      <c r="B358" s="52">
        <v>44773.0</v>
      </c>
      <c r="C358" s="43" t="s">
        <v>37</v>
      </c>
      <c r="D358" s="29" t="s">
        <v>547</v>
      </c>
      <c r="E358" s="32" t="s">
        <v>45</v>
      </c>
      <c r="F358" s="32" t="s">
        <v>90</v>
      </c>
      <c r="G358" s="32"/>
      <c r="H358" s="32"/>
      <c r="I358" s="32"/>
      <c r="J358" s="32"/>
    </row>
    <row r="359">
      <c r="A359" s="26">
        <v>3869200.0</v>
      </c>
      <c r="B359" s="52">
        <v>44681.0</v>
      </c>
      <c r="C359" s="43" t="s">
        <v>37</v>
      </c>
      <c r="D359" s="29" t="s">
        <v>353</v>
      </c>
      <c r="E359" s="32" t="s">
        <v>45</v>
      </c>
      <c r="F359" s="32" t="s">
        <v>75</v>
      </c>
      <c r="G359" s="32"/>
      <c r="H359" s="32"/>
      <c r="I359" s="32"/>
      <c r="J359" s="32"/>
    </row>
    <row r="360">
      <c r="A360" s="26">
        <v>1528118.0</v>
      </c>
      <c r="B360" s="52">
        <v>44681.0</v>
      </c>
      <c r="C360" s="43" t="s">
        <v>37</v>
      </c>
      <c r="D360" s="29" t="s">
        <v>548</v>
      </c>
      <c r="E360" s="32" t="s">
        <v>45</v>
      </c>
      <c r="F360" s="32" t="s">
        <v>75</v>
      </c>
      <c r="G360" s="32">
        <v>891848.0</v>
      </c>
      <c r="H360" s="32" t="s">
        <v>549</v>
      </c>
      <c r="I360" s="32"/>
      <c r="J360" s="32"/>
    </row>
    <row r="361">
      <c r="A361" s="26">
        <v>3383006.0</v>
      </c>
      <c r="B361" s="52">
        <v>44681.0</v>
      </c>
      <c r="C361" s="43" t="s">
        <v>37</v>
      </c>
      <c r="D361" s="29" t="s">
        <v>550</v>
      </c>
      <c r="E361" s="32" t="s">
        <v>45</v>
      </c>
      <c r="F361" s="32" t="s">
        <v>75</v>
      </c>
      <c r="G361" s="32">
        <v>1070530.0</v>
      </c>
      <c r="H361" s="32" t="s">
        <v>551</v>
      </c>
      <c r="I361" s="32"/>
      <c r="J361" s="32"/>
    </row>
    <row r="362">
      <c r="A362" s="26">
        <v>3762806.0</v>
      </c>
      <c r="B362" s="52">
        <v>44681.0</v>
      </c>
      <c r="C362" s="43" t="s">
        <v>37</v>
      </c>
      <c r="D362" s="29" t="s">
        <v>552</v>
      </c>
      <c r="E362" s="32" t="s">
        <v>45</v>
      </c>
      <c r="F362" s="32" t="s">
        <v>75</v>
      </c>
      <c r="G362" s="32">
        <v>1102458.0</v>
      </c>
      <c r="H362" s="32" t="s">
        <v>553</v>
      </c>
      <c r="I362" s="32"/>
      <c r="J362" s="32"/>
    </row>
    <row r="363">
      <c r="A363" s="26">
        <v>2759122.0</v>
      </c>
      <c r="B363" s="52">
        <v>44681.0</v>
      </c>
      <c r="C363" s="43" t="s">
        <v>37</v>
      </c>
      <c r="D363" s="29" t="s">
        <v>443</v>
      </c>
      <c r="E363" s="32" t="s">
        <v>45</v>
      </c>
      <c r="F363" s="32" t="s">
        <v>75</v>
      </c>
      <c r="G363" s="32"/>
      <c r="H363" s="32" t="s">
        <v>47</v>
      </c>
      <c r="I363" s="32"/>
      <c r="J363" s="32" t="s">
        <v>47</v>
      </c>
    </row>
    <row r="364">
      <c r="A364" s="26">
        <v>2427368.0</v>
      </c>
      <c r="B364" s="52">
        <v>44681.0</v>
      </c>
      <c r="C364" s="43" t="s">
        <v>37</v>
      </c>
      <c r="D364" s="29" t="s">
        <v>333</v>
      </c>
      <c r="E364" s="32" t="s">
        <v>45</v>
      </c>
      <c r="F364" s="32" t="s">
        <v>75</v>
      </c>
      <c r="G364" s="32"/>
      <c r="H364" s="32"/>
      <c r="I364" s="32"/>
      <c r="J364" s="32"/>
    </row>
    <row r="365">
      <c r="A365" s="26">
        <v>2837620.0</v>
      </c>
      <c r="B365" s="52">
        <v>44681.0</v>
      </c>
      <c r="C365" s="43" t="s">
        <v>37</v>
      </c>
      <c r="D365" s="29" t="s">
        <v>554</v>
      </c>
      <c r="E365" s="32" t="s">
        <v>45</v>
      </c>
      <c r="F365" s="32" t="s">
        <v>75</v>
      </c>
      <c r="G365" s="32">
        <v>1312042.0</v>
      </c>
      <c r="H365" s="32" t="s">
        <v>555</v>
      </c>
      <c r="I365" s="32"/>
      <c r="J365" s="32"/>
    </row>
    <row r="366">
      <c r="A366" s="26">
        <v>1464072.0</v>
      </c>
      <c r="B366" s="52">
        <v>44681.0</v>
      </c>
      <c r="C366" s="43" t="s">
        <v>37</v>
      </c>
      <c r="D366" s="29" t="s">
        <v>556</v>
      </c>
      <c r="E366" s="32" t="s">
        <v>45</v>
      </c>
      <c r="F366" s="32" t="s">
        <v>75</v>
      </c>
      <c r="G366" s="32">
        <v>1326802.0</v>
      </c>
      <c r="H366" s="32" t="s">
        <v>557</v>
      </c>
      <c r="I366" s="32"/>
      <c r="J366" s="32"/>
    </row>
    <row r="367">
      <c r="A367" s="26">
        <v>2804061.0</v>
      </c>
      <c r="B367" s="52">
        <v>44681.0</v>
      </c>
      <c r="C367" s="43" t="s">
        <v>37</v>
      </c>
      <c r="D367" s="29" t="s">
        <v>210</v>
      </c>
      <c r="E367" s="32" t="s">
        <v>45</v>
      </c>
      <c r="F367" s="32" t="s">
        <v>75</v>
      </c>
      <c r="G367" s="32"/>
      <c r="H367" s="32" t="s">
        <v>47</v>
      </c>
      <c r="I367" s="32"/>
      <c r="J367" s="32" t="s">
        <v>47</v>
      </c>
    </row>
    <row r="368">
      <c r="A368" s="26">
        <v>3344214.0</v>
      </c>
      <c r="B368" s="52">
        <v>44681.0</v>
      </c>
      <c r="C368" s="43" t="s">
        <v>37</v>
      </c>
      <c r="D368" s="29" t="s">
        <v>558</v>
      </c>
      <c r="E368" s="32" t="s">
        <v>45</v>
      </c>
      <c r="F368" s="32" t="s">
        <v>75</v>
      </c>
      <c r="G368" s="32">
        <v>1480108.0</v>
      </c>
      <c r="H368" s="32" t="s">
        <v>559</v>
      </c>
      <c r="I368" s="32"/>
      <c r="J368" s="32"/>
    </row>
    <row r="369">
      <c r="A369" s="26">
        <v>3733378.0</v>
      </c>
      <c r="B369" s="52">
        <v>44681.0</v>
      </c>
      <c r="C369" s="43" t="s">
        <v>37</v>
      </c>
      <c r="D369" s="29" t="s">
        <v>560</v>
      </c>
      <c r="E369" s="32" t="s">
        <v>45</v>
      </c>
      <c r="F369" s="32" t="s">
        <v>75</v>
      </c>
      <c r="G369" s="32">
        <v>1483206.0</v>
      </c>
      <c r="H369" s="32" t="s">
        <v>561</v>
      </c>
      <c r="I369" s="32"/>
      <c r="J369" s="32"/>
    </row>
    <row r="370">
      <c r="A370" s="26">
        <v>3362934.0</v>
      </c>
      <c r="B370" s="52">
        <v>44681.0</v>
      </c>
      <c r="C370" s="43" t="s">
        <v>37</v>
      </c>
      <c r="D370" s="29" t="s">
        <v>562</v>
      </c>
      <c r="E370" s="32" t="s">
        <v>45</v>
      </c>
      <c r="F370" s="32" t="s">
        <v>75</v>
      </c>
      <c r="G370" s="32">
        <v>1617616.0</v>
      </c>
      <c r="H370" s="32" t="s">
        <v>563</v>
      </c>
      <c r="I370" s="32"/>
      <c r="J370" s="32"/>
    </row>
    <row r="371">
      <c r="A371" s="26">
        <v>2004522.0</v>
      </c>
      <c r="B371" s="52">
        <v>44681.0</v>
      </c>
      <c r="C371" s="43" t="s">
        <v>37</v>
      </c>
      <c r="D371" s="29" t="s">
        <v>564</v>
      </c>
      <c r="E371" s="32" t="s">
        <v>45</v>
      </c>
      <c r="F371" s="32" t="s">
        <v>75</v>
      </c>
      <c r="G371" s="32">
        <v>2074534.0</v>
      </c>
      <c r="H371" s="32" t="s">
        <v>565</v>
      </c>
      <c r="I371" s="32"/>
      <c r="J371" s="32"/>
    </row>
    <row r="372">
      <c r="A372" s="26">
        <v>3587862.0</v>
      </c>
      <c r="B372" s="52">
        <v>44681.0</v>
      </c>
      <c r="C372" s="43" t="s">
        <v>37</v>
      </c>
      <c r="D372" s="29" t="s">
        <v>566</v>
      </c>
      <c r="E372" s="32" t="s">
        <v>45</v>
      </c>
      <c r="F372" s="32" t="s">
        <v>75</v>
      </c>
      <c r="G372" s="32">
        <v>2193814.0</v>
      </c>
      <c r="H372" s="32" t="s">
        <v>567</v>
      </c>
      <c r="I372" s="32"/>
      <c r="J372" s="32"/>
    </row>
    <row r="373">
      <c r="A373" s="26">
        <v>2991958.0</v>
      </c>
      <c r="B373" s="52">
        <v>44681.0</v>
      </c>
      <c r="C373" s="43" t="s">
        <v>37</v>
      </c>
      <c r="D373" s="29" t="s">
        <v>568</v>
      </c>
      <c r="E373" s="32" t="s">
        <v>101</v>
      </c>
      <c r="F373" s="32" t="s">
        <v>102</v>
      </c>
      <c r="G373" s="32">
        <v>2253706.0</v>
      </c>
      <c r="H373" s="32" t="s">
        <v>569</v>
      </c>
      <c r="I373" s="32"/>
      <c r="J373" s="32"/>
    </row>
    <row r="374">
      <c r="A374" s="26">
        <v>3386922.0</v>
      </c>
      <c r="B374" s="52">
        <v>44681.0</v>
      </c>
      <c r="C374" s="43" t="s">
        <v>37</v>
      </c>
      <c r="D374" s="29" t="s">
        <v>570</v>
      </c>
      <c r="E374" s="32" t="s">
        <v>45</v>
      </c>
      <c r="F374" s="32" t="s">
        <v>75</v>
      </c>
      <c r="G374" s="32">
        <v>2265622.0</v>
      </c>
      <c r="H374" s="32" t="s">
        <v>571</v>
      </c>
      <c r="I374" s="32"/>
      <c r="J374" s="32"/>
    </row>
    <row r="375">
      <c r="A375" s="26">
        <v>4163102.0</v>
      </c>
      <c r="B375" s="52">
        <v>44681.0</v>
      </c>
      <c r="C375" s="43" t="s">
        <v>37</v>
      </c>
      <c r="D375" s="29" t="s">
        <v>572</v>
      </c>
      <c r="E375" s="32" t="s">
        <v>45</v>
      </c>
      <c r="F375" s="32" t="s">
        <v>75</v>
      </c>
      <c r="G375" s="32">
        <v>2265622.0</v>
      </c>
      <c r="H375" s="32" t="s">
        <v>571</v>
      </c>
      <c r="I375" s="32"/>
      <c r="J375" s="32"/>
    </row>
    <row r="376">
      <c r="A376" s="26">
        <v>4087862.0</v>
      </c>
      <c r="B376" s="52">
        <v>44681.0</v>
      </c>
      <c r="C376" s="43" t="s">
        <v>37</v>
      </c>
      <c r="D376" s="29" t="s">
        <v>573</v>
      </c>
      <c r="E376" s="32" t="s">
        <v>45</v>
      </c>
      <c r="F376" s="32" t="s">
        <v>75</v>
      </c>
      <c r="G376" s="32">
        <v>2309602.0</v>
      </c>
      <c r="H376" s="32" t="s">
        <v>574</v>
      </c>
      <c r="I376" s="32"/>
      <c r="J376" s="32"/>
    </row>
    <row r="377">
      <c r="A377" s="26">
        <v>2445140.0</v>
      </c>
      <c r="B377" s="52">
        <v>44681.0</v>
      </c>
      <c r="C377" s="43" t="s">
        <v>37</v>
      </c>
      <c r="D377" s="29" t="s">
        <v>575</v>
      </c>
      <c r="E377" s="32" t="s">
        <v>45</v>
      </c>
      <c r="F377" s="32" t="s">
        <v>75</v>
      </c>
      <c r="G377" s="32">
        <v>2381630.0</v>
      </c>
      <c r="H377" s="32" t="s">
        <v>576</v>
      </c>
      <c r="I377" s="32"/>
      <c r="J377" s="32"/>
    </row>
    <row r="378">
      <c r="A378" s="26">
        <v>1513982.0</v>
      </c>
      <c r="B378" s="52">
        <v>44681.0</v>
      </c>
      <c r="C378" s="43" t="s">
        <v>37</v>
      </c>
      <c r="D378" s="29" t="s">
        <v>577</v>
      </c>
      <c r="E378" s="32" t="s">
        <v>45</v>
      </c>
      <c r="F378" s="32" t="s">
        <v>75</v>
      </c>
      <c r="G378" s="32">
        <v>2397300.0</v>
      </c>
      <c r="H378" s="32" t="s">
        <v>578</v>
      </c>
      <c r="I378" s="32"/>
      <c r="J378" s="32"/>
    </row>
    <row r="379">
      <c r="A379" s="26">
        <v>3305280.0</v>
      </c>
      <c r="B379" s="52">
        <v>44681.0</v>
      </c>
      <c r="C379" s="43" t="s">
        <v>37</v>
      </c>
      <c r="D379" s="29" t="s">
        <v>579</v>
      </c>
      <c r="E379" s="32" t="s">
        <v>45</v>
      </c>
      <c r="F379" s="32" t="s">
        <v>75</v>
      </c>
      <c r="G379" s="32">
        <v>2483966.0</v>
      </c>
      <c r="H379" s="32" t="s">
        <v>580</v>
      </c>
      <c r="I379" s="32"/>
      <c r="J379" s="32"/>
    </row>
    <row r="380">
      <c r="A380" s="26">
        <v>3091088.0</v>
      </c>
      <c r="B380" s="52">
        <v>44681.0</v>
      </c>
      <c r="C380" s="43" t="s">
        <v>37</v>
      </c>
      <c r="D380" s="29" t="s">
        <v>581</v>
      </c>
      <c r="E380" s="32" t="s">
        <v>45</v>
      </c>
      <c r="F380" s="32" t="s">
        <v>75</v>
      </c>
      <c r="G380" s="32">
        <v>2514204.0</v>
      </c>
      <c r="H380" s="32" t="s">
        <v>582</v>
      </c>
      <c r="I380" s="32"/>
      <c r="J380" s="32"/>
    </row>
    <row r="381">
      <c r="A381" s="26">
        <v>3337010.0</v>
      </c>
      <c r="B381" s="52">
        <v>44681.0</v>
      </c>
      <c r="C381" s="43" t="s">
        <v>37</v>
      </c>
      <c r="D381" s="29" t="s">
        <v>583</v>
      </c>
      <c r="E381" s="32" t="s">
        <v>45</v>
      </c>
      <c r="F381" s="32" t="s">
        <v>75</v>
      </c>
      <c r="G381" s="32">
        <v>2514204.0</v>
      </c>
      <c r="H381" s="32" t="s">
        <v>582</v>
      </c>
      <c r="I381" s="32"/>
      <c r="J381" s="32"/>
    </row>
    <row r="382">
      <c r="A382" s="26">
        <v>4045712.0</v>
      </c>
      <c r="B382" s="52">
        <v>44681.0</v>
      </c>
      <c r="C382" s="43" t="s">
        <v>37</v>
      </c>
      <c r="D382" s="29" t="s">
        <v>584</v>
      </c>
      <c r="E382" s="32" t="s">
        <v>45</v>
      </c>
      <c r="F382" s="32" t="s">
        <v>75</v>
      </c>
      <c r="G382" s="32">
        <v>2543649.0</v>
      </c>
      <c r="H382" s="32" t="s">
        <v>585</v>
      </c>
      <c r="I382" s="32"/>
      <c r="J382" s="32"/>
    </row>
    <row r="383">
      <c r="A383" s="26">
        <v>2674140.0</v>
      </c>
      <c r="B383" s="52">
        <v>44681.0</v>
      </c>
      <c r="C383" s="43" t="s">
        <v>37</v>
      </c>
      <c r="D383" s="29" t="s">
        <v>586</v>
      </c>
      <c r="E383" s="32" t="s">
        <v>101</v>
      </c>
      <c r="F383" s="32" t="s">
        <v>102</v>
      </c>
      <c r="G383" s="32">
        <v>2558142.0</v>
      </c>
      <c r="H383" s="32" t="s">
        <v>587</v>
      </c>
      <c r="I383" s="32"/>
      <c r="J383" s="32"/>
    </row>
    <row r="384">
      <c r="A384" s="26">
        <v>2402126.0</v>
      </c>
      <c r="B384" s="52">
        <v>44681.0</v>
      </c>
      <c r="C384" s="43" t="s">
        <v>37</v>
      </c>
      <c r="D384" s="29" t="s">
        <v>588</v>
      </c>
      <c r="E384" s="32" t="s">
        <v>45</v>
      </c>
      <c r="F384" s="32" t="s">
        <v>75</v>
      </c>
      <c r="G384" s="32">
        <v>2585454.0</v>
      </c>
      <c r="H384" s="32" t="s">
        <v>589</v>
      </c>
      <c r="I384" s="32"/>
      <c r="J384" s="32"/>
    </row>
    <row r="385">
      <c r="A385" s="26">
        <v>1870670.0</v>
      </c>
      <c r="B385" s="52">
        <v>44681.0</v>
      </c>
      <c r="C385" s="43" t="s">
        <v>37</v>
      </c>
      <c r="D385" s="29" t="s">
        <v>590</v>
      </c>
      <c r="E385" s="32" t="s">
        <v>45</v>
      </c>
      <c r="F385" s="32" t="s">
        <v>75</v>
      </c>
      <c r="G385" s="32">
        <v>2597160.0</v>
      </c>
      <c r="H385" s="32" t="s">
        <v>591</v>
      </c>
      <c r="I385" s="32"/>
      <c r="J385" s="32"/>
    </row>
    <row r="386">
      <c r="A386" s="26">
        <v>3871572.0</v>
      </c>
      <c r="B386" s="52">
        <v>44681.0</v>
      </c>
      <c r="C386" s="43" t="s">
        <v>37</v>
      </c>
      <c r="D386" s="29" t="s">
        <v>592</v>
      </c>
      <c r="E386" s="32" t="s">
        <v>45</v>
      </c>
      <c r="F386" s="32" t="s">
        <v>75</v>
      </c>
      <c r="G386" s="32">
        <v>2597160.0</v>
      </c>
      <c r="H386" s="32" t="s">
        <v>591</v>
      </c>
      <c r="I386" s="32"/>
      <c r="J386" s="32"/>
    </row>
    <row r="387">
      <c r="A387" s="26">
        <v>1681106.0</v>
      </c>
      <c r="B387" s="52">
        <v>44681.0</v>
      </c>
      <c r="C387" s="43" t="s">
        <v>37</v>
      </c>
      <c r="D387" s="29" t="s">
        <v>593</v>
      </c>
      <c r="E387" s="32" t="s">
        <v>45</v>
      </c>
      <c r="F387" s="32" t="s">
        <v>75</v>
      </c>
      <c r="G387" s="32">
        <v>2622266.0</v>
      </c>
      <c r="H387" s="32" t="s">
        <v>594</v>
      </c>
      <c r="I387" s="32"/>
      <c r="J387" s="32"/>
    </row>
    <row r="388">
      <c r="A388" s="26">
        <v>3479920.0</v>
      </c>
      <c r="B388" s="52">
        <v>44681.0</v>
      </c>
      <c r="C388" s="43" t="s">
        <v>37</v>
      </c>
      <c r="D388" s="29" t="s">
        <v>595</v>
      </c>
      <c r="E388" s="32" t="s">
        <v>45</v>
      </c>
      <c r="F388" s="32" t="s">
        <v>75</v>
      </c>
      <c r="G388" s="32">
        <v>2644586.0</v>
      </c>
      <c r="H388" s="32" t="s">
        <v>596</v>
      </c>
      <c r="I388" s="32"/>
      <c r="J388" s="32"/>
    </row>
    <row r="389">
      <c r="A389" s="26">
        <v>2464748.0</v>
      </c>
      <c r="B389" s="52">
        <v>44681.0</v>
      </c>
      <c r="C389" s="43" t="s">
        <v>37</v>
      </c>
      <c r="D389" s="29" t="s">
        <v>597</v>
      </c>
      <c r="E389" s="32" t="s">
        <v>45</v>
      </c>
      <c r="F389" s="32" t="s">
        <v>75</v>
      </c>
      <c r="G389" s="32">
        <v>2649928.0</v>
      </c>
      <c r="H389" s="32" t="s">
        <v>598</v>
      </c>
      <c r="I389" s="32"/>
      <c r="J389" s="32"/>
    </row>
    <row r="390">
      <c r="A390" s="26">
        <v>2464836.0</v>
      </c>
      <c r="B390" s="52">
        <v>44681.0</v>
      </c>
      <c r="C390" s="43" t="s">
        <v>37</v>
      </c>
      <c r="D390" s="29" t="s">
        <v>599</v>
      </c>
      <c r="E390" s="32" t="s">
        <v>45</v>
      </c>
      <c r="F390" s="32" t="s">
        <v>75</v>
      </c>
      <c r="G390" s="32">
        <v>2649928.0</v>
      </c>
      <c r="H390" s="32" t="s">
        <v>598</v>
      </c>
      <c r="I390" s="32"/>
      <c r="J390" s="32"/>
    </row>
    <row r="391">
      <c r="A391" s="26">
        <v>3507110.0</v>
      </c>
      <c r="B391" s="52">
        <v>44681.0</v>
      </c>
      <c r="C391" s="43" t="s">
        <v>37</v>
      </c>
      <c r="D391" s="29" t="s">
        <v>600</v>
      </c>
      <c r="E391" s="32" t="s">
        <v>45</v>
      </c>
      <c r="F391" s="32" t="s">
        <v>75</v>
      </c>
      <c r="G391" s="32">
        <v>2649928.0</v>
      </c>
      <c r="H391" s="32" t="s">
        <v>598</v>
      </c>
      <c r="I391" s="32"/>
      <c r="J391" s="32"/>
    </row>
    <row r="392">
      <c r="A392" s="26">
        <v>3928284.0</v>
      </c>
      <c r="B392" s="52">
        <v>44681.0</v>
      </c>
      <c r="C392" s="43" t="s">
        <v>37</v>
      </c>
      <c r="D392" s="29" t="s">
        <v>601</v>
      </c>
      <c r="E392" s="32" t="s">
        <v>45</v>
      </c>
      <c r="F392" s="32" t="s">
        <v>75</v>
      </c>
      <c r="G392" s="32">
        <v>2649928.0</v>
      </c>
      <c r="H392" s="32" t="s">
        <v>598</v>
      </c>
      <c r="I392" s="32"/>
      <c r="J392" s="32"/>
    </row>
    <row r="393">
      <c r="A393" s="26">
        <v>2670026.0</v>
      </c>
      <c r="B393" s="52">
        <v>44681.0</v>
      </c>
      <c r="C393" s="43" t="s">
        <v>37</v>
      </c>
      <c r="D393" s="29" t="s">
        <v>602</v>
      </c>
      <c r="E393" s="32" t="s">
        <v>101</v>
      </c>
      <c r="F393" s="32" t="s">
        <v>102</v>
      </c>
      <c r="G393" s="32">
        <v>2741358.0</v>
      </c>
      <c r="H393" s="32" t="s">
        <v>603</v>
      </c>
      <c r="I393" s="32"/>
      <c r="J393" s="32"/>
    </row>
    <row r="394">
      <c r="A394" s="26">
        <v>3585240.0</v>
      </c>
      <c r="B394" s="52">
        <v>44681.0</v>
      </c>
      <c r="C394" s="43" t="s">
        <v>37</v>
      </c>
      <c r="D394" s="29" t="s">
        <v>604</v>
      </c>
      <c r="E394" s="32" t="s">
        <v>45</v>
      </c>
      <c r="F394" s="32" t="s">
        <v>75</v>
      </c>
      <c r="G394" s="32">
        <v>3044474.0</v>
      </c>
      <c r="H394" s="32" t="s">
        <v>605</v>
      </c>
      <c r="I394" s="32"/>
      <c r="J394" s="32"/>
    </row>
    <row r="395">
      <c r="A395" s="26">
        <v>3681698.0</v>
      </c>
      <c r="B395" s="52">
        <v>44681.0</v>
      </c>
      <c r="C395" s="43" t="s">
        <v>37</v>
      </c>
      <c r="D395" s="29" t="s">
        <v>606</v>
      </c>
      <c r="E395" s="32" t="s">
        <v>45</v>
      </c>
      <c r="F395" s="32" t="s">
        <v>75</v>
      </c>
      <c r="G395" s="32">
        <v>3044474.0</v>
      </c>
      <c r="H395" s="32" t="s">
        <v>605</v>
      </c>
      <c r="I395" s="32"/>
      <c r="J395" s="32"/>
    </row>
    <row r="396">
      <c r="A396" s="26">
        <v>2870638.0</v>
      </c>
      <c r="B396" s="52">
        <v>44681.0</v>
      </c>
      <c r="C396" s="43" t="s">
        <v>37</v>
      </c>
      <c r="D396" s="29" t="s">
        <v>232</v>
      </c>
      <c r="E396" s="32" t="s">
        <v>45</v>
      </c>
      <c r="F396" s="32" t="s">
        <v>75</v>
      </c>
      <c r="G396" s="32"/>
      <c r="H396" s="32"/>
      <c r="I396" s="32"/>
      <c r="J396" s="32" t="s">
        <v>47</v>
      </c>
    </row>
    <row r="397">
      <c r="A397" s="26">
        <v>1670116.0</v>
      </c>
      <c r="B397" s="52">
        <v>44681.0</v>
      </c>
      <c r="C397" s="43" t="s">
        <v>37</v>
      </c>
      <c r="D397" s="29" t="s">
        <v>607</v>
      </c>
      <c r="E397" s="32" t="s">
        <v>45</v>
      </c>
      <c r="F397" s="32" t="s">
        <v>75</v>
      </c>
      <c r="G397" s="32">
        <v>3142166.0</v>
      </c>
      <c r="H397" s="32" t="s">
        <v>608</v>
      </c>
      <c r="I397" s="32"/>
      <c r="J397" s="32"/>
    </row>
    <row r="398">
      <c r="A398" s="26">
        <v>3439118.0</v>
      </c>
      <c r="B398" s="52">
        <v>44681.0</v>
      </c>
      <c r="C398" s="41" t="e">
        <v>#N/A</v>
      </c>
      <c r="D398" s="29" t="s">
        <v>609</v>
      </c>
      <c r="E398" s="32" t="s">
        <v>45</v>
      </c>
      <c r="F398" s="32" t="s">
        <v>75</v>
      </c>
      <c r="G398" s="32">
        <v>3210881.0</v>
      </c>
      <c r="H398" s="32" t="s">
        <v>610</v>
      </c>
      <c r="I398" s="32"/>
      <c r="J398" s="32"/>
    </row>
    <row r="399">
      <c r="A399" s="26">
        <v>3926940.0</v>
      </c>
      <c r="B399" s="52">
        <v>44681.0</v>
      </c>
      <c r="C399" s="43" t="s">
        <v>37</v>
      </c>
      <c r="D399" s="29" t="s">
        <v>498</v>
      </c>
      <c r="E399" s="32" t="s">
        <v>45</v>
      </c>
      <c r="F399" s="32" t="s">
        <v>75</v>
      </c>
      <c r="G399" s="32"/>
      <c r="H399" s="32" t="s">
        <v>47</v>
      </c>
      <c r="I399" s="32"/>
      <c r="J399" s="32" t="s">
        <v>47</v>
      </c>
    </row>
    <row r="400">
      <c r="A400" s="26">
        <v>3299942.0</v>
      </c>
      <c r="B400" s="52">
        <v>44681.0</v>
      </c>
      <c r="C400" s="43" t="s">
        <v>37</v>
      </c>
      <c r="D400" s="29" t="s">
        <v>611</v>
      </c>
      <c r="E400" s="32" t="s">
        <v>45</v>
      </c>
      <c r="F400" s="32" t="s">
        <v>90</v>
      </c>
      <c r="G400" s="32">
        <v>3381688.0</v>
      </c>
      <c r="H400" s="32" t="s">
        <v>612</v>
      </c>
      <c r="I400" s="32"/>
      <c r="J400" s="32"/>
    </row>
    <row r="401">
      <c r="A401" s="26">
        <v>1488346.0</v>
      </c>
      <c r="B401" s="52">
        <v>44681.0</v>
      </c>
      <c r="C401" s="43" t="s">
        <v>37</v>
      </c>
      <c r="D401" s="29" t="s">
        <v>613</v>
      </c>
      <c r="E401" s="32" t="s">
        <v>45</v>
      </c>
      <c r="F401" s="32" t="s">
        <v>75</v>
      </c>
      <c r="G401" s="32">
        <v>3475488.0</v>
      </c>
      <c r="H401" s="32" t="s">
        <v>614</v>
      </c>
      <c r="I401" s="32"/>
      <c r="J401" s="32"/>
    </row>
    <row r="402">
      <c r="A402" s="26">
        <v>2509804.0</v>
      </c>
      <c r="B402" s="52">
        <v>44681.0</v>
      </c>
      <c r="C402" s="43" t="s">
        <v>37</v>
      </c>
      <c r="D402" s="29" t="s">
        <v>615</v>
      </c>
      <c r="E402" s="32" t="s">
        <v>45</v>
      </c>
      <c r="F402" s="32" t="s">
        <v>75</v>
      </c>
      <c r="G402" s="32">
        <v>3475488.0</v>
      </c>
      <c r="H402" s="32" t="s">
        <v>614</v>
      </c>
      <c r="I402" s="32"/>
      <c r="J402" s="32"/>
    </row>
    <row r="403">
      <c r="A403" s="26">
        <v>3506256.0</v>
      </c>
      <c r="B403" s="52">
        <v>44681.0</v>
      </c>
      <c r="C403" s="41" t="e">
        <v>#N/A</v>
      </c>
      <c r="D403" s="29" t="s">
        <v>616</v>
      </c>
      <c r="E403" s="32" t="s">
        <v>45</v>
      </c>
      <c r="F403" s="32" t="s">
        <v>75</v>
      </c>
      <c r="G403" s="32">
        <v>3475488.0</v>
      </c>
      <c r="H403" s="32" t="s">
        <v>617</v>
      </c>
      <c r="I403" s="32"/>
      <c r="J403" s="32"/>
    </row>
    <row r="404">
      <c r="A404" s="26">
        <v>3684354.0</v>
      </c>
      <c r="B404" s="52">
        <v>44681.0</v>
      </c>
      <c r="C404" s="43" t="s">
        <v>37</v>
      </c>
      <c r="D404" s="29" t="s">
        <v>618</v>
      </c>
      <c r="E404" s="32" t="s">
        <v>45</v>
      </c>
      <c r="F404" s="32" t="s">
        <v>75</v>
      </c>
      <c r="G404" s="32">
        <v>3476228.0</v>
      </c>
      <c r="H404" s="32" t="s">
        <v>619</v>
      </c>
      <c r="I404" s="32"/>
      <c r="J404" s="32"/>
    </row>
    <row r="405">
      <c r="A405" s="26">
        <v>2596694.0</v>
      </c>
      <c r="B405" s="52">
        <v>44681.0</v>
      </c>
      <c r="C405" s="43" t="s">
        <v>37</v>
      </c>
      <c r="D405" s="29" t="s">
        <v>620</v>
      </c>
      <c r="E405" s="32" t="s">
        <v>45</v>
      </c>
      <c r="F405" s="32" t="s">
        <v>75</v>
      </c>
      <c r="G405" s="32">
        <v>3492150.0</v>
      </c>
      <c r="H405" s="32" t="s">
        <v>621</v>
      </c>
      <c r="I405" s="32"/>
      <c r="J405" s="32"/>
    </row>
    <row r="406">
      <c r="A406" s="26">
        <v>4119872.0</v>
      </c>
      <c r="B406" s="52">
        <v>44681.0</v>
      </c>
      <c r="C406" s="43" t="s">
        <v>37</v>
      </c>
      <c r="D406" s="29" t="s">
        <v>118</v>
      </c>
      <c r="E406" s="32" t="s">
        <v>45</v>
      </c>
      <c r="F406" s="32" t="s">
        <v>75</v>
      </c>
      <c r="G406" s="32">
        <v>3336410.0</v>
      </c>
      <c r="H406" s="32" t="s">
        <v>119</v>
      </c>
      <c r="I406" s="32">
        <v>3573079.0</v>
      </c>
      <c r="J406" s="32" t="s">
        <v>120</v>
      </c>
    </row>
    <row r="407">
      <c r="A407" s="26">
        <v>2640868.0</v>
      </c>
      <c r="B407" s="52">
        <v>44681.0</v>
      </c>
      <c r="C407" s="43" t="s">
        <v>37</v>
      </c>
      <c r="D407" s="29" t="s">
        <v>622</v>
      </c>
      <c r="E407" s="32" t="s">
        <v>45</v>
      </c>
      <c r="F407" s="32" t="s">
        <v>75</v>
      </c>
      <c r="G407" s="32">
        <v>3618082.0</v>
      </c>
      <c r="H407" s="32" t="s">
        <v>623</v>
      </c>
      <c r="I407" s="32"/>
      <c r="J407" s="32"/>
    </row>
    <row r="408">
      <c r="A408" s="26">
        <v>2858580.0</v>
      </c>
      <c r="B408" s="52">
        <v>44681.0</v>
      </c>
      <c r="C408" s="43" t="s">
        <v>37</v>
      </c>
      <c r="D408" s="29" t="s">
        <v>624</v>
      </c>
      <c r="E408" s="32" t="s">
        <v>45</v>
      </c>
      <c r="F408" s="32" t="s">
        <v>75</v>
      </c>
      <c r="G408" s="32">
        <v>3655934.0</v>
      </c>
      <c r="H408" s="32" t="s">
        <v>625</v>
      </c>
      <c r="I408" s="32"/>
      <c r="J408" s="32"/>
    </row>
    <row r="409">
      <c r="A409" s="26">
        <v>2869064.0</v>
      </c>
      <c r="B409" s="52">
        <v>44681.0</v>
      </c>
      <c r="C409" s="43" t="s">
        <v>37</v>
      </c>
      <c r="D409" s="29" t="s">
        <v>626</v>
      </c>
      <c r="E409" s="32" t="s">
        <v>45</v>
      </c>
      <c r="F409" s="32" t="s">
        <v>75</v>
      </c>
      <c r="G409" s="32">
        <v>3724648.0</v>
      </c>
      <c r="H409" s="32" t="s">
        <v>627</v>
      </c>
      <c r="I409" s="32"/>
      <c r="J409" s="32"/>
    </row>
    <row r="410">
      <c r="A410" s="26">
        <v>3313604.0</v>
      </c>
      <c r="B410" s="52">
        <v>44681.0</v>
      </c>
      <c r="C410" s="43" t="s">
        <v>37</v>
      </c>
      <c r="D410" s="29" t="s">
        <v>628</v>
      </c>
      <c r="E410" s="32" t="s">
        <v>101</v>
      </c>
      <c r="F410" s="32" t="s">
        <v>102</v>
      </c>
      <c r="G410" s="32">
        <v>3777588.0</v>
      </c>
      <c r="H410" s="32" t="s">
        <v>629</v>
      </c>
      <c r="I410" s="32"/>
      <c r="J410" s="32"/>
    </row>
    <row r="411">
      <c r="A411" s="26">
        <v>3355948.0</v>
      </c>
      <c r="B411" s="52">
        <v>44681.0</v>
      </c>
      <c r="C411" s="43" t="s">
        <v>37</v>
      </c>
      <c r="D411" s="29" t="s">
        <v>630</v>
      </c>
      <c r="E411" s="32" t="s">
        <v>219</v>
      </c>
      <c r="F411" s="32" t="s">
        <v>220</v>
      </c>
      <c r="G411" s="32">
        <v>3852530.0</v>
      </c>
      <c r="H411" s="32" t="s">
        <v>631</v>
      </c>
      <c r="I411" s="32"/>
      <c r="J411" s="32"/>
    </row>
    <row r="412">
      <c r="A412" s="26">
        <v>3533934.0</v>
      </c>
      <c r="B412" s="52">
        <v>44681.0</v>
      </c>
      <c r="C412" s="43" t="s">
        <v>37</v>
      </c>
      <c r="D412" s="29" t="s">
        <v>632</v>
      </c>
      <c r="E412" s="32" t="s">
        <v>45</v>
      </c>
      <c r="F412" s="32" t="s">
        <v>172</v>
      </c>
      <c r="G412" s="32">
        <v>3852530.0</v>
      </c>
      <c r="H412" s="32" t="s">
        <v>631</v>
      </c>
      <c r="I412" s="32"/>
      <c r="J412" s="32"/>
    </row>
    <row r="413">
      <c r="A413" s="26">
        <v>3165710.0</v>
      </c>
      <c r="B413" s="52">
        <v>44681.0</v>
      </c>
      <c r="C413" s="43" t="s">
        <v>37</v>
      </c>
      <c r="D413" s="29" t="s">
        <v>633</v>
      </c>
      <c r="E413" s="32" t="s">
        <v>45</v>
      </c>
      <c r="F413" s="32" t="s">
        <v>75</v>
      </c>
      <c r="G413" s="32">
        <v>3914962.0</v>
      </c>
      <c r="H413" s="32" t="s">
        <v>634</v>
      </c>
      <c r="I413" s="32"/>
      <c r="J413" s="32"/>
    </row>
    <row r="414">
      <c r="A414" s="26">
        <v>3834108.0</v>
      </c>
      <c r="B414" s="52">
        <v>44681.0</v>
      </c>
      <c r="C414" s="43" t="s">
        <v>37</v>
      </c>
      <c r="D414" s="29" t="s">
        <v>635</v>
      </c>
      <c r="E414" s="32" t="s">
        <v>101</v>
      </c>
      <c r="F414" s="32" t="s">
        <v>102</v>
      </c>
      <c r="G414" s="32">
        <v>3995372.0</v>
      </c>
      <c r="H414" s="32" t="s">
        <v>636</v>
      </c>
      <c r="I414" s="32"/>
      <c r="J414" s="32"/>
    </row>
    <row r="415">
      <c r="A415" s="26">
        <v>3891206.0</v>
      </c>
      <c r="B415" s="52">
        <v>44681.0</v>
      </c>
      <c r="C415" s="43" t="s">
        <v>37</v>
      </c>
      <c r="D415" s="29" t="s">
        <v>637</v>
      </c>
      <c r="E415" s="32" t="s">
        <v>45</v>
      </c>
      <c r="F415" s="32" t="s">
        <v>75</v>
      </c>
      <c r="G415" s="32">
        <v>4105450.0</v>
      </c>
      <c r="H415" s="32" t="s">
        <v>638</v>
      </c>
      <c r="I415" s="32"/>
      <c r="J415" s="32"/>
    </row>
    <row r="416">
      <c r="A416" s="26">
        <v>3021148.0</v>
      </c>
      <c r="B416" s="52">
        <v>44681.0</v>
      </c>
      <c r="C416" s="43" t="s">
        <v>37</v>
      </c>
      <c r="D416" s="29" t="s">
        <v>639</v>
      </c>
      <c r="E416" s="32" t="s">
        <v>45</v>
      </c>
      <c r="F416" s="32" t="s">
        <v>75</v>
      </c>
      <c r="G416" s="32">
        <v>4325066.0</v>
      </c>
      <c r="H416" s="32" t="s">
        <v>640</v>
      </c>
      <c r="I416" s="32"/>
      <c r="J416" s="32"/>
    </row>
    <row r="417">
      <c r="A417" s="26">
        <v>1459220.0</v>
      </c>
      <c r="B417" s="52">
        <v>44681.0</v>
      </c>
      <c r="C417" s="43" t="s">
        <v>37</v>
      </c>
      <c r="D417" s="29" t="s">
        <v>641</v>
      </c>
      <c r="E417" s="32" t="s">
        <v>45</v>
      </c>
      <c r="F417" s="32" t="s">
        <v>75</v>
      </c>
      <c r="G417" s="32"/>
      <c r="H417" s="32"/>
      <c r="I417" s="32"/>
      <c r="J417" s="32"/>
    </row>
    <row r="418">
      <c r="A418" s="26">
        <v>1482926.0</v>
      </c>
      <c r="B418" s="52">
        <v>44681.0</v>
      </c>
      <c r="C418" s="43" t="s">
        <v>37</v>
      </c>
      <c r="D418" s="29" t="s">
        <v>642</v>
      </c>
      <c r="E418" s="32" t="s">
        <v>45</v>
      </c>
      <c r="F418" s="32" t="s">
        <v>75</v>
      </c>
      <c r="G418" s="32"/>
      <c r="H418" s="32"/>
      <c r="I418" s="32"/>
      <c r="J418" s="32"/>
    </row>
    <row r="419">
      <c r="A419" s="26">
        <v>1550970.0</v>
      </c>
      <c r="B419" s="52">
        <v>44681.0</v>
      </c>
      <c r="C419" s="43" t="s">
        <v>37</v>
      </c>
      <c r="D419" s="29" t="s">
        <v>643</v>
      </c>
      <c r="E419" s="32" t="s">
        <v>39</v>
      </c>
      <c r="F419" s="32" t="s">
        <v>54</v>
      </c>
      <c r="G419" s="32"/>
      <c r="H419" s="32"/>
      <c r="I419" s="32"/>
      <c r="J419" s="32"/>
    </row>
    <row r="420">
      <c r="A420" s="26">
        <v>1783040.0</v>
      </c>
      <c r="B420" s="52">
        <v>44681.0</v>
      </c>
      <c r="C420" s="43" t="s">
        <v>37</v>
      </c>
      <c r="D420" s="29" t="s">
        <v>157</v>
      </c>
      <c r="E420" s="32" t="s">
        <v>45</v>
      </c>
      <c r="F420" s="32" t="s">
        <v>75</v>
      </c>
      <c r="G420" s="32"/>
      <c r="H420" s="32" t="s">
        <v>47</v>
      </c>
      <c r="I420" s="32"/>
      <c r="J420" s="32" t="s">
        <v>47</v>
      </c>
    </row>
    <row r="421">
      <c r="A421" s="26">
        <v>1933016.0</v>
      </c>
      <c r="B421" s="52">
        <v>44681.0</v>
      </c>
      <c r="C421" s="43" t="s">
        <v>37</v>
      </c>
      <c r="D421" s="29" t="s">
        <v>644</v>
      </c>
      <c r="E421" s="32" t="s">
        <v>63</v>
      </c>
      <c r="F421" s="32" t="s">
        <v>115</v>
      </c>
      <c r="G421" s="32"/>
      <c r="H421" s="32"/>
      <c r="I421" s="32"/>
      <c r="J421" s="32"/>
    </row>
    <row r="422">
      <c r="A422" s="26">
        <v>2013284.0</v>
      </c>
      <c r="B422" s="52">
        <v>44681.0</v>
      </c>
      <c r="C422" s="43" t="s">
        <v>37</v>
      </c>
      <c r="D422" s="29" t="s">
        <v>645</v>
      </c>
      <c r="E422" s="32" t="s">
        <v>45</v>
      </c>
      <c r="F422" s="32" t="s">
        <v>75</v>
      </c>
      <c r="G422" s="32"/>
      <c r="H422" s="32"/>
      <c r="I422" s="32"/>
      <c r="J422" s="32"/>
    </row>
    <row r="423">
      <c r="A423" s="26">
        <v>2216622.0</v>
      </c>
      <c r="B423" s="52">
        <v>44681.0</v>
      </c>
      <c r="C423" s="43" t="s">
        <v>37</v>
      </c>
      <c r="D423" s="29" t="s">
        <v>646</v>
      </c>
      <c r="E423" s="32" t="s">
        <v>45</v>
      </c>
      <c r="F423" s="32" t="s">
        <v>75</v>
      </c>
      <c r="G423" s="32"/>
      <c r="H423" s="32"/>
      <c r="I423" s="32"/>
      <c r="J423" s="32"/>
    </row>
    <row r="424">
      <c r="A424" s="26">
        <v>2428350.0</v>
      </c>
      <c r="B424" s="52">
        <v>44681.0</v>
      </c>
      <c r="C424" s="43" t="s">
        <v>37</v>
      </c>
      <c r="D424" s="29" t="s">
        <v>647</v>
      </c>
      <c r="E424" s="32" t="s">
        <v>63</v>
      </c>
      <c r="F424" s="32" t="s">
        <v>115</v>
      </c>
      <c r="G424" s="32"/>
      <c r="H424" s="32"/>
      <c r="I424" s="32"/>
      <c r="J424" s="32"/>
    </row>
    <row r="425">
      <c r="A425" s="26">
        <v>2503012.0</v>
      </c>
      <c r="B425" s="52">
        <v>44681.0</v>
      </c>
      <c r="C425" s="43" t="s">
        <v>37</v>
      </c>
      <c r="D425" s="29" t="s">
        <v>648</v>
      </c>
      <c r="E425" s="32" t="s">
        <v>45</v>
      </c>
      <c r="F425" s="32" t="s">
        <v>75</v>
      </c>
      <c r="G425" s="32"/>
      <c r="H425" s="32"/>
      <c r="I425" s="32"/>
      <c r="J425" s="32"/>
    </row>
    <row r="426">
      <c r="A426" s="26">
        <v>2786922.0</v>
      </c>
      <c r="B426" s="52">
        <v>44681.0</v>
      </c>
      <c r="C426" s="43" t="s">
        <v>37</v>
      </c>
      <c r="D426" s="29" t="s">
        <v>649</v>
      </c>
      <c r="E426" s="32" t="s">
        <v>79</v>
      </c>
      <c r="F426" s="32" t="s">
        <v>184</v>
      </c>
      <c r="G426" s="32"/>
      <c r="H426" s="32"/>
      <c r="I426" s="32"/>
      <c r="J426" s="32"/>
    </row>
    <row r="427">
      <c r="A427" s="26">
        <v>3657580.0</v>
      </c>
      <c r="B427" s="52">
        <v>44681.0</v>
      </c>
      <c r="C427" s="41" t="e">
        <v>#N/A</v>
      </c>
      <c r="D427" s="29" t="s">
        <v>650</v>
      </c>
      <c r="E427" s="32" t="s">
        <v>45</v>
      </c>
      <c r="F427" s="32" t="s">
        <v>75</v>
      </c>
      <c r="G427" s="32"/>
      <c r="H427" s="32"/>
      <c r="I427" s="32"/>
      <c r="J427" s="32"/>
    </row>
    <row r="428">
      <c r="A428" s="26">
        <v>3867378.0</v>
      </c>
      <c r="B428" s="52">
        <v>44681.0</v>
      </c>
      <c r="C428" s="43" t="s">
        <v>37</v>
      </c>
      <c r="D428" s="29" t="s">
        <v>651</v>
      </c>
      <c r="E428" s="32" t="s">
        <v>45</v>
      </c>
      <c r="F428" s="32" t="s">
        <v>75</v>
      </c>
      <c r="G428" s="32"/>
      <c r="H428" s="32"/>
      <c r="I428" s="32"/>
      <c r="J428" s="32"/>
    </row>
    <row r="429">
      <c r="A429" s="26">
        <v>3884934.0</v>
      </c>
      <c r="B429" s="52">
        <v>44681.0</v>
      </c>
      <c r="C429" s="43" t="s">
        <v>37</v>
      </c>
      <c r="D429" s="29" t="s">
        <v>652</v>
      </c>
      <c r="E429" s="32" t="s">
        <v>45</v>
      </c>
      <c r="F429" s="32" t="s">
        <v>75</v>
      </c>
      <c r="G429" s="32"/>
      <c r="H429" s="32"/>
      <c r="I429" s="32"/>
      <c r="J429" s="32"/>
    </row>
    <row r="430">
      <c r="A430" s="26">
        <v>4045716.0</v>
      </c>
      <c r="B430" s="52">
        <v>44681.0</v>
      </c>
      <c r="C430" s="43" t="s">
        <v>37</v>
      </c>
      <c r="D430" s="29" t="s">
        <v>653</v>
      </c>
      <c r="E430" s="32" t="s">
        <v>45</v>
      </c>
      <c r="F430" s="32" t="s">
        <v>75</v>
      </c>
      <c r="G430" s="32"/>
      <c r="H430" s="32"/>
      <c r="I430" s="32"/>
      <c r="J430" s="32"/>
    </row>
    <row r="431">
      <c r="A431" s="26">
        <v>2028010.0</v>
      </c>
      <c r="B431" s="52">
        <v>44681.0</v>
      </c>
      <c r="C431" s="43" t="s">
        <v>37</v>
      </c>
      <c r="D431" s="29" t="s">
        <v>654</v>
      </c>
      <c r="E431" s="32" t="s">
        <v>79</v>
      </c>
      <c r="F431" s="32" t="s">
        <v>261</v>
      </c>
      <c r="G431" s="32">
        <v>2503124.0</v>
      </c>
      <c r="H431" s="32" t="s">
        <v>655</v>
      </c>
      <c r="I431" s="32"/>
      <c r="J431" s="32"/>
    </row>
    <row r="432">
      <c r="A432" s="26">
        <v>2167462.0</v>
      </c>
      <c r="B432" s="52">
        <v>44681.0</v>
      </c>
      <c r="C432" s="43" t="s">
        <v>37</v>
      </c>
      <c r="D432" s="29" t="s">
        <v>103</v>
      </c>
      <c r="E432" s="32" t="s">
        <v>45</v>
      </c>
      <c r="F432" s="32" t="s">
        <v>75</v>
      </c>
      <c r="G432" s="32" t="s">
        <v>656</v>
      </c>
      <c r="H432" s="32"/>
      <c r="I432" s="32"/>
      <c r="J432" s="32"/>
    </row>
    <row r="433">
      <c r="A433" s="26">
        <v>2324618.0</v>
      </c>
      <c r="B433" s="52">
        <v>44681.0</v>
      </c>
      <c r="C433" s="43" t="s">
        <v>37</v>
      </c>
      <c r="D433" s="29" t="s">
        <v>657</v>
      </c>
      <c r="E433" s="32" t="s">
        <v>79</v>
      </c>
      <c r="F433" s="32" t="s">
        <v>261</v>
      </c>
      <c r="G433" s="32">
        <v>2503124.0</v>
      </c>
      <c r="H433" s="32" t="s">
        <v>655</v>
      </c>
      <c r="I433" s="32"/>
      <c r="J433" s="32"/>
    </row>
    <row r="434">
      <c r="A434" s="26">
        <v>2474986.0</v>
      </c>
      <c r="B434" s="52">
        <v>44681.0</v>
      </c>
      <c r="C434" s="43" t="s">
        <v>37</v>
      </c>
      <c r="D434" s="29" t="s">
        <v>658</v>
      </c>
      <c r="E434" s="32" t="s">
        <v>79</v>
      </c>
      <c r="F434" s="32" t="s">
        <v>261</v>
      </c>
      <c r="G434" s="32">
        <v>1850902.0</v>
      </c>
      <c r="H434" s="32" t="s">
        <v>659</v>
      </c>
      <c r="I434" s="32"/>
      <c r="J434" s="32"/>
    </row>
    <row r="435">
      <c r="A435" s="26">
        <v>2574756.0</v>
      </c>
      <c r="B435" s="52">
        <v>44681.0</v>
      </c>
      <c r="C435" s="43" t="s">
        <v>37</v>
      </c>
      <c r="D435" s="29" t="s">
        <v>660</v>
      </c>
      <c r="E435" s="32" t="s">
        <v>79</v>
      </c>
      <c r="F435" s="32" t="s">
        <v>261</v>
      </c>
      <c r="G435" s="32">
        <v>1850902.0</v>
      </c>
      <c r="H435" s="32" t="s">
        <v>659</v>
      </c>
      <c r="I435" s="32"/>
      <c r="J435" s="32"/>
    </row>
    <row r="436">
      <c r="A436" s="26">
        <v>2590944.0</v>
      </c>
      <c r="B436" s="52">
        <v>44681.0</v>
      </c>
      <c r="C436" s="43" t="s">
        <v>37</v>
      </c>
      <c r="D436" s="29" t="s">
        <v>661</v>
      </c>
      <c r="E436" s="32" t="s">
        <v>79</v>
      </c>
      <c r="F436" s="32" t="s">
        <v>261</v>
      </c>
      <c r="G436" s="32" t="s">
        <v>656</v>
      </c>
      <c r="H436" s="32"/>
      <c r="I436" s="32"/>
      <c r="J436" s="32"/>
    </row>
    <row r="437">
      <c r="A437" s="26">
        <v>2630330.0</v>
      </c>
      <c r="B437" s="52">
        <v>44681.0</v>
      </c>
      <c r="C437" s="43" t="s">
        <v>37</v>
      </c>
      <c r="D437" s="29" t="s">
        <v>662</v>
      </c>
      <c r="E437" s="32" t="s">
        <v>79</v>
      </c>
      <c r="F437" s="32" t="s">
        <v>261</v>
      </c>
      <c r="G437" s="32" t="s">
        <v>656</v>
      </c>
      <c r="H437" s="32"/>
      <c r="I437" s="32"/>
      <c r="J437" s="32"/>
    </row>
    <row r="438">
      <c r="A438" s="26">
        <v>2755782.0</v>
      </c>
      <c r="B438" s="52">
        <v>44681.0</v>
      </c>
      <c r="C438" s="43" t="s">
        <v>37</v>
      </c>
      <c r="D438" s="29" t="s">
        <v>663</v>
      </c>
      <c r="E438" s="32" t="s">
        <v>79</v>
      </c>
      <c r="F438" s="32" t="s">
        <v>184</v>
      </c>
      <c r="G438" s="32" t="s">
        <v>656</v>
      </c>
      <c r="H438" s="32"/>
      <c r="I438" s="32"/>
      <c r="J438" s="32"/>
    </row>
    <row r="439">
      <c r="A439" s="26">
        <v>2816705.0</v>
      </c>
      <c r="B439" s="52">
        <v>44681.0</v>
      </c>
      <c r="C439" s="43" t="s">
        <v>37</v>
      </c>
      <c r="D439" s="29" t="s">
        <v>664</v>
      </c>
      <c r="E439" s="32" t="s">
        <v>45</v>
      </c>
      <c r="F439" s="32" t="s">
        <v>75</v>
      </c>
      <c r="G439" s="32" t="s">
        <v>656</v>
      </c>
      <c r="H439" s="32"/>
      <c r="I439" s="32"/>
      <c r="J439" s="32"/>
    </row>
    <row r="440">
      <c r="A440" s="26">
        <v>2827516.0</v>
      </c>
      <c r="B440" s="52">
        <v>44681.0</v>
      </c>
      <c r="C440" s="43" t="s">
        <v>37</v>
      </c>
      <c r="D440" s="29" t="s">
        <v>665</v>
      </c>
      <c r="E440" s="32" t="s">
        <v>79</v>
      </c>
      <c r="F440" s="32" t="s">
        <v>184</v>
      </c>
      <c r="G440" s="32" t="s">
        <v>656</v>
      </c>
      <c r="H440" s="32"/>
      <c r="I440" s="32"/>
      <c r="J440" s="32"/>
    </row>
    <row r="441">
      <c r="A441" s="26">
        <v>2846906.0</v>
      </c>
      <c r="B441" s="52">
        <v>44681.0</v>
      </c>
      <c r="C441" s="43" t="s">
        <v>37</v>
      </c>
      <c r="D441" s="29" t="s">
        <v>666</v>
      </c>
      <c r="E441" s="32" t="s">
        <v>45</v>
      </c>
      <c r="F441" s="32" t="s">
        <v>75</v>
      </c>
      <c r="G441" s="32">
        <v>2611510.0</v>
      </c>
      <c r="H441" s="32" t="s">
        <v>667</v>
      </c>
      <c r="I441" s="32"/>
      <c r="J441" s="32"/>
    </row>
    <row r="442">
      <c r="A442" s="26">
        <v>2881378.0</v>
      </c>
      <c r="B442" s="52">
        <v>44681.0</v>
      </c>
      <c r="C442" s="43" t="s">
        <v>37</v>
      </c>
      <c r="D442" s="29" t="s">
        <v>668</v>
      </c>
      <c r="E442" s="32" t="s">
        <v>79</v>
      </c>
      <c r="F442" s="32" t="s">
        <v>261</v>
      </c>
      <c r="G442" s="32" t="s">
        <v>656</v>
      </c>
      <c r="H442" s="32"/>
      <c r="I442" s="32"/>
      <c r="J442" s="32"/>
    </row>
    <row r="443">
      <c r="A443" s="26">
        <v>3018868.0</v>
      </c>
      <c r="B443" s="52">
        <v>44681.0</v>
      </c>
      <c r="C443" s="43" t="s">
        <v>37</v>
      </c>
      <c r="D443" s="29" t="s">
        <v>669</v>
      </c>
      <c r="E443" s="32" t="s">
        <v>79</v>
      </c>
      <c r="F443" s="32" t="s">
        <v>261</v>
      </c>
      <c r="G443" s="32">
        <v>2503124.0</v>
      </c>
      <c r="H443" s="32" t="s">
        <v>655</v>
      </c>
      <c r="I443" s="32"/>
      <c r="J443" s="32"/>
    </row>
    <row r="444">
      <c r="A444" s="26">
        <v>3060440.0</v>
      </c>
      <c r="B444" s="52">
        <v>44681.0</v>
      </c>
      <c r="C444" s="43" t="s">
        <v>37</v>
      </c>
      <c r="D444" s="29" t="s">
        <v>670</v>
      </c>
      <c r="E444" s="32" t="s">
        <v>79</v>
      </c>
      <c r="F444" s="32" t="s">
        <v>261</v>
      </c>
      <c r="G444" s="32">
        <v>1399954.0</v>
      </c>
      <c r="H444" s="32" t="s">
        <v>671</v>
      </c>
      <c r="I444" s="32"/>
      <c r="J444" s="32"/>
    </row>
    <row r="445">
      <c r="A445" s="26">
        <v>3140502.0</v>
      </c>
      <c r="B445" s="52">
        <v>44681.0</v>
      </c>
      <c r="C445" s="43" t="s">
        <v>37</v>
      </c>
      <c r="D445" s="29" t="s">
        <v>672</v>
      </c>
      <c r="E445" s="32" t="s">
        <v>79</v>
      </c>
      <c r="F445" s="32" t="s">
        <v>184</v>
      </c>
      <c r="G445" s="32" t="s">
        <v>656</v>
      </c>
      <c r="H445" s="32"/>
      <c r="I445" s="32"/>
      <c r="J445" s="32"/>
    </row>
    <row r="446">
      <c r="A446" s="26">
        <v>3141830.0</v>
      </c>
      <c r="B446" s="52">
        <v>44681.0</v>
      </c>
      <c r="C446" s="43" t="s">
        <v>37</v>
      </c>
      <c r="D446" s="29" t="s">
        <v>673</v>
      </c>
      <c r="E446" s="32" t="s">
        <v>45</v>
      </c>
      <c r="F446" s="32" t="s">
        <v>75</v>
      </c>
      <c r="G446" s="32">
        <v>1850902.0</v>
      </c>
      <c r="H446" s="32" t="s">
        <v>659</v>
      </c>
      <c r="I446" s="32"/>
      <c r="J446" s="32"/>
    </row>
    <row r="447">
      <c r="A447" s="26">
        <v>3413398.0</v>
      </c>
      <c r="B447" s="52">
        <v>44681.0</v>
      </c>
      <c r="C447" s="43" t="s">
        <v>37</v>
      </c>
      <c r="D447" s="29" t="s">
        <v>674</v>
      </c>
      <c r="E447" s="32" t="s">
        <v>45</v>
      </c>
      <c r="F447" s="32" t="s">
        <v>75</v>
      </c>
      <c r="G447" s="32">
        <v>1850902.0</v>
      </c>
      <c r="H447" s="32" t="s">
        <v>659</v>
      </c>
      <c r="I447" s="32"/>
      <c r="J447" s="32"/>
    </row>
    <row r="448">
      <c r="A448" s="26">
        <v>3501974.0</v>
      </c>
      <c r="B448" s="52">
        <v>44681.0</v>
      </c>
      <c r="C448" s="43" t="s">
        <v>37</v>
      </c>
      <c r="D448" s="29" t="s">
        <v>675</v>
      </c>
      <c r="E448" s="32" t="s">
        <v>79</v>
      </c>
      <c r="F448" s="32" t="s">
        <v>261</v>
      </c>
      <c r="G448" s="32" t="s">
        <v>656</v>
      </c>
      <c r="H448" s="32"/>
      <c r="I448" s="32"/>
      <c r="J448" s="32"/>
    </row>
    <row r="449">
      <c r="A449" s="26">
        <v>3720796.0</v>
      </c>
      <c r="B449" s="52">
        <v>44681.0</v>
      </c>
      <c r="C449" s="43" t="s">
        <v>37</v>
      </c>
      <c r="D449" s="29" t="s">
        <v>676</v>
      </c>
      <c r="E449" s="32" t="s">
        <v>144</v>
      </c>
      <c r="F449" s="32" t="s">
        <v>311</v>
      </c>
      <c r="G449" s="32" t="s">
        <v>656</v>
      </c>
      <c r="H449" s="32"/>
      <c r="I449" s="32"/>
      <c r="J449" s="32"/>
    </row>
    <row r="450">
      <c r="A450" s="26">
        <v>3797264.0</v>
      </c>
      <c r="B450" s="52">
        <v>44681.0</v>
      </c>
      <c r="C450" s="43" t="s">
        <v>37</v>
      </c>
      <c r="D450" s="29" t="s">
        <v>511</v>
      </c>
      <c r="E450" s="32" t="s">
        <v>144</v>
      </c>
      <c r="F450" s="32" t="s">
        <v>311</v>
      </c>
      <c r="G450" s="32"/>
      <c r="H450" s="32" t="s">
        <v>47</v>
      </c>
      <c r="I450" s="32"/>
      <c r="J450" s="32" t="s">
        <v>47</v>
      </c>
    </row>
    <row r="451">
      <c r="A451" s="26">
        <v>3810768.0</v>
      </c>
      <c r="B451" s="52">
        <v>44681.0</v>
      </c>
      <c r="C451" s="43" t="s">
        <v>37</v>
      </c>
      <c r="D451" s="29" t="s">
        <v>677</v>
      </c>
      <c r="E451" s="32" t="s">
        <v>45</v>
      </c>
      <c r="F451" s="32" t="s">
        <v>75</v>
      </c>
      <c r="G451" s="32" t="s">
        <v>656</v>
      </c>
      <c r="H451" s="32"/>
      <c r="I451" s="32"/>
      <c r="J451" s="32"/>
    </row>
    <row r="452">
      <c r="A452" s="26">
        <v>4089434.0</v>
      </c>
      <c r="B452" s="52">
        <v>44681.0</v>
      </c>
      <c r="C452" s="43" t="s">
        <v>37</v>
      </c>
      <c r="D452" s="29" t="s">
        <v>678</v>
      </c>
      <c r="E452" s="32" t="s">
        <v>79</v>
      </c>
      <c r="F452" s="32" t="s">
        <v>80</v>
      </c>
      <c r="G452" s="32" t="s">
        <v>656</v>
      </c>
      <c r="H452" s="32"/>
      <c r="I452" s="32"/>
      <c r="J452" s="32"/>
    </row>
    <row r="453">
      <c r="A453" s="51">
        <v>1791750.0</v>
      </c>
      <c r="B453" s="52">
        <v>44771.0</v>
      </c>
      <c r="C453" s="43" t="s">
        <v>37</v>
      </c>
      <c r="D453" s="29" t="s">
        <v>679</v>
      </c>
      <c r="E453" s="32" t="s">
        <v>105</v>
      </c>
      <c r="F453" s="32" t="s">
        <v>212</v>
      </c>
      <c r="G453" s="32"/>
      <c r="H453" s="32"/>
      <c r="I453" s="32"/>
      <c r="J453" s="32"/>
    </row>
    <row r="454">
      <c r="A454" s="51">
        <v>1638736.0</v>
      </c>
      <c r="B454" s="52">
        <v>44771.0</v>
      </c>
      <c r="C454" s="41" t="s">
        <v>37</v>
      </c>
      <c r="D454" s="29" t="s">
        <v>680</v>
      </c>
      <c r="E454" s="32" t="s">
        <v>39</v>
      </c>
      <c r="F454" s="32" t="s">
        <v>54</v>
      </c>
      <c r="G454" s="32"/>
      <c r="H454" s="32"/>
      <c r="I454" s="32"/>
      <c r="J454" s="32"/>
    </row>
    <row r="455">
      <c r="A455" s="51">
        <v>4279180.0</v>
      </c>
      <c r="B455" s="52">
        <v>44771.0</v>
      </c>
      <c r="C455" s="43" t="s">
        <v>528</v>
      </c>
      <c r="D455" s="29" t="s">
        <v>681</v>
      </c>
      <c r="E455" s="32" t="s">
        <v>58</v>
      </c>
      <c r="F455" s="32" t="s">
        <v>86</v>
      </c>
      <c r="G455" s="32"/>
      <c r="H455" s="32"/>
      <c r="I455" s="32"/>
      <c r="J455" s="32"/>
    </row>
    <row r="456">
      <c r="A456" s="49">
        <v>4271162.0</v>
      </c>
      <c r="B456" s="52">
        <v>44771.0</v>
      </c>
      <c r="C456" s="41" t="s">
        <v>142</v>
      </c>
      <c r="D456" s="29" t="s">
        <v>682</v>
      </c>
      <c r="E456" s="32" t="s">
        <v>39</v>
      </c>
      <c r="F456" s="32" t="s">
        <v>54</v>
      </c>
      <c r="G456" s="32"/>
      <c r="H456" s="32"/>
      <c r="I456" s="32"/>
      <c r="J456" s="32"/>
    </row>
    <row r="457">
      <c r="A457" s="66">
        <v>4170016.0</v>
      </c>
      <c r="B457" s="62">
        <v>44771.0</v>
      </c>
      <c r="C457" s="41" t="s">
        <v>142</v>
      </c>
      <c r="D457" s="29" t="s">
        <v>683</v>
      </c>
      <c r="E457" s="32" t="s">
        <v>39</v>
      </c>
      <c r="F457" s="32" t="s">
        <v>54</v>
      </c>
      <c r="G457" s="32"/>
      <c r="H457" s="32"/>
      <c r="I457" s="32"/>
      <c r="J457" s="32"/>
    </row>
    <row r="458">
      <c r="A458" s="66">
        <v>4186244.0</v>
      </c>
      <c r="B458" s="52">
        <v>44771.0</v>
      </c>
      <c r="C458" s="43" t="s">
        <v>142</v>
      </c>
      <c r="D458" s="29" t="s">
        <v>684</v>
      </c>
      <c r="E458" s="32" t="s">
        <v>39</v>
      </c>
      <c r="F458" s="32" t="s">
        <v>140</v>
      </c>
      <c r="G458" s="32"/>
      <c r="H458" s="32"/>
      <c r="I458" s="32"/>
      <c r="J458" s="32"/>
    </row>
    <row r="459">
      <c r="A459" s="57">
        <v>4336568.0</v>
      </c>
      <c r="B459" s="52">
        <v>44771.0</v>
      </c>
      <c r="C459" s="41" t="s">
        <v>142</v>
      </c>
      <c r="D459" s="29" t="s">
        <v>685</v>
      </c>
      <c r="E459" s="32" t="s">
        <v>39</v>
      </c>
      <c r="F459" s="32" t="s">
        <v>54</v>
      </c>
      <c r="G459" s="32"/>
      <c r="H459" s="32"/>
      <c r="I459" s="32"/>
      <c r="J459" s="32"/>
    </row>
    <row r="460">
      <c r="A460" s="66">
        <v>2892470.0</v>
      </c>
      <c r="B460" s="52">
        <v>44771.0</v>
      </c>
      <c r="C460" s="43" t="s">
        <v>170</v>
      </c>
      <c r="D460" s="29" t="s">
        <v>537</v>
      </c>
      <c r="E460" s="32" t="s">
        <v>122</v>
      </c>
      <c r="F460" s="32" t="s">
        <v>538</v>
      </c>
      <c r="G460" s="32"/>
      <c r="H460" s="32"/>
      <c r="I460" s="32"/>
      <c r="J460" s="32"/>
    </row>
    <row r="461">
      <c r="A461" s="66">
        <v>2683004.0</v>
      </c>
      <c r="B461" s="52">
        <v>44771.0</v>
      </c>
      <c r="C461" s="43" t="s">
        <v>170</v>
      </c>
      <c r="D461" s="29" t="s">
        <v>686</v>
      </c>
      <c r="E461" s="32" t="s">
        <v>122</v>
      </c>
      <c r="F461" s="32" t="s">
        <v>538</v>
      </c>
      <c r="G461" s="32"/>
      <c r="H461" s="32"/>
      <c r="I461" s="32"/>
      <c r="J461" s="32"/>
    </row>
    <row r="462">
      <c r="A462" s="51">
        <v>2546989.0</v>
      </c>
      <c r="B462" s="52">
        <v>44771.0</v>
      </c>
      <c r="C462" s="43" t="s">
        <v>170</v>
      </c>
      <c r="D462" s="29" t="s">
        <v>687</v>
      </c>
      <c r="E462" s="32" t="s">
        <v>39</v>
      </c>
      <c r="F462" s="32" t="s">
        <v>54</v>
      </c>
      <c r="G462" s="32"/>
      <c r="H462" s="32"/>
      <c r="I462" s="32"/>
      <c r="J462" s="32"/>
    </row>
    <row r="463">
      <c r="A463" s="51">
        <v>2815411.0</v>
      </c>
      <c r="B463" s="52">
        <v>44771.0</v>
      </c>
      <c r="C463" s="43" t="s">
        <v>170</v>
      </c>
      <c r="D463" s="29" t="s">
        <v>688</v>
      </c>
      <c r="E463" s="32" t="s">
        <v>122</v>
      </c>
      <c r="F463" s="32" t="s">
        <v>271</v>
      </c>
      <c r="G463" s="32"/>
      <c r="H463" s="32"/>
      <c r="I463" s="32"/>
      <c r="J463" s="32"/>
    </row>
    <row r="464">
      <c r="A464" s="26">
        <v>2646558.0</v>
      </c>
      <c r="B464" s="52">
        <v>44773.0</v>
      </c>
      <c r="C464" s="41" t="s">
        <v>689</v>
      </c>
      <c r="D464" s="29" t="s">
        <v>690</v>
      </c>
      <c r="E464" s="32" t="s">
        <v>39</v>
      </c>
      <c r="F464" s="32" t="s">
        <v>140</v>
      </c>
      <c r="G464" s="32"/>
      <c r="H464" s="32"/>
      <c r="I464" s="32"/>
      <c r="J464" s="32"/>
    </row>
    <row r="465">
      <c r="A465" s="26">
        <v>3809796.0</v>
      </c>
      <c r="B465" s="52">
        <v>44773.0</v>
      </c>
      <c r="C465" s="41" t="s">
        <v>689</v>
      </c>
      <c r="D465" s="29" t="s">
        <v>691</v>
      </c>
      <c r="E465" s="32" t="s">
        <v>39</v>
      </c>
      <c r="F465" s="32" t="s">
        <v>214</v>
      </c>
      <c r="G465" s="32"/>
      <c r="H465" s="32"/>
      <c r="I465" s="32"/>
      <c r="J465" s="32"/>
    </row>
    <row r="466">
      <c r="A466" s="26">
        <v>2638036.0</v>
      </c>
      <c r="B466" s="52">
        <v>44773.0</v>
      </c>
      <c r="C466" s="41" t="s">
        <v>689</v>
      </c>
      <c r="D466" s="29" t="s">
        <v>692</v>
      </c>
      <c r="E466" s="32" t="s">
        <v>189</v>
      </c>
      <c r="F466" s="32" t="s">
        <v>300</v>
      </c>
      <c r="G466" s="32"/>
      <c r="H466" s="32"/>
      <c r="I466" s="32"/>
      <c r="J466" s="32"/>
    </row>
    <row r="467">
      <c r="A467" s="26">
        <v>2963114.0</v>
      </c>
      <c r="B467" s="52">
        <v>44773.0</v>
      </c>
      <c r="C467" s="41" t="s">
        <v>689</v>
      </c>
      <c r="D467" s="29" t="s">
        <v>693</v>
      </c>
      <c r="E467" s="32" t="s">
        <v>45</v>
      </c>
      <c r="F467" s="32" t="s">
        <v>75</v>
      </c>
      <c r="G467" s="32"/>
      <c r="H467" s="32"/>
      <c r="I467" s="32"/>
      <c r="J467" s="32"/>
    </row>
    <row r="468">
      <c r="A468" s="26">
        <v>4014286.0</v>
      </c>
      <c r="B468" s="52">
        <v>44773.0</v>
      </c>
      <c r="C468" s="41" t="s">
        <v>689</v>
      </c>
      <c r="D468" s="29" t="s">
        <v>694</v>
      </c>
      <c r="E468" s="32" t="s">
        <v>39</v>
      </c>
      <c r="F468" s="32" t="s">
        <v>140</v>
      </c>
      <c r="G468" s="32"/>
      <c r="H468" s="32"/>
      <c r="I468" s="32"/>
      <c r="J468" s="32"/>
    </row>
    <row r="469">
      <c r="A469" s="26">
        <v>4258024.0</v>
      </c>
      <c r="B469" s="52">
        <v>44773.0</v>
      </c>
      <c r="C469" s="41" t="s">
        <v>689</v>
      </c>
      <c r="D469" s="29" t="s">
        <v>695</v>
      </c>
      <c r="E469" s="32" t="s">
        <v>63</v>
      </c>
      <c r="F469" s="32" t="s">
        <v>64</v>
      </c>
      <c r="G469" s="32"/>
      <c r="H469" s="32"/>
      <c r="I469" s="32"/>
      <c r="J469" s="32"/>
    </row>
    <row r="470">
      <c r="A470" s="26">
        <v>3497944.0</v>
      </c>
      <c r="B470" s="52">
        <v>44773.0</v>
      </c>
      <c r="C470" s="41" t="s">
        <v>689</v>
      </c>
      <c r="D470" s="29" t="s">
        <v>696</v>
      </c>
      <c r="E470" s="32" t="s">
        <v>63</v>
      </c>
      <c r="F470" s="32" t="s">
        <v>258</v>
      </c>
      <c r="G470" s="32"/>
      <c r="H470" s="32"/>
      <c r="I470" s="32"/>
      <c r="J470" s="32"/>
    </row>
    <row r="471">
      <c r="A471" s="26">
        <v>1037862.0</v>
      </c>
      <c r="B471" s="52">
        <v>44773.0</v>
      </c>
      <c r="C471" s="41" t="s">
        <v>689</v>
      </c>
      <c r="D471" s="29" t="s">
        <v>697</v>
      </c>
      <c r="E471" s="32" t="s">
        <v>39</v>
      </c>
      <c r="F471" s="32" t="s">
        <v>140</v>
      </c>
      <c r="G471" s="32"/>
      <c r="H471" s="32"/>
      <c r="I471" s="32"/>
      <c r="J471" s="32"/>
    </row>
    <row r="472">
      <c r="A472" s="26">
        <v>3978604.0</v>
      </c>
      <c r="B472" s="52">
        <v>44773.0</v>
      </c>
      <c r="C472" s="41" t="s">
        <v>689</v>
      </c>
      <c r="D472" s="29" t="s">
        <v>698</v>
      </c>
      <c r="E472" s="32" t="s">
        <v>39</v>
      </c>
      <c r="F472" s="32" t="s">
        <v>214</v>
      </c>
      <c r="G472" s="32"/>
      <c r="H472" s="32"/>
      <c r="I472" s="32"/>
      <c r="J472" s="32"/>
    </row>
    <row r="473">
      <c r="A473" s="26">
        <v>2230432.0</v>
      </c>
      <c r="B473" s="52">
        <v>44773.0</v>
      </c>
      <c r="C473" s="41" t="s">
        <v>689</v>
      </c>
      <c r="D473" s="29" t="s">
        <v>699</v>
      </c>
      <c r="E473" s="32" t="s">
        <v>63</v>
      </c>
      <c r="F473" s="32" t="s">
        <v>258</v>
      </c>
      <c r="G473" s="32"/>
      <c r="H473" s="32"/>
      <c r="I473" s="32"/>
      <c r="J473" s="32"/>
    </row>
    <row r="474">
      <c r="A474" s="26">
        <v>3845692.0</v>
      </c>
      <c r="B474" s="52">
        <v>44773.0</v>
      </c>
      <c r="C474" s="41" t="s">
        <v>689</v>
      </c>
      <c r="D474" s="29" t="s">
        <v>700</v>
      </c>
      <c r="E474" s="32" t="s">
        <v>39</v>
      </c>
      <c r="F474" s="32" t="s">
        <v>297</v>
      </c>
      <c r="G474" s="32"/>
      <c r="H474" s="32"/>
      <c r="I474" s="32"/>
      <c r="J474" s="32"/>
    </row>
    <row r="475">
      <c r="A475" s="26">
        <v>642146.0</v>
      </c>
      <c r="B475" s="52">
        <v>44773.0</v>
      </c>
      <c r="C475" s="41" t="s">
        <v>689</v>
      </c>
      <c r="D475" s="29" t="s">
        <v>701</v>
      </c>
      <c r="E475" s="32" t="s">
        <v>105</v>
      </c>
      <c r="F475" s="32" t="s">
        <v>316</v>
      </c>
      <c r="G475" s="32"/>
      <c r="H475" s="32"/>
      <c r="I475" s="32"/>
      <c r="J475" s="32"/>
    </row>
    <row r="476">
      <c r="A476" s="26">
        <v>1868462.0</v>
      </c>
      <c r="B476" s="52">
        <v>44773.0</v>
      </c>
      <c r="C476" s="41" t="s">
        <v>689</v>
      </c>
      <c r="D476" s="29" t="s">
        <v>702</v>
      </c>
      <c r="E476" s="32" t="s">
        <v>189</v>
      </c>
      <c r="F476" s="32" t="s">
        <v>300</v>
      </c>
      <c r="G476" s="32"/>
      <c r="H476" s="32"/>
      <c r="I476" s="32"/>
      <c r="J476" s="32"/>
    </row>
    <row r="477">
      <c r="A477" s="26">
        <v>2141450.0</v>
      </c>
      <c r="B477" s="52">
        <v>44773.0</v>
      </c>
      <c r="C477" s="41" t="s">
        <v>689</v>
      </c>
      <c r="D477" s="29" t="s">
        <v>703</v>
      </c>
      <c r="E477" s="32" t="s">
        <v>122</v>
      </c>
      <c r="F477" s="32" t="s">
        <v>127</v>
      </c>
      <c r="G477" s="32"/>
      <c r="H477" s="32"/>
      <c r="I477" s="32"/>
      <c r="J477" s="32"/>
    </row>
    <row r="478">
      <c r="A478" s="26">
        <v>2619622.0</v>
      </c>
      <c r="B478" s="52">
        <v>44773.0</v>
      </c>
      <c r="C478" s="41" t="s">
        <v>689</v>
      </c>
      <c r="D478" s="29" t="s">
        <v>704</v>
      </c>
      <c r="E478" s="32" t="s">
        <v>39</v>
      </c>
      <c r="F478" s="32" t="s">
        <v>140</v>
      </c>
      <c r="G478" s="32"/>
      <c r="H478" s="32"/>
      <c r="I478" s="32"/>
      <c r="J478" s="32"/>
    </row>
    <row r="479">
      <c r="A479" s="26">
        <v>2973492.0</v>
      </c>
      <c r="B479" s="52">
        <v>44773.0</v>
      </c>
      <c r="C479" s="41" t="s">
        <v>689</v>
      </c>
      <c r="D479" s="29" t="s">
        <v>705</v>
      </c>
      <c r="E479" s="32" t="s">
        <v>39</v>
      </c>
      <c r="F479" s="32" t="s">
        <v>140</v>
      </c>
      <c r="G479" s="32"/>
      <c r="H479" s="32"/>
      <c r="I479" s="32"/>
      <c r="J479" s="32"/>
    </row>
    <row r="480">
      <c r="A480" s="26">
        <v>1764950.0</v>
      </c>
      <c r="B480" s="52">
        <v>44662.0</v>
      </c>
      <c r="C480" s="68" t="s">
        <v>70</v>
      </c>
      <c r="D480" s="29" t="str">
        <f t="array" ref="D480:J480">VLOOKUP(A4,'Tracker- Removal Prep'!$D:$P,{2,8,9,10,11,12,13},0)
</f>
        <v>Software Quality Assurance</v>
      </c>
      <c r="E480" s="32" t="s">
        <v>39</v>
      </c>
      <c r="F480" s="32" t="s">
        <v>40</v>
      </c>
      <c r="G480" s="32">
        <v>2151486.0</v>
      </c>
      <c r="H480" s="32" t="s">
        <v>41</v>
      </c>
      <c r="I480" s="32">
        <v>2125112.0</v>
      </c>
      <c r="J480" s="32" t="s">
        <v>42</v>
      </c>
    </row>
    <row r="481">
      <c r="A481" s="26">
        <v>1376722.0</v>
      </c>
      <c r="B481" s="52">
        <v>44662.0</v>
      </c>
      <c r="C481" s="68" t="s">
        <v>70</v>
      </c>
      <c r="D481" s="29" t="str">
        <f t="array" ref="D481:J481">VLOOKUP(A5,'Tracker- Removal Prep'!$D:$P,{2,8,9,10,11,12,13},0)
</f>
        <v>Arduino - Curso Completo e Prático</v>
      </c>
      <c r="E481" s="32" t="s">
        <v>45</v>
      </c>
      <c r="F481" s="32" t="s">
        <v>46</v>
      </c>
      <c r="G481" s="32">
        <v>1522710.0</v>
      </c>
      <c r="H481" s="32" t="s">
        <v>47</v>
      </c>
      <c r="I481" s="32">
        <v>144634.0</v>
      </c>
      <c r="J481" s="32" t="s">
        <v>48</v>
      </c>
    </row>
    <row r="482">
      <c r="A482" s="26">
        <v>1343610.0</v>
      </c>
      <c r="B482" s="52">
        <v>44662.0</v>
      </c>
      <c r="C482" s="68" t="s">
        <v>70</v>
      </c>
      <c r="D482" s="29" t="str">
        <f t="array" ref="D482:J482">VLOOKUP(A6,'Tracker- Removal Prep'!$D:$P,{2,8,9,10,11,12,13},0)
</f>
        <v>Mastering Puppet the devops way by School of DevOps®</v>
      </c>
      <c r="E482" s="32" t="s">
        <v>39</v>
      </c>
      <c r="F482" s="32" t="s">
        <v>50</v>
      </c>
      <c r="G482" s="32">
        <v>1691424.0</v>
      </c>
      <c r="H482" s="32" t="s">
        <v>51</v>
      </c>
      <c r="I482" s="32">
        <v>1259936.0</v>
      </c>
      <c r="J482" s="32" t="s">
        <v>52</v>
      </c>
    </row>
    <row r="483">
      <c r="A483" s="26">
        <v>2607514.0</v>
      </c>
      <c r="B483" s="52">
        <v>44662.0</v>
      </c>
      <c r="C483" s="68" t="s">
        <v>70</v>
      </c>
      <c r="D483" s="29" t="str">
        <f t="array" ref="D483:J483">VLOOKUP(A7,'Tracker- Removal Prep'!$D:$P,{2,8,9,10,11,12,13},0)
</f>
        <v>Software Architecture: Dependency Injection for C# Devs</v>
      </c>
      <c r="E483" s="32" t="s">
        <v>39</v>
      </c>
      <c r="F483" s="32" t="s">
        <v>54</v>
      </c>
      <c r="G483" s="32">
        <v>1093920.0</v>
      </c>
      <c r="H483" s="32" t="s">
        <v>55</v>
      </c>
      <c r="I483" s="32">
        <v>3951580.0</v>
      </c>
      <c r="J483" s="32" t="s">
        <v>56</v>
      </c>
    </row>
    <row r="484">
      <c r="A484" s="26">
        <v>1201392.0</v>
      </c>
      <c r="B484" s="52">
        <v>44662.0</v>
      </c>
      <c r="C484" s="68" t="s">
        <v>70</v>
      </c>
      <c r="D484" s="29" t="str">
        <f t="array" ref="D484:J484">VLOOKUP(A8,'Tracker- Removal Prep'!$D:$P,{2,8,9,10,11,12,13},0)
</f>
        <v>Speed Reading MACHINE 3.1: How To Read 307 Books In 2021</v>
      </c>
      <c r="E484" s="32" t="s">
        <v>58</v>
      </c>
      <c r="F484" s="32" t="s">
        <v>59</v>
      </c>
      <c r="G484" s="32">
        <v>591930.0</v>
      </c>
      <c r="H484" s="32" t="s">
        <v>60</v>
      </c>
      <c r="I484" s="32">
        <v>571876.0</v>
      </c>
      <c r="J484" s="32" t="s">
        <v>61</v>
      </c>
    </row>
    <row r="485">
      <c r="A485" s="26">
        <v>3590654.0</v>
      </c>
      <c r="B485" s="52">
        <v>44662.0</v>
      </c>
      <c r="C485" s="68" t="s">
        <v>70</v>
      </c>
      <c r="D485" s="29" t="str">
        <f t="array" ref="D485:J485">VLOOKUP(A9,'Tracker- Removal Prep'!$D:$P,{2,8,9,10,11,12,13},0)
</f>
        <v>Alteryx: Real-Life Exercises For Data Analytics!</v>
      </c>
      <c r="E485" s="32" t="s">
        <v>63</v>
      </c>
      <c r="F485" s="32" t="s">
        <v>64</v>
      </c>
      <c r="G485" s="32">
        <v>1040480.0</v>
      </c>
      <c r="H485" s="32" t="s">
        <v>65</v>
      </c>
      <c r="I485" s="32">
        <v>2169820.0</v>
      </c>
      <c r="J485" s="32" t="s">
        <v>66</v>
      </c>
    </row>
    <row r="486">
      <c r="A486" s="26">
        <v>1865140.0</v>
      </c>
      <c r="B486" s="52">
        <v>44662.0</v>
      </c>
      <c r="C486" s="68" t="s">
        <v>70</v>
      </c>
      <c r="D486" s="29" t="str">
        <f t="array" ref="D486:J486">VLOOKUP(A10,'Tracker- Removal Prep'!$D:$P,{2,8,9,10,11,12,13},0)
</f>
        <v>Build Your Own RealTime OS (RTOS) From Ground Up™ on ARM 1</v>
      </c>
      <c r="E486" s="32" t="s">
        <v>45</v>
      </c>
      <c r="F486" s="32" t="s">
        <v>46</v>
      </c>
      <c r="G486" s="32">
        <v>915690.0</v>
      </c>
      <c r="H486" s="32" t="s">
        <v>68</v>
      </c>
      <c r="I486" s="32">
        <v>995334.0</v>
      </c>
      <c r="J486" s="32" t="s">
        <v>69</v>
      </c>
    </row>
    <row r="487">
      <c r="A487" s="26">
        <v>3614398.0</v>
      </c>
      <c r="B487" s="52">
        <v>44662.0</v>
      </c>
      <c r="C487" s="68" t="s">
        <v>70</v>
      </c>
      <c r="D487" s="29" t="str">
        <f t="array" ref="D487:J487">VLOOKUP(A11,'Tracker- Removal Prep'!$D:$P,{2,8,9,10,11,12,13},0)
</f>
        <v>Power BI Máster en poco tiempo - Desktop, Móvil y en la Nube</v>
      </c>
      <c r="E487" s="32" t="s">
        <v>63</v>
      </c>
      <c r="F487" s="32" t="s">
        <v>64</v>
      </c>
      <c r="G487" s="32">
        <v>2178672.0</v>
      </c>
      <c r="H487" s="32" t="s">
        <v>72</v>
      </c>
      <c r="I487" s="32">
        <v>2587102.0</v>
      </c>
      <c r="J487" s="32" t="s">
        <v>73</v>
      </c>
    </row>
    <row r="488">
      <c r="A488" s="26">
        <v>2397342.0</v>
      </c>
      <c r="B488" s="52">
        <v>44662.0</v>
      </c>
      <c r="C488" s="68" t="s">
        <v>70</v>
      </c>
      <c r="D488" s="29" t="str">
        <f t="array" ref="D488:J488">VLOOKUP(A12,'Tracker- Removal Prep'!$D:$P,{2,8,9,10,11,12,13},0)
</f>
        <v>TOTAL: CISM (Info. Security Mgr) Practice Tests - 400 Q's</v>
      </c>
      <c r="E488" s="32" t="s">
        <v>45</v>
      </c>
      <c r="F488" s="32" t="s">
        <v>75</v>
      </c>
      <c r="G488" s="32">
        <v>2311262.0</v>
      </c>
      <c r="H488" s="32" t="s">
        <v>76</v>
      </c>
      <c r="I488" s="32">
        <v>2111474.0</v>
      </c>
      <c r="J488" s="32" t="s">
        <v>77</v>
      </c>
    </row>
    <row r="489">
      <c r="A489" s="26">
        <v>1371564.0</v>
      </c>
      <c r="B489" s="52">
        <v>44662.0</v>
      </c>
      <c r="C489" s="68" t="s">
        <v>70</v>
      </c>
      <c r="D489" s="29" t="str">
        <f t="array" ref="D489:J489">VLOOKUP(A13,'Tracker- Removal Prep'!$D:$P,{2,8,9,10,11,12,13},0)
</f>
        <v>Management System Auditor Training. ISO 19011</v>
      </c>
      <c r="E489" s="32" t="s">
        <v>79</v>
      </c>
      <c r="F489" s="32" t="s">
        <v>80</v>
      </c>
      <c r="G489" s="32">
        <v>1049210.0</v>
      </c>
      <c r="H489" s="32" t="s">
        <v>81</v>
      </c>
      <c r="I489" s="32"/>
      <c r="J489" s="32" t="s">
        <v>47</v>
      </c>
    </row>
    <row r="490">
      <c r="A490" s="26">
        <v>1906400.0</v>
      </c>
      <c r="B490" s="52">
        <v>44662.0</v>
      </c>
      <c r="C490" s="68" t="s">
        <v>70</v>
      </c>
      <c r="D490" s="29" t="str">
        <f t="array" ref="D490:J490">VLOOKUP(A14,'Tracker- Removal Prep'!$D:$P,{2,8,9,10,11,12,13},0)
</f>
        <v>Marketo for Managers</v>
      </c>
      <c r="E490" s="32" t="s">
        <v>83</v>
      </c>
      <c r="F490" s="32" t="s">
        <v>84</v>
      </c>
      <c r="G490" s="32"/>
      <c r="H490" s="32" t="s">
        <v>47</v>
      </c>
      <c r="I490" s="32"/>
      <c r="J490" s="32" t="s">
        <v>47</v>
      </c>
    </row>
    <row r="491">
      <c r="A491" s="26">
        <v>1531272.0</v>
      </c>
      <c r="B491" s="52">
        <v>44662.0</v>
      </c>
      <c r="C491" s="68" t="s">
        <v>70</v>
      </c>
      <c r="D491" s="29" t="str">
        <f t="array" ref="D491:J491">VLOOKUP(A15,'Tracker- Removal Prep'!$D:$P,{2,8,9,10,11,12,13},0)
</f>
        <v>PTE Academic (English Test) - Mastering Listening -Score 79+</v>
      </c>
      <c r="E491" s="32" t="s">
        <v>58</v>
      </c>
      <c r="F491" s="32" t="s">
        <v>86</v>
      </c>
      <c r="G491" s="32">
        <v>3237155.0</v>
      </c>
      <c r="H491" s="32" t="s">
        <v>87</v>
      </c>
      <c r="I491" s="32">
        <v>3930060.0</v>
      </c>
      <c r="J491" s="32" t="s">
        <v>88</v>
      </c>
    </row>
    <row r="492">
      <c r="A492" s="26">
        <v>3912606.0</v>
      </c>
      <c r="B492" s="52">
        <v>44662.0</v>
      </c>
      <c r="C492" s="68" t="s">
        <v>70</v>
      </c>
      <c r="D492" s="29" t="str">
        <f t="array" ref="D492:J492">VLOOKUP(A16,'Tracker- Removal Prep'!$D:$P,{2,8,9,10,11,12,13},0)
</f>
        <v>AWS Advanced Security</v>
      </c>
      <c r="E492" s="32" t="s">
        <v>45</v>
      </c>
      <c r="F492" s="32" t="s">
        <v>90</v>
      </c>
      <c r="G492" s="32">
        <v>2699024.0</v>
      </c>
      <c r="H492" s="32" t="s">
        <v>91</v>
      </c>
      <c r="I492" s="32">
        <v>2745980.0</v>
      </c>
      <c r="J492" s="32" t="s">
        <v>92</v>
      </c>
    </row>
    <row r="493">
      <c r="A493" s="26">
        <v>865750.0</v>
      </c>
      <c r="B493" s="52">
        <v>44662.0</v>
      </c>
      <c r="C493" s="68" t="s">
        <v>70</v>
      </c>
      <c r="D493" s="29" t="str">
        <f t="array" ref="D493:J493">VLOOKUP(A17,'Tracker- Removal Prep'!$D:$P,{2,8,9,10,11,12,13},0)
</f>
        <v>Sitecore 10 Content Editing Basics Step-by-Step</v>
      </c>
      <c r="E493" s="32" t="s">
        <v>83</v>
      </c>
      <c r="F493" s="32" t="s">
        <v>94</v>
      </c>
      <c r="G493" s="32"/>
      <c r="H493" s="32" t="s">
        <v>47</v>
      </c>
      <c r="I493" s="32"/>
      <c r="J493" s="32" t="s">
        <v>47</v>
      </c>
    </row>
    <row r="494">
      <c r="A494" s="26">
        <v>692782.0</v>
      </c>
      <c r="B494" s="52">
        <v>44662.0</v>
      </c>
      <c r="C494" s="68" t="s">
        <v>70</v>
      </c>
      <c r="D494" s="29" t="str">
        <f t="array" ref="D494:J494">VLOOKUP(A18,'Tracker- Removal Prep'!$D:$P,{2,8,9,10,11,12,13},0)
</f>
        <v>SAP S/4HANA Training with SAP HANA, S4 HANA Finance &amp; FIORI</v>
      </c>
      <c r="E494" s="32" t="s">
        <v>96</v>
      </c>
      <c r="F494" s="32" t="s">
        <v>97</v>
      </c>
      <c r="G494" s="32">
        <v>4146768.0</v>
      </c>
      <c r="H494" s="32" t="s">
        <v>98</v>
      </c>
      <c r="I494" s="32">
        <v>2616370.0</v>
      </c>
      <c r="J494" s="32" t="s">
        <v>99</v>
      </c>
    </row>
    <row r="495">
      <c r="A495" s="26">
        <v>1686432.0</v>
      </c>
      <c r="B495" s="52">
        <v>44662.0</v>
      </c>
      <c r="C495" s="68" t="s">
        <v>70</v>
      </c>
      <c r="D495" s="29" t="str">
        <f t="array" ref="D495:J495">VLOOKUP(A19,'Tracker- Removal Prep'!$D:$P,{2,8,9,10,11,12,13},0)
</f>
        <v>Marketing Cloud Intro</v>
      </c>
      <c r="E495" s="32" t="s">
        <v>101</v>
      </c>
      <c r="F495" s="32" t="s">
        <v>102</v>
      </c>
      <c r="G495" s="32">
        <v>2167462.0</v>
      </c>
      <c r="H495" s="32" t="s">
        <v>103</v>
      </c>
      <c r="I495" s="32"/>
      <c r="J495" s="32" t="s">
        <v>47</v>
      </c>
    </row>
    <row r="496">
      <c r="A496" s="26">
        <v>946204.0</v>
      </c>
      <c r="B496" s="52">
        <v>44662.0</v>
      </c>
      <c r="C496" s="68" t="s">
        <v>70</v>
      </c>
      <c r="D496" s="29" t="str">
        <f t="array" ref="D496:J496">VLOOKUP(A20,'Tracker- Removal Prep'!$D:$P,{2,8,9,10,11,12,13},0)
</f>
        <v>Curso de Edição de Vídeo com Vegas Pro</v>
      </c>
      <c r="E496" s="32" t="s">
        <v>105</v>
      </c>
      <c r="F496" s="32" t="s">
        <v>106</v>
      </c>
      <c r="G496" s="32"/>
      <c r="H496" s="32" t="s">
        <v>47</v>
      </c>
      <c r="I496" s="32"/>
      <c r="J496" s="32" t="s">
        <v>47</v>
      </c>
    </row>
    <row r="497">
      <c r="A497" s="26">
        <v>3927262.0</v>
      </c>
      <c r="B497" s="52">
        <v>44662.0</v>
      </c>
      <c r="C497" s="68" t="s">
        <v>70</v>
      </c>
      <c r="D497" s="29" t="str">
        <f t="array" ref="D497:J497">VLOOKUP(A21,'Tracker- Removal Prep'!$D:$P,{2,8,9,10,11,12,13},0)
</f>
        <v>Curso online preparación del título oficial inglés B1 o B2</v>
      </c>
      <c r="E497" s="32" t="s">
        <v>58</v>
      </c>
      <c r="F497" s="32" t="s">
        <v>86</v>
      </c>
      <c r="G497" s="32"/>
      <c r="H497" s="32" t="s">
        <v>47</v>
      </c>
      <c r="I497" s="32"/>
      <c r="J497" s="32" t="s">
        <v>47</v>
      </c>
    </row>
    <row r="498">
      <c r="A498" s="26">
        <v>2171402.0</v>
      </c>
      <c r="B498" s="52">
        <v>44662.0</v>
      </c>
      <c r="C498" s="68" t="s">
        <v>70</v>
      </c>
      <c r="D498" s="29" t="str">
        <f t="array" ref="D498:J498">VLOOKUP(A22,'Tracker- Removal Prep'!$D:$P,{2,8,9,10,11,12,13},0)
</f>
        <v>Introduction to Algorithmic Trading</v>
      </c>
      <c r="E498" s="32" t="s">
        <v>96</v>
      </c>
      <c r="F498" s="32" t="s">
        <v>109</v>
      </c>
      <c r="G498" s="32">
        <v>3395102.0</v>
      </c>
      <c r="H498" s="32" t="s">
        <v>110</v>
      </c>
      <c r="I498" s="32">
        <v>1212032.0</v>
      </c>
      <c r="J498" s="32" t="s">
        <v>111</v>
      </c>
    </row>
    <row r="499">
      <c r="A499" s="26">
        <v>1910458.0</v>
      </c>
      <c r="B499" s="52">
        <v>44662.0</v>
      </c>
      <c r="C499" s="68" t="s">
        <v>70</v>
      </c>
      <c r="D499" s="29" t="str">
        <f t="array" ref="D499:J499">VLOOKUP(A23,'Tracker- Removal Prep'!$D:$P,{2,8,9,10,11,12,13},0)
</f>
        <v>LS DYNA - A Simulation Training with Practical Applications</v>
      </c>
      <c r="E499" s="32" t="s">
        <v>39</v>
      </c>
      <c r="F499" s="32" t="s">
        <v>113</v>
      </c>
      <c r="G499" s="32"/>
      <c r="H499" s="32" t="s">
        <v>47</v>
      </c>
      <c r="I499" s="32"/>
      <c r="J499" s="32" t="s">
        <v>47</v>
      </c>
    </row>
    <row r="500">
      <c r="A500" s="26">
        <v>788524.0</v>
      </c>
      <c r="B500" s="52">
        <v>44662.0</v>
      </c>
      <c r="C500" s="68" t="s">
        <v>70</v>
      </c>
      <c r="D500" s="29" t="str">
        <f t="array" ref="D500:J500">VLOOKUP(A24,'Tracker- Removal Prep'!$D:$P,{2,8,9,10,11,12,13},0)
</f>
        <v>Mastering Databricks &amp; Apache spark -Build ETL data pipeline</v>
      </c>
      <c r="E500" s="32" t="s">
        <v>63</v>
      </c>
      <c r="F500" s="32" t="s">
        <v>115</v>
      </c>
      <c r="G500" s="32">
        <v>2718352.0</v>
      </c>
      <c r="H500" s="32" t="s">
        <v>116</v>
      </c>
      <c r="I500" s="32">
        <v>2511956.0</v>
      </c>
      <c r="J500" s="32" t="s">
        <v>117</v>
      </c>
    </row>
    <row r="501">
      <c r="A501" s="26">
        <v>2066697.0</v>
      </c>
      <c r="B501" s="52">
        <v>44662.0</v>
      </c>
      <c r="C501" s="68" t="s">
        <v>70</v>
      </c>
      <c r="D501" s="29" t="str">
        <f t="array" ref="D501:J501">VLOOKUP(A25,'Tracker- Removal Prep'!$D:$P,{2,8,9,10,11,12,13},0)
</f>
        <v>CKS : Certified Kubernetes Security Specialist Practice 2021</v>
      </c>
      <c r="E501" s="32" t="s">
        <v>45</v>
      </c>
      <c r="F501" s="32" t="s">
        <v>75</v>
      </c>
      <c r="G501" s="32">
        <v>3573079.0</v>
      </c>
      <c r="H501" s="32" t="s">
        <v>120</v>
      </c>
      <c r="I501" s="32"/>
      <c r="J501" s="32" t="s">
        <v>47</v>
      </c>
    </row>
    <row r="502">
      <c r="A502" s="26">
        <v>883176.0</v>
      </c>
      <c r="B502" s="52">
        <v>44662.0</v>
      </c>
      <c r="C502" s="68" t="s">
        <v>70</v>
      </c>
      <c r="D502" s="29" t="str">
        <f t="array" ref="D502:J502">VLOOKUP(A26,'Tracker- Removal Prep'!$D:$P,{2,8,9,10,11,12,13},0)
</f>
        <v>Life Purpose Life Coach Certification 2WEC Training</v>
      </c>
      <c r="E502" s="32" t="s">
        <v>122</v>
      </c>
      <c r="F502" s="32" t="s">
        <v>123</v>
      </c>
      <c r="G502" s="32">
        <v>430234.0</v>
      </c>
      <c r="H502" s="32" t="s">
        <v>124</v>
      </c>
      <c r="I502" s="32">
        <v>435902.0</v>
      </c>
      <c r="J502" s="32" t="s">
        <v>125</v>
      </c>
    </row>
    <row r="503">
      <c r="A503" s="26">
        <v>1242880.0</v>
      </c>
      <c r="B503" s="52">
        <v>44662.0</v>
      </c>
      <c r="C503" s="68" t="s">
        <v>70</v>
      </c>
      <c r="D503" s="29" t="str">
        <f t="array" ref="D503:J503">VLOOKUP(A27,'Tracker- Removal Prep'!$D:$P,{2,8,9,10,11,12,13},0)
</f>
        <v>Crowdfunding for Changemakers</v>
      </c>
      <c r="E503" s="32" t="s">
        <v>122</v>
      </c>
      <c r="F503" s="32" t="s">
        <v>127</v>
      </c>
      <c r="G503" s="32">
        <v>1255050.0</v>
      </c>
      <c r="H503" s="32" t="s">
        <v>128</v>
      </c>
      <c r="I503" s="32">
        <v>3349106.0</v>
      </c>
      <c r="J503" s="32" t="s">
        <v>129</v>
      </c>
    </row>
    <row r="504">
      <c r="A504" s="26">
        <v>1752920.0</v>
      </c>
      <c r="B504" s="52">
        <v>44662.0</v>
      </c>
      <c r="C504" s="68" t="s">
        <v>70</v>
      </c>
      <c r="D504" s="29" t="str">
        <f t="array" ref="D504:J504">VLOOKUP(A28,'Tracker- Removal Prep'!$D:$P,{2,8,9,10,11,12,13},0)
</f>
        <v>Fixed Income Valuation and Analysis, CFA L2</v>
      </c>
      <c r="E504" s="32" t="s">
        <v>96</v>
      </c>
      <c r="F504" s="32" t="s">
        <v>131</v>
      </c>
      <c r="G504" s="32">
        <v>1934778.0</v>
      </c>
      <c r="H504" s="32" t="s">
        <v>132</v>
      </c>
      <c r="I504" s="32"/>
      <c r="J504" s="32" t="s">
        <v>47</v>
      </c>
    </row>
    <row r="505">
      <c r="A505" s="26">
        <v>1606018.0</v>
      </c>
      <c r="B505" s="52">
        <v>44662.0</v>
      </c>
      <c r="C505" s="68" t="s">
        <v>70</v>
      </c>
      <c r="D505" s="29" t="str">
        <f t="array" ref="D505:J505">VLOOKUP(A29,'Tracker- Removal Prep'!$D:$P,{2,8,9,10,11,12,13},0)
</f>
        <v>UI Animation using Sketch 3, Principle App, and Flinto</v>
      </c>
      <c r="E505" s="32" t="s">
        <v>105</v>
      </c>
      <c r="F505" s="32" t="s">
        <v>106</v>
      </c>
      <c r="G505" s="32">
        <v>381850.0</v>
      </c>
      <c r="H505" s="32" t="s">
        <v>134</v>
      </c>
      <c r="I505" s="32">
        <v>371074.0</v>
      </c>
      <c r="J505" s="32" t="s">
        <v>135</v>
      </c>
    </row>
    <row r="506">
      <c r="A506" s="26">
        <v>3059648.0</v>
      </c>
      <c r="B506" s="52">
        <v>44662.0</v>
      </c>
      <c r="C506" s="68" t="s">
        <v>70</v>
      </c>
      <c r="D506" s="29" t="str">
        <f t="array" ref="D506:J506">VLOOKUP(A30,'Tracker- Removal Prep'!$D:$P,{2,8,9,10,11,12,13},0)
</f>
        <v>Curso Completo de Email Marketing - Actualizado 2021</v>
      </c>
      <c r="E506" s="32" t="s">
        <v>83</v>
      </c>
      <c r="F506" s="32" t="s">
        <v>94</v>
      </c>
      <c r="G506" s="32">
        <v>1362058.0</v>
      </c>
      <c r="H506" s="32" t="s">
        <v>137</v>
      </c>
      <c r="I506" s="32">
        <v>1485712.0</v>
      </c>
      <c r="J506" s="32" t="s">
        <v>138</v>
      </c>
    </row>
    <row r="507">
      <c r="A507" s="26">
        <v>1276488.0</v>
      </c>
      <c r="B507" s="52">
        <v>44662.0</v>
      </c>
      <c r="C507" s="68" t="s">
        <v>70</v>
      </c>
      <c r="D507" s="29" t="str">
        <f t="array" ref="D507:J507">VLOOKUP(A31,'Tracker- Removal Prep'!$D:$P,{2,8,9,10,11,12,13},0)
</f>
        <v>Proyecto Java Web  JSP, Servlet con MySQL desde NetBeans IDE</v>
      </c>
      <c r="E507" s="32" t="s">
        <v>39</v>
      </c>
      <c r="F507" s="32" t="s">
        <v>140</v>
      </c>
      <c r="G507" s="32">
        <v>781696.0</v>
      </c>
      <c r="H507" s="32" t="s">
        <v>141</v>
      </c>
      <c r="I507" s="32"/>
      <c r="J507" s="32" t="s">
        <v>47</v>
      </c>
    </row>
    <row r="508">
      <c r="A508" s="26">
        <v>3292300.0</v>
      </c>
      <c r="B508" s="52">
        <v>44662.0</v>
      </c>
      <c r="C508" s="68" t="s">
        <v>70</v>
      </c>
      <c r="D508" s="29" t="str">
        <f t="array" ref="D508:J508">VLOOKUP(A32,'Tracker- Removal Prep'!$D:$P,{2,8,9,10,11,12,13},0)
</f>
        <v>Lehrinhalte für Seminare und Vorträge ausarbeiten</v>
      </c>
      <c r="E508" s="32" t="s">
        <v>144</v>
      </c>
      <c r="F508" s="32" t="s">
        <v>145</v>
      </c>
      <c r="G508" s="32"/>
      <c r="H508" s="32" t="s">
        <v>47</v>
      </c>
      <c r="I508" s="32"/>
      <c r="J508" s="32" t="s">
        <v>47</v>
      </c>
    </row>
    <row r="509">
      <c r="A509" s="26">
        <v>553084.0</v>
      </c>
      <c r="B509" s="52">
        <v>44662.0</v>
      </c>
      <c r="C509" s="68" t="s">
        <v>70</v>
      </c>
      <c r="D509" s="29" t="str">
        <f t="array" ref="D509:J509">VLOOKUP(A33,'Tracker- Removal Prep'!$D:$P,{2,8,9,10,11,12,13},0)
</f>
        <v>Webinar Marketing: Erstelle Professionelle Webinar Funnels</v>
      </c>
      <c r="E509" s="32" t="s">
        <v>83</v>
      </c>
      <c r="F509" s="32" t="s">
        <v>147</v>
      </c>
      <c r="G509" s="32">
        <v>2753438.0</v>
      </c>
      <c r="H509" s="32" t="s">
        <v>148</v>
      </c>
      <c r="I509" s="32"/>
      <c r="J509" s="32" t="s">
        <v>47</v>
      </c>
    </row>
    <row r="510">
      <c r="A510" s="26">
        <v>4088990.0</v>
      </c>
      <c r="B510" s="52">
        <v>44662.0</v>
      </c>
      <c r="C510" s="68" t="s">
        <v>70</v>
      </c>
      <c r="D510" s="29" t="str">
        <f t="array" ref="D510:J510">VLOOKUP(A34,'Tracker- Removal Prep'!$D:$P,{2,8,9,10,11,12,13},0)
</f>
        <v>Product Owner:in (agile/Scrum - v. 2020)</v>
      </c>
      <c r="E510" s="32" t="s">
        <v>79</v>
      </c>
      <c r="F510" s="32" t="s">
        <v>150</v>
      </c>
      <c r="G510" s="32">
        <v>2878920.0</v>
      </c>
      <c r="H510" s="32" t="s">
        <v>151</v>
      </c>
      <c r="I510" s="32"/>
      <c r="J510" s="32" t="s">
        <v>47</v>
      </c>
    </row>
    <row r="511">
      <c r="A511" s="26">
        <v>2595826.0</v>
      </c>
      <c r="B511" s="52">
        <v>44662.0</v>
      </c>
      <c r="C511" s="68" t="s">
        <v>70</v>
      </c>
      <c r="D511" s="29" t="str">
        <f t="array" ref="D511:J511">VLOOKUP(A35,'Tracker- Removal Prep'!$D:$P,{2,8,9,10,11,12,13},0)
</f>
        <v>Facebook Marketing Meisterkurs: Der Komplette Facebook Kurs</v>
      </c>
      <c r="E511" s="32" t="s">
        <v>83</v>
      </c>
      <c r="F511" s="32" t="s">
        <v>153</v>
      </c>
      <c r="G511" s="32">
        <v>1622104.0</v>
      </c>
      <c r="H511" s="32" t="s">
        <v>154</v>
      </c>
      <c r="I511" s="32">
        <v>2591016.0</v>
      </c>
      <c r="J511" s="32" t="s">
        <v>155</v>
      </c>
    </row>
    <row r="512">
      <c r="A512" s="26">
        <v>1379334.0</v>
      </c>
      <c r="B512" s="52">
        <v>44662.0</v>
      </c>
      <c r="C512" s="68" t="s">
        <v>70</v>
      </c>
      <c r="D512" s="29" t="str">
        <f t="array" ref="D512:J512">VLOOKUP(A36,'Tracker- Removal Prep'!$D:$P,{2,8,9,10,11,12,13},0)
</f>
        <v>Microsoft SSAS (Deutsch) - Cube-Erstellung + PowerBI Zugriff</v>
      </c>
      <c r="E512" s="32" t="s">
        <v>63</v>
      </c>
      <c r="F512" s="32" t="s">
        <v>64</v>
      </c>
      <c r="G512" s="32"/>
      <c r="H512" s="32" t="s">
        <v>47</v>
      </c>
      <c r="I512" s="32"/>
      <c r="J512" s="32" t="s">
        <v>47</v>
      </c>
    </row>
    <row r="513">
      <c r="A513" s="26">
        <v>971990.0</v>
      </c>
      <c r="B513" s="52">
        <v>44662.0</v>
      </c>
      <c r="C513" s="68" t="s">
        <v>70</v>
      </c>
      <c r="D513" s="29" t="str">
        <f t="array" ref="D513:J513">VLOOKUP(A37,'Tracker- Removal Prep'!$D:$P,{2,8,9,10,11,12,13},0)
</f>
        <v>Java Certification - OCP (1Z0-809) Topic-wise Tests [2021]</v>
      </c>
      <c r="E513" s="32" t="s">
        <v>45</v>
      </c>
      <c r="F513" s="32" t="s">
        <v>75</v>
      </c>
      <c r="G513" s="32"/>
      <c r="H513" s="32" t="s">
        <v>47</v>
      </c>
      <c r="I513" s="32"/>
      <c r="J513" s="32" t="s">
        <v>47</v>
      </c>
    </row>
    <row r="514">
      <c r="A514" s="26">
        <v>2797654.0</v>
      </c>
      <c r="B514" s="52">
        <v>44662.0</v>
      </c>
      <c r="C514" s="68" t="s">
        <v>70</v>
      </c>
      <c r="D514" s="29" t="str">
        <f t="array" ref="D514:J514">VLOOKUP(A38,'Tracker- Removal Prep'!$D:$P,{2,8,9,10,11,12,13},0)
</f>
        <v>Dauerhafter Erfolg als Führungskraft - inkl. Shortbook</v>
      </c>
      <c r="E514" s="32" t="s">
        <v>122</v>
      </c>
      <c r="F514" s="32" t="s">
        <v>123</v>
      </c>
      <c r="G514" s="32"/>
      <c r="H514" s="32" t="s">
        <v>47</v>
      </c>
      <c r="I514" s="32"/>
      <c r="J514" s="32" t="s">
        <v>47</v>
      </c>
    </row>
    <row r="515">
      <c r="A515" s="26">
        <v>2438730.0</v>
      </c>
      <c r="B515" s="52">
        <v>44662.0</v>
      </c>
      <c r="C515" s="68" t="s">
        <v>70</v>
      </c>
      <c r="D515" s="29" t="str">
        <f t="array" ref="D515:J515">VLOOKUP(A39,'Tracker- Removal Prep'!$D:$P,{2,8,9,10,11,12,13},0)
</f>
        <v>Build Library Management System | Python &amp; PyQt5</v>
      </c>
      <c r="E515" s="32" t="s">
        <v>39</v>
      </c>
      <c r="F515" s="32" t="s">
        <v>54</v>
      </c>
      <c r="G515" s="32"/>
      <c r="H515" s="32" t="s">
        <v>47</v>
      </c>
      <c r="I515" s="32"/>
      <c r="J515" s="32" t="s">
        <v>47</v>
      </c>
    </row>
    <row r="516">
      <c r="A516" s="26">
        <v>3118186.0</v>
      </c>
      <c r="B516" s="52">
        <v>44662.0</v>
      </c>
      <c r="C516" s="68" t="s">
        <v>70</v>
      </c>
      <c r="D516" s="29" t="str">
        <f t="array" ref="D516:J516">VLOOKUP(A40,'Tracker- Removal Prep'!$D:$P,{2,8,9,10,11,12,13},0)
</f>
        <v>Expressive und farbenfrohe Blumen in Aquarell</v>
      </c>
      <c r="E516" s="32" t="s">
        <v>58</v>
      </c>
      <c r="F516" s="32" t="s">
        <v>161</v>
      </c>
      <c r="G516" s="32">
        <v>1745938.0</v>
      </c>
      <c r="H516" s="32" t="s">
        <v>162</v>
      </c>
      <c r="I516" s="32"/>
      <c r="J516" s="32" t="s">
        <v>47</v>
      </c>
    </row>
    <row r="517">
      <c r="A517" s="26">
        <v>560436.0</v>
      </c>
      <c r="B517" s="52">
        <v>44662.0</v>
      </c>
      <c r="C517" s="68" t="s">
        <v>70</v>
      </c>
      <c r="D517" s="29" t="str">
        <f t="array" ref="D517:J517">VLOOKUP(A41,'Tracker- Removal Prep'!$D:$P,{2,8,9,10,11,12,13},0)
</f>
        <v>Design Thinking - Remoto  | 2020</v>
      </c>
      <c r="E517" s="32" t="s">
        <v>122</v>
      </c>
      <c r="F517" s="32" t="s">
        <v>127</v>
      </c>
      <c r="G517" s="32">
        <v>2148064.0</v>
      </c>
      <c r="H517" s="32" t="s">
        <v>164</v>
      </c>
      <c r="I517" s="32">
        <v>3541506.0</v>
      </c>
      <c r="J517" s="32" t="s">
        <v>165</v>
      </c>
    </row>
    <row r="518">
      <c r="A518" s="26">
        <v>2851058.0</v>
      </c>
      <c r="B518" s="52">
        <v>44662.0</v>
      </c>
      <c r="C518" s="68" t="s">
        <v>70</v>
      </c>
      <c r="D518" s="29" t="str">
        <f t="array" ref="D518:J518">VLOOKUP(A42,'Tracker- Removal Prep'!$D:$P,{2,8,9,10,11,12,13},0)
</f>
        <v>Introducción a Magento Open Source eCommerce 2</v>
      </c>
      <c r="E518" s="32" t="s">
        <v>58</v>
      </c>
      <c r="F518" s="32" t="s">
        <v>167</v>
      </c>
      <c r="G518" s="32"/>
      <c r="H518" s="32" t="s">
        <v>47</v>
      </c>
      <c r="I518" s="32"/>
      <c r="J518" s="32" t="s">
        <v>47</v>
      </c>
    </row>
    <row r="519">
      <c r="A519" s="26">
        <v>2947558.0</v>
      </c>
      <c r="B519" s="52">
        <v>44662.0</v>
      </c>
      <c r="C519" s="68" t="s">
        <v>70</v>
      </c>
      <c r="D519" s="29" t="str">
        <f t="array" ref="D519:J519">VLOOKUP(A43,'Tracker- Removal Prep'!$D:$P,{2,8,9,10,11,12,13},0)
</f>
        <v>Publishing Scientific Research</v>
      </c>
      <c r="E519" s="32" t="s">
        <v>58</v>
      </c>
      <c r="F519" s="32" t="s">
        <v>169</v>
      </c>
      <c r="G519" s="32"/>
      <c r="H519" s="32" t="s">
        <v>47</v>
      </c>
      <c r="I519" s="32"/>
      <c r="J519" s="32" t="s">
        <v>47</v>
      </c>
    </row>
    <row r="520">
      <c r="A520" s="26">
        <v>958164.0</v>
      </c>
      <c r="B520" s="52">
        <v>44662.0</v>
      </c>
      <c r="C520" s="68" t="s">
        <v>70</v>
      </c>
      <c r="D520" s="29" t="str">
        <f t="array" ref="D520:J520">VLOOKUP(A44,'Tracker- Removal Prep'!$D:$P,{2,8,9,10,11,12,13},0)
</f>
        <v>Powershell pour les (grands) débutants (2021)</v>
      </c>
      <c r="E520" s="32" t="s">
        <v>45</v>
      </c>
      <c r="F520" s="32" t="s">
        <v>172</v>
      </c>
      <c r="G520" s="32">
        <v>2037912.0</v>
      </c>
      <c r="H520" s="32" t="s">
        <v>173</v>
      </c>
      <c r="I520" s="32"/>
      <c r="J520" s="32" t="s">
        <v>47</v>
      </c>
    </row>
    <row r="521">
      <c r="A521" s="26">
        <v>2889360.0</v>
      </c>
      <c r="B521" s="52">
        <v>44662.0</v>
      </c>
      <c r="C521" s="68" t="s">
        <v>70</v>
      </c>
      <c r="D521" s="29" t="str">
        <f t="array" ref="D521:J521">VLOOKUP(A45,'Tracker- Removal Prep'!$D:$P,{2,8,9,10,11,12,13},0)
</f>
        <v>Be an International Business Professional</v>
      </c>
      <c r="E521" s="32" t="s">
        <v>122</v>
      </c>
      <c r="F521" s="32" t="s">
        <v>127</v>
      </c>
      <c r="G521" s="32"/>
      <c r="H521" s="32" t="s">
        <v>47</v>
      </c>
      <c r="I521" s="32"/>
      <c r="J521" s="32" t="s">
        <v>47</v>
      </c>
    </row>
    <row r="522">
      <c r="A522" s="26">
        <v>2241862.0</v>
      </c>
      <c r="B522" s="52">
        <v>44662.0</v>
      </c>
      <c r="C522" s="68" t="s">
        <v>70</v>
      </c>
      <c r="D522" s="29" t="str">
        <f t="array" ref="D522:J522">VLOOKUP(A46,'Tracker- Removal Prep'!$D:$P,{2,8,9,10,11,12,13},0)
</f>
        <v>[NEW] Computer Networking : Go from Zero to Hero (2021)</v>
      </c>
      <c r="E522" s="32" t="s">
        <v>45</v>
      </c>
      <c r="F522" s="32" t="s">
        <v>90</v>
      </c>
      <c r="G522" s="32">
        <v>751094.0</v>
      </c>
      <c r="H522" s="32" t="s">
        <v>176</v>
      </c>
      <c r="I522" s="32">
        <v>580876.0</v>
      </c>
      <c r="J522" s="32" t="s">
        <v>177</v>
      </c>
    </row>
    <row r="523">
      <c r="A523" s="26">
        <v>1483710.0</v>
      </c>
      <c r="B523" s="52">
        <v>44662.0</v>
      </c>
      <c r="C523" s="68" t="s">
        <v>70</v>
      </c>
      <c r="D523" s="29" t="str">
        <f t="array" ref="D523:J523">VLOOKUP(A47,'Tracker- Removal Prep'!$D:$P,{2,8,9,10,11,12,13},0)
</f>
        <v>HARD CISSP practice questions #4: All CISSP domains - 125Q</v>
      </c>
      <c r="E523" s="32" t="s">
        <v>45</v>
      </c>
      <c r="F523" s="32" t="s">
        <v>75</v>
      </c>
      <c r="G523" s="32">
        <v>1473322.0</v>
      </c>
      <c r="H523" s="32" t="s">
        <v>179</v>
      </c>
      <c r="I523" s="32">
        <v>2427428.0</v>
      </c>
      <c r="J523" s="32" t="s">
        <v>180</v>
      </c>
    </row>
    <row r="524">
      <c r="A524" s="26">
        <v>3739518.0</v>
      </c>
      <c r="B524" s="52">
        <v>44662.0</v>
      </c>
      <c r="C524" s="68" t="s">
        <v>70</v>
      </c>
      <c r="D524" s="29" t="str">
        <f t="array" ref="D524:J524">VLOOKUP(A48,'Tracker- Removal Prep'!$D:$P,{2,8,9,10,11,12,13},0)
</f>
        <v>GraphQL with Spring Boot - Foundation I</v>
      </c>
      <c r="E524" s="32" t="s">
        <v>39</v>
      </c>
      <c r="F524" s="32" t="s">
        <v>140</v>
      </c>
      <c r="G524" s="32">
        <v>3430412.0</v>
      </c>
      <c r="H524" s="32" t="s">
        <v>182</v>
      </c>
      <c r="I524" s="32"/>
      <c r="J524" s="32" t="s">
        <v>47</v>
      </c>
    </row>
    <row r="525">
      <c r="A525" s="26">
        <v>3614402.0</v>
      </c>
      <c r="B525" s="52">
        <v>44662.0</v>
      </c>
      <c r="C525" s="68" t="s">
        <v>70</v>
      </c>
      <c r="D525" s="29" t="str">
        <f t="array" ref="D525:J525">VLOOKUP(A49,'Tracker- Removal Prep'!$D:$P,{2,8,9,10,11,12,13},0)
</f>
        <v>Quantity Surveying Building Estimation With Cad And Excel</v>
      </c>
      <c r="E525" s="32" t="s">
        <v>79</v>
      </c>
      <c r="F525" s="32" t="s">
        <v>184</v>
      </c>
      <c r="G525" s="32">
        <v>4052730.0</v>
      </c>
      <c r="H525" s="32" t="s">
        <v>185</v>
      </c>
      <c r="I525" s="32">
        <v>244692.0</v>
      </c>
      <c r="J525" s="32" t="s">
        <v>186</v>
      </c>
    </row>
    <row r="526">
      <c r="A526" s="26">
        <v>2521460.0</v>
      </c>
      <c r="B526" s="52">
        <v>44662.0</v>
      </c>
      <c r="C526" s="68" t="s">
        <v>70</v>
      </c>
      <c r="D526" s="29" t="str">
        <f t="array" ref="D526:J526">VLOOKUP(A50,'Tracker- Removal Prep'!$D:$P,{2,8,9,10,11,12,13},0)
</f>
        <v>作業時間を1／10にするエクセルHACK術！</v>
      </c>
      <c r="E526" s="32" t="s">
        <v>189</v>
      </c>
      <c r="F526" s="32" t="s">
        <v>190</v>
      </c>
      <c r="G526" s="32"/>
      <c r="H526" s="32" t="s">
        <v>47</v>
      </c>
      <c r="I526" s="32"/>
      <c r="J526" s="32" t="s">
        <v>47</v>
      </c>
    </row>
    <row r="527">
      <c r="A527" s="26">
        <v>3059118.0</v>
      </c>
      <c r="B527" s="52">
        <v>44662.0</v>
      </c>
      <c r="C527" s="68" t="s">
        <v>70</v>
      </c>
      <c r="D527" s="29" t="str">
        <f t="array" ref="D527:J527">VLOOKUP(A51,'Tracker- Removal Prep'!$D:$P,{2,8,9,10,11,12,13},0)
</f>
        <v>最短・最速で学ぶ React Hooks 完全ガイド！ 現場で使えるReact開発+ステート管理をマスターしよう！</v>
      </c>
      <c r="E527" s="32" t="s">
        <v>39</v>
      </c>
      <c r="F527" s="32" t="s">
        <v>140</v>
      </c>
      <c r="G527" s="32">
        <v>2329814.0</v>
      </c>
      <c r="H527" s="32" t="s">
        <v>192</v>
      </c>
      <c r="I527" s="32"/>
      <c r="J527" s="32" t="s">
        <v>47</v>
      </c>
    </row>
    <row r="528">
      <c r="A528" s="26">
        <v>3010446.0</v>
      </c>
      <c r="B528" s="52">
        <v>44662.0</v>
      </c>
      <c r="C528" s="68" t="s">
        <v>70</v>
      </c>
      <c r="D528" s="29" t="str">
        <f t="array" ref="D528:J528">VLOOKUP(A52,'Tracker- Removal Prep'!$D:$P,{2,8,9,10,11,12,13},0)
</f>
        <v>ノンデザイナーのための「デザインをする前に知っておきたい7ステップ」〜問題解決に向けた思考の整理術〜</v>
      </c>
      <c r="E528" s="32" t="s">
        <v>122</v>
      </c>
      <c r="F528" s="32" t="s">
        <v>127</v>
      </c>
      <c r="G528" s="32"/>
      <c r="H528" s="32" t="s">
        <v>47</v>
      </c>
      <c r="I528" s="32"/>
      <c r="J528" s="32" t="s">
        <v>47</v>
      </c>
    </row>
    <row r="529">
      <c r="A529" s="26">
        <v>4088866.0</v>
      </c>
      <c r="B529" s="52">
        <v>44662.0</v>
      </c>
      <c r="C529" s="68" t="s">
        <v>70</v>
      </c>
      <c r="D529" s="29" t="str">
        <f t="array" ref="D529:J529">VLOOKUP(A53,'Tracker- Removal Prep'!$D:$P,{2,8,9,10,11,12,13},0)
</f>
        <v>Concept Art Architecture</v>
      </c>
      <c r="E529" s="32" t="s">
        <v>58</v>
      </c>
      <c r="F529" s="32" t="s">
        <v>59</v>
      </c>
      <c r="G529" s="32"/>
      <c r="H529" s="32" t="s">
        <v>47</v>
      </c>
      <c r="I529" s="32"/>
      <c r="J529" s="32" t="s">
        <v>47</v>
      </c>
    </row>
    <row r="530">
      <c r="A530" s="26">
        <v>3986528.0</v>
      </c>
      <c r="B530" s="52">
        <v>44662.0</v>
      </c>
      <c r="C530" s="68" t="s">
        <v>70</v>
      </c>
      <c r="D530" s="29" t="str">
        <f t="array" ref="D530:J530">VLOOKUP(A54,'Tracker- Removal Prep'!$D:$P,{2,8,9,10,11,12,13},0)
</f>
        <v>Art Fundamentals - Building Blocks of Digital Painting</v>
      </c>
      <c r="E530" s="32" t="s">
        <v>58</v>
      </c>
      <c r="F530" s="32" t="s">
        <v>161</v>
      </c>
      <c r="G530" s="32">
        <v>1458304.0</v>
      </c>
      <c r="H530" s="32" t="s">
        <v>196</v>
      </c>
      <c r="I530" s="32"/>
      <c r="J530" s="32" t="s">
        <v>47</v>
      </c>
    </row>
    <row r="531">
      <c r="A531" s="69"/>
      <c r="B531" s="70"/>
      <c r="C531" s="68"/>
      <c r="D531" s="29"/>
      <c r="E531" s="32"/>
      <c r="F531" s="32"/>
      <c r="G531" s="32"/>
      <c r="H531" s="32"/>
      <c r="I531" s="32"/>
      <c r="J531" s="32"/>
    </row>
    <row r="532">
      <c r="A532" s="69"/>
      <c r="B532" s="70"/>
      <c r="C532" s="68"/>
      <c r="D532" s="29"/>
      <c r="E532" s="32"/>
      <c r="F532" s="32"/>
      <c r="G532" s="32"/>
      <c r="H532" s="32"/>
      <c r="I532" s="32"/>
      <c r="J532" s="32"/>
    </row>
    <row r="533">
      <c r="A533" s="69"/>
      <c r="B533" s="70"/>
      <c r="C533" s="68"/>
      <c r="D533" s="29"/>
      <c r="E533" s="32"/>
      <c r="F533" s="32"/>
      <c r="G533" s="32"/>
      <c r="H533" s="32"/>
      <c r="I533" s="32"/>
      <c r="J533" s="32"/>
    </row>
    <row r="534">
      <c r="A534" s="69"/>
      <c r="B534" s="70"/>
      <c r="C534" s="68"/>
      <c r="D534" s="29"/>
      <c r="E534" s="32"/>
      <c r="F534" s="32"/>
      <c r="G534" s="32"/>
      <c r="H534" s="32"/>
      <c r="I534" s="32"/>
      <c r="J534" s="32"/>
    </row>
    <row r="535">
      <c r="A535" s="69"/>
      <c r="B535" s="70"/>
      <c r="C535" s="68"/>
      <c r="D535" s="29"/>
      <c r="E535" s="32"/>
      <c r="F535" s="32"/>
      <c r="G535" s="32"/>
      <c r="H535" s="32"/>
      <c r="I535" s="32"/>
      <c r="J535" s="32"/>
    </row>
    <row r="536" hidden="1">
      <c r="A536" s="69"/>
      <c r="B536" s="70"/>
      <c r="C536" s="68"/>
      <c r="D536" s="29"/>
      <c r="E536" s="32"/>
      <c r="F536" s="32"/>
      <c r="G536" s="32"/>
      <c r="H536" s="32"/>
      <c r="I536" s="32"/>
      <c r="J536" s="32"/>
    </row>
    <row r="537" hidden="1">
      <c r="A537" s="69"/>
      <c r="B537" s="70"/>
      <c r="C537" s="68"/>
      <c r="D537" s="29"/>
      <c r="E537" s="32"/>
      <c r="F537" s="32"/>
      <c r="G537" s="32"/>
      <c r="H537" s="32"/>
      <c r="I537" s="32"/>
      <c r="J537" s="32"/>
    </row>
    <row r="538" hidden="1">
      <c r="A538" s="69"/>
      <c r="B538" s="70"/>
      <c r="C538" s="68"/>
      <c r="D538" s="29"/>
      <c r="E538" s="32"/>
      <c r="F538" s="32"/>
      <c r="G538" s="32"/>
      <c r="H538" s="32"/>
      <c r="I538" s="32"/>
      <c r="J538" s="32"/>
    </row>
    <row r="539" hidden="1">
      <c r="A539" s="69"/>
      <c r="B539" s="70"/>
      <c r="C539" s="68"/>
      <c r="D539" s="29"/>
      <c r="E539" s="32"/>
      <c r="F539" s="32"/>
      <c r="G539" s="32"/>
      <c r="H539" s="32"/>
      <c r="I539" s="32"/>
      <c r="J539" s="32"/>
    </row>
    <row r="540" hidden="1">
      <c r="A540" s="69"/>
      <c r="B540" s="70"/>
      <c r="C540" s="68"/>
      <c r="D540" s="29"/>
      <c r="E540" s="32"/>
      <c r="F540" s="32"/>
      <c r="G540" s="32"/>
      <c r="H540" s="32"/>
      <c r="I540" s="32"/>
      <c r="J540" s="32"/>
    </row>
    <row r="541" hidden="1">
      <c r="A541" s="69"/>
      <c r="B541" s="70"/>
      <c r="C541" s="68"/>
      <c r="D541" s="29"/>
      <c r="E541" s="32"/>
      <c r="F541" s="32"/>
      <c r="G541" s="32"/>
      <c r="H541" s="32"/>
      <c r="I541" s="32"/>
      <c r="J541" s="32"/>
    </row>
    <row r="542" hidden="1">
      <c r="A542" s="69"/>
      <c r="B542" s="70"/>
      <c r="C542" s="68"/>
      <c r="D542" s="29"/>
      <c r="E542" s="32"/>
      <c r="F542" s="32"/>
      <c r="G542" s="32"/>
      <c r="H542" s="32"/>
      <c r="I542" s="32"/>
      <c r="J542" s="32"/>
    </row>
    <row r="543" hidden="1">
      <c r="A543" s="69"/>
      <c r="B543" s="70"/>
      <c r="C543" s="68"/>
      <c r="D543" s="29"/>
      <c r="E543" s="32"/>
      <c r="F543" s="32"/>
      <c r="G543" s="32"/>
      <c r="H543" s="32"/>
      <c r="I543" s="32"/>
      <c r="J543" s="32"/>
    </row>
    <row r="544" hidden="1">
      <c r="A544" s="69"/>
      <c r="B544" s="70"/>
      <c r="C544" s="68"/>
      <c r="D544" s="29"/>
      <c r="E544" s="32"/>
      <c r="F544" s="32"/>
      <c r="G544" s="32"/>
      <c r="H544" s="32"/>
      <c r="I544" s="32"/>
      <c r="J544" s="32"/>
    </row>
    <row r="545" hidden="1">
      <c r="A545" s="69"/>
      <c r="B545" s="70"/>
      <c r="C545" s="68"/>
      <c r="D545" s="29"/>
      <c r="E545" s="32"/>
      <c r="F545" s="32"/>
      <c r="G545" s="32"/>
      <c r="H545" s="32"/>
      <c r="I545" s="32"/>
      <c r="J545" s="32"/>
    </row>
    <row r="546" hidden="1">
      <c r="A546" s="69"/>
      <c r="B546" s="70"/>
      <c r="C546" s="68"/>
      <c r="D546" s="29"/>
      <c r="E546" s="32"/>
      <c r="F546" s="32"/>
      <c r="G546" s="32"/>
      <c r="H546" s="32"/>
      <c r="I546" s="32"/>
      <c r="J546" s="32"/>
    </row>
    <row r="547" hidden="1">
      <c r="A547" s="69"/>
      <c r="B547" s="70"/>
      <c r="C547" s="68"/>
      <c r="D547" s="29"/>
      <c r="E547" s="32"/>
      <c r="F547" s="32"/>
      <c r="G547" s="32"/>
      <c r="H547" s="32"/>
      <c r="I547" s="32"/>
      <c r="J547" s="32"/>
    </row>
    <row r="548" hidden="1">
      <c r="A548" s="69"/>
      <c r="B548" s="70"/>
      <c r="C548" s="68"/>
      <c r="D548" s="29"/>
      <c r="E548" s="32"/>
      <c r="F548" s="32"/>
      <c r="G548" s="32"/>
      <c r="H548" s="32"/>
      <c r="I548" s="32"/>
      <c r="J548" s="32"/>
    </row>
    <row r="549" hidden="1">
      <c r="A549" s="69"/>
      <c r="B549" s="70"/>
      <c r="C549" s="68"/>
      <c r="D549" s="29"/>
      <c r="E549" s="32"/>
      <c r="F549" s="32"/>
      <c r="G549" s="32"/>
      <c r="H549" s="32"/>
      <c r="I549" s="32"/>
      <c r="J549" s="32"/>
    </row>
    <row r="550" hidden="1">
      <c r="A550" s="69"/>
      <c r="B550" s="70"/>
      <c r="C550" s="68"/>
      <c r="D550" s="29"/>
      <c r="E550" s="32"/>
      <c r="F550" s="32"/>
      <c r="G550" s="32"/>
      <c r="H550" s="32"/>
      <c r="I550" s="32"/>
      <c r="J550" s="32"/>
    </row>
    <row r="551" hidden="1">
      <c r="A551" s="69"/>
      <c r="B551" s="70"/>
      <c r="C551" s="68"/>
      <c r="D551" s="29"/>
      <c r="E551" s="32"/>
      <c r="F551" s="32"/>
      <c r="G551" s="32"/>
      <c r="H551" s="32"/>
      <c r="I551" s="32"/>
      <c r="J551" s="32"/>
    </row>
    <row r="552" hidden="1">
      <c r="A552" s="69"/>
      <c r="B552" s="70"/>
      <c r="C552" s="68"/>
      <c r="D552" s="29"/>
      <c r="E552" s="32"/>
      <c r="F552" s="32"/>
      <c r="G552" s="32"/>
      <c r="H552" s="32"/>
      <c r="I552" s="32"/>
      <c r="J552" s="32"/>
    </row>
    <row r="553" hidden="1">
      <c r="A553" s="69"/>
      <c r="B553" s="70"/>
      <c r="C553" s="68"/>
      <c r="D553" s="29"/>
      <c r="E553" s="32"/>
      <c r="F553" s="32"/>
      <c r="G553" s="32"/>
      <c r="H553" s="32"/>
      <c r="I553" s="32"/>
      <c r="J553" s="32"/>
    </row>
    <row r="554" hidden="1">
      <c r="A554" s="69"/>
      <c r="B554" s="70"/>
      <c r="C554" s="68"/>
      <c r="D554" s="29"/>
      <c r="E554" s="32"/>
      <c r="F554" s="32"/>
      <c r="G554" s="32"/>
      <c r="H554" s="32"/>
      <c r="I554" s="32"/>
      <c r="J554" s="32"/>
    </row>
    <row r="555" hidden="1">
      <c r="A555" s="69"/>
      <c r="B555" s="70"/>
      <c r="C555" s="68"/>
      <c r="D555" s="29"/>
      <c r="E555" s="32"/>
      <c r="F555" s="32"/>
      <c r="G555" s="32"/>
      <c r="H555" s="32"/>
      <c r="I555" s="32"/>
      <c r="J555" s="32"/>
    </row>
    <row r="556" hidden="1">
      <c r="A556" s="69"/>
      <c r="B556" s="70"/>
      <c r="C556" s="68"/>
      <c r="D556" s="29"/>
      <c r="E556" s="32"/>
      <c r="F556" s="32"/>
      <c r="G556" s="32"/>
      <c r="H556" s="32"/>
      <c r="I556" s="32"/>
      <c r="J556" s="32"/>
    </row>
    <row r="557" hidden="1">
      <c r="A557" s="69"/>
      <c r="B557" s="70"/>
      <c r="C557" s="68"/>
      <c r="D557" s="29"/>
      <c r="E557" s="32"/>
      <c r="F557" s="32"/>
      <c r="G557" s="32"/>
      <c r="H557" s="32"/>
      <c r="I557" s="32"/>
      <c r="J557" s="32"/>
    </row>
    <row r="558" hidden="1">
      <c r="A558" s="69"/>
      <c r="B558" s="70"/>
      <c r="C558" s="68"/>
      <c r="D558" s="29"/>
      <c r="E558" s="32"/>
      <c r="F558" s="32"/>
      <c r="G558" s="32"/>
      <c r="H558" s="32"/>
      <c r="I558" s="32"/>
      <c r="J558" s="32"/>
    </row>
    <row r="559" hidden="1">
      <c r="A559" s="69"/>
      <c r="B559" s="70"/>
      <c r="C559" s="68"/>
      <c r="D559" s="29"/>
      <c r="E559" s="32"/>
      <c r="F559" s="32"/>
      <c r="G559" s="32"/>
      <c r="H559" s="32"/>
      <c r="I559" s="32"/>
      <c r="J559" s="32"/>
    </row>
    <row r="560" hidden="1">
      <c r="A560" s="69"/>
      <c r="B560" s="70"/>
      <c r="C560" s="68"/>
      <c r="D560" s="29"/>
      <c r="E560" s="32"/>
      <c r="F560" s="32"/>
      <c r="G560" s="32"/>
      <c r="H560" s="32"/>
      <c r="I560" s="32"/>
      <c r="J560" s="32"/>
    </row>
    <row r="561" hidden="1">
      <c r="A561" s="69"/>
      <c r="B561" s="70"/>
      <c r="C561" s="68"/>
      <c r="D561" s="29"/>
      <c r="E561" s="32"/>
      <c r="F561" s="32"/>
      <c r="G561" s="32"/>
      <c r="H561" s="32"/>
      <c r="I561" s="32"/>
      <c r="J561" s="32"/>
    </row>
    <row r="562" hidden="1">
      <c r="A562" s="69"/>
      <c r="B562" s="70"/>
      <c r="C562" s="68"/>
      <c r="D562" s="29"/>
      <c r="E562" s="32"/>
      <c r="F562" s="32"/>
      <c r="G562" s="32"/>
      <c r="H562" s="32"/>
      <c r="I562" s="32"/>
      <c r="J562" s="32"/>
    </row>
    <row r="563" hidden="1">
      <c r="A563" s="69"/>
      <c r="B563" s="70"/>
      <c r="C563" s="68"/>
      <c r="D563" s="29"/>
      <c r="E563" s="32"/>
      <c r="F563" s="32"/>
      <c r="G563" s="32"/>
      <c r="H563" s="32"/>
      <c r="I563" s="32"/>
      <c r="J563" s="32"/>
    </row>
    <row r="564" hidden="1">
      <c r="A564" s="69"/>
      <c r="B564" s="70"/>
      <c r="C564" s="68"/>
      <c r="D564" s="29"/>
      <c r="E564" s="32"/>
      <c r="F564" s="32"/>
      <c r="G564" s="32"/>
      <c r="H564" s="32"/>
      <c r="I564" s="32"/>
      <c r="J564" s="32"/>
    </row>
    <row r="565" hidden="1">
      <c r="A565" s="69"/>
      <c r="B565" s="70"/>
      <c r="C565" s="68"/>
      <c r="D565" s="29"/>
      <c r="E565" s="32"/>
      <c r="F565" s="32"/>
      <c r="G565" s="32"/>
      <c r="H565" s="32"/>
      <c r="I565" s="32"/>
      <c r="J565" s="32"/>
    </row>
    <row r="566" hidden="1">
      <c r="A566" s="69"/>
      <c r="B566" s="70"/>
      <c r="C566" s="68"/>
      <c r="D566" s="29"/>
      <c r="E566" s="32"/>
      <c r="F566" s="32"/>
      <c r="G566" s="32"/>
      <c r="H566" s="32"/>
      <c r="I566" s="32"/>
      <c r="J566" s="32"/>
    </row>
    <row r="567" hidden="1">
      <c r="A567" s="69"/>
      <c r="B567" s="70"/>
      <c r="C567" s="68"/>
      <c r="D567" s="29"/>
      <c r="E567" s="32"/>
      <c r="F567" s="32"/>
      <c r="G567" s="32"/>
      <c r="H567" s="32"/>
      <c r="I567" s="32"/>
      <c r="J567" s="32"/>
    </row>
    <row r="568" hidden="1">
      <c r="A568" s="69"/>
      <c r="B568" s="70"/>
      <c r="C568" s="68"/>
      <c r="D568" s="29"/>
      <c r="E568" s="32"/>
      <c r="F568" s="32"/>
      <c r="G568" s="32"/>
      <c r="H568" s="32"/>
      <c r="I568" s="32"/>
      <c r="J568" s="32"/>
    </row>
    <row r="569" hidden="1">
      <c r="A569" s="69"/>
      <c r="B569" s="70"/>
      <c r="C569" s="68"/>
      <c r="D569" s="29"/>
      <c r="E569" s="32"/>
      <c r="F569" s="32"/>
      <c r="G569" s="32"/>
      <c r="H569" s="32"/>
      <c r="I569" s="32"/>
      <c r="J569" s="32"/>
    </row>
    <row r="570" hidden="1">
      <c r="A570" s="69"/>
      <c r="B570" s="70"/>
      <c r="C570" s="68"/>
      <c r="D570" s="29"/>
      <c r="E570" s="32"/>
      <c r="F570" s="32"/>
      <c r="G570" s="32"/>
      <c r="H570" s="32"/>
      <c r="I570" s="32"/>
      <c r="J570" s="32"/>
    </row>
    <row r="571" hidden="1">
      <c r="A571" s="69"/>
      <c r="B571" s="70"/>
      <c r="C571" s="68"/>
      <c r="D571" s="29"/>
      <c r="E571" s="32"/>
      <c r="F571" s="32"/>
      <c r="G571" s="32"/>
      <c r="H571" s="32"/>
      <c r="I571" s="32"/>
      <c r="J571" s="32"/>
    </row>
    <row r="572" hidden="1">
      <c r="A572" s="69"/>
      <c r="B572" s="70"/>
      <c r="C572" s="68"/>
      <c r="D572" s="29"/>
      <c r="E572" s="32"/>
      <c r="F572" s="32"/>
      <c r="G572" s="32"/>
      <c r="H572" s="32"/>
      <c r="I572" s="32"/>
      <c r="J572" s="32"/>
    </row>
    <row r="573" hidden="1">
      <c r="A573" s="69"/>
      <c r="B573" s="70"/>
      <c r="C573" s="68"/>
      <c r="D573" s="29"/>
      <c r="E573" s="32"/>
      <c r="F573" s="32"/>
      <c r="G573" s="32"/>
      <c r="H573" s="32"/>
      <c r="I573" s="32"/>
      <c r="J573" s="32"/>
    </row>
    <row r="574" hidden="1">
      <c r="A574" s="69"/>
      <c r="B574" s="70"/>
      <c r="C574" s="68"/>
      <c r="D574" s="29"/>
      <c r="E574" s="32"/>
      <c r="F574" s="32"/>
      <c r="G574" s="32"/>
      <c r="H574" s="32"/>
      <c r="I574" s="32"/>
      <c r="J574" s="32"/>
    </row>
    <row r="575" hidden="1">
      <c r="A575" s="69"/>
      <c r="B575" s="70"/>
      <c r="C575" s="68"/>
      <c r="D575" s="29"/>
      <c r="E575" s="32"/>
      <c r="F575" s="32"/>
      <c r="G575" s="32"/>
      <c r="H575" s="32"/>
      <c r="I575" s="32"/>
      <c r="J575" s="32"/>
    </row>
    <row r="576" hidden="1">
      <c r="A576" s="69"/>
      <c r="B576" s="70"/>
      <c r="C576" s="68"/>
      <c r="D576" s="29"/>
      <c r="E576" s="32"/>
      <c r="F576" s="32"/>
      <c r="G576" s="32"/>
      <c r="H576" s="32"/>
      <c r="I576" s="32"/>
      <c r="J576" s="32"/>
    </row>
    <row r="577" hidden="1">
      <c r="A577" s="69"/>
      <c r="B577" s="70"/>
      <c r="C577" s="68"/>
      <c r="D577" s="29"/>
      <c r="E577" s="32"/>
      <c r="F577" s="32"/>
      <c r="G577" s="32"/>
      <c r="H577" s="32"/>
      <c r="I577" s="32"/>
      <c r="J577" s="32"/>
    </row>
    <row r="578" hidden="1">
      <c r="A578" s="69"/>
      <c r="B578" s="70"/>
      <c r="C578" s="68"/>
      <c r="D578" s="29"/>
      <c r="E578" s="32"/>
      <c r="F578" s="32"/>
      <c r="G578" s="32"/>
      <c r="H578" s="32"/>
      <c r="I578" s="32"/>
      <c r="J578" s="32"/>
    </row>
    <row r="579" hidden="1">
      <c r="A579" s="69"/>
      <c r="B579" s="70"/>
      <c r="C579" s="68"/>
      <c r="D579" s="29"/>
      <c r="E579" s="32"/>
      <c r="F579" s="32"/>
      <c r="G579" s="32"/>
      <c r="H579" s="32"/>
      <c r="I579" s="32"/>
      <c r="J579" s="32"/>
    </row>
    <row r="580" hidden="1">
      <c r="A580" s="69"/>
      <c r="B580" s="70"/>
      <c r="C580" s="68"/>
      <c r="D580" s="29"/>
      <c r="E580" s="32"/>
      <c r="F580" s="32"/>
      <c r="G580" s="32"/>
      <c r="H580" s="32"/>
      <c r="I580" s="32"/>
      <c r="J580" s="32"/>
    </row>
    <row r="581" hidden="1">
      <c r="A581" s="69"/>
      <c r="B581" s="70"/>
      <c r="C581" s="68"/>
      <c r="D581" s="29"/>
      <c r="E581" s="32"/>
      <c r="F581" s="32"/>
      <c r="G581" s="32"/>
      <c r="H581" s="32"/>
      <c r="I581" s="32"/>
      <c r="J581" s="32"/>
    </row>
    <row r="582" hidden="1">
      <c r="A582" s="69"/>
      <c r="B582" s="70"/>
      <c r="C582" s="68"/>
      <c r="D582" s="29"/>
      <c r="E582" s="32"/>
      <c r="F582" s="32"/>
      <c r="G582" s="32"/>
      <c r="H582" s="32"/>
      <c r="I582" s="32"/>
      <c r="J582" s="32"/>
    </row>
    <row r="583" hidden="1">
      <c r="A583" s="69"/>
      <c r="B583" s="70"/>
      <c r="C583" s="68"/>
      <c r="D583" s="29"/>
      <c r="E583" s="32"/>
      <c r="F583" s="32"/>
      <c r="G583" s="32"/>
      <c r="H583" s="32"/>
      <c r="I583" s="32"/>
      <c r="J583" s="32"/>
    </row>
    <row r="584" hidden="1">
      <c r="A584" s="69"/>
      <c r="B584" s="70"/>
      <c r="C584" s="68"/>
      <c r="D584" s="29"/>
      <c r="E584" s="32"/>
      <c r="F584" s="32"/>
      <c r="G584" s="32"/>
      <c r="H584" s="32"/>
      <c r="I584" s="32"/>
      <c r="J584" s="32"/>
    </row>
    <row r="585" hidden="1">
      <c r="A585" s="69"/>
      <c r="B585" s="70"/>
      <c r="C585" s="68"/>
      <c r="D585" s="29"/>
      <c r="E585" s="32"/>
      <c r="F585" s="32"/>
      <c r="G585" s="32"/>
      <c r="H585" s="32"/>
      <c r="I585" s="32"/>
      <c r="J585" s="32"/>
    </row>
    <row r="586" hidden="1">
      <c r="A586" s="69"/>
      <c r="B586" s="70"/>
      <c r="C586" s="68"/>
      <c r="D586" s="29"/>
      <c r="E586" s="32"/>
      <c r="F586" s="32"/>
      <c r="G586" s="32"/>
      <c r="H586" s="32"/>
      <c r="I586" s="32"/>
      <c r="J586" s="32"/>
    </row>
    <row r="587" hidden="1">
      <c r="A587" s="69"/>
      <c r="B587" s="70"/>
      <c r="C587" s="68"/>
      <c r="D587" s="29"/>
      <c r="E587" s="32"/>
      <c r="F587" s="32"/>
      <c r="G587" s="32"/>
      <c r="H587" s="32"/>
      <c r="I587" s="32"/>
      <c r="J587" s="32"/>
    </row>
    <row r="588" hidden="1">
      <c r="A588" s="69"/>
      <c r="B588" s="70"/>
      <c r="C588" s="68"/>
      <c r="D588" s="29"/>
      <c r="E588" s="32"/>
      <c r="F588" s="32"/>
      <c r="G588" s="32"/>
      <c r="H588" s="32"/>
      <c r="I588" s="32"/>
      <c r="J588" s="32"/>
    </row>
    <row r="589" hidden="1">
      <c r="A589" s="69"/>
      <c r="B589" s="70"/>
      <c r="C589" s="68"/>
      <c r="D589" s="29"/>
      <c r="E589" s="32"/>
      <c r="F589" s="32"/>
      <c r="G589" s="32"/>
      <c r="H589" s="32"/>
      <c r="I589" s="32"/>
      <c r="J589" s="32"/>
    </row>
    <row r="590" hidden="1">
      <c r="A590" s="69"/>
      <c r="B590" s="70"/>
      <c r="C590" s="68"/>
      <c r="D590" s="29"/>
      <c r="E590" s="32"/>
      <c r="F590" s="32"/>
      <c r="G590" s="32"/>
      <c r="H590" s="32"/>
      <c r="I590" s="32"/>
      <c r="J590" s="32"/>
    </row>
    <row r="591" hidden="1">
      <c r="A591" s="69"/>
      <c r="B591" s="70"/>
      <c r="C591" s="68"/>
      <c r="D591" s="29"/>
      <c r="E591" s="32"/>
      <c r="F591" s="32"/>
      <c r="G591" s="32"/>
      <c r="H591" s="32"/>
      <c r="I591" s="32"/>
      <c r="J591" s="32"/>
    </row>
    <row r="592" hidden="1">
      <c r="A592" s="69"/>
      <c r="B592" s="70"/>
      <c r="C592" s="68"/>
      <c r="D592" s="29"/>
      <c r="E592" s="32"/>
      <c r="F592" s="32"/>
      <c r="G592" s="32"/>
      <c r="H592" s="32"/>
      <c r="I592" s="32"/>
      <c r="J592" s="32"/>
    </row>
    <row r="593" hidden="1">
      <c r="A593" s="69"/>
      <c r="B593" s="70"/>
      <c r="C593" s="68"/>
      <c r="D593" s="29"/>
      <c r="E593" s="32"/>
      <c r="F593" s="32"/>
      <c r="G593" s="32"/>
      <c r="H593" s="32"/>
      <c r="I593" s="32"/>
      <c r="J593" s="32"/>
    </row>
    <row r="594" hidden="1">
      <c r="A594" s="69"/>
      <c r="B594" s="70"/>
      <c r="C594" s="68"/>
      <c r="D594" s="29"/>
      <c r="E594" s="32"/>
      <c r="F594" s="32"/>
      <c r="G594" s="32"/>
      <c r="H594" s="32"/>
      <c r="I594" s="32"/>
      <c r="J594" s="32"/>
    </row>
    <row r="595" hidden="1">
      <c r="A595" s="69"/>
      <c r="B595" s="70"/>
      <c r="C595" s="68"/>
      <c r="D595" s="29"/>
      <c r="E595" s="32"/>
      <c r="F595" s="32"/>
      <c r="G595" s="32"/>
      <c r="H595" s="32"/>
      <c r="I595" s="32"/>
      <c r="J595" s="32"/>
    </row>
    <row r="596" hidden="1">
      <c r="A596" s="69"/>
      <c r="B596" s="70"/>
      <c r="C596" s="68"/>
      <c r="D596" s="29"/>
      <c r="E596" s="32"/>
      <c r="F596" s="32"/>
      <c r="G596" s="32"/>
      <c r="H596" s="32"/>
      <c r="I596" s="32"/>
      <c r="J596" s="32"/>
    </row>
    <row r="597" hidden="1">
      <c r="A597" s="69"/>
      <c r="B597" s="70"/>
      <c r="C597" s="68"/>
      <c r="D597" s="29"/>
      <c r="E597" s="32"/>
      <c r="F597" s="32"/>
      <c r="G597" s="32"/>
      <c r="H597" s="32"/>
      <c r="I597" s="32"/>
      <c r="J597" s="32"/>
    </row>
    <row r="598" hidden="1">
      <c r="A598" s="69"/>
      <c r="B598" s="70"/>
      <c r="C598" s="68"/>
      <c r="D598" s="29"/>
      <c r="E598" s="32"/>
      <c r="F598" s="32"/>
      <c r="G598" s="32"/>
      <c r="H598" s="32"/>
      <c r="I598" s="32"/>
      <c r="J598" s="32"/>
    </row>
    <row r="599" hidden="1">
      <c r="A599" s="69"/>
      <c r="B599" s="70"/>
      <c r="C599" s="68"/>
      <c r="D599" s="29"/>
      <c r="E599" s="32"/>
      <c r="F599" s="32"/>
      <c r="G599" s="32"/>
      <c r="H599" s="32"/>
      <c r="I599" s="32"/>
      <c r="J599" s="32"/>
    </row>
    <row r="600" hidden="1">
      <c r="A600" s="69"/>
      <c r="B600" s="70"/>
      <c r="C600" s="68"/>
      <c r="D600" s="29"/>
      <c r="E600" s="32"/>
      <c r="F600" s="32"/>
      <c r="G600" s="32"/>
      <c r="H600" s="32"/>
      <c r="I600" s="32"/>
      <c r="J600" s="32"/>
    </row>
    <row r="601" hidden="1">
      <c r="A601" s="69"/>
      <c r="B601" s="70"/>
      <c r="C601" s="68"/>
      <c r="D601" s="29"/>
      <c r="E601" s="32"/>
      <c r="F601" s="32"/>
      <c r="G601" s="32"/>
      <c r="H601" s="32"/>
      <c r="I601" s="32"/>
      <c r="J601" s="32"/>
    </row>
    <row r="602" hidden="1">
      <c r="A602" s="69"/>
      <c r="B602" s="70"/>
      <c r="C602" s="68"/>
      <c r="D602" s="29"/>
      <c r="E602" s="32"/>
      <c r="F602" s="32"/>
      <c r="G602" s="32"/>
      <c r="H602" s="32"/>
      <c r="I602" s="32"/>
      <c r="J602" s="32"/>
    </row>
    <row r="603" hidden="1">
      <c r="A603" s="69"/>
      <c r="B603" s="70"/>
      <c r="C603" s="68"/>
      <c r="D603" s="29"/>
      <c r="E603" s="32"/>
      <c r="F603" s="32"/>
      <c r="G603" s="32"/>
      <c r="H603" s="32"/>
      <c r="I603" s="32"/>
      <c r="J603" s="32"/>
    </row>
    <row r="604" hidden="1">
      <c r="A604" s="69"/>
      <c r="B604" s="70"/>
      <c r="C604" s="68"/>
      <c r="D604" s="29"/>
      <c r="E604" s="32"/>
      <c r="F604" s="32"/>
      <c r="G604" s="32"/>
      <c r="H604" s="32"/>
      <c r="I604" s="32"/>
      <c r="J604" s="32"/>
    </row>
    <row r="605" hidden="1">
      <c r="A605" s="69"/>
      <c r="B605" s="70"/>
      <c r="C605" s="68"/>
      <c r="D605" s="29"/>
      <c r="E605" s="32"/>
      <c r="F605" s="32"/>
      <c r="G605" s="32"/>
      <c r="H605" s="32"/>
      <c r="I605" s="32"/>
      <c r="J605" s="32"/>
    </row>
    <row r="606" hidden="1">
      <c r="A606" s="69"/>
      <c r="B606" s="70"/>
      <c r="C606" s="68"/>
      <c r="D606" s="29"/>
      <c r="E606" s="32"/>
      <c r="F606" s="32"/>
      <c r="G606" s="32"/>
      <c r="H606" s="32"/>
      <c r="I606" s="32"/>
      <c r="J606" s="32"/>
    </row>
    <row r="607" hidden="1">
      <c r="A607" s="69"/>
      <c r="B607" s="70"/>
      <c r="C607" s="68"/>
      <c r="D607" s="29"/>
      <c r="E607" s="32"/>
      <c r="F607" s="32"/>
      <c r="G607" s="32"/>
      <c r="H607" s="32"/>
      <c r="I607" s="32"/>
      <c r="J607" s="32"/>
    </row>
    <row r="608" hidden="1">
      <c r="A608" s="69"/>
      <c r="B608" s="70"/>
      <c r="C608" s="68"/>
      <c r="D608" s="29"/>
      <c r="E608" s="32"/>
      <c r="F608" s="32"/>
      <c r="G608" s="32"/>
      <c r="H608" s="32"/>
      <c r="I608" s="32"/>
      <c r="J608" s="32"/>
    </row>
    <row r="609" hidden="1">
      <c r="A609" s="69"/>
      <c r="B609" s="70"/>
      <c r="C609" s="68"/>
      <c r="D609" s="29"/>
      <c r="E609" s="32"/>
      <c r="F609" s="32"/>
      <c r="G609" s="32"/>
      <c r="H609" s="32"/>
      <c r="I609" s="32"/>
      <c r="J609" s="32"/>
    </row>
    <row r="610" hidden="1">
      <c r="A610" s="69"/>
      <c r="B610" s="70"/>
      <c r="C610" s="68"/>
      <c r="D610" s="29"/>
      <c r="E610" s="32"/>
      <c r="F610" s="32"/>
      <c r="G610" s="32"/>
      <c r="H610" s="32"/>
      <c r="I610" s="32"/>
      <c r="J610" s="32"/>
    </row>
    <row r="611" hidden="1">
      <c r="A611" s="69"/>
      <c r="B611" s="70"/>
      <c r="C611" s="68"/>
      <c r="D611" s="29"/>
      <c r="E611" s="32"/>
      <c r="F611" s="32"/>
      <c r="G611" s="32"/>
      <c r="H611" s="32"/>
      <c r="I611" s="32"/>
      <c r="J611" s="32"/>
    </row>
    <row r="612" hidden="1">
      <c r="A612" s="69"/>
      <c r="B612" s="70"/>
      <c r="C612" s="68"/>
      <c r="D612" s="29"/>
      <c r="E612" s="32"/>
      <c r="F612" s="32"/>
      <c r="G612" s="32"/>
      <c r="H612" s="32"/>
      <c r="I612" s="32"/>
      <c r="J612" s="32"/>
    </row>
    <row r="613" hidden="1">
      <c r="A613" s="69"/>
      <c r="B613" s="70"/>
      <c r="C613" s="68"/>
      <c r="D613" s="29"/>
      <c r="E613" s="32"/>
      <c r="F613" s="32"/>
      <c r="G613" s="32"/>
      <c r="H613" s="32"/>
      <c r="I613" s="32"/>
      <c r="J613" s="32"/>
    </row>
    <row r="614" hidden="1">
      <c r="A614" s="69"/>
      <c r="B614" s="70"/>
      <c r="C614" s="68"/>
      <c r="D614" s="29"/>
      <c r="E614" s="32"/>
      <c r="F614" s="32"/>
      <c r="G614" s="32"/>
      <c r="H614" s="32"/>
      <c r="I614" s="32"/>
      <c r="J614" s="32"/>
    </row>
    <row r="615" hidden="1">
      <c r="A615" s="69"/>
      <c r="B615" s="70"/>
      <c r="C615" s="68"/>
      <c r="D615" s="29"/>
      <c r="E615" s="32"/>
      <c r="F615" s="32"/>
      <c r="G615" s="32"/>
      <c r="H615" s="32"/>
      <c r="I615" s="32"/>
      <c r="J615" s="32"/>
    </row>
    <row r="616" hidden="1">
      <c r="A616" s="69"/>
      <c r="B616" s="70"/>
      <c r="C616" s="68"/>
      <c r="D616" s="29"/>
      <c r="E616" s="32"/>
      <c r="F616" s="32"/>
      <c r="G616" s="32"/>
      <c r="H616" s="32"/>
      <c r="I616" s="32"/>
      <c r="J616" s="32"/>
    </row>
    <row r="617" hidden="1">
      <c r="A617" s="69"/>
      <c r="B617" s="70"/>
      <c r="C617" s="68"/>
      <c r="D617" s="29"/>
      <c r="E617" s="32"/>
      <c r="F617" s="32"/>
      <c r="G617" s="32"/>
      <c r="H617" s="32"/>
      <c r="I617" s="32"/>
      <c r="J617" s="32"/>
    </row>
    <row r="618" hidden="1">
      <c r="A618" s="69"/>
      <c r="B618" s="70"/>
      <c r="C618" s="68"/>
      <c r="D618" s="29"/>
      <c r="E618" s="32"/>
      <c r="F618" s="32"/>
      <c r="G618" s="32"/>
      <c r="H618" s="32"/>
      <c r="I618" s="32"/>
      <c r="J618" s="32"/>
    </row>
    <row r="619" hidden="1">
      <c r="A619" s="69"/>
      <c r="B619" s="70"/>
      <c r="C619" s="68"/>
      <c r="D619" s="29"/>
      <c r="E619" s="32"/>
      <c r="F619" s="32"/>
      <c r="G619" s="32"/>
      <c r="H619" s="32"/>
      <c r="I619" s="32"/>
      <c r="J619" s="32"/>
    </row>
    <row r="620" hidden="1">
      <c r="A620" s="69"/>
      <c r="B620" s="70"/>
      <c r="C620" s="68"/>
      <c r="D620" s="29"/>
      <c r="E620" s="32"/>
      <c r="F620" s="32"/>
      <c r="G620" s="32"/>
      <c r="H620" s="32"/>
      <c r="I620" s="32"/>
      <c r="J620" s="32"/>
    </row>
    <row r="621" hidden="1">
      <c r="A621" s="69"/>
      <c r="B621" s="70"/>
      <c r="C621" s="68"/>
      <c r="D621" s="29"/>
      <c r="E621" s="32"/>
      <c r="F621" s="32"/>
      <c r="G621" s="32"/>
      <c r="H621" s="32"/>
      <c r="I621" s="32"/>
      <c r="J621" s="32"/>
    </row>
    <row r="622" hidden="1">
      <c r="A622" s="69"/>
      <c r="B622" s="70"/>
      <c r="C622" s="68"/>
      <c r="D622" s="29"/>
      <c r="E622" s="32"/>
      <c r="F622" s="32"/>
      <c r="G622" s="32"/>
      <c r="H622" s="32"/>
      <c r="I622" s="32"/>
      <c r="J622" s="32"/>
    </row>
    <row r="623" hidden="1">
      <c r="A623" s="69"/>
      <c r="B623" s="70"/>
      <c r="C623" s="68"/>
      <c r="D623" s="29"/>
      <c r="E623" s="32"/>
      <c r="F623" s="32"/>
      <c r="G623" s="32"/>
      <c r="H623" s="32"/>
      <c r="I623" s="32"/>
      <c r="J623" s="32"/>
    </row>
    <row r="624" hidden="1">
      <c r="A624" s="69"/>
      <c r="B624" s="70"/>
      <c r="C624" s="68"/>
      <c r="D624" s="29"/>
      <c r="E624" s="32"/>
      <c r="F624" s="32"/>
      <c r="G624" s="32"/>
      <c r="H624" s="32"/>
      <c r="I624" s="32"/>
      <c r="J624" s="32"/>
    </row>
    <row r="625" hidden="1">
      <c r="A625" s="69"/>
      <c r="B625" s="70"/>
      <c r="C625" s="68"/>
      <c r="D625" s="29"/>
      <c r="E625" s="32"/>
      <c r="F625" s="32"/>
      <c r="G625" s="32"/>
      <c r="H625" s="32"/>
      <c r="I625" s="32"/>
      <c r="J625" s="32"/>
    </row>
    <row r="626" hidden="1">
      <c r="A626" s="69"/>
      <c r="B626" s="70"/>
      <c r="C626" s="68"/>
      <c r="D626" s="29"/>
      <c r="E626" s="32"/>
      <c r="F626" s="32"/>
      <c r="G626" s="32"/>
      <c r="H626" s="32"/>
      <c r="I626" s="32"/>
      <c r="J626" s="32"/>
    </row>
    <row r="627" hidden="1">
      <c r="A627" s="69"/>
      <c r="B627" s="70"/>
      <c r="C627" s="68"/>
      <c r="D627" s="29"/>
      <c r="E627" s="32"/>
      <c r="F627" s="32"/>
      <c r="G627" s="32"/>
      <c r="H627" s="32"/>
      <c r="I627" s="32"/>
      <c r="J627" s="32"/>
    </row>
    <row r="628" hidden="1">
      <c r="A628" s="69"/>
      <c r="B628" s="70"/>
      <c r="C628" s="68"/>
      <c r="D628" s="29"/>
      <c r="E628" s="32"/>
      <c r="F628" s="32"/>
      <c r="G628" s="32"/>
      <c r="H628" s="32"/>
      <c r="I628" s="32"/>
      <c r="J628" s="32"/>
    </row>
    <row r="629" hidden="1">
      <c r="A629" s="69"/>
      <c r="B629" s="70"/>
      <c r="C629" s="68"/>
      <c r="D629" s="29"/>
      <c r="E629" s="32"/>
      <c r="F629" s="32"/>
      <c r="G629" s="32"/>
      <c r="H629" s="32"/>
      <c r="I629" s="32"/>
      <c r="J629" s="32"/>
    </row>
    <row r="630" hidden="1">
      <c r="A630" s="69"/>
      <c r="B630" s="70"/>
      <c r="C630" s="68"/>
      <c r="D630" s="29"/>
      <c r="E630" s="32"/>
      <c r="F630" s="32"/>
      <c r="G630" s="32"/>
      <c r="H630" s="32"/>
      <c r="I630" s="32"/>
      <c r="J630" s="32"/>
    </row>
    <row r="631" hidden="1">
      <c r="A631" s="69"/>
      <c r="B631" s="70"/>
      <c r="C631" s="68"/>
      <c r="D631" s="29"/>
      <c r="E631" s="32"/>
      <c r="F631" s="32"/>
      <c r="G631" s="32"/>
      <c r="H631" s="32"/>
      <c r="I631" s="32"/>
      <c r="J631" s="32"/>
    </row>
    <row r="632" hidden="1">
      <c r="A632" s="69"/>
      <c r="B632" s="70"/>
      <c r="C632" s="68"/>
      <c r="D632" s="29"/>
      <c r="E632" s="32"/>
      <c r="F632" s="32"/>
      <c r="G632" s="32"/>
      <c r="H632" s="32"/>
      <c r="I632" s="32"/>
      <c r="J632" s="32"/>
    </row>
    <row r="633" hidden="1">
      <c r="A633" s="69"/>
      <c r="B633" s="70"/>
      <c r="C633" s="68"/>
      <c r="D633" s="29"/>
      <c r="E633" s="32"/>
      <c r="F633" s="32"/>
      <c r="G633" s="32"/>
      <c r="H633" s="32"/>
      <c r="I633" s="32"/>
      <c r="J633" s="32"/>
    </row>
    <row r="634" hidden="1">
      <c r="A634" s="69"/>
      <c r="B634" s="70"/>
      <c r="C634" s="68"/>
      <c r="D634" s="29"/>
      <c r="E634" s="32"/>
      <c r="F634" s="32"/>
      <c r="G634" s="32"/>
      <c r="H634" s="32"/>
      <c r="I634" s="32"/>
      <c r="J634" s="32"/>
    </row>
    <row r="635" hidden="1">
      <c r="A635" s="69"/>
      <c r="B635" s="70"/>
      <c r="C635" s="68"/>
      <c r="D635" s="29"/>
      <c r="E635" s="32"/>
      <c r="F635" s="32"/>
      <c r="G635" s="32"/>
      <c r="H635" s="32"/>
      <c r="I635" s="32"/>
      <c r="J635" s="32"/>
    </row>
    <row r="636" hidden="1">
      <c r="A636" s="69"/>
      <c r="B636" s="70"/>
      <c r="C636" s="68"/>
      <c r="D636" s="29"/>
      <c r="E636" s="32"/>
      <c r="F636" s="32"/>
      <c r="G636" s="32"/>
      <c r="H636" s="32"/>
      <c r="I636" s="32"/>
      <c r="J636" s="32"/>
    </row>
    <row r="637" hidden="1">
      <c r="A637" s="69"/>
      <c r="B637" s="70"/>
      <c r="C637" s="68"/>
      <c r="D637" s="29"/>
      <c r="E637" s="32"/>
      <c r="F637" s="32"/>
      <c r="G637" s="32"/>
      <c r="H637" s="32"/>
      <c r="I637" s="32"/>
      <c r="J637" s="32"/>
    </row>
    <row r="638" hidden="1">
      <c r="A638" s="69"/>
      <c r="B638" s="70"/>
      <c r="C638" s="68"/>
      <c r="D638" s="29"/>
      <c r="E638" s="32"/>
      <c r="F638" s="32"/>
      <c r="G638" s="32"/>
      <c r="H638" s="32"/>
      <c r="I638" s="32"/>
      <c r="J638" s="32"/>
    </row>
    <row r="639" hidden="1">
      <c r="A639" s="69"/>
      <c r="B639" s="70"/>
      <c r="C639" s="68"/>
      <c r="D639" s="29"/>
      <c r="E639" s="32"/>
      <c r="F639" s="32"/>
      <c r="G639" s="32"/>
      <c r="H639" s="32"/>
      <c r="I639" s="32"/>
      <c r="J639" s="32"/>
    </row>
    <row r="640" hidden="1">
      <c r="A640" s="69"/>
      <c r="B640" s="70"/>
      <c r="C640" s="68"/>
      <c r="D640" s="29"/>
      <c r="E640" s="32"/>
      <c r="F640" s="32"/>
      <c r="G640" s="32"/>
      <c r="H640" s="32"/>
      <c r="I640" s="32"/>
      <c r="J640" s="32"/>
    </row>
    <row r="641" hidden="1">
      <c r="A641" s="69"/>
      <c r="B641" s="70"/>
      <c r="C641" s="68"/>
      <c r="D641" s="29"/>
      <c r="E641" s="32"/>
      <c r="F641" s="32"/>
      <c r="G641" s="32"/>
      <c r="H641" s="32"/>
      <c r="I641" s="32"/>
      <c r="J641" s="32"/>
    </row>
    <row r="642" hidden="1">
      <c r="A642" s="69"/>
      <c r="B642" s="70"/>
      <c r="C642" s="68"/>
      <c r="D642" s="29"/>
      <c r="E642" s="32"/>
      <c r="F642" s="32"/>
      <c r="G642" s="32"/>
      <c r="H642" s="32"/>
      <c r="I642" s="32"/>
      <c r="J642" s="32"/>
    </row>
    <row r="643" hidden="1">
      <c r="A643" s="69"/>
      <c r="B643" s="70"/>
      <c r="C643" s="68"/>
      <c r="D643" s="29"/>
      <c r="E643" s="32"/>
      <c r="F643" s="32"/>
      <c r="G643" s="32"/>
      <c r="H643" s="32"/>
      <c r="I643" s="32"/>
      <c r="J643" s="32"/>
    </row>
    <row r="644" hidden="1">
      <c r="A644" s="69"/>
      <c r="B644" s="70"/>
      <c r="C644" s="68"/>
      <c r="D644" s="29"/>
      <c r="E644" s="32"/>
      <c r="F644" s="32"/>
      <c r="G644" s="32"/>
      <c r="H644" s="32"/>
      <c r="I644" s="32"/>
      <c r="J644" s="32"/>
    </row>
    <row r="645" hidden="1">
      <c r="A645" s="69"/>
      <c r="B645" s="70"/>
      <c r="C645" s="68"/>
      <c r="D645" s="29"/>
      <c r="E645" s="32"/>
      <c r="F645" s="32"/>
      <c r="G645" s="32"/>
      <c r="H645" s="32"/>
      <c r="I645" s="32"/>
      <c r="J645" s="32"/>
    </row>
    <row r="646" hidden="1">
      <c r="A646" s="69"/>
      <c r="B646" s="70"/>
      <c r="C646" s="68"/>
      <c r="D646" s="29"/>
      <c r="E646" s="32"/>
      <c r="F646" s="32"/>
      <c r="G646" s="32"/>
      <c r="H646" s="32"/>
      <c r="I646" s="32"/>
      <c r="J646" s="32"/>
    </row>
    <row r="647" hidden="1">
      <c r="A647" s="69"/>
      <c r="B647" s="70"/>
      <c r="C647" s="68"/>
      <c r="D647" s="29"/>
      <c r="E647" s="32"/>
      <c r="F647" s="32"/>
      <c r="G647" s="32"/>
      <c r="H647" s="32"/>
      <c r="I647" s="32"/>
      <c r="J647" s="32"/>
    </row>
    <row r="648" hidden="1">
      <c r="A648" s="69"/>
      <c r="B648" s="70"/>
      <c r="C648" s="68"/>
      <c r="D648" s="29"/>
      <c r="E648" s="32"/>
      <c r="F648" s="32"/>
      <c r="G648" s="32"/>
      <c r="H648" s="32"/>
      <c r="I648" s="32"/>
      <c r="J648" s="32"/>
    </row>
    <row r="649" hidden="1">
      <c r="A649" s="69"/>
      <c r="B649" s="70"/>
      <c r="C649" s="68"/>
      <c r="D649" s="29"/>
      <c r="E649" s="32"/>
      <c r="F649" s="32"/>
      <c r="G649" s="32"/>
      <c r="H649" s="32"/>
      <c r="I649" s="32"/>
      <c r="J649" s="32"/>
    </row>
    <row r="650" hidden="1">
      <c r="A650" s="69"/>
      <c r="B650" s="70"/>
      <c r="C650" s="68"/>
      <c r="D650" s="29"/>
      <c r="E650" s="32"/>
      <c r="F650" s="32"/>
      <c r="G650" s="32"/>
      <c r="H650" s="32"/>
      <c r="I650" s="32"/>
      <c r="J650" s="32"/>
    </row>
    <row r="651" hidden="1">
      <c r="A651" s="69"/>
      <c r="B651" s="70"/>
      <c r="C651" s="68"/>
      <c r="D651" s="29"/>
      <c r="E651" s="32"/>
      <c r="F651" s="32"/>
      <c r="G651" s="32"/>
      <c r="H651" s="32"/>
      <c r="I651" s="32"/>
      <c r="J651" s="32"/>
    </row>
    <row r="652" hidden="1">
      <c r="A652" s="69"/>
      <c r="B652" s="70"/>
      <c r="C652" s="68"/>
      <c r="D652" s="29"/>
      <c r="E652" s="32"/>
      <c r="F652" s="32"/>
      <c r="G652" s="32"/>
      <c r="H652" s="32"/>
      <c r="I652" s="32"/>
      <c r="J652" s="32"/>
    </row>
    <row r="653" hidden="1">
      <c r="A653" s="69"/>
      <c r="B653" s="70"/>
      <c r="C653" s="68"/>
      <c r="D653" s="29"/>
      <c r="E653" s="32"/>
      <c r="F653" s="32"/>
      <c r="G653" s="32"/>
      <c r="H653" s="32"/>
      <c r="I653" s="32"/>
      <c r="J653" s="32"/>
    </row>
    <row r="654" hidden="1">
      <c r="A654" s="69"/>
      <c r="B654" s="70"/>
      <c r="C654" s="68"/>
      <c r="D654" s="29"/>
      <c r="E654" s="32"/>
      <c r="F654" s="32"/>
      <c r="G654" s="32"/>
      <c r="H654" s="32"/>
      <c r="I654" s="32"/>
      <c r="J654" s="32"/>
    </row>
    <row r="655" hidden="1">
      <c r="A655" s="69"/>
      <c r="B655" s="70"/>
      <c r="C655" s="68"/>
      <c r="D655" s="29"/>
      <c r="E655" s="32"/>
      <c r="F655" s="32"/>
      <c r="G655" s="32"/>
      <c r="H655" s="32"/>
      <c r="I655" s="32"/>
      <c r="J655" s="32"/>
    </row>
    <row r="656" hidden="1">
      <c r="A656" s="69"/>
      <c r="B656" s="70"/>
      <c r="C656" s="68"/>
      <c r="D656" s="29"/>
      <c r="E656" s="32"/>
      <c r="F656" s="32"/>
      <c r="G656" s="32"/>
      <c r="H656" s="32"/>
      <c r="I656" s="32"/>
      <c r="J656" s="32"/>
    </row>
    <row r="657" hidden="1">
      <c r="A657" s="69"/>
      <c r="B657" s="70"/>
      <c r="C657" s="68"/>
      <c r="D657" s="29"/>
      <c r="E657" s="32"/>
      <c r="F657" s="32"/>
      <c r="G657" s="32"/>
      <c r="H657" s="32"/>
      <c r="I657" s="32"/>
      <c r="J657" s="32"/>
    </row>
    <row r="658" hidden="1">
      <c r="A658" s="69"/>
      <c r="B658" s="70"/>
      <c r="C658" s="68"/>
      <c r="D658" s="29"/>
      <c r="E658" s="32"/>
      <c r="F658" s="32"/>
      <c r="G658" s="32"/>
      <c r="H658" s="32"/>
      <c r="I658" s="32"/>
      <c r="J658" s="32"/>
    </row>
    <row r="659" hidden="1">
      <c r="A659" s="69"/>
      <c r="B659" s="70"/>
      <c r="C659" s="68"/>
      <c r="D659" s="29"/>
      <c r="E659" s="32"/>
      <c r="F659" s="32"/>
      <c r="G659" s="32"/>
      <c r="H659" s="32"/>
      <c r="I659" s="32"/>
      <c r="J659" s="32"/>
    </row>
    <row r="660" hidden="1">
      <c r="A660" s="69"/>
      <c r="B660" s="70"/>
      <c r="C660" s="68"/>
      <c r="D660" s="29"/>
      <c r="E660" s="32"/>
      <c r="F660" s="32"/>
      <c r="G660" s="32"/>
      <c r="H660" s="32"/>
      <c r="I660" s="32"/>
      <c r="J660" s="32"/>
    </row>
    <row r="661" hidden="1">
      <c r="A661" s="69"/>
      <c r="B661" s="70"/>
      <c r="C661" s="68"/>
      <c r="D661" s="29"/>
      <c r="E661" s="32"/>
      <c r="F661" s="32"/>
      <c r="G661" s="32"/>
      <c r="H661" s="32"/>
      <c r="I661" s="32"/>
      <c r="J661" s="32"/>
    </row>
    <row r="662" hidden="1">
      <c r="A662" s="69"/>
      <c r="B662" s="70"/>
      <c r="C662" s="68"/>
      <c r="D662" s="29"/>
      <c r="E662" s="32"/>
      <c r="F662" s="32"/>
      <c r="G662" s="32"/>
      <c r="H662" s="32"/>
      <c r="I662" s="32"/>
      <c r="J662" s="32"/>
    </row>
    <row r="663" hidden="1">
      <c r="A663" s="69"/>
      <c r="B663" s="70"/>
      <c r="C663" s="68"/>
      <c r="D663" s="29"/>
      <c r="E663" s="32"/>
      <c r="F663" s="32"/>
      <c r="G663" s="32"/>
      <c r="H663" s="32"/>
      <c r="I663" s="32"/>
      <c r="J663" s="32"/>
    </row>
    <row r="664" hidden="1">
      <c r="A664" s="69"/>
      <c r="B664" s="70"/>
      <c r="C664" s="68"/>
      <c r="D664" s="29"/>
      <c r="E664" s="32"/>
      <c r="F664" s="32"/>
      <c r="G664" s="32"/>
      <c r="H664" s="32"/>
      <c r="I664" s="32"/>
      <c r="J664" s="32"/>
    </row>
    <row r="665" hidden="1">
      <c r="A665" s="69"/>
      <c r="B665" s="70"/>
      <c r="C665" s="68"/>
      <c r="D665" s="29"/>
      <c r="E665" s="32"/>
      <c r="F665" s="32"/>
      <c r="G665" s="32"/>
      <c r="H665" s="32"/>
      <c r="I665" s="32"/>
      <c r="J665" s="32"/>
    </row>
    <row r="666" hidden="1">
      <c r="A666" s="69"/>
      <c r="B666" s="70"/>
      <c r="C666" s="68"/>
      <c r="D666" s="29"/>
      <c r="E666" s="32"/>
      <c r="F666" s="32"/>
      <c r="G666" s="32"/>
      <c r="H666" s="32"/>
      <c r="I666" s="32"/>
      <c r="J666" s="32"/>
    </row>
    <row r="667" hidden="1">
      <c r="A667" s="69"/>
      <c r="B667" s="70"/>
      <c r="C667" s="68"/>
      <c r="D667" s="29"/>
      <c r="E667" s="32"/>
      <c r="F667" s="32"/>
      <c r="G667" s="32"/>
      <c r="H667" s="32"/>
      <c r="I667" s="32"/>
      <c r="J667" s="32"/>
    </row>
    <row r="668" hidden="1">
      <c r="A668" s="69"/>
      <c r="B668" s="70"/>
      <c r="C668" s="68"/>
      <c r="D668" s="29"/>
      <c r="E668" s="32"/>
      <c r="F668" s="32"/>
      <c r="G668" s="32"/>
      <c r="H668" s="32"/>
      <c r="I668" s="32"/>
      <c r="J668" s="32"/>
    </row>
    <row r="669" hidden="1">
      <c r="A669" s="69"/>
      <c r="B669" s="70"/>
      <c r="C669" s="68"/>
      <c r="D669" s="29"/>
      <c r="E669" s="32"/>
      <c r="F669" s="32"/>
      <c r="G669" s="32"/>
      <c r="H669" s="32"/>
      <c r="I669" s="32"/>
      <c r="J669" s="32"/>
    </row>
    <row r="670" hidden="1">
      <c r="A670" s="69"/>
      <c r="B670" s="70"/>
      <c r="C670" s="68"/>
      <c r="D670" s="29"/>
      <c r="E670" s="32"/>
      <c r="F670" s="32"/>
      <c r="G670" s="32"/>
      <c r="H670" s="32"/>
      <c r="I670" s="32"/>
      <c r="J670" s="32"/>
    </row>
    <row r="671" hidden="1">
      <c r="A671" s="69"/>
      <c r="B671" s="70"/>
      <c r="C671" s="68"/>
      <c r="D671" s="29"/>
      <c r="E671" s="32"/>
      <c r="F671" s="32"/>
      <c r="G671" s="32"/>
      <c r="H671" s="32"/>
      <c r="I671" s="32"/>
      <c r="J671" s="32"/>
    </row>
    <row r="672" hidden="1">
      <c r="A672" s="69"/>
      <c r="B672" s="70"/>
      <c r="C672" s="68"/>
      <c r="D672" s="29"/>
      <c r="E672" s="32"/>
      <c r="F672" s="32"/>
      <c r="G672" s="32"/>
      <c r="H672" s="32"/>
      <c r="I672" s="32"/>
      <c r="J672" s="32"/>
    </row>
    <row r="673" hidden="1">
      <c r="A673" s="69"/>
      <c r="B673" s="70"/>
      <c r="C673" s="68"/>
      <c r="D673" s="29"/>
      <c r="E673" s="32"/>
      <c r="F673" s="32"/>
      <c r="G673" s="32"/>
      <c r="H673" s="32"/>
      <c r="I673" s="32"/>
      <c r="J673" s="32"/>
    </row>
    <row r="674" hidden="1">
      <c r="A674" s="69"/>
      <c r="B674" s="70"/>
      <c r="C674" s="68"/>
      <c r="D674" s="29"/>
      <c r="E674" s="32"/>
      <c r="F674" s="32"/>
      <c r="G674" s="32"/>
      <c r="H674" s="32"/>
      <c r="I674" s="32"/>
      <c r="J674" s="32"/>
    </row>
    <row r="675" hidden="1">
      <c r="A675" s="69"/>
      <c r="B675" s="70"/>
      <c r="C675" s="68"/>
      <c r="D675" s="29"/>
      <c r="E675" s="32"/>
      <c r="F675" s="32"/>
      <c r="G675" s="32"/>
      <c r="H675" s="32"/>
      <c r="I675" s="32"/>
      <c r="J675" s="32"/>
    </row>
    <row r="676" hidden="1">
      <c r="A676" s="69"/>
      <c r="B676" s="70"/>
      <c r="C676" s="68"/>
      <c r="D676" s="29"/>
      <c r="E676" s="32"/>
      <c r="F676" s="32"/>
      <c r="G676" s="32"/>
      <c r="H676" s="32"/>
      <c r="I676" s="32"/>
      <c r="J676" s="32"/>
    </row>
    <row r="677" hidden="1">
      <c r="A677" s="69"/>
      <c r="B677" s="70"/>
      <c r="C677" s="68"/>
      <c r="D677" s="29"/>
      <c r="E677" s="32"/>
      <c r="F677" s="32"/>
      <c r="G677" s="32"/>
      <c r="H677" s="32"/>
      <c r="I677" s="32"/>
      <c r="J677" s="32"/>
    </row>
    <row r="678" hidden="1">
      <c r="A678" s="69"/>
      <c r="B678" s="70"/>
      <c r="C678" s="68"/>
      <c r="D678" s="29"/>
      <c r="E678" s="32"/>
      <c r="F678" s="32"/>
      <c r="G678" s="32"/>
      <c r="H678" s="32"/>
      <c r="I678" s="32"/>
      <c r="J678" s="32"/>
    </row>
    <row r="679" hidden="1">
      <c r="A679" s="69"/>
      <c r="B679" s="70"/>
      <c r="C679" s="68"/>
      <c r="D679" s="29"/>
      <c r="E679" s="32"/>
      <c r="F679" s="32"/>
      <c r="G679" s="32"/>
      <c r="H679" s="32"/>
      <c r="I679" s="32"/>
      <c r="J679" s="32"/>
    </row>
    <row r="680" hidden="1">
      <c r="A680" s="69"/>
      <c r="B680" s="70"/>
      <c r="C680" s="68"/>
      <c r="D680" s="29"/>
      <c r="E680" s="32"/>
      <c r="F680" s="32"/>
      <c r="G680" s="32"/>
      <c r="H680" s="32"/>
      <c r="I680" s="32"/>
      <c r="J680" s="32"/>
    </row>
    <row r="681" hidden="1">
      <c r="A681" s="69"/>
      <c r="B681" s="70"/>
      <c r="C681" s="68"/>
      <c r="D681" s="29"/>
      <c r="E681" s="32"/>
      <c r="F681" s="32"/>
      <c r="G681" s="32"/>
      <c r="H681" s="32"/>
      <c r="I681" s="32"/>
      <c r="J681" s="32"/>
    </row>
    <row r="682" hidden="1">
      <c r="A682" s="69"/>
      <c r="B682" s="70"/>
      <c r="C682" s="68"/>
      <c r="D682" s="29"/>
      <c r="E682" s="32"/>
      <c r="F682" s="32"/>
      <c r="G682" s="32"/>
      <c r="H682" s="32"/>
      <c r="I682" s="32"/>
      <c r="J682" s="32"/>
    </row>
    <row r="683" hidden="1">
      <c r="A683" s="69"/>
      <c r="B683" s="70"/>
      <c r="C683" s="68"/>
      <c r="D683" s="29"/>
      <c r="E683" s="32"/>
      <c r="F683" s="32"/>
      <c r="G683" s="32"/>
      <c r="H683" s="32"/>
      <c r="I683" s="32"/>
      <c r="J683" s="32"/>
    </row>
    <row r="684" hidden="1">
      <c r="A684" s="69"/>
      <c r="B684" s="70"/>
      <c r="C684" s="68"/>
      <c r="D684" s="29"/>
      <c r="E684" s="32"/>
      <c r="F684" s="32"/>
      <c r="G684" s="32"/>
      <c r="H684" s="32"/>
      <c r="I684" s="32"/>
      <c r="J684" s="32"/>
    </row>
    <row r="685" hidden="1">
      <c r="A685" s="69"/>
      <c r="B685" s="70"/>
      <c r="C685" s="68"/>
      <c r="D685" s="29"/>
      <c r="E685" s="32"/>
      <c r="F685" s="32"/>
      <c r="G685" s="32"/>
      <c r="H685" s="32"/>
      <c r="I685" s="32"/>
      <c r="J685" s="32"/>
    </row>
    <row r="686" hidden="1">
      <c r="A686" s="69"/>
      <c r="B686" s="70"/>
      <c r="C686" s="68"/>
      <c r="D686" s="29"/>
      <c r="E686" s="32"/>
      <c r="F686" s="32"/>
      <c r="G686" s="32"/>
      <c r="H686" s="32"/>
      <c r="I686" s="32"/>
      <c r="J686" s="32"/>
    </row>
    <row r="687" hidden="1">
      <c r="A687" s="69"/>
      <c r="B687" s="70"/>
      <c r="C687" s="68"/>
      <c r="D687" s="29"/>
      <c r="E687" s="32"/>
      <c r="F687" s="32"/>
      <c r="G687" s="32"/>
      <c r="H687" s="32"/>
      <c r="I687" s="32"/>
      <c r="J687" s="32"/>
    </row>
    <row r="688" hidden="1">
      <c r="A688" s="69"/>
      <c r="B688" s="70"/>
      <c r="C688" s="68"/>
      <c r="D688" s="29"/>
      <c r="E688" s="32"/>
      <c r="F688" s="32"/>
      <c r="G688" s="32"/>
      <c r="H688" s="32"/>
      <c r="I688" s="32"/>
      <c r="J688" s="32"/>
    </row>
    <row r="689" hidden="1">
      <c r="A689" s="69"/>
      <c r="B689" s="70"/>
      <c r="C689" s="68"/>
      <c r="D689" s="29"/>
      <c r="E689" s="32"/>
      <c r="F689" s="32"/>
      <c r="G689" s="32"/>
      <c r="H689" s="32"/>
      <c r="I689" s="32"/>
      <c r="J689" s="32"/>
    </row>
    <row r="690" hidden="1">
      <c r="A690" s="69"/>
      <c r="B690" s="70"/>
      <c r="C690" s="68"/>
      <c r="D690" s="29"/>
      <c r="E690" s="32"/>
      <c r="F690" s="32"/>
      <c r="G690" s="32"/>
      <c r="H690" s="32"/>
      <c r="I690" s="32"/>
      <c r="J690" s="32"/>
    </row>
    <row r="691" hidden="1">
      <c r="A691" s="69"/>
      <c r="B691" s="70"/>
      <c r="C691" s="68"/>
      <c r="D691" s="29"/>
      <c r="E691" s="32"/>
      <c r="F691" s="32"/>
      <c r="G691" s="32"/>
      <c r="H691" s="32"/>
      <c r="I691" s="32"/>
      <c r="J691" s="32"/>
    </row>
    <row r="692" hidden="1">
      <c r="A692" s="69"/>
      <c r="B692" s="70"/>
      <c r="C692" s="68"/>
      <c r="D692" s="29"/>
      <c r="E692" s="32"/>
      <c r="F692" s="32"/>
      <c r="G692" s="32"/>
      <c r="H692" s="32"/>
      <c r="I692" s="32"/>
      <c r="J692" s="32"/>
    </row>
    <row r="693" hidden="1">
      <c r="A693" s="69"/>
      <c r="B693" s="70"/>
      <c r="C693" s="68"/>
      <c r="D693" s="29"/>
      <c r="E693" s="32"/>
      <c r="F693" s="32"/>
      <c r="G693" s="32"/>
      <c r="H693" s="32"/>
      <c r="I693" s="32"/>
      <c r="J693" s="32"/>
    </row>
    <row r="694" hidden="1">
      <c r="A694" s="69"/>
      <c r="B694" s="70"/>
      <c r="C694" s="68"/>
      <c r="D694" s="29"/>
      <c r="E694" s="32"/>
      <c r="F694" s="32"/>
      <c r="G694" s="32"/>
      <c r="H694" s="32"/>
      <c r="I694" s="32"/>
      <c r="J694" s="32"/>
    </row>
    <row r="695" hidden="1">
      <c r="A695" s="69"/>
      <c r="B695" s="70"/>
      <c r="C695" s="68"/>
      <c r="D695" s="29"/>
      <c r="E695" s="32"/>
      <c r="F695" s="32"/>
      <c r="G695" s="32"/>
      <c r="H695" s="32"/>
      <c r="I695" s="32"/>
      <c r="J695" s="32"/>
    </row>
    <row r="696" hidden="1">
      <c r="A696" s="69"/>
      <c r="B696" s="70"/>
      <c r="C696" s="68"/>
      <c r="D696" s="29"/>
      <c r="E696" s="32"/>
      <c r="F696" s="32"/>
      <c r="G696" s="32"/>
      <c r="H696" s="32"/>
      <c r="I696" s="32"/>
      <c r="J696" s="32"/>
    </row>
    <row r="697" hidden="1">
      <c r="A697" s="69"/>
      <c r="B697" s="70"/>
      <c r="C697" s="68"/>
      <c r="D697" s="29"/>
      <c r="E697" s="32"/>
      <c r="F697" s="32"/>
      <c r="G697" s="32"/>
      <c r="H697" s="32"/>
      <c r="I697" s="32"/>
      <c r="J697" s="32"/>
    </row>
    <row r="698" hidden="1">
      <c r="A698" s="69"/>
      <c r="B698" s="70"/>
      <c r="C698" s="68"/>
      <c r="D698" s="29"/>
      <c r="E698" s="32"/>
      <c r="F698" s="32"/>
      <c r="G698" s="32"/>
      <c r="H698" s="32"/>
      <c r="I698" s="32"/>
      <c r="J698" s="32"/>
    </row>
    <row r="699" hidden="1">
      <c r="A699" s="69"/>
      <c r="B699" s="70"/>
      <c r="C699" s="68"/>
      <c r="D699" s="29"/>
      <c r="E699" s="32"/>
      <c r="F699" s="32"/>
      <c r="G699" s="32"/>
      <c r="H699" s="32"/>
      <c r="I699" s="32"/>
      <c r="J699" s="32"/>
    </row>
    <row r="700" hidden="1">
      <c r="A700" s="69"/>
      <c r="B700" s="70"/>
      <c r="C700" s="68"/>
      <c r="D700" s="29"/>
      <c r="E700" s="32"/>
      <c r="F700" s="32"/>
      <c r="G700" s="32"/>
      <c r="H700" s="32"/>
      <c r="I700" s="32"/>
      <c r="J700" s="32"/>
    </row>
    <row r="701" hidden="1">
      <c r="A701" s="69"/>
      <c r="B701" s="70"/>
      <c r="C701" s="68"/>
      <c r="D701" s="29"/>
      <c r="E701" s="32"/>
      <c r="F701" s="32"/>
      <c r="G701" s="32"/>
      <c r="H701" s="32"/>
      <c r="I701" s="32"/>
      <c r="J701" s="32"/>
    </row>
    <row r="702" hidden="1">
      <c r="A702" s="69"/>
      <c r="B702" s="70"/>
      <c r="C702" s="68"/>
      <c r="D702" s="29"/>
      <c r="E702" s="32"/>
      <c r="F702" s="32"/>
      <c r="G702" s="32"/>
      <c r="H702" s="32"/>
      <c r="I702" s="32"/>
      <c r="J702" s="32"/>
    </row>
    <row r="703" hidden="1">
      <c r="A703" s="69"/>
      <c r="B703" s="70"/>
      <c r="C703" s="68"/>
      <c r="D703" s="29"/>
      <c r="E703" s="32"/>
      <c r="F703" s="32"/>
      <c r="G703" s="32"/>
      <c r="H703" s="32"/>
      <c r="I703" s="32"/>
      <c r="J703" s="32"/>
    </row>
    <row r="704" hidden="1">
      <c r="A704" s="69"/>
      <c r="B704" s="70"/>
      <c r="C704" s="68"/>
      <c r="D704" s="29"/>
      <c r="E704" s="32"/>
      <c r="F704" s="32"/>
      <c r="G704" s="32"/>
      <c r="H704" s="32"/>
      <c r="I704" s="32"/>
      <c r="J704" s="32"/>
    </row>
    <row r="705" hidden="1">
      <c r="A705" s="69"/>
      <c r="B705" s="70"/>
      <c r="C705" s="68"/>
      <c r="D705" s="29"/>
      <c r="E705" s="32"/>
      <c r="F705" s="32"/>
      <c r="G705" s="32"/>
      <c r="H705" s="32"/>
      <c r="I705" s="32"/>
      <c r="J705" s="32"/>
    </row>
    <row r="706" hidden="1">
      <c r="A706" s="69"/>
      <c r="B706" s="70"/>
      <c r="C706" s="68"/>
      <c r="D706" s="29"/>
      <c r="E706" s="32"/>
      <c r="F706" s="32"/>
      <c r="G706" s="32"/>
      <c r="H706" s="32"/>
      <c r="I706" s="32"/>
      <c r="J706" s="32"/>
    </row>
    <row r="707" hidden="1">
      <c r="A707" s="69"/>
      <c r="B707" s="70"/>
      <c r="C707" s="68"/>
      <c r="D707" s="29"/>
      <c r="E707" s="32"/>
      <c r="F707" s="32"/>
      <c r="G707" s="32"/>
      <c r="H707" s="32"/>
      <c r="I707" s="32"/>
      <c r="J707" s="32"/>
    </row>
    <row r="708" hidden="1">
      <c r="A708" s="69"/>
      <c r="B708" s="70"/>
      <c r="C708" s="68"/>
      <c r="D708" s="29"/>
      <c r="E708" s="32"/>
      <c r="F708" s="32"/>
      <c r="G708" s="32"/>
      <c r="H708" s="32"/>
      <c r="I708" s="32"/>
      <c r="J708" s="32"/>
    </row>
    <row r="709" hidden="1">
      <c r="A709" s="69"/>
      <c r="B709" s="70"/>
      <c r="C709" s="68"/>
      <c r="D709" s="29"/>
      <c r="E709" s="32"/>
      <c r="F709" s="32"/>
      <c r="G709" s="32"/>
      <c r="H709" s="32"/>
      <c r="I709" s="32"/>
      <c r="J709" s="32"/>
    </row>
    <row r="710" hidden="1">
      <c r="A710" s="69"/>
      <c r="B710" s="70"/>
      <c r="C710" s="68"/>
      <c r="D710" s="29"/>
      <c r="E710" s="32"/>
      <c r="F710" s="32"/>
      <c r="G710" s="32"/>
      <c r="H710" s="32"/>
      <c r="I710" s="32"/>
      <c r="J710" s="32"/>
    </row>
    <row r="711" hidden="1">
      <c r="A711" s="69"/>
      <c r="B711" s="70"/>
      <c r="C711" s="68"/>
      <c r="D711" s="29"/>
      <c r="E711" s="32"/>
      <c r="F711" s="32"/>
      <c r="G711" s="32"/>
      <c r="H711" s="32"/>
      <c r="I711" s="32"/>
      <c r="J711" s="32"/>
    </row>
    <row r="712" hidden="1">
      <c r="A712" s="69"/>
      <c r="B712" s="70"/>
      <c r="C712" s="68"/>
      <c r="D712" s="29"/>
      <c r="E712" s="32"/>
      <c r="F712" s="32"/>
      <c r="G712" s="32"/>
      <c r="H712" s="32"/>
      <c r="I712" s="32"/>
      <c r="J712" s="32"/>
    </row>
    <row r="713" hidden="1">
      <c r="A713" s="69"/>
      <c r="B713" s="70"/>
      <c r="C713" s="68"/>
      <c r="D713" s="29"/>
      <c r="E713" s="32"/>
      <c r="F713" s="32"/>
      <c r="G713" s="32"/>
      <c r="H713" s="32"/>
      <c r="I713" s="32"/>
      <c r="J713" s="32"/>
    </row>
    <row r="714" hidden="1">
      <c r="A714" s="69"/>
      <c r="B714" s="70"/>
      <c r="C714" s="68"/>
      <c r="D714" s="29"/>
      <c r="E714" s="32"/>
      <c r="F714" s="32"/>
      <c r="G714" s="32"/>
      <c r="H714" s="32"/>
      <c r="I714" s="32"/>
      <c r="J714" s="32"/>
    </row>
    <row r="715" hidden="1">
      <c r="A715" s="69"/>
      <c r="B715" s="70"/>
      <c r="C715" s="68"/>
      <c r="D715" s="29"/>
      <c r="E715" s="32"/>
      <c r="F715" s="32"/>
      <c r="G715" s="32"/>
      <c r="H715" s="32"/>
      <c r="I715" s="32"/>
      <c r="J715" s="32"/>
    </row>
    <row r="716" hidden="1">
      <c r="A716" s="69"/>
      <c r="B716" s="70"/>
      <c r="C716" s="68"/>
      <c r="D716" s="29"/>
      <c r="E716" s="32"/>
      <c r="F716" s="32"/>
      <c r="G716" s="32"/>
      <c r="H716" s="32"/>
      <c r="I716" s="32"/>
      <c r="J716" s="32"/>
    </row>
    <row r="717" hidden="1">
      <c r="A717" s="69"/>
      <c r="B717" s="70"/>
      <c r="C717" s="68"/>
      <c r="D717" s="29"/>
      <c r="E717" s="32"/>
      <c r="F717" s="32"/>
      <c r="G717" s="32"/>
      <c r="H717" s="32"/>
      <c r="I717" s="32"/>
      <c r="J717" s="32"/>
    </row>
    <row r="718" hidden="1">
      <c r="A718" s="69"/>
      <c r="B718" s="70"/>
      <c r="C718" s="68"/>
      <c r="D718" s="29"/>
      <c r="E718" s="32"/>
      <c r="F718" s="32"/>
      <c r="G718" s="32"/>
      <c r="H718" s="32"/>
      <c r="I718" s="32"/>
      <c r="J718" s="32"/>
    </row>
    <row r="719" hidden="1">
      <c r="A719" s="69"/>
      <c r="B719" s="70"/>
      <c r="C719" s="68"/>
      <c r="D719" s="29"/>
      <c r="E719" s="32"/>
      <c r="F719" s="32"/>
      <c r="G719" s="32"/>
      <c r="H719" s="32"/>
      <c r="I719" s="32"/>
      <c r="J719" s="32"/>
    </row>
    <row r="720" hidden="1">
      <c r="A720" s="69"/>
      <c r="B720" s="70"/>
      <c r="C720" s="68"/>
      <c r="D720" s="29"/>
      <c r="E720" s="32"/>
      <c r="F720" s="32"/>
      <c r="G720" s="32"/>
      <c r="H720" s="32"/>
      <c r="I720" s="32"/>
      <c r="J720" s="32"/>
    </row>
    <row r="721" hidden="1">
      <c r="A721" s="69"/>
      <c r="B721" s="70"/>
      <c r="C721" s="68"/>
      <c r="D721" s="29"/>
      <c r="E721" s="32"/>
      <c r="F721" s="32"/>
      <c r="G721" s="32"/>
      <c r="H721" s="32"/>
      <c r="I721" s="32"/>
      <c r="J721" s="32"/>
    </row>
    <row r="722" hidden="1">
      <c r="A722" s="69"/>
      <c r="B722" s="70"/>
      <c r="C722" s="68"/>
      <c r="D722" s="29"/>
      <c r="E722" s="32"/>
      <c r="F722" s="32"/>
      <c r="G722" s="32"/>
      <c r="H722" s="32"/>
      <c r="I722" s="32"/>
      <c r="J722" s="32"/>
    </row>
    <row r="723" hidden="1">
      <c r="A723" s="69"/>
      <c r="B723" s="70"/>
      <c r="C723" s="68"/>
      <c r="D723" s="29"/>
      <c r="E723" s="32"/>
      <c r="F723" s="32"/>
      <c r="G723" s="32"/>
      <c r="H723" s="32"/>
      <c r="I723" s="32"/>
      <c r="J723" s="32"/>
    </row>
    <row r="724" hidden="1">
      <c r="A724" s="69"/>
      <c r="B724" s="70"/>
      <c r="C724" s="68"/>
      <c r="D724" s="29"/>
      <c r="E724" s="32"/>
      <c r="F724" s="32"/>
      <c r="G724" s="32"/>
      <c r="H724" s="32"/>
      <c r="I724" s="32"/>
      <c r="J724" s="32"/>
    </row>
    <row r="725" hidden="1">
      <c r="A725" s="69"/>
      <c r="B725" s="70"/>
      <c r="C725" s="68"/>
      <c r="D725" s="29"/>
      <c r="E725" s="32"/>
      <c r="F725" s="32"/>
      <c r="G725" s="32"/>
      <c r="H725" s="32"/>
      <c r="I725" s="32"/>
      <c r="J725" s="32"/>
    </row>
    <row r="726" hidden="1">
      <c r="A726" s="69"/>
      <c r="B726" s="70"/>
      <c r="C726" s="68"/>
      <c r="D726" s="29"/>
      <c r="E726" s="32"/>
      <c r="F726" s="32"/>
      <c r="G726" s="32"/>
      <c r="H726" s="32"/>
      <c r="I726" s="32"/>
      <c r="J726" s="32"/>
    </row>
    <row r="727" hidden="1">
      <c r="A727" s="69"/>
      <c r="B727" s="70"/>
      <c r="C727" s="68"/>
      <c r="D727" s="29"/>
      <c r="E727" s="32"/>
      <c r="F727" s="32"/>
      <c r="G727" s="32"/>
      <c r="H727" s="32"/>
      <c r="I727" s="32"/>
      <c r="J727" s="32"/>
    </row>
    <row r="728" hidden="1">
      <c r="A728" s="69"/>
      <c r="B728" s="70"/>
      <c r="C728" s="68"/>
      <c r="D728" s="29"/>
      <c r="E728" s="32"/>
      <c r="F728" s="32"/>
      <c r="G728" s="32"/>
      <c r="H728" s="32"/>
      <c r="I728" s="32"/>
      <c r="J728" s="32"/>
    </row>
    <row r="729" hidden="1">
      <c r="A729" s="69"/>
      <c r="B729" s="70"/>
      <c r="C729" s="68"/>
      <c r="D729" s="29"/>
      <c r="E729" s="32"/>
      <c r="F729" s="32"/>
      <c r="G729" s="32"/>
      <c r="H729" s="32"/>
      <c r="I729" s="32"/>
      <c r="J729" s="32"/>
    </row>
    <row r="730" hidden="1">
      <c r="A730" s="69"/>
      <c r="B730" s="70"/>
      <c r="C730" s="68"/>
      <c r="D730" s="29"/>
      <c r="E730" s="32"/>
      <c r="F730" s="32"/>
      <c r="G730" s="32"/>
      <c r="H730" s="32"/>
      <c r="I730" s="32"/>
      <c r="J730" s="32"/>
    </row>
    <row r="731" hidden="1">
      <c r="A731" s="69"/>
      <c r="B731" s="70"/>
      <c r="C731" s="68"/>
      <c r="D731" s="29"/>
      <c r="E731" s="32"/>
      <c r="F731" s="32"/>
      <c r="G731" s="32"/>
      <c r="H731" s="32"/>
      <c r="I731" s="32"/>
      <c r="J731" s="32"/>
    </row>
    <row r="732" hidden="1">
      <c r="A732" s="69"/>
      <c r="B732" s="70"/>
      <c r="C732" s="68"/>
      <c r="D732" s="29"/>
      <c r="E732" s="32"/>
      <c r="F732" s="32"/>
      <c r="G732" s="32"/>
      <c r="H732" s="32"/>
      <c r="I732" s="32"/>
      <c r="J732" s="32"/>
    </row>
    <row r="733" hidden="1">
      <c r="A733" s="69"/>
      <c r="B733" s="70"/>
      <c r="C733" s="68"/>
      <c r="D733" s="29"/>
      <c r="E733" s="32"/>
      <c r="F733" s="32"/>
      <c r="G733" s="32"/>
      <c r="H733" s="32"/>
      <c r="I733" s="32"/>
      <c r="J733" s="32"/>
    </row>
    <row r="734" hidden="1">
      <c r="A734" s="69"/>
      <c r="B734" s="70"/>
      <c r="C734" s="68"/>
      <c r="D734" s="29"/>
      <c r="E734" s="32"/>
      <c r="F734" s="32"/>
      <c r="G734" s="32"/>
      <c r="H734" s="32"/>
      <c r="I734" s="32"/>
      <c r="J734" s="32"/>
    </row>
    <row r="735" hidden="1">
      <c r="A735" s="69"/>
      <c r="B735" s="70"/>
      <c r="C735" s="68"/>
      <c r="D735" s="29"/>
      <c r="E735" s="32"/>
      <c r="F735" s="32"/>
      <c r="G735" s="32"/>
      <c r="H735" s="32"/>
      <c r="I735" s="32"/>
      <c r="J735" s="32"/>
    </row>
    <row r="736" hidden="1">
      <c r="A736" s="69"/>
      <c r="B736" s="70"/>
      <c r="C736" s="68"/>
      <c r="D736" s="29"/>
      <c r="E736" s="32"/>
      <c r="F736" s="32"/>
      <c r="G736" s="32"/>
      <c r="H736" s="32"/>
      <c r="I736" s="32"/>
      <c r="J736" s="32"/>
    </row>
    <row r="737" hidden="1">
      <c r="A737" s="69"/>
      <c r="B737" s="70"/>
      <c r="C737" s="68"/>
      <c r="D737" s="29"/>
      <c r="E737" s="32"/>
      <c r="F737" s="32"/>
      <c r="G737" s="32"/>
      <c r="H737" s="32"/>
      <c r="I737" s="32"/>
      <c r="J737" s="32"/>
    </row>
    <row r="738" hidden="1">
      <c r="A738" s="69"/>
      <c r="B738" s="70"/>
      <c r="C738" s="68"/>
      <c r="D738" s="29"/>
      <c r="E738" s="32"/>
      <c r="F738" s="32"/>
      <c r="G738" s="32"/>
      <c r="H738" s="32"/>
      <c r="I738" s="32"/>
      <c r="J738" s="32"/>
    </row>
    <row r="739" hidden="1">
      <c r="A739" s="69"/>
      <c r="B739" s="70"/>
      <c r="C739" s="68"/>
      <c r="D739" s="29"/>
      <c r="E739" s="32"/>
      <c r="F739" s="32"/>
      <c r="G739" s="32"/>
      <c r="H739" s="32"/>
      <c r="I739" s="32"/>
      <c r="J739" s="32"/>
    </row>
    <row r="740" hidden="1">
      <c r="A740" s="69"/>
      <c r="B740" s="70"/>
      <c r="C740" s="68"/>
      <c r="D740" s="29"/>
      <c r="E740" s="32"/>
      <c r="F740" s="32"/>
      <c r="G740" s="32"/>
      <c r="H740" s="32"/>
      <c r="I740" s="32"/>
      <c r="J740" s="32"/>
    </row>
    <row r="741" hidden="1">
      <c r="A741" s="69"/>
      <c r="B741" s="70"/>
      <c r="C741" s="68"/>
      <c r="D741" s="29"/>
      <c r="E741" s="32"/>
      <c r="F741" s="32"/>
      <c r="G741" s="32"/>
      <c r="H741" s="32"/>
      <c r="I741" s="32"/>
      <c r="J741" s="32"/>
    </row>
    <row r="742" hidden="1">
      <c r="A742" s="69"/>
      <c r="B742" s="70"/>
      <c r="C742" s="68"/>
      <c r="D742" s="29"/>
      <c r="E742" s="32"/>
      <c r="F742" s="32"/>
      <c r="G742" s="32"/>
      <c r="H742" s="32"/>
      <c r="I742" s="32"/>
      <c r="J742" s="32"/>
    </row>
    <row r="743" hidden="1">
      <c r="A743" s="69"/>
      <c r="B743" s="70"/>
      <c r="C743" s="68"/>
      <c r="D743" s="29"/>
      <c r="E743" s="32"/>
      <c r="F743" s="32"/>
      <c r="G743" s="32"/>
      <c r="H743" s="32"/>
      <c r="I743" s="32"/>
      <c r="J743" s="32"/>
    </row>
    <row r="744" hidden="1">
      <c r="A744" s="69"/>
      <c r="B744" s="70"/>
      <c r="C744" s="68"/>
      <c r="D744" s="29"/>
      <c r="E744" s="32"/>
      <c r="F744" s="32"/>
      <c r="G744" s="32"/>
      <c r="H744" s="32"/>
      <c r="I744" s="32"/>
      <c r="J744" s="32"/>
    </row>
    <row r="745" hidden="1">
      <c r="A745" s="69"/>
      <c r="B745" s="70"/>
      <c r="C745" s="68"/>
      <c r="D745" s="29"/>
      <c r="E745" s="32"/>
      <c r="F745" s="32"/>
      <c r="G745" s="32"/>
      <c r="H745" s="32"/>
      <c r="I745" s="32"/>
      <c r="J745" s="32"/>
    </row>
    <row r="746" hidden="1">
      <c r="A746" s="69"/>
      <c r="B746" s="70"/>
      <c r="C746" s="68"/>
      <c r="D746" s="29"/>
      <c r="E746" s="32"/>
      <c r="F746" s="32"/>
      <c r="G746" s="32"/>
      <c r="H746" s="32"/>
      <c r="I746" s="32"/>
      <c r="J746" s="32"/>
    </row>
    <row r="747" hidden="1">
      <c r="A747" s="69"/>
      <c r="B747" s="70"/>
      <c r="C747" s="68"/>
      <c r="D747" s="29"/>
      <c r="E747" s="32"/>
      <c r="F747" s="32"/>
      <c r="G747" s="32"/>
      <c r="H747" s="32"/>
      <c r="I747" s="32"/>
      <c r="J747" s="32"/>
    </row>
    <row r="748" hidden="1">
      <c r="A748" s="69"/>
      <c r="B748" s="70"/>
      <c r="C748" s="68"/>
      <c r="D748" s="29"/>
      <c r="E748" s="32"/>
      <c r="F748" s="32"/>
      <c r="G748" s="32"/>
      <c r="H748" s="32"/>
      <c r="I748" s="32"/>
      <c r="J748" s="32"/>
    </row>
    <row r="749" hidden="1">
      <c r="A749" s="69"/>
      <c r="B749" s="70"/>
      <c r="C749" s="68"/>
      <c r="D749" s="29"/>
      <c r="E749" s="32"/>
      <c r="F749" s="32"/>
      <c r="G749" s="32"/>
      <c r="H749" s="32"/>
      <c r="I749" s="32"/>
      <c r="J749" s="32"/>
    </row>
    <row r="750" hidden="1">
      <c r="A750" s="69"/>
      <c r="B750" s="70"/>
      <c r="C750" s="68"/>
      <c r="D750" s="29"/>
      <c r="E750" s="32"/>
      <c r="F750" s="32"/>
      <c r="G750" s="32"/>
      <c r="H750" s="32"/>
      <c r="I750" s="32"/>
      <c r="J750" s="32"/>
    </row>
    <row r="751" hidden="1">
      <c r="A751" s="69"/>
      <c r="B751" s="70"/>
      <c r="C751" s="68"/>
      <c r="D751" s="29"/>
      <c r="E751" s="32"/>
      <c r="F751" s="32"/>
      <c r="G751" s="32"/>
      <c r="H751" s="32"/>
      <c r="I751" s="32"/>
      <c r="J751" s="32"/>
    </row>
    <row r="752" hidden="1">
      <c r="A752" s="69"/>
      <c r="B752" s="70"/>
      <c r="C752" s="68"/>
      <c r="D752" s="29"/>
      <c r="E752" s="32"/>
      <c r="F752" s="32"/>
      <c r="G752" s="32"/>
      <c r="H752" s="32"/>
      <c r="I752" s="32"/>
      <c r="J752" s="32"/>
    </row>
    <row r="753" hidden="1">
      <c r="A753" s="69"/>
      <c r="B753" s="70"/>
      <c r="C753" s="68"/>
      <c r="D753" s="29"/>
      <c r="E753" s="32"/>
      <c r="F753" s="32"/>
      <c r="G753" s="32"/>
      <c r="H753" s="32"/>
      <c r="I753" s="32"/>
      <c r="J753" s="32"/>
    </row>
    <row r="754" hidden="1">
      <c r="A754" s="69"/>
      <c r="B754" s="70"/>
      <c r="C754" s="68"/>
      <c r="D754" s="29"/>
      <c r="E754" s="32"/>
      <c r="F754" s="32"/>
      <c r="G754" s="32"/>
      <c r="H754" s="32"/>
      <c r="I754" s="32"/>
      <c r="J754" s="32"/>
    </row>
    <row r="755" hidden="1">
      <c r="A755" s="69"/>
      <c r="B755" s="70"/>
      <c r="C755" s="68"/>
      <c r="D755" s="29"/>
      <c r="E755" s="32"/>
      <c r="F755" s="32"/>
      <c r="G755" s="32"/>
      <c r="H755" s="32"/>
      <c r="I755" s="32"/>
      <c r="J755" s="32"/>
    </row>
    <row r="756" hidden="1">
      <c r="A756" s="69"/>
      <c r="B756" s="70"/>
      <c r="C756" s="68"/>
      <c r="D756" s="29"/>
      <c r="E756" s="32"/>
      <c r="F756" s="32"/>
      <c r="G756" s="32"/>
      <c r="H756" s="32"/>
      <c r="I756" s="32"/>
      <c r="J756" s="32"/>
    </row>
    <row r="757" hidden="1">
      <c r="A757" s="69"/>
      <c r="B757" s="70"/>
      <c r="C757" s="68"/>
      <c r="D757" s="29"/>
      <c r="E757" s="32"/>
      <c r="F757" s="32"/>
      <c r="G757" s="32"/>
      <c r="H757" s="32"/>
      <c r="I757" s="32"/>
      <c r="J757" s="32"/>
    </row>
    <row r="758" hidden="1">
      <c r="A758" s="69"/>
      <c r="B758" s="70"/>
      <c r="C758" s="68"/>
      <c r="D758" s="29"/>
      <c r="E758" s="32"/>
      <c r="F758" s="32"/>
      <c r="G758" s="32"/>
      <c r="H758" s="32"/>
      <c r="I758" s="32"/>
      <c r="J758" s="32"/>
    </row>
    <row r="759" hidden="1">
      <c r="A759" s="69"/>
      <c r="B759" s="70"/>
      <c r="C759" s="68"/>
      <c r="D759" s="29"/>
      <c r="E759" s="32"/>
      <c r="F759" s="32"/>
      <c r="G759" s="32"/>
      <c r="H759" s="32"/>
      <c r="I759" s="32"/>
      <c r="J759" s="32"/>
    </row>
    <row r="760" hidden="1">
      <c r="A760" s="69"/>
      <c r="B760" s="70"/>
      <c r="C760" s="68"/>
      <c r="D760" s="29"/>
      <c r="E760" s="32"/>
      <c r="F760" s="32"/>
      <c r="G760" s="32"/>
      <c r="H760" s="32"/>
      <c r="I760" s="32"/>
      <c r="J760" s="32"/>
    </row>
    <row r="761" hidden="1">
      <c r="A761" s="69"/>
      <c r="B761" s="70"/>
      <c r="C761" s="68"/>
      <c r="D761" s="29"/>
      <c r="E761" s="32"/>
      <c r="F761" s="32"/>
      <c r="G761" s="32"/>
      <c r="H761" s="32"/>
      <c r="I761" s="32"/>
      <c r="J761" s="32"/>
    </row>
    <row r="762" hidden="1">
      <c r="A762" s="69"/>
      <c r="B762" s="70"/>
      <c r="C762" s="68"/>
      <c r="D762" s="29"/>
      <c r="E762" s="32"/>
      <c r="F762" s="32"/>
      <c r="G762" s="32"/>
      <c r="H762" s="32"/>
      <c r="I762" s="32"/>
      <c r="J762" s="32"/>
    </row>
    <row r="763" hidden="1">
      <c r="A763" s="69"/>
      <c r="B763" s="70"/>
      <c r="C763" s="68"/>
      <c r="D763" s="29"/>
      <c r="E763" s="32"/>
      <c r="F763" s="32"/>
      <c r="G763" s="32"/>
      <c r="H763" s="32"/>
      <c r="I763" s="32"/>
      <c r="J763" s="32"/>
    </row>
    <row r="764" hidden="1">
      <c r="A764" s="69"/>
      <c r="B764" s="70"/>
      <c r="C764" s="68"/>
      <c r="D764" s="29"/>
      <c r="E764" s="32"/>
      <c r="F764" s="32"/>
      <c r="G764" s="32"/>
      <c r="H764" s="32"/>
      <c r="I764" s="32"/>
      <c r="J764" s="32"/>
    </row>
    <row r="765" hidden="1">
      <c r="A765" s="69"/>
      <c r="B765" s="70"/>
      <c r="C765" s="68"/>
      <c r="D765" s="29"/>
      <c r="E765" s="32"/>
      <c r="F765" s="32"/>
      <c r="G765" s="32"/>
      <c r="H765" s="32"/>
      <c r="I765" s="32"/>
      <c r="J765" s="32"/>
    </row>
    <row r="766" hidden="1">
      <c r="A766" s="69"/>
      <c r="B766" s="70"/>
      <c r="C766" s="68"/>
      <c r="D766" s="29"/>
      <c r="E766" s="32"/>
      <c r="F766" s="32"/>
      <c r="G766" s="32"/>
      <c r="H766" s="32"/>
      <c r="I766" s="32"/>
      <c r="J766" s="32"/>
    </row>
    <row r="767" hidden="1">
      <c r="A767" s="69"/>
      <c r="B767" s="70"/>
      <c r="C767" s="68"/>
      <c r="D767" s="29"/>
      <c r="E767" s="32"/>
      <c r="F767" s="32"/>
      <c r="G767" s="32"/>
      <c r="H767" s="32"/>
      <c r="I767" s="32"/>
      <c r="J767" s="32"/>
    </row>
    <row r="768" hidden="1">
      <c r="A768" s="69"/>
      <c r="B768" s="70"/>
      <c r="C768" s="68"/>
      <c r="D768" s="29"/>
      <c r="E768" s="32"/>
      <c r="F768" s="32"/>
      <c r="G768" s="32"/>
      <c r="H768" s="32"/>
      <c r="I768" s="32"/>
      <c r="J768" s="32"/>
    </row>
    <row r="769" hidden="1">
      <c r="A769" s="69"/>
      <c r="B769" s="70"/>
      <c r="C769" s="68"/>
      <c r="D769" s="29"/>
      <c r="E769" s="32"/>
      <c r="F769" s="32"/>
      <c r="G769" s="32"/>
      <c r="H769" s="32"/>
      <c r="I769" s="32"/>
      <c r="J769" s="32"/>
    </row>
    <row r="770" hidden="1">
      <c r="A770" s="69"/>
      <c r="B770" s="70"/>
      <c r="C770" s="68"/>
      <c r="D770" s="29"/>
      <c r="E770" s="32"/>
      <c r="F770" s="32"/>
      <c r="G770" s="32"/>
      <c r="H770" s="32"/>
      <c r="I770" s="32"/>
      <c r="J770" s="32"/>
    </row>
    <row r="771" hidden="1">
      <c r="A771" s="69"/>
      <c r="B771" s="70"/>
      <c r="C771" s="68"/>
      <c r="D771" s="29"/>
      <c r="E771" s="32"/>
      <c r="F771" s="32"/>
      <c r="G771" s="32"/>
      <c r="H771" s="32"/>
      <c r="I771" s="32"/>
      <c r="J771" s="32"/>
    </row>
    <row r="772" hidden="1">
      <c r="A772" s="69"/>
      <c r="B772" s="70"/>
      <c r="C772" s="68"/>
      <c r="D772" s="29"/>
      <c r="E772" s="32"/>
      <c r="F772" s="32"/>
      <c r="G772" s="32"/>
      <c r="H772" s="32"/>
      <c r="I772" s="32"/>
      <c r="J772" s="32"/>
    </row>
    <row r="773" hidden="1">
      <c r="A773" s="69"/>
      <c r="B773" s="70"/>
      <c r="C773" s="68"/>
      <c r="D773" s="29"/>
      <c r="E773" s="32"/>
      <c r="F773" s="32"/>
      <c r="G773" s="32"/>
      <c r="H773" s="32"/>
      <c r="I773" s="32"/>
      <c r="J773" s="32"/>
    </row>
    <row r="774" hidden="1">
      <c r="A774" s="69"/>
      <c r="B774" s="70"/>
      <c r="C774" s="68"/>
      <c r="D774" s="29"/>
      <c r="E774" s="32"/>
      <c r="F774" s="32"/>
      <c r="G774" s="32"/>
      <c r="H774" s="32"/>
      <c r="I774" s="32"/>
      <c r="J774" s="32"/>
    </row>
    <row r="775" hidden="1">
      <c r="A775" s="69"/>
      <c r="B775" s="70"/>
      <c r="C775" s="68"/>
      <c r="D775" s="29"/>
      <c r="E775" s="32"/>
      <c r="F775" s="32"/>
      <c r="G775" s="32"/>
      <c r="H775" s="32"/>
      <c r="I775" s="32"/>
      <c r="J775" s="32"/>
    </row>
    <row r="776" hidden="1">
      <c r="A776" s="69"/>
      <c r="B776" s="70"/>
      <c r="C776" s="68"/>
      <c r="D776" s="29"/>
      <c r="E776" s="32"/>
      <c r="F776" s="32"/>
      <c r="G776" s="32"/>
      <c r="H776" s="32"/>
      <c r="I776" s="32"/>
      <c r="J776" s="32"/>
    </row>
    <row r="777" hidden="1">
      <c r="A777" s="69"/>
      <c r="B777" s="70"/>
      <c r="C777" s="68"/>
      <c r="D777" s="29"/>
      <c r="E777" s="32"/>
      <c r="F777" s="32"/>
      <c r="G777" s="32"/>
      <c r="H777" s="32"/>
      <c r="I777" s="32"/>
      <c r="J777" s="32"/>
    </row>
    <row r="778" hidden="1">
      <c r="A778" s="69"/>
      <c r="B778" s="70"/>
      <c r="C778" s="68"/>
      <c r="D778" s="29"/>
      <c r="E778" s="32"/>
      <c r="F778" s="32"/>
      <c r="G778" s="32"/>
      <c r="H778" s="32"/>
      <c r="I778" s="32"/>
      <c r="J778" s="32"/>
    </row>
    <row r="779" hidden="1">
      <c r="A779" s="69"/>
      <c r="B779" s="70"/>
      <c r="C779" s="68"/>
      <c r="D779" s="29"/>
      <c r="E779" s="32"/>
      <c r="F779" s="32"/>
      <c r="G779" s="32"/>
      <c r="H779" s="32"/>
      <c r="I779" s="32"/>
      <c r="J779" s="32"/>
    </row>
    <row r="780" hidden="1">
      <c r="A780" s="69"/>
      <c r="B780" s="70"/>
      <c r="C780" s="68"/>
      <c r="D780" s="29"/>
      <c r="E780" s="32"/>
      <c r="F780" s="32"/>
      <c r="G780" s="32"/>
      <c r="H780" s="32"/>
      <c r="I780" s="32"/>
      <c r="J780" s="32"/>
    </row>
    <row r="781" hidden="1">
      <c r="A781" s="69"/>
      <c r="B781" s="70"/>
      <c r="C781" s="68"/>
      <c r="D781" s="29"/>
      <c r="E781" s="32"/>
      <c r="F781" s="32"/>
      <c r="G781" s="32"/>
      <c r="H781" s="32"/>
      <c r="I781" s="32"/>
      <c r="J781" s="32"/>
    </row>
    <row r="782" hidden="1">
      <c r="A782" s="69"/>
      <c r="B782" s="70"/>
      <c r="C782" s="68"/>
      <c r="D782" s="29"/>
      <c r="E782" s="32"/>
      <c r="F782" s="32"/>
      <c r="G782" s="32"/>
      <c r="H782" s="32"/>
      <c r="I782" s="32"/>
      <c r="J782" s="32"/>
    </row>
    <row r="783" hidden="1">
      <c r="A783" s="69"/>
      <c r="B783" s="70"/>
      <c r="C783" s="68"/>
      <c r="D783" s="29"/>
      <c r="E783" s="32"/>
      <c r="F783" s="32"/>
      <c r="G783" s="32"/>
      <c r="H783" s="32"/>
      <c r="I783" s="32"/>
      <c r="J783" s="32"/>
    </row>
    <row r="784" hidden="1">
      <c r="A784" s="69"/>
      <c r="B784" s="70"/>
      <c r="C784" s="68"/>
      <c r="D784" s="29"/>
      <c r="E784" s="32"/>
      <c r="F784" s="32"/>
      <c r="G784" s="32"/>
      <c r="H784" s="32"/>
      <c r="I784" s="32"/>
      <c r="J784" s="32"/>
    </row>
    <row r="785" hidden="1">
      <c r="A785" s="69"/>
      <c r="B785" s="70"/>
      <c r="C785" s="68"/>
      <c r="D785" s="29"/>
      <c r="E785" s="32"/>
      <c r="F785" s="32"/>
      <c r="G785" s="32"/>
      <c r="H785" s="32"/>
      <c r="I785" s="32"/>
      <c r="J785" s="32"/>
    </row>
    <row r="786" hidden="1">
      <c r="A786" s="69"/>
      <c r="B786" s="70"/>
      <c r="C786" s="68"/>
      <c r="D786" s="29"/>
      <c r="E786" s="32"/>
      <c r="F786" s="32"/>
      <c r="G786" s="32"/>
      <c r="H786" s="32"/>
      <c r="I786" s="32"/>
      <c r="J786" s="32"/>
    </row>
    <row r="787" hidden="1">
      <c r="A787" s="69"/>
      <c r="B787" s="70"/>
      <c r="C787" s="68"/>
      <c r="D787" s="29"/>
      <c r="E787" s="32"/>
      <c r="F787" s="32"/>
      <c r="G787" s="32"/>
      <c r="H787" s="32"/>
      <c r="I787" s="32"/>
      <c r="J787" s="32"/>
    </row>
    <row r="788" hidden="1">
      <c r="A788" s="69"/>
      <c r="B788" s="70"/>
      <c r="C788" s="68"/>
      <c r="D788" s="29"/>
      <c r="E788" s="32"/>
      <c r="F788" s="32"/>
      <c r="G788" s="32"/>
      <c r="H788" s="32"/>
      <c r="I788" s="32"/>
      <c r="J788" s="32"/>
    </row>
    <row r="789" hidden="1">
      <c r="A789" s="69"/>
      <c r="B789" s="70"/>
      <c r="C789" s="68"/>
      <c r="D789" s="29"/>
      <c r="E789" s="32"/>
      <c r="F789" s="32"/>
      <c r="G789" s="32"/>
      <c r="H789" s="32"/>
      <c r="I789" s="32"/>
      <c r="J789" s="32"/>
    </row>
    <row r="790" hidden="1">
      <c r="A790" s="69"/>
      <c r="B790" s="70"/>
      <c r="C790" s="68"/>
      <c r="D790" s="29"/>
      <c r="E790" s="32"/>
      <c r="F790" s="32"/>
      <c r="G790" s="32"/>
      <c r="H790" s="32"/>
      <c r="I790" s="32"/>
      <c r="J790" s="32"/>
    </row>
    <row r="791" hidden="1">
      <c r="A791" s="69"/>
      <c r="B791" s="70"/>
      <c r="C791" s="68"/>
      <c r="D791" s="29"/>
      <c r="E791" s="32"/>
      <c r="F791" s="32"/>
      <c r="G791" s="32"/>
      <c r="H791" s="32"/>
      <c r="I791" s="32"/>
      <c r="J791" s="32"/>
    </row>
    <row r="792" hidden="1">
      <c r="A792" s="69"/>
      <c r="B792" s="70"/>
      <c r="C792" s="68"/>
      <c r="D792" s="29"/>
      <c r="E792" s="32"/>
      <c r="F792" s="32"/>
      <c r="G792" s="32"/>
      <c r="H792" s="32"/>
      <c r="I792" s="32"/>
      <c r="J792" s="32"/>
    </row>
    <row r="793" hidden="1">
      <c r="A793" s="69"/>
      <c r="B793" s="70"/>
      <c r="C793" s="68"/>
      <c r="D793" s="29"/>
      <c r="E793" s="32"/>
      <c r="F793" s="32"/>
      <c r="G793" s="32"/>
      <c r="H793" s="32"/>
      <c r="I793" s="32"/>
      <c r="J793" s="32"/>
    </row>
    <row r="794" hidden="1">
      <c r="A794" s="69"/>
      <c r="B794" s="70"/>
      <c r="C794" s="68"/>
      <c r="D794" s="29"/>
      <c r="E794" s="32"/>
      <c r="F794" s="32"/>
      <c r="G794" s="32"/>
      <c r="H794" s="32"/>
      <c r="I794" s="32"/>
      <c r="J794" s="32"/>
    </row>
    <row r="795" hidden="1">
      <c r="A795" s="69"/>
      <c r="B795" s="70"/>
      <c r="C795" s="68"/>
      <c r="D795" s="29"/>
      <c r="E795" s="32"/>
      <c r="F795" s="32"/>
      <c r="G795" s="32"/>
      <c r="H795" s="32"/>
      <c r="I795" s="32"/>
      <c r="J795" s="32"/>
    </row>
    <row r="796" hidden="1">
      <c r="A796" s="69"/>
      <c r="B796" s="70"/>
      <c r="C796" s="68"/>
      <c r="D796" s="29"/>
      <c r="E796" s="32"/>
      <c r="F796" s="32"/>
      <c r="G796" s="32"/>
      <c r="H796" s="32"/>
      <c r="I796" s="32"/>
      <c r="J796" s="32"/>
    </row>
    <row r="797" hidden="1">
      <c r="A797" s="69"/>
      <c r="B797" s="70"/>
      <c r="C797" s="68"/>
      <c r="D797" s="29"/>
      <c r="E797" s="32"/>
      <c r="F797" s="32"/>
      <c r="G797" s="32"/>
      <c r="H797" s="32"/>
      <c r="I797" s="32"/>
      <c r="J797" s="32"/>
    </row>
    <row r="798" hidden="1">
      <c r="A798" s="69"/>
      <c r="B798" s="70"/>
      <c r="C798" s="68"/>
      <c r="D798" s="29"/>
      <c r="E798" s="32"/>
      <c r="F798" s="32"/>
      <c r="G798" s="32"/>
      <c r="H798" s="32"/>
      <c r="I798" s="32"/>
      <c r="J798" s="32"/>
    </row>
    <row r="799" hidden="1">
      <c r="A799" s="69"/>
      <c r="B799" s="70"/>
      <c r="C799" s="68"/>
      <c r="D799" s="29"/>
      <c r="E799" s="32"/>
      <c r="F799" s="32"/>
      <c r="G799" s="32"/>
      <c r="H799" s="32"/>
      <c r="I799" s="32"/>
      <c r="J799" s="32"/>
    </row>
    <row r="800" hidden="1">
      <c r="A800" s="69"/>
      <c r="B800" s="70"/>
      <c r="C800" s="68"/>
      <c r="D800" s="29"/>
      <c r="E800" s="32"/>
      <c r="F800" s="32"/>
      <c r="G800" s="32"/>
      <c r="H800" s="32"/>
      <c r="I800" s="32"/>
      <c r="J800" s="32"/>
    </row>
    <row r="801" hidden="1">
      <c r="A801" s="69"/>
      <c r="B801" s="70"/>
      <c r="C801" s="68"/>
      <c r="D801" s="29"/>
      <c r="E801" s="32"/>
      <c r="F801" s="32"/>
      <c r="G801" s="32"/>
      <c r="H801" s="32"/>
      <c r="I801" s="32"/>
      <c r="J801" s="32"/>
    </row>
    <row r="802" hidden="1">
      <c r="A802" s="69"/>
      <c r="B802" s="70"/>
      <c r="C802" s="68"/>
      <c r="D802" s="29"/>
      <c r="E802" s="32"/>
      <c r="F802" s="32"/>
      <c r="G802" s="32"/>
      <c r="H802" s="32"/>
      <c r="I802" s="32"/>
      <c r="J802" s="32"/>
    </row>
    <row r="803" hidden="1">
      <c r="A803" s="69"/>
      <c r="B803" s="70"/>
      <c r="C803" s="68"/>
      <c r="D803" s="29"/>
      <c r="E803" s="32"/>
      <c r="F803" s="32"/>
      <c r="G803" s="32"/>
      <c r="H803" s="32"/>
      <c r="I803" s="32"/>
      <c r="J803" s="32"/>
    </row>
    <row r="804" hidden="1">
      <c r="A804" s="69"/>
      <c r="B804" s="70"/>
      <c r="C804" s="68"/>
      <c r="D804" s="29"/>
      <c r="E804" s="32"/>
      <c r="F804" s="32"/>
      <c r="G804" s="32"/>
      <c r="H804" s="32"/>
      <c r="I804" s="32"/>
      <c r="J804" s="32"/>
    </row>
    <row r="805" hidden="1">
      <c r="A805" s="69"/>
      <c r="B805" s="70"/>
      <c r="C805" s="68"/>
      <c r="D805" s="29"/>
      <c r="E805" s="32"/>
      <c r="F805" s="32"/>
      <c r="G805" s="32"/>
      <c r="H805" s="32"/>
      <c r="I805" s="32"/>
      <c r="J805" s="32"/>
    </row>
    <row r="806" hidden="1">
      <c r="A806" s="69"/>
      <c r="B806" s="70"/>
      <c r="C806" s="68"/>
      <c r="D806" s="29"/>
      <c r="E806" s="32"/>
      <c r="F806" s="32"/>
      <c r="G806" s="32"/>
      <c r="H806" s="32"/>
      <c r="I806" s="32"/>
      <c r="J806" s="32"/>
    </row>
    <row r="807" hidden="1">
      <c r="A807" s="69"/>
      <c r="B807" s="70"/>
      <c r="C807" s="68"/>
      <c r="D807" s="29"/>
      <c r="E807" s="32"/>
      <c r="F807" s="32"/>
      <c r="G807" s="32"/>
      <c r="H807" s="32"/>
      <c r="I807" s="32"/>
      <c r="J807" s="32"/>
    </row>
    <row r="808" hidden="1">
      <c r="A808" s="69"/>
      <c r="B808" s="70"/>
      <c r="C808" s="68"/>
      <c r="D808" s="29"/>
      <c r="E808" s="32"/>
      <c r="F808" s="32"/>
      <c r="G808" s="32"/>
      <c r="H808" s="32"/>
      <c r="I808" s="32"/>
      <c r="J808" s="32"/>
    </row>
    <row r="809" hidden="1">
      <c r="A809" s="69"/>
      <c r="B809" s="70"/>
      <c r="C809" s="68"/>
      <c r="D809" s="29"/>
      <c r="E809" s="32"/>
      <c r="F809" s="32"/>
      <c r="G809" s="32"/>
      <c r="H809" s="32"/>
      <c r="I809" s="32"/>
      <c r="J809" s="32"/>
    </row>
    <row r="810" hidden="1">
      <c r="A810" s="69"/>
      <c r="B810" s="70"/>
      <c r="C810" s="68"/>
      <c r="D810" s="29"/>
      <c r="E810" s="32"/>
      <c r="F810" s="32"/>
      <c r="G810" s="32"/>
      <c r="H810" s="32"/>
      <c r="I810" s="32"/>
      <c r="J810" s="32"/>
    </row>
    <row r="811" hidden="1">
      <c r="A811" s="69"/>
      <c r="B811" s="70"/>
      <c r="C811" s="68"/>
      <c r="D811" s="29"/>
      <c r="E811" s="32"/>
      <c r="F811" s="32"/>
      <c r="G811" s="32"/>
      <c r="H811" s="32"/>
      <c r="I811" s="32"/>
      <c r="J811" s="32"/>
    </row>
    <row r="812" hidden="1">
      <c r="A812" s="69"/>
      <c r="B812" s="70"/>
      <c r="C812" s="68"/>
      <c r="D812" s="29"/>
      <c r="E812" s="32"/>
      <c r="F812" s="32"/>
      <c r="G812" s="32"/>
      <c r="H812" s="32"/>
      <c r="I812" s="32"/>
      <c r="J812" s="32"/>
    </row>
    <row r="813" hidden="1">
      <c r="A813" s="69"/>
      <c r="B813" s="70"/>
      <c r="C813" s="68"/>
      <c r="D813" s="29"/>
      <c r="E813" s="32"/>
      <c r="F813" s="32"/>
      <c r="G813" s="32"/>
      <c r="H813" s="32"/>
      <c r="I813" s="32"/>
      <c r="J813" s="32"/>
    </row>
    <row r="814" hidden="1">
      <c r="A814" s="69"/>
      <c r="B814" s="70"/>
      <c r="C814" s="68"/>
      <c r="D814" s="29"/>
      <c r="E814" s="32"/>
      <c r="F814" s="32"/>
      <c r="G814" s="32"/>
      <c r="H814" s="32"/>
      <c r="I814" s="32"/>
      <c r="J814" s="32"/>
    </row>
    <row r="815" hidden="1">
      <c r="A815" s="69"/>
      <c r="B815" s="70"/>
      <c r="C815" s="68"/>
      <c r="D815" s="29"/>
      <c r="E815" s="32"/>
      <c r="F815" s="32"/>
      <c r="G815" s="32"/>
      <c r="H815" s="32"/>
      <c r="I815" s="32"/>
      <c r="J815" s="32"/>
    </row>
    <row r="816" hidden="1">
      <c r="A816" s="69"/>
      <c r="B816" s="70"/>
      <c r="C816" s="68"/>
      <c r="D816" s="29"/>
      <c r="E816" s="32"/>
      <c r="F816" s="32"/>
      <c r="G816" s="32"/>
      <c r="H816" s="32"/>
      <c r="I816" s="32"/>
      <c r="J816" s="32"/>
    </row>
    <row r="817" hidden="1">
      <c r="A817" s="69"/>
      <c r="B817" s="70"/>
      <c r="C817" s="68"/>
      <c r="D817" s="29"/>
      <c r="E817" s="32"/>
      <c r="F817" s="32"/>
      <c r="G817" s="32"/>
      <c r="H817" s="32"/>
      <c r="I817" s="32"/>
      <c r="J817" s="32"/>
    </row>
    <row r="818" hidden="1">
      <c r="A818" s="69"/>
      <c r="B818" s="70"/>
      <c r="C818" s="68"/>
      <c r="D818" s="29"/>
      <c r="E818" s="32"/>
      <c r="F818" s="32"/>
      <c r="G818" s="32"/>
      <c r="H818" s="32"/>
      <c r="I818" s="32"/>
      <c r="J818" s="32"/>
    </row>
    <row r="819" hidden="1">
      <c r="A819" s="69"/>
      <c r="B819" s="70"/>
      <c r="C819" s="68"/>
      <c r="D819" s="29"/>
      <c r="E819" s="32"/>
      <c r="F819" s="32"/>
      <c r="G819" s="32"/>
      <c r="H819" s="32"/>
      <c r="I819" s="32"/>
      <c r="J819" s="32"/>
    </row>
    <row r="820" hidden="1">
      <c r="A820" s="69"/>
      <c r="B820" s="70"/>
      <c r="C820" s="68"/>
      <c r="D820" s="29"/>
      <c r="E820" s="32"/>
      <c r="F820" s="32"/>
      <c r="G820" s="32"/>
      <c r="H820" s="32"/>
      <c r="I820" s="32"/>
      <c r="J820" s="32"/>
    </row>
    <row r="821" hidden="1">
      <c r="A821" s="69"/>
      <c r="B821" s="70"/>
      <c r="C821" s="68"/>
      <c r="D821" s="29"/>
      <c r="E821" s="32"/>
      <c r="F821" s="32"/>
      <c r="G821" s="32"/>
      <c r="H821" s="32"/>
      <c r="I821" s="32"/>
      <c r="J821" s="32"/>
    </row>
    <row r="822" hidden="1">
      <c r="A822" s="69"/>
      <c r="B822" s="70"/>
      <c r="C822" s="68"/>
      <c r="D822" s="29"/>
      <c r="E822" s="32"/>
      <c r="F822" s="32"/>
      <c r="G822" s="32"/>
      <c r="H822" s="32"/>
      <c r="I822" s="32"/>
      <c r="J822" s="32"/>
    </row>
    <row r="823" hidden="1">
      <c r="A823" s="69"/>
      <c r="B823" s="70"/>
      <c r="C823" s="68"/>
      <c r="D823" s="29"/>
      <c r="E823" s="32"/>
      <c r="F823" s="32"/>
      <c r="G823" s="32"/>
      <c r="H823" s="32"/>
      <c r="I823" s="32"/>
      <c r="J823" s="32"/>
    </row>
    <row r="824" hidden="1">
      <c r="A824" s="69"/>
      <c r="B824" s="70"/>
      <c r="C824" s="68"/>
      <c r="D824" s="29"/>
      <c r="E824" s="32"/>
      <c r="F824" s="32"/>
      <c r="G824" s="32"/>
      <c r="H824" s="32"/>
      <c r="I824" s="32"/>
      <c r="J824" s="32"/>
    </row>
    <row r="825" hidden="1">
      <c r="A825" s="69"/>
      <c r="B825" s="70"/>
      <c r="C825" s="68"/>
      <c r="D825" s="29"/>
      <c r="E825" s="32"/>
      <c r="F825" s="32"/>
      <c r="G825" s="32"/>
      <c r="H825" s="32"/>
      <c r="I825" s="32"/>
      <c r="J825" s="32"/>
    </row>
    <row r="826" hidden="1">
      <c r="A826" s="69"/>
      <c r="B826" s="70"/>
      <c r="C826" s="68"/>
      <c r="D826" s="29"/>
      <c r="E826" s="32"/>
      <c r="F826" s="32"/>
      <c r="G826" s="32"/>
      <c r="H826" s="32"/>
      <c r="I826" s="32"/>
      <c r="J826" s="32"/>
    </row>
    <row r="827" hidden="1">
      <c r="A827" s="69"/>
      <c r="B827" s="70"/>
      <c r="C827" s="68"/>
      <c r="D827" s="29"/>
      <c r="E827" s="32"/>
      <c r="F827" s="32"/>
      <c r="G827" s="32"/>
      <c r="H827" s="32"/>
      <c r="I827" s="32"/>
      <c r="J827" s="32"/>
    </row>
    <row r="828" hidden="1">
      <c r="A828" s="69"/>
      <c r="B828" s="70"/>
      <c r="C828" s="68"/>
      <c r="D828" s="29"/>
      <c r="E828" s="32"/>
      <c r="F828" s="32"/>
      <c r="G828" s="32"/>
      <c r="H828" s="32"/>
      <c r="I828" s="32"/>
      <c r="J828" s="32"/>
    </row>
    <row r="829" hidden="1">
      <c r="A829" s="69"/>
      <c r="B829" s="70"/>
      <c r="C829" s="68"/>
      <c r="D829" s="29"/>
      <c r="E829" s="32"/>
      <c r="F829" s="32"/>
      <c r="G829" s="32"/>
      <c r="H829" s="32"/>
      <c r="I829" s="32"/>
      <c r="J829" s="32"/>
    </row>
    <row r="830" hidden="1">
      <c r="A830" s="69"/>
      <c r="B830" s="70"/>
      <c r="C830" s="68"/>
      <c r="D830" s="29"/>
      <c r="E830" s="32"/>
      <c r="F830" s="32"/>
      <c r="G830" s="32"/>
      <c r="H830" s="32"/>
      <c r="I830" s="32"/>
      <c r="J830" s="32"/>
    </row>
    <row r="831" hidden="1">
      <c r="A831" s="69"/>
      <c r="B831" s="70"/>
      <c r="C831" s="68"/>
      <c r="D831" s="29"/>
      <c r="E831" s="32"/>
      <c r="F831" s="32"/>
      <c r="G831" s="32"/>
      <c r="H831" s="32"/>
      <c r="I831" s="32"/>
      <c r="J831" s="32"/>
    </row>
    <row r="832" hidden="1">
      <c r="A832" s="69"/>
      <c r="B832" s="70"/>
      <c r="C832" s="68"/>
      <c r="D832" s="29"/>
      <c r="E832" s="32"/>
      <c r="F832" s="32"/>
      <c r="G832" s="32"/>
      <c r="H832" s="32"/>
      <c r="I832" s="32"/>
      <c r="J832" s="32"/>
    </row>
    <row r="833" hidden="1">
      <c r="A833" s="69"/>
      <c r="B833" s="70"/>
      <c r="C833" s="68"/>
      <c r="D833" s="29"/>
      <c r="E833" s="32"/>
      <c r="F833" s="32"/>
      <c r="G833" s="32"/>
      <c r="H833" s="32"/>
      <c r="I833" s="32"/>
      <c r="J833" s="32"/>
    </row>
    <row r="834" hidden="1">
      <c r="A834" s="69"/>
      <c r="B834" s="70"/>
      <c r="C834" s="68"/>
      <c r="D834" s="29"/>
      <c r="E834" s="32"/>
      <c r="F834" s="32"/>
      <c r="G834" s="32"/>
      <c r="H834" s="32"/>
      <c r="I834" s="32"/>
      <c r="J834" s="32"/>
    </row>
    <row r="835" hidden="1">
      <c r="A835" s="69"/>
      <c r="B835" s="70"/>
      <c r="C835" s="68"/>
      <c r="D835" s="29"/>
      <c r="E835" s="32"/>
      <c r="F835" s="32"/>
      <c r="G835" s="32"/>
      <c r="H835" s="32"/>
      <c r="I835" s="32"/>
      <c r="J835" s="32"/>
    </row>
    <row r="836" hidden="1">
      <c r="A836" s="69"/>
      <c r="B836" s="70"/>
      <c r="C836" s="68"/>
      <c r="D836" s="29"/>
      <c r="E836" s="32"/>
      <c r="F836" s="32"/>
      <c r="G836" s="32"/>
      <c r="H836" s="32"/>
      <c r="I836" s="32"/>
      <c r="J836" s="32"/>
    </row>
    <row r="837" hidden="1">
      <c r="A837" s="69"/>
      <c r="B837" s="70"/>
      <c r="C837" s="68"/>
      <c r="D837" s="29"/>
      <c r="E837" s="32"/>
      <c r="F837" s="32"/>
      <c r="G837" s="32"/>
      <c r="H837" s="32"/>
      <c r="I837" s="32"/>
      <c r="J837" s="32"/>
    </row>
    <row r="838" hidden="1">
      <c r="A838" s="69"/>
      <c r="B838" s="70"/>
      <c r="C838" s="68"/>
      <c r="D838" s="29"/>
      <c r="E838" s="32"/>
      <c r="F838" s="32"/>
      <c r="G838" s="32"/>
      <c r="H838" s="32"/>
      <c r="I838" s="32"/>
      <c r="J838" s="32"/>
    </row>
    <row r="839" hidden="1">
      <c r="A839" s="69"/>
      <c r="B839" s="70"/>
      <c r="C839" s="68"/>
      <c r="D839" s="29"/>
      <c r="E839" s="32"/>
      <c r="F839" s="32"/>
      <c r="G839" s="32"/>
      <c r="H839" s="32"/>
      <c r="I839" s="32"/>
      <c r="J839" s="32"/>
    </row>
    <row r="840" hidden="1">
      <c r="A840" s="69"/>
      <c r="B840" s="70"/>
      <c r="C840" s="68"/>
      <c r="D840" s="29"/>
      <c r="E840" s="32"/>
      <c r="F840" s="32"/>
      <c r="G840" s="32"/>
      <c r="H840" s="32"/>
      <c r="I840" s="32"/>
      <c r="J840" s="32"/>
    </row>
    <row r="841" hidden="1">
      <c r="A841" s="69"/>
      <c r="B841" s="70"/>
      <c r="C841" s="68"/>
      <c r="D841" s="29"/>
      <c r="E841" s="32"/>
      <c r="F841" s="32"/>
      <c r="G841" s="32"/>
      <c r="H841" s="32"/>
      <c r="I841" s="32"/>
      <c r="J841" s="32"/>
    </row>
    <row r="842" hidden="1">
      <c r="A842" s="69"/>
      <c r="B842" s="70"/>
      <c r="C842" s="68"/>
      <c r="D842" s="29"/>
      <c r="E842" s="32"/>
      <c r="F842" s="32"/>
      <c r="G842" s="32"/>
      <c r="H842" s="32"/>
      <c r="I842" s="32"/>
      <c r="J842" s="32"/>
    </row>
    <row r="843" hidden="1">
      <c r="A843" s="69"/>
      <c r="B843" s="70"/>
      <c r="C843" s="68"/>
      <c r="D843" s="29"/>
      <c r="E843" s="32"/>
      <c r="F843" s="32"/>
      <c r="G843" s="32"/>
      <c r="H843" s="32"/>
      <c r="I843" s="32"/>
      <c r="J843" s="32"/>
    </row>
    <row r="844" hidden="1">
      <c r="A844" s="69"/>
      <c r="B844" s="70"/>
      <c r="C844" s="68"/>
      <c r="D844" s="29"/>
      <c r="E844" s="32"/>
      <c r="F844" s="32"/>
      <c r="G844" s="32"/>
      <c r="H844" s="32"/>
      <c r="I844" s="32"/>
      <c r="J844" s="32"/>
    </row>
    <row r="845" hidden="1">
      <c r="A845" s="69"/>
      <c r="B845" s="70"/>
      <c r="C845" s="68"/>
      <c r="D845" s="29"/>
      <c r="E845" s="32"/>
      <c r="F845" s="32"/>
      <c r="G845" s="32"/>
      <c r="H845" s="32"/>
      <c r="I845" s="32"/>
      <c r="J845" s="32"/>
    </row>
    <row r="846" hidden="1">
      <c r="A846" s="69"/>
      <c r="B846" s="70"/>
      <c r="C846" s="68"/>
      <c r="D846" s="29"/>
      <c r="E846" s="32"/>
      <c r="F846" s="32"/>
      <c r="G846" s="32"/>
      <c r="H846" s="32"/>
      <c r="I846" s="32"/>
      <c r="J846" s="32"/>
    </row>
    <row r="847" hidden="1">
      <c r="A847" s="69"/>
      <c r="B847" s="70"/>
      <c r="C847" s="68"/>
      <c r="D847" s="29"/>
      <c r="E847" s="32"/>
      <c r="F847" s="32"/>
      <c r="G847" s="32"/>
      <c r="H847" s="32"/>
      <c r="I847" s="32"/>
      <c r="J847" s="32"/>
    </row>
    <row r="848" hidden="1">
      <c r="A848" s="69"/>
      <c r="B848" s="70"/>
      <c r="C848" s="68"/>
      <c r="D848" s="29"/>
      <c r="E848" s="32"/>
      <c r="F848" s="32"/>
      <c r="G848" s="32"/>
      <c r="H848" s="32"/>
      <c r="I848" s="32"/>
      <c r="J848" s="32"/>
    </row>
    <row r="849" hidden="1">
      <c r="A849" s="69"/>
      <c r="B849" s="70"/>
      <c r="C849" s="68"/>
      <c r="D849" s="29"/>
      <c r="E849" s="32"/>
      <c r="F849" s="32"/>
      <c r="G849" s="32"/>
      <c r="H849" s="32"/>
      <c r="I849" s="32"/>
      <c r="J849" s="32"/>
    </row>
    <row r="850" hidden="1">
      <c r="A850" s="69"/>
      <c r="B850" s="70"/>
      <c r="C850" s="68"/>
      <c r="D850" s="29"/>
      <c r="E850" s="32"/>
      <c r="F850" s="32"/>
      <c r="G850" s="32"/>
      <c r="H850" s="32"/>
      <c r="I850" s="32"/>
      <c r="J850" s="32"/>
    </row>
    <row r="851" hidden="1">
      <c r="A851" s="69"/>
      <c r="B851" s="70"/>
      <c r="C851" s="68"/>
      <c r="D851" s="29"/>
      <c r="E851" s="32"/>
      <c r="F851" s="32"/>
      <c r="G851" s="32"/>
      <c r="H851" s="32"/>
      <c r="I851" s="32"/>
      <c r="J851" s="32"/>
    </row>
    <row r="852" hidden="1">
      <c r="A852" s="69"/>
      <c r="B852" s="70"/>
      <c r="C852" s="68"/>
      <c r="D852" s="29"/>
      <c r="E852" s="32"/>
      <c r="F852" s="32"/>
      <c r="G852" s="32"/>
      <c r="H852" s="32"/>
      <c r="I852" s="32"/>
      <c r="J852" s="32"/>
    </row>
    <row r="853" hidden="1">
      <c r="A853" s="69"/>
      <c r="B853" s="70"/>
      <c r="C853" s="68"/>
      <c r="D853" s="29"/>
      <c r="E853" s="32"/>
      <c r="F853" s="32"/>
      <c r="G853" s="32"/>
      <c r="H853" s="32"/>
      <c r="I853" s="32"/>
      <c r="J853" s="32"/>
    </row>
    <row r="854" hidden="1">
      <c r="A854" s="69"/>
      <c r="B854" s="70"/>
      <c r="C854" s="68"/>
      <c r="D854" s="29"/>
      <c r="E854" s="32"/>
      <c r="F854" s="32"/>
      <c r="G854" s="32"/>
      <c r="H854" s="32"/>
      <c r="I854" s="32"/>
      <c r="J854" s="32"/>
    </row>
    <row r="855" hidden="1">
      <c r="A855" s="69"/>
      <c r="B855" s="70"/>
      <c r="C855" s="68"/>
      <c r="D855" s="29"/>
      <c r="E855" s="32"/>
      <c r="F855" s="32"/>
      <c r="G855" s="32"/>
      <c r="H855" s="32"/>
      <c r="I855" s="32"/>
      <c r="J855" s="32"/>
    </row>
    <row r="856" hidden="1">
      <c r="A856" s="69"/>
      <c r="B856" s="70"/>
      <c r="C856" s="68"/>
      <c r="D856" s="29"/>
      <c r="E856" s="32"/>
      <c r="F856" s="32"/>
      <c r="G856" s="32"/>
      <c r="H856" s="32"/>
      <c r="I856" s="32"/>
      <c r="J856" s="32"/>
    </row>
    <row r="857" hidden="1">
      <c r="A857" s="69"/>
      <c r="B857" s="70"/>
      <c r="C857" s="68"/>
      <c r="D857" s="29"/>
      <c r="E857" s="32"/>
      <c r="F857" s="32"/>
      <c r="G857" s="32"/>
      <c r="H857" s="32"/>
      <c r="I857" s="32"/>
      <c r="J857" s="32"/>
    </row>
    <row r="858" hidden="1">
      <c r="A858" s="69"/>
      <c r="B858" s="70"/>
      <c r="C858" s="68"/>
      <c r="D858" s="29"/>
      <c r="E858" s="32"/>
      <c r="F858" s="32"/>
      <c r="G858" s="32"/>
      <c r="H858" s="32"/>
      <c r="I858" s="32"/>
      <c r="J858" s="32"/>
    </row>
    <row r="859" hidden="1">
      <c r="A859" s="69"/>
      <c r="B859" s="70"/>
      <c r="C859" s="68"/>
      <c r="D859" s="29"/>
      <c r="E859" s="32"/>
      <c r="F859" s="32"/>
      <c r="G859" s="32"/>
      <c r="H859" s="32"/>
      <c r="I859" s="32"/>
      <c r="J859" s="32"/>
    </row>
    <row r="860" hidden="1">
      <c r="A860" s="69"/>
      <c r="B860" s="70"/>
      <c r="C860" s="68"/>
      <c r="D860" s="29"/>
      <c r="E860" s="32"/>
      <c r="F860" s="32"/>
      <c r="G860" s="32"/>
      <c r="H860" s="32"/>
      <c r="I860" s="32"/>
      <c r="J860" s="32"/>
    </row>
    <row r="861" hidden="1">
      <c r="A861" s="69"/>
      <c r="B861" s="70"/>
      <c r="C861" s="68"/>
      <c r="D861" s="29"/>
      <c r="E861" s="32"/>
      <c r="F861" s="32"/>
      <c r="G861" s="32"/>
      <c r="H861" s="32"/>
      <c r="I861" s="32"/>
      <c r="J861" s="32"/>
    </row>
    <row r="862" hidden="1">
      <c r="A862" s="69"/>
      <c r="B862" s="70"/>
      <c r="C862" s="68"/>
      <c r="D862" s="29"/>
      <c r="E862" s="32"/>
      <c r="F862" s="32"/>
      <c r="G862" s="32"/>
      <c r="H862" s="32"/>
      <c r="I862" s="32"/>
      <c r="J862" s="32"/>
    </row>
    <row r="863" hidden="1">
      <c r="A863" s="69"/>
      <c r="B863" s="70"/>
      <c r="C863" s="68"/>
      <c r="D863" s="29"/>
      <c r="E863" s="32"/>
      <c r="F863" s="32"/>
      <c r="G863" s="32"/>
      <c r="H863" s="32"/>
      <c r="I863" s="32"/>
      <c r="J863" s="32"/>
    </row>
    <row r="864" hidden="1">
      <c r="A864" s="69"/>
      <c r="B864" s="70"/>
      <c r="C864" s="68"/>
      <c r="D864" s="29"/>
      <c r="E864" s="32"/>
      <c r="F864" s="32"/>
      <c r="G864" s="32"/>
      <c r="H864" s="32"/>
      <c r="I864" s="32"/>
      <c r="J864" s="32"/>
    </row>
    <row r="865" hidden="1">
      <c r="A865" s="69"/>
      <c r="B865" s="70"/>
      <c r="C865" s="68"/>
      <c r="D865" s="29"/>
      <c r="E865" s="32"/>
      <c r="F865" s="32"/>
      <c r="G865" s="32"/>
      <c r="H865" s="32"/>
      <c r="I865" s="32"/>
      <c r="J865" s="32"/>
    </row>
    <row r="866" hidden="1">
      <c r="A866" s="69"/>
      <c r="B866" s="70"/>
      <c r="C866" s="68"/>
      <c r="D866" s="29"/>
      <c r="E866" s="32"/>
      <c r="F866" s="32"/>
      <c r="G866" s="32"/>
      <c r="H866" s="32"/>
      <c r="I866" s="32"/>
      <c r="J866" s="32"/>
    </row>
    <row r="867" hidden="1">
      <c r="A867" s="69"/>
      <c r="B867" s="70"/>
      <c r="C867" s="68"/>
      <c r="D867" s="29"/>
      <c r="E867" s="32"/>
      <c r="F867" s="32"/>
      <c r="G867" s="32"/>
      <c r="H867" s="32"/>
      <c r="I867" s="32"/>
      <c r="J867" s="32"/>
    </row>
    <row r="868" hidden="1">
      <c r="A868" s="69"/>
      <c r="B868" s="70"/>
      <c r="C868" s="68"/>
      <c r="D868" s="29"/>
      <c r="E868" s="32"/>
      <c r="F868" s="32"/>
      <c r="G868" s="32"/>
      <c r="H868" s="32"/>
      <c r="I868" s="32"/>
      <c r="J868" s="32"/>
    </row>
    <row r="869" hidden="1">
      <c r="A869" s="69"/>
      <c r="B869" s="70"/>
      <c r="C869" s="68"/>
      <c r="D869" s="29"/>
      <c r="E869" s="32"/>
      <c r="F869" s="32"/>
      <c r="G869" s="32"/>
      <c r="H869" s="32"/>
      <c r="I869" s="32"/>
      <c r="J869" s="32"/>
    </row>
    <row r="870" hidden="1">
      <c r="A870" s="69"/>
      <c r="B870" s="70"/>
      <c r="C870" s="68"/>
      <c r="D870" s="29"/>
      <c r="E870" s="32"/>
      <c r="F870" s="32"/>
      <c r="G870" s="32"/>
      <c r="H870" s="32"/>
      <c r="I870" s="32"/>
      <c r="J870" s="32"/>
    </row>
    <row r="871" hidden="1">
      <c r="A871" s="69"/>
      <c r="B871" s="70"/>
      <c r="C871" s="68"/>
      <c r="D871" s="29"/>
      <c r="E871" s="32"/>
      <c r="F871" s="32"/>
      <c r="G871" s="32"/>
      <c r="H871" s="32"/>
      <c r="I871" s="32"/>
      <c r="J871" s="32"/>
    </row>
    <row r="872" hidden="1">
      <c r="A872" s="69"/>
      <c r="B872" s="70"/>
      <c r="C872" s="68"/>
      <c r="D872" s="29"/>
      <c r="E872" s="32"/>
      <c r="F872" s="32"/>
      <c r="G872" s="32"/>
      <c r="H872" s="32"/>
      <c r="I872" s="32"/>
      <c r="J872" s="32"/>
    </row>
    <row r="873" hidden="1">
      <c r="A873" s="69"/>
      <c r="B873" s="70"/>
      <c r="C873" s="68"/>
      <c r="D873" s="29"/>
      <c r="E873" s="32"/>
      <c r="F873" s="32"/>
      <c r="G873" s="32"/>
      <c r="H873" s="32"/>
      <c r="I873" s="32"/>
      <c r="J873" s="32"/>
    </row>
    <row r="874" hidden="1">
      <c r="A874" s="69"/>
      <c r="B874" s="70"/>
      <c r="C874" s="68"/>
      <c r="D874" s="29"/>
      <c r="E874" s="32"/>
      <c r="F874" s="32"/>
      <c r="G874" s="32"/>
      <c r="H874" s="32"/>
      <c r="I874" s="32"/>
      <c r="J874" s="32"/>
    </row>
    <row r="875" hidden="1">
      <c r="A875" s="69"/>
      <c r="B875" s="70"/>
      <c r="C875" s="68"/>
      <c r="D875" s="29"/>
      <c r="E875" s="32"/>
      <c r="F875" s="32"/>
      <c r="G875" s="32"/>
      <c r="H875" s="32"/>
      <c r="I875" s="32"/>
      <c r="J875" s="32"/>
    </row>
    <row r="876" hidden="1">
      <c r="A876" s="69"/>
      <c r="B876" s="70"/>
      <c r="C876" s="68"/>
      <c r="D876" s="29"/>
      <c r="E876" s="32"/>
      <c r="F876" s="32"/>
      <c r="G876" s="32"/>
      <c r="H876" s="32"/>
      <c r="I876" s="32"/>
      <c r="J876" s="32"/>
    </row>
    <row r="877" hidden="1">
      <c r="A877" s="69"/>
      <c r="B877" s="70"/>
      <c r="C877" s="68"/>
      <c r="D877" s="29"/>
      <c r="E877" s="32"/>
      <c r="F877" s="32"/>
      <c r="G877" s="32"/>
      <c r="H877" s="32"/>
      <c r="I877" s="32"/>
      <c r="J877" s="32"/>
    </row>
    <row r="878" hidden="1">
      <c r="A878" s="69"/>
      <c r="B878" s="70"/>
      <c r="C878" s="68"/>
      <c r="D878" s="29"/>
      <c r="E878" s="32"/>
      <c r="F878" s="32"/>
      <c r="G878" s="32"/>
      <c r="H878" s="32"/>
      <c r="I878" s="32"/>
      <c r="J878" s="32"/>
    </row>
    <row r="879" hidden="1">
      <c r="A879" s="69"/>
      <c r="B879" s="70"/>
      <c r="C879" s="68"/>
      <c r="D879" s="29"/>
      <c r="E879" s="32"/>
      <c r="F879" s="32"/>
      <c r="G879" s="32"/>
      <c r="H879" s="32"/>
      <c r="I879" s="32"/>
      <c r="J879" s="32"/>
    </row>
    <row r="880" hidden="1">
      <c r="A880" s="69"/>
      <c r="B880" s="70"/>
      <c r="C880" s="68"/>
      <c r="D880" s="29"/>
      <c r="E880" s="32"/>
      <c r="F880" s="32"/>
      <c r="G880" s="32"/>
      <c r="H880" s="32"/>
      <c r="I880" s="32"/>
      <c r="J880" s="32"/>
    </row>
    <row r="881" hidden="1">
      <c r="A881" s="69"/>
      <c r="B881" s="70"/>
      <c r="C881" s="68"/>
      <c r="D881" s="29"/>
      <c r="E881" s="32"/>
      <c r="F881" s="32"/>
      <c r="G881" s="32"/>
      <c r="H881" s="32"/>
      <c r="I881" s="32"/>
      <c r="J881" s="32"/>
    </row>
    <row r="882" hidden="1">
      <c r="A882" s="69"/>
      <c r="B882" s="70"/>
      <c r="C882" s="68"/>
      <c r="D882" s="29"/>
      <c r="E882" s="32"/>
      <c r="F882" s="32"/>
      <c r="G882" s="32"/>
      <c r="H882" s="32"/>
      <c r="I882" s="32"/>
      <c r="J882" s="32"/>
    </row>
    <row r="883" hidden="1">
      <c r="A883" s="69"/>
      <c r="B883" s="70"/>
      <c r="C883" s="68"/>
      <c r="D883" s="29"/>
      <c r="E883" s="32"/>
      <c r="F883" s="32"/>
      <c r="G883" s="32"/>
      <c r="H883" s="32"/>
      <c r="I883" s="32"/>
      <c r="J883" s="32"/>
    </row>
    <row r="884" hidden="1">
      <c r="A884" s="69"/>
      <c r="B884" s="70"/>
      <c r="C884" s="68"/>
      <c r="D884" s="29"/>
      <c r="E884" s="32"/>
      <c r="F884" s="32"/>
      <c r="G884" s="32"/>
      <c r="H884" s="32"/>
      <c r="I884" s="32"/>
      <c r="J884" s="32"/>
    </row>
    <row r="885" hidden="1">
      <c r="A885" s="69"/>
      <c r="B885" s="70"/>
      <c r="C885" s="68"/>
      <c r="D885" s="29"/>
      <c r="E885" s="32"/>
      <c r="F885" s="32"/>
      <c r="G885" s="32"/>
      <c r="H885" s="32"/>
      <c r="I885" s="32"/>
      <c r="J885" s="32"/>
    </row>
    <row r="886" hidden="1">
      <c r="A886" s="69"/>
      <c r="B886" s="70"/>
      <c r="C886" s="68"/>
      <c r="D886" s="29"/>
      <c r="E886" s="32"/>
      <c r="F886" s="32"/>
      <c r="G886" s="32"/>
      <c r="H886" s="32"/>
      <c r="I886" s="32"/>
      <c r="J886" s="32"/>
    </row>
    <row r="887" hidden="1">
      <c r="A887" s="69"/>
      <c r="B887" s="70"/>
      <c r="C887" s="68"/>
      <c r="D887" s="29"/>
      <c r="E887" s="32"/>
      <c r="F887" s="32"/>
      <c r="G887" s="32"/>
      <c r="H887" s="32"/>
      <c r="I887" s="32"/>
      <c r="J887" s="32"/>
    </row>
    <row r="888" hidden="1">
      <c r="A888" s="69"/>
      <c r="B888" s="70"/>
      <c r="C888" s="68"/>
      <c r="D888" s="29"/>
      <c r="E888" s="32"/>
      <c r="F888" s="32"/>
      <c r="G888" s="32"/>
      <c r="H888" s="32"/>
      <c r="I888" s="32"/>
      <c r="J888" s="32"/>
    </row>
    <row r="889" hidden="1">
      <c r="A889" s="69"/>
      <c r="B889" s="70"/>
      <c r="C889" s="68"/>
      <c r="D889" s="29"/>
      <c r="E889" s="32"/>
      <c r="F889" s="32"/>
      <c r="G889" s="32"/>
      <c r="H889" s="32"/>
      <c r="I889" s="32"/>
      <c r="J889" s="32"/>
    </row>
    <row r="890" hidden="1">
      <c r="A890" s="69"/>
      <c r="B890" s="70"/>
      <c r="C890" s="68"/>
      <c r="D890" s="29"/>
      <c r="E890" s="32"/>
      <c r="F890" s="32"/>
      <c r="G890" s="32"/>
      <c r="H890" s="32"/>
      <c r="I890" s="32"/>
      <c r="J890" s="32"/>
    </row>
    <row r="891" hidden="1">
      <c r="A891" s="69"/>
      <c r="B891" s="70"/>
      <c r="C891" s="68"/>
      <c r="D891" s="29"/>
      <c r="E891" s="32"/>
      <c r="F891" s="32"/>
      <c r="G891" s="32"/>
      <c r="H891" s="32"/>
      <c r="I891" s="32"/>
      <c r="J891" s="32"/>
    </row>
    <row r="892" hidden="1">
      <c r="A892" s="69"/>
      <c r="B892" s="70"/>
      <c r="C892" s="68"/>
      <c r="D892" s="29"/>
      <c r="E892" s="32"/>
      <c r="F892" s="32"/>
      <c r="G892" s="32"/>
      <c r="H892" s="32"/>
      <c r="I892" s="32"/>
      <c r="J892" s="32"/>
    </row>
    <row r="893" hidden="1">
      <c r="A893" s="69"/>
      <c r="B893" s="70"/>
      <c r="C893" s="68"/>
      <c r="D893" s="29"/>
      <c r="E893" s="32"/>
      <c r="F893" s="32"/>
      <c r="G893" s="32"/>
      <c r="H893" s="32"/>
      <c r="I893" s="32"/>
      <c r="J893" s="32"/>
    </row>
    <row r="894" hidden="1">
      <c r="A894" s="69"/>
      <c r="B894" s="70"/>
      <c r="C894" s="68"/>
      <c r="D894" s="29"/>
      <c r="E894" s="32"/>
      <c r="F894" s="32"/>
      <c r="G894" s="32"/>
      <c r="H894" s="32"/>
      <c r="I894" s="32"/>
      <c r="J894" s="32"/>
    </row>
    <row r="895" hidden="1">
      <c r="A895" s="69"/>
      <c r="B895" s="70"/>
      <c r="C895" s="68"/>
      <c r="D895" s="29"/>
      <c r="E895" s="32"/>
      <c r="F895" s="32"/>
      <c r="G895" s="32"/>
      <c r="H895" s="32"/>
      <c r="I895" s="32"/>
      <c r="J895" s="32"/>
    </row>
    <row r="896" hidden="1">
      <c r="A896" s="69"/>
      <c r="B896" s="70"/>
      <c r="C896" s="68"/>
      <c r="D896" s="29"/>
      <c r="E896" s="32"/>
      <c r="F896" s="32"/>
      <c r="G896" s="32"/>
      <c r="H896" s="32"/>
      <c r="I896" s="32"/>
      <c r="J896" s="32"/>
    </row>
    <row r="897" hidden="1">
      <c r="A897" s="69"/>
      <c r="B897" s="70"/>
      <c r="C897" s="68"/>
      <c r="D897" s="29"/>
      <c r="E897" s="32"/>
      <c r="F897" s="32"/>
      <c r="G897" s="32"/>
      <c r="H897" s="32"/>
      <c r="I897" s="32"/>
      <c r="J897" s="32"/>
    </row>
    <row r="898" hidden="1">
      <c r="A898" s="69"/>
      <c r="B898" s="70"/>
      <c r="C898" s="68"/>
      <c r="D898" s="29"/>
      <c r="E898" s="32"/>
      <c r="F898" s="32"/>
      <c r="G898" s="32"/>
      <c r="H898" s="32"/>
      <c r="I898" s="32"/>
      <c r="J898" s="32"/>
    </row>
    <row r="899" hidden="1">
      <c r="A899" s="69"/>
      <c r="B899" s="70"/>
      <c r="C899" s="68"/>
      <c r="D899" s="29"/>
      <c r="E899" s="32"/>
      <c r="F899" s="32"/>
      <c r="G899" s="32"/>
      <c r="H899" s="32"/>
      <c r="I899" s="32"/>
      <c r="J899" s="32"/>
    </row>
    <row r="900" hidden="1">
      <c r="A900" s="69"/>
      <c r="B900" s="70"/>
      <c r="C900" s="68"/>
      <c r="D900" s="29"/>
      <c r="E900" s="32"/>
      <c r="F900" s="32"/>
      <c r="G900" s="32"/>
      <c r="H900" s="32"/>
      <c r="I900" s="32"/>
      <c r="J900" s="32"/>
    </row>
    <row r="901" hidden="1">
      <c r="A901" s="69"/>
      <c r="B901" s="70"/>
      <c r="C901" s="68"/>
      <c r="D901" s="29"/>
      <c r="E901" s="32"/>
      <c r="F901" s="32"/>
      <c r="G901" s="32"/>
      <c r="H901" s="32"/>
      <c r="I901" s="32"/>
      <c r="J901" s="32"/>
    </row>
    <row r="902" hidden="1">
      <c r="A902" s="69"/>
      <c r="B902" s="70"/>
      <c r="C902" s="68"/>
      <c r="D902" s="29"/>
      <c r="E902" s="32"/>
      <c r="F902" s="32"/>
      <c r="G902" s="32"/>
      <c r="H902" s="32"/>
      <c r="I902" s="32"/>
      <c r="J902" s="32"/>
    </row>
    <row r="903" hidden="1">
      <c r="A903" s="69"/>
      <c r="B903" s="70"/>
      <c r="C903" s="68"/>
      <c r="D903" s="29"/>
      <c r="E903" s="32"/>
      <c r="F903" s="32"/>
      <c r="G903" s="32"/>
      <c r="H903" s="32"/>
      <c r="I903" s="32"/>
      <c r="J903" s="32"/>
    </row>
    <row r="904" hidden="1">
      <c r="A904" s="69"/>
      <c r="B904" s="70"/>
      <c r="C904" s="68"/>
      <c r="D904" s="29"/>
      <c r="E904" s="32"/>
      <c r="F904" s="32"/>
      <c r="G904" s="32"/>
      <c r="H904" s="32"/>
      <c r="I904" s="32"/>
      <c r="J904" s="32"/>
    </row>
    <row r="905" hidden="1">
      <c r="A905" s="69"/>
      <c r="B905" s="70"/>
      <c r="C905" s="68"/>
      <c r="D905" s="29"/>
      <c r="E905" s="32"/>
      <c r="F905" s="32"/>
      <c r="G905" s="32"/>
      <c r="H905" s="32"/>
      <c r="I905" s="32"/>
      <c r="J905" s="32"/>
    </row>
    <row r="906" hidden="1">
      <c r="A906" s="69"/>
      <c r="B906" s="70"/>
      <c r="C906" s="68"/>
      <c r="D906" s="29"/>
      <c r="E906" s="32"/>
      <c r="F906" s="32"/>
      <c r="G906" s="32"/>
      <c r="H906" s="32"/>
      <c r="I906" s="32"/>
      <c r="J906" s="32"/>
    </row>
    <row r="907" hidden="1">
      <c r="A907" s="69"/>
      <c r="B907" s="70"/>
      <c r="C907" s="68"/>
      <c r="D907" s="29"/>
      <c r="E907" s="32"/>
      <c r="F907" s="32"/>
      <c r="G907" s="32"/>
      <c r="H907" s="32"/>
      <c r="I907" s="32"/>
      <c r="J907" s="32"/>
    </row>
    <row r="908" hidden="1">
      <c r="A908" s="69"/>
      <c r="B908" s="70"/>
      <c r="C908" s="68"/>
      <c r="D908" s="29"/>
      <c r="E908" s="32"/>
      <c r="F908" s="32"/>
      <c r="G908" s="32"/>
      <c r="H908" s="32"/>
      <c r="I908" s="32"/>
      <c r="J908" s="32"/>
    </row>
    <row r="909" hidden="1">
      <c r="A909" s="69"/>
      <c r="B909" s="70"/>
      <c r="C909" s="68"/>
      <c r="D909" s="29"/>
      <c r="E909" s="32"/>
      <c r="F909" s="32"/>
      <c r="G909" s="32"/>
      <c r="H909" s="32"/>
      <c r="I909" s="32"/>
      <c r="J909" s="32"/>
    </row>
    <row r="910" hidden="1">
      <c r="A910" s="69"/>
      <c r="B910" s="70"/>
      <c r="C910" s="68"/>
      <c r="D910" s="29"/>
      <c r="E910" s="32"/>
      <c r="F910" s="32"/>
      <c r="G910" s="32"/>
      <c r="H910" s="32"/>
      <c r="I910" s="32"/>
      <c r="J910" s="32"/>
    </row>
    <row r="911" hidden="1">
      <c r="A911" s="69"/>
      <c r="B911" s="70"/>
      <c r="C911" s="68"/>
      <c r="D911" s="29"/>
      <c r="E911" s="32"/>
      <c r="F911" s="32"/>
      <c r="G911" s="32"/>
      <c r="H911" s="32"/>
      <c r="I911" s="32"/>
      <c r="J911" s="32"/>
    </row>
    <row r="912" hidden="1">
      <c r="A912" s="69"/>
      <c r="B912" s="70"/>
      <c r="C912" s="68"/>
      <c r="D912" s="29"/>
      <c r="E912" s="32"/>
      <c r="F912" s="32"/>
      <c r="G912" s="32"/>
      <c r="H912" s="32"/>
      <c r="I912" s="32"/>
      <c r="J912" s="32"/>
    </row>
    <row r="913" hidden="1">
      <c r="A913" s="69"/>
      <c r="B913" s="70"/>
      <c r="C913" s="68"/>
      <c r="D913" s="29"/>
      <c r="E913" s="32"/>
      <c r="F913" s="32"/>
      <c r="G913" s="32"/>
      <c r="H913" s="32"/>
      <c r="I913" s="32"/>
      <c r="J913" s="32"/>
    </row>
    <row r="914" hidden="1">
      <c r="A914" s="69"/>
      <c r="B914" s="70"/>
      <c r="C914" s="68"/>
      <c r="D914" s="29"/>
      <c r="E914" s="32"/>
      <c r="F914" s="32"/>
      <c r="G914" s="32"/>
      <c r="H914" s="32"/>
      <c r="I914" s="32"/>
      <c r="J914" s="32"/>
    </row>
    <row r="915" hidden="1">
      <c r="A915" s="69"/>
      <c r="B915" s="70"/>
      <c r="C915" s="68"/>
      <c r="D915" s="29"/>
      <c r="E915" s="32"/>
      <c r="F915" s="32"/>
      <c r="G915" s="32"/>
      <c r="H915" s="32"/>
      <c r="I915" s="32"/>
      <c r="J915" s="32"/>
    </row>
    <row r="916" hidden="1">
      <c r="A916" s="69"/>
      <c r="B916" s="70"/>
      <c r="C916" s="68"/>
      <c r="D916" s="29"/>
      <c r="E916" s="32"/>
      <c r="F916" s="32"/>
      <c r="G916" s="32"/>
      <c r="H916" s="32"/>
      <c r="I916" s="32"/>
      <c r="J916" s="32"/>
    </row>
    <row r="917" hidden="1">
      <c r="A917" s="69"/>
      <c r="B917" s="70"/>
      <c r="C917" s="68"/>
      <c r="D917" s="29"/>
      <c r="E917" s="32"/>
      <c r="F917" s="32"/>
      <c r="G917" s="32"/>
      <c r="H917" s="32"/>
      <c r="I917" s="32"/>
      <c r="J917" s="32"/>
    </row>
    <row r="918" hidden="1">
      <c r="A918" s="69"/>
      <c r="B918" s="70"/>
      <c r="C918" s="68"/>
      <c r="D918" s="29"/>
      <c r="E918" s="32"/>
      <c r="F918" s="32"/>
      <c r="G918" s="32"/>
      <c r="H918" s="32"/>
      <c r="I918" s="32"/>
      <c r="J918" s="32"/>
    </row>
    <row r="919" hidden="1">
      <c r="A919" s="69"/>
      <c r="B919" s="70"/>
      <c r="C919" s="68"/>
      <c r="D919" s="29"/>
      <c r="E919" s="32"/>
      <c r="F919" s="32"/>
      <c r="G919" s="32"/>
      <c r="H919" s="32"/>
      <c r="I919" s="32"/>
      <c r="J919" s="32"/>
    </row>
    <row r="920" hidden="1">
      <c r="A920" s="69"/>
      <c r="B920" s="70"/>
      <c r="C920" s="68"/>
      <c r="D920" s="29"/>
      <c r="E920" s="32"/>
      <c r="F920" s="32"/>
      <c r="G920" s="32"/>
      <c r="H920" s="32"/>
      <c r="I920" s="32"/>
      <c r="J920" s="32"/>
    </row>
    <row r="921" hidden="1">
      <c r="A921" s="69"/>
      <c r="B921" s="70"/>
      <c r="C921" s="68"/>
      <c r="D921" s="29"/>
      <c r="E921" s="32"/>
      <c r="F921" s="32"/>
      <c r="G921" s="32"/>
      <c r="H921" s="32"/>
      <c r="I921" s="32"/>
      <c r="J921" s="32"/>
    </row>
    <row r="922" hidden="1">
      <c r="A922" s="69"/>
      <c r="B922" s="70"/>
      <c r="C922" s="68"/>
      <c r="D922" s="29"/>
      <c r="E922" s="32"/>
      <c r="F922" s="32"/>
      <c r="G922" s="32"/>
      <c r="H922" s="32"/>
      <c r="I922" s="32"/>
      <c r="J922" s="32"/>
    </row>
    <row r="923" hidden="1">
      <c r="A923" s="69"/>
      <c r="B923" s="70"/>
      <c r="C923" s="68"/>
      <c r="D923" s="29"/>
      <c r="E923" s="32"/>
      <c r="F923" s="32"/>
      <c r="G923" s="32"/>
      <c r="H923" s="32"/>
      <c r="I923" s="32"/>
      <c r="J923" s="32"/>
    </row>
    <row r="924" hidden="1">
      <c r="A924" s="69"/>
      <c r="B924" s="70"/>
      <c r="C924" s="68"/>
      <c r="D924" s="29"/>
      <c r="E924" s="32"/>
      <c r="F924" s="32"/>
      <c r="G924" s="32"/>
      <c r="H924" s="32"/>
      <c r="I924" s="32"/>
      <c r="J924" s="32"/>
    </row>
    <row r="925" hidden="1">
      <c r="A925" s="69"/>
      <c r="B925" s="70"/>
      <c r="C925" s="68"/>
      <c r="D925" s="29"/>
      <c r="E925" s="32"/>
      <c r="F925" s="32"/>
      <c r="G925" s="32"/>
      <c r="H925" s="32"/>
      <c r="I925" s="32"/>
      <c r="J925" s="32"/>
    </row>
    <row r="926" hidden="1">
      <c r="A926" s="69"/>
      <c r="B926" s="70"/>
      <c r="C926" s="68"/>
      <c r="D926" s="29"/>
      <c r="E926" s="32"/>
      <c r="F926" s="32"/>
      <c r="G926" s="32"/>
      <c r="H926" s="32"/>
      <c r="I926" s="32"/>
      <c r="J926" s="32"/>
    </row>
    <row r="927" hidden="1">
      <c r="A927" s="69"/>
      <c r="B927" s="70"/>
      <c r="C927" s="68"/>
      <c r="D927" s="29"/>
      <c r="E927" s="32"/>
      <c r="F927" s="32"/>
      <c r="G927" s="32"/>
      <c r="H927" s="32"/>
      <c r="I927" s="32"/>
      <c r="J927" s="32"/>
    </row>
    <row r="928" hidden="1">
      <c r="A928" s="69"/>
      <c r="B928" s="70"/>
      <c r="C928" s="68"/>
      <c r="D928" s="29"/>
      <c r="E928" s="32"/>
      <c r="F928" s="32"/>
      <c r="G928" s="32"/>
      <c r="H928" s="32"/>
      <c r="I928" s="32"/>
      <c r="J928" s="32"/>
    </row>
    <row r="929" hidden="1">
      <c r="A929" s="69"/>
      <c r="B929" s="70"/>
      <c r="C929" s="68"/>
      <c r="D929" s="29"/>
      <c r="E929" s="32"/>
      <c r="F929" s="32"/>
      <c r="G929" s="32"/>
      <c r="H929" s="32"/>
      <c r="I929" s="32"/>
      <c r="J929" s="32"/>
    </row>
  </sheetData>
  <customSheetViews>
    <customSheetView guid="{387DB711-A801-475C-B20E-84E85BB74852}" filter="1" showAutoFilter="1">
      <autoFilter ref="$A$3:$J$530">
        <filterColumn colId="2">
          <filters>
            <filter val="ru"/>
            <filter val="ko"/>
            <filter val="jp"/>
            <filter val="en"/>
            <filter val="zh"/>
            <filter val="ar"/>
            <filter val="pl"/>
            <filter val="tr"/>
          </filters>
        </filterColumn>
      </autoFilter>
    </customSheetView>
  </customSheetViews>
  <mergeCells count="3">
    <mergeCell ref="B1:B2"/>
    <mergeCell ref="C1:G1"/>
    <mergeCell ref="C2:G2"/>
  </mergeCells>
  <conditionalFormatting sqref="C2">
    <cfRule type="expression" dxfId="0" priority="1">
      <formula>countif(B:B,C2)&gt;1</formula>
    </cfRule>
  </conditionalFormatting>
  <conditionalFormatting sqref="C1">
    <cfRule type="expression" dxfId="0" priority="2">
      <formula>countif(B:B,C1)&gt;1</formula>
    </cfRule>
  </conditionalFormatting>
  <conditionalFormatting sqref="A3:A929 B3:J3 B220">
    <cfRule type="expression" dxfId="0" priority="3">
      <formula>countif(A:A,A3)&gt;1</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11.71"/>
    <col customWidth="1" min="2" max="2" width="14.43"/>
    <col customWidth="1" min="3" max="3" width="12.57"/>
    <col customWidth="1" min="4" max="4" width="49.29"/>
    <col customWidth="1" min="5" max="6" width="21.43"/>
    <col customWidth="1" min="7" max="7" width="19.57"/>
    <col customWidth="1" min="8" max="8" width="30.43"/>
    <col customWidth="1" min="9" max="9" width="19.57"/>
    <col customWidth="1" min="10" max="10" width="27.43"/>
  </cols>
  <sheetData>
    <row r="1" ht="19.5" customHeight="1">
      <c r="A1" s="71"/>
      <c r="B1" s="72"/>
      <c r="C1" s="73" t="s">
        <v>706</v>
      </c>
      <c r="I1" s="74"/>
      <c r="J1" s="22"/>
    </row>
    <row r="2" ht="47.25" customHeight="1">
      <c r="A2" s="71"/>
      <c r="C2" s="75" t="s">
        <v>707</v>
      </c>
      <c r="J2" s="76"/>
    </row>
    <row r="3">
      <c r="A3" s="25" t="s">
        <v>27</v>
      </c>
      <c r="B3" s="25" t="s">
        <v>28</v>
      </c>
      <c r="C3" s="25" t="s">
        <v>29</v>
      </c>
      <c r="D3" s="25" t="s">
        <v>30</v>
      </c>
      <c r="E3" s="25" t="s">
        <v>31</v>
      </c>
      <c r="F3" s="25" t="s">
        <v>32</v>
      </c>
      <c r="G3" s="25" t="s">
        <v>33</v>
      </c>
      <c r="H3" s="25" t="s">
        <v>34</v>
      </c>
      <c r="I3" s="25" t="s">
        <v>35</v>
      </c>
      <c r="J3" s="25" t="s">
        <v>36</v>
      </c>
    </row>
    <row r="4">
      <c r="A4" s="77">
        <v>1683326.0</v>
      </c>
      <c r="B4" s="78">
        <v>44571.0</v>
      </c>
      <c r="C4" s="79" t="s">
        <v>37</v>
      </c>
      <c r="D4" s="29" t="s">
        <v>708</v>
      </c>
      <c r="E4" s="30" t="s">
        <v>45</v>
      </c>
      <c r="F4" s="30" t="s">
        <v>75</v>
      </c>
      <c r="G4" s="31"/>
      <c r="H4" s="30"/>
      <c r="I4" s="31"/>
      <c r="J4" s="30"/>
    </row>
    <row r="5">
      <c r="A5" s="80">
        <v>4204358.0</v>
      </c>
      <c r="B5" s="78">
        <v>44573.0</v>
      </c>
      <c r="C5" s="79" t="s">
        <v>37</v>
      </c>
      <c r="D5" s="29" t="s">
        <v>709</v>
      </c>
      <c r="E5" s="30" t="s">
        <v>45</v>
      </c>
      <c r="F5" s="30" t="s">
        <v>75</v>
      </c>
      <c r="G5" s="31">
        <v>1850902.0</v>
      </c>
      <c r="H5" s="30" t="s">
        <v>710</v>
      </c>
      <c r="I5" s="31"/>
      <c r="J5" s="30"/>
    </row>
    <row r="6">
      <c r="A6" s="80">
        <v>3810768.0</v>
      </c>
      <c r="B6" s="78">
        <v>44573.0</v>
      </c>
      <c r="C6" s="81" t="s">
        <v>37</v>
      </c>
      <c r="D6" s="29" t="s">
        <v>677</v>
      </c>
      <c r="E6" s="30" t="s">
        <v>45</v>
      </c>
      <c r="F6" s="30" t="s">
        <v>75</v>
      </c>
      <c r="G6" s="31">
        <v>3270848.0</v>
      </c>
      <c r="H6" s="30" t="s">
        <v>711</v>
      </c>
      <c r="I6" s="31"/>
      <c r="J6" s="30"/>
    </row>
    <row r="7">
      <c r="A7" s="82">
        <v>2916422.0</v>
      </c>
      <c r="B7" s="78">
        <v>44575.0</v>
      </c>
      <c r="C7" s="81" t="s">
        <v>37</v>
      </c>
      <c r="D7" s="29" t="s">
        <v>712</v>
      </c>
      <c r="E7" s="30" t="s">
        <v>101</v>
      </c>
      <c r="F7" s="30" t="s">
        <v>203</v>
      </c>
      <c r="G7" s="31">
        <v>1754098.0</v>
      </c>
      <c r="H7" s="30" t="s">
        <v>713</v>
      </c>
      <c r="I7" s="31"/>
      <c r="J7" s="30"/>
    </row>
    <row r="8">
      <c r="A8" s="83">
        <v>1188846.0</v>
      </c>
      <c r="B8" s="78">
        <v>44579.0</v>
      </c>
      <c r="C8" s="79" t="s">
        <v>37</v>
      </c>
      <c r="D8" s="29" t="s">
        <v>714</v>
      </c>
      <c r="E8" s="30" t="s">
        <v>39</v>
      </c>
      <c r="F8" s="30" t="s">
        <v>241</v>
      </c>
      <c r="G8" s="31"/>
      <c r="H8" s="30"/>
      <c r="I8" s="31"/>
      <c r="J8" s="30"/>
    </row>
    <row r="9">
      <c r="A9" s="84">
        <v>3501722.0</v>
      </c>
      <c r="B9" s="78">
        <v>44580.0</v>
      </c>
      <c r="C9" s="79" t="s">
        <v>142</v>
      </c>
      <c r="D9" s="29" t="s">
        <v>715</v>
      </c>
      <c r="E9" s="30" t="s">
        <v>63</v>
      </c>
      <c r="F9" s="30" t="s">
        <v>64</v>
      </c>
      <c r="G9" s="31"/>
      <c r="H9" s="30"/>
      <c r="I9" s="31"/>
      <c r="J9" s="30"/>
    </row>
    <row r="10">
      <c r="A10" s="82">
        <v>3736092.0</v>
      </c>
      <c r="B10" s="78">
        <v>44580.0</v>
      </c>
      <c r="C10" s="79" t="s">
        <v>142</v>
      </c>
      <c r="D10" s="29" t="s">
        <v>716</v>
      </c>
      <c r="E10" s="30" t="s">
        <v>39</v>
      </c>
      <c r="F10" s="30" t="s">
        <v>54</v>
      </c>
      <c r="G10" s="31"/>
      <c r="H10" s="30"/>
      <c r="I10" s="31"/>
      <c r="J10" s="30"/>
    </row>
    <row r="11">
      <c r="A11" s="83">
        <v>1570368.0</v>
      </c>
      <c r="B11" s="78">
        <v>44586.0</v>
      </c>
      <c r="C11" s="79" t="s">
        <v>717</v>
      </c>
      <c r="D11" s="29" t="s">
        <v>718</v>
      </c>
      <c r="E11" s="30" t="s">
        <v>39</v>
      </c>
      <c r="F11" s="30" t="s">
        <v>54</v>
      </c>
      <c r="G11" s="31"/>
      <c r="H11" s="30"/>
      <c r="I11" s="31"/>
      <c r="J11" s="30"/>
    </row>
    <row r="12">
      <c r="A12" s="83">
        <v>3642838.0</v>
      </c>
      <c r="B12" s="78">
        <v>44586.0</v>
      </c>
      <c r="C12" s="79" t="s">
        <v>717</v>
      </c>
      <c r="D12" s="29" t="s">
        <v>719</v>
      </c>
      <c r="E12" s="30" t="s">
        <v>219</v>
      </c>
      <c r="F12" s="30" t="s">
        <v>220</v>
      </c>
      <c r="G12" s="31"/>
      <c r="H12" s="30"/>
      <c r="I12" s="31"/>
      <c r="J12" s="30"/>
    </row>
    <row r="13">
      <c r="A13" s="83">
        <v>3656168.0</v>
      </c>
      <c r="B13" s="78">
        <v>44586.0</v>
      </c>
      <c r="C13" s="79" t="s">
        <v>717</v>
      </c>
      <c r="D13" s="29" t="s">
        <v>720</v>
      </c>
      <c r="E13" s="30" t="s">
        <v>96</v>
      </c>
      <c r="F13" s="30" t="s">
        <v>352</v>
      </c>
      <c r="G13" s="31"/>
      <c r="H13" s="30"/>
      <c r="I13" s="31"/>
      <c r="J13" s="30"/>
    </row>
    <row r="14">
      <c r="A14" s="83">
        <v>3978766.0</v>
      </c>
      <c r="B14" s="78">
        <v>44586.0</v>
      </c>
      <c r="C14" s="79" t="s">
        <v>717</v>
      </c>
      <c r="D14" s="29" t="s">
        <v>721</v>
      </c>
      <c r="E14" s="30" t="s">
        <v>58</v>
      </c>
      <c r="F14" s="30" t="s">
        <v>59</v>
      </c>
      <c r="G14" s="31"/>
      <c r="H14" s="30"/>
      <c r="I14" s="31"/>
      <c r="J14" s="30"/>
    </row>
    <row r="15">
      <c r="A15" s="83">
        <v>3601182.0</v>
      </c>
      <c r="B15" s="78">
        <v>44586.0</v>
      </c>
      <c r="C15" s="79" t="s">
        <v>717</v>
      </c>
      <c r="D15" s="29" t="s">
        <v>722</v>
      </c>
      <c r="E15" s="30" t="s">
        <v>45</v>
      </c>
      <c r="F15" s="30" t="s">
        <v>75</v>
      </c>
      <c r="G15" s="31"/>
      <c r="H15" s="30"/>
      <c r="I15" s="31"/>
      <c r="J15" s="30"/>
    </row>
    <row r="16">
      <c r="A16" s="83">
        <v>2962074.0</v>
      </c>
      <c r="B16" s="78">
        <v>44586.0</v>
      </c>
      <c r="C16" s="79" t="s">
        <v>717</v>
      </c>
      <c r="D16" s="29" t="s">
        <v>723</v>
      </c>
      <c r="E16" s="30" t="s">
        <v>189</v>
      </c>
      <c r="F16" s="30" t="s">
        <v>190</v>
      </c>
      <c r="G16" s="31"/>
      <c r="H16" s="30"/>
      <c r="I16" s="31"/>
      <c r="J16" s="30"/>
    </row>
    <row r="17">
      <c r="A17" s="83">
        <v>3681076.0</v>
      </c>
      <c r="B17" s="78">
        <v>44586.0</v>
      </c>
      <c r="C17" s="79" t="s">
        <v>717</v>
      </c>
      <c r="D17" s="29" t="s">
        <v>724</v>
      </c>
      <c r="E17" s="30" t="s">
        <v>83</v>
      </c>
      <c r="F17" s="30" t="s">
        <v>153</v>
      </c>
      <c r="G17" s="31"/>
      <c r="H17" s="30"/>
      <c r="I17" s="31"/>
      <c r="J17" s="30"/>
    </row>
    <row r="18">
      <c r="A18" s="83">
        <v>1628858.0</v>
      </c>
      <c r="B18" s="78">
        <v>44586.0</v>
      </c>
      <c r="C18" s="79" t="s">
        <v>717</v>
      </c>
      <c r="D18" s="29" t="s">
        <v>725</v>
      </c>
      <c r="E18" s="30" t="s">
        <v>96</v>
      </c>
      <c r="F18" s="30" t="s">
        <v>131</v>
      </c>
      <c r="G18" s="31"/>
      <c r="H18" s="30"/>
      <c r="I18" s="31"/>
      <c r="J18" s="30"/>
    </row>
    <row r="19">
      <c r="A19" s="83">
        <v>1148806.0</v>
      </c>
      <c r="B19" s="78">
        <v>44586.0</v>
      </c>
      <c r="C19" s="79" t="s">
        <v>717</v>
      </c>
      <c r="D19" s="29" t="s">
        <v>726</v>
      </c>
      <c r="E19" s="30" t="s">
        <v>122</v>
      </c>
      <c r="F19" s="30" t="s">
        <v>271</v>
      </c>
      <c r="G19" s="31"/>
      <c r="H19" s="30"/>
      <c r="I19" s="31"/>
      <c r="J19" s="30"/>
    </row>
    <row r="20">
      <c r="A20" s="83">
        <v>3730394.0</v>
      </c>
      <c r="B20" s="78">
        <v>44586.0</v>
      </c>
      <c r="C20" s="79" t="s">
        <v>717</v>
      </c>
      <c r="D20" s="29" t="s">
        <v>727</v>
      </c>
      <c r="E20" s="30" t="s">
        <v>39</v>
      </c>
      <c r="F20" s="30" t="s">
        <v>50</v>
      </c>
      <c r="G20" s="31"/>
      <c r="H20" s="30"/>
      <c r="I20" s="31"/>
      <c r="J20" s="30"/>
    </row>
    <row r="21">
      <c r="A21" s="83">
        <v>3075584.0</v>
      </c>
      <c r="B21" s="78">
        <v>44586.0</v>
      </c>
      <c r="C21" s="79" t="s">
        <v>717</v>
      </c>
      <c r="D21" s="29" t="s">
        <v>728</v>
      </c>
      <c r="E21" s="30" t="s">
        <v>122</v>
      </c>
      <c r="F21" s="30" t="s">
        <v>127</v>
      </c>
      <c r="G21" s="31"/>
      <c r="H21" s="30"/>
      <c r="I21" s="31"/>
      <c r="J21" s="30"/>
    </row>
    <row r="22">
      <c r="A22" s="84">
        <v>3457204.0</v>
      </c>
      <c r="B22" s="85">
        <v>44592.0</v>
      </c>
      <c r="C22" s="79" t="s">
        <v>187</v>
      </c>
      <c r="D22" s="29" t="s">
        <v>729</v>
      </c>
      <c r="E22" s="30" t="s">
        <v>45</v>
      </c>
      <c r="F22" s="30" t="s">
        <v>90</v>
      </c>
      <c r="G22" s="31"/>
      <c r="H22" s="30"/>
      <c r="I22" s="31"/>
      <c r="J22" s="30"/>
    </row>
    <row r="23">
      <c r="A23" s="84">
        <v>2966640.0</v>
      </c>
      <c r="B23" s="85">
        <v>44592.0</v>
      </c>
      <c r="C23" s="79" t="s">
        <v>187</v>
      </c>
      <c r="D23" s="29" t="s">
        <v>730</v>
      </c>
      <c r="E23" s="30" t="s">
        <v>39</v>
      </c>
      <c r="F23" s="30" t="s">
        <v>297</v>
      </c>
      <c r="G23" s="31"/>
      <c r="H23" s="30"/>
      <c r="I23" s="31"/>
      <c r="J23" s="30"/>
    </row>
    <row r="24">
      <c r="A24" s="84">
        <v>3345950.0</v>
      </c>
      <c r="B24" s="85">
        <v>44592.0</v>
      </c>
      <c r="C24" s="79" t="s">
        <v>187</v>
      </c>
      <c r="D24" s="29" t="s">
        <v>731</v>
      </c>
      <c r="E24" s="30" t="s">
        <v>39</v>
      </c>
      <c r="F24" s="30" t="s">
        <v>50</v>
      </c>
      <c r="G24" s="31"/>
      <c r="H24" s="30"/>
      <c r="I24" s="31"/>
      <c r="J24" s="30"/>
    </row>
    <row r="25">
      <c r="A25" s="84">
        <v>2481326.0</v>
      </c>
      <c r="B25" s="85">
        <v>44592.0</v>
      </c>
      <c r="C25" s="79" t="s">
        <v>37</v>
      </c>
      <c r="D25" s="29" t="s">
        <v>732</v>
      </c>
      <c r="E25" s="30" t="s">
        <v>58</v>
      </c>
      <c r="F25" s="30" t="s">
        <v>234</v>
      </c>
      <c r="G25" s="31"/>
      <c r="H25" s="30" t="s">
        <v>47</v>
      </c>
      <c r="I25" s="31"/>
      <c r="J25" s="30" t="s">
        <v>47</v>
      </c>
    </row>
    <row r="26">
      <c r="A26" s="84">
        <v>1596138.0</v>
      </c>
      <c r="B26" s="85">
        <v>44592.0</v>
      </c>
      <c r="C26" s="79" t="s">
        <v>37</v>
      </c>
      <c r="D26" s="29" t="s">
        <v>733</v>
      </c>
      <c r="E26" s="30" t="s">
        <v>45</v>
      </c>
      <c r="F26" s="30" t="s">
        <v>75</v>
      </c>
      <c r="G26" s="86"/>
      <c r="H26" s="87" t="s">
        <v>47</v>
      </c>
      <c r="I26" s="31"/>
      <c r="J26" s="30" t="s">
        <v>47</v>
      </c>
    </row>
    <row r="27">
      <c r="A27" s="82">
        <v>3448856.0</v>
      </c>
      <c r="B27" s="85">
        <v>44592.0</v>
      </c>
      <c r="C27" s="79" t="s">
        <v>37</v>
      </c>
      <c r="D27" s="29" t="s">
        <v>734</v>
      </c>
      <c r="E27" s="30" t="s">
        <v>39</v>
      </c>
      <c r="F27" s="30" t="s">
        <v>50</v>
      </c>
      <c r="G27" s="86"/>
      <c r="H27" s="87" t="s">
        <v>47</v>
      </c>
      <c r="I27" s="31"/>
      <c r="J27" s="30" t="s">
        <v>47</v>
      </c>
    </row>
    <row r="28">
      <c r="A28" s="82">
        <v>101928.0</v>
      </c>
      <c r="B28" s="85">
        <v>44592.0</v>
      </c>
      <c r="C28" s="79" t="s">
        <v>37</v>
      </c>
      <c r="D28" s="29" t="s">
        <v>735</v>
      </c>
      <c r="E28" s="30" t="s">
        <v>83</v>
      </c>
      <c r="F28" s="30" t="s">
        <v>285</v>
      </c>
      <c r="G28" s="31">
        <v>673654.0</v>
      </c>
      <c r="H28" s="30" t="s">
        <v>736</v>
      </c>
      <c r="I28" s="31"/>
      <c r="J28" s="30" t="s">
        <v>47</v>
      </c>
    </row>
    <row r="29">
      <c r="A29" s="82">
        <v>682346.0</v>
      </c>
      <c r="B29" s="85">
        <v>44592.0</v>
      </c>
      <c r="C29" s="79" t="s">
        <v>37</v>
      </c>
      <c r="D29" s="29" t="s">
        <v>737</v>
      </c>
      <c r="E29" s="30" t="s">
        <v>45</v>
      </c>
      <c r="F29" s="30" t="s">
        <v>172</v>
      </c>
      <c r="G29" s="31"/>
      <c r="H29" s="30" t="s">
        <v>47</v>
      </c>
      <c r="I29" s="31"/>
      <c r="J29" s="30" t="s">
        <v>47</v>
      </c>
    </row>
    <row r="30">
      <c r="A30" s="82">
        <v>757918.0</v>
      </c>
      <c r="B30" s="85">
        <v>44592.0</v>
      </c>
      <c r="C30" s="79" t="s">
        <v>37</v>
      </c>
      <c r="D30" s="29" t="s">
        <v>738</v>
      </c>
      <c r="E30" s="30" t="s">
        <v>63</v>
      </c>
      <c r="F30" s="30" t="s">
        <v>115</v>
      </c>
      <c r="G30" s="31"/>
      <c r="H30" s="30" t="s">
        <v>47</v>
      </c>
      <c r="I30" s="31"/>
      <c r="J30" s="30" t="s">
        <v>47</v>
      </c>
    </row>
    <row r="31">
      <c r="A31" s="82">
        <v>759420.0</v>
      </c>
      <c r="B31" s="85">
        <v>44592.0</v>
      </c>
      <c r="C31" s="79" t="s">
        <v>37</v>
      </c>
      <c r="D31" s="29" t="s">
        <v>739</v>
      </c>
      <c r="E31" s="30" t="s">
        <v>79</v>
      </c>
      <c r="F31" s="30" t="s">
        <v>184</v>
      </c>
      <c r="G31" s="31"/>
      <c r="H31" s="30" t="s">
        <v>47</v>
      </c>
      <c r="I31" s="31"/>
      <c r="J31" s="30" t="s">
        <v>47</v>
      </c>
    </row>
    <row r="32">
      <c r="A32" s="82">
        <v>897500.0</v>
      </c>
      <c r="B32" s="85">
        <v>44592.0</v>
      </c>
      <c r="C32" s="79" t="s">
        <v>37</v>
      </c>
      <c r="D32" s="29" t="s">
        <v>740</v>
      </c>
      <c r="E32" s="30" t="s">
        <v>45</v>
      </c>
      <c r="F32" s="30" t="s">
        <v>90</v>
      </c>
      <c r="G32" s="31"/>
      <c r="H32" s="30" t="s">
        <v>47</v>
      </c>
      <c r="I32" s="31"/>
      <c r="J32" s="30" t="s">
        <v>47</v>
      </c>
    </row>
    <row r="33">
      <c r="A33" s="82">
        <v>1395644.0</v>
      </c>
      <c r="B33" s="85">
        <v>44592.0</v>
      </c>
      <c r="C33" s="79" t="s">
        <v>37</v>
      </c>
      <c r="D33" s="29" t="s">
        <v>741</v>
      </c>
      <c r="E33" s="30" t="s">
        <v>45</v>
      </c>
      <c r="F33" s="30" t="s">
        <v>46</v>
      </c>
      <c r="G33" s="31">
        <v>1407868.0</v>
      </c>
      <c r="H33" s="30" t="s">
        <v>742</v>
      </c>
      <c r="I33" s="31"/>
      <c r="J33" s="30" t="s">
        <v>47</v>
      </c>
    </row>
    <row r="34">
      <c r="A34" s="82">
        <v>1456380.0</v>
      </c>
      <c r="B34" s="85">
        <v>44592.0</v>
      </c>
      <c r="C34" s="79" t="s">
        <v>37</v>
      </c>
      <c r="D34" s="29" t="s">
        <v>743</v>
      </c>
      <c r="E34" s="30" t="s">
        <v>45</v>
      </c>
      <c r="F34" s="30" t="s">
        <v>75</v>
      </c>
      <c r="G34" s="31"/>
      <c r="H34" s="30" t="s">
        <v>47</v>
      </c>
      <c r="I34" s="31"/>
      <c r="J34" s="30" t="s">
        <v>47</v>
      </c>
    </row>
    <row r="35">
      <c r="A35" s="82">
        <v>1608398.0</v>
      </c>
      <c r="B35" s="85">
        <v>44592.0</v>
      </c>
      <c r="C35" s="79" t="s">
        <v>37</v>
      </c>
      <c r="D35" s="29" t="s">
        <v>744</v>
      </c>
      <c r="E35" s="30" t="s">
        <v>45</v>
      </c>
      <c r="F35" s="30" t="s">
        <v>75</v>
      </c>
      <c r="G35" s="31"/>
      <c r="H35" s="30" t="s">
        <v>47</v>
      </c>
      <c r="I35" s="31"/>
      <c r="J35" s="30" t="s">
        <v>47</v>
      </c>
    </row>
    <row r="36">
      <c r="A36" s="82">
        <v>1703390.0</v>
      </c>
      <c r="B36" s="85">
        <v>44592.0</v>
      </c>
      <c r="C36" s="79" t="s">
        <v>37</v>
      </c>
      <c r="D36" s="29" t="s">
        <v>745</v>
      </c>
      <c r="E36" s="30" t="s">
        <v>79</v>
      </c>
      <c r="F36" s="30" t="s">
        <v>261</v>
      </c>
      <c r="G36" s="31">
        <v>2474986.0</v>
      </c>
      <c r="H36" s="30" t="s">
        <v>658</v>
      </c>
      <c r="I36" s="31"/>
      <c r="J36" s="30" t="s">
        <v>47</v>
      </c>
    </row>
    <row r="37">
      <c r="A37" s="82">
        <v>1747516.0</v>
      </c>
      <c r="B37" s="85">
        <v>44592.0</v>
      </c>
      <c r="C37" s="79" t="s">
        <v>37</v>
      </c>
      <c r="D37" s="29" t="s">
        <v>746</v>
      </c>
      <c r="E37" s="30" t="s">
        <v>39</v>
      </c>
      <c r="F37" s="30" t="s">
        <v>54</v>
      </c>
      <c r="G37" s="31">
        <v>2757066.0</v>
      </c>
      <c r="H37" s="30" t="s">
        <v>747</v>
      </c>
      <c r="I37" s="31"/>
      <c r="J37" s="30" t="s">
        <v>47</v>
      </c>
    </row>
    <row r="38">
      <c r="A38" s="82">
        <v>2013228.0</v>
      </c>
      <c r="B38" s="85">
        <v>44592.0</v>
      </c>
      <c r="C38" s="79" t="s">
        <v>43</v>
      </c>
      <c r="D38" s="29" t="s">
        <v>748</v>
      </c>
      <c r="E38" s="30" t="s">
        <v>189</v>
      </c>
      <c r="F38" s="30" t="s">
        <v>300</v>
      </c>
      <c r="G38" s="31"/>
      <c r="H38" s="30" t="s">
        <v>47</v>
      </c>
      <c r="I38" s="31"/>
      <c r="J38" s="30" t="s">
        <v>47</v>
      </c>
    </row>
    <row r="39">
      <c r="A39" s="82">
        <v>2313744.0</v>
      </c>
      <c r="B39" s="85">
        <v>44592.0</v>
      </c>
      <c r="C39" s="79" t="s">
        <v>37</v>
      </c>
      <c r="D39" s="29" t="s">
        <v>749</v>
      </c>
      <c r="E39" s="30" t="s">
        <v>122</v>
      </c>
      <c r="F39" s="30" t="s">
        <v>127</v>
      </c>
      <c r="G39" s="31">
        <v>2266662.0</v>
      </c>
      <c r="H39" s="30" t="s">
        <v>750</v>
      </c>
      <c r="I39" s="31"/>
      <c r="J39" s="30" t="s">
        <v>47</v>
      </c>
    </row>
    <row r="40">
      <c r="A40" s="82">
        <v>2483772.0</v>
      </c>
      <c r="B40" s="85">
        <v>44592.0</v>
      </c>
      <c r="C40" s="79" t="s">
        <v>37</v>
      </c>
      <c r="D40" s="29" t="s">
        <v>751</v>
      </c>
      <c r="E40" s="30" t="s">
        <v>39</v>
      </c>
      <c r="F40" s="30" t="s">
        <v>50</v>
      </c>
      <c r="G40" s="31"/>
      <c r="H40" s="30" t="s">
        <v>47</v>
      </c>
      <c r="I40" s="31"/>
      <c r="J40" s="30" t="s">
        <v>47</v>
      </c>
    </row>
    <row r="41">
      <c r="A41" s="82">
        <v>2521762.0</v>
      </c>
      <c r="B41" s="85">
        <v>44592.0</v>
      </c>
      <c r="C41" s="79" t="s">
        <v>37</v>
      </c>
      <c r="D41" s="29" t="s">
        <v>752</v>
      </c>
      <c r="E41" s="30" t="s">
        <v>39</v>
      </c>
      <c r="F41" s="30" t="s">
        <v>140</v>
      </c>
      <c r="G41" s="31"/>
      <c r="H41" s="30" t="s">
        <v>47</v>
      </c>
      <c r="I41" s="31"/>
      <c r="J41" s="30" t="s">
        <v>47</v>
      </c>
    </row>
    <row r="42">
      <c r="A42" s="82">
        <v>2527362.0</v>
      </c>
      <c r="B42" s="85">
        <v>44592.0</v>
      </c>
      <c r="C42" s="79" t="s">
        <v>37</v>
      </c>
      <c r="D42" s="29" t="s">
        <v>753</v>
      </c>
      <c r="E42" s="30" t="s">
        <v>101</v>
      </c>
      <c r="F42" s="30" t="s">
        <v>754</v>
      </c>
      <c r="G42" s="31">
        <v>1648248.0</v>
      </c>
      <c r="H42" s="30" t="s">
        <v>755</v>
      </c>
      <c r="I42" s="31"/>
      <c r="J42" s="30" t="s">
        <v>47</v>
      </c>
    </row>
    <row r="43">
      <c r="A43" s="82">
        <v>2621602.0</v>
      </c>
      <c r="B43" s="85">
        <v>44592.0</v>
      </c>
      <c r="C43" s="79" t="s">
        <v>37</v>
      </c>
      <c r="D43" s="29" t="s">
        <v>756</v>
      </c>
      <c r="E43" s="30" t="s">
        <v>45</v>
      </c>
      <c r="F43" s="30" t="s">
        <v>90</v>
      </c>
      <c r="G43" s="31">
        <v>1883574.0</v>
      </c>
      <c r="H43" s="30" t="s">
        <v>757</v>
      </c>
      <c r="I43" s="31"/>
      <c r="J43" s="30" t="s">
        <v>47</v>
      </c>
    </row>
    <row r="44">
      <c r="A44" s="82">
        <v>2705676.0</v>
      </c>
      <c r="B44" s="85">
        <v>44592.0</v>
      </c>
      <c r="C44" s="79" t="s">
        <v>70</v>
      </c>
      <c r="D44" s="29" t="s">
        <v>758</v>
      </c>
      <c r="E44" s="30" t="s">
        <v>101</v>
      </c>
      <c r="F44" s="30" t="s">
        <v>102</v>
      </c>
      <c r="G44" s="31"/>
      <c r="H44" s="30" t="s">
        <v>47</v>
      </c>
      <c r="I44" s="31"/>
      <c r="J44" s="30" t="s">
        <v>47</v>
      </c>
    </row>
    <row r="45">
      <c r="A45" s="82">
        <v>2726018.0</v>
      </c>
      <c r="B45" s="85">
        <v>44592.0</v>
      </c>
      <c r="C45" s="79" t="s">
        <v>142</v>
      </c>
      <c r="D45" s="29" t="s">
        <v>759</v>
      </c>
      <c r="E45" s="30" t="s">
        <v>189</v>
      </c>
      <c r="F45" s="30" t="s">
        <v>300</v>
      </c>
      <c r="G45" s="31"/>
      <c r="H45" s="30" t="s">
        <v>47</v>
      </c>
      <c r="I45" s="31"/>
      <c r="J45" s="30" t="s">
        <v>47</v>
      </c>
    </row>
    <row r="46">
      <c r="A46" s="82">
        <v>2740396.0</v>
      </c>
      <c r="B46" s="85">
        <v>44592.0</v>
      </c>
      <c r="C46" s="79" t="s">
        <v>170</v>
      </c>
      <c r="D46" s="29" t="s">
        <v>760</v>
      </c>
      <c r="E46" s="30" t="s">
        <v>189</v>
      </c>
      <c r="F46" s="30" t="s">
        <v>300</v>
      </c>
      <c r="G46" s="31">
        <v>2025986.0</v>
      </c>
      <c r="H46" s="30" t="s">
        <v>761</v>
      </c>
      <c r="I46" s="31"/>
      <c r="J46" s="30" t="s">
        <v>47</v>
      </c>
    </row>
    <row r="47">
      <c r="A47" s="82">
        <v>2781448.0</v>
      </c>
      <c r="B47" s="85">
        <v>44592.0</v>
      </c>
      <c r="C47" s="79" t="s">
        <v>142</v>
      </c>
      <c r="D47" s="29" t="s">
        <v>762</v>
      </c>
      <c r="E47" s="30" t="s">
        <v>189</v>
      </c>
      <c r="F47" s="30" t="s">
        <v>300</v>
      </c>
      <c r="G47" s="31">
        <v>3570305.0</v>
      </c>
      <c r="H47" s="30" t="s">
        <v>763</v>
      </c>
      <c r="I47" s="31"/>
      <c r="J47" s="30" t="s">
        <v>47</v>
      </c>
    </row>
    <row r="48">
      <c r="A48" s="82">
        <v>2808699.0</v>
      </c>
      <c r="B48" s="85">
        <v>44592.0</v>
      </c>
      <c r="C48" s="79" t="s">
        <v>37</v>
      </c>
      <c r="D48" s="29" t="s">
        <v>764</v>
      </c>
      <c r="E48" s="30" t="s">
        <v>58</v>
      </c>
      <c r="F48" s="30" t="s">
        <v>169</v>
      </c>
      <c r="G48" s="31"/>
      <c r="H48" s="30" t="s">
        <v>47</v>
      </c>
      <c r="I48" s="31"/>
      <c r="J48" s="30" t="s">
        <v>47</v>
      </c>
    </row>
    <row r="49">
      <c r="A49" s="82">
        <v>2909924.0</v>
      </c>
      <c r="B49" s="85">
        <v>44592.0</v>
      </c>
      <c r="C49" s="79" t="s">
        <v>37</v>
      </c>
      <c r="D49" s="29" t="s">
        <v>765</v>
      </c>
      <c r="E49" s="30" t="s">
        <v>219</v>
      </c>
      <c r="F49" s="30" t="s">
        <v>220</v>
      </c>
      <c r="G49" s="31">
        <v>1096662.0</v>
      </c>
      <c r="H49" s="30" t="s">
        <v>766</v>
      </c>
      <c r="I49" s="31"/>
      <c r="J49" s="30" t="s">
        <v>47</v>
      </c>
    </row>
    <row r="50">
      <c r="A50" s="82">
        <v>3323862.0</v>
      </c>
      <c r="B50" s="85">
        <v>44592.0</v>
      </c>
      <c r="C50" s="79" t="s">
        <v>37</v>
      </c>
      <c r="D50" s="29" t="s">
        <v>767</v>
      </c>
      <c r="E50" s="30" t="s">
        <v>122</v>
      </c>
      <c r="F50" s="30" t="s">
        <v>538</v>
      </c>
      <c r="G50" s="31"/>
      <c r="H50" s="30" t="s">
        <v>47</v>
      </c>
      <c r="I50" s="31"/>
      <c r="J50" s="30" t="s">
        <v>47</v>
      </c>
    </row>
    <row r="51">
      <c r="A51" s="82">
        <v>3402164.0</v>
      </c>
      <c r="B51" s="85">
        <v>44592.0</v>
      </c>
      <c r="C51" s="79" t="s">
        <v>37</v>
      </c>
      <c r="D51" s="29" t="s">
        <v>768</v>
      </c>
      <c r="E51" s="30" t="s">
        <v>39</v>
      </c>
      <c r="F51" s="30" t="s">
        <v>50</v>
      </c>
      <c r="G51" s="31">
        <v>1793828.0</v>
      </c>
      <c r="H51" s="30" t="s">
        <v>769</v>
      </c>
      <c r="I51" s="31"/>
      <c r="J51" s="30" t="s">
        <v>47</v>
      </c>
    </row>
    <row r="52">
      <c r="A52" s="82">
        <v>3404622.0</v>
      </c>
      <c r="B52" s="85">
        <v>44592.0</v>
      </c>
      <c r="C52" s="79" t="s">
        <v>37</v>
      </c>
      <c r="D52" s="29" t="s">
        <v>770</v>
      </c>
      <c r="E52" s="30" t="s">
        <v>219</v>
      </c>
      <c r="F52" s="30" t="s">
        <v>220</v>
      </c>
      <c r="G52" s="31"/>
      <c r="H52" s="30" t="s">
        <v>47</v>
      </c>
      <c r="I52" s="31"/>
      <c r="J52" s="30" t="s">
        <v>47</v>
      </c>
    </row>
    <row r="53">
      <c r="A53" s="82">
        <v>3742998.0</v>
      </c>
      <c r="B53" s="85">
        <v>44592.0</v>
      </c>
      <c r="C53" s="79" t="s">
        <v>37</v>
      </c>
      <c r="D53" s="29" t="s">
        <v>771</v>
      </c>
      <c r="E53" s="30" t="s">
        <v>105</v>
      </c>
      <c r="F53" s="30" t="s">
        <v>106</v>
      </c>
      <c r="G53" s="31">
        <v>3833732.0</v>
      </c>
      <c r="H53" s="30" t="s">
        <v>772</v>
      </c>
      <c r="I53" s="31"/>
      <c r="J53" s="30" t="s">
        <v>47</v>
      </c>
    </row>
    <row r="54">
      <c r="A54" s="82">
        <v>3935600.0</v>
      </c>
      <c r="B54" s="85">
        <v>44592.0</v>
      </c>
      <c r="C54" s="79" t="s">
        <v>37</v>
      </c>
      <c r="D54" s="29" t="s">
        <v>773</v>
      </c>
      <c r="E54" s="30" t="s">
        <v>101</v>
      </c>
      <c r="F54" s="30" t="s">
        <v>102</v>
      </c>
      <c r="G54" s="31">
        <v>3995372.0</v>
      </c>
      <c r="H54" s="30" t="s">
        <v>636</v>
      </c>
      <c r="I54" s="31"/>
      <c r="J54" s="30" t="s">
        <v>47</v>
      </c>
    </row>
    <row r="55">
      <c r="A55" s="82">
        <v>3951744.0</v>
      </c>
      <c r="B55" s="85">
        <v>44592.0</v>
      </c>
      <c r="C55" s="79" t="s">
        <v>70</v>
      </c>
      <c r="D55" s="29" t="s">
        <v>774</v>
      </c>
      <c r="E55" s="30" t="s">
        <v>83</v>
      </c>
      <c r="F55" s="30" t="s">
        <v>94</v>
      </c>
      <c r="G55" s="31">
        <v>2720210.0</v>
      </c>
      <c r="H55" s="30" t="s">
        <v>775</v>
      </c>
      <c r="I55" s="31"/>
      <c r="J55" s="30" t="s">
        <v>47</v>
      </c>
    </row>
    <row r="56">
      <c r="A56" s="82">
        <v>4095874.0</v>
      </c>
      <c r="B56" s="85">
        <v>44592.0</v>
      </c>
      <c r="C56" s="79" t="s">
        <v>37</v>
      </c>
      <c r="D56" s="29" t="s">
        <v>776</v>
      </c>
      <c r="E56" s="30" t="s">
        <v>45</v>
      </c>
      <c r="F56" s="30" t="s">
        <v>75</v>
      </c>
      <c r="G56" s="31"/>
      <c r="H56" s="30" t="s">
        <v>47</v>
      </c>
      <c r="I56" s="31"/>
      <c r="J56" s="30" t="s">
        <v>47</v>
      </c>
    </row>
    <row r="57">
      <c r="A57" s="82">
        <v>83762.0</v>
      </c>
      <c r="B57" s="85">
        <v>44592.0</v>
      </c>
      <c r="C57" s="79" t="s">
        <v>37</v>
      </c>
      <c r="D57" s="29" t="s">
        <v>777</v>
      </c>
      <c r="E57" s="30" t="s">
        <v>105</v>
      </c>
      <c r="F57" s="30" t="s">
        <v>778</v>
      </c>
      <c r="G57" s="31">
        <v>867218.0</v>
      </c>
      <c r="H57" s="30" t="s">
        <v>779</v>
      </c>
      <c r="I57" s="31"/>
      <c r="J57" s="30" t="s">
        <v>47</v>
      </c>
    </row>
    <row r="58">
      <c r="A58" s="82">
        <v>417430.0</v>
      </c>
      <c r="B58" s="85">
        <v>44592.0</v>
      </c>
      <c r="C58" s="79" t="s">
        <v>37</v>
      </c>
      <c r="D58" s="29" t="s">
        <v>780</v>
      </c>
      <c r="E58" s="30" t="s">
        <v>45</v>
      </c>
      <c r="F58" s="30" t="s">
        <v>90</v>
      </c>
      <c r="G58" s="31">
        <v>119866.0</v>
      </c>
      <c r="H58" s="30" t="s">
        <v>781</v>
      </c>
      <c r="I58" s="31"/>
      <c r="J58" s="30" t="s">
        <v>47</v>
      </c>
    </row>
    <row r="59">
      <c r="A59" s="82">
        <v>440764.0</v>
      </c>
      <c r="B59" s="85">
        <v>44592.0</v>
      </c>
      <c r="C59" s="79" t="s">
        <v>37</v>
      </c>
      <c r="D59" s="29" t="s">
        <v>782</v>
      </c>
      <c r="E59" s="30" t="s">
        <v>39</v>
      </c>
      <c r="F59" s="30" t="s">
        <v>113</v>
      </c>
      <c r="G59" s="31"/>
      <c r="H59" s="30" t="s">
        <v>47</v>
      </c>
      <c r="I59" s="31"/>
      <c r="J59" s="30" t="s">
        <v>47</v>
      </c>
    </row>
    <row r="60">
      <c r="A60" s="82">
        <v>516846.0</v>
      </c>
      <c r="B60" s="85">
        <v>44592.0</v>
      </c>
      <c r="C60" s="79" t="s">
        <v>37</v>
      </c>
      <c r="D60" s="29" t="s">
        <v>783</v>
      </c>
      <c r="E60" s="30" t="s">
        <v>96</v>
      </c>
      <c r="F60" s="30" t="s">
        <v>263</v>
      </c>
      <c r="G60" s="31">
        <v>866584.0</v>
      </c>
      <c r="H60" s="30" t="s">
        <v>784</v>
      </c>
      <c r="I60" s="31"/>
      <c r="J60" s="30" t="s">
        <v>47</v>
      </c>
    </row>
    <row r="61">
      <c r="A61" s="82">
        <v>575076.0</v>
      </c>
      <c r="B61" s="85">
        <v>44592.0</v>
      </c>
      <c r="C61" s="79" t="s">
        <v>37</v>
      </c>
      <c r="D61" s="29" t="s">
        <v>785</v>
      </c>
      <c r="E61" s="30" t="s">
        <v>39</v>
      </c>
      <c r="F61" s="30" t="s">
        <v>140</v>
      </c>
      <c r="G61" s="31">
        <v>964914.0</v>
      </c>
      <c r="H61" s="30" t="s">
        <v>786</v>
      </c>
      <c r="I61" s="31"/>
      <c r="J61" s="30" t="s">
        <v>47</v>
      </c>
    </row>
    <row r="62">
      <c r="A62" s="82">
        <v>714228.0</v>
      </c>
      <c r="B62" s="85">
        <v>44592.0</v>
      </c>
      <c r="C62" s="79" t="s">
        <v>70</v>
      </c>
      <c r="D62" s="29" t="s">
        <v>787</v>
      </c>
      <c r="E62" s="30" t="s">
        <v>39</v>
      </c>
      <c r="F62" s="30" t="s">
        <v>54</v>
      </c>
      <c r="G62" s="31">
        <v>2675212.0</v>
      </c>
      <c r="H62" s="30" t="s">
        <v>47</v>
      </c>
      <c r="I62" s="31"/>
      <c r="J62" s="30" t="s">
        <v>47</v>
      </c>
    </row>
    <row r="63">
      <c r="A63" s="82">
        <v>751392.0</v>
      </c>
      <c r="B63" s="85">
        <v>44592.0</v>
      </c>
      <c r="C63" s="79" t="s">
        <v>37</v>
      </c>
      <c r="D63" s="29" t="s">
        <v>788</v>
      </c>
      <c r="E63" s="30" t="s">
        <v>63</v>
      </c>
      <c r="F63" s="30" t="s">
        <v>256</v>
      </c>
      <c r="G63" s="31">
        <v>1249064.0</v>
      </c>
      <c r="H63" s="30" t="s">
        <v>789</v>
      </c>
      <c r="I63" s="31"/>
      <c r="J63" s="30" t="s">
        <v>47</v>
      </c>
    </row>
    <row r="64">
      <c r="A64" s="82">
        <v>796010.0</v>
      </c>
      <c r="B64" s="85">
        <v>44592.0</v>
      </c>
      <c r="C64" s="79" t="s">
        <v>37</v>
      </c>
      <c r="D64" s="29" t="s">
        <v>790</v>
      </c>
      <c r="E64" s="30" t="s">
        <v>39</v>
      </c>
      <c r="F64" s="30" t="s">
        <v>214</v>
      </c>
      <c r="G64" s="31"/>
      <c r="H64" s="30" t="s">
        <v>47</v>
      </c>
      <c r="I64" s="31"/>
      <c r="J64" s="30" t="s">
        <v>47</v>
      </c>
    </row>
    <row r="65">
      <c r="A65" s="82">
        <v>923554.0</v>
      </c>
      <c r="B65" s="85">
        <v>44592.0</v>
      </c>
      <c r="C65" s="79" t="s">
        <v>142</v>
      </c>
      <c r="D65" s="29" t="s">
        <v>791</v>
      </c>
      <c r="E65" s="30" t="s">
        <v>39</v>
      </c>
      <c r="F65" s="30" t="s">
        <v>140</v>
      </c>
      <c r="G65" s="31">
        <v>1068668.0</v>
      </c>
      <c r="H65" s="30" t="s">
        <v>792</v>
      </c>
      <c r="I65" s="31"/>
      <c r="J65" s="30" t="s">
        <v>47</v>
      </c>
    </row>
    <row r="66">
      <c r="A66" s="82">
        <v>926390.0</v>
      </c>
      <c r="B66" s="85">
        <v>44592.0</v>
      </c>
      <c r="C66" s="79" t="s">
        <v>37</v>
      </c>
      <c r="D66" s="29" t="s">
        <v>793</v>
      </c>
      <c r="E66" s="30" t="s">
        <v>96</v>
      </c>
      <c r="F66" s="30" t="s">
        <v>97</v>
      </c>
      <c r="G66" s="31"/>
      <c r="H66" s="30" t="s">
        <v>47</v>
      </c>
      <c r="I66" s="31"/>
      <c r="J66" s="30" t="s">
        <v>47</v>
      </c>
    </row>
    <row r="67">
      <c r="A67" s="82">
        <v>1001874.0</v>
      </c>
      <c r="B67" s="85">
        <v>44592.0</v>
      </c>
      <c r="C67" s="79" t="s">
        <v>37</v>
      </c>
      <c r="D67" s="29" t="s">
        <v>794</v>
      </c>
      <c r="E67" s="30" t="s">
        <v>45</v>
      </c>
      <c r="F67" s="30" t="s">
        <v>172</v>
      </c>
      <c r="G67" s="31">
        <v>578350.0</v>
      </c>
      <c r="H67" s="30" t="s">
        <v>795</v>
      </c>
      <c r="I67" s="31"/>
      <c r="J67" s="30" t="s">
        <v>47</v>
      </c>
    </row>
    <row r="68">
      <c r="A68" s="82">
        <v>1061278.0</v>
      </c>
      <c r="B68" s="85">
        <v>44592.0</v>
      </c>
      <c r="C68" s="79" t="s">
        <v>37</v>
      </c>
      <c r="D68" s="29" t="s">
        <v>796</v>
      </c>
      <c r="E68" s="30" t="s">
        <v>105</v>
      </c>
      <c r="F68" s="30" t="s">
        <v>778</v>
      </c>
      <c r="G68" s="31">
        <v>1791750.0</v>
      </c>
      <c r="H68" s="30" t="s">
        <v>679</v>
      </c>
      <c r="I68" s="31"/>
      <c r="J68" s="30" t="s">
        <v>47</v>
      </c>
    </row>
    <row r="69">
      <c r="A69" s="82">
        <v>1111116.0</v>
      </c>
      <c r="B69" s="85">
        <v>44592.0</v>
      </c>
      <c r="C69" s="79" t="s">
        <v>142</v>
      </c>
      <c r="D69" s="29" t="s">
        <v>797</v>
      </c>
      <c r="E69" s="30" t="s">
        <v>63</v>
      </c>
      <c r="F69" s="30" t="s">
        <v>115</v>
      </c>
      <c r="G69" s="31">
        <v>1948756.0</v>
      </c>
      <c r="H69" s="30" t="s">
        <v>798</v>
      </c>
      <c r="I69" s="31"/>
      <c r="J69" s="30" t="s">
        <v>47</v>
      </c>
    </row>
    <row r="70">
      <c r="A70" s="82">
        <v>1206148.0</v>
      </c>
      <c r="B70" s="85">
        <v>44592.0</v>
      </c>
      <c r="C70" s="79" t="s">
        <v>37</v>
      </c>
      <c r="D70" s="29" t="s">
        <v>799</v>
      </c>
      <c r="E70" s="30" t="s">
        <v>45</v>
      </c>
      <c r="F70" s="30" t="s">
        <v>75</v>
      </c>
      <c r="G70" s="31">
        <v>2804061.0</v>
      </c>
      <c r="H70" s="30" t="s">
        <v>210</v>
      </c>
      <c r="I70" s="31"/>
      <c r="J70" s="30" t="s">
        <v>47</v>
      </c>
    </row>
    <row r="71">
      <c r="A71" s="82">
        <v>1277856.0</v>
      </c>
      <c r="B71" s="85">
        <v>44592.0</v>
      </c>
      <c r="C71" s="79" t="s">
        <v>37</v>
      </c>
      <c r="D71" s="29" t="s">
        <v>800</v>
      </c>
      <c r="E71" s="30" t="s">
        <v>189</v>
      </c>
      <c r="F71" s="30" t="s">
        <v>337</v>
      </c>
      <c r="G71" s="31"/>
      <c r="H71" s="30" t="s">
        <v>47</v>
      </c>
      <c r="I71" s="31"/>
      <c r="J71" s="30" t="s">
        <v>47</v>
      </c>
    </row>
    <row r="72">
      <c r="A72" s="82">
        <v>1320062.0</v>
      </c>
      <c r="B72" s="85">
        <v>44592.0</v>
      </c>
      <c r="C72" s="79" t="s">
        <v>142</v>
      </c>
      <c r="D72" s="29" t="s">
        <v>801</v>
      </c>
      <c r="E72" s="30" t="s">
        <v>39</v>
      </c>
      <c r="F72" s="30" t="s">
        <v>140</v>
      </c>
      <c r="G72" s="31">
        <v>3379528.0</v>
      </c>
      <c r="H72" s="30" t="s">
        <v>802</v>
      </c>
      <c r="I72" s="31"/>
      <c r="J72" s="30" t="s">
        <v>47</v>
      </c>
    </row>
    <row r="73">
      <c r="A73" s="82">
        <v>1330246.0</v>
      </c>
      <c r="B73" s="85">
        <v>44592.0</v>
      </c>
      <c r="C73" s="79" t="s">
        <v>37</v>
      </c>
      <c r="D73" s="29" t="s">
        <v>803</v>
      </c>
      <c r="E73" s="30" t="s">
        <v>63</v>
      </c>
      <c r="F73" s="30" t="s">
        <v>258</v>
      </c>
      <c r="G73" s="31">
        <v>3693164.0</v>
      </c>
      <c r="H73" s="30" t="s">
        <v>804</v>
      </c>
      <c r="I73" s="31"/>
      <c r="J73" s="30" t="s">
        <v>47</v>
      </c>
    </row>
    <row r="74">
      <c r="A74" s="82">
        <v>1493880.0</v>
      </c>
      <c r="B74" s="85">
        <v>44592.0</v>
      </c>
      <c r="C74" s="79" t="s">
        <v>70</v>
      </c>
      <c r="D74" s="29" t="s">
        <v>805</v>
      </c>
      <c r="E74" s="30" t="s">
        <v>83</v>
      </c>
      <c r="F74" s="30" t="s">
        <v>806</v>
      </c>
      <c r="G74" s="31">
        <v>3229207.0</v>
      </c>
      <c r="H74" s="30" t="s">
        <v>807</v>
      </c>
      <c r="I74" s="31"/>
      <c r="J74" s="30" t="s">
        <v>47</v>
      </c>
    </row>
    <row r="75">
      <c r="A75" s="82">
        <v>1561898.0</v>
      </c>
      <c r="B75" s="85">
        <v>44592.0</v>
      </c>
      <c r="C75" s="79" t="s">
        <v>70</v>
      </c>
      <c r="D75" s="29" t="s">
        <v>808</v>
      </c>
      <c r="E75" s="30" t="s">
        <v>189</v>
      </c>
      <c r="F75" s="30" t="s">
        <v>190</v>
      </c>
      <c r="G75" s="31">
        <v>1981074.0</v>
      </c>
      <c r="H75" s="30" t="s">
        <v>809</v>
      </c>
      <c r="I75" s="31"/>
      <c r="J75" s="30" t="s">
        <v>47</v>
      </c>
    </row>
    <row r="76">
      <c r="A76" s="82">
        <v>1713386.0</v>
      </c>
      <c r="B76" s="85">
        <v>44592.0</v>
      </c>
      <c r="C76" s="79" t="s">
        <v>37</v>
      </c>
      <c r="D76" s="29" t="s">
        <v>810</v>
      </c>
      <c r="E76" s="30" t="s">
        <v>39</v>
      </c>
      <c r="F76" s="30" t="s">
        <v>214</v>
      </c>
      <c r="G76" s="31"/>
      <c r="H76" s="30" t="s">
        <v>47</v>
      </c>
      <c r="I76" s="31"/>
      <c r="J76" s="30" t="s">
        <v>47</v>
      </c>
    </row>
    <row r="77">
      <c r="A77" s="82">
        <v>1722568.0</v>
      </c>
      <c r="B77" s="85">
        <v>44592.0</v>
      </c>
      <c r="C77" s="79" t="s">
        <v>37</v>
      </c>
      <c r="D77" s="29" t="s">
        <v>811</v>
      </c>
      <c r="E77" s="30" t="s">
        <v>219</v>
      </c>
      <c r="F77" s="30" t="s">
        <v>220</v>
      </c>
      <c r="G77" s="31"/>
      <c r="H77" s="30" t="s">
        <v>47</v>
      </c>
      <c r="I77" s="31"/>
      <c r="J77" s="30" t="s">
        <v>47</v>
      </c>
    </row>
    <row r="78">
      <c r="A78" s="82">
        <v>1767136.0</v>
      </c>
      <c r="B78" s="85">
        <v>44592.0</v>
      </c>
      <c r="C78" s="79" t="s">
        <v>37</v>
      </c>
      <c r="D78" s="29" t="s">
        <v>812</v>
      </c>
      <c r="E78" s="30" t="s">
        <v>45</v>
      </c>
      <c r="F78" s="30" t="s">
        <v>172</v>
      </c>
      <c r="G78" s="31">
        <v>2812611.0</v>
      </c>
      <c r="H78" s="30" t="s">
        <v>47</v>
      </c>
      <c r="I78" s="31"/>
      <c r="J78" s="30" t="s">
        <v>47</v>
      </c>
    </row>
    <row r="79">
      <c r="A79" s="82">
        <v>1881734.0</v>
      </c>
      <c r="B79" s="85">
        <v>44592.0</v>
      </c>
      <c r="C79" s="79" t="s">
        <v>37</v>
      </c>
      <c r="D79" s="29" t="s">
        <v>813</v>
      </c>
      <c r="E79" s="30" t="s">
        <v>45</v>
      </c>
      <c r="F79" s="30" t="s">
        <v>46</v>
      </c>
      <c r="G79" s="31"/>
      <c r="H79" s="30" t="s">
        <v>47</v>
      </c>
      <c r="I79" s="31"/>
      <c r="J79" s="30" t="s">
        <v>47</v>
      </c>
    </row>
    <row r="80">
      <c r="A80" s="82">
        <v>1896718.0</v>
      </c>
      <c r="B80" s="85">
        <v>44592.0</v>
      </c>
      <c r="C80" s="79" t="s">
        <v>37</v>
      </c>
      <c r="D80" s="29" t="s">
        <v>814</v>
      </c>
      <c r="E80" s="30" t="s">
        <v>105</v>
      </c>
      <c r="F80" s="30" t="s">
        <v>253</v>
      </c>
      <c r="G80" s="31"/>
      <c r="H80" s="30" t="s">
        <v>47</v>
      </c>
      <c r="I80" s="31"/>
      <c r="J80" s="30" t="s">
        <v>47</v>
      </c>
    </row>
    <row r="81">
      <c r="A81" s="82">
        <v>2289889.0</v>
      </c>
      <c r="B81" s="85">
        <v>44592.0</v>
      </c>
      <c r="C81" s="79" t="s">
        <v>37</v>
      </c>
      <c r="D81" s="29" t="s">
        <v>815</v>
      </c>
      <c r="E81" s="30" t="s">
        <v>105</v>
      </c>
      <c r="F81" s="30" t="s">
        <v>106</v>
      </c>
      <c r="G81" s="31">
        <v>1951990.0</v>
      </c>
      <c r="H81" s="30" t="s">
        <v>47</v>
      </c>
      <c r="I81" s="31"/>
      <c r="J81" s="30"/>
    </row>
    <row r="82">
      <c r="A82" s="82">
        <v>2547537.0</v>
      </c>
      <c r="B82" s="85">
        <v>44592.0</v>
      </c>
      <c r="C82" s="79" t="s">
        <v>37</v>
      </c>
      <c r="D82" s="29" t="s">
        <v>816</v>
      </c>
      <c r="E82" s="30" t="s">
        <v>39</v>
      </c>
      <c r="F82" s="30" t="s">
        <v>214</v>
      </c>
      <c r="G82" s="31">
        <v>1589310.0</v>
      </c>
      <c r="H82" s="30" t="s">
        <v>817</v>
      </c>
      <c r="I82" s="31"/>
      <c r="J82" s="30" t="s">
        <v>47</v>
      </c>
    </row>
    <row r="83">
      <c r="A83" s="82">
        <v>2816705.0</v>
      </c>
      <c r="B83" s="85">
        <v>44592.0</v>
      </c>
      <c r="C83" s="79" t="s">
        <v>37</v>
      </c>
      <c r="D83" s="29" t="s">
        <v>664</v>
      </c>
      <c r="E83" s="30" t="s">
        <v>45</v>
      </c>
      <c r="F83" s="30" t="s">
        <v>75</v>
      </c>
      <c r="G83" s="31"/>
      <c r="H83" s="30" t="s">
        <v>47</v>
      </c>
      <c r="I83" s="31"/>
      <c r="J83" s="30" t="s">
        <v>47</v>
      </c>
    </row>
    <row r="84">
      <c r="A84" s="82">
        <v>3481720.0</v>
      </c>
      <c r="B84" s="85">
        <v>44592.0</v>
      </c>
      <c r="C84" s="79" t="s">
        <v>37</v>
      </c>
      <c r="D84" s="29" t="s">
        <v>818</v>
      </c>
      <c r="E84" s="30" t="s">
        <v>45</v>
      </c>
      <c r="F84" s="30" t="s">
        <v>172</v>
      </c>
      <c r="G84" s="31">
        <v>1523066.0</v>
      </c>
      <c r="H84" s="30" t="s">
        <v>819</v>
      </c>
      <c r="I84" s="31"/>
      <c r="J84" s="30" t="s">
        <v>47</v>
      </c>
    </row>
    <row r="85">
      <c r="A85" s="88">
        <v>3520898.0</v>
      </c>
      <c r="B85" s="85">
        <v>44592.0</v>
      </c>
      <c r="C85" s="79" t="s">
        <v>37</v>
      </c>
      <c r="D85" s="29" t="s">
        <v>820</v>
      </c>
      <c r="E85" s="30" t="s">
        <v>45</v>
      </c>
      <c r="F85" s="30" t="s">
        <v>75</v>
      </c>
      <c r="G85" s="31"/>
      <c r="H85" s="30" t="s">
        <v>47</v>
      </c>
      <c r="I85" s="31"/>
      <c r="J85" s="30" t="s">
        <v>47</v>
      </c>
    </row>
    <row r="86">
      <c r="A86" s="88">
        <v>1517076.0</v>
      </c>
      <c r="B86" s="85">
        <v>44592.0</v>
      </c>
      <c r="C86" s="79" t="s">
        <v>142</v>
      </c>
      <c r="D86" s="29" t="s">
        <v>821</v>
      </c>
      <c r="E86" s="30" t="s">
        <v>96</v>
      </c>
      <c r="F86" s="30" t="s">
        <v>352</v>
      </c>
      <c r="G86" s="31"/>
      <c r="H86" s="30" t="s">
        <v>47</v>
      </c>
      <c r="I86" s="31"/>
      <c r="J86" s="30" t="s">
        <v>47</v>
      </c>
    </row>
    <row r="87">
      <c r="A87" s="88">
        <v>3302130.0</v>
      </c>
      <c r="B87" s="85">
        <v>44592.0</v>
      </c>
      <c r="C87" s="79" t="s">
        <v>37</v>
      </c>
      <c r="D87" s="29" t="s">
        <v>822</v>
      </c>
      <c r="E87" s="30" t="s">
        <v>45</v>
      </c>
      <c r="F87" s="30" t="s">
        <v>50</v>
      </c>
      <c r="G87" s="31"/>
      <c r="H87" s="30" t="s">
        <v>47</v>
      </c>
      <c r="I87" s="31"/>
      <c r="J87" s="30" t="s">
        <v>47</v>
      </c>
    </row>
    <row r="88">
      <c r="A88" s="88">
        <v>587086.0</v>
      </c>
      <c r="B88" s="85">
        <v>44592.0</v>
      </c>
      <c r="C88" s="79" t="s">
        <v>142</v>
      </c>
      <c r="D88" s="29" t="s">
        <v>823</v>
      </c>
      <c r="E88" s="30" t="s">
        <v>105</v>
      </c>
      <c r="F88" s="30" t="s">
        <v>106</v>
      </c>
      <c r="G88" s="31"/>
      <c r="H88" s="30" t="s">
        <v>47</v>
      </c>
      <c r="I88" s="31"/>
      <c r="J88" s="30" t="s">
        <v>47</v>
      </c>
    </row>
    <row r="89">
      <c r="A89" s="88">
        <v>2504794.0</v>
      </c>
      <c r="B89" s="85">
        <v>44592.0</v>
      </c>
      <c r="C89" s="79" t="s">
        <v>170</v>
      </c>
      <c r="D89" s="29" t="s">
        <v>824</v>
      </c>
      <c r="E89" s="30" t="s">
        <v>101</v>
      </c>
      <c r="F89" s="30" t="s">
        <v>754</v>
      </c>
      <c r="G89" s="31"/>
      <c r="H89" s="30" t="s">
        <v>47</v>
      </c>
      <c r="I89" s="31"/>
      <c r="J89" s="30" t="s">
        <v>47</v>
      </c>
    </row>
    <row r="90">
      <c r="A90" s="88">
        <v>1422246.0</v>
      </c>
      <c r="B90" s="85">
        <v>44592.0</v>
      </c>
      <c r="C90" s="79" t="s">
        <v>70</v>
      </c>
      <c r="D90" s="29" t="s">
        <v>825</v>
      </c>
      <c r="E90" s="30" t="s">
        <v>39</v>
      </c>
      <c r="F90" s="30" t="s">
        <v>214</v>
      </c>
      <c r="G90" s="31"/>
      <c r="H90" s="30" t="s">
        <v>47</v>
      </c>
      <c r="I90" s="31"/>
      <c r="J90" s="30" t="s">
        <v>47</v>
      </c>
    </row>
    <row r="91">
      <c r="A91" s="88">
        <v>3216135.0</v>
      </c>
      <c r="B91" s="85">
        <v>44592.0</v>
      </c>
      <c r="C91" s="79" t="s">
        <v>37</v>
      </c>
      <c r="D91" s="29" t="s">
        <v>826</v>
      </c>
      <c r="E91" s="30" t="s">
        <v>45</v>
      </c>
      <c r="F91" s="30" t="s">
        <v>75</v>
      </c>
      <c r="G91" s="31"/>
      <c r="H91" s="30" t="s">
        <v>47</v>
      </c>
      <c r="I91" s="31"/>
      <c r="J91" s="30" t="s">
        <v>47</v>
      </c>
    </row>
    <row r="92">
      <c r="A92" s="88">
        <v>1005210.0</v>
      </c>
      <c r="B92" s="85">
        <v>44592.0</v>
      </c>
      <c r="C92" s="79" t="s">
        <v>37</v>
      </c>
      <c r="D92" s="29" t="s">
        <v>827</v>
      </c>
      <c r="E92" s="30" t="s">
        <v>105</v>
      </c>
      <c r="F92" s="30" t="s">
        <v>106</v>
      </c>
      <c r="G92" s="31"/>
      <c r="H92" s="30" t="s">
        <v>47</v>
      </c>
      <c r="I92" s="31"/>
      <c r="J92" s="30" t="s">
        <v>47</v>
      </c>
    </row>
    <row r="93">
      <c r="A93" s="88">
        <v>2027452.0</v>
      </c>
      <c r="B93" s="85">
        <v>44592.0</v>
      </c>
      <c r="C93" s="79" t="s">
        <v>37</v>
      </c>
      <c r="D93" s="29" t="s">
        <v>828</v>
      </c>
      <c r="E93" s="30" t="s">
        <v>63</v>
      </c>
      <c r="F93" s="30" t="s">
        <v>115</v>
      </c>
      <c r="G93" s="31"/>
      <c r="H93" s="30" t="s">
        <v>47</v>
      </c>
      <c r="I93" s="31"/>
      <c r="J93" s="30" t="s">
        <v>47</v>
      </c>
    </row>
    <row r="94">
      <c r="A94" s="88">
        <v>2285797.0</v>
      </c>
      <c r="B94" s="85">
        <v>44592.0</v>
      </c>
      <c r="C94" s="79" t="s">
        <v>43</v>
      </c>
      <c r="D94" s="29" t="s">
        <v>829</v>
      </c>
      <c r="E94" s="30" t="s">
        <v>122</v>
      </c>
      <c r="F94" s="30" t="s">
        <v>127</v>
      </c>
      <c r="G94" s="31"/>
      <c r="H94" s="30" t="s">
        <v>47</v>
      </c>
      <c r="I94" s="31"/>
      <c r="J94" s="30" t="s">
        <v>47</v>
      </c>
    </row>
    <row r="95">
      <c r="A95" s="88">
        <v>2986274.0</v>
      </c>
      <c r="B95" s="85">
        <v>44592.0</v>
      </c>
      <c r="C95" s="79" t="s">
        <v>37</v>
      </c>
      <c r="D95" s="29" t="s">
        <v>830</v>
      </c>
      <c r="E95" s="30" t="s">
        <v>39</v>
      </c>
      <c r="F95" s="30" t="s">
        <v>40</v>
      </c>
      <c r="G95" s="31">
        <v>1733814.0</v>
      </c>
      <c r="H95" s="30" t="s">
        <v>831</v>
      </c>
      <c r="I95" s="31"/>
      <c r="J95" s="30" t="s">
        <v>47</v>
      </c>
    </row>
    <row r="96">
      <c r="A96" s="88">
        <v>3184048.0</v>
      </c>
      <c r="B96" s="85">
        <v>44592.0</v>
      </c>
      <c r="C96" s="79" t="s">
        <v>37</v>
      </c>
      <c r="D96" s="29" t="s">
        <v>832</v>
      </c>
      <c r="E96" s="30" t="s">
        <v>45</v>
      </c>
      <c r="F96" s="30" t="s">
        <v>172</v>
      </c>
      <c r="G96" s="31">
        <v>986016.0</v>
      </c>
      <c r="H96" s="30" t="s">
        <v>833</v>
      </c>
      <c r="I96" s="31"/>
      <c r="J96" s="30" t="s">
        <v>47</v>
      </c>
    </row>
    <row r="97">
      <c r="A97" s="83">
        <v>1940584.0</v>
      </c>
      <c r="B97" s="85">
        <v>44592.0</v>
      </c>
      <c r="C97" s="79" t="s">
        <v>37</v>
      </c>
      <c r="D97" s="29" t="s">
        <v>834</v>
      </c>
      <c r="E97" s="30" t="s">
        <v>39</v>
      </c>
      <c r="F97" s="30" t="s">
        <v>50</v>
      </c>
      <c r="G97" s="31">
        <v>977360.0</v>
      </c>
      <c r="H97" s="30" t="s">
        <v>835</v>
      </c>
      <c r="I97" s="31"/>
      <c r="J97" s="30" t="s">
        <v>47</v>
      </c>
    </row>
    <row r="98">
      <c r="A98" s="83">
        <v>1336420.0</v>
      </c>
      <c r="B98" s="85">
        <v>44592.0</v>
      </c>
      <c r="C98" s="79" t="s">
        <v>37</v>
      </c>
      <c r="D98" s="29" t="s">
        <v>836</v>
      </c>
      <c r="E98" s="30" t="s">
        <v>39</v>
      </c>
      <c r="F98" s="30" t="s">
        <v>140</v>
      </c>
      <c r="G98" s="31"/>
      <c r="H98" s="30" t="s">
        <v>47</v>
      </c>
      <c r="I98" s="31"/>
      <c r="J98" s="30" t="s">
        <v>47</v>
      </c>
    </row>
    <row r="99">
      <c r="A99" s="83">
        <v>1867116.0</v>
      </c>
      <c r="B99" s="85">
        <v>44592.0</v>
      </c>
      <c r="C99" s="79" t="s">
        <v>37</v>
      </c>
      <c r="D99" s="29" t="s">
        <v>837</v>
      </c>
      <c r="E99" s="30" t="s">
        <v>39</v>
      </c>
      <c r="F99" s="30" t="s">
        <v>214</v>
      </c>
      <c r="G99" s="31"/>
      <c r="H99" s="30" t="s">
        <v>47</v>
      </c>
      <c r="I99" s="31"/>
      <c r="J99" s="30" t="s">
        <v>47</v>
      </c>
    </row>
    <row r="100">
      <c r="A100" s="83">
        <v>3722744.0</v>
      </c>
      <c r="B100" s="85">
        <v>44592.0</v>
      </c>
      <c r="C100" s="79" t="s">
        <v>37</v>
      </c>
      <c r="D100" s="29" t="s">
        <v>838</v>
      </c>
      <c r="E100" s="30" t="s">
        <v>45</v>
      </c>
      <c r="F100" s="30" t="s">
        <v>75</v>
      </c>
      <c r="G100" s="31">
        <v>3573079.0</v>
      </c>
      <c r="H100" s="30" t="s">
        <v>120</v>
      </c>
      <c r="I100" s="31"/>
      <c r="J100" s="30" t="s">
        <v>47</v>
      </c>
    </row>
    <row r="101">
      <c r="A101" s="83">
        <v>3331252.0</v>
      </c>
      <c r="B101" s="85">
        <v>44592.0</v>
      </c>
      <c r="C101" s="79" t="s">
        <v>37</v>
      </c>
      <c r="D101" s="29" t="s">
        <v>839</v>
      </c>
      <c r="E101" s="30" t="s">
        <v>101</v>
      </c>
      <c r="F101" s="30" t="s">
        <v>203</v>
      </c>
      <c r="G101" s="31"/>
      <c r="H101" s="30" t="s">
        <v>47</v>
      </c>
      <c r="I101" s="31"/>
      <c r="J101" s="30" t="s">
        <v>47</v>
      </c>
    </row>
    <row r="102">
      <c r="A102" s="83">
        <v>2475496.0</v>
      </c>
      <c r="B102" s="85">
        <v>44592.0</v>
      </c>
      <c r="C102" s="79" t="s">
        <v>37</v>
      </c>
      <c r="D102" s="29" t="s">
        <v>840</v>
      </c>
      <c r="E102" s="30" t="s">
        <v>45</v>
      </c>
      <c r="F102" s="30" t="s">
        <v>90</v>
      </c>
      <c r="G102" s="31"/>
      <c r="H102" s="30" t="s">
        <v>47</v>
      </c>
      <c r="I102" s="31"/>
      <c r="J102" s="30" t="s">
        <v>47</v>
      </c>
    </row>
    <row r="103">
      <c r="A103" s="83">
        <v>2666128.0</v>
      </c>
      <c r="B103" s="85">
        <v>44592.0</v>
      </c>
      <c r="C103" s="79" t="s">
        <v>37</v>
      </c>
      <c r="D103" s="29" t="s">
        <v>841</v>
      </c>
      <c r="E103" s="30" t="s">
        <v>63</v>
      </c>
      <c r="F103" s="30" t="s">
        <v>258</v>
      </c>
      <c r="G103" s="31"/>
      <c r="H103" s="30" t="s">
        <v>47</v>
      </c>
      <c r="I103" s="31"/>
      <c r="J103" s="30" t="s">
        <v>47</v>
      </c>
    </row>
    <row r="104">
      <c r="A104" s="83">
        <v>3818320.0</v>
      </c>
      <c r="B104" s="85">
        <v>44592.0</v>
      </c>
      <c r="C104" s="79" t="s">
        <v>37</v>
      </c>
      <c r="D104" s="29" t="s">
        <v>842</v>
      </c>
      <c r="E104" s="30" t="s">
        <v>45</v>
      </c>
      <c r="F104" s="30" t="s">
        <v>75</v>
      </c>
      <c r="G104" s="31"/>
      <c r="H104" s="30" t="s">
        <v>47</v>
      </c>
      <c r="I104" s="31"/>
      <c r="J104" s="30" t="s">
        <v>47</v>
      </c>
    </row>
    <row r="105">
      <c r="A105" s="83">
        <v>1716506.0</v>
      </c>
      <c r="B105" s="85">
        <v>44592.0</v>
      </c>
      <c r="C105" s="79" t="s">
        <v>37</v>
      </c>
      <c r="D105" s="29" t="s">
        <v>843</v>
      </c>
      <c r="E105" s="30" t="s">
        <v>58</v>
      </c>
      <c r="F105" s="30" t="s">
        <v>161</v>
      </c>
      <c r="G105" s="31">
        <v>322818.0</v>
      </c>
      <c r="H105" s="30" t="s">
        <v>844</v>
      </c>
      <c r="I105" s="31"/>
      <c r="J105" s="30" t="s">
        <v>47</v>
      </c>
    </row>
    <row r="106">
      <c r="A106" s="83">
        <v>1382630.0</v>
      </c>
      <c r="B106" s="85">
        <v>44592.0</v>
      </c>
      <c r="C106" s="79" t="s">
        <v>37</v>
      </c>
      <c r="D106" s="29" t="s">
        <v>845</v>
      </c>
      <c r="E106" s="30" t="s">
        <v>58</v>
      </c>
      <c r="F106" s="30" t="s">
        <v>59</v>
      </c>
      <c r="G106" s="31">
        <v>199644.0</v>
      </c>
      <c r="H106" s="30" t="s">
        <v>846</v>
      </c>
      <c r="I106" s="31"/>
      <c r="J106" s="30" t="s">
        <v>47</v>
      </c>
    </row>
    <row r="107">
      <c r="A107" s="83">
        <v>30732.0</v>
      </c>
      <c r="B107" s="85">
        <v>44592.0</v>
      </c>
      <c r="C107" s="79" t="s">
        <v>37</v>
      </c>
      <c r="D107" s="29" t="s">
        <v>847</v>
      </c>
      <c r="E107" s="30" t="s">
        <v>105</v>
      </c>
      <c r="F107" s="30" t="s">
        <v>106</v>
      </c>
      <c r="G107" s="31"/>
      <c r="H107" s="30" t="s">
        <v>47</v>
      </c>
      <c r="I107" s="31"/>
      <c r="J107" s="30" t="s">
        <v>47</v>
      </c>
    </row>
    <row r="108">
      <c r="A108" s="83">
        <v>115758.0</v>
      </c>
      <c r="B108" s="85">
        <v>44592.0</v>
      </c>
      <c r="C108" s="79" t="s">
        <v>37</v>
      </c>
      <c r="D108" s="29" t="s">
        <v>848</v>
      </c>
      <c r="E108" s="30" t="s">
        <v>105</v>
      </c>
      <c r="F108" s="30" t="s">
        <v>212</v>
      </c>
      <c r="G108" s="31"/>
      <c r="H108" s="30" t="s">
        <v>47</v>
      </c>
      <c r="I108" s="31"/>
      <c r="J108" s="30" t="s">
        <v>47</v>
      </c>
    </row>
    <row r="109">
      <c r="A109" s="83">
        <v>2412230.0</v>
      </c>
      <c r="B109" s="85">
        <v>44592.0</v>
      </c>
      <c r="C109" s="79" t="s">
        <v>37</v>
      </c>
      <c r="D109" s="29" t="s">
        <v>849</v>
      </c>
      <c r="E109" s="30" t="s">
        <v>45</v>
      </c>
      <c r="F109" s="30" t="s">
        <v>46</v>
      </c>
      <c r="G109" s="31">
        <v>1215970.0</v>
      </c>
      <c r="H109" s="30" t="s">
        <v>850</v>
      </c>
      <c r="I109" s="31">
        <v>706086.0</v>
      </c>
      <c r="J109" s="30" t="s">
        <v>851</v>
      </c>
    </row>
    <row r="110">
      <c r="A110" s="83">
        <v>403072.0</v>
      </c>
      <c r="B110" s="85">
        <v>44592.0</v>
      </c>
      <c r="C110" s="79" t="s">
        <v>37</v>
      </c>
      <c r="D110" s="29" t="s">
        <v>852</v>
      </c>
      <c r="E110" s="30" t="s">
        <v>79</v>
      </c>
      <c r="F110" s="30" t="s">
        <v>184</v>
      </c>
      <c r="G110" s="31">
        <v>3726964.0</v>
      </c>
      <c r="H110" s="30" t="s">
        <v>853</v>
      </c>
      <c r="I110" s="31">
        <v>1058386.0</v>
      </c>
      <c r="J110" s="30" t="s">
        <v>854</v>
      </c>
    </row>
    <row r="111">
      <c r="A111" s="83">
        <v>1238886.0</v>
      </c>
      <c r="B111" s="85">
        <v>44592.0</v>
      </c>
      <c r="C111" s="79" t="s">
        <v>37</v>
      </c>
      <c r="D111" s="29" t="s">
        <v>855</v>
      </c>
      <c r="E111" s="30" t="s">
        <v>39</v>
      </c>
      <c r="F111" s="30" t="s">
        <v>297</v>
      </c>
      <c r="G111" s="31"/>
      <c r="H111" s="30" t="s">
        <v>47</v>
      </c>
      <c r="I111" s="31"/>
      <c r="J111" s="30" t="s">
        <v>47</v>
      </c>
    </row>
    <row r="112">
      <c r="A112" s="83">
        <v>963324.0</v>
      </c>
      <c r="B112" s="85">
        <v>44592.0</v>
      </c>
      <c r="C112" s="79" t="s">
        <v>37</v>
      </c>
      <c r="D112" s="29" t="s">
        <v>535</v>
      </c>
      <c r="E112" s="30" t="s">
        <v>45</v>
      </c>
      <c r="F112" s="30" t="s">
        <v>172</v>
      </c>
      <c r="G112" s="31"/>
      <c r="H112" s="30" t="s">
        <v>47</v>
      </c>
      <c r="I112" s="31"/>
      <c r="J112" s="30" t="s">
        <v>47</v>
      </c>
    </row>
    <row r="113">
      <c r="A113" s="83">
        <v>1158720.0</v>
      </c>
      <c r="B113" s="85">
        <v>44592.0</v>
      </c>
      <c r="C113" s="79" t="s">
        <v>37</v>
      </c>
      <c r="D113" s="29" t="s">
        <v>856</v>
      </c>
      <c r="E113" s="30" t="s">
        <v>39</v>
      </c>
      <c r="F113" s="30" t="s">
        <v>50</v>
      </c>
      <c r="G113" s="31">
        <v>20365.0</v>
      </c>
      <c r="H113" s="30" t="s">
        <v>857</v>
      </c>
      <c r="I113" s="31">
        <v>1146144.0</v>
      </c>
      <c r="J113" s="30" t="s">
        <v>858</v>
      </c>
    </row>
    <row r="114">
      <c r="A114" s="83">
        <v>215728.0</v>
      </c>
      <c r="B114" s="85">
        <v>44592.0</v>
      </c>
      <c r="C114" s="79" t="s">
        <v>37</v>
      </c>
      <c r="D114" s="29" t="s">
        <v>859</v>
      </c>
      <c r="E114" s="30" t="s">
        <v>96</v>
      </c>
      <c r="F114" s="30" t="s">
        <v>263</v>
      </c>
      <c r="G114" s="31">
        <v>640100.0</v>
      </c>
      <c r="H114" s="30" t="s">
        <v>860</v>
      </c>
      <c r="I114" s="31">
        <v>133428.0</v>
      </c>
      <c r="J114" s="30" t="s">
        <v>861</v>
      </c>
    </row>
    <row r="115">
      <c r="A115" s="83">
        <v>508010.0</v>
      </c>
      <c r="B115" s="85">
        <v>44592.0</v>
      </c>
      <c r="C115" s="79" t="s">
        <v>37</v>
      </c>
      <c r="D115" s="29" t="s">
        <v>862</v>
      </c>
      <c r="E115" s="30" t="s">
        <v>189</v>
      </c>
      <c r="F115" s="30" t="s">
        <v>190</v>
      </c>
      <c r="G115" s="31">
        <v>793796.0</v>
      </c>
      <c r="H115" s="30" t="s">
        <v>863</v>
      </c>
      <c r="I115" s="31">
        <v>49250.0</v>
      </c>
      <c r="J115" s="30" t="s">
        <v>864</v>
      </c>
    </row>
    <row r="116">
      <c r="A116" s="83">
        <v>777654.0</v>
      </c>
      <c r="B116" s="85">
        <v>44592.0</v>
      </c>
      <c r="C116" s="79" t="s">
        <v>37</v>
      </c>
      <c r="D116" s="29" t="s">
        <v>865</v>
      </c>
      <c r="E116" s="30" t="s">
        <v>39</v>
      </c>
      <c r="F116" s="30" t="s">
        <v>54</v>
      </c>
      <c r="G116" s="31">
        <v>405282.0</v>
      </c>
      <c r="H116" s="30" t="s">
        <v>866</v>
      </c>
      <c r="I116" s="31">
        <v>1576856.0</v>
      </c>
      <c r="J116" s="30" t="s">
        <v>867</v>
      </c>
    </row>
    <row r="117">
      <c r="A117" s="83">
        <v>509454.0</v>
      </c>
      <c r="B117" s="85">
        <v>44592.0</v>
      </c>
      <c r="C117" s="79" t="s">
        <v>37</v>
      </c>
      <c r="D117" s="29" t="s">
        <v>868</v>
      </c>
      <c r="E117" s="30" t="s">
        <v>39</v>
      </c>
      <c r="F117" s="30" t="s">
        <v>54</v>
      </c>
      <c r="G117" s="31">
        <v>2181338.0</v>
      </c>
      <c r="H117" s="30" t="s">
        <v>869</v>
      </c>
      <c r="I117" s="31"/>
      <c r="J117" s="30" t="s">
        <v>47</v>
      </c>
    </row>
    <row r="118">
      <c r="A118" s="83">
        <v>853420.0</v>
      </c>
      <c r="B118" s="85">
        <v>44592.0</v>
      </c>
      <c r="C118" s="79" t="s">
        <v>37</v>
      </c>
      <c r="D118" s="29" t="s">
        <v>870</v>
      </c>
      <c r="E118" s="30" t="s">
        <v>39</v>
      </c>
      <c r="F118" s="30" t="s">
        <v>241</v>
      </c>
      <c r="G118" s="31">
        <v>1356020.0</v>
      </c>
      <c r="H118" s="30" t="s">
        <v>871</v>
      </c>
      <c r="I118" s="31"/>
      <c r="J118" s="30" t="s">
        <v>47</v>
      </c>
    </row>
    <row r="119">
      <c r="A119" s="83">
        <v>1715894.0</v>
      </c>
      <c r="B119" s="85">
        <v>44592.0</v>
      </c>
      <c r="C119" s="79" t="s">
        <v>37</v>
      </c>
      <c r="D119" s="29" t="s">
        <v>522</v>
      </c>
      <c r="E119" s="30" t="s">
        <v>39</v>
      </c>
      <c r="F119" s="30" t="s">
        <v>140</v>
      </c>
      <c r="G119" s="31">
        <v>1853176.0</v>
      </c>
      <c r="H119" s="30" t="s">
        <v>872</v>
      </c>
      <c r="I119" s="31"/>
      <c r="J119" s="30" t="s">
        <v>47</v>
      </c>
    </row>
    <row r="120">
      <c r="A120" s="83">
        <v>1140472.0</v>
      </c>
      <c r="B120" s="85">
        <v>44592.0</v>
      </c>
      <c r="C120" s="79" t="s">
        <v>37</v>
      </c>
      <c r="D120" s="29" t="s">
        <v>873</v>
      </c>
      <c r="E120" s="30" t="s">
        <v>122</v>
      </c>
      <c r="F120" s="30" t="s">
        <v>271</v>
      </c>
      <c r="G120" s="31">
        <v>1379522.0</v>
      </c>
      <c r="H120" s="30" t="s">
        <v>874</v>
      </c>
      <c r="I120" s="31"/>
      <c r="J120" s="30" t="s">
        <v>47</v>
      </c>
    </row>
    <row r="121">
      <c r="A121" s="83">
        <v>1175526.0</v>
      </c>
      <c r="B121" s="85">
        <v>44592.0</v>
      </c>
      <c r="C121" s="79" t="s">
        <v>37</v>
      </c>
      <c r="D121" s="29" t="s">
        <v>875</v>
      </c>
      <c r="E121" s="30" t="s">
        <v>83</v>
      </c>
      <c r="F121" s="30" t="s">
        <v>876</v>
      </c>
      <c r="G121" s="31">
        <v>1725350.0</v>
      </c>
      <c r="H121" s="30" t="s">
        <v>877</v>
      </c>
      <c r="I121" s="31">
        <v>1175526.0</v>
      </c>
      <c r="J121" s="30" t="s">
        <v>875</v>
      </c>
    </row>
    <row r="122">
      <c r="A122" s="83">
        <v>1248974.0</v>
      </c>
      <c r="B122" s="85">
        <v>44592.0</v>
      </c>
      <c r="C122" s="79" t="s">
        <v>37</v>
      </c>
      <c r="D122" s="29" t="s">
        <v>878</v>
      </c>
      <c r="E122" s="30" t="s">
        <v>39</v>
      </c>
      <c r="F122" s="30" t="s">
        <v>140</v>
      </c>
      <c r="G122" s="31">
        <v>1313502.0</v>
      </c>
      <c r="H122" s="30" t="s">
        <v>879</v>
      </c>
      <c r="I122" s="31">
        <v>1968412.0</v>
      </c>
      <c r="J122" s="30" t="s">
        <v>880</v>
      </c>
    </row>
    <row r="123">
      <c r="A123" s="83">
        <v>113312.0</v>
      </c>
      <c r="B123" s="85">
        <v>44592.0</v>
      </c>
      <c r="C123" s="79" t="s">
        <v>37</v>
      </c>
      <c r="D123" s="29" t="s">
        <v>881</v>
      </c>
      <c r="E123" s="30" t="s">
        <v>79</v>
      </c>
      <c r="F123" s="30" t="s">
        <v>80</v>
      </c>
      <c r="G123" s="31"/>
      <c r="H123" s="30" t="s">
        <v>47</v>
      </c>
      <c r="I123" s="31"/>
      <c r="J123" s="30" t="s">
        <v>47</v>
      </c>
    </row>
    <row r="124">
      <c r="A124" s="83">
        <v>2861282.0</v>
      </c>
      <c r="B124" s="85">
        <v>44592.0</v>
      </c>
      <c r="C124" s="79" t="s">
        <v>37</v>
      </c>
      <c r="D124" s="29" t="s">
        <v>882</v>
      </c>
      <c r="E124" s="30" t="s">
        <v>39</v>
      </c>
      <c r="F124" s="30" t="s">
        <v>241</v>
      </c>
      <c r="G124" s="31"/>
      <c r="H124" s="30" t="s">
        <v>47</v>
      </c>
      <c r="I124" s="31"/>
      <c r="J124" s="30" t="s">
        <v>47</v>
      </c>
    </row>
    <row r="125">
      <c r="A125" s="83">
        <v>2.7592028E7</v>
      </c>
      <c r="B125" s="85">
        <v>44592.0</v>
      </c>
      <c r="C125" s="79" t="s">
        <v>37</v>
      </c>
      <c r="D125" s="29" t="e">
        <v>#N/A</v>
      </c>
      <c r="E125" s="30" t="e">
        <v>#N/A</v>
      </c>
      <c r="F125" s="30" t="e">
        <v>#N/A</v>
      </c>
      <c r="G125" s="31"/>
      <c r="H125" s="30" t="s">
        <v>47</v>
      </c>
      <c r="I125" s="31"/>
      <c r="J125" s="30" t="s">
        <v>47</v>
      </c>
    </row>
    <row r="126">
      <c r="A126" s="83">
        <v>2240248.0</v>
      </c>
      <c r="B126" s="85">
        <v>44592.0</v>
      </c>
      <c r="C126" s="79" t="s">
        <v>70</v>
      </c>
      <c r="D126" s="29" t="s">
        <v>883</v>
      </c>
      <c r="E126" s="30" t="s">
        <v>58</v>
      </c>
      <c r="F126" s="30" t="s">
        <v>59</v>
      </c>
      <c r="G126" s="31">
        <v>2128114.0</v>
      </c>
      <c r="H126" s="30" t="s">
        <v>884</v>
      </c>
      <c r="I126" s="31">
        <v>1248082.0</v>
      </c>
      <c r="J126" s="30" t="s">
        <v>885</v>
      </c>
    </row>
    <row r="127">
      <c r="A127" s="89">
        <v>1585344.0</v>
      </c>
      <c r="B127" s="85">
        <v>44592.0</v>
      </c>
      <c r="C127" s="79" t="s">
        <v>43</v>
      </c>
      <c r="D127" s="29" t="s">
        <v>886</v>
      </c>
      <c r="E127" s="87" t="s">
        <v>96</v>
      </c>
      <c r="F127" s="87" t="s">
        <v>263</v>
      </c>
      <c r="G127" s="31"/>
      <c r="H127" s="30" t="s">
        <v>47</v>
      </c>
      <c r="I127" s="31"/>
      <c r="J127" s="30" t="s">
        <v>47</v>
      </c>
    </row>
    <row r="128">
      <c r="A128" s="89">
        <v>1682960.0</v>
      </c>
      <c r="B128" s="85">
        <v>44592.0</v>
      </c>
      <c r="C128" s="79" t="s">
        <v>70</v>
      </c>
      <c r="D128" s="29" t="s">
        <v>887</v>
      </c>
      <c r="E128" s="30" t="s">
        <v>83</v>
      </c>
      <c r="F128" s="30" t="s">
        <v>330</v>
      </c>
      <c r="G128" s="31"/>
      <c r="H128" s="30" t="s">
        <v>47</v>
      </c>
      <c r="I128" s="31"/>
      <c r="J128" s="30" t="s">
        <v>47</v>
      </c>
    </row>
    <row r="129">
      <c r="A129" s="88">
        <v>796730.0</v>
      </c>
      <c r="B129" s="85">
        <v>44595.0</v>
      </c>
      <c r="C129" s="79" t="s">
        <v>187</v>
      </c>
      <c r="D129" s="29" t="s">
        <v>888</v>
      </c>
      <c r="E129" s="30" t="s">
        <v>45</v>
      </c>
      <c r="F129" s="30" t="s">
        <v>90</v>
      </c>
      <c r="G129" s="31"/>
      <c r="H129" s="30"/>
      <c r="I129" s="31"/>
      <c r="J129" s="30"/>
    </row>
    <row r="130">
      <c r="A130" s="90">
        <v>2672672.0</v>
      </c>
      <c r="B130" s="85">
        <v>44592.0</v>
      </c>
      <c r="C130" s="79" t="s">
        <v>187</v>
      </c>
      <c r="D130" s="29" t="s">
        <v>889</v>
      </c>
      <c r="E130" s="30" t="s">
        <v>63</v>
      </c>
      <c r="F130" s="30" t="s">
        <v>258</v>
      </c>
      <c r="G130" s="31"/>
      <c r="H130" s="30"/>
      <c r="I130" s="31"/>
      <c r="J130" s="30"/>
    </row>
    <row r="131">
      <c r="A131" s="57">
        <v>3156760.0</v>
      </c>
      <c r="B131" s="91">
        <v>44599.0</v>
      </c>
      <c r="C131" s="92" t="s">
        <v>717</v>
      </c>
      <c r="D131" s="29" t="s">
        <v>890</v>
      </c>
      <c r="F131" s="87"/>
      <c r="G131" s="86"/>
      <c r="H131" s="87"/>
      <c r="I131" s="31"/>
      <c r="J131" s="30"/>
    </row>
    <row r="132">
      <c r="A132" s="93">
        <v>3538620.0</v>
      </c>
      <c r="B132" s="91">
        <v>44600.0</v>
      </c>
      <c r="C132" s="92" t="s">
        <v>37</v>
      </c>
      <c r="D132" s="29" t="s">
        <v>891</v>
      </c>
      <c r="F132" s="87"/>
      <c r="G132" s="86">
        <v>3496080.0</v>
      </c>
      <c r="H132" s="87" t="s">
        <v>892</v>
      </c>
      <c r="I132" s="31"/>
      <c r="J132" s="30"/>
    </row>
    <row r="133">
      <c r="A133" s="36">
        <v>4433652.0</v>
      </c>
      <c r="B133" s="91">
        <v>44600.0</v>
      </c>
      <c r="C133" s="92" t="s">
        <v>893</v>
      </c>
      <c r="D133" s="29" t="s">
        <v>894</v>
      </c>
      <c r="E133" t="s">
        <v>39</v>
      </c>
      <c r="F133" s="87" t="s">
        <v>241</v>
      </c>
      <c r="G133" s="31"/>
      <c r="H133" s="30"/>
      <c r="I133" s="31"/>
      <c r="J133" s="30"/>
    </row>
    <row r="134">
      <c r="A134" s="94" t="s">
        <v>895</v>
      </c>
      <c r="B134" s="91">
        <v>44601.0</v>
      </c>
      <c r="C134" s="92" t="s">
        <v>37</v>
      </c>
      <c r="D134" s="29" t="s">
        <v>896</v>
      </c>
      <c r="E134" t="s">
        <v>58</v>
      </c>
      <c r="F134" s="87" t="s">
        <v>59</v>
      </c>
      <c r="G134" s="31">
        <v>840388.0</v>
      </c>
      <c r="H134" s="30" t="s">
        <v>897</v>
      </c>
      <c r="I134" s="31"/>
      <c r="J134" s="30"/>
    </row>
    <row r="135">
      <c r="A135" s="94" t="s">
        <v>898</v>
      </c>
      <c r="B135" s="91">
        <v>44601.0</v>
      </c>
      <c r="C135" s="92" t="s">
        <v>37</v>
      </c>
      <c r="D135" s="29" t="s">
        <v>899</v>
      </c>
      <c r="E135" t="s">
        <v>58</v>
      </c>
      <c r="F135" s="87" t="s">
        <v>59</v>
      </c>
      <c r="G135" s="31">
        <v>3398710.0</v>
      </c>
      <c r="H135" s="30" t="s">
        <v>900</v>
      </c>
      <c r="I135" s="31"/>
      <c r="J135" s="30"/>
    </row>
    <row r="136">
      <c r="A136" s="94" t="s">
        <v>901</v>
      </c>
      <c r="B136" s="91">
        <v>44601.0</v>
      </c>
      <c r="C136" s="92" t="s">
        <v>37</v>
      </c>
      <c r="D136" s="29" t="s">
        <v>902</v>
      </c>
      <c r="E136" t="s">
        <v>58</v>
      </c>
      <c r="F136" s="87" t="s">
        <v>59</v>
      </c>
      <c r="G136" s="86"/>
      <c r="H136" s="87"/>
      <c r="I136" s="31"/>
      <c r="J136" s="30"/>
    </row>
    <row r="137">
      <c r="A137" s="94" t="s">
        <v>903</v>
      </c>
      <c r="B137" s="91">
        <v>44601.0</v>
      </c>
      <c r="C137" s="92" t="s">
        <v>37</v>
      </c>
      <c r="D137" s="29" t="s">
        <v>904</v>
      </c>
      <c r="E137" t="s">
        <v>58</v>
      </c>
      <c r="F137" s="87" t="s">
        <v>59</v>
      </c>
      <c r="G137" s="86"/>
      <c r="H137" s="87"/>
      <c r="I137" s="31"/>
      <c r="J137" s="30"/>
    </row>
    <row r="138">
      <c r="A138" s="94" t="s">
        <v>905</v>
      </c>
      <c r="B138" s="91">
        <v>44601.0</v>
      </c>
      <c r="C138" s="92" t="s">
        <v>37</v>
      </c>
      <c r="D138" s="29" t="s">
        <v>906</v>
      </c>
      <c r="E138" t="s">
        <v>58</v>
      </c>
      <c r="F138" s="87" t="s">
        <v>59</v>
      </c>
      <c r="G138" s="31"/>
      <c r="H138" s="30"/>
      <c r="I138" s="31"/>
      <c r="J138" s="30"/>
    </row>
    <row r="139">
      <c r="A139" s="94" t="s">
        <v>907</v>
      </c>
      <c r="B139" s="91">
        <v>44601.0</v>
      </c>
      <c r="C139" s="92" t="s">
        <v>37</v>
      </c>
      <c r="D139" s="29" t="s">
        <v>908</v>
      </c>
      <c r="E139" t="s">
        <v>58</v>
      </c>
      <c r="F139" s="87" t="s">
        <v>59</v>
      </c>
      <c r="G139" s="86">
        <v>802642.0</v>
      </c>
      <c r="H139" s="87" t="s">
        <v>909</v>
      </c>
      <c r="I139" s="31"/>
      <c r="J139" s="30"/>
    </row>
    <row r="140">
      <c r="A140" s="94" t="s">
        <v>910</v>
      </c>
      <c r="B140" s="91">
        <v>44601.0</v>
      </c>
      <c r="C140" s="92" t="s">
        <v>37</v>
      </c>
      <c r="D140" s="29" t="s">
        <v>911</v>
      </c>
      <c r="E140" t="s">
        <v>58</v>
      </c>
      <c r="F140" s="87" t="s">
        <v>59</v>
      </c>
      <c r="G140" s="86">
        <v>1466514.0</v>
      </c>
      <c r="H140" s="87" t="s">
        <v>912</v>
      </c>
      <c r="I140" s="31"/>
      <c r="J140" s="30"/>
    </row>
    <row r="141">
      <c r="A141" s="94" t="s">
        <v>913</v>
      </c>
      <c r="B141" s="91">
        <v>44601.0</v>
      </c>
      <c r="C141" s="92" t="s">
        <v>37</v>
      </c>
      <c r="D141" s="29" t="s">
        <v>914</v>
      </c>
      <c r="E141" t="s">
        <v>58</v>
      </c>
      <c r="F141" s="87" t="s">
        <v>59</v>
      </c>
      <c r="G141" s="86"/>
      <c r="H141" s="87"/>
      <c r="I141" s="31"/>
      <c r="J141" s="30"/>
    </row>
    <row r="142">
      <c r="A142" s="94" t="s">
        <v>915</v>
      </c>
      <c r="B142" s="91">
        <v>44601.0</v>
      </c>
      <c r="C142" s="92" t="s">
        <v>37</v>
      </c>
      <c r="D142" s="29" t="s">
        <v>916</v>
      </c>
      <c r="E142" t="s">
        <v>58</v>
      </c>
      <c r="F142" s="87" t="s">
        <v>59</v>
      </c>
      <c r="G142" s="86">
        <v>662354.0</v>
      </c>
      <c r="H142" s="87" t="s">
        <v>917</v>
      </c>
      <c r="I142" s="31"/>
      <c r="J142" s="30"/>
    </row>
    <row r="143">
      <c r="A143" s="94" t="s">
        <v>918</v>
      </c>
      <c r="B143" s="91">
        <v>44601.0</v>
      </c>
      <c r="C143" s="92" t="s">
        <v>37</v>
      </c>
      <c r="D143" s="29" t="s">
        <v>919</v>
      </c>
      <c r="E143" t="s">
        <v>58</v>
      </c>
      <c r="F143" s="87" t="s">
        <v>59</v>
      </c>
      <c r="G143" s="86">
        <v>1350272.0</v>
      </c>
      <c r="H143" s="87" t="s">
        <v>920</v>
      </c>
      <c r="I143" s="31"/>
      <c r="J143" s="30"/>
    </row>
    <row r="144">
      <c r="A144" s="94" t="s">
        <v>921</v>
      </c>
      <c r="B144" s="91">
        <v>44601.0</v>
      </c>
      <c r="C144" s="92" t="s">
        <v>37</v>
      </c>
      <c r="D144" s="29" t="s">
        <v>922</v>
      </c>
      <c r="E144" t="s">
        <v>58</v>
      </c>
      <c r="F144" s="87" t="s">
        <v>59</v>
      </c>
      <c r="G144" s="31">
        <v>394952.0</v>
      </c>
      <c r="H144" s="30" t="s">
        <v>923</v>
      </c>
      <c r="I144" s="31"/>
      <c r="J144" s="30"/>
    </row>
    <row r="145">
      <c r="A145" s="94" t="s">
        <v>924</v>
      </c>
      <c r="B145" s="91">
        <v>44601.0</v>
      </c>
      <c r="C145" s="92" t="s">
        <v>37</v>
      </c>
      <c r="D145" s="29" t="s">
        <v>925</v>
      </c>
      <c r="E145" t="s">
        <v>58</v>
      </c>
      <c r="F145" s="87" t="s">
        <v>59</v>
      </c>
      <c r="G145" s="31">
        <v>2390192.0</v>
      </c>
      <c r="H145" s="30" t="s">
        <v>926</v>
      </c>
      <c r="I145" s="31"/>
      <c r="J145" s="30"/>
    </row>
    <row r="146">
      <c r="A146" s="83">
        <v>1328594.0</v>
      </c>
      <c r="B146" s="95">
        <v>44601.0</v>
      </c>
      <c r="C146" s="92" t="s">
        <v>37</v>
      </c>
      <c r="D146" s="29" t="s">
        <v>927</v>
      </c>
      <c r="E146" s="87" t="s">
        <v>58</v>
      </c>
      <c r="F146" s="87" t="s">
        <v>59</v>
      </c>
      <c r="G146" s="86">
        <v>2108272.0</v>
      </c>
      <c r="H146" s="87" t="s">
        <v>928</v>
      </c>
      <c r="I146" s="86"/>
      <c r="J146" s="87"/>
    </row>
    <row r="147">
      <c r="A147" s="83">
        <v>604972.0</v>
      </c>
      <c r="B147" s="95">
        <v>44601.0</v>
      </c>
      <c r="C147" s="96" t="s">
        <v>37</v>
      </c>
      <c r="D147" s="29" t="s">
        <v>929</v>
      </c>
      <c r="E147" s="30" t="s">
        <v>58</v>
      </c>
      <c r="F147" s="30" t="s">
        <v>59</v>
      </c>
      <c r="G147" s="31"/>
      <c r="H147" s="30"/>
      <c r="I147" s="31"/>
      <c r="J147" s="30"/>
    </row>
    <row r="148">
      <c r="A148" s="83">
        <v>1328606.0</v>
      </c>
      <c r="B148" s="95">
        <v>44601.0</v>
      </c>
      <c r="C148" s="96" t="s">
        <v>37</v>
      </c>
      <c r="D148" s="29" t="s">
        <v>930</v>
      </c>
      <c r="E148" s="30" t="s">
        <v>58</v>
      </c>
      <c r="F148" s="30" t="s">
        <v>59</v>
      </c>
      <c r="G148" s="31"/>
      <c r="H148" s="30"/>
      <c r="I148" s="31"/>
      <c r="J148" s="30"/>
    </row>
    <row r="149">
      <c r="A149" s="83">
        <v>2963190.0</v>
      </c>
      <c r="B149" s="95">
        <v>44607.0</v>
      </c>
      <c r="C149" s="96" t="s">
        <v>206</v>
      </c>
      <c r="D149" s="29" t="s">
        <v>931</v>
      </c>
      <c r="E149" s="30" t="s">
        <v>105</v>
      </c>
      <c r="F149" s="30" t="s">
        <v>106</v>
      </c>
      <c r="G149" s="31"/>
      <c r="H149" s="30"/>
      <c r="I149" s="31"/>
      <c r="J149" s="30"/>
    </row>
    <row r="150">
      <c r="A150" s="83">
        <v>3460298.0</v>
      </c>
      <c r="B150" s="95">
        <v>44607.0</v>
      </c>
      <c r="C150" s="96" t="s">
        <v>206</v>
      </c>
      <c r="D150" s="29" t="s">
        <v>932</v>
      </c>
      <c r="E150" s="30" t="s">
        <v>45</v>
      </c>
      <c r="F150" s="30" t="s">
        <v>90</v>
      </c>
      <c r="G150" s="31"/>
      <c r="H150" s="30"/>
      <c r="I150" s="31"/>
      <c r="J150" s="30"/>
    </row>
    <row r="151">
      <c r="A151" s="83">
        <v>2276765.0</v>
      </c>
      <c r="B151" s="95">
        <v>44609.0</v>
      </c>
      <c r="C151" s="96" t="s">
        <v>395</v>
      </c>
      <c r="D151" s="29" t="s">
        <v>933</v>
      </c>
      <c r="E151" s="30"/>
      <c r="F151" s="30"/>
      <c r="G151" s="31"/>
      <c r="H151" s="30"/>
      <c r="I151" s="31"/>
      <c r="J151" s="30"/>
    </row>
    <row r="152">
      <c r="A152" s="83">
        <v>2335248.0</v>
      </c>
      <c r="B152" s="95">
        <v>44609.0</v>
      </c>
      <c r="C152" s="96" t="s">
        <v>395</v>
      </c>
      <c r="D152" s="29" t="s">
        <v>934</v>
      </c>
      <c r="E152" s="30"/>
      <c r="F152" s="30"/>
      <c r="G152" s="31"/>
      <c r="H152" s="30"/>
      <c r="I152" s="31"/>
      <c r="J152" s="30"/>
    </row>
    <row r="153">
      <c r="A153" s="83">
        <v>2001784.0</v>
      </c>
      <c r="B153" s="95">
        <v>44609.0</v>
      </c>
      <c r="C153" s="96" t="s">
        <v>395</v>
      </c>
      <c r="D153" s="29" t="s">
        <v>935</v>
      </c>
      <c r="E153" s="30"/>
      <c r="F153" s="30"/>
      <c r="G153" s="31"/>
      <c r="H153" s="30"/>
      <c r="I153" s="31"/>
      <c r="J153" s="30"/>
    </row>
    <row r="154">
      <c r="A154" s="83">
        <v>3512994.0</v>
      </c>
      <c r="B154" s="95">
        <v>44609.0</v>
      </c>
      <c r="C154" s="96" t="s">
        <v>395</v>
      </c>
      <c r="D154" s="29" t="s">
        <v>936</v>
      </c>
      <c r="E154" s="30"/>
      <c r="F154" s="30"/>
      <c r="G154" s="31"/>
      <c r="H154" s="30"/>
      <c r="I154" s="31"/>
      <c r="J154" s="30"/>
    </row>
    <row r="155">
      <c r="A155" s="83">
        <v>3348566.0</v>
      </c>
      <c r="B155" s="95">
        <v>44609.0</v>
      </c>
      <c r="C155" s="96" t="s">
        <v>395</v>
      </c>
      <c r="D155" s="29" t="s">
        <v>937</v>
      </c>
      <c r="E155" s="30"/>
      <c r="F155" s="30"/>
      <c r="G155" s="31"/>
      <c r="H155" s="30"/>
      <c r="I155" s="31"/>
      <c r="J155" s="30"/>
    </row>
    <row r="156">
      <c r="A156" s="83">
        <v>3657124.0</v>
      </c>
      <c r="B156" s="95">
        <v>44609.0</v>
      </c>
      <c r="C156" s="96" t="s">
        <v>395</v>
      </c>
      <c r="D156" s="29" t="s">
        <v>938</v>
      </c>
      <c r="E156" s="30"/>
      <c r="F156" s="30"/>
      <c r="G156" s="31"/>
      <c r="H156" s="30"/>
      <c r="I156" s="31"/>
      <c r="J156" s="30"/>
    </row>
    <row r="157">
      <c r="A157" s="26">
        <v>3108406.0</v>
      </c>
      <c r="B157" s="95">
        <v>44609.0</v>
      </c>
      <c r="C157" s="96" t="s">
        <v>395</v>
      </c>
      <c r="D157" s="29" t="s">
        <v>939</v>
      </c>
      <c r="E157" s="30"/>
      <c r="F157" s="30"/>
      <c r="G157" s="31"/>
      <c r="H157" s="30"/>
      <c r="I157" s="31"/>
      <c r="J157" s="30"/>
    </row>
    <row r="158">
      <c r="A158" s="26">
        <v>3035836.0</v>
      </c>
      <c r="B158" s="95">
        <v>44609.0</v>
      </c>
      <c r="C158" s="96" t="s">
        <v>395</v>
      </c>
      <c r="D158" s="29" t="s">
        <v>940</v>
      </c>
      <c r="E158" s="30"/>
      <c r="F158" s="30"/>
      <c r="G158" s="31"/>
      <c r="H158" s="30"/>
      <c r="I158" s="31"/>
      <c r="J158" s="30"/>
    </row>
    <row r="159">
      <c r="A159" s="26">
        <v>1321052.0</v>
      </c>
      <c r="B159" s="95">
        <v>44609.0</v>
      </c>
      <c r="C159" s="96" t="s">
        <v>395</v>
      </c>
      <c r="D159" s="29" t="s">
        <v>941</v>
      </c>
      <c r="E159" s="30"/>
      <c r="F159" s="30"/>
      <c r="G159" s="31"/>
      <c r="H159" s="30"/>
      <c r="I159" s="31"/>
      <c r="J159" s="30"/>
    </row>
    <row r="160">
      <c r="A160" s="26">
        <v>3419728.0</v>
      </c>
      <c r="B160" s="95">
        <v>44609.0</v>
      </c>
      <c r="C160" s="96" t="s">
        <v>395</v>
      </c>
      <c r="D160" s="29" t="s">
        <v>942</v>
      </c>
      <c r="E160" s="30"/>
      <c r="F160" s="30"/>
      <c r="G160" s="31"/>
      <c r="H160" s="30"/>
      <c r="I160" s="31"/>
      <c r="J160" s="30"/>
    </row>
    <row r="161">
      <c r="A161" s="93">
        <v>466736.0</v>
      </c>
      <c r="B161" s="95">
        <v>44616.0</v>
      </c>
      <c r="C161" s="96" t="s">
        <v>37</v>
      </c>
      <c r="D161" s="29" t="s">
        <v>943</v>
      </c>
      <c r="E161" s="30" t="s">
        <v>58</v>
      </c>
      <c r="F161" s="30" t="s">
        <v>944</v>
      </c>
      <c r="G161" s="31">
        <v>2495378.0</v>
      </c>
      <c r="H161" s="30" t="s">
        <v>945</v>
      </c>
      <c r="I161" s="31">
        <v>484366.0</v>
      </c>
      <c r="J161" s="30" t="s">
        <v>946</v>
      </c>
    </row>
    <row r="162">
      <c r="A162" s="26">
        <v>3764342.0</v>
      </c>
      <c r="B162" s="95">
        <v>44620.0</v>
      </c>
      <c r="C162" s="96" t="s">
        <v>393</v>
      </c>
      <c r="D162" s="29" t="s">
        <v>947</v>
      </c>
      <c r="E162" s="30" t="s">
        <v>105</v>
      </c>
      <c r="F162" s="30" t="s">
        <v>501</v>
      </c>
      <c r="G162" s="31"/>
      <c r="H162" s="30"/>
      <c r="I162" s="31"/>
      <c r="J162" s="30"/>
    </row>
    <row r="163">
      <c r="A163" s="26">
        <v>2795300.0</v>
      </c>
      <c r="B163" s="95">
        <v>44620.0</v>
      </c>
      <c r="C163" s="96" t="s">
        <v>393</v>
      </c>
      <c r="D163" s="29" t="s">
        <v>948</v>
      </c>
      <c r="E163" s="30" t="s">
        <v>101</v>
      </c>
      <c r="F163" s="30" t="s">
        <v>203</v>
      </c>
      <c r="G163" s="31"/>
      <c r="H163" s="30"/>
      <c r="I163" s="31"/>
      <c r="J163" s="30"/>
    </row>
    <row r="164">
      <c r="A164" s="26">
        <v>1477898.0</v>
      </c>
      <c r="B164" s="95">
        <v>44620.0</v>
      </c>
      <c r="C164" s="96" t="s">
        <v>393</v>
      </c>
      <c r="D164" s="29" t="s">
        <v>949</v>
      </c>
      <c r="E164" s="30" t="s">
        <v>105</v>
      </c>
      <c r="F164" s="30" t="s">
        <v>106</v>
      </c>
      <c r="G164" s="31"/>
      <c r="H164" s="30"/>
      <c r="I164" s="31"/>
      <c r="J164" s="30"/>
    </row>
    <row r="165">
      <c r="A165" s="97">
        <v>3921006.0</v>
      </c>
      <c r="B165" s="95">
        <v>44620.0</v>
      </c>
      <c r="C165" s="96" t="s">
        <v>393</v>
      </c>
      <c r="D165" s="29" t="s">
        <v>950</v>
      </c>
      <c r="E165" s="30" t="s">
        <v>122</v>
      </c>
      <c r="F165" s="30" t="s">
        <v>127</v>
      </c>
      <c r="G165" s="31"/>
      <c r="H165" s="30"/>
      <c r="I165" s="31"/>
      <c r="J165" s="30"/>
    </row>
    <row r="166">
      <c r="A166" s="98">
        <v>2003832.0</v>
      </c>
      <c r="B166" s="95">
        <v>44620.0</v>
      </c>
      <c r="C166" s="96" t="s">
        <v>393</v>
      </c>
      <c r="D166" s="29" t="s">
        <v>951</v>
      </c>
      <c r="E166" s="30" t="s">
        <v>219</v>
      </c>
      <c r="F166" s="30" t="s">
        <v>220</v>
      </c>
      <c r="G166" s="31"/>
      <c r="H166" s="30"/>
      <c r="I166" s="31"/>
      <c r="J166" s="30"/>
    </row>
    <row r="167">
      <c r="A167" s="26">
        <v>2940740.0</v>
      </c>
      <c r="B167" s="95">
        <v>44620.0</v>
      </c>
      <c r="C167" s="96" t="s">
        <v>393</v>
      </c>
      <c r="D167" s="29" t="s">
        <v>952</v>
      </c>
      <c r="E167" s="30" t="s">
        <v>58</v>
      </c>
      <c r="F167" s="30" t="s">
        <v>59</v>
      </c>
      <c r="G167" s="31"/>
      <c r="H167" s="30"/>
      <c r="I167" s="31"/>
      <c r="J167" s="30"/>
    </row>
    <row r="168">
      <c r="A168" s="26">
        <v>2798056.0</v>
      </c>
      <c r="B168" s="95">
        <v>44620.0</v>
      </c>
      <c r="C168" s="96" t="s">
        <v>393</v>
      </c>
      <c r="D168" s="29" t="s">
        <v>953</v>
      </c>
      <c r="E168" s="30" t="s">
        <v>79</v>
      </c>
      <c r="F168" s="30" t="s">
        <v>80</v>
      </c>
      <c r="G168" s="31"/>
      <c r="H168" s="30"/>
      <c r="I168" s="31"/>
      <c r="J168" s="30"/>
    </row>
    <row r="169">
      <c r="A169" s="26">
        <v>1478328.0</v>
      </c>
      <c r="B169" s="95">
        <v>44620.0</v>
      </c>
      <c r="C169" s="96" t="s">
        <v>37</v>
      </c>
      <c r="D169" s="29" t="s">
        <v>954</v>
      </c>
      <c r="E169" s="30" t="s">
        <v>39</v>
      </c>
      <c r="F169" s="30" t="s">
        <v>297</v>
      </c>
      <c r="G169" s="31"/>
      <c r="H169" s="30"/>
      <c r="I169" s="31"/>
      <c r="J169" s="30"/>
    </row>
    <row r="170">
      <c r="A170" s="26">
        <v>1939102.0</v>
      </c>
      <c r="B170" s="95">
        <v>44620.0</v>
      </c>
      <c r="C170" s="96" t="s">
        <v>142</v>
      </c>
      <c r="D170" s="29" t="s">
        <v>955</v>
      </c>
      <c r="E170" s="30" t="s">
        <v>122</v>
      </c>
      <c r="F170" s="30" t="s">
        <v>123</v>
      </c>
      <c r="G170" s="31"/>
      <c r="H170" s="30"/>
      <c r="I170" s="31"/>
      <c r="J170" s="30"/>
    </row>
    <row r="171">
      <c r="A171" s="26">
        <v>2132994.0</v>
      </c>
      <c r="B171" s="95">
        <v>44620.0</v>
      </c>
      <c r="C171" s="96" t="s">
        <v>37</v>
      </c>
      <c r="D171" s="29" t="s">
        <v>956</v>
      </c>
      <c r="E171" s="30" t="s">
        <v>45</v>
      </c>
      <c r="F171" s="30" t="s">
        <v>46</v>
      </c>
      <c r="G171" s="31"/>
      <c r="H171" s="30"/>
      <c r="I171" s="31"/>
      <c r="J171" s="30"/>
    </row>
    <row r="172">
      <c r="A172" s="26">
        <v>2277297.0</v>
      </c>
      <c r="B172" s="95">
        <v>44620.0</v>
      </c>
      <c r="C172" s="96" t="s">
        <v>37</v>
      </c>
      <c r="D172" s="29" t="s">
        <v>957</v>
      </c>
      <c r="E172" s="30" t="s">
        <v>63</v>
      </c>
      <c r="F172" s="30" t="s">
        <v>64</v>
      </c>
      <c r="G172" s="31"/>
      <c r="H172" s="30"/>
      <c r="I172" s="31"/>
      <c r="J172" s="30"/>
    </row>
    <row r="173">
      <c r="A173" s="26">
        <v>2380528.0</v>
      </c>
      <c r="B173" s="95">
        <v>44620.0</v>
      </c>
      <c r="C173" s="96" t="s">
        <v>70</v>
      </c>
      <c r="D173" s="29" t="s">
        <v>958</v>
      </c>
      <c r="E173" s="30" t="s">
        <v>39</v>
      </c>
      <c r="F173" s="30" t="s">
        <v>214</v>
      </c>
      <c r="G173" s="31"/>
      <c r="H173" s="30"/>
      <c r="I173" s="31"/>
      <c r="J173" s="30"/>
    </row>
    <row r="174">
      <c r="A174" s="26">
        <v>2594210.0</v>
      </c>
      <c r="B174" s="95">
        <v>44620.0</v>
      </c>
      <c r="C174" s="96" t="s">
        <v>70</v>
      </c>
      <c r="D174" s="29" t="s">
        <v>959</v>
      </c>
      <c r="E174" s="30" t="s">
        <v>960</v>
      </c>
      <c r="F174" s="30" t="s">
        <v>45</v>
      </c>
      <c r="G174" s="31"/>
      <c r="H174" s="30"/>
      <c r="I174" s="31"/>
      <c r="J174" s="30"/>
    </row>
    <row r="175">
      <c r="A175" s="26">
        <v>2651556.0</v>
      </c>
      <c r="B175" s="95">
        <v>44620.0</v>
      </c>
      <c r="C175" s="96" t="s">
        <v>37</v>
      </c>
      <c r="D175" s="29" t="s">
        <v>961</v>
      </c>
      <c r="E175" s="30" t="s">
        <v>101</v>
      </c>
      <c r="F175" s="30" t="s">
        <v>203</v>
      </c>
      <c r="G175" s="31"/>
      <c r="H175" s="30"/>
      <c r="I175" s="31"/>
      <c r="J175" s="30"/>
    </row>
    <row r="176">
      <c r="A176" s="26">
        <v>2837620.0</v>
      </c>
      <c r="B176" s="95">
        <v>44620.0</v>
      </c>
      <c r="C176" s="96" t="s">
        <v>37</v>
      </c>
      <c r="D176" s="29" t="e">
        <v>#REF!</v>
      </c>
      <c r="E176" s="30"/>
      <c r="F176" s="30"/>
      <c r="G176" s="31"/>
      <c r="H176" s="30"/>
      <c r="I176" s="31"/>
      <c r="J176" s="30"/>
    </row>
    <row r="177">
      <c r="A177" s="26">
        <v>3220009.0</v>
      </c>
      <c r="B177" s="95">
        <v>44620.0</v>
      </c>
      <c r="C177" s="96" t="s">
        <v>37</v>
      </c>
      <c r="D177" s="29" t="s">
        <v>962</v>
      </c>
      <c r="E177" s="30" t="s">
        <v>101</v>
      </c>
      <c r="F177" s="30" t="s">
        <v>203</v>
      </c>
      <c r="G177" s="31"/>
      <c r="H177" s="30"/>
      <c r="I177" s="31"/>
      <c r="J177" s="30"/>
    </row>
    <row r="178">
      <c r="A178" s="83">
        <v>3344214.0</v>
      </c>
      <c r="B178" s="95">
        <v>44620.0</v>
      </c>
      <c r="C178" s="96" t="s">
        <v>37</v>
      </c>
      <c r="D178" s="29" t="e">
        <v>#REF!</v>
      </c>
      <c r="E178" s="30"/>
      <c r="F178" s="30"/>
      <c r="G178" s="31"/>
      <c r="H178" s="30"/>
      <c r="I178" s="31"/>
      <c r="J178" s="30"/>
    </row>
    <row r="179">
      <c r="A179" s="83">
        <v>3774636.0</v>
      </c>
      <c r="B179" s="95">
        <v>44620.0</v>
      </c>
      <c r="C179" s="96" t="s">
        <v>37</v>
      </c>
      <c r="D179" s="29" t="s">
        <v>963</v>
      </c>
      <c r="E179" s="30" t="s">
        <v>58</v>
      </c>
      <c r="F179" s="30" t="s">
        <v>59</v>
      </c>
      <c r="G179" s="31"/>
      <c r="H179" s="30"/>
      <c r="I179" s="31"/>
      <c r="J179" s="30"/>
    </row>
    <row r="180">
      <c r="A180" s="83">
        <v>415720.0</v>
      </c>
      <c r="B180" s="95">
        <v>44620.0</v>
      </c>
      <c r="C180" s="96" t="s">
        <v>37</v>
      </c>
      <c r="D180" s="29" t="s">
        <v>964</v>
      </c>
      <c r="E180" s="30" t="s">
        <v>39</v>
      </c>
      <c r="F180" s="30" t="s">
        <v>241</v>
      </c>
      <c r="G180" s="31"/>
      <c r="H180" s="30"/>
      <c r="I180" s="31"/>
      <c r="J180" s="30"/>
    </row>
    <row r="181">
      <c r="A181" s="83">
        <v>688968.0</v>
      </c>
      <c r="B181" s="95">
        <v>44620.0</v>
      </c>
      <c r="C181" s="96" t="s">
        <v>37</v>
      </c>
      <c r="D181" s="29" t="s">
        <v>965</v>
      </c>
      <c r="E181" s="30" t="s">
        <v>39</v>
      </c>
      <c r="F181" s="30" t="s">
        <v>140</v>
      </c>
      <c r="G181" s="31"/>
      <c r="H181" s="30"/>
      <c r="I181" s="31"/>
      <c r="J181" s="30"/>
    </row>
    <row r="182">
      <c r="A182" s="83">
        <v>958164.0</v>
      </c>
      <c r="B182" s="95">
        <v>44620.0</v>
      </c>
      <c r="C182" s="96" t="s">
        <v>70</v>
      </c>
      <c r="D182" s="29" t="s">
        <v>966</v>
      </c>
      <c r="E182" s="30" t="s">
        <v>39</v>
      </c>
      <c r="F182" s="30" t="s">
        <v>214</v>
      </c>
      <c r="G182" s="31"/>
      <c r="H182" s="30"/>
      <c r="I182" s="31"/>
      <c r="J182" s="30"/>
    </row>
    <row r="183">
      <c r="A183" s="83">
        <v>1067632.0</v>
      </c>
      <c r="B183" s="95">
        <v>44620.0</v>
      </c>
      <c r="C183" s="96" t="s">
        <v>37</v>
      </c>
      <c r="D183" s="29" t="s">
        <v>967</v>
      </c>
      <c r="E183" s="30"/>
      <c r="F183" s="30"/>
      <c r="G183" s="31"/>
      <c r="H183" s="30"/>
      <c r="I183" s="31"/>
      <c r="J183" s="30"/>
    </row>
    <row r="184">
      <c r="A184" s="83">
        <v>1175340.0</v>
      </c>
      <c r="B184" s="95">
        <v>44620.0</v>
      </c>
      <c r="C184" s="96" t="s">
        <v>142</v>
      </c>
      <c r="D184" s="29" t="s">
        <v>968</v>
      </c>
      <c r="E184" s="30" t="s">
        <v>83</v>
      </c>
      <c r="F184" s="30" t="s">
        <v>153</v>
      </c>
      <c r="G184" s="31"/>
      <c r="H184" s="30"/>
      <c r="I184" s="31"/>
      <c r="J184" s="30"/>
    </row>
    <row r="185">
      <c r="A185" s="26">
        <v>1256544.0</v>
      </c>
      <c r="B185" s="95">
        <v>44620.0</v>
      </c>
      <c r="C185" s="96" t="s">
        <v>37</v>
      </c>
      <c r="D185" s="29" t="s">
        <v>969</v>
      </c>
      <c r="E185" s="30" t="s">
        <v>39</v>
      </c>
      <c r="F185" s="30" t="s">
        <v>140</v>
      </c>
      <c r="G185" s="31"/>
      <c r="H185" s="30"/>
      <c r="I185" s="31"/>
      <c r="J185" s="30"/>
    </row>
    <row r="186">
      <c r="A186" s="36">
        <v>1462912.0</v>
      </c>
      <c r="B186" s="95">
        <v>44620.0</v>
      </c>
      <c r="C186" s="96" t="s">
        <v>37</v>
      </c>
      <c r="D186" s="29" t="s">
        <v>970</v>
      </c>
      <c r="E186" s="30" t="s">
        <v>63</v>
      </c>
      <c r="F186" s="30" t="s">
        <v>258</v>
      </c>
      <c r="G186" s="31"/>
      <c r="H186" s="30"/>
      <c r="I186" s="31"/>
      <c r="J186" s="30"/>
    </row>
    <row r="187">
      <c r="A187" s="36">
        <v>1702314.0</v>
      </c>
      <c r="B187" s="95">
        <v>44620.0</v>
      </c>
      <c r="C187" s="96" t="s">
        <v>37</v>
      </c>
      <c r="D187" s="29" t="s">
        <v>971</v>
      </c>
      <c r="E187" s="30" t="s">
        <v>83</v>
      </c>
      <c r="F187" s="30" t="s">
        <v>806</v>
      </c>
      <c r="G187" s="31"/>
      <c r="H187" s="30"/>
      <c r="I187" s="31"/>
      <c r="J187" s="30"/>
    </row>
    <row r="188">
      <c r="A188" s="36">
        <v>1840864.0</v>
      </c>
      <c r="B188" s="95">
        <v>44620.0</v>
      </c>
      <c r="C188" s="96" t="s">
        <v>37</v>
      </c>
      <c r="D188" s="29" t="s">
        <v>972</v>
      </c>
      <c r="E188" s="30" t="s">
        <v>45</v>
      </c>
      <c r="F188" s="30" t="s">
        <v>75</v>
      </c>
      <c r="G188" s="31"/>
      <c r="H188" s="30"/>
      <c r="I188" s="31"/>
      <c r="J188" s="30"/>
    </row>
    <row r="189">
      <c r="A189" s="36">
        <v>1842114.0</v>
      </c>
      <c r="B189" s="95">
        <v>44620.0</v>
      </c>
      <c r="C189" s="96" t="s">
        <v>43</v>
      </c>
      <c r="D189" s="29" t="s">
        <v>973</v>
      </c>
      <c r="E189" s="30" t="s">
        <v>39</v>
      </c>
      <c r="F189" s="30" t="s">
        <v>214</v>
      </c>
      <c r="G189" s="31"/>
      <c r="H189" s="30"/>
      <c r="I189" s="31"/>
      <c r="J189" s="30"/>
    </row>
    <row r="190">
      <c r="A190" s="36">
        <v>1881192.0</v>
      </c>
      <c r="B190" s="95">
        <v>44620.0</v>
      </c>
      <c r="C190" s="96" t="s">
        <v>142</v>
      </c>
      <c r="D190" s="29" t="s">
        <v>974</v>
      </c>
      <c r="E190" s="30" t="s">
        <v>219</v>
      </c>
      <c r="F190" s="30" t="s">
        <v>975</v>
      </c>
      <c r="G190" s="31"/>
      <c r="H190" s="30"/>
      <c r="I190" s="31"/>
      <c r="J190" s="30"/>
    </row>
    <row r="191">
      <c r="A191" s="36">
        <v>1883834.0</v>
      </c>
      <c r="B191" s="95">
        <v>44620.0</v>
      </c>
      <c r="C191" s="96" t="s">
        <v>43</v>
      </c>
      <c r="D191" s="29" t="s">
        <v>976</v>
      </c>
      <c r="E191" s="30" t="s">
        <v>45</v>
      </c>
      <c r="F191" s="30" t="s">
        <v>172</v>
      </c>
      <c r="G191" s="31"/>
      <c r="H191" s="30"/>
      <c r="I191" s="31"/>
      <c r="J191" s="30"/>
    </row>
    <row r="192">
      <c r="A192" s="80">
        <v>2098030.0</v>
      </c>
      <c r="B192" s="95">
        <v>44620.0</v>
      </c>
      <c r="C192" s="96" t="s">
        <v>70</v>
      </c>
      <c r="D192" s="29" t="s">
        <v>977</v>
      </c>
      <c r="E192" s="30" t="s">
        <v>79</v>
      </c>
      <c r="F192" s="30" t="s">
        <v>80</v>
      </c>
      <c r="G192" s="31"/>
      <c r="H192" s="30"/>
      <c r="I192" s="31"/>
      <c r="J192" s="30"/>
    </row>
    <row r="193">
      <c r="A193" s="80">
        <v>2278705.0</v>
      </c>
      <c r="B193" s="95">
        <v>44620.0</v>
      </c>
      <c r="C193" s="96" t="s">
        <v>43</v>
      </c>
      <c r="D193" s="29" t="s">
        <v>978</v>
      </c>
      <c r="E193" s="30" t="s">
        <v>45</v>
      </c>
      <c r="F193" s="30" t="s">
        <v>172</v>
      </c>
      <c r="G193" s="31"/>
      <c r="H193" s="30"/>
      <c r="I193" s="31"/>
      <c r="J193" s="30"/>
    </row>
    <row r="194">
      <c r="A194" s="80">
        <v>2418790.0</v>
      </c>
      <c r="B194" s="95">
        <v>44620.0</v>
      </c>
      <c r="C194" s="96" t="s">
        <v>170</v>
      </c>
      <c r="D194" s="29" t="s">
        <v>979</v>
      </c>
      <c r="E194" s="30" t="s">
        <v>219</v>
      </c>
      <c r="F194" s="30" t="s">
        <v>975</v>
      </c>
      <c r="G194" s="31"/>
      <c r="H194" s="30"/>
      <c r="I194" s="31"/>
      <c r="J194" s="30"/>
    </row>
    <row r="195">
      <c r="A195" s="80">
        <v>2504238.0</v>
      </c>
      <c r="B195" s="95">
        <v>44620.0</v>
      </c>
      <c r="C195" s="96" t="s">
        <v>70</v>
      </c>
      <c r="D195" s="29" t="s">
        <v>980</v>
      </c>
      <c r="E195" s="30" t="s">
        <v>63</v>
      </c>
      <c r="F195" s="30" t="s">
        <v>981</v>
      </c>
      <c r="G195" s="31"/>
      <c r="H195" s="30"/>
      <c r="I195" s="31"/>
      <c r="J195" s="30"/>
    </row>
    <row r="196">
      <c r="A196" s="80">
        <v>2512366.0</v>
      </c>
      <c r="B196" s="95">
        <v>44620.0</v>
      </c>
      <c r="C196" s="96" t="s">
        <v>37</v>
      </c>
      <c r="D196" s="29" t="s">
        <v>982</v>
      </c>
      <c r="E196" s="30" t="s">
        <v>63</v>
      </c>
      <c r="F196" s="30" t="s">
        <v>258</v>
      </c>
      <c r="G196" s="31"/>
      <c r="H196" s="30"/>
      <c r="I196" s="31"/>
      <c r="J196" s="30"/>
    </row>
    <row r="197">
      <c r="A197" s="83">
        <v>739854.0</v>
      </c>
      <c r="B197" s="95">
        <v>44620.0</v>
      </c>
      <c r="C197" s="96" t="s">
        <v>37</v>
      </c>
      <c r="D197" s="29" t="s">
        <v>983</v>
      </c>
      <c r="E197" s="30" t="s">
        <v>45</v>
      </c>
      <c r="F197" s="30" t="s">
        <v>90</v>
      </c>
      <c r="G197" s="31"/>
      <c r="H197" s="30"/>
      <c r="I197" s="31"/>
      <c r="J197" s="30"/>
    </row>
    <row r="198">
      <c r="A198" s="83">
        <v>2268814.0</v>
      </c>
      <c r="B198" s="95">
        <v>44620.0</v>
      </c>
      <c r="C198" s="96" t="s">
        <v>37</v>
      </c>
      <c r="D198" s="29" t="s">
        <v>984</v>
      </c>
      <c r="E198" s="30" t="s">
        <v>101</v>
      </c>
      <c r="F198" s="30" t="s">
        <v>203</v>
      </c>
      <c r="G198" s="31"/>
      <c r="H198" s="30"/>
      <c r="I198" s="31"/>
      <c r="J198" s="30"/>
    </row>
    <row r="199">
      <c r="A199" s="89">
        <v>3454890.0</v>
      </c>
      <c r="B199" s="95">
        <v>44620.0</v>
      </c>
      <c r="C199" s="96" t="s">
        <v>37</v>
      </c>
      <c r="D199" s="29" t="s">
        <v>985</v>
      </c>
      <c r="E199" s="30" t="s">
        <v>45</v>
      </c>
      <c r="F199" s="30" t="s">
        <v>75</v>
      </c>
      <c r="G199" s="31"/>
      <c r="H199" s="30"/>
      <c r="I199" s="31"/>
      <c r="J199" s="30"/>
    </row>
    <row r="200">
      <c r="A200" s="83">
        <v>3524652.0</v>
      </c>
      <c r="B200" s="95">
        <v>44620.0</v>
      </c>
      <c r="C200" s="96" t="s">
        <v>37</v>
      </c>
      <c r="D200" s="29" t="s">
        <v>986</v>
      </c>
      <c r="E200" s="30" t="s">
        <v>39</v>
      </c>
      <c r="F200" s="30" t="s">
        <v>50</v>
      </c>
      <c r="G200" s="31"/>
      <c r="H200" s="30"/>
      <c r="I200" s="31"/>
      <c r="J200" s="30"/>
    </row>
    <row r="201">
      <c r="A201" s="83">
        <v>300756.0</v>
      </c>
      <c r="B201" s="95">
        <v>44620.0</v>
      </c>
      <c r="C201" s="96" t="s">
        <v>37</v>
      </c>
      <c r="D201" s="29" t="s">
        <v>987</v>
      </c>
      <c r="E201" s="30" t="s">
        <v>96</v>
      </c>
      <c r="F201" s="30" t="s">
        <v>97</v>
      </c>
      <c r="G201" s="31"/>
      <c r="H201" s="30"/>
      <c r="I201" s="31"/>
      <c r="J201" s="30"/>
    </row>
    <row r="202">
      <c r="A202" s="83">
        <v>1719852.0</v>
      </c>
      <c r="B202" s="95">
        <v>44620.0</v>
      </c>
      <c r="C202" s="96" t="s">
        <v>37</v>
      </c>
      <c r="D202" s="29" t="s">
        <v>988</v>
      </c>
      <c r="E202" s="30" t="s">
        <v>58</v>
      </c>
      <c r="F202" s="30" t="s">
        <v>59</v>
      </c>
      <c r="G202" s="31"/>
      <c r="H202" s="30"/>
      <c r="I202" s="31"/>
      <c r="J202" s="30"/>
    </row>
    <row r="203">
      <c r="A203" s="83">
        <v>990850.0</v>
      </c>
      <c r="B203" s="95">
        <v>44620.0</v>
      </c>
      <c r="C203" s="96" t="s">
        <v>37</v>
      </c>
      <c r="D203" s="29" t="s">
        <v>989</v>
      </c>
      <c r="E203" s="30" t="s">
        <v>39</v>
      </c>
      <c r="F203" s="30" t="s">
        <v>140</v>
      </c>
      <c r="G203" s="31"/>
      <c r="H203" s="30"/>
      <c r="I203" s="31"/>
      <c r="J203" s="30"/>
    </row>
    <row r="204">
      <c r="A204" s="83">
        <v>2646020.0</v>
      </c>
      <c r="B204" s="95">
        <v>44620.0</v>
      </c>
      <c r="C204" s="96" t="s">
        <v>395</v>
      </c>
      <c r="D204" s="29" t="s">
        <v>990</v>
      </c>
      <c r="E204" s="30" t="s">
        <v>39</v>
      </c>
      <c r="F204" s="30" t="s">
        <v>214</v>
      </c>
      <c r="G204" s="31"/>
      <c r="H204" s="30"/>
      <c r="I204" s="31"/>
      <c r="J204" s="30"/>
    </row>
    <row r="205">
      <c r="A205" s="80">
        <v>2577178.0</v>
      </c>
      <c r="B205" s="95">
        <v>44620.0</v>
      </c>
      <c r="C205" s="96" t="s">
        <v>37</v>
      </c>
      <c r="D205" s="29" t="s">
        <v>991</v>
      </c>
      <c r="E205" s="30" t="s">
        <v>122</v>
      </c>
      <c r="F205" s="30" t="s">
        <v>127</v>
      </c>
      <c r="G205" s="31"/>
      <c r="H205" s="30"/>
      <c r="I205" s="31"/>
      <c r="J205" s="30"/>
    </row>
    <row r="206">
      <c r="A206" s="83">
        <v>1315130.0</v>
      </c>
      <c r="B206" s="95">
        <v>44620.0</v>
      </c>
      <c r="C206" s="96" t="s">
        <v>37</v>
      </c>
      <c r="D206" s="29" t="s">
        <v>992</v>
      </c>
      <c r="E206" s="30" t="s">
        <v>58</v>
      </c>
      <c r="F206" s="30" t="s">
        <v>944</v>
      </c>
      <c r="G206" s="31"/>
      <c r="H206" s="30"/>
      <c r="I206" s="31"/>
      <c r="J206" s="30"/>
    </row>
    <row r="207">
      <c r="A207" s="99">
        <v>1567458.0</v>
      </c>
      <c r="B207" s="95">
        <v>44620.0</v>
      </c>
      <c r="C207" s="96" t="s">
        <v>37</v>
      </c>
      <c r="D207" s="29" t="s">
        <v>993</v>
      </c>
      <c r="E207" s="30" t="s">
        <v>45</v>
      </c>
      <c r="F207" s="30" t="s">
        <v>75</v>
      </c>
      <c r="G207" s="31"/>
      <c r="H207" s="30"/>
      <c r="I207" s="31"/>
      <c r="J207" s="30"/>
    </row>
    <row r="208">
      <c r="A208" s="100">
        <v>3659072.0</v>
      </c>
      <c r="B208" s="95">
        <v>44629.0</v>
      </c>
      <c r="C208" s="96" t="s">
        <v>37</v>
      </c>
      <c r="D208" s="29" t="s">
        <v>994</v>
      </c>
      <c r="E208" s="30" t="s">
        <v>45</v>
      </c>
      <c r="F208" s="30" t="s">
        <v>75</v>
      </c>
      <c r="G208" s="31">
        <v>3736570.0</v>
      </c>
      <c r="H208" s="30" t="s">
        <v>995</v>
      </c>
      <c r="I208" s="31">
        <v>2630926.0</v>
      </c>
      <c r="J208" s="30" t="s">
        <v>996</v>
      </c>
    </row>
    <row r="209">
      <c r="A209" s="100">
        <v>1678752.0</v>
      </c>
      <c r="B209" s="95">
        <v>44914.0</v>
      </c>
      <c r="C209" s="96" t="s">
        <v>37</v>
      </c>
      <c r="D209" s="29" t="s">
        <v>997</v>
      </c>
      <c r="E209" s="30" t="s">
        <v>79</v>
      </c>
      <c r="F209" s="30" t="s">
        <v>998</v>
      </c>
      <c r="G209" s="31"/>
      <c r="H209" s="30"/>
      <c r="I209" s="31"/>
      <c r="J209" s="30"/>
    </row>
    <row r="210">
      <c r="A210" s="100">
        <v>2257336.0</v>
      </c>
      <c r="B210" s="95">
        <v>44630.0</v>
      </c>
      <c r="C210" s="96" t="s">
        <v>37</v>
      </c>
      <c r="D210" s="29" t="s">
        <v>999</v>
      </c>
      <c r="E210" s="30" t="s">
        <v>45</v>
      </c>
      <c r="F210" s="30" t="s">
        <v>75</v>
      </c>
      <c r="G210" s="31"/>
      <c r="H210" s="30"/>
      <c r="I210" s="31"/>
      <c r="J210" s="30"/>
    </row>
    <row r="211">
      <c r="A211" s="101">
        <v>3728402.0</v>
      </c>
      <c r="B211" s="95">
        <v>44635.0</v>
      </c>
      <c r="C211" s="96" t="s">
        <v>37</v>
      </c>
      <c r="D211" s="29" t="s">
        <v>1000</v>
      </c>
      <c r="E211" s="30" t="s">
        <v>63</v>
      </c>
      <c r="F211" s="30" t="s">
        <v>115</v>
      </c>
      <c r="G211" s="31">
        <v>2233312.0</v>
      </c>
      <c r="H211" s="30" t="s">
        <v>1001</v>
      </c>
      <c r="I211" s="31"/>
      <c r="J211" s="30"/>
    </row>
    <row r="212">
      <c r="A212" s="100">
        <v>4259040.0</v>
      </c>
      <c r="B212" s="95">
        <v>44637.0</v>
      </c>
      <c r="C212" s="96" t="s">
        <v>37</v>
      </c>
      <c r="D212" s="29" t="s">
        <v>1002</v>
      </c>
      <c r="E212" s="30" t="s">
        <v>45</v>
      </c>
      <c r="F212" s="30" t="s">
        <v>75</v>
      </c>
      <c r="G212" s="31">
        <v>4419078.0</v>
      </c>
      <c r="H212" s="30" t="s">
        <v>1003</v>
      </c>
      <c r="I212" s="31">
        <v>4579614.0</v>
      </c>
      <c r="J212" s="30" t="s">
        <v>1004</v>
      </c>
    </row>
    <row r="213">
      <c r="A213" s="102"/>
      <c r="B213" s="103"/>
      <c r="C213" s="104"/>
      <c r="D213" s="29"/>
      <c r="E213" s="30"/>
      <c r="F213" s="30"/>
      <c r="G213" s="31"/>
      <c r="H213" s="30"/>
      <c r="I213" s="31"/>
      <c r="J213" s="30"/>
    </row>
    <row r="214">
      <c r="A214" s="102"/>
      <c r="B214" s="103"/>
      <c r="C214" s="104"/>
      <c r="D214" s="29"/>
      <c r="E214" s="30"/>
      <c r="F214" s="30"/>
      <c r="G214" s="31"/>
      <c r="H214" s="30"/>
      <c r="I214" s="31"/>
      <c r="J214" s="30"/>
    </row>
    <row r="215">
      <c r="A215" s="102"/>
      <c r="B215" s="103"/>
      <c r="C215" s="104"/>
      <c r="D215" s="29"/>
      <c r="E215" s="30"/>
      <c r="F215" s="30"/>
      <c r="G215" s="31"/>
      <c r="H215" s="30"/>
      <c r="I215" s="31"/>
      <c r="J215" s="30"/>
    </row>
    <row r="216">
      <c r="A216" s="102"/>
      <c r="B216" s="103"/>
      <c r="C216" s="104"/>
      <c r="D216" s="29"/>
      <c r="E216" s="30"/>
      <c r="F216" s="30"/>
      <c r="G216" s="31"/>
      <c r="H216" s="30"/>
      <c r="I216" s="31"/>
      <c r="J216" s="30"/>
    </row>
    <row r="217">
      <c r="A217" s="102"/>
      <c r="B217" s="103"/>
      <c r="C217" s="104"/>
      <c r="D217" s="29"/>
      <c r="E217" s="30"/>
      <c r="F217" s="30"/>
      <c r="G217" s="31"/>
      <c r="H217" s="30"/>
      <c r="I217" s="31"/>
      <c r="J217" s="30"/>
    </row>
    <row r="218">
      <c r="A218" s="102"/>
      <c r="B218" s="103"/>
      <c r="C218" s="104"/>
      <c r="D218" s="29"/>
      <c r="E218" s="30"/>
      <c r="F218" s="30"/>
      <c r="G218" s="31"/>
      <c r="H218" s="30"/>
      <c r="I218" s="31"/>
      <c r="J218" s="30"/>
    </row>
    <row r="219">
      <c r="A219" s="102"/>
      <c r="B219" s="103"/>
      <c r="C219" s="104"/>
      <c r="D219" s="29"/>
      <c r="E219" s="30"/>
      <c r="F219" s="30"/>
      <c r="G219" s="31"/>
      <c r="H219" s="30"/>
      <c r="I219" s="31"/>
      <c r="J219" s="30"/>
    </row>
    <row r="220">
      <c r="A220" s="102"/>
      <c r="B220" s="103"/>
      <c r="C220" s="104"/>
      <c r="D220" s="29"/>
      <c r="E220" s="30"/>
      <c r="F220" s="30"/>
      <c r="G220" s="31"/>
      <c r="H220" s="30"/>
      <c r="I220" s="31"/>
      <c r="J220" s="30"/>
    </row>
    <row r="221">
      <c r="A221" s="105"/>
      <c r="B221" s="103"/>
      <c r="C221" s="104"/>
      <c r="D221" s="29"/>
      <c r="E221" s="30"/>
      <c r="F221" s="30"/>
      <c r="G221" s="31"/>
      <c r="H221" s="30"/>
      <c r="I221" s="31"/>
      <c r="J221" s="30"/>
    </row>
    <row r="222">
      <c r="A222" s="106"/>
      <c r="B222" s="103"/>
      <c r="C222" s="104"/>
      <c r="D222" s="29"/>
      <c r="E222" s="30"/>
      <c r="F222" s="30"/>
      <c r="G222" s="31"/>
      <c r="H222" s="30"/>
      <c r="I222" s="31"/>
      <c r="J222" s="30"/>
    </row>
    <row r="223">
      <c r="A223" s="107"/>
      <c r="B223" s="103"/>
      <c r="C223" s="104"/>
      <c r="D223" s="29"/>
      <c r="E223" s="30"/>
      <c r="F223" s="30"/>
      <c r="G223" s="31"/>
      <c r="H223" s="30"/>
      <c r="I223" s="31"/>
      <c r="J223" s="30"/>
    </row>
    <row r="224">
      <c r="A224" s="107"/>
      <c r="B224" s="103"/>
      <c r="C224" s="104"/>
      <c r="D224" s="29"/>
      <c r="E224" s="30"/>
      <c r="F224" s="30"/>
      <c r="G224" s="31"/>
      <c r="H224" s="30"/>
      <c r="I224" s="31"/>
      <c r="J224" s="30"/>
    </row>
    <row r="225">
      <c r="A225" s="107"/>
      <c r="B225" s="103"/>
      <c r="C225" s="104"/>
      <c r="D225" s="29"/>
      <c r="E225" s="30"/>
      <c r="F225" s="30"/>
      <c r="G225" s="31"/>
      <c r="H225" s="30"/>
      <c r="I225" s="31"/>
      <c r="J225" s="30"/>
    </row>
    <row r="226">
      <c r="A226" s="107"/>
      <c r="B226" s="103"/>
      <c r="C226" s="104"/>
      <c r="D226" s="29"/>
      <c r="E226" s="30"/>
      <c r="F226" s="30"/>
      <c r="G226" s="31"/>
      <c r="H226" s="30"/>
      <c r="I226" s="31"/>
      <c r="J226" s="30"/>
    </row>
    <row r="227">
      <c r="A227" s="107"/>
      <c r="B227" s="103"/>
      <c r="C227" s="104"/>
      <c r="D227" s="29"/>
      <c r="E227" s="30"/>
      <c r="F227" s="30"/>
      <c r="G227" s="31"/>
      <c r="H227" s="30"/>
      <c r="I227" s="31"/>
      <c r="J227" s="30"/>
    </row>
    <row r="228">
      <c r="A228" s="107"/>
      <c r="B228" s="103"/>
      <c r="C228" s="104"/>
      <c r="D228" s="29"/>
      <c r="E228" s="30"/>
      <c r="F228" s="30"/>
      <c r="G228" s="31"/>
      <c r="H228" s="30"/>
      <c r="I228" s="31"/>
      <c r="J228" s="30"/>
    </row>
    <row r="229">
      <c r="A229" s="108"/>
      <c r="B229" s="103"/>
      <c r="C229" s="104"/>
      <c r="D229" s="29"/>
      <c r="E229" s="30"/>
      <c r="F229" s="30"/>
      <c r="G229" s="31"/>
      <c r="H229" s="30"/>
      <c r="I229" s="31"/>
      <c r="J229" s="30"/>
    </row>
    <row r="230">
      <c r="A230" s="109"/>
      <c r="B230" s="103"/>
      <c r="C230" s="104"/>
      <c r="D230" s="29"/>
      <c r="E230" s="30"/>
      <c r="F230" s="30"/>
      <c r="G230" s="31"/>
      <c r="H230" s="30"/>
      <c r="I230" s="31"/>
      <c r="J230" s="30"/>
    </row>
    <row r="231">
      <c r="A231" s="110"/>
      <c r="B231" s="103"/>
      <c r="C231" s="104"/>
      <c r="D231" s="29"/>
      <c r="E231" s="30"/>
      <c r="F231" s="30"/>
      <c r="G231" s="31"/>
      <c r="H231" s="30"/>
      <c r="I231" s="31"/>
      <c r="J231" s="30"/>
    </row>
    <row r="232">
      <c r="A232" s="108"/>
      <c r="B232" s="103"/>
      <c r="C232" s="104"/>
      <c r="D232" s="29"/>
      <c r="E232" s="30"/>
      <c r="F232" s="30"/>
      <c r="G232" s="31"/>
      <c r="H232" s="30"/>
      <c r="I232" s="31"/>
      <c r="J232" s="30"/>
    </row>
    <row r="233">
      <c r="A233" s="109"/>
      <c r="B233" s="103"/>
      <c r="C233" s="104"/>
      <c r="D233" s="29"/>
      <c r="E233" s="30"/>
      <c r="F233" s="30"/>
      <c r="G233" s="31"/>
      <c r="H233" s="30"/>
      <c r="I233" s="31"/>
      <c r="J233" s="30"/>
    </row>
    <row r="234">
      <c r="A234" s="109"/>
      <c r="B234" s="103"/>
      <c r="C234" s="104"/>
      <c r="D234" s="29"/>
      <c r="E234" s="30"/>
      <c r="F234" s="30"/>
      <c r="G234" s="31"/>
      <c r="H234" s="30"/>
      <c r="I234" s="31"/>
      <c r="J234" s="30"/>
    </row>
    <row r="235">
      <c r="A235" s="109"/>
      <c r="B235" s="103"/>
      <c r="C235" s="104"/>
      <c r="D235" s="29"/>
      <c r="E235" s="30"/>
      <c r="F235" s="30"/>
      <c r="G235" s="31"/>
      <c r="H235" s="30"/>
      <c r="I235" s="31"/>
      <c r="J235" s="30"/>
    </row>
    <row r="236">
      <c r="A236" s="109"/>
      <c r="B236" s="103"/>
      <c r="C236" s="104"/>
      <c r="D236" s="29"/>
      <c r="E236" s="30"/>
      <c r="F236" s="30"/>
      <c r="G236" s="31"/>
      <c r="H236" s="30"/>
      <c r="I236" s="31"/>
      <c r="J236" s="30"/>
    </row>
    <row r="237">
      <c r="A237" s="110"/>
      <c r="B237" s="103"/>
      <c r="C237" s="104"/>
      <c r="D237" s="29"/>
      <c r="E237" s="30"/>
      <c r="F237" s="30"/>
      <c r="G237" s="31"/>
      <c r="H237" s="30"/>
      <c r="I237" s="31"/>
      <c r="J237" s="30"/>
    </row>
    <row r="238">
      <c r="A238" s="111"/>
      <c r="B238" s="103"/>
      <c r="C238" s="112"/>
      <c r="D238" s="29"/>
      <c r="E238" s="30"/>
      <c r="F238" s="30"/>
      <c r="G238" s="31"/>
      <c r="H238" s="30"/>
      <c r="I238" s="31"/>
      <c r="J238" s="30"/>
    </row>
    <row r="239">
      <c r="A239" s="108"/>
      <c r="B239" s="103"/>
      <c r="C239" s="112"/>
      <c r="D239" s="29"/>
      <c r="E239" s="30"/>
      <c r="F239" s="30"/>
      <c r="G239" s="31"/>
      <c r="H239" s="30"/>
      <c r="I239" s="31"/>
      <c r="J239" s="30"/>
    </row>
    <row r="240">
      <c r="A240" s="108"/>
      <c r="B240" s="103"/>
      <c r="C240" s="112"/>
      <c r="D240" s="29"/>
      <c r="E240" s="30"/>
      <c r="F240" s="30"/>
      <c r="G240" s="31"/>
      <c r="H240" s="30"/>
      <c r="I240" s="31"/>
      <c r="J240" s="30"/>
    </row>
    <row r="241">
      <c r="A241" s="108"/>
      <c r="B241" s="103"/>
      <c r="C241" s="112"/>
      <c r="D241" s="29"/>
      <c r="E241" s="30"/>
      <c r="F241" s="30"/>
      <c r="G241" s="31"/>
      <c r="H241" s="30"/>
      <c r="I241" s="31"/>
      <c r="J241" s="30"/>
    </row>
    <row r="242">
      <c r="A242" s="108"/>
      <c r="B242" s="103"/>
      <c r="C242" s="112"/>
      <c r="D242" s="29"/>
      <c r="E242" s="30"/>
      <c r="F242" s="30"/>
      <c r="G242" s="31"/>
      <c r="H242" s="30"/>
      <c r="I242" s="31"/>
      <c r="J242" s="30"/>
    </row>
    <row r="243">
      <c r="A243" s="108"/>
      <c r="B243" s="103"/>
      <c r="C243" s="112"/>
      <c r="D243" s="29"/>
      <c r="E243" s="30"/>
      <c r="F243" s="30"/>
      <c r="G243" s="31"/>
      <c r="H243" s="30"/>
      <c r="I243" s="31"/>
      <c r="J243" s="30"/>
    </row>
    <row r="244">
      <c r="A244" s="108"/>
      <c r="B244" s="103"/>
      <c r="C244" s="112"/>
      <c r="D244" s="29"/>
      <c r="E244" s="30"/>
      <c r="F244" s="30"/>
      <c r="G244" s="31"/>
      <c r="H244" s="30"/>
      <c r="I244" s="31"/>
      <c r="J244" s="30"/>
    </row>
    <row r="245">
      <c r="A245" s="108"/>
      <c r="B245" s="103"/>
      <c r="C245" s="112"/>
      <c r="D245" s="29"/>
      <c r="E245" s="30"/>
      <c r="F245" s="30"/>
      <c r="G245" s="31"/>
      <c r="H245" s="30"/>
      <c r="I245" s="31"/>
      <c r="J245" s="30"/>
    </row>
    <row r="246">
      <c r="A246" s="108"/>
      <c r="B246" s="103"/>
      <c r="C246" s="112"/>
      <c r="D246" s="29"/>
      <c r="E246" s="30"/>
      <c r="F246" s="30"/>
      <c r="G246" s="31"/>
      <c r="H246" s="30"/>
      <c r="I246" s="31"/>
      <c r="J246" s="30"/>
    </row>
    <row r="247">
      <c r="A247" s="108"/>
      <c r="B247" s="103"/>
      <c r="C247" s="112"/>
      <c r="D247" s="29"/>
      <c r="E247" s="30"/>
      <c r="F247" s="30"/>
      <c r="G247" s="31"/>
      <c r="H247" s="30"/>
      <c r="I247" s="31"/>
      <c r="J247" s="30"/>
    </row>
    <row r="248">
      <c r="A248" s="108"/>
      <c r="B248" s="103"/>
      <c r="C248" s="112"/>
      <c r="D248" s="29"/>
      <c r="E248" s="30"/>
      <c r="F248" s="30"/>
      <c r="G248" s="31"/>
      <c r="H248" s="30"/>
      <c r="I248" s="31"/>
      <c r="J248" s="30"/>
    </row>
    <row r="249">
      <c r="A249" s="108"/>
      <c r="B249" s="103"/>
      <c r="C249" s="112"/>
      <c r="D249" s="29"/>
      <c r="E249" s="30"/>
      <c r="F249" s="30"/>
      <c r="G249" s="31"/>
      <c r="H249" s="30"/>
      <c r="I249" s="31"/>
      <c r="J249" s="30"/>
    </row>
    <row r="250">
      <c r="A250" s="108"/>
      <c r="B250" s="103"/>
      <c r="C250" s="112"/>
      <c r="D250" s="29"/>
      <c r="E250" s="30"/>
      <c r="F250" s="30"/>
      <c r="G250" s="31"/>
      <c r="H250" s="30"/>
      <c r="I250" s="31"/>
      <c r="J250" s="30"/>
    </row>
    <row r="251">
      <c r="A251" s="108"/>
      <c r="B251" s="103"/>
      <c r="C251" s="112"/>
      <c r="D251" s="29"/>
      <c r="E251" s="30"/>
      <c r="F251" s="30"/>
      <c r="G251" s="31"/>
      <c r="H251" s="30"/>
      <c r="I251" s="31"/>
      <c r="J251" s="30"/>
    </row>
    <row r="252">
      <c r="A252" s="108"/>
      <c r="B252" s="103"/>
      <c r="C252" s="112"/>
      <c r="D252" s="29"/>
      <c r="E252" s="30"/>
      <c r="F252" s="30"/>
      <c r="G252" s="31"/>
      <c r="H252" s="30"/>
      <c r="I252" s="31"/>
      <c r="J252" s="30"/>
    </row>
    <row r="253">
      <c r="A253" s="108"/>
      <c r="B253" s="103"/>
      <c r="C253" s="112"/>
      <c r="D253" s="29"/>
      <c r="E253" s="30"/>
      <c r="F253" s="30"/>
      <c r="G253" s="31"/>
      <c r="H253" s="30"/>
      <c r="I253" s="31"/>
      <c r="J253" s="30"/>
    </row>
    <row r="254">
      <c r="A254" s="108"/>
      <c r="B254" s="103"/>
      <c r="C254" s="112"/>
      <c r="D254" s="29"/>
      <c r="E254" s="30"/>
      <c r="F254" s="30"/>
      <c r="G254" s="31"/>
      <c r="H254" s="30"/>
      <c r="I254" s="31"/>
      <c r="J254" s="30"/>
    </row>
    <row r="255">
      <c r="A255" s="108"/>
      <c r="B255" s="103"/>
      <c r="C255" s="112"/>
      <c r="D255" s="29"/>
      <c r="E255" s="30"/>
      <c r="F255" s="30"/>
      <c r="G255" s="31"/>
      <c r="H255" s="30"/>
      <c r="I255" s="31"/>
      <c r="J255" s="30"/>
    </row>
    <row r="256">
      <c r="A256" s="108"/>
      <c r="B256" s="103"/>
      <c r="C256" s="112"/>
      <c r="D256" s="29"/>
      <c r="E256" s="30"/>
      <c r="F256" s="30"/>
      <c r="G256" s="31"/>
      <c r="H256" s="30"/>
      <c r="I256" s="31"/>
      <c r="J256" s="30"/>
    </row>
    <row r="257">
      <c r="A257" s="108"/>
      <c r="B257" s="103"/>
      <c r="C257" s="112"/>
      <c r="D257" s="29"/>
      <c r="E257" s="30"/>
      <c r="F257" s="30"/>
      <c r="G257" s="31"/>
      <c r="H257" s="30"/>
      <c r="I257" s="31"/>
      <c r="J257" s="30"/>
    </row>
    <row r="258">
      <c r="A258" s="108"/>
      <c r="B258" s="103"/>
      <c r="C258" s="112"/>
      <c r="D258" s="29"/>
      <c r="E258" s="30"/>
      <c r="F258" s="30"/>
      <c r="G258" s="31"/>
      <c r="H258" s="30"/>
      <c r="I258" s="31"/>
      <c r="J258" s="30"/>
    </row>
    <row r="259">
      <c r="A259" s="108"/>
      <c r="B259" s="103"/>
      <c r="C259" s="112"/>
      <c r="D259" s="29"/>
      <c r="E259" s="30"/>
      <c r="F259" s="30"/>
      <c r="G259" s="31"/>
      <c r="H259" s="30"/>
      <c r="I259" s="31"/>
      <c r="J259" s="30"/>
    </row>
    <row r="260">
      <c r="A260" s="108"/>
      <c r="B260" s="103"/>
      <c r="C260" s="112"/>
      <c r="D260" s="29"/>
      <c r="E260" s="30"/>
      <c r="F260" s="30"/>
      <c r="G260" s="31"/>
      <c r="H260" s="30"/>
      <c r="I260" s="31"/>
      <c r="J260" s="30"/>
    </row>
    <row r="261">
      <c r="A261" s="108"/>
      <c r="B261" s="103"/>
      <c r="C261" s="112"/>
      <c r="D261" s="29"/>
      <c r="E261" s="30"/>
      <c r="F261" s="30"/>
      <c r="G261" s="31"/>
      <c r="H261" s="30"/>
      <c r="I261" s="31"/>
      <c r="J261" s="30"/>
    </row>
    <row r="262">
      <c r="A262" s="108"/>
      <c r="B262" s="103"/>
      <c r="C262" s="112"/>
      <c r="D262" s="29"/>
      <c r="E262" s="30"/>
      <c r="F262" s="30"/>
      <c r="G262" s="31"/>
      <c r="H262" s="30"/>
      <c r="I262" s="31"/>
      <c r="J262" s="30"/>
    </row>
    <row r="263">
      <c r="A263" s="108"/>
      <c r="B263" s="103"/>
      <c r="C263" s="112"/>
      <c r="D263" s="29"/>
      <c r="E263" s="30"/>
      <c r="F263" s="30"/>
      <c r="G263" s="31"/>
      <c r="H263" s="30"/>
      <c r="I263" s="31"/>
      <c r="J263" s="30"/>
    </row>
    <row r="264">
      <c r="A264" s="108"/>
      <c r="B264" s="103"/>
      <c r="C264" s="112"/>
      <c r="D264" s="29"/>
      <c r="E264" s="30"/>
      <c r="F264" s="30"/>
      <c r="G264" s="31"/>
      <c r="H264" s="30"/>
      <c r="I264" s="31"/>
      <c r="J264" s="30"/>
    </row>
    <row r="265">
      <c r="A265" s="108"/>
      <c r="B265" s="103"/>
      <c r="C265" s="112"/>
      <c r="D265" s="29"/>
      <c r="E265" s="30"/>
      <c r="F265" s="30"/>
      <c r="G265" s="31"/>
      <c r="H265" s="30"/>
      <c r="I265" s="31"/>
      <c r="J265" s="30"/>
    </row>
    <row r="266">
      <c r="A266" s="108"/>
      <c r="B266" s="103"/>
      <c r="C266" s="112"/>
      <c r="D266" s="29"/>
      <c r="E266" s="30"/>
      <c r="F266" s="30"/>
      <c r="G266" s="31"/>
      <c r="H266" s="30"/>
      <c r="I266" s="31"/>
      <c r="J266" s="30"/>
    </row>
    <row r="267">
      <c r="A267" s="108"/>
      <c r="B267" s="103"/>
      <c r="C267" s="112"/>
      <c r="D267" s="29"/>
      <c r="E267" s="30"/>
      <c r="F267" s="30"/>
      <c r="G267" s="31"/>
      <c r="H267" s="30"/>
      <c r="I267" s="31"/>
      <c r="J267" s="30"/>
    </row>
    <row r="268">
      <c r="A268" s="108"/>
      <c r="B268" s="103"/>
      <c r="C268" s="112"/>
      <c r="D268" s="29"/>
      <c r="E268" s="30"/>
      <c r="F268" s="30"/>
      <c r="G268" s="31"/>
      <c r="H268" s="30"/>
      <c r="I268" s="31"/>
      <c r="J268" s="30"/>
    </row>
    <row r="269">
      <c r="A269" s="108"/>
      <c r="B269" s="103"/>
      <c r="C269" s="112"/>
      <c r="D269" s="29"/>
      <c r="E269" s="30"/>
      <c r="F269" s="30"/>
      <c r="G269" s="31"/>
      <c r="H269" s="30"/>
      <c r="I269" s="31"/>
      <c r="J269" s="30"/>
    </row>
    <row r="270">
      <c r="A270" s="108"/>
      <c r="B270" s="103"/>
      <c r="C270" s="112"/>
      <c r="D270" s="29"/>
      <c r="E270" s="30"/>
      <c r="F270" s="30"/>
      <c r="G270" s="31"/>
      <c r="H270" s="30"/>
      <c r="I270" s="31"/>
      <c r="J270" s="30"/>
    </row>
    <row r="271">
      <c r="A271" s="108"/>
      <c r="B271" s="103"/>
      <c r="C271" s="112"/>
      <c r="D271" s="29"/>
      <c r="E271" s="30"/>
      <c r="F271" s="30"/>
      <c r="G271" s="31"/>
      <c r="H271" s="30"/>
      <c r="I271" s="31"/>
      <c r="J271" s="30"/>
    </row>
    <row r="272">
      <c r="A272" s="108"/>
      <c r="B272" s="103"/>
      <c r="C272" s="112"/>
      <c r="D272" s="29"/>
      <c r="E272" s="30"/>
      <c r="F272" s="30"/>
      <c r="G272" s="31"/>
      <c r="H272" s="30"/>
      <c r="I272" s="31"/>
      <c r="J272" s="30"/>
    </row>
    <row r="273">
      <c r="A273" s="108"/>
      <c r="B273" s="103"/>
      <c r="C273" s="112"/>
      <c r="D273" s="29"/>
      <c r="E273" s="30"/>
      <c r="F273" s="30"/>
      <c r="G273" s="31"/>
      <c r="H273" s="30"/>
      <c r="I273" s="31"/>
      <c r="J273" s="30"/>
    </row>
    <row r="274">
      <c r="A274" s="108"/>
      <c r="B274" s="103"/>
      <c r="C274" s="112"/>
      <c r="D274" s="29"/>
      <c r="E274" s="30"/>
      <c r="F274" s="30"/>
      <c r="G274" s="31"/>
      <c r="H274" s="30"/>
      <c r="I274" s="31"/>
      <c r="J274" s="30"/>
    </row>
    <row r="275">
      <c r="A275" s="108"/>
      <c r="B275" s="103"/>
      <c r="C275" s="112"/>
      <c r="D275" s="29"/>
      <c r="E275" s="30"/>
      <c r="F275" s="30"/>
      <c r="G275" s="31"/>
      <c r="H275" s="30"/>
      <c r="I275" s="31"/>
      <c r="J275" s="30"/>
    </row>
    <row r="276">
      <c r="A276" s="108"/>
      <c r="B276" s="103"/>
      <c r="C276" s="112"/>
      <c r="D276" s="29"/>
      <c r="E276" s="30"/>
      <c r="F276" s="30"/>
      <c r="G276" s="31"/>
      <c r="H276" s="30"/>
      <c r="I276" s="31"/>
      <c r="J276" s="30"/>
    </row>
    <row r="277">
      <c r="A277" s="108"/>
      <c r="B277" s="103"/>
      <c r="C277" s="112"/>
      <c r="D277" s="29"/>
      <c r="E277" s="30"/>
      <c r="F277" s="30"/>
      <c r="G277" s="31"/>
      <c r="H277" s="30"/>
      <c r="I277" s="31"/>
      <c r="J277" s="30"/>
    </row>
    <row r="278">
      <c r="A278" s="108"/>
      <c r="B278" s="103"/>
      <c r="C278" s="112"/>
      <c r="D278" s="29"/>
      <c r="E278" s="30"/>
      <c r="F278" s="30"/>
      <c r="G278" s="31"/>
      <c r="H278" s="30"/>
      <c r="I278" s="31"/>
      <c r="J278" s="30"/>
    </row>
    <row r="279">
      <c r="A279" s="108"/>
      <c r="B279" s="103"/>
      <c r="C279" s="112"/>
      <c r="D279" s="29"/>
      <c r="E279" s="30"/>
      <c r="F279" s="30"/>
      <c r="G279" s="31"/>
      <c r="H279" s="30"/>
      <c r="I279" s="31"/>
      <c r="J279" s="30"/>
    </row>
    <row r="280">
      <c r="A280" s="108"/>
      <c r="B280" s="103"/>
      <c r="C280" s="112"/>
      <c r="D280" s="29"/>
      <c r="E280" s="30"/>
      <c r="F280" s="30"/>
      <c r="G280" s="31"/>
      <c r="H280" s="30"/>
      <c r="I280" s="31"/>
      <c r="J280" s="30"/>
    </row>
    <row r="281">
      <c r="A281" s="108"/>
      <c r="B281" s="103"/>
      <c r="C281" s="112"/>
      <c r="D281" s="29"/>
      <c r="E281" s="30"/>
      <c r="F281" s="30"/>
      <c r="G281" s="31"/>
      <c r="H281" s="30"/>
      <c r="I281" s="31"/>
      <c r="J281" s="30"/>
    </row>
    <row r="282">
      <c r="A282" s="108"/>
      <c r="B282" s="103"/>
      <c r="C282" s="112"/>
      <c r="D282" s="29"/>
      <c r="E282" s="30"/>
      <c r="F282" s="30"/>
      <c r="G282" s="31"/>
      <c r="H282" s="30"/>
      <c r="I282" s="31"/>
      <c r="J282" s="30"/>
    </row>
    <row r="283">
      <c r="A283" s="108"/>
      <c r="B283" s="103"/>
      <c r="C283" s="112"/>
      <c r="D283" s="29"/>
      <c r="E283" s="30"/>
      <c r="F283" s="30"/>
      <c r="G283" s="31"/>
      <c r="H283" s="30"/>
      <c r="I283" s="31"/>
      <c r="J283" s="30"/>
    </row>
    <row r="284">
      <c r="A284" s="108"/>
      <c r="B284" s="103"/>
      <c r="C284" s="112"/>
      <c r="D284" s="29"/>
      <c r="E284" s="30"/>
      <c r="F284" s="30"/>
      <c r="G284" s="31"/>
      <c r="H284" s="30"/>
      <c r="I284" s="31"/>
      <c r="J284" s="30"/>
    </row>
    <row r="285">
      <c r="A285" s="108"/>
      <c r="B285" s="103"/>
      <c r="C285" s="112"/>
      <c r="D285" s="29"/>
      <c r="E285" s="30"/>
      <c r="F285" s="30"/>
      <c r="G285" s="31"/>
      <c r="H285" s="30"/>
      <c r="I285" s="31"/>
      <c r="J285" s="30"/>
    </row>
    <row r="286">
      <c r="A286" s="108"/>
      <c r="B286" s="103"/>
      <c r="C286" s="112"/>
      <c r="D286" s="29"/>
      <c r="E286" s="30"/>
      <c r="F286" s="30"/>
      <c r="G286" s="31"/>
      <c r="H286" s="30"/>
      <c r="I286" s="31"/>
      <c r="J286" s="30"/>
    </row>
    <row r="287">
      <c r="A287" s="108"/>
      <c r="B287" s="103"/>
      <c r="C287" s="112"/>
      <c r="D287" s="29"/>
      <c r="E287" s="30"/>
      <c r="F287" s="30"/>
      <c r="G287" s="31"/>
      <c r="H287" s="30"/>
      <c r="I287" s="31"/>
      <c r="J287" s="30"/>
    </row>
    <row r="288">
      <c r="A288" s="108"/>
      <c r="B288" s="103"/>
      <c r="C288" s="112"/>
      <c r="D288" s="29"/>
      <c r="E288" s="30"/>
      <c r="F288" s="30"/>
      <c r="G288" s="31"/>
      <c r="H288" s="30"/>
      <c r="I288" s="31"/>
      <c r="J288" s="30"/>
    </row>
    <row r="289">
      <c r="A289" s="108"/>
      <c r="B289" s="103"/>
      <c r="C289" s="112"/>
      <c r="D289" s="29"/>
      <c r="E289" s="30"/>
      <c r="F289" s="30"/>
      <c r="G289" s="31"/>
      <c r="H289" s="30"/>
      <c r="I289" s="31"/>
      <c r="J289" s="30"/>
    </row>
    <row r="290">
      <c r="A290" s="108"/>
      <c r="B290" s="103"/>
      <c r="C290" s="112"/>
      <c r="D290" s="29"/>
      <c r="E290" s="30"/>
      <c r="F290" s="30"/>
      <c r="G290" s="31"/>
      <c r="H290" s="30"/>
      <c r="I290" s="31"/>
      <c r="J290" s="30"/>
    </row>
    <row r="291">
      <c r="A291" s="108"/>
      <c r="B291" s="103"/>
      <c r="C291" s="112"/>
      <c r="D291" s="29"/>
      <c r="E291" s="30"/>
      <c r="F291" s="30"/>
      <c r="G291" s="31"/>
      <c r="H291" s="30"/>
      <c r="I291" s="31"/>
      <c r="J291" s="30"/>
    </row>
    <row r="292">
      <c r="A292" s="108"/>
      <c r="B292" s="103"/>
      <c r="C292" s="112"/>
      <c r="D292" s="29"/>
      <c r="E292" s="30"/>
      <c r="F292" s="30"/>
      <c r="G292" s="31"/>
      <c r="H292" s="30"/>
      <c r="I292" s="31"/>
      <c r="J292" s="30"/>
    </row>
    <row r="293">
      <c r="A293" s="108"/>
      <c r="B293" s="103"/>
      <c r="C293" s="112"/>
      <c r="D293" s="29"/>
      <c r="E293" s="30"/>
      <c r="F293" s="30"/>
      <c r="G293" s="31"/>
      <c r="H293" s="30"/>
      <c r="I293" s="31"/>
      <c r="J293" s="30"/>
    </row>
    <row r="294">
      <c r="A294" s="108"/>
      <c r="B294" s="103"/>
      <c r="C294" s="112"/>
      <c r="D294" s="29"/>
      <c r="E294" s="30"/>
      <c r="F294" s="30"/>
      <c r="G294" s="31"/>
      <c r="H294" s="30"/>
      <c r="I294" s="31"/>
      <c r="J294" s="30"/>
    </row>
    <row r="295">
      <c r="A295" s="108"/>
      <c r="B295" s="103"/>
      <c r="C295" s="112"/>
      <c r="D295" s="29"/>
      <c r="E295" s="30"/>
      <c r="F295" s="30"/>
      <c r="G295" s="31"/>
      <c r="H295" s="30"/>
      <c r="I295" s="31"/>
      <c r="J295" s="30"/>
    </row>
    <row r="296">
      <c r="A296" s="108"/>
      <c r="B296" s="103"/>
      <c r="C296" s="112"/>
      <c r="D296" s="29"/>
      <c r="E296" s="30"/>
      <c r="F296" s="30"/>
      <c r="G296" s="31"/>
      <c r="H296" s="30"/>
      <c r="I296" s="31"/>
      <c r="J296" s="30"/>
    </row>
    <row r="297">
      <c r="A297" s="108"/>
      <c r="B297" s="103"/>
      <c r="C297" s="112"/>
      <c r="D297" s="29"/>
      <c r="E297" s="30"/>
      <c r="F297" s="30"/>
      <c r="G297" s="31"/>
      <c r="H297" s="30"/>
      <c r="I297" s="31"/>
      <c r="J297" s="30"/>
    </row>
    <row r="298">
      <c r="A298" s="108"/>
      <c r="B298" s="103"/>
      <c r="C298" s="112"/>
      <c r="D298" s="29"/>
      <c r="E298" s="30"/>
      <c r="F298" s="30"/>
      <c r="G298" s="31"/>
      <c r="H298" s="30"/>
      <c r="I298" s="31"/>
      <c r="J298" s="30"/>
    </row>
    <row r="299">
      <c r="A299" s="108"/>
      <c r="B299" s="103"/>
      <c r="C299" s="112"/>
      <c r="D299" s="29"/>
      <c r="E299" s="30"/>
      <c r="F299" s="30"/>
      <c r="G299" s="31"/>
      <c r="H299" s="30"/>
      <c r="I299" s="31"/>
      <c r="J299" s="30"/>
    </row>
    <row r="300">
      <c r="A300" s="108"/>
      <c r="B300" s="103"/>
      <c r="C300" s="112"/>
      <c r="D300" s="29"/>
      <c r="E300" s="30"/>
      <c r="F300" s="30"/>
      <c r="G300" s="31"/>
      <c r="H300" s="30"/>
      <c r="I300" s="31"/>
      <c r="J300" s="30"/>
    </row>
    <row r="301">
      <c r="A301" s="108"/>
      <c r="B301" s="103"/>
      <c r="C301" s="112"/>
      <c r="D301" s="29"/>
      <c r="E301" s="30"/>
      <c r="F301" s="30"/>
      <c r="G301" s="31"/>
      <c r="H301" s="30"/>
      <c r="I301" s="31"/>
      <c r="J301" s="30"/>
    </row>
    <row r="302">
      <c r="A302" s="108"/>
      <c r="B302" s="103"/>
      <c r="C302" s="112"/>
      <c r="D302" s="29"/>
      <c r="E302" s="30"/>
      <c r="F302" s="30"/>
      <c r="G302" s="31"/>
      <c r="H302" s="30"/>
      <c r="I302" s="31"/>
      <c r="J302" s="30"/>
    </row>
    <row r="303">
      <c r="A303" s="108"/>
      <c r="B303" s="103"/>
      <c r="C303" s="112"/>
      <c r="D303" s="29"/>
      <c r="E303" s="30"/>
      <c r="F303" s="30"/>
      <c r="G303" s="31"/>
      <c r="H303" s="30"/>
      <c r="I303" s="31"/>
      <c r="J303" s="30"/>
    </row>
    <row r="304">
      <c r="A304" s="108"/>
      <c r="B304" s="103"/>
      <c r="C304" s="112"/>
      <c r="D304" s="29"/>
      <c r="E304" s="30"/>
      <c r="F304" s="30"/>
      <c r="G304" s="31"/>
      <c r="H304" s="30"/>
      <c r="I304" s="31"/>
      <c r="J304" s="30"/>
    </row>
    <row r="305">
      <c r="A305" s="108"/>
      <c r="B305" s="103"/>
      <c r="C305" s="112"/>
      <c r="D305" s="29"/>
      <c r="E305" s="30"/>
      <c r="F305" s="30"/>
      <c r="G305" s="31"/>
      <c r="H305" s="30"/>
      <c r="I305" s="31"/>
      <c r="J305" s="30"/>
    </row>
    <row r="306">
      <c r="A306" s="108"/>
      <c r="B306" s="103"/>
      <c r="C306" s="112"/>
      <c r="D306" s="29"/>
      <c r="E306" s="30"/>
      <c r="F306" s="30"/>
      <c r="G306" s="31"/>
      <c r="H306" s="30"/>
      <c r="I306" s="31"/>
      <c r="J306" s="30"/>
    </row>
    <row r="307">
      <c r="A307" s="108"/>
      <c r="B307" s="103"/>
      <c r="C307" s="112"/>
      <c r="D307" s="29"/>
      <c r="E307" s="30"/>
      <c r="F307" s="30"/>
      <c r="G307" s="31"/>
      <c r="H307" s="30"/>
      <c r="I307" s="31"/>
      <c r="J307" s="30"/>
    </row>
    <row r="308">
      <c r="A308" s="108"/>
      <c r="B308" s="103"/>
      <c r="C308" s="112"/>
      <c r="D308" s="29"/>
      <c r="E308" s="30"/>
      <c r="F308" s="30"/>
      <c r="G308" s="31"/>
      <c r="H308" s="30"/>
      <c r="I308" s="31"/>
      <c r="J308" s="30"/>
    </row>
    <row r="309">
      <c r="A309" s="108"/>
      <c r="B309" s="103"/>
      <c r="C309" s="112"/>
      <c r="D309" s="29"/>
      <c r="E309" s="30"/>
      <c r="F309" s="30"/>
      <c r="G309" s="31"/>
      <c r="H309" s="30"/>
      <c r="I309" s="31"/>
      <c r="J309" s="30"/>
    </row>
    <row r="310">
      <c r="A310" s="108"/>
      <c r="B310" s="103"/>
      <c r="C310" s="112"/>
      <c r="D310" s="29"/>
      <c r="E310" s="30"/>
      <c r="F310" s="30"/>
      <c r="G310" s="31"/>
      <c r="H310" s="30"/>
      <c r="I310" s="31"/>
      <c r="J310" s="30"/>
    </row>
    <row r="311">
      <c r="A311" s="108"/>
      <c r="B311" s="103"/>
      <c r="C311" s="112"/>
      <c r="D311" s="29"/>
      <c r="E311" s="30"/>
      <c r="F311" s="30"/>
      <c r="G311" s="31"/>
      <c r="H311" s="30"/>
      <c r="I311" s="31"/>
      <c r="J311" s="30"/>
    </row>
    <row r="312">
      <c r="A312" s="108"/>
      <c r="B312" s="103"/>
      <c r="C312" s="112"/>
      <c r="D312" s="29"/>
      <c r="E312" s="30"/>
      <c r="F312" s="30"/>
      <c r="G312" s="31"/>
      <c r="H312" s="30"/>
      <c r="I312" s="31"/>
      <c r="J312" s="30"/>
    </row>
    <row r="313">
      <c r="A313" s="108"/>
      <c r="B313" s="103"/>
      <c r="C313" s="112"/>
      <c r="D313" s="29"/>
      <c r="E313" s="30"/>
      <c r="F313" s="30"/>
      <c r="G313" s="31"/>
      <c r="H313" s="30"/>
      <c r="I313" s="31"/>
      <c r="J313" s="30"/>
    </row>
    <row r="314">
      <c r="A314" s="108"/>
      <c r="B314" s="103"/>
      <c r="C314" s="112"/>
      <c r="D314" s="29"/>
      <c r="E314" s="30"/>
      <c r="F314" s="30"/>
      <c r="G314" s="31"/>
      <c r="H314" s="30"/>
      <c r="I314" s="31"/>
      <c r="J314" s="30"/>
    </row>
    <row r="315">
      <c r="A315" s="108"/>
      <c r="B315" s="103"/>
      <c r="C315" s="112"/>
      <c r="D315" s="29"/>
      <c r="E315" s="30"/>
      <c r="F315" s="30"/>
      <c r="G315" s="31"/>
      <c r="H315" s="30"/>
      <c r="I315" s="31"/>
      <c r="J315" s="30"/>
    </row>
    <row r="316">
      <c r="A316" s="108"/>
      <c r="B316" s="103"/>
      <c r="C316" s="112"/>
      <c r="D316" s="29"/>
      <c r="E316" s="30"/>
      <c r="F316" s="30"/>
      <c r="G316" s="31"/>
      <c r="H316" s="30"/>
      <c r="I316" s="31"/>
      <c r="J316" s="30"/>
    </row>
    <row r="317">
      <c r="A317" s="108"/>
      <c r="B317" s="103"/>
      <c r="C317" s="112"/>
      <c r="D317" s="29"/>
      <c r="E317" s="30"/>
      <c r="F317" s="30"/>
      <c r="G317" s="31"/>
      <c r="H317" s="30"/>
      <c r="I317" s="31"/>
      <c r="J317" s="30"/>
    </row>
    <row r="318">
      <c r="A318" s="108"/>
      <c r="B318" s="103"/>
      <c r="C318" s="112"/>
      <c r="D318" s="29"/>
      <c r="E318" s="30"/>
      <c r="F318" s="30"/>
      <c r="G318" s="31"/>
      <c r="H318" s="30"/>
      <c r="I318" s="31"/>
      <c r="J318" s="30"/>
    </row>
    <row r="319">
      <c r="A319" s="108"/>
      <c r="B319" s="103"/>
      <c r="C319" s="112"/>
      <c r="D319" s="29"/>
      <c r="E319" s="30"/>
      <c r="F319" s="30"/>
      <c r="G319" s="31"/>
      <c r="H319" s="30"/>
      <c r="I319" s="31"/>
      <c r="J319" s="30"/>
    </row>
    <row r="320">
      <c r="A320" s="108"/>
      <c r="B320" s="103"/>
      <c r="C320" s="112"/>
      <c r="D320" s="29"/>
      <c r="E320" s="30"/>
      <c r="F320" s="30"/>
      <c r="G320" s="31"/>
      <c r="H320" s="30"/>
      <c r="I320" s="31"/>
      <c r="J320" s="30"/>
    </row>
    <row r="321">
      <c r="A321" s="108"/>
      <c r="B321" s="103"/>
      <c r="C321" s="112"/>
      <c r="D321" s="29"/>
      <c r="E321" s="30"/>
      <c r="F321" s="30"/>
      <c r="G321" s="31"/>
      <c r="H321" s="30"/>
      <c r="I321" s="31"/>
      <c r="J321" s="30"/>
    </row>
    <row r="322">
      <c r="A322" s="108"/>
      <c r="B322" s="103"/>
      <c r="C322" s="112"/>
      <c r="D322" s="29"/>
      <c r="E322" s="30"/>
      <c r="F322" s="30"/>
      <c r="G322" s="31"/>
      <c r="H322" s="30"/>
      <c r="I322" s="31"/>
      <c r="J322" s="30"/>
    </row>
    <row r="323">
      <c r="A323" s="108"/>
      <c r="B323" s="103"/>
      <c r="C323" s="112"/>
      <c r="D323" s="29"/>
      <c r="E323" s="30"/>
      <c r="F323" s="30"/>
      <c r="G323" s="31"/>
      <c r="H323" s="30"/>
      <c r="I323" s="31"/>
      <c r="J323" s="30"/>
    </row>
    <row r="324">
      <c r="A324" s="108"/>
      <c r="B324" s="103"/>
      <c r="C324" s="112"/>
      <c r="D324" s="29"/>
      <c r="E324" s="30"/>
      <c r="F324" s="30"/>
      <c r="G324" s="31"/>
      <c r="H324" s="30"/>
      <c r="I324" s="31"/>
      <c r="J324" s="30"/>
    </row>
    <row r="325">
      <c r="A325" s="108"/>
      <c r="B325" s="103"/>
      <c r="C325" s="112"/>
      <c r="D325" s="29"/>
      <c r="E325" s="30"/>
      <c r="F325" s="30"/>
      <c r="G325" s="31"/>
      <c r="H325" s="30"/>
      <c r="I325" s="31"/>
      <c r="J325" s="30"/>
    </row>
    <row r="326">
      <c r="A326" s="108"/>
      <c r="B326" s="103"/>
      <c r="C326" s="112"/>
      <c r="D326" s="29"/>
      <c r="E326" s="30"/>
      <c r="F326" s="30"/>
      <c r="G326" s="31"/>
      <c r="H326" s="30"/>
      <c r="I326" s="31"/>
      <c r="J326" s="30"/>
    </row>
    <row r="327">
      <c r="A327" s="108"/>
      <c r="B327" s="103"/>
      <c r="C327" s="112"/>
      <c r="D327" s="29"/>
      <c r="E327" s="30"/>
      <c r="F327" s="30"/>
      <c r="G327" s="31"/>
      <c r="H327" s="30"/>
      <c r="I327" s="31"/>
      <c r="J327" s="30"/>
    </row>
    <row r="328">
      <c r="A328" s="108"/>
      <c r="B328" s="103"/>
      <c r="C328" s="112"/>
      <c r="D328" s="29"/>
      <c r="E328" s="30"/>
      <c r="F328" s="30"/>
      <c r="G328" s="31"/>
      <c r="H328" s="30"/>
      <c r="I328" s="31"/>
      <c r="J328" s="30"/>
    </row>
    <row r="329">
      <c r="A329" s="108"/>
      <c r="B329" s="103"/>
      <c r="C329" s="112"/>
      <c r="D329" s="29"/>
      <c r="E329" s="30"/>
      <c r="F329" s="30"/>
      <c r="G329" s="31"/>
      <c r="H329" s="30"/>
      <c r="I329" s="31"/>
      <c r="J329" s="30"/>
    </row>
    <row r="330">
      <c r="A330" s="108"/>
      <c r="B330" s="103"/>
      <c r="C330" s="112"/>
      <c r="D330" s="29"/>
      <c r="E330" s="30"/>
      <c r="F330" s="30"/>
      <c r="G330" s="31"/>
      <c r="H330" s="30"/>
      <c r="I330" s="31"/>
      <c r="J330" s="30"/>
    </row>
    <row r="331">
      <c r="A331" s="108"/>
      <c r="B331" s="103"/>
      <c r="C331" s="112"/>
      <c r="D331" s="29"/>
      <c r="E331" s="30"/>
      <c r="F331" s="30"/>
      <c r="G331" s="31"/>
      <c r="H331" s="30"/>
      <c r="I331" s="31"/>
      <c r="J331" s="30"/>
    </row>
    <row r="332">
      <c r="A332" s="108"/>
      <c r="B332" s="103"/>
      <c r="C332" s="112"/>
      <c r="D332" s="29"/>
      <c r="E332" s="30"/>
      <c r="F332" s="30"/>
      <c r="G332" s="31"/>
      <c r="H332" s="30"/>
      <c r="I332" s="31"/>
      <c r="J332" s="30"/>
    </row>
    <row r="333">
      <c r="A333" s="108"/>
      <c r="B333" s="103"/>
      <c r="C333" s="112"/>
      <c r="D333" s="29"/>
      <c r="E333" s="30"/>
      <c r="F333" s="30"/>
      <c r="G333" s="31"/>
      <c r="H333" s="30"/>
      <c r="I333" s="31"/>
      <c r="J333" s="30"/>
    </row>
    <row r="334">
      <c r="A334" s="108"/>
      <c r="B334" s="103"/>
      <c r="C334" s="112"/>
      <c r="D334" s="29"/>
      <c r="E334" s="30"/>
      <c r="F334" s="30"/>
      <c r="G334" s="31"/>
      <c r="H334" s="30"/>
      <c r="I334" s="31"/>
      <c r="J334" s="30"/>
    </row>
    <row r="335">
      <c r="A335" s="108"/>
      <c r="B335" s="103"/>
      <c r="C335" s="112"/>
      <c r="D335" s="29"/>
      <c r="E335" s="30"/>
      <c r="F335" s="30"/>
      <c r="G335" s="31"/>
      <c r="H335" s="30"/>
      <c r="I335" s="31"/>
      <c r="J335" s="30"/>
    </row>
    <row r="336">
      <c r="A336" s="108"/>
      <c r="B336" s="103"/>
      <c r="C336" s="112"/>
      <c r="D336" s="29"/>
      <c r="E336" s="30"/>
      <c r="F336" s="30"/>
      <c r="G336" s="31"/>
      <c r="H336" s="30"/>
      <c r="I336" s="31"/>
      <c r="J336" s="30"/>
    </row>
    <row r="337">
      <c r="A337" s="108"/>
      <c r="B337" s="103"/>
      <c r="C337" s="112"/>
      <c r="D337" s="29"/>
      <c r="E337" s="30"/>
      <c r="F337" s="30"/>
      <c r="G337" s="31"/>
      <c r="H337" s="30"/>
      <c r="I337" s="31"/>
      <c r="J337" s="30"/>
    </row>
    <row r="338">
      <c r="A338" s="108"/>
      <c r="B338" s="103"/>
      <c r="C338" s="112"/>
      <c r="D338" s="29"/>
      <c r="E338" s="30"/>
      <c r="F338" s="30"/>
      <c r="G338" s="31"/>
      <c r="H338" s="30"/>
      <c r="I338" s="31"/>
      <c r="J338" s="30"/>
    </row>
    <row r="339">
      <c r="A339" s="108"/>
      <c r="B339" s="103"/>
      <c r="C339" s="112"/>
      <c r="D339" s="29"/>
      <c r="E339" s="30"/>
      <c r="F339" s="30"/>
      <c r="G339" s="31"/>
      <c r="H339" s="30"/>
      <c r="I339" s="31"/>
      <c r="J339" s="30"/>
    </row>
    <row r="340">
      <c r="A340" s="108"/>
      <c r="B340" s="103"/>
      <c r="C340" s="112"/>
      <c r="D340" s="29"/>
      <c r="E340" s="30"/>
      <c r="F340" s="30"/>
      <c r="G340" s="31"/>
      <c r="H340" s="30"/>
      <c r="I340" s="31"/>
      <c r="J340" s="30"/>
    </row>
    <row r="341">
      <c r="A341" s="108"/>
      <c r="B341" s="103"/>
      <c r="C341" s="112"/>
      <c r="D341" s="29"/>
      <c r="E341" s="30"/>
      <c r="F341" s="30"/>
      <c r="G341" s="31"/>
      <c r="H341" s="30"/>
      <c r="I341" s="31"/>
      <c r="J341" s="30"/>
    </row>
    <row r="342">
      <c r="A342" s="108"/>
      <c r="B342" s="103"/>
      <c r="C342" s="112"/>
      <c r="D342" s="29"/>
      <c r="E342" s="30"/>
      <c r="F342" s="30"/>
      <c r="G342" s="31"/>
      <c r="H342" s="30"/>
      <c r="I342" s="31"/>
      <c r="J342" s="30"/>
    </row>
    <row r="343">
      <c r="A343" s="108"/>
      <c r="B343" s="103"/>
      <c r="C343" s="112"/>
      <c r="D343" s="29"/>
      <c r="E343" s="30"/>
      <c r="F343" s="30"/>
      <c r="G343" s="31"/>
      <c r="H343" s="30"/>
      <c r="I343" s="31"/>
      <c r="J343" s="30"/>
    </row>
    <row r="344">
      <c r="A344" s="111"/>
      <c r="B344" s="103"/>
      <c r="C344" s="112"/>
      <c r="D344" s="29"/>
      <c r="E344" s="30"/>
      <c r="F344" s="30"/>
      <c r="G344" s="31"/>
      <c r="H344" s="30"/>
      <c r="I344" s="31"/>
      <c r="J344" s="30"/>
    </row>
    <row r="345">
      <c r="A345" s="111"/>
      <c r="B345" s="103"/>
      <c r="C345" s="112"/>
      <c r="D345" s="29"/>
      <c r="E345" s="30"/>
      <c r="F345" s="30"/>
      <c r="G345" s="31"/>
      <c r="H345" s="30"/>
      <c r="I345" s="31"/>
      <c r="J345" s="30"/>
    </row>
    <row r="346">
      <c r="A346" s="111"/>
      <c r="B346" s="103"/>
      <c r="C346" s="112"/>
      <c r="D346" s="29"/>
      <c r="E346" s="30"/>
      <c r="F346" s="30"/>
      <c r="G346" s="31"/>
      <c r="H346" s="30"/>
      <c r="I346" s="31"/>
      <c r="J346" s="30"/>
    </row>
    <row r="347">
      <c r="A347" s="111"/>
      <c r="B347" s="103"/>
      <c r="C347" s="112"/>
      <c r="D347" s="29"/>
      <c r="E347" s="30"/>
      <c r="F347" s="30"/>
      <c r="G347" s="31"/>
      <c r="H347" s="30"/>
      <c r="I347" s="31"/>
      <c r="J347" s="30"/>
    </row>
    <row r="348">
      <c r="A348" s="111"/>
      <c r="B348" s="103"/>
      <c r="C348" s="112"/>
      <c r="D348" s="29"/>
      <c r="E348" s="30"/>
      <c r="F348" s="30"/>
      <c r="G348" s="31"/>
      <c r="H348" s="30"/>
      <c r="I348" s="31"/>
      <c r="J348" s="30"/>
    </row>
    <row r="349">
      <c r="A349" s="111"/>
      <c r="B349" s="103"/>
      <c r="C349" s="112"/>
      <c r="D349" s="29"/>
      <c r="E349" s="30"/>
      <c r="F349" s="30"/>
      <c r="G349" s="31"/>
      <c r="H349" s="30"/>
      <c r="I349" s="31"/>
      <c r="J349" s="30"/>
    </row>
    <row r="350">
      <c r="A350" s="111"/>
      <c r="B350" s="103"/>
      <c r="C350" s="112"/>
      <c r="D350" s="29"/>
      <c r="E350" s="30"/>
      <c r="F350" s="30"/>
      <c r="G350" s="31"/>
      <c r="H350" s="30"/>
      <c r="I350" s="31"/>
      <c r="J350" s="30"/>
    </row>
    <row r="351">
      <c r="A351" s="111"/>
      <c r="B351" s="103"/>
      <c r="C351" s="112"/>
      <c r="D351" s="29"/>
      <c r="E351" s="30"/>
      <c r="F351" s="30"/>
      <c r="G351" s="31"/>
      <c r="H351" s="30"/>
      <c r="I351" s="31"/>
      <c r="J351" s="30"/>
    </row>
    <row r="352">
      <c r="A352" s="111"/>
      <c r="B352" s="103"/>
      <c r="C352" s="112"/>
      <c r="D352" s="29"/>
      <c r="E352" s="30"/>
      <c r="F352" s="30"/>
      <c r="G352" s="31"/>
      <c r="H352" s="30"/>
      <c r="I352" s="31"/>
      <c r="J352" s="30"/>
    </row>
    <row r="353">
      <c r="A353" s="111"/>
      <c r="B353" s="103"/>
      <c r="C353" s="112"/>
      <c r="D353" s="29"/>
      <c r="E353" s="30"/>
      <c r="F353" s="30"/>
      <c r="G353" s="31"/>
      <c r="H353" s="30"/>
      <c r="I353" s="31"/>
      <c r="J353" s="30"/>
    </row>
    <row r="354">
      <c r="A354" s="111"/>
      <c r="B354" s="103"/>
      <c r="C354" s="112"/>
      <c r="D354" s="29"/>
      <c r="E354" s="30"/>
      <c r="F354" s="30"/>
      <c r="G354" s="31"/>
      <c r="H354" s="30"/>
      <c r="I354" s="31"/>
      <c r="J354" s="30"/>
    </row>
    <row r="355">
      <c r="A355" s="111"/>
      <c r="B355" s="103"/>
      <c r="C355" s="112"/>
      <c r="D355" s="29"/>
      <c r="E355" s="30"/>
      <c r="F355" s="30"/>
      <c r="G355" s="31"/>
      <c r="H355" s="30"/>
      <c r="I355" s="31"/>
      <c r="J355" s="30"/>
    </row>
    <row r="356">
      <c r="A356" s="111"/>
      <c r="B356" s="103"/>
      <c r="C356" s="112"/>
      <c r="D356" s="29"/>
      <c r="E356" s="30"/>
      <c r="F356" s="30"/>
      <c r="G356" s="31"/>
      <c r="H356" s="30"/>
      <c r="I356" s="31"/>
      <c r="J356" s="30"/>
    </row>
    <row r="357">
      <c r="A357" s="111"/>
      <c r="B357" s="103"/>
      <c r="C357" s="112"/>
      <c r="D357" s="29"/>
      <c r="E357" s="30"/>
      <c r="F357" s="30"/>
      <c r="G357" s="31"/>
      <c r="H357" s="30"/>
      <c r="I357" s="31"/>
      <c r="J357" s="30"/>
    </row>
    <row r="358">
      <c r="A358" s="111"/>
      <c r="B358" s="103"/>
      <c r="C358" s="112"/>
      <c r="D358" s="29"/>
      <c r="E358" s="30"/>
      <c r="F358" s="30"/>
      <c r="G358" s="31"/>
      <c r="H358" s="30"/>
      <c r="I358" s="31"/>
      <c r="J358" s="30"/>
    </row>
    <row r="359">
      <c r="A359" s="111"/>
      <c r="B359" s="103"/>
      <c r="C359" s="112"/>
      <c r="D359" s="29"/>
      <c r="E359" s="30"/>
      <c r="F359" s="30"/>
      <c r="G359" s="31"/>
      <c r="H359" s="30"/>
      <c r="I359" s="31"/>
      <c r="J359" s="30"/>
    </row>
    <row r="360">
      <c r="A360" s="111"/>
      <c r="B360" s="103"/>
      <c r="C360" s="112"/>
      <c r="D360" s="29"/>
      <c r="E360" s="30"/>
      <c r="F360" s="30"/>
      <c r="G360" s="31"/>
      <c r="H360" s="30"/>
      <c r="I360" s="31"/>
      <c r="J360" s="30"/>
    </row>
    <row r="361">
      <c r="A361" s="111"/>
      <c r="B361" s="103"/>
      <c r="C361" s="112"/>
      <c r="D361" s="29"/>
      <c r="E361" s="30"/>
      <c r="F361" s="30"/>
      <c r="G361" s="31"/>
      <c r="H361" s="30"/>
      <c r="I361" s="31"/>
      <c r="J361" s="30"/>
    </row>
    <row r="362">
      <c r="A362" s="111"/>
      <c r="B362" s="103"/>
      <c r="C362" s="112"/>
      <c r="D362" s="29"/>
      <c r="E362" s="30"/>
      <c r="F362" s="30"/>
      <c r="G362" s="31"/>
      <c r="H362" s="30"/>
      <c r="I362" s="31"/>
      <c r="J362" s="30"/>
    </row>
    <row r="363">
      <c r="A363" s="111"/>
      <c r="B363" s="103"/>
      <c r="C363" s="112"/>
      <c r="D363" s="29"/>
      <c r="E363" s="30"/>
      <c r="F363" s="30"/>
      <c r="G363" s="31"/>
      <c r="H363" s="30"/>
      <c r="I363" s="31"/>
      <c r="J363" s="30"/>
    </row>
    <row r="364">
      <c r="A364" s="111"/>
      <c r="B364" s="103"/>
      <c r="C364" s="112"/>
      <c r="D364" s="29"/>
      <c r="E364" s="30"/>
      <c r="F364" s="30"/>
      <c r="G364" s="31"/>
      <c r="H364" s="30"/>
      <c r="I364" s="31"/>
      <c r="J364" s="30"/>
    </row>
    <row r="365">
      <c r="A365" s="111"/>
      <c r="B365" s="103"/>
      <c r="C365" s="112"/>
      <c r="D365" s="29"/>
      <c r="E365" s="30"/>
      <c r="F365" s="30"/>
      <c r="G365" s="31"/>
      <c r="H365" s="30"/>
      <c r="I365" s="31"/>
      <c r="J365" s="30"/>
    </row>
    <row r="366">
      <c r="A366" s="111"/>
      <c r="B366" s="103"/>
      <c r="C366" s="112"/>
      <c r="D366" s="29"/>
      <c r="E366" s="30"/>
      <c r="F366" s="30"/>
      <c r="G366" s="31"/>
      <c r="H366" s="30"/>
      <c r="I366" s="31"/>
      <c r="J366" s="30"/>
    </row>
    <row r="367">
      <c r="A367" s="111"/>
      <c r="B367" s="103"/>
      <c r="C367" s="112"/>
      <c r="D367" s="29"/>
      <c r="E367" s="30"/>
      <c r="F367" s="30"/>
      <c r="G367" s="31"/>
      <c r="H367" s="30"/>
      <c r="I367" s="31"/>
      <c r="J367" s="30"/>
    </row>
    <row r="368">
      <c r="A368" s="111"/>
      <c r="B368" s="103"/>
      <c r="C368" s="112"/>
      <c r="D368" s="29"/>
      <c r="E368" s="30"/>
      <c r="F368" s="30"/>
      <c r="G368" s="31"/>
      <c r="H368" s="30"/>
      <c r="I368" s="31"/>
      <c r="J368" s="30"/>
    </row>
    <row r="369">
      <c r="A369" s="111"/>
      <c r="B369" s="103"/>
      <c r="C369" s="112"/>
      <c r="D369" s="29"/>
      <c r="E369" s="30"/>
      <c r="F369" s="30"/>
      <c r="G369" s="31"/>
      <c r="H369" s="30"/>
      <c r="I369" s="31"/>
      <c r="J369" s="30"/>
    </row>
    <row r="370">
      <c r="A370" s="111"/>
      <c r="B370" s="103"/>
      <c r="C370" s="112"/>
      <c r="D370" s="29"/>
      <c r="E370" s="30"/>
      <c r="F370" s="30"/>
      <c r="G370" s="31"/>
      <c r="H370" s="30"/>
      <c r="I370" s="31"/>
      <c r="J370" s="30"/>
    </row>
    <row r="371">
      <c r="A371" s="111"/>
      <c r="B371" s="103"/>
      <c r="C371" s="112"/>
      <c r="D371" s="29"/>
      <c r="E371" s="30"/>
      <c r="F371" s="30"/>
      <c r="G371" s="31"/>
      <c r="H371" s="30"/>
      <c r="I371" s="31"/>
      <c r="J371" s="30"/>
    </row>
    <row r="372">
      <c r="A372" s="111"/>
      <c r="B372" s="103"/>
      <c r="C372" s="112"/>
      <c r="D372" s="29"/>
      <c r="E372" s="30"/>
      <c r="F372" s="30"/>
      <c r="G372" s="31"/>
      <c r="H372" s="30"/>
      <c r="I372" s="31"/>
      <c r="J372" s="30"/>
    </row>
    <row r="373">
      <c r="A373" s="111"/>
      <c r="B373" s="103"/>
      <c r="C373" s="112"/>
      <c r="D373" s="29"/>
      <c r="E373" s="30"/>
      <c r="F373" s="30"/>
      <c r="G373" s="31"/>
      <c r="H373" s="30"/>
      <c r="I373" s="31"/>
      <c r="J373" s="30"/>
    </row>
    <row r="374">
      <c r="A374" s="111"/>
      <c r="B374" s="103"/>
      <c r="C374" s="112"/>
      <c r="D374" s="29"/>
      <c r="E374" s="30"/>
      <c r="F374" s="30"/>
      <c r="G374" s="31"/>
      <c r="H374" s="30"/>
      <c r="I374" s="31"/>
      <c r="J374" s="30"/>
    </row>
    <row r="375">
      <c r="A375" s="111"/>
      <c r="B375" s="103"/>
      <c r="C375" s="112"/>
      <c r="D375" s="29"/>
      <c r="E375" s="30"/>
      <c r="F375" s="30"/>
      <c r="G375" s="31"/>
      <c r="H375" s="30"/>
      <c r="I375" s="31"/>
      <c r="J375" s="30"/>
    </row>
    <row r="376">
      <c r="A376" s="111"/>
      <c r="B376" s="103"/>
      <c r="C376" s="112"/>
      <c r="D376" s="29"/>
      <c r="E376" s="30"/>
      <c r="F376" s="30"/>
      <c r="G376" s="31"/>
      <c r="H376" s="30"/>
      <c r="I376" s="31"/>
      <c r="J376" s="30"/>
    </row>
    <row r="377">
      <c r="A377" s="111"/>
      <c r="B377" s="103"/>
      <c r="C377" s="112"/>
      <c r="D377" s="29"/>
      <c r="E377" s="30"/>
      <c r="F377" s="30"/>
      <c r="G377" s="31"/>
      <c r="H377" s="30"/>
      <c r="I377" s="31"/>
      <c r="J377" s="30"/>
    </row>
    <row r="378">
      <c r="A378" s="111"/>
      <c r="B378" s="103"/>
      <c r="C378" s="112"/>
      <c r="D378" s="29"/>
      <c r="E378" s="30"/>
      <c r="F378" s="30"/>
      <c r="G378" s="31"/>
      <c r="H378" s="30"/>
      <c r="I378" s="31"/>
      <c r="J378" s="30"/>
    </row>
    <row r="379">
      <c r="A379" s="111"/>
      <c r="B379" s="103"/>
      <c r="C379" s="112"/>
      <c r="D379" s="29"/>
      <c r="E379" s="30"/>
      <c r="F379" s="30"/>
      <c r="G379" s="31"/>
      <c r="H379" s="30"/>
      <c r="I379" s="31"/>
      <c r="J379" s="30"/>
    </row>
    <row r="380">
      <c r="A380" s="111"/>
      <c r="B380" s="103"/>
      <c r="C380" s="112"/>
      <c r="D380" s="29"/>
      <c r="E380" s="30"/>
      <c r="F380" s="30"/>
      <c r="G380" s="31"/>
      <c r="H380" s="30"/>
      <c r="I380" s="31"/>
      <c r="J380" s="30"/>
    </row>
    <row r="381">
      <c r="A381" s="111"/>
      <c r="B381" s="103"/>
      <c r="C381" s="112"/>
      <c r="D381" s="29"/>
      <c r="E381" s="30"/>
      <c r="F381" s="30"/>
      <c r="G381" s="31"/>
      <c r="H381" s="30"/>
      <c r="I381" s="31"/>
      <c r="J381" s="30"/>
    </row>
    <row r="382">
      <c r="A382" s="111"/>
      <c r="B382" s="103"/>
      <c r="C382" s="112"/>
      <c r="D382" s="29"/>
      <c r="E382" s="30"/>
      <c r="F382" s="30"/>
      <c r="G382" s="31"/>
      <c r="H382" s="30"/>
      <c r="I382" s="31"/>
      <c r="J382" s="30"/>
    </row>
    <row r="383">
      <c r="A383" s="111"/>
      <c r="B383" s="103"/>
      <c r="C383" s="112"/>
      <c r="D383" s="29"/>
      <c r="E383" s="30"/>
      <c r="F383" s="30"/>
      <c r="G383" s="31"/>
      <c r="H383" s="30"/>
      <c r="I383" s="31"/>
      <c r="J383" s="30"/>
    </row>
    <row r="384">
      <c r="A384" s="111"/>
      <c r="B384" s="103"/>
      <c r="C384" s="112"/>
      <c r="D384" s="29"/>
      <c r="E384" s="30"/>
      <c r="F384" s="30"/>
      <c r="G384" s="31"/>
      <c r="H384" s="30"/>
      <c r="I384" s="31"/>
      <c r="J384" s="30"/>
    </row>
    <row r="385">
      <c r="A385" s="111"/>
      <c r="B385" s="103"/>
      <c r="C385" s="112"/>
      <c r="D385" s="29"/>
      <c r="E385" s="30"/>
      <c r="F385" s="30"/>
      <c r="G385" s="31"/>
      <c r="H385" s="30"/>
      <c r="I385" s="31"/>
      <c r="J385" s="30"/>
    </row>
    <row r="386">
      <c r="A386" s="111"/>
      <c r="B386" s="103"/>
      <c r="C386" s="112"/>
      <c r="D386" s="29"/>
      <c r="E386" s="30"/>
      <c r="F386" s="30"/>
      <c r="G386" s="31"/>
      <c r="H386" s="30"/>
      <c r="I386" s="31"/>
      <c r="J386" s="30"/>
    </row>
    <row r="387">
      <c r="A387" s="111"/>
      <c r="B387" s="103"/>
      <c r="C387" s="112"/>
      <c r="D387" s="29"/>
      <c r="E387" s="30"/>
      <c r="F387" s="30"/>
      <c r="G387" s="31"/>
      <c r="H387" s="30"/>
      <c r="I387" s="31"/>
      <c r="J387" s="30"/>
    </row>
    <row r="388">
      <c r="A388" s="111"/>
      <c r="B388" s="103"/>
      <c r="C388" s="112"/>
      <c r="D388" s="29"/>
      <c r="E388" s="30"/>
      <c r="F388" s="30"/>
      <c r="G388" s="31"/>
      <c r="H388" s="30"/>
      <c r="I388" s="31"/>
      <c r="J388" s="30"/>
    </row>
    <row r="389">
      <c r="A389" s="111"/>
      <c r="B389" s="103"/>
      <c r="C389" s="112"/>
      <c r="D389" s="29"/>
      <c r="E389" s="30"/>
      <c r="F389" s="30"/>
      <c r="G389" s="31"/>
      <c r="H389" s="30"/>
      <c r="I389" s="31"/>
      <c r="J389" s="30"/>
    </row>
    <row r="390">
      <c r="A390" s="111"/>
      <c r="B390" s="103"/>
      <c r="C390" s="112"/>
      <c r="D390" s="29"/>
      <c r="E390" s="30"/>
      <c r="F390" s="30"/>
      <c r="G390" s="31"/>
      <c r="H390" s="30"/>
      <c r="I390" s="31"/>
      <c r="J390" s="30"/>
    </row>
    <row r="391">
      <c r="A391" s="111"/>
      <c r="B391" s="103"/>
      <c r="C391" s="112"/>
      <c r="D391" s="29"/>
      <c r="E391" s="30"/>
      <c r="F391" s="30"/>
      <c r="G391" s="31"/>
      <c r="H391" s="30"/>
      <c r="I391" s="31"/>
      <c r="J391" s="30"/>
    </row>
    <row r="392">
      <c r="A392" s="111"/>
      <c r="B392" s="103"/>
      <c r="C392" s="112"/>
      <c r="D392" s="29"/>
      <c r="E392" s="30"/>
      <c r="F392" s="30"/>
      <c r="G392" s="31"/>
      <c r="H392" s="30"/>
      <c r="I392" s="31"/>
      <c r="J392" s="30"/>
    </row>
    <row r="393">
      <c r="A393" s="111"/>
      <c r="B393" s="103"/>
      <c r="C393" s="112"/>
      <c r="D393" s="29"/>
      <c r="E393" s="30"/>
      <c r="F393" s="30"/>
      <c r="G393" s="31"/>
      <c r="H393" s="30"/>
      <c r="I393" s="31"/>
      <c r="J393" s="30"/>
    </row>
    <row r="394">
      <c r="A394" s="111"/>
      <c r="B394" s="103"/>
      <c r="C394" s="112"/>
      <c r="D394" s="29"/>
      <c r="E394" s="30"/>
      <c r="F394" s="30"/>
      <c r="G394" s="31"/>
      <c r="H394" s="30"/>
      <c r="I394" s="31"/>
      <c r="J394" s="30"/>
    </row>
    <row r="395">
      <c r="A395" s="113"/>
      <c r="B395" s="103"/>
      <c r="C395" s="112"/>
      <c r="D395" s="29"/>
      <c r="E395" s="30"/>
      <c r="F395" s="30"/>
      <c r="G395" s="31"/>
      <c r="H395" s="30"/>
      <c r="I395" s="31"/>
      <c r="J395" s="30"/>
    </row>
    <row r="396">
      <c r="A396" s="113"/>
      <c r="B396" s="103"/>
      <c r="C396" s="112"/>
      <c r="D396" s="29"/>
      <c r="E396" s="30"/>
      <c r="F396" s="30"/>
      <c r="G396" s="31"/>
      <c r="H396" s="30"/>
      <c r="I396" s="31"/>
      <c r="J396" s="30"/>
    </row>
    <row r="397">
      <c r="A397" s="113"/>
      <c r="B397" s="103"/>
      <c r="C397" s="112"/>
      <c r="D397" s="29"/>
      <c r="E397" s="30"/>
      <c r="F397" s="30"/>
      <c r="G397" s="31"/>
      <c r="H397" s="30"/>
      <c r="I397" s="31"/>
      <c r="J397" s="30"/>
    </row>
    <row r="398">
      <c r="A398" s="113"/>
      <c r="B398" s="103"/>
      <c r="C398" s="112"/>
      <c r="D398" s="29"/>
      <c r="E398" s="30"/>
      <c r="F398" s="30"/>
      <c r="G398" s="31"/>
      <c r="H398" s="30"/>
      <c r="I398" s="31"/>
      <c r="J398" s="30"/>
    </row>
    <row r="399">
      <c r="A399" s="113"/>
      <c r="B399" s="103"/>
      <c r="C399" s="112"/>
      <c r="D399" s="29"/>
      <c r="E399" s="30"/>
      <c r="F399" s="30"/>
      <c r="G399" s="31"/>
      <c r="H399" s="30"/>
      <c r="I399" s="31"/>
      <c r="J399" s="30"/>
    </row>
    <row r="400">
      <c r="A400" s="111"/>
      <c r="B400" s="103"/>
      <c r="C400" s="112"/>
      <c r="D400" s="29"/>
      <c r="E400" s="30"/>
      <c r="F400" s="30"/>
      <c r="G400" s="31"/>
      <c r="H400" s="30"/>
      <c r="I400" s="31"/>
      <c r="J400" s="30"/>
    </row>
    <row r="401">
      <c r="A401" s="111"/>
      <c r="B401" s="103"/>
      <c r="C401" s="112"/>
      <c r="D401" s="29"/>
      <c r="E401" s="30"/>
      <c r="F401" s="30"/>
      <c r="G401" s="31"/>
      <c r="H401" s="30"/>
      <c r="I401" s="31"/>
      <c r="J401" s="30"/>
    </row>
    <row r="402">
      <c r="A402" s="111"/>
      <c r="B402" s="103"/>
      <c r="C402" s="112"/>
      <c r="D402" s="29"/>
      <c r="E402" s="30"/>
      <c r="F402" s="30"/>
      <c r="G402" s="31"/>
      <c r="H402" s="30"/>
      <c r="I402" s="31"/>
      <c r="J402" s="30"/>
    </row>
    <row r="403">
      <c r="A403" s="111"/>
      <c r="B403" s="103"/>
      <c r="C403" s="112"/>
      <c r="D403" s="29"/>
      <c r="E403" s="30"/>
      <c r="F403" s="30"/>
      <c r="G403" s="31"/>
      <c r="H403" s="30"/>
      <c r="I403" s="31"/>
      <c r="J403" s="30"/>
    </row>
    <row r="404">
      <c r="A404" s="111"/>
      <c r="B404" s="103"/>
      <c r="C404" s="112"/>
      <c r="D404" s="29"/>
      <c r="E404" s="30"/>
      <c r="F404" s="30"/>
      <c r="G404" s="31"/>
      <c r="H404" s="30"/>
      <c r="I404" s="31"/>
      <c r="J404" s="30"/>
    </row>
    <row r="405">
      <c r="A405" s="111"/>
      <c r="B405" s="103"/>
      <c r="C405" s="112"/>
      <c r="D405" s="29"/>
      <c r="E405" s="30"/>
      <c r="F405" s="30"/>
      <c r="G405" s="31"/>
      <c r="H405" s="30"/>
      <c r="I405" s="31"/>
      <c r="J405" s="30"/>
    </row>
    <row r="406">
      <c r="A406" s="111"/>
      <c r="B406" s="103"/>
      <c r="C406" s="112"/>
      <c r="D406" s="29"/>
      <c r="E406" s="30"/>
      <c r="F406" s="30"/>
      <c r="G406" s="31"/>
      <c r="H406" s="30"/>
      <c r="I406" s="31"/>
      <c r="J406" s="30"/>
    </row>
    <row r="407">
      <c r="A407" s="111"/>
      <c r="B407" s="103"/>
      <c r="C407" s="112"/>
      <c r="D407" s="29"/>
      <c r="E407" s="30"/>
      <c r="F407" s="30"/>
      <c r="G407" s="31"/>
      <c r="H407" s="30"/>
      <c r="I407" s="31"/>
      <c r="J407" s="30"/>
    </row>
    <row r="408">
      <c r="A408" s="111"/>
      <c r="B408" s="103"/>
      <c r="C408" s="112"/>
      <c r="D408" s="29"/>
      <c r="E408" s="30"/>
      <c r="F408" s="30"/>
      <c r="G408" s="31"/>
      <c r="H408" s="30"/>
      <c r="I408" s="31"/>
      <c r="J408" s="30"/>
    </row>
    <row r="409">
      <c r="A409" s="111"/>
      <c r="B409" s="103"/>
      <c r="C409" s="112"/>
      <c r="D409" s="29"/>
      <c r="E409" s="30"/>
      <c r="F409" s="30"/>
      <c r="G409" s="31"/>
      <c r="H409" s="30"/>
      <c r="I409" s="31"/>
      <c r="J409" s="30"/>
    </row>
    <row r="410">
      <c r="A410" s="111"/>
      <c r="B410" s="103"/>
      <c r="C410" s="112"/>
      <c r="D410" s="29"/>
      <c r="E410" s="30"/>
      <c r="F410" s="30"/>
      <c r="G410" s="31"/>
      <c r="H410" s="30"/>
      <c r="I410" s="31"/>
      <c r="J410" s="30"/>
    </row>
    <row r="411">
      <c r="A411" s="111"/>
      <c r="B411" s="103"/>
      <c r="C411" s="112"/>
      <c r="D411" s="29"/>
      <c r="E411" s="30"/>
      <c r="F411" s="30"/>
      <c r="G411" s="31"/>
      <c r="H411" s="30"/>
      <c r="I411" s="31"/>
      <c r="J411" s="30"/>
    </row>
    <row r="412">
      <c r="A412" s="111"/>
      <c r="B412" s="103"/>
      <c r="C412" s="112"/>
      <c r="D412" s="29"/>
      <c r="E412" s="30"/>
      <c r="F412" s="30"/>
      <c r="G412" s="31"/>
      <c r="H412" s="30"/>
      <c r="I412" s="31"/>
      <c r="J412" s="30"/>
    </row>
    <row r="413">
      <c r="A413" s="111"/>
      <c r="B413" s="103"/>
      <c r="C413" s="112"/>
      <c r="D413" s="29"/>
      <c r="E413" s="30"/>
      <c r="F413" s="30"/>
      <c r="G413" s="31"/>
      <c r="H413" s="30"/>
      <c r="I413" s="31"/>
      <c r="J413" s="30"/>
    </row>
    <row r="414">
      <c r="A414" s="114"/>
      <c r="B414" s="103"/>
      <c r="C414" s="112"/>
      <c r="D414" s="29"/>
      <c r="E414" s="30"/>
      <c r="F414" s="30"/>
      <c r="G414" s="31"/>
      <c r="H414" s="30"/>
      <c r="I414" s="31"/>
      <c r="J414" s="30"/>
    </row>
    <row r="415">
      <c r="A415" s="111"/>
      <c r="B415" s="103"/>
      <c r="C415" s="112"/>
      <c r="D415" s="29"/>
      <c r="E415" s="30"/>
      <c r="F415" s="30"/>
      <c r="G415" s="31"/>
      <c r="H415" s="30"/>
      <c r="I415" s="31"/>
      <c r="J415" s="30"/>
    </row>
    <row r="416">
      <c r="A416" s="111"/>
      <c r="B416" s="103"/>
      <c r="C416" s="112"/>
      <c r="D416" s="29"/>
      <c r="E416" s="30"/>
      <c r="F416" s="30"/>
      <c r="G416" s="31"/>
      <c r="H416" s="30"/>
      <c r="I416" s="31"/>
      <c r="J416" s="30"/>
    </row>
    <row r="417">
      <c r="A417" s="111"/>
      <c r="B417" s="103"/>
      <c r="C417" s="112"/>
      <c r="D417" s="29"/>
      <c r="E417" s="30"/>
      <c r="F417" s="30"/>
      <c r="G417" s="31"/>
      <c r="H417" s="30"/>
      <c r="I417" s="31"/>
      <c r="J417" s="30"/>
    </row>
    <row r="418">
      <c r="A418" s="111"/>
      <c r="B418" s="103"/>
      <c r="C418" s="112"/>
      <c r="D418" s="29"/>
      <c r="E418" s="30"/>
      <c r="F418" s="30"/>
      <c r="G418" s="31"/>
      <c r="H418" s="30"/>
      <c r="I418" s="31"/>
      <c r="J418" s="30"/>
    </row>
    <row r="419">
      <c r="A419" s="111"/>
      <c r="B419" s="103"/>
      <c r="C419" s="112"/>
      <c r="D419" s="29"/>
      <c r="E419" s="30"/>
      <c r="F419" s="30"/>
      <c r="G419" s="31"/>
      <c r="H419" s="30"/>
      <c r="I419" s="31"/>
      <c r="J419" s="30"/>
    </row>
    <row r="420">
      <c r="A420" s="111"/>
      <c r="B420" s="103"/>
      <c r="C420" s="112"/>
      <c r="D420" s="29"/>
      <c r="E420" s="30"/>
      <c r="F420" s="30"/>
      <c r="G420" s="31"/>
      <c r="H420" s="30"/>
      <c r="I420" s="31"/>
      <c r="J420" s="30"/>
    </row>
    <row r="421">
      <c r="A421" s="111"/>
      <c r="B421" s="103"/>
      <c r="C421" s="112"/>
      <c r="D421" s="29"/>
      <c r="E421" s="30"/>
      <c r="F421" s="30"/>
      <c r="G421" s="31"/>
      <c r="H421" s="30"/>
      <c r="I421" s="31"/>
      <c r="J421" s="30"/>
    </row>
    <row r="422">
      <c r="A422" s="111"/>
      <c r="B422" s="103"/>
      <c r="C422" s="112"/>
      <c r="D422" s="29"/>
      <c r="E422" s="30"/>
      <c r="F422" s="30"/>
      <c r="G422" s="31"/>
      <c r="H422" s="30"/>
      <c r="I422" s="31"/>
      <c r="J422" s="30"/>
    </row>
    <row r="423">
      <c r="A423" s="111"/>
      <c r="B423" s="103"/>
      <c r="C423" s="112"/>
      <c r="D423" s="29"/>
      <c r="E423" s="30"/>
      <c r="F423" s="30"/>
      <c r="G423" s="31"/>
      <c r="H423" s="30"/>
      <c r="I423" s="31"/>
      <c r="J423" s="30"/>
    </row>
    <row r="424">
      <c r="A424" s="111"/>
      <c r="B424" s="103"/>
      <c r="C424" s="112"/>
      <c r="D424" s="29"/>
      <c r="E424" s="30"/>
      <c r="F424" s="30"/>
      <c r="G424" s="31"/>
      <c r="H424" s="30"/>
      <c r="I424" s="31"/>
      <c r="J424" s="30"/>
    </row>
    <row r="425">
      <c r="A425" s="111"/>
      <c r="B425" s="103"/>
      <c r="C425" s="112"/>
      <c r="D425" s="29"/>
      <c r="E425" s="30"/>
      <c r="F425" s="30"/>
      <c r="G425" s="31"/>
      <c r="H425" s="30"/>
      <c r="I425" s="31"/>
      <c r="J425" s="30"/>
    </row>
    <row r="426">
      <c r="A426" s="111"/>
      <c r="B426" s="103"/>
      <c r="C426" s="112"/>
      <c r="D426" s="29"/>
      <c r="E426" s="30"/>
      <c r="F426" s="30"/>
      <c r="G426" s="31"/>
      <c r="H426" s="30"/>
      <c r="I426" s="31"/>
      <c r="J426" s="30"/>
    </row>
    <row r="427">
      <c r="A427" s="111"/>
      <c r="B427" s="103"/>
      <c r="C427" s="112"/>
      <c r="D427" s="29"/>
      <c r="E427" s="30"/>
      <c r="F427" s="30"/>
      <c r="G427" s="31"/>
      <c r="H427" s="30"/>
      <c r="I427" s="31"/>
      <c r="J427" s="30"/>
    </row>
    <row r="428">
      <c r="A428" s="111"/>
      <c r="B428" s="103"/>
      <c r="C428" s="112"/>
      <c r="D428" s="29"/>
      <c r="E428" s="30"/>
      <c r="F428" s="30"/>
      <c r="G428" s="31"/>
      <c r="H428" s="30"/>
      <c r="I428" s="31"/>
      <c r="J428" s="30"/>
    </row>
    <row r="429">
      <c r="A429" s="111"/>
      <c r="B429" s="103"/>
      <c r="C429" s="112"/>
      <c r="D429" s="29"/>
      <c r="E429" s="30"/>
      <c r="F429" s="30"/>
      <c r="G429" s="31"/>
      <c r="H429" s="30"/>
      <c r="I429" s="31"/>
      <c r="J429" s="30"/>
    </row>
    <row r="430">
      <c r="A430" s="111"/>
      <c r="B430" s="103"/>
      <c r="C430" s="112"/>
      <c r="D430" s="29"/>
      <c r="E430" s="30"/>
      <c r="F430" s="30"/>
      <c r="G430" s="31"/>
      <c r="H430" s="30"/>
      <c r="I430" s="31"/>
      <c r="J430" s="30"/>
    </row>
    <row r="431">
      <c r="A431" s="111"/>
      <c r="B431" s="103"/>
      <c r="C431" s="112"/>
      <c r="D431" s="29"/>
      <c r="E431" s="30"/>
      <c r="F431" s="30"/>
      <c r="G431" s="31"/>
      <c r="H431" s="30"/>
      <c r="I431" s="31"/>
      <c r="J431" s="30"/>
    </row>
    <row r="432">
      <c r="A432" s="111"/>
      <c r="B432" s="103"/>
      <c r="C432" s="112"/>
      <c r="D432" s="29"/>
      <c r="E432" s="30"/>
      <c r="F432" s="30"/>
      <c r="G432" s="31"/>
      <c r="H432" s="30"/>
      <c r="I432" s="31"/>
      <c r="J432" s="30"/>
    </row>
    <row r="433">
      <c r="A433" s="111"/>
      <c r="B433" s="103"/>
      <c r="C433" s="112"/>
      <c r="D433" s="29"/>
      <c r="E433" s="30"/>
      <c r="F433" s="30"/>
      <c r="G433" s="31"/>
      <c r="H433" s="30"/>
      <c r="I433" s="31"/>
      <c r="J433" s="30"/>
    </row>
    <row r="434">
      <c r="A434" s="111"/>
      <c r="B434" s="103"/>
      <c r="C434" s="112"/>
      <c r="D434" s="29"/>
      <c r="E434" s="30"/>
      <c r="F434" s="30"/>
      <c r="G434" s="31"/>
      <c r="H434" s="30"/>
      <c r="I434" s="31"/>
      <c r="J434" s="30"/>
    </row>
    <row r="435">
      <c r="A435" s="111"/>
      <c r="B435" s="103"/>
      <c r="C435" s="112"/>
      <c r="D435" s="29"/>
      <c r="E435" s="30"/>
      <c r="F435" s="30"/>
      <c r="G435" s="31"/>
      <c r="H435" s="30"/>
      <c r="I435" s="31"/>
      <c r="J435" s="30"/>
    </row>
    <row r="436">
      <c r="A436" s="111"/>
      <c r="B436" s="103"/>
      <c r="C436" s="112"/>
      <c r="D436" s="29"/>
      <c r="E436" s="30"/>
      <c r="F436" s="30"/>
      <c r="G436" s="31"/>
      <c r="H436" s="30"/>
      <c r="I436" s="31"/>
      <c r="J436" s="30"/>
    </row>
    <row r="437">
      <c r="A437" s="111"/>
      <c r="B437" s="103"/>
      <c r="C437" s="112"/>
      <c r="D437" s="29"/>
      <c r="E437" s="30"/>
      <c r="F437" s="30"/>
      <c r="G437" s="31"/>
      <c r="H437" s="30"/>
      <c r="I437" s="31"/>
      <c r="J437" s="30"/>
    </row>
    <row r="438">
      <c r="A438" s="111"/>
      <c r="B438" s="103"/>
      <c r="C438" s="112"/>
      <c r="D438" s="29"/>
      <c r="E438" s="30"/>
      <c r="F438" s="30"/>
      <c r="G438" s="31"/>
      <c r="H438" s="30"/>
      <c r="I438" s="31"/>
      <c r="J438" s="30"/>
    </row>
    <row r="439">
      <c r="A439" s="111"/>
      <c r="B439" s="103"/>
      <c r="C439" s="112"/>
      <c r="D439" s="29"/>
      <c r="E439" s="30"/>
      <c r="F439" s="30"/>
      <c r="G439" s="31"/>
      <c r="H439" s="30"/>
      <c r="I439" s="31"/>
      <c r="J439" s="30"/>
    </row>
    <row r="440">
      <c r="A440" s="111"/>
      <c r="B440" s="103"/>
      <c r="C440" s="112"/>
      <c r="D440" s="29"/>
      <c r="E440" s="30"/>
      <c r="F440" s="30"/>
      <c r="G440" s="31"/>
      <c r="H440" s="30"/>
      <c r="I440" s="31"/>
      <c r="J440" s="30"/>
    </row>
    <row r="441">
      <c r="A441" s="111"/>
      <c r="B441" s="103"/>
      <c r="C441" s="112"/>
      <c r="D441" s="29"/>
      <c r="E441" s="30"/>
      <c r="F441" s="30"/>
      <c r="G441" s="31"/>
      <c r="H441" s="30"/>
      <c r="I441" s="31"/>
      <c r="J441" s="30"/>
    </row>
    <row r="442">
      <c r="A442" s="111"/>
      <c r="B442" s="103"/>
      <c r="C442" s="112"/>
      <c r="D442" s="29"/>
      <c r="E442" s="30"/>
      <c r="F442" s="30"/>
      <c r="G442" s="31"/>
      <c r="H442" s="30"/>
      <c r="I442" s="31"/>
      <c r="J442" s="30"/>
    </row>
    <row r="443">
      <c r="A443" s="111"/>
      <c r="B443" s="103"/>
      <c r="C443" s="112"/>
      <c r="D443" s="29"/>
      <c r="E443" s="30"/>
      <c r="F443" s="30"/>
      <c r="G443" s="31"/>
      <c r="H443" s="30"/>
      <c r="I443" s="31"/>
      <c r="J443" s="30"/>
    </row>
    <row r="444">
      <c r="A444" s="111"/>
      <c r="B444" s="103"/>
      <c r="C444" s="112"/>
      <c r="D444" s="29"/>
      <c r="E444" s="30"/>
      <c r="F444" s="30"/>
      <c r="G444" s="31"/>
      <c r="H444" s="30"/>
      <c r="I444" s="31"/>
      <c r="J444" s="30"/>
    </row>
    <row r="445">
      <c r="A445" s="111"/>
      <c r="B445" s="103"/>
      <c r="C445" s="112"/>
      <c r="D445" s="29"/>
      <c r="E445" s="30"/>
      <c r="F445" s="30"/>
      <c r="G445" s="31"/>
      <c r="H445" s="30"/>
      <c r="I445" s="31"/>
      <c r="J445" s="30"/>
    </row>
    <row r="446">
      <c r="A446" s="111"/>
      <c r="B446" s="103"/>
      <c r="C446" s="112"/>
      <c r="D446" s="29"/>
      <c r="E446" s="30"/>
      <c r="F446" s="30"/>
      <c r="G446" s="31"/>
      <c r="H446" s="30"/>
      <c r="I446" s="31"/>
      <c r="J446" s="30"/>
    </row>
    <row r="447">
      <c r="A447" s="111"/>
      <c r="B447" s="103"/>
      <c r="C447" s="112"/>
      <c r="D447" s="29"/>
      <c r="E447" s="30"/>
      <c r="F447" s="30"/>
      <c r="G447" s="31"/>
      <c r="H447" s="30"/>
      <c r="I447" s="31"/>
      <c r="J447" s="30"/>
    </row>
    <row r="448">
      <c r="A448" s="111"/>
      <c r="B448" s="103"/>
      <c r="C448" s="112"/>
      <c r="D448" s="29"/>
      <c r="E448" s="30"/>
      <c r="F448" s="30"/>
      <c r="G448" s="31"/>
      <c r="H448" s="30"/>
      <c r="I448" s="31"/>
      <c r="J448" s="30"/>
    </row>
    <row r="449">
      <c r="A449" s="111"/>
      <c r="B449" s="103"/>
      <c r="C449" s="112"/>
      <c r="D449" s="29"/>
      <c r="E449" s="30"/>
      <c r="F449" s="30"/>
      <c r="G449" s="31"/>
      <c r="H449" s="30"/>
      <c r="I449" s="31"/>
      <c r="J449" s="30"/>
    </row>
    <row r="450">
      <c r="A450" s="111"/>
      <c r="B450" s="103"/>
      <c r="C450" s="112"/>
      <c r="D450" s="29"/>
      <c r="E450" s="30"/>
      <c r="F450" s="30"/>
      <c r="G450" s="31"/>
      <c r="H450" s="30"/>
      <c r="I450" s="31"/>
      <c r="J450" s="30"/>
    </row>
    <row r="451">
      <c r="A451" s="111"/>
      <c r="B451" s="103"/>
      <c r="C451" s="112"/>
      <c r="D451" s="29"/>
      <c r="E451" s="30"/>
      <c r="F451" s="30"/>
      <c r="G451" s="31"/>
      <c r="H451" s="30"/>
      <c r="I451" s="31"/>
      <c r="J451" s="30"/>
    </row>
    <row r="452">
      <c r="A452" s="111"/>
      <c r="B452" s="103"/>
      <c r="C452" s="112"/>
      <c r="D452" s="29"/>
      <c r="E452" s="30"/>
      <c r="F452" s="30"/>
      <c r="G452" s="31"/>
      <c r="H452" s="30"/>
      <c r="I452" s="31"/>
      <c r="J452" s="30"/>
    </row>
    <row r="453">
      <c r="A453" s="111"/>
      <c r="B453" s="103"/>
      <c r="C453" s="112"/>
      <c r="D453" s="29"/>
      <c r="E453" s="30"/>
      <c r="F453" s="30"/>
      <c r="G453" s="31"/>
      <c r="H453" s="30"/>
      <c r="I453" s="31"/>
      <c r="J453" s="30"/>
    </row>
    <row r="454">
      <c r="A454" s="111"/>
      <c r="B454" s="103"/>
      <c r="C454" s="112"/>
      <c r="D454" s="29"/>
      <c r="E454" s="30"/>
      <c r="F454" s="30"/>
      <c r="G454" s="31"/>
      <c r="H454" s="30"/>
      <c r="I454" s="31"/>
      <c r="J454" s="30"/>
    </row>
    <row r="455">
      <c r="A455" s="111"/>
      <c r="B455" s="103"/>
      <c r="C455" s="112"/>
      <c r="D455" s="29"/>
      <c r="E455" s="30"/>
      <c r="F455" s="30"/>
      <c r="G455" s="31"/>
      <c r="H455" s="30"/>
      <c r="I455" s="31"/>
      <c r="J455" s="30"/>
    </row>
    <row r="456">
      <c r="A456" s="111"/>
      <c r="B456" s="103"/>
      <c r="C456" s="112"/>
      <c r="D456" s="29"/>
      <c r="E456" s="30"/>
      <c r="F456" s="30"/>
      <c r="G456" s="31"/>
      <c r="H456" s="30"/>
      <c r="I456" s="31"/>
      <c r="J456" s="30"/>
    </row>
    <row r="457">
      <c r="A457" s="111"/>
      <c r="B457" s="103"/>
      <c r="C457" s="112"/>
      <c r="D457" s="29"/>
      <c r="E457" s="30"/>
      <c r="F457" s="30"/>
      <c r="G457" s="31"/>
      <c r="H457" s="30"/>
      <c r="I457" s="31"/>
      <c r="J457" s="30"/>
    </row>
    <row r="458">
      <c r="A458" s="111"/>
      <c r="B458" s="103"/>
      <c r="C458" s="112"/>
      <c r="D458" s="29"/>
      <c r="E458" s="30"/>
      <c r="F458" s="30"/>
      <c r="G458" s="31"/>
      <c r="H458" s="30"/>
      <c r="I458" s="31"/>
      <c r="J458" s="30"/>
    </row>
    <row r="459">
      <c r="A459" s="111"/>
      <c r="B459" s="103"/>
      <c r="C459" s="112"/>
      <c r="D459" s="29"/>
      <c r="E459" s="30"/>
      <c r="F459" s="30"/>
      <c r="G459" s="31"/>
      <c r="H459" s="30"/>
      <c r="I459" s="31"/>
      <c r="J459" s="30"/>
    </row>
    <row r="460">
      <c r="A460" s="111"/>
      <c r="B460" s="103"/>
      <c r="C460" s="112"/>
      <c r="D460" s="29"/>
      <c r="E460" s="30"/>
      <c r="F460" s="30"/>
      <c r="G460" s="31"/>
      <c r="H460" s="30"/>
      <c r="I460" s="31"/>
      <c r="J460" s="30"/>
    </row>
    <row r="461">
      <c r="A461" s="111"/>
      <c r="B461" s="103"/>
      <c r="C461" s="112"/>
      <c r="D461" s="29"/>
      <c r="E461" s="30"/>
      <c r="F461" s="30"/>
      <c r="G461" s="31"/>
      <c r="H461" s="30"/>
      <c r="I461" s="31"/>
      <c r="J461" s="30"/>
    </row>
    <row r="462">
      <c r="A462" s="111"/>
      <c r="B462" s="103"/>
      <c r="C462" s="112"/>
      <c r="D462" s="29"/>
      <c r="E462" s="30"/>
      <c r="F462" s="30"/>
      <c r="G462" s="31"/>
      <c r="H462" s="30"/>
      <c r="I462" s="31"/>
      <c r="J462" s="30"/>
    </row>
    <row r="463">
      <c r="A463" s="111"/>
      <c r="B463" s="103"/>
      <c r="C463" s="112"/>
      <c r="D463" s="29"/>
      <c r="E463" s="30"/>
      <c r="F463" s="30"/>
      <c r="G463" s="31"/>
      <c r="H463" s="30"/>
      <c r="I463" s="31"/>
      <c r="J463" s="30"/>
    </row>
    <row r="464">
      <c r="A464" s="111"/>
      <c r="B464" s="103"/>
      <c r="C464" s="112"/>
      <c r="D464" s="29"/>
      <c r="E464" s="30"/>
      <c r="F464" s="30"/>
      <c r="G464" s="31"/>
      <c r="H464" s="30"/>
      <c r="I464" s="31"/>
      <c r="J464" s="30"/>
    </row>
    <row r="465">
      <c r="A465" s="111"/>
      <c r="B465" s="103"/>
      <c r="C465" s="112"/>
      <c r="D465" s="29"/>
      <c r="E465" s="30"/>
      <c r="F465" s="30"/>
      <c r="G465" s="31"/>
      <c r="H465" s="30"/>
      <c r="I465" s="31"/>
      <c r="J465" s="30"/>
    </row>
    <row r="466">
      <c r="A466" s="111"/>
      <c r="B466" s="103"/>
      <c r="C466" s="112"/>
      <c r="D466" s="29"/>
      <c r="E466" s="30"/>
      <c r="F466" s="30"/>
      <c r="G466" s="31"/>
      <c r="H466" s="30"/>
      <c r="I466" s="31"/>
      <c r="J466" s="30"/>
    </row>
    <row r="467">
      <c r="A467" s="111"/>
      <c r="B467" s="103"/>
      <c r="C467" s="112"/>
      <c r="D467" s="29"/>
      <c r="E467" s="30"/>
      <c r="F467" s="30"/>
      <c r="G467" s="31"/>
      <c r="H467" s="30"/>
      <c r="I467" s="31"/>
      <c r="J467" s="30"/>
    </row>
    <row r="468">
      <c r="A468" s="111"/>
      <c r="B468" s="103"/>
      <c r="C468" s="112"/>
      <c r="D468" s="29"/>
      <c r="E468" s="30"/>
      <c r="F468" s="30"/>
      <c r="G468" s="31"/>
      <c r="H468" s="30"/>
      <c r="I468" s="31"/>
      <c r="J468" s="30"/>
    </row>
    <row r="469">
      <c r="A469" s="111"/>
      <c r="B469" s="103"/>
      <c r="C469" s="112"/>
      <c r="D469" s="29"/>
      <c r="E469" s="30"/>
      <c r="F469" s="30"/>
      <c r="G469" s="31"/>
      <c r="H469" s="30"/>
      <c r="I469" s="31"/>
      <c r="J469" s="30"/>
    </row>
    <row r="470">
      <c r="A470" s="111"/>
      <c r="B470" s="103"/>
      <c r="C470" s="112"/>
      <c r="D470" s="29"/>
      <c r="E470" s="30"/>
      <c r="F470" s="30"/>
      <c r="G470" s="31"/>
      <c r="H470" s="30"/>
      <c r="I470" s="31"/>
      <c r="J470" s="30"/>
    </row>
    <row r="471">
      <c r="A471" s="111"/>
      <c r="B471" s="103"/>
      <c r="C471" s="112"/>
      <c r="D471" s="29"/>
      <c r="E471" s="30"/>
      <c r="F471" s="30"/>
      <c r="G471" s="31"/>
      <c r="H471" s="30"/>
      <c r="I471" s="31"/>
      <c r="J471" s="30"/>
    </row>
    <row r="472">
      <c r="A472" s="111"/>
      <c r="B472" s="103"/>
      <c r="C472" s="112"/>
      <c r="D472" s="29"/>
      <c r="E472" s="30"/>
      <c r="F472" s="30"/>
      <c r="G472" s="31"/>
      <c r="H472" s="30"/>
      <c r="I472" s="31"/>
      <c r="J472" s="30"/>
    </row>
    <row r="473">
      <c r="A473" s="111"/>
      <c r="B473" s="103"/>
      <c r="C473" s="112"/>
      <c r="D473" s="29"/>
      <c r="E473" s="30"/>
      <c r="F473" s="30"/>
      <c r="G473" s="31"/>
      <c r="H473" s="30"/>
      <c r="I473" s="31"/>
      <c r="J473" s="30"/>
    </row>
    <row r="474">
      <c r="A474" s="111"/>
      <c r="B474" s="103"/>
      <c r="C474" s="112"/>
      <c r="D474" s="29"/>
      <c r="E474" s="30"/>
      <c r="F474" s="30"/>
      <c r="G474" s="31"/>
      <c r="H474" s="30"/>
      <c r="I474" s="31"/>
      <c r="J474" s="30"/>
    </row>
    <row r="475">
      <c r="A475" s="111"/>
      <c r="B475" s="103"/>
      <c r="C475" s="112"/>
      <c r="D475" s="29"/>
      <c r="E475" s="30"/>
      <c r="F475" s="30"/>
      <c r="G475" s="31"/>
      <c r="H475" s="30"/>
      <c r="I475" s="31"/>
      <c r="J475" s="30"/>
    </row>
    <row r="476">
      <c r="A476" s="111"/>
      <c r="B476" s="103"/>
      <c r="C476" s="112"/>
      <c r="D476" s="29"/>
      <c r="E476" s="30"/>
      <c r="F476" s="30"/>
      <c r="G476" s="31"/>
      <c r="H476" s="30"/>
      <c r="I476" s="31"/>
      <c r="J476" s="30"/>
    </row>
    <row r="477">
      <c r="A477" s="111"/>
      <c r="B477" s="103"/>
      <c r="C477" s="112"/>
      <c r="D477" s="29"/>
      <c r="E477" s="30"/>
      <c r="F477" s="30"/>
      <c r="G477" s="31"/>
      <c r="H477" s="30"/>
      <c r="I477" s="31"/>
      <c r="J477" s="30"/>
    </row>
    <row r="478">
      <c r="A478" s="111"/>
      <c r="B478" s="103"/>
      <c r="C478" s="112"/>
      <c r="D478" s="29"/>
      <c r="E478" s="30"/>
      <c r="F478" s="30"/>
      <c r="G478" s="31"/>
      <c r="H478" s="30"/>
      <c r="I478" s="31"/>
      <c r="J478" s="30"/>
    </row>
    <row r="479">
      <c r="A479" s="111"/>
      <c r="B479" s="103"/>
      <c r="C479" s="112"/>
      <c r="D479" s="29"/>
      <c r="E479" s="30"/>
      <c r="F479" s="30"/>
      <c r="G479" s="31"/>
      <c r="H479" s="30"/>
      <c r="I479" s="31"/>
      <c r="J479" s="30"/>
    </row>
    <row r="480">
      <c r="A480" s="111"/>
      <c r="B480" s="103"/>
      <c r="C480" s="112"/>
      <c r="D480" s="29"/>
      <c r="E480" s="30"/>
      <c r="F480" s="30"/>
      <c r="G480" s="31"/>
      <c r="H480" s="30"/>
      <c r="I480" s="31"/>
      <c r="J480" s="30"/>
    </row>
    <row r="481">
      <c r="A481" s="111"/>
      <c r="B481" s="103"/>
      <c r="C481" s="112"/>
      <c r="D481" s="29"/>
      <c r="E481" s="30"/>
      <c r="F481" s="30"/>
      <c r="G481" s="31"/>
      <c r="H481" s="30"/>
      <c r="I481" s="31"/>
      <c r="J481" s="30"/>
    </row>
    <row r="482">
      <c r="A482" s="111"/>
      <c r="B482" s="103"/>
      <c r="C482" s="112"/>
      <c r="D482" s="29"/>
      <c r="E482" s="30"/>
      <c r="F482" s="30"/>
      <c r="G482" s="31"/>
      <c r="H482" s="30"/>
      <c r="I482" s="31"/>
      <c r="J482" s="30"/>
    </row>
    <row r="483">
      <c r="A483" s="111"/>
      <c r="B483" s="103"/>
      <c r="C483" s="112"/>
      <c r="D483" s="29"/>
      <c r="E483" s="30"/>
      <c r="F483" s="30"/>
      <c r="G483" s="31"/>
      <c r="H483" s="30"/>
      <c r="I483" s="31"/>
      <c r="J483" s="30"/>
    </row>
    <row r="484">
      <c r="A484" s="111"/>
      <c r="B484" s="103"/>
      <c r="C484" s="112"/>
      <c r="D484" s="29"/>
      <c r="E484" s="30"/>
      <c r="F484" s="30"/>
      <c r="G484" s="31"/>
      <c r="H484" s="30"/>
      <c r="I484" s="31"/>
      <c r="J484" s="30"/>
    </row>
    <row r="485">
      <c r="A485" s="111"/>
      <c r="B485" s="103"/>
      <c r="C485" s="112"/>
      <c r="D485" s="29"/>
      <c r="E485" s="30"/>
      <c r="F485" s="30"/>
      <c r="G485" s="31"/>
      <c r="H485" s="30"/>
      <c r="I485" s="31"/>
      <c r="J485" s="30"/>
    </row>
    <row r="486">
      <c r="A486" s="111"/>
      <c r="B486" s="103"/>
      <c r="C486" s="112"/>
      <c r="D486" s="29"/>
      <c r="E486" s="30"/>
      <c r="F486" s="30"/>
      <c r="G486" s="31"/>
      <c r="H486" s="30"/>
      <c r="I486" s="31"/>
      <c r="J486" s="30"/>
    </row>
    <row r="487">
      <c r="A487" s="111"/>
      <c r="B487" s="103"/>
      <c r="C487" s="112"/>
      <c r="D487" s="29"/>
      <c r="E487" s="30"/>
      <c r="F487" s="30"/>
      <c r="G487" s="31"/>
      <c r="H487" s="30"/>
      <c r="I487" s="31"/>
      <c r="J487" s="30"/>
    </row>
    <row r="488">
      <c r="A488" s="111"/>
      <c r="B488" s="103"/>
      <c r="C488" s="112"/>
      <c r="D488" s="29"/>
      <c r="E488" s="30"/>
      <c r="F488" s="30"/>
      <c r="G488" s="31"/>
      <c r="H488" s="30"/>
      <c r="I488" s="31"/>
      <c r="J488" s="30"/>
    </row>
    <row r="489">
      <c r="A489" s="111"/>
      <c r="B489" s="103"/>
      <c r="C489" s="112"/>
      <c r="D489" s="29"/>
      <c r="E489" s="30"/>
      <c r="F489" s="30"/>
      <c r="G489" s="31"/>
      <c r="H489" s="30"/>
      <c r="I489" s="31"/>
      <c r="J489" s="30"/>
    </row>
    <row r="490">
      <c r="A490" s="111"/>
      <c r="B490" s="103"/>
      <c r="C490" s="112"/>
      <c r="D490" s="29"/>
      <c r="E490" s="30"/>
      <c r="F490" s="30"/>
      <c r="G490" s="31"/>
      <c r="H490" s="30"/>
      <c r="I490" s="31"/>
      <c r="J490" s="30"/>
    </row>
    <row r="491">
      <c r="A491" s="111"/>
      <c r="B491" s="103"/>
      <c r="C491" s="112"/>
      <c r="D491" s="29"/>
      <c r="E491" s="30"/>
      <c r="F491" s="30"/>
      <c r="G491" s="31"/>
      <c r="H491" s="30"/>
      <c r="I491" s="31"/>
      <c r="J491" s="30"/>
    </row>
    <row r="492">
      <c r="A492" s="111"/>
      <c r="B492" s="103"/>
      <c r="C492" s="112"/>
      <c r="D492" s="29"/>
      <c r="E492" s="30"/>
      <c r="F492" s="30"/>
      <c r="G492" s="31"/>
      <c r="H492" s="30"/>
      <c r="I492" s="31"/>
      <c r="J492" s="30"/>
    </row>
    <row r="493">
      <c r="A493" s="111"/>
      <c r="B493" s="103"/>
      <c r="C493" s="112"/>
      <c r="D493" s="29"/>
      <c r="E493" s="30"/>
      <c r="F493" s="30"/>
      <c r="G493" s="31"/>
      <c r="H493" s="30"/>
      <c r="I493" s="31"/>
      <c r="J493" s="30"/>
    </row>
    <row r="494">
      <c r="A494" s="111"/>
      <c r="B494" s="103"/>
      <c r="C494" s="112"/>
      <c r="D494" s="29"/>
      <c r="E494" s="30"/>
      <c r="F494" s="30"/>
      <c r="G494" s="31"/>
      <c r="H494" s="30"/>
      <c r="I494" s="31"/>
      <c r="J494" s="30"/>
    </row>
    <row r="495">
      <c r="A495" s="111"/>
      <c r="B495" s="103"/>
      <c r="C495" s="112"/>
      <c r="D495" s="29"/>
      <c r="E495" s="30"/>
      <c r="F495" s="30"/>
      <c r="G495" s="31"/>
      <c r="H495" s="30"/>
      <c r="I495" s="31"/>
      <c r="J495" s="30"/>
    </row>
    <row r="496">
      <c r="A496" s="111"/>
      <c r="B496" s="103"/>
      <c r="C496" s="112"/>
      <c r="D496" s="29"/>
      <c r="E496" s="30"/>
      <c r="F496" s="30"/>
      <c r="G496" s="31"/>
      <c r="H496" s="30"/>
      <c r="I496" s="31"/>
      <c r="J496" s="30"/>
    </row>
    <row r="497">
      <c r="A497" s="111"/>
      <c r="B497" s="103"/>
      <c r="C497" s="112"/>
      <c r="D497" s="29"/>
      <c r="E497" s="30"/>
      <c r="F497" s="30"/>
      <c r="G497" s="31"/>
      <c r="H497" s="30"/>
      <c r="I497" s="31"/>
      <c r="J497" s="30"/>
    </row>
    <row r="498">
      <c r="A498" s="111"/>
      <c r="B498" s="103"/>
      <c r="C498" s="112"/>
      <c r="D498" s="29"/>
      <c r="E498" s="30"/>
      <c r="F498" s="30"/>
      <c r="G498" s="31"/>
      <c r="H498" s="30"/>
      <c r="I498" s="31"/>
      <c r="J498" s="30"/>
    </row>
    <row r="499">
      <c r="A499" s="111"/>
      <c r="B499" s="103"/>
      <c r="C499" s="112"/>
      <c r="D499" s="29"/>
      <c r="E499" s="30"/>
      <c r="F499" s="30"/>
      <c r="G499" s="31"/>
      <c r="H499" s="30"/>
      <c r="I499" s="31"/>
      <c r="J499" s="30"/>
    </row>
    <row r="500">
      <c r="A500" s="111"/>
      <c r="B500" s="103"/>
      <c r="C500" s="112"/>
      <c r="D500" s="29"/>
      <c r="E500" s="30"/>
      <c r="F500" s="30"/>
      <c r="G500" s="31"/>
      <c r="H500" s="30"/>
      <c r="I500" s="31"/>
      <c r="J500" s="30"/>
    </row>
    <row r="501">
      <c r="A501" s="111"/>
      <c r="B501" s="103"/>
      <c r="C501" s="112"/>
      <c r="D501" s="29"/>
      <c r="E501" s="30"/>
      <c r="F501" s="30"/>
      <c r="G501" s="31"/>
      <c r="H501" s="30"/>
      <c r="I501" s="31"/>
      <c r="J501" s="30"/>
    </row>
    <row r="502">
      <c r="A502" s="111"/>
      <c r="B502" s="103"/>
      <c r="C502" s="112"/>
      <c r="D502" s="29"/>
      <c r="E502" s="30"/>
      <c r="F502" s="30"/>
      <c r="G502" s="31"/>
      <c r="H502" s="30"/>
      <c r="I502" s="31"/>
      <c r="J502" s="30"/>
    </row>
    <row r="503">
      <c r="A503" s="111"/>
      <c r="B503" s="103"/>
      <c r="C503" s="112"/>
      <c r="D503" s="29"/>
      <c r="E503" s="30"/>
      <c r="F503" s="30"/>
      <c r="G503" s="31"/>
      <c r="H503" s="30"/>
      <c r="I503" s="31"/>
      <c r="J503" s="30"/>
    </row>
    <row r="504">
      <c r="A504" s="111"/>
      <c r="B504" s="103"/>
      <c r="C504" s="112"/>
      <c r="D504" s="29"/>
      <c r="E504" s="30"/>
      <c r="F504" s="30"/>
      <c r="G504" s="31"/>
      <c r="H504" s="30"/>
      <c r="I504" s="31"/>
      <c r="J504" s="30"/>
    </row>
    <row r="505">
      <c r="A505" s="111"/>
      <c r="B505" s="103"/>
      <c r="C505" s="112"/>
      <c r="D505" s="29"/>
      <c r="E505" s="30"/>
      <c r="F505" s="30"/>
      <c r="G505" s="31"/>
      <c r="H505" s="30"/>
      <c r="I505" s="31"/>
      <c r="J505" s="30"/>
    </row>
    <row r="506">
      <c r="A506" s="111"/>
      <c r="B506" s="103"/>
      <c r="C506" s="112"/>
      <c r="D506" s="29"/>
      <c r="E506" s="30"/>
      <c r="F506" s="30"/>
      <c r="G506" s="31"/>
      <c r="H506" s="30"/>
      <c r="I506" s="31"/>
      <c r="J506" s="30"/>
    </row>
    <row r="507">
      <c r="A507" s="111"/>
      <c r="B507" s="103"/>
      <c r="C507" s="112"/>
      <c r="D507" s="29"/>
      <c r="E507" s="30"/>
      <c r="F507" s="30"/>
      <c r="G507" s="31"/>
      <c r="H507" s="30"/>
      <c r="I507" s="31"/>
      <c r="J507" s="30"/>
    </row>
    <row r="508">
      <c r="A508" s="111"/>
      <c r="B508" s="103"/>
      <c r="C508" s="112"/>
      <c r="D508" s="29"/>
      <c r="E508" s="30"/>
      <c r="F508" s="30"/>
      <c r="G508" s="31"/>
      <c r="H508" s="30"/>
      <c r="I508" s="31"/>
      <c r="J508" s="30"/>
    </row>
    <row r="509">
      <c r="A509" s="111"/>
      <c r="B509" s="103"/>
      <c r="C509" s="112"/>
      <c r="D509" s="29"/>
      <c r="E509" s="30"/>
      <c r="F509" s="30"/>
      <c r="G509" s="31"/>
      <c r="H509" s="30"/>
      <c r="I509" s="31"/>
      <c r="J509" s="30"/>
    </row>
    <row r="510">
      <c r="A510" s="111"/>
      <c r="B510" s="103"/>
      <c r="C510" s="112"/>
      <c r="D510" s="29"/>
      <c r="E510" s="30"/>
      <c r="F510" s="30"/>
      <c r="G510" s="31"/>
      <c r="H510" s="30"/>
      <c r="I510" s="31"/>
      <c r="J510" s="30"/>
    </row>
    <row r="511">
      <c r="A511" s="111"/>
      <c r="B511" s="103"/>
      <c r="C511" s="112"/>
      <c r="D511" s="29"/>
      <c r="E511" s="30"/>
      <c r="F511" s="30"/>
      <c r="G511" s="31"/>
      <c r="H511" s="30"/>
      <c r="I511" s="31"/>
      <c r="J511" s="30"/>
    </row>
    <row r="512">
      <c r="A512" s="111"/>
      <c r="B512" s="103"/>
      <c r="C512" s="112"/>
      <c r="D512" s="29"/>
      <c r="E512" s="30"/>
      <c r="F512" s="30"/>
      <c r="G512" s="31"/>
      <c r="H512" s="30"/>
      <c r="I512" s="31"/>
      <c r="J512" s="30"/>
    </row>
    <row r="513">
      <c r="A513" s="111"/>
      <c r="B513" s="103"/>
      <c r="C513" s="112"/>
      <c r="D513" s="29"/>
      <c r="E513" s="30"/>
      <c r="F513" s="30"/>
      <c r="G513" s="31"/>
      <c r="H513" s="30"/>
      <c r="I513" s="31"/>
      <c r="J513" s="30"/>
    </row>
    <row r="514">
      <c r="A514" s="111"/>
      <c r="B514" s="103"/>
      <c r="C514" s="112"/>
      <c r="D514" s="29"/>
      <c r="E514" s="30"/>
      <c r="F514" s="30"/>
      <c r="G514" s="31"/>
      <c r="H514" s="30"/>
      <c r="I514" s="31"/>
      <c r="J514" s="30"/>
    </row>
    <row r="515">
      <c r="A515" s="111"/>
      <c r="B515" s="103"/>
      <c r="C515" s="112"/>
      <c r="D515" s="29"/>
      <c r="E515" s="30"/>
      <c r="F515" s="30"/>
      <c r="G515" s="31"/>
      <c r="H515" s="30"/>
      <c r="I515" s="31"/>
      <c r="J515" s="30"/>
    </row>
    <row r="516">
      <c r="A516" s="111"/>
      <c r="B516" s="103"/>
      <c r="C516" s="112"/>
      <c r="D516" s="29"/>
      <c r="E516" s="30"/>
      <c r="F516" s="30"/>
      <c r="G516" s="31"/>
      <c r="H516" s="30"/>
      <c r="I516" s="31"/>
      <c r="J516" s="30"/>
    </row>
    <row r="517">
      <c r="A517" s="111"/>
      <c r="B517" s="103"/>
      <c r="C517" s="112"/>
      <c r="D517" s="29"/>
      <c r="E517" s="30"/>
      <c r="F517" s="30"/>
      <c r="G517" s="31"/>
      <c r="H517" s="30"/>
      <c r="I517" s="31"/>
      <c r="J517" s="30"/>
    </row>
    <row r="518">
      <c r="A518" s="111"/>
      <c r="B518" s="103"/>
      <c r="C518" s="112"/>
      <c r="D518" s="29"/>
      <c r="E518" s="30"/>
      <c r="F518" s="30"/>
      <c r="G518" s="31"/>
      <c r="H518" s="30"/>
      <c r="I518" s="31"/>
      <c r="J518" s="30"/>
    </row>
    <row r="519">
      <c r="A519" s="111"/>
      <c r="B519" s="103"/>
      <c r="C519" s="112"/>
      <c r="D519" s="29"/>
      <c r="E519" s="30"/>
      <c r="F519" s="30"/>
      <c r="G519" s="31"/>
      <c r="H519" s="30"/>
      <c r="I519" s="31"/>
      <c r="J519" s="30"/>
    </row>
    <row r="520">
      <c r="A520" s="111"/>
      <c r="B520" s="103"/>
      <c r="C520" s="112"/>
      <c r="D520" s="29"/>
      <c r="E520" s="30"/>
      <c r="F520" s="30"/>
      <c r="G520" s="31"/>
      <c r="H520" s="30"/>
      <c r="I520" s="31"/>
      <c r="J520" s="30"/>
    </row>
    <row r="521">
      <c r="A521" s="111"/>
      <c r="B521" s="103"/>
      <c r="C521" s="112"/>
      <c r="D521" s="29"/>
      <c r="E521" s="30"/>
      <c r="F521" s="30"/>
      <c r="G521" s="31"/>
      <c r="H521" s="30"/>
      <c r="I521" s="31"/>
      <c r="J521" s="30"/>
    </row>
    <row r="522">
      <c r="A522" s="111"/>
      <c r="B522" s="103"/>
      <c r="C522" s="112"/>
      <c r="D522" s="29"/>
      <c r="E522" s="30"/>
      <c r="F522" s="30"/>
      <c r="G522" s="31"/>
      <c r="H522" s="30"/>
      <c r="I522" s="31"/>
      <c r="J522" s="30"/>
    </row>
    <row r="523">
      <c r="A523" s="111"/>
      <c r="B523" s="103"/>
      <c r="C523" s="112"/>
      <c r="D523" s="29"/>
      <c r="E523" s="30"/>
      <c r="F523" s="30"/>
      <c r="G523" s="31"/>
      <c r="H523" s="30"/>
      <c r="I523" s="31"/>
      <c r="J523" s="30"/>
    </row>
    <row r="524">
      <c r="A524" s="111"/>
      <c r="B524" s="103"/>
      <c r="C524" s="112"/>
      <c r="D524" s="29"/>
      <c r="E524" s="30"/>
      <c r="F524" s="30"/>
      <c r="G524" s="31"/>
      <c r="H524" s="30"/>
      <c r="I524" s="31"/>
      <c r="J524" s="30"/>
    </row>
    <row r="525">
      <c r="A525" s="111"/>
      <c r="B525" s="103"/>
      <c r="C525" s="112"/>
      <c r="D525" s="29"/>
      <c r="E525" s="30"/>
      <c r="F525" s="30"/>
      <c r="G525" s="31"/>
      <c r="H525" s="30"/>
      <c r="I525" s="31"/>
      <c r="J525" s="30"/>
    </row>
    <row r="526">
      <c r="A526" s="111"/>
      <c r="B526" s="103"/>
      <c r="C526" s="112"/>
      <c r="D526" s="29"/>
      <c r="E526" s="30"/>
      <c r="F526" s="30"/>
      <c r="G526" s="31"/>
      <c r="H526" s="30"/>
      <c r="I526" s="31"/>
      <c r="J526" s="30"/>
    </row>
    <row r="527">
      <c r="A527" s="111"/>
      <c r="B527" s="103"/>
      <c r="C527" s="112"/>
      <c r="D527" s="29"/>
      <c r="E527" s="30"/>
      <c r="F527" s="30"/>
      <c r="G527" s="31"/>
      <c r="H527" s="30"/>
      <c r="I527" s="31"/>
      <c r="J527" s="30"/>
    </row>
    <row r="528">
      <c r="A528" s="111"/>
      <c r="B528" s="103"/>
      <c r="C528" s="112"/>
      <c r="D528" s="29"/>
      <c r="E528" s="30"/>
      <c r="F528" s="30"/>
      <c r="G528" s="31"/>
      <c r="H528" s="30"/>
      <c r="I528" s="31"/>
      <c r="J528" s="30"/>
    </row>
    <row r="529">
      <c r="A529" s="111"/>
      <c r="B529" s="103"/>
      <c r="C529" s="112"/>
      <c r="D529" s="29"/>
      <c r="E529" s="30"/>
      <c r="F529" s="30"/>
      <c r="G529" s="31"/>
      <c r="H529" s="30"/>
      <c r="I529" s="31"/>
      <c r="J529" s="30"/>
    </row>
    <row r="530">
      <c r="A530" s="111"/>
      <c r="B530" s="103"/>
      <c r="C530" s="112"/>
      <c r="D530" s="29"/>
      <c r="E530" s="30"/>
      <c r="F530" s="30"/>
      <c r="G530" s="31"/>
      <c r="H530" s="30"/>
      <c r="I530" s="31"/>
      <c r="J530" s="30"/>
    </row>
    <row r="531">
      <c r="A531" s="111"/>
      <c r="B531" s="103"/>
      <c r="C531" s="112"/>
      <c r="D531" s="29"/>
      <c r="E531" s="30"/>
      <c r="F531" s="30"/>
      <c r="G531" s="31"/>
      <c r="H531" s="30"/>
      <c r="I531" s="31"/>
      <c r="J531" s="30"/>
    </row>
    <row r="532">
      <c r="A532" s="111"/>
      <c r="B532" s="103"/>
      <c r="C532" s="112"/>
      <c r="D532" s="29"/>
      <c r="E532" s="30"/>
      <c r="F532" s="30"/>
      <c r="G532" s="31"/>
      <c r="H532" s="30"/>
      <c r="I532" s="31"/>
      <c r="J532" s="30"/>
    </row>
    <row r="533">
      <c r="A533" s="111"/>
      <c r="B533" s="103"/>
      <c r="C533" s="112"/>
      <c r="D533" s="29"/>
      <c r="E533" s="30"/>
      <c r="F533" s="30"/>
      <c r="G533" s="31"/>
      <c r="H533" s="30"/>
      <c r="I533" s="31"/>
      <c r="J533" s="30"/>
    </row>
    <row r="534">
      <c r="A534" s="111"/>
      <c r="B534" s="103"/>
      <c r="C534" s="112"/>
      <c r="D534" s="29"/>
      <c r="E534" s="30"/>
      <c r="F534" s="30"/>
      <c r="G534" s="31"/>
      <c r="H534" s="30"/>
      <c r="I534" s="31"/>
      <c r="J534" s="30"/>
    </row>
    <row r="535">
      <c r="A535" s="111"/>
      <c r="B535" s="103"/>
      <c r="C535" s="112"/>
      <c r="D535" s="29"/>
      <c r="E535" s="30"/>
      <c r="F535" s="30"/>
      <c r="G535" s="31"/>
      <c r="H535" s="30"/>
      <c r="I535" s="31"/>
      <c r="J535" s="30"/>
    </row>
    <row r="536">
      <c r="A536" s="111"/>
      <c r="B536" s="103"/>
      <c r="C536" s="112"/>
      <c r="D536" s="29"/>
      <c r="E536" s="30"/>
      <c r="F536" s="30"/>
      <c r="G536" s="31"/>
      <c r="H536" s="30"/>
      <c r="I536" s="31"/>
      <c r="J536" s="30"/>
    </row>
    <row r="537">
      <c r="A537" s="111"/>
      <c r="B537" s="103"/>
      <c r="C537" s="112"/>
      <c r="D537" s="29"/>
      <c r="E537" s="30"/>
      <c r="F537" s="30"/>
      <c r="G537" s="31"/>
      <c r="H537" s="30"/>
      <c r="I537" s="31"/>
      <c r="J537" s="30"/>
    </row>
    <row r="538">
      <c r="A538" s="111"/>
      <c r="B538" s="103"/>
      <c r="C538" s="112"/>
      <c r="D538" s="29"/>
      <c r="E538" s="30"/>
      <c r="F538" s="30"/>
      <c r="G538" s="31"/>
      <c r="H538" s="30"/>
      <c r="I538" s="31"/>
      <c r="J538" s="30"/>
    </row>
    <row r="539">
      <c r="A539" s="111"/>
      <c r="B539" s="103"/>
      <c r="C539" s="112"/>
      <c r="D539" s="29"/>
      <c r="E539" s="30"/>
      <c r="F539" s="30"/>
      <c r="G539" s="31"/>
      <c r="H539" s="30"/>
      <c r="I539" s="31"/>
      <c r="J539" s="30"/>
    </row>
    <row r="540">
      <c r="A540" s="111"/>
      <c r="B540" s="103"/>
      <c r="C540" s="112"/>
      <c r="D540" s="29"/>
      <c r="E540" s="30"/>
      <c r="F540" s="30"/>
      <c r="G540" s="31"/>
      <c r="H540" s="30"/>
      <c r="I540" s="31"/>
      <c r="J540" s="30"/>
    </row>
    <row r="541">
      <c r="A541" s="111"/>
      <c r="B541" s="103"/>
      <c r="C541" s="112"/>
      <c r="D541" s="29"/>
      <c r="E541" s="30"/>
      <c r="F541" s="30"/>
      <c r="G541" s="31"/>
      <c r="H541" s="30"/>
      <c r="I541" s="31"/>
      <c r="J541" s="30"/>
    </row>
    <row r="542">
      <c r="A542" s="111"/>
      <c r="B542" s="103"/>
      <c r="C542" s="112"/>
      <c r="D542" s="29"/>
      <c r="E542" s="30"/>
      <c r="F542" s="30"/>
      <c r="G542" s="31"/>
      <c r="H542" s="30"/>
      <c r="I542" s="31"/>
      <c r="J542" s="30"/>
    </row>
    <row r="543">
      <c r="A543" s="111"/>
      <c r="B543" s="103"/>
      <c r="C543" s="112"/>
      <c r="D543" s="29"/>
      <c r="E543" s="30"/>
      <c r="F543" s="30"/>
      <c r="G543" s="31"/>
      <c r="H543" s="30"/>
      <c r="I543" s="31"/>
      <c r="J543" s="30"/>
    </row>
    <row r="544">
      <c r="A544" s="111"/>
      <c r="B544" s="103"/>
      <c r="C544" s="112"/>
      <c r="D544" s="29"/>
      <c r="E544" s="30"/>
      <c r="F544" s="30"/>
      <c r="G544" s="31"/>
      <c r="H544" s="30"/>
      <c r="I544" s="31"/>
      <c r="J544" s="30"/>
    </row>
    <row r="545">
      <c r="A545" s="111"/>
      <c r="B545" s="103"/>
      <c r="C545" s="112"/>
      <c r="D545" s="29"/>
      <c r="E545" s="30"/>
      <c r="F545" s="30"/>
      <c r="G545" s="31"/>
      <c r="H545" s="30"/>
      <c r="I545" s="31"/>
      <c r="J545" s="30"/>
    </row>
    <row r="546">
      <c r="A546" s="111"/>
      <c r="B546" s="103"/>
      <c r="C546" s="112"/>
      <c r="D546" s="29"/>
      <c r="E546" s="30"/>
      <c r="F546" s="30"/>
      <c r="G546" s="31"/>
      <c r="H546" s="30"/>
      <c r="I546" s="31"/>
      <c r="J546" s="30"/>
    </row>
    <row r="547">
      <c r="A547" s="111"/>
      <c r="B547" s="103"/>
      <c r="C547" s="112"/>
      <c r="D547" s="29"/>
      <c r="E547" s="30"/>
      <c r="F547" s="30"/>
      <c r="G547" s="31"/>
      <c r="H547" s="30"/>
      <c r="I547" s="31"/>
      <c r="J547" s="30"/>
    </row>
    <row r="548">
      <c r="A548" s="111"/>
      <c r="B548" s="103"/>
      <c r="C548" s="112"/>
      <c r="D548" s="29"/>
      <c r="E548" s="30"/>
      <c r="F548" s="30"/>
      <c r="G548" s="31"/>
      <c r="H548" s="30"/>
      <c r="I548" s="31"/>
      <c r="J548" s="30"/>
    </row>
    <row r="549">
      <c r="A549" s="111"/>
      <c r="B549" s="103"/>
      <c r="C549" s="112"/>
      <c r="D549" s="29"/>
      <c r="E549" s="30"/>
      <c r="F549" s="30"/>
      <c r="G549" s="31"/>
      <c r="H549" s="30"/>
      <c r="I549" s="31"/>
      <c r="J549" s="30"/>
    </row>
    <row r="550">
      <c r="A550" s="111"/>
      <c r="B550" s="103"/>
      <c r="C550" s="112"/>
      <c r="D550" s="29"/>
      <c r="E550" s="30"/>
      <c r="F550" s="30"/>
      <c r="G550" s="31"/>
      <c r="H550" s="30"/>
      <c r="I550" s="31"/>
      <c r="J550" s="30"/>
    </row>
    <row r="551">
      <c r="A551" s="111"/>
      <c r="B551" s="103"/>
      <c r="C551" s="112"/>
      <c r="D551" s="29"/>
      <c r="E551" s="30"/>
      <c r="F551" s="30"/>
      <c r="G551" s="31"/>
      <c r="H551" s="30"/>
      <c r="I551" s="31"/>
      <c r="J551" s="30"/>
    </row>
    <row r="552">
      <c r="A552" s="111"/>
      <c r="B552" s="103"/>
      <c r="C552" s="112"/>
      <c r="D552" s="29"/>
      <c r="E552" s="30"/>
      <c r="F552" s="30"/>
      <c r="G552" s="31"/>
      <c r="H552" s="30"/>
      <c r="I552" s="31"/>
      <c r="J552" s="30"/>
    </row>
    <row r="553">
      <c r="A553" s="111"/>
      <c r="B553" s="103"/>
      <c r="C553" s="112"/>
      <c r="D553" s="29"/>
      <c r="E553" s="30"/>
      <c r="F553" s="30"/>
      <c r="G553" s="31"/>
      <c r="H553" s="30"/>
      <c r="I553" s="31"/>
      <c r="J553" s="30"/>
    </row>
    <row r="554">
      <c r="A554" s="111"/>
      <c r="B554" s="103"/>
      <c r="C554" s="112"/>
      <c r="D554" s="29"/>
      <c r="E554" s="30"/>
      <c r="F554" s="30"/>
      <c r="G554" s="31"/>
      <c r="H554" s="30"/>
      <c r="I554" s="31"/>
      <c r="J554" s="30"/>
    </row>
    <row r="555">
      <c r="A555" s="111"/>
      <c r="B555" s="103"/>
      <c r="C555" s="112"/>
      <c r="D555" s="29"/>
      <c r="E555" s="30"/>
      <c r="F555" s="30"/>
      <c r="G555" s="31"/>
      <c r="H555" s="30"/>
      <c r="I555" s="31"/>
      <c r="J555" s="30"/>
    </row>
    <row r="556">
      <c r="A556" s="111"/>
      <c r="B556" s="103"/>
      <c r="C556" s="112"/>
      <c r="D556" s="29"/>
      <c r="E556" s="30"/>
      <c r="F556" s="30"/>
      <c r="G556" s="31"/>
      <c r="H556" s="30"/>
      <c r="I556" s="31"/>
      <c r="J556" s="30"/>
    </row>
    <row r="557">
      <c r="A557" s="111"/>
      <c r="B557" s="103"/>
      <c r="C557" s="112"/>
      <c r="D557" s="29"/>
      <c r="E557" s="30"/>
      <c r="F557" s="30"/>
      <c r="G557" s="31"/>
      <c r="H557" s="30"/>
      <c r="I557" s="31"/>
      <c r="J557" s="30"/>
    </row>
    <row r="558">
      <c r="A558" s="111"/>
      <c r="B558" s="103"/>
      <c r="C558" s="112"/>
      <c r="D558" s="29"/>
      <c r="E558" s="30"/>
      <c r="F558" s="30"/>
      <c r="G558" s="31"/>
      <c r="H558" s="30"/>
      <c r="I558" s="31"/>
      <c r="J558" s="30"/>
    </row>
    <row r="559">
      <c r="A559" s="111"/>
      <c r="B559" s="103"/>
      <c r="C559" s="112"/>
      <c r="D559" s="29"/>
      <c r="E559" s="30"/>
      <c r="F559" s="30"/>
      <c r="G559" s="31"/>
      <c r="H559" s="30"/>
      <c r="I559" s="31"/>
      <c r="J559" s="30"/>
    </row>
    <row r="560">
      <c r="A560" s="111"/>
      <c r="B560" s="103"/>
      <c r="C560" s="112"/>
      <c r="D560" s="29"/>
      <c r="E560" s="30"/>
      <c r="F560" s="30"/>
      <c r="G560" s="31"/>
      <c r="H560" s="30"/>
      <c r="I560" s="31"/>
      <c r="J560" s="30"/>
    </row>
    <row r="561">
      <c r="A561" s="111"/>
      <c r="B561" s="103"/>
      <c r="C561" s="112"/>
      <c r="D561" s="29"/>
      <c r="E561" s="30"/>
      <c r="F561" s="30"/>
      <c r="G561" s="31"/>
      <c r="H561" s="30"/>
      <c r="I561" s="31"/>
      <c r="J561" s="30"/>
    </row>
    <row r="562">
      <c r="A562" s="111"/>
      <c r="B562" s="103"/>
      <c r="C562" s="112"/>
      <c r="D562" s="29"/>
      <c r="E562" s="30"/>
      <c r="F562" s="30"/>
      <c r="G562" s="31"/>
      <c r="H562" s="30"/>
      <c r="I562" s="31"/>
      <c r="J562" s="30"/>
    </row>
    <row r="563">
      <c r="A563" s="111"/>
      <c r="B563" s="103"/>
      <c r="C563" s="112"/>
      <c r="D563" s="29"/>
      <c r="E563" s="30"/>
      <c r="F563" s="30"/>
      <c r="G563" s="31"/>
      <c r="H563" s="30"/>
      <c r="I563" s="31"/>
      <c r="J563" s="30"/>
    </row>
    <row r="564">
      <c r="A564" s="111"/>
      <c r="B564" s="103"/>
      <c r="C564" s="112"/>
      <c r="D564" s="29"/>
      <c r="E564" s="30"/>
      <c r="F564" s="30"/>
      <c r="G564" s="31"/>
      <c r="H564" s="30"/>
      <c r="I564" s="31"/>
      <c r="J564" s="30"/>
    </row>
    <row r="565">
      <c r="A565" s="111"/>
      <c r="B565" s="103"/>
      <c r="C565" s="112"/>
      <c r="D565" s="29"/>
      <c r="E565" s="30"/>
      <c r="F565" s="30"/>
      <c r="G565" s="31"/>
      <c r="H565" s="30"/>
      <c r="I565" s="31"/>
      <c r="J565" s="30"/>
    </row>
    <row r="566">
      <c r="A566" s="111"/>
      <c r="B566" s="103"/>
      <c r="C566" s="112"/>
      <c r="D566" s="29"/>
      <c r="E566" s="30"/>
      <c r="F566" s="30"/>
      <c r="G566" s="31"/>
      <c r="H566" s="30"/>
      <c r="I566" s="31"/>
      <c r="J566" s="30"/>
    </row>
    <row r="567">
      <c r="A567" s="111"/>
      <c r="B567" s="103"/>
      <c r="C567" s="112"/>
      <c r="D567" s="29"/>
      <c r="E567" s="30"/>
      <c r="F567" s="30"/>
      <c r="G567" s="31"/>
      <c r="H567" s="30"/>
      <c r="I567" s="31"/>
      <c r="J567" s="30"/>
    </row>
    <row r="568">
      <c r="A568" s="111"/>
      <c r="B568" s="103"/>
      <c r="C568" s="112"/>
      <c r="D568" s="29"/>
      <c r="E568" s="30"/>
      <c r="F568" s="30"/>
      <c r="G568" s="31"/>
      <c r="H568" s="30"/>
      <c r="I568" s="31"/>
      <c r="J568" s="30"/>
    </row>
    <row r="569">
      <c r="A569" s="111"/>
      <c r="B569" s="103"/>
      <c r="C569" s="112"/>
      <c r="D569" s="29"/>
      <c r="E569" s="30"/>
      <c r="F569" s="30"/>
      <c r="G569" s="31"/>
      <c r="H569" s="30"/>
      <c r="I569" s="31"/>
      <c r="J569" s="30"/>
    </row>
    <row r="570">
      <c r="A570" s="111"/>
      <c r="B570" s="103"/>
      <c r="C570" s="112"/>
      <c r="D570" s="29"/>
      <c r="E570" s="30"/>
      <c r="F570" s="30"/>
      <c r="G570" s="31"/>
      <c r="H570" s="30"/>
      <c r="I570" s="31"/>
      <c r="J570" s="30"/>
    </row>
    <row r="571">
      <c r="A571" s="111"/>
      <c r="B571" s="103"/>
      <c r="C571" s="112"/>
      <c r="D571" s="29"/>
      <c r="E571" s="30"/>
      <c r="F571" s="30"/>
      <c r="G571" s="31"/>
      <c r="H571" s="30"/>
      <c r="I571" s="31"/>
      <c r="J571" s="30"/>
    </row>
    <row r="572">
      <c r="A572" s="111"/>
      <c r="B572" s="103"/>
      <c r="C572" s="112"/>
      <c r="D572" s="29"/>
      <c r="E572" s="30"/>
      <c r="F572" s="30"/>
      <c r="G572" s="31"/>
      <c r="H572" s="30"/>
      <c r="I572" s="31"/>
      <c r="J572" s="30"/>
    </row>
    <row r="573">
      <c r="A573" s="111"/>
      <c r="B573" s="103"/>
      <c r="C573" s="112"/>
      <c r="D573" s="29"/>
      <c r="E573" s="30"/>
      <c r="F573" s="30"/>
      <c r="G573" s="31"/>
      <c r="H573" s="30"/>
      <c r="I573" s="31"/>
      <c r="J573" s="30"/>
    </row>
    <row r="574">
      <c r="A574" s="111"/>
      <c r="B574" s="103"/>
      <c r="C574" s="112"/>
      <c r="D574" s="29"/>
      <c r="E574" s="30"/>
      <c r="F574" s="30"/>
      <c r="G574" s="31"/>
      <c r="H574" s="30"/>
      <c r="I574" s="31"/>
      <c r="J574" s="30"/>
    </row>
    <row r="575">
      <c r="A575" s="111"/>
      <c r="B575" s="103"/>
      <c r="C575" s="112"/>
      <c r="D575" s="29"/>
      <c r="E575" s="30"/>
      <c r="F575" s="30"/>
      <c r="G575" s="31"/>
      <c r="H575" s="30"/>
      <c r="I575" s="31"/>
      <c r="J575" s="30"/>
    </row>
    <row r="576">
      <c r="A576" s="111"/>
      <c r="B576" s="103"/>
      <c r="C576" s="112"/>
      <c r="D576" s="29"/>
      <c r="E576" s="30"/>
      <c r="F576" s="30"/>
      <c r="G576" s="31"/>
      <c r="H576" s="30"/>
      <c r="I576" s="31"/>
      <c r="J576" s="30"/>
    </row>
    <row r="577">
      <c r="A577" s="111"/>
      <c r="B577" s="103"/>
      <c r="C577" s="112"/>
      <c r="D577" s="29"/>
      <c r="E577" s="30"/>
      <c r="F577" s="30"/>
      <c r="G577" s="31"/>
      <c r="H577" s="30"/>
      <c r="I577" s="31"/>
      <c r="J577" s="30"/>
    </row>
    <row r="578">
      <c r="A578" s="111"/>
      <c r="B578" s="103"/>
      <c r="C578" s="112"/>
      <c r="D578" s="29"/>
      <c r="E578" s="30"/>
      <c r="F578" s="30"/>
      <c r="G578" s="31"/>
      <c r="H578" s="30"/>
      <c r="I578" s="31"/>
      <c r="J578" s="30"/>
    </row>
    <row r="579">
      <c r="A579" s="111"/>
      <c r="B579" s="103"/>
      <c r="C579" s="112"/>
      <c r="D579" s="29"/>
      <c r="E579" s="30"/>
      <c r="F579" s="30"/>
      <c r="G579" s="31"/>
      <c r="H579" s="30"/>
      <c r="I579" s="31"/>
      <c r="J579" s="30"/>
    </row>
    <row r="580">
      <c r="A580" s="111"/>
      <c r="B580" s="103"/>
      <c r="C580" s="112"/>
      <c r="D580" s="29"/>
      <c r="E580" s="30"/>
      <c r="F580" s="30"/>
      <c r="G580" s="31"/>
      <c r="H580" s="30"/>
      <c r="I580" s="31"/>
      <c r="J580" s="30"/>
    </row>
    <row r="581">
      <c r="A581" s="111"/>
      <c r="B581" s="103"/>
      <c r="C581" s="112"/>
      <c r="D581" s="29"/>
      <c r="E581" s="30"/>
      <c r="F581" s="30"/>
      <c r="G581" s="31"/>
      <c r="H581" s="30"/>
      <c r="I581" s="31"/>
      <c r="J581" s="30"/>
    </row>
    <row r="582">
      <c r="A582" s="111"/>
      <c r="B582" s="103"/>
      <c r="C582" s="112"/>
      <c r="D582" s="29"/>
      <c r="E582" s="30"/>
      <c r="F582" s="30"/>
      <c r="G582" s="31"/>
      <c r="H582" s="30"/>
      <c r="I582" s="31"/>
      <c r="J582" s="30"/>
    </row>
    <row r="583">
      <c r="A583" s="111"/>
      <c r="B583" s="103"/>
      <c r="C583" s="112"/>
      <c r="D583" s="29"/>
      <c r="E583" s="30"/>
      <c r="F583" s="30"/>
      <c r="G583" s="31"/>
      <c r="H583" s="30"/>
      <c r="I583" s="31"/>
      <c r="J583" s="30"/>
    </row>
    <row r="584">
      <c r="A584" s="111"/>
      <c r="B584" s="103"/>
      <c r="C584" s="112"/>
      <c r="D584" s="29"/>
      <c r="E584" s="30"/>
      <c r="F584" s="30"/>
      <c r="G584" s="31"/>
      <c r="H584" s="30"/>
      <c r="I584" s="31"/>
      <c r="J584" s="30"/>
    </row>
    <row r="585">
      <c r="A585" s="111"/>
      <c r="B585" s="103"/>
      <c r="C585" s="112"/>
      <c r="D585" s="29"/>
      <c r="E585" s="30"/>
      <c r="F585" s="30"/>
      <c r="G585" s="31"/>
      <c r="H585" s="30"/>
      <c r="I585" s="31"/>
      <c r="J585" s="30"/>
    </row>
    <row r="586">
      <c r="A586" s="111"/>
      <c r="B586" s="103"/>
      <c r="C586" s="112"/>
      <c r="D586" s="29"/>
      <c r="E586" s="30"/>
      <c r="F586" s="30"/>
      <c r="G586" s="31"/>
      <c r="H586" s="30"/>
      <c r="I586" s="31"/>
      <c r="J586" s="30"/>
    </row>
    <row r="587">
      <c r="A587" s="113"/>
      <c r="B587" s="103"/>
      <c r="C587" s="112"/>
      <c r="D587" s="29"/>
      <c r="E587" s="30"/>
      <c r="F587" s="30"/>
      <c r="G587" s="31"/>
      <c r="H587" s="30"/>
      <c r="I587" s="31"/>
      <c r="J587" s="30"/>
    </row>
    <row r="588">
      <c r="A588" s="113"/>
      <c r="B588" s="103"/>
      <c r="C588" s="112"/>
      <c r="D588" s="29"/>
      <c r="E588" s="30"/>
      <c r="F588" s="30"/>
      <c r="G588" s="31"/>
      <c r="H588" s="30"/>
      <c r="I588" s="31"/>
      <c r="J588" s="30"/>
    </row>
    <row r="589">
      <c r="A589" s="113"/>
      <c r="B589" s="103"/>
      <c r="C589" s="112"/>
      <c r="D589" s="29"/>
      <c r="E589" s="30"/>
      <c r="F589" s="30"/>
      <c r="G589" s="31"/>
      <c r="H589" s="30"/>
      <c r="I589" s="31"/>
      <c r="J589" s="30"/>
    </row>
    <row r="590">
      <c r="A590" s="113"/>
      <c r="B590" s="103"/>
      <c r="C590" s="112"/>
      <c r="D590" s="29"/>
      <c r="E590" s="30"/>
      <c r="F590" s="30"/>
      <c r="G590" s="31"/>
      <c r="H590" s="30"/>
      <c r="I590" s="31"/>
      <c r="J590" s="30"/>
    </row>
    <row r="591">
      <c r="A591" s="113"/>
      <c r="B591" s="103"/>
      <c r="C591" s="112"/>
      <c r="D591" s="29"/>
      <c r="E591" s="30"/>
      <c r="F591" s="30"/>
      <c r="G591" s="31"/>
      <c r="H591" s="30"/>
      <c r="I591" s="31"/>
      <c r="J591" s="30"/>
    </row>
    <row r="592">
      <c r="A592" s="111"/>
      <c r="B592" s="103"/>
      <c r="C592" s="112"/>
      <c r="D592" s="29"/>
      <c r="E592" s="30"/>
      <c r="F592" s="30"/>
      <c r="G592" s="31"/>
      <c r="H592" s="30"/>
      <c r="I592" s="31"/>
      <c r="J592" s="30"/>
    </row>
    <row r="593">
      <c r="A593" s="111"/>
      <c r="B593" s="103"/>
      <c r="C593" s="112"/>
      <c r="D593" s="29"/>
      <c r="E593" s="30"/>
      <c r="F593" s="30"/>
      <c r="G593" s="31"/>
      <c r="H593" s="30"/>
      <c r="I593" s="31"/>
      <c r="J593" s="30"/>
    </row>
    <row r="594">
      <c r="A594" s="111"/>
      <c r="B594" s="103"/>
      <c r="C594" s="112"/>
      <c r="D594" s="29"/>
      <c r="E594" s="30"/>
      <c r="F594" s="30"/>
      <c r="G594" s="31"/>
      <c r="H594" s="30"/>
      <c r="I594" s="31"/>
      <c r="J594" s="30"/>
    </row>
    <row r="595">
      <c r="A595" s="111"/>
      <c r="B595" s="103"/>
      <c r="C595" s="112"/>
      <c r="D595" s="29"/>
      <c r="E595" s="30"/>
      <c r="F595" s="30"/>
      <c r="G595" s="31"/>
      <c r="H595" s="30"/>
      <c r="I595" s="31"/>
      <c r="J595" s="30"/>
    </row>
    <row r="596">
      <c r="A596" s="115"/>
      <c r="B596" s="103"/>
      <c r="C596" s="112"/>
      <c r="D596" s="29"/>
      <c r="E596" s="30"/>
      <c r="F596" s="30"/>
      <c r="G596" s="31"/>
      <c r="H596" s="30"/>
      <c r="I596" s="31"/>
      <c r="J596" s="30"/>
    </row>
    <row r="597">
      <c r="A597" s="116"/>
      <c r="B597" s="117"/>
      <c r="C597" s="118"/>
      <c r="D597" s="29"/>
      <c r="E597" s="30"/>
      <c r="F597" s="30"/>
      <c r="G597" s="31"/>
      <c r="H597" s="30"/>
      <c r="I597" s="31"/>
      <c r="J597" s="30"/>
    </row>
    <row r="598">
      <c r="A598" s="119"/>
      <c r="B598" s="117"/>
      <c r="C598" s="118"/>
      <c r="D598" s="29"/>
      <c r="E598" s="30"/>
      <c r="F598" s="30"/>
      <c r="G598" s="31"/>
      <c r="H598" s="30"/>
      <c r="I598" s="31"/>
      <c r="J598" s="30"/>
    </row>
    <row r="599">
      <c r="A599" s="116"/>
      <c r="B599" s="117"/>
      <c r="C599" s="118"/>
      <c r="D599" s="29"/>
      <c r="E599" s="30"/>
      <c r="F599" s="30"/>
      <c r="G599" s="31"/>
      <c r="H599" s="30"/>
      <c r="I599" s="31"/>
      <c r="J599" s="30"/>
    </row>
    <row r="600">
      <c r="A600" s="120"/>
      <c r="B600" s="117"/>
      <c r="C600" s="118"/>
      <c r="D600" s="29"/>
      <c r="E600" s="30"/>
      <c r="F600" s="30"/>
      <c r="G600" s="31"/>
      <c r="H600" s="30"/>
      <c r="I600" s="31"/>
      <c r="J600" s="30"/>
    </row>
    <row r="601">
      <c r="A601" s="120"/>
      <c r="B601" s="117"/>
      <c r="C601" s="118"/>
      <c r="D601" s="29"/>
      <c r="E601" s="30"/>
      <c r="F601" s="30"/>
      <c r="G601" s="31"/>
      <c r="H601" s="30"/>
      <c r="I601" s="31"/>
      <c r="J601" s="30"/>
    </row>
    <row r="602">
      <c r="A602" s="121"/>
      <c r="B602" s="117"/>
      <c r="C602" s="118"/>
      <c r="D602" s="29"/>
      <c r="E602" s="30"/>
      <c r="F602" s="30"/>
      <c r="G602" s="31"/>
      <c r="H602" s="30"/>
      <c r="I602" s="31"/>
      <c r="J602" s="30"/>
    </row>
    <row r="603">
      <c r="A603" s="121"/>
      <c r="B603" s="117"/>
      <c r="C603" s="118"/>
      <c r="D603" s="29"/>
      <c r="E603" s="30"/>
      <c r="F603" s="30"/>
      <c r="G603" s="31"/>
      <c r="H603" s="30"/>
      <c r="I603" s="31"/>
      <c r="J603" s="30"/>
    </row>
    <row r="604">
      <c r="A604" s="121"/>
      <c r="B604" s="117"/>
      <c r="C604" s="118"/>
      <c r="D604" s="29"/>
      <c r="E604" s="30"/>
      <c r="F604" s="30"/>
      <c r="G604" s="31"/>
      <c r="H604" s="30"/>
      <c r="I604" s="31"/>
      <c r="J604" s="30"/>
    </row>
    <row r="605">
      <c r="A605" s="121"/>
      <c r="B605" s="117"/>
      <c r="C605" s="118"/>
      <c r="D605" s="29"/>
      <c r="E605" s="30"/>
      <c r="F605" s="30"/>
      <c r="G605" s="31"/>
      <c r="H605" s="30"/>
      <c r="I605" s="31"/>
      <c r="J605" s="30"/>
    </row>
    <row r="606">
      <c r="A606" s="121"/>
      <c r="B606" s="117"/>
      <c r="C606" s="118"/>
      <c r="D606" s="29"/>
      <c r="E606" s="30"/>
      <c r="F606" s="30"/>
      <c r="G606" s="31"/>
      <c r="H606" s="30"/>
      <c r="I606" s="31"/>
      <c r="J606" s="30"/>
    </row>
    <row r="607">
      <c r="A607" s="121"/>
      <c r="B607" s="117"/>
      <c r="C607" s="118"/>
      <c r="D607" s="29"/>
      <c r="E607" s="30"/>
      <c r="F607" s="30"/>
      <c r="G607" s="31"/>
      <c r="H607" s="30"/>
      <c r="I607" s="31"/>
      <c r="J607" s="30"/>
    </row>
    <row r="608">
      <c r="A608" s="119"/>
      <c r="B608" s="117"/>
      <c r="C608" s="118"/>
      <c r="D608" s="29"/>
      <c r="E608" s="30"/>
      <c r="F608" s="30"/>
      <c r="G608" s="31"/>
      <c r="H608" s="30"/>
      <c r="I608" s="31"/>
      <c r="J608" s="30"/>
    </row>
    <row r="609">
      <c r="A609" s="119"/>
      <c r="B609" s="117"/>
      <c r="C609" s="118"/>
      <c r="D609" s="29"/>
      <c r="E609" s="30"/>
      <c r="F609" s="30"/>
      <c r="G609" s="31"/>
      <c r="H609" s="30"/>
      <c r="I609" s="31"/>
      <c r="J609" s="30"/>
    </row>
    <row r="610">
      <c r="A610" s="122"/>
      <c r="B610" s="117"/>
      <c r="C610" s="118"/>
      <c r="D610" s="29"/>
      <c r="E610" s="30"/>
      <c r="F610" s="30"/>
      <c r="G610" s="31"/>
      <c r="H610" s="30"/>
      <c r="I610" s="31"/>
      <c r="J610" s="30"/>
    </row>
    <row r="611">
      <c r="A611" s="109"/>
      <c r="B611" s="117"/>
      <c r="C611" s="118"/>
      <c r="D611" s="29"/>
      <c r="E611" s="30"/>
      <c r="F611" s="30"/>
      <c r="G611" s="31"/>
      <c r="H611" s="30"/>
      <c r="I611" s="31"/>
      <c r="J611" s="30"/>
    </row>
    <row r="612">
      <c r="A612" s="109"/>
      <c r="B612" s="117"/>
      <c r="C612" s="118"/>
      <c r="D612" s="29"/>
      <c r="E612" s="30"/>
      <c r="F612" s="30"/>
      <c r="G612" s="31"/>
      <c r="H612" s="30"/>
      <c r="I612" s="31"/>
      <c r="J612" s="30"/>
    </row>
    <row r="613">
      <c r="A613" s="119"/>
      <c r="B613" s="117"/>
      <c r="C613" s="118"/>
      <c r="D613" s="29"/>
      <c r="E613" s="30"/>
      <c r="F613" s="30"/>
      <c r="G613" s="31"/>
      <c r="H613" s="30"/>
      <c r="I613" s="31"/>
      <c r="J613" s="30"/>
    </row>
    <row r="614">
      <c r="A614" s="119"/>
      <c r="B614" s="117"/>
      <c r="C614" s="118"/>
      <c r="D614" s="29"/>
      <c r="E614" s="30"/>
      <c r="F614" s="30"/>
      <c r="G614" s="31"/>
      <c r="H614" s="30"/>
      <c r="I614" s="31"/>
      <c r="J614" s="30"/>
    </row>
    <row r="615">
      <c r="A615" s="119"/>
      <c r="B615" s="117"/>
      <c r="C615" s="118"/>
      <c r="D615" s="29"/>
      <c r="E615" s="30"/>
      <c r="F615" s="30"/>
      <c r="G615" s="31"/>
      <c r="H615" s="30"/>
      <c r="I615" s="31"/>
      <c r="J615" s="30"/>
    </row>
    <row r="616">
      <c r="A616" s="119"/>
      <c r="B616" s="117"/>
      <c r="C616" s="118"/>
      <c r="D616" s="29"/>
      <c r="E616" s="30"/>
      <c r="F616" s="30"/>
      <c r="G616" s="31"/>
      <c r="H616" s="30"/>
      <c r="I616" s="31"/>
      <c r="J616" s="30"/>
    </row>
    <row r="617">
      <c r="A617" s="119"/>
      <c r="B617" s="117"/>
      <c r="C617" s="118"/>
      <c r="D617" s="29"/>
      <c r="E617" s="30"/>
      <c r="F617" s="30"/>
      <c r="G617" s="31"/>
      <c r="H617" s="30"/>
      <c r="I617" s="31"/>
      <c r="J617" s="30"/>
    </row>
    <row r="618">
      <c r="A618" s="42"/>
      <c r="B618" s="117"/>
      <c r="C618" s="118"/>
      <c r="D618" s="29"/>
      <c r="E618" s="30"/>
      <c r="F618" s="30"/>
      <c r="G618" s="31"/>
      <c r="H618" s="30"/>
      <c r="I618" s="31"/>
      <c r="J618" s="30"/>
    </row>
    <row r="619">
      <c r="A619" s="42"/>
      <c r="B619" s="117"/>
      <c r="C619" s="118"/>
      <c r="D619" s="29"/>
      <c r="E619" s="30"/>
      <c r="F619" s="30"/>
      <c r="G619" s="31"/>
      <c r="H619" s="30"/>
      <c r="I619" s="31"/>
      <c r="J619" s="30"/>
    </row>
    <row r="620">
      <c r="A620" s="42"/>
      <c r="B620" s="117"/>
      <c r="C620" s="118"/>
      <c r="D620" s="29"/>
      <c r="E620" s="30"/>
      <c r="F620" s="30"/>
      <c r="G620" s="31"/>
      <c r="H620" s="30"/>
      <c r="I620" s="31"/>
      <c r="J620" s="30"/>
    </row>
    <row r="621">
      <c r="A621" s="42"/>
      <c r="B621" s="117"/>
      <c r="C621" s="118"/>
      <c r="D621" s="29"/>
      <c r="E621" s="30"/>
      <c r="F621" s="30"/>
      <c r="G621" s="31"/>
      <c r="H621" s="30"/>
      <c r="I621" s="31"/>
      <c r="J621" s="30"/>
    </row>
    <row r="622">
      <c r="A622" s="42"/>
      <c r="B622" s="117"/>
      <c r="C622" s="118"/>
      <c r="D622" s="29"/>
      <c r="E622" s="30"/>
      <c r="F622" s="30"/>
      <c r="G622" s="31"/>
      <c r="H622" s="30"/>
      <c r="I622" s="31"/>
      <c r="J622" s="30"/>
    </row>
    <row r="623">
      <c r="A623" s="42"/>
      <c r="B623" s="117"/>
      <c r="C623" s="118"/>
      <c r="D623" s="29"/>
      <c r="E623" s="30"/>
      <c r="F623" s="30"/>
      <c r="G623" s="31"/>
      <c r="H623" s="30"/>
      <c r="I623" s="31"/>
      <c r="J623" s="30"/>
    </row>
    <row r="624">
      <c r="A624" s="42"/>
      <c r="B624" s="117"/>
      <c r="C624" s="118"/>
      <c r="D624" s="29"/>
      <c r="E624" s="30"/>
      <c r="F624" s="30"/>
      <c r="G624" s="31"/>
      <c r="H624" s="30"/>
      <c r="I624" s="31"/>
      <c r="J624" s="30"/>
    </row>
    <row r="625">
      <c r="A625" s="42"/>
      <c r="B625" s="117"/>
      <c r="C625" s="118"/>
      <c r="D625" s="29"/>
      <c r="E625" s="30"/>
      <c r="F625" s="30"/>
      <c r="G625" s="31"/>
      <c r="H625" s="30"/>
      <c r="I625" s="31"/>
      <c r="J625" s="30"/>
    </row>
    <row r="626">
      <c r="A626" s="42"/>
      <c r="B626" s="117"/>
      <c r="C626" s="118"/>
      <c r="D626" s="29"/>
      <c r="E626" s="30"/>
      <c r="F626" s="30"/>
      <c r="G626" s="31"/>
      <c r="H626" s="30"/>
      <c r="I626" s="31"/>
      <c r="J626" s="30"/>
    </row>
    <row r="627">
      <c r="A627" s="42"/>
      <c r="B627" s="117"/>
      <c r="C627" s="118"/>
      <c r="D627" s="29"/>
      <c r="E627" s="30"/>
      <c r="F627" s="30"/>
      <c r="G627" s="31"/>
      <c r="H627" s="30"/>
      <c r="I627" s="31"/>
      <c r="J627" s="30"/>
    </row>
    <row r="628">
      <c r="A628" s="42"/>
      <c r="B628" s="117"/>
      <c r="C628" s="118"/>
      <c r="D628" s="29"/>
      <c r="E628" s="30"/>
      <c r="F628" s="30"/>
      <c r="G628" s="31"/>
      <c r="H628" s="30"/>
      <c r="I628" s="31"/>
      <c r="J628" s="30"/>
    </row>
    <row r="629">
      <c r="A629" s="42"/>
      <c r="B629" s="117"/>
      <c r="C629" s="118"/>
      <c r="D629" s="29"/>
      <c r="E629" s="30"/>
      <c r="F629" s="30"/>
      <c r="G629" s="31"/>
      <c r="H629" s="30"/>
      <c r="I629" s="31"/>
      <c r="J629" s="30"/>
    </row>
    <row r="630">
      <c r="A630" s="42"/>
      <c r="B630" s="117"/>
      <c r="C630" s="118"/>
      <c r="D630" s="29"/>
      <c r="E630" s="30"/>
      <c r="F630" s="30"/>
      <c r="G630" s="31"/>
      <c r="H630" s="30"/>
      <c r="I630" s="31"/>
      <c r="J630" s="30"/>
    </row>
    <row r="631">
      <c r="A631" s="42"/>
      <c r="B631" s="117"/>
      <c r="C631" s="118"/>
      <c r="D631" s="29"/>
      <c r="E631" s="30"/>
      <c r="F631" s="30"/>
      <c r="G631" s="31"/>
      <c r="H631" s="30"/>
      <c r="I631" s="31"/>
      <c r="J631" s="30"/>
    </row>
    <row r="632">
      <c r="A632" s="109"/>
      <c r="B632" s="117"/>
      <c r="C632" s="118"/>
      <c r="D632" s="29"/>
      <c r="E632" s="30"/>
      <c r="F632" s="30"/>
      <c r="G632" s="31"/>
      <c r="H632" s="30"/>
      <c r="I632" s="31"/>
      <c r="J632" s="30"/>
    </row>
    <row r="633">
      <c r="A633" s="42"/>
      <c r="B633" s="117"/>
      <c r="C633" s="118"/>
      <c r="D633" s="29"/>
      <c r="E633" s="30"/>
      <c r="F633" s="30"/>
      <c r="G633" s="31"/>
      <c r="H633" s="30"/>
      <c r="I633" s="31"/>
      <c r="J633" s="30"/>
    </row>
    <row r="634">
      <c r="A634" s="42"/>
      <c r="B634" s="117"/>
      <c r="C634" s="118"/>
      <c r="D634" s="29"/>
      <c r="E634" s="30"/>
      <c r="F634" s="30"/>
      <c r="G634" s="31"/>
      <c r="H634" s="30"/>
      <c r="I634" s="31"/>
      <c r="J634" s="30"/>
    </row>
    <row r="635">
      <c r="A635" s="109"/>
      <c r="B635" s="117"/>
      <c r="C635" s="118"/>
      <c r="D635" s="29"/>
      <c r="E635" s="30"/>
      <c r="F635" s="30"/>
      <c r="G635" s="31"/>
      <c r="H635" s="30"/>
      <c r="I635" s="31"/>
      <c r="J635" s="30"/>
    </row>
    <row r="636">
      <c r="A636" s="109"/>
      <c r="B636" s="117"/>
      <c r="C636" s="118"/>
      <c r="D636" s="29"/>
      <c r="E636" s="30"/>
      <c r="F636" s="30"/>
      <c r="G636" s="31"/>
      <c r="H636" s="30"/>
      <c r="I636" s="31"/>
      <c r="J636" s="30"/>
    </row>
    <row r="637">
      <c r="A637" s="109"/>
      <c r="B637" s="117"/>
      <c r="C637" s="118"/>
      <c r="D637" s="29"/>
      <c r="E637" s="30"/>
      <c r="F637" s="30"/>
      <c r="G637" s="31"/>
      <c r="H637" s="30"/>
      <c r="I637" s="31"/>
      <c r="J637" s="30"/>
    </row>
    <row r="638">
      <c r="A638" s="109"/>
      <c r="B638" s="117"/>
      <c r="C638" s="118"/>
      <c r="D638" s="29"/>
      <c r="E638" s="30"/>
      <c r="F638" s="30"/>
      <c r="G638" s="31"/>
      <c r="H638" s="30"/>
      <c r="I638" s="31"/>
      <c r="J638" s="30"/>
    </row>
    <row r="639">
      <c r="A639" s="42"/>
      <c r="B639" s="117"/>
      <c r="C639" s="118"/>
      <c r="D639" s="29"/>
      <c r="E639" s="30"/>
      <c r="F639" s="30"/>
      <c r="G639" s="31"/>
      <c r="H639" s="30"/>
      <c r="I639" s="31"/>
      <c r="J639" s="30"/>
    </row>
    <row r="640">
      <c r="A640" s="119"/>
      <c r="B640" s="117"/>
      <c r="C640" s="118"/>
      <c r="D640" s="29"/>
      <c r="E640" s="30"/>
      <c r="F640" s="30"/>
      <c r="G640" s="31"/>
      <c r="H640" s="30"/>
      <c r="I640" s="31"/>
      <c r="J640" s="30"/>
    </row>
    <row r="641">
      <c r="A641" s="119"/>
      <c r="B641" s="117"/>
      <c r="C641" s="118"/>
      <c r="D641" s="29"/>
      <c r="E641" s="30"/>
      <c r="F641" s="30"/>
      <c r="G641" s="31"/>
      <c r="H641" s="30"/>
      <c r="I641" s="31"/>
      <c r="J641" s="30"/>
    </row>
    <row r="642">
      <c r="A642" s="119"/>
      <c r="B642" s="117"/>
      <c r="C642" s="118"/>
      <c r="D642" s="29"/>
      <c r="E642" s="30"/>
      <c r="F642" s="30"/>
      <c r="G642" s="31"/>
      <c r="H642" s="30"/>
      <c r="I642" s="31"/>
      <c r="J642" s="30"/>
    </row>
    <row r="643">
      <c r="A643" s="119"/>
      <c r="B643" s="117"/>
      <c r="C643" s="118"/>
      <c r="D643" s="29"/>
      <c r="E643" s="30"/>
      <c r="F643" s="30"/>
      <c r="G643" s="31"/>
      <c r="H643" s="30"/>
      <c r="I643" s="31"/>
      <c r="J643" s="30"/>
    </row>
    <row r="644">
      <c r="A644" s="119"/>
      <c r="B644" s="117"/>
      <c r="C644" s="118"/>
      <c r="D644" s="29"/>
      <c r="E644" s="30"/>
      <c r="F644" s="30"/>
      <c r="G644" s="31"/>
      <c r="H644" s="30"/>
      <c r="I644" s="31"/>
      <c r="J644" s="30"/>
    </row>
    <row r="645">
      <c r="A645" s="119"/>
      <c r="B645" s="117"/>
      <c r="C645" s="118"/>
      <c r="D645" s="29"/>
      <c r="E645" s="30"/>
      <c r="F645" s="30"/>
      <c r="G645" s="31"/>
      <c r="H645" s="30"/>
      <c r="I645" s="31"/>
      <c r="J645" s="30"/>
    </row>
    <row r="646">
      <c r="A646" s="119"/>
      <c r="B646" s="117"/>
      <c r="C646" s="118"/>
      <c r="D646" s="29"/>
      <c r="E646" s="30"/>
      <c r="F646" s="30"/>
      <c r="G646" s="31"/>
      <c r="H646" s="30"/>
      <c r="I646" s="31"/>
      <c r="J646" s="30"/>
    </row>
    <row r="647">
      <c r="A647" s="119"/>
      <c r="B647" s="117"/>
      <c r="C647" s="118"/>
      <c r="D647" s="29"/>
      <c r="E647" s="30"/>
      <c r="F647" s="30"/>
      <c r="G647" s="31"/>
      <c r="H647" s="30"/>
      <c r="I647" s="31"/>
      <c r="J647" s="30"/>
    </row>
    <row r="648">
      <c r="A648" s="119"/>
      <c r="B648" s="117"/>
      <c r="C648" s="118"/>
      <c r="D648" s="29"/>
      <c r="E648" s="30"/>
      <c r="F648" s="30"/>
      <c r="G648" s="31"/>
      <c r="H648" s="30"/>
      <c r="I648" s="31"/>
      <c r="J648" s="30"/>
    </row>
    <row r="649">
      <c r="A649" s="119"/>
      <c r="B649" s="117"/>
      <c r="C649" s="118"/>
      <c r="D649" s="29"/>
      <c r="E649" s="30"/>
      <c r="F649" s="30"/>
      <c r="G649" s="31"/>
      <c r="H649" s="30"/>
      <c r="I649" s="31"/>
      <c r="J649" s="30"/>
    </row>
    <row r="650">
      <c r="A650" s="119"/>
      <c r="B650" s="117"/>
      <c r="C650" s="118"/>
      <c r="D650" s="29"/>
      <c r="E650" s="30"/>
      <c r="F650" s="30"/>
      <c r="G650" s="31"/>
      <c r="H650" s="30"/>
      <c r="I650" s="31"/>
      <c r="J650" s="30"/>
    </row>
    <row r="651">
      <c r="A651" s="119"/>
      <c r="B651" s="117"/>
      <c r="C651" s="118"/>
      <c r="D651" s="29"/>
      <c r="E651" s="30"/>
      <c r="F651" s="30"/>
      <c r="G651" s="31"/>
      <c r="H651" s="30"/>
      <c r="I651" s="31"/>
      <c r="J651" s="30"/>
    </row>
    <row r="652">
      <c r="A652" s="119"/>
      <c r="B652" s="117"/>
      <c r="C652" s="118"/>
      <c r="D652" s="29"/>
      <c r="E652" s="30"/>
      <c r="F652" s="30"/>
      <c r="G652" s="31"/>
      <c r="H652" s="30"/>
      <c r="I652" s="31"/>
      <c r="J652" s="30"/>
    </row>
    <row r="653">
      <c r="A653" s="119"/>
      <c r="B653" s="117"/>
      <c r="C653" s="118"/>
      <c r="D653" s="29"/>
      <c r="E653" s="30"/>
      <c r="F653" s="30"/>
      <c r="G653" s="31"/>
      <c r="H653" s="30"/>
      <c r="I653" s="31"/>
      <c r="J653" s="30"/>
    </row>
    <row r="654">
      <c r="A654" s="119"/>
      <c r="B654" s="117"/>
      <c r="C654" s="118"/>
      <c r="D654" s="29"/>
      <c r="E654" s="30"/>
      <c r="F654" s="30"/>
      <c r="G654" s="31"/>
      <c r="H654" s="30"/>
      <c r="I654" s="31"/>
      <c r="J654" s="30"/>
    </row>
    <row r="655">
      <c r="A655" s="119"/>
      <c r="B655" s="117"/>
      <c r="C655" s="118"/>
      <c r="D655" s="29"/>
      <c r="E655" s="30"/>
      <c r="F655" s="30"/>
      <c r="G655" s="31"/>
      <c r="H655" s="30"/>
      <c r="I655" s="31"/>
      <c r="J655" s="30"/>
    </row>
    <row r="656">
      <c r="A656" s="119"/>
      <c r="B656" s="117"/>
      <c r="C656" s="118"/>
      <c r="D656" s="29"/>
      <c r="E656" s="30"/>
      <c r="F656" s="30"/>
      <c r="G656" s="31"/>
      <c r="H656" s="30"/>
      <c r="I656" s="31"/>
      <c r="J656" s="30"/>
    </row>
    <row r="657">
      <c r="A657" s="119"/>
      <c r="B657" s="117"/>
      <c r="C657" s="118"/>
      <c r="D657" s="29"/>
      <c r="E657" s="30"/>
      <c r="F657" s="30"/>
      <c r="G657" s="31"/>
      <c r="H657" s="30"/>
      <c r="I657" s="31"/>
      <c r="J657" s="30"/>
    </row>
    <row r="658">
      <c r="A658" s="119"/>
      <c r="B658" s="117"/>
      <c r="C658" s="118"/>
      <c r="D658" s="29"/>
      <c r="E658" s="30"/>
      <c r="F658" s="30"/>
      <c r="G658" s="31"/>
      <c r="H658" s="30"/>
      <c r="I658" s="31"/>
      <c r="J658" s="30"/>
    </row>
    <row r="659">
      <c r="A659" s="119"/>
      <c r="B659" s="117"/>
      <c r="C659" s="118"/>
      <c r="D659" s="29"/>
      <c r="E659" s="30"/>
      <c r="F659" s="30"/>
      <c r="G659" s="31"/>
      <c r="H659" s="30"/>
      <c r="I659" s="31"/>
      <c r="J659" s="30"/>
    </row>
    <row r="660">
      <c r="A660" s="119"/>
      <c r="B660" s="117"/>
      <c r="C660" s="118"/>
      <c r="D660" s="29"/>
      <c r="E660" s="30"/>
      <c r="F660" s="30"/>
      <c r="G660" s="31"/>
      <c r="H660" s="30"/>
      <c r="I660" s="31"/>
      <c r="J660" s="30"/>
    </row>
    <row r="661">
      <c r="A661" s="119"/>
      <c r="B661" s="117"/>
      <c r="C661" s="118"/>
      <c r="D661" s="29"/>
      <c r="E661" s="30"/>
      <c r="F661" s="30"/>
      <c r="G661" s="31"/>
      <c r="H661" s="30"/>
      <c r="I661" s="31"/>
      <c r="J661" s="30"/>
    </row>
    <row r="662">
      <c r="A662" s="119"/>
      <c r="B662" s="117"/>
      <c r="C662" s="118"/>
      <c r="D662" s="29"/>
      <c r="E662" s="30"/>
      <c r="F662" s="30"/>
      <c r="G662" s="31"/>
      <c r="H662" s="30"/>
      <c r="I662" s="31"/>
      <c r="J662" s="30"/>
    </row>
    <row r="663">
      <c r="A663" s="122"/>
      <c r="B663" s="117"/>
      <c r="C663" s="118"/>
      <c r="D663" s="29"/>
      <c r="E663" s="30"/>
      <c r="F663" s="30"/>
      <c r="G663" s="31"/>
      <c r="H663" s="30"/>
      <c r="I663" s="31"/>
      <c r="J663" s="30"/>
    </row>
    <row r="664">
      <c r="A664" s="122"/>
      <c r="B664" s="117"/>
      <c r="C664" s="118"/>
      <c r="D664" s="29"/>
      <c r="E664" s="30"/>
      <c r="F664" s="30"/>
      <c r="G664" s="31"/>
      <c r="H664" s="30"/>
      <c r="I664" s="31"/>
      <c r="J664" s="30"/>
    </row>
    <row r="665">
      <c r="A665" s="119"/>
      <c r="B665" s="117"/>
      <c r="C665" s="118"/>
      <c r="D665" s="29"/>
      <c r="E665" s="30"/>
      <c r="F665" s="30"/>
      <c r="G665" s="31"/>
      <c r="H665" s="30"/>
      <c r="I665" s="31"/>
      <c r="J665" s="30"/>
    </row>
    <row r="666">
      <c r="A666" s="116"/>
      <c r="B666" s="117"/>
      <c r="C666" s="118"/>
      <c r="D666" s="29"/>
      <c r="E666" s="30"/>
      <c r="F666" s="30"/>
      <c r="G666" s="31"/>
      <c r="H666" s="30"/>
      <c r="I666" s="31"/>
      <c r="J666" s="30"/>
    </row>
    <row r="667">
      <c r="A667" s="116"/>
      <c r="B667" s="117"/>
      <c r="C667" s="118"/>
      <c r="D667" s="29"/>
      <c r="E667" s="30"/>
      <c r="F667" s="30"/>
      <c r="G667" s="31"/>
      <c r="H667" s="30"/>
      <c r="I667" s="31"/>
      <c r="J667" s="30"/>
    </row>
    <row r="668">
      <c r="A668" s="116"/>
      <c r="B668" s="117"/>
      <c r="C668" s="118"/>
      <c r="D668" s="29"/>
      <c r="E668" s="30"/>
      <c r="F668" s="30"/>
      <c r="G668" s="31"/>
      <c r="H668" s="30"/>
      <c r="I668" s="31"/>
      <c r="J668" s="30"/>
    </row>
    <row r="669">
      <c r="A669" s="121"/>
      <c r="B669" s="117"/>
      <c r="C669" s="118"/>
      <c r="D669" s="29"/>
      <c r="E669" s="30"/>
      <c r="F669" s="30"/>
      <c r="G669" s="31"/>
      <c r="H669" s="30"/>
      <c r="I669" s="31"/>
      <c r="J669" s="30"/>
    </row>
    <row r="670">
      <c r="A670" s="116"/>
      <c r="B670" s="117"/>
      <c r="C670" s="118"/>
      <c r="D670" s="29"/>
      <c r="E670" s="30"/>
      <c r="F670" s="30"/>
      <c r="G670" s="31"/>
      <c r="H670" s="30"/>
      <c r="I670" s="31"/>
      <c r="J670" s="30"/>
    </row>
    <row r="671">
      <c r="A671" s="116"/>
      <c r="B671" s="117"/>
      <c r="C671" s="118"/>
      <c r="D671" s="29"/>
      <c r="E671" s="30"/>
      <c r="F671" s="30"/>
      <c r="G671" s="31"/>
      <c r="H671" s="30"/>
      <c r="I671" s="31"/>
      <c r="J671" s="30"/>
    </row>
    <row r="672">
      <c r="A672" s="116"/>
      <c r="B672" s="117"/>
      <c r="C672" s="118"/>
      <c r="D672" s="29"/>
      <c r="E672" s="30"/>
      <c r="F672" s="30"/>
      <c r="G672" s="31"/>
      <c r="H672" s="30"/>
      <c r="I672" s="31"/>
      <c r="J672" s="30"/>
    </row>
    <row r="673">
      <c r="A673" s="116"/>
      <c r="B673" s="117"/>
      <c r="C673" s="118"/>
      <c r="D673" s="29"/>
      <c r="E673" s="30"/>
      <c r="F673" s="30"/>
      <c r="G673" s="31"/>
      <c r="H673" s="30"/>
      <c r="I673" s="31"/>
      <c r="J673" s="30"/>
    </row>
    <row r="674">
      <c r="A674" s="116"/>
      <c r="B674" s="117"/>
      <c r="C674" s="118"/>
      <c r="D674" s="29"/>
      <c r="E674" s="30"/>
      <c r="F674" s="30"/>
      <c r="G674" s="31"/>
      <c r="H674" s="30"/>
      <c r="I674" s="31"/>
      <c r="J674" s="30"/>
    </row>
    <row r="675">
      <c r="A675" s="116"/>
      <c r="B675" s="117"/>
      <c r="C675" s="118"/>
      <c r="D675" s="29"/>
      <c r="E675" s="30"/>
      <c r="F675" s="30"/>
      <c r="G675" s="31"/>
      <c r="H675" s="30"/>
      <c r="I675" s="31"/>
      <c r="J675" s="30"/>
    </row>
    <row r="676">
      <c r="A676" s="116"/>
      <c r="B676" s="117"/>
      <c r="C676" s="118"/>
      <c r="D676" s="29"/>
      <c r="E676" s="30"/>
      <c r="F676" s="30"/>
      <c r="G676" s="31"/>
      <c r="H676" s="30"/>
      <c r="I676" s="31"/>
      <c r="J676" s="30"/>
    </row>
    <row r="677">
      <c r="A677" s="116"/>
      <c r="B677" s="117"/>
      <c r="C677" s="118"/>
      <c r="D677" s="29"/>
      <c r="E677" s="30"/>
      <c r="F677" s="30"/>
      <c r="G677" s="31"/>
      <c r="H677" s="30"/>
      <c r="I677" s="31"/>
      <c r="J677" s="30"/>
    </row>
    <row r="678">
      <c r="A678" s="116"/>
      <c r="B678" s="117"/>
      <c r="C678" s="118"/>
      <c r="D678" s="29"/>
      <c r="E678" s="30"/>
      <c r="F678" s="30"/>
      <c r="G678" s="31"/>
      <c r="H678" s="30"/>
      <c r="I678" s="31"/>
      <c r="J678" s="30"/>
    </row>
    <row r="679">
      <c r="A679" s="116"/>
      <c r="B679" s="117"/>
      <c r="C679" s="118"/>
      <c r="D679" s="29"/>
      <c r="E679" s="30"/>
      <c r="F679" s="30"/>
      <c r="G679" s="31"/>
      <c r="H679" s="30"/>
      <c r="I679" s="31"/>
      <c r="J679" s="30"/>
    </row>
    <row r="680">
      <c r="A680" s="116"/>
      <c r="B680" s="117"/>
      <c r="C680" s="123"/>
      <c r="D680" s="29"/>
      <c r="E680" s="30"/>
      <c r="F680" s="30"/>
      <c r="G680" s="31"/>
      <c r="H680" s="30"/>
      <c r="I680" s="31"/>
      <c r="J680" s="30"/>
    </row>
    <row r="681">
      <c r="A681" s="121"/>
      <c r="B681" s="117"/>
      <c r="C681" s="123"/>
      <c r="D681" s="29"/>
      <c r="E681" s="30"/>
      <c r="F681" s="30"/>
      <c r="G681" s="31"/>
      <c r="H681" s="30"/>
      <c r="I681" s="31"/>
      <c r="J681" s="30"/>
    </row>
    <row r="682">
      <c r="A682" s="116"/>
      <c r="B682" s="117"/>
      <c r="C682" s="104"/>
      <c r="D682" s="29"/>
      <c r="E682" s="30"/>
      <c r="F682" s="30"/>
      <c r="G682" s="31"/>
      <c r="H682" s="30"/>
      <c r="I682" s="31"/>
      <c r="J682" s="30"/>
    </row>
    <row r="683">
      <c r="A683" s="119"/>
      <c r="B683" s="117"/>
      <c r="C683" s="104"/>
      <c r="D683" s="29"/>
      <c r="E683" s="30"/>
      <c r="F683" s="30"/>
      <c r="G683" s="31"/>
      <c r="H683" s="30"/>
      <c r="I683" s="31"/>
      <c r="J683" s="30"/>
    </row>
    <row r="684">
      <c r="A684" s="119"/>
      <c r="B684" s="117"/>
      <c r="C684" s="104"/>
      <c r="D684" s="29"/>
      <c r="E684" s="30"/>
      <c r="F684" s="30"/>
      <c r="G684" s="31"/>
      <c r="H684" s="30"/>
      <c r="I684" s="31"/>
      <c r="J684" s="30"/>
    </row>
    <row r="685">
      <c r="A685" s="119"/>
      <c r="B685" s="117"/>
      <c r="C685" s="104"/>
      <c r="D685" s="29"/>
      <c r="E685" s="30"/>
      <c r="F685" s="30"/>
      <c r="G685" s="31"/>
      <c r="H685" s="30"/>
      <c r="I685" s="31"/>
      <c r="J685" s="30"/>
    </row>
    <row r="686">
      <c r="A686" s="119"/>
      <c r="B686" s="117"/>
      <c r="C686" s="104"/>
      <c r="D686" s="29"/>
      <c r="E686" s="30"/>
      <c r="F686" s="30"/>
      <c r="G686" s="31"/>
      <c r="H686" s="30"/>
      <c r="I686" s="31"/>
      <c r="J686" s="30"/>
    </row>
    <row r="687">
      <c r="A687" s="119"/>
      <c r="B687" s="117"/>
      <c r="C687" s="104"/>
      <c r="D687" s="29"/>
      <c r="E687" s="30"/>
      <c r="F687" s="30"/>
      <c r="G687" s="31"/>
      <c r="H687" s="30"/>
      <c r="I687" s="31"/>
      <c r="J687" s="30"/>
    </row>
    <row r="688">
      <c r="A688" s="119"/>
      <c r="B688" s="117"/>
      <c r="C688" s="104"/>
      <c r="D688" s="29"/>
      <c r="E688" s="30"/>
      <c r="F688" s="30"/>
      <c r="G688" s="31"/>
      <c r="H688" s="30"/>
      <c r="I688" s="31"/>
      <c r="J688" s="30"/>
    </row>
    <row r="689">
      <c r="A689" s="119"/>
      <c r="B689" s="117"/>
      <c r="C689" s="104"/>
      <c r="D689" s="29"/>
      <c r="E689" s="30"/>
      <c r="F689" s="30"/>
      <c r="G689" s="31"/>
      <c r="H689" s="30"/>
      <c r="I689" s="31"/>
      <c r="J689" s="30"/>
    </row>
    <row r="690">
      <c r="A690" s="116"/>
      <c r="B690" s="117"/>
      <c r="C690" s="104"/>
      <c r="D690" s="29"/>
      <c r="E690" s="30"/>
      <c r="F690" s="30"/>
      <c r="G690" s="31"/>
      <c r="H690" s="30"/>
      <c r="I690" s="31"/>
      <c r="J690" s="30"/>
    </row>
    <row r="691">
      <c r="A691" s="124"/>
      <c r="B691" s="117"/>
      <c r="C691" s="118"/>
      <c r="D691" s="29"/>
      <c r="E691" s="30"/>
      <c r="F691" s="30"/>
      <c r="G691" s="31"/>
      <c r="H691" s="30"/>
      <c r="I691" s="31"/>
      <c r="J691" s="30"/>
    </row>
    <row r="692">
      <c r="A692" s="116"/>
      <c r="B692" s="117"/>
      <c r="C692" s="118"/>
      <c r="D692" s="29"/>
      <c r="E692" s="30"/>
      <c r="F692" s="30"/>
      <c r="G692" s="31"/>
      <c r="H692" s="30"/>
      <c r="I692" s="31"/>
      <c r="J692" s="30"/>
    </row>
    <row r="693">
      <c r="A693" s="116"/>
      <c r="B693" s="117"/>
      <c r="C693" s="118"/>
      <c r="D693" s="29"/>
      <c r="E693" s="30"/>
      <c r="F693" s="30"/>
      <c r="G693" s="31"/>
      <c r="H693" s="30"/>
      <c r="I693" s="31"/>
      <c r="J693" s="30"/>
    </row>
    <row r="694">
      <c r="A694" s="116"/>
      <c r="B694" s="117"/>
      <c r="C694" s="118"/>
      <c r="D694" s="29"/>
      <c r="E694" s="30"/>
      <c r="F694" s="30"/>
      <c r="G694" s="31"/>
      <c r="H694" s="30"/>
      <c r="I694" s="31"/>
      <c r="J694" s="30"/>
    </row>
    <row r="695">
      <c r="A695" s="116"/>
      <c r="B695" s="117"/>
      <c r="C695" s="118"/>
      <c r="D695" s="29"/>
      <c r="E695" s="30"/>
      <c r="F695" s="30"/>
      <c r="G695" s="31"/>
      <c r="H695" s="30"/>
      <c r="I695" s="31"/>
      <c r="J695" s="30"/>
    </row>
    <row r="696">
      <c r="A696" s="121"/>
      <c r="B696" s="117"/>
      <c r="C696" s="118"/>
      <c r="D696" s="29"/>
      <c r="E696" s="30"/>
      <c r="F696" s="30"/>
      <c r="G696" s="31"/>
      <c r="H696" s="30"/>
      <c r="I696" s="31"/>
      <c r="J696" s="30"/>
    </row>
    <row r="697">
      <c r="A697" s="116"/>
      <c r="B697" s="117"/>
      <c r="C697" s="123"/>
      <c r="D697" s="29"/>
      <c r="E697" s="30"/>
      <c r="F697" s="30"/>
      <c r="G697" s="31"/>
      <c r="H697" s="30"/>
      <c r="I697" s="31"/>
      <c r="J697" s="30"/>
    </row>
    <row r="698">
      <c r="A698" s="116"/>
      <c r="B698" s="117"/>
      <c r="C698" s="123"/>
      <c r="D698" s="29"/>
      <c r="E698" s="30"/>
      <c r="F698" s="30"/>
      <c r="G698" s="31"/>
      <c r="H698" s="30"/>
      <c r="I698" s="31"/>
      <c r="J698" s="30"/>
    </row>
    <row r="699">
      <c r="A699" s="116"/>
      <c r="B699" s="117"/>
      <c r="C699" s="123"/>
      <c r="D699" s="29"/>
      <c r="E699" s="30"/>
      <c r="F699" s="30"/>
      <c r="G699" s="31"/>
      <c r="H699" s="30"/>
      <c r="I699" s="31"/>
      <c r="J699" s="30"/>
    </row>
    <row r="700">
      <c r="A700" s="116"/>
      <c r="B700" s="117"/>
      <c r="C700" s="123"/>
      <c r="D700" s="29"/>
      <c r="E700" s="30"/>
      <c r="F700" s="30"/>
      <c r="G700" s="31"/>
      <c r="H700" s="30"/>
      <c r="I700" s="31"/>
      <c r="J700" s="30"/>
    </row>
    <row r="701">
      <c r="A701" s="121"/>
      <c r="B701" s="117"/>
      <c r="C701" s="123"/>
      <c r="D701" s="29"/>
      <c r="E701" s="30"/>
      <c r="F701" s="30"/>
      <c r="G701" s="31"/>
      <c r="H701" s="30"/>
      <c r="I701" s="31"/>
      <c r="J701" s="30"/>
    </row>
    <row r="702">
      <c r="A702" s="116"/>
      <c r="B702" s="117"/>
      <c r="C702" s="123"/>
      <c r="D702" s="29"/>
      <c r="E702" s="30"/>
      <c r="F702" s="30"/>
      <c r="G702" s="31"/>
      <c r="H702" s="30"/>
      <c r="I702" s="31"/>
      <c r="J702" s="30"/>
    </row>
    <row r="703">
      <c r="A703" s="121"/>
      <c r="B703" s="117"/>
      <c r="C703" s="123"/>
      <c r="D703" s="29"/>
      <c r="E703" s="30"/>
      <c r="F703" s="30"/>
      <c r="G703" s="31"/>
      <c r="H703" s="30"/>
      <c r="I703" s="31"/>
      <c r="J703" s="30"/>
    </row>
    <row r="704">
      <c r="A704" s="116"/>
      <c r="B704" s="117"/>
      <c r="C704" s="123"/>
      <c r="D704" s="29"/>
      <c r="E704" s="30"/>
      <c r="F704" s="30"/>
      <c r="G704" s="31"/>
      <c r="H704" s="30"/>
      <c r="I704" s="31"/>
      <c r="J704" s="30"/>
    </row>
    <row r="705">
      <c r="A705" s="116"/>
      <c r="B705" s="117"/>
      <c r="C705" s="123"/>
      <c r="D705" s="29"/>
      <c r="E705" s="30"/>
      <c r="F705" s="30"/>
      <c r="G705" s="31"/>
      <c r="H705" s="30"/>
      <c r="I705" s="31"/>
      <c r="J705" s="30"/>
    </row>
    <row r="706">
      <c r="A706" s="116"/>
      <c r="B706" s="117"/>
      <c r="C706" s="123"/>
      <c r="D706" s="29"/>
      <c r="E706" s="30"/>
      <c r="F706" s="30"/>
      <c r="G706" s="31"/>
      <c r="H706" s="30"/>
      <c r="I706" s="31"/>
      <c r="J706" s="30"/>
    </row>
    <row r="707">
      <c r="A707" s="116"/>
      <c r="B707" s="117"/>
      <c r="C707" s="123"/>
      <c r="D707" s="29"/>
      <c r="E707" s="30"/>
      <c r="F707" s="30"/>
      <c r="G707" s="31"/>
      <c r="H707" s="30"/>
      <c r="I707" s="31"/>
      <c r="J707" s="30"/>
    </row>
    <row r="708">
      <c r="A708" s="116"/>
      <c r="B708" s="117"/>
      <c r="C708" s="123"/>
      <c r="D708" s="29"/>
      <c r="E708" s="30"/>
      <c r="F708" s="30"/>
      <c r="G708" s="31"/>
      <c r="H708" s="30"/>
      <c r="I708" s="31"/>
      <c r="J708" s="30"/>
    </row>
    <row r="709">
      <c r="A709" s="116"/>
      <c r="B709" s="117"/>
      <c r="C709" s="123"/>
      <c r="D709" s="29"/>
      <c r="E709" s="30"/>
      <c r="F709" s="30"/>
      <c r="G709" s="31"/>
      <c r="H709" s="30"/>
      <c r="I709" s="31"/>
      <c r="J709" s="30"/>
    </row>
    <row r="710">
      <c r="A710" s="116"/>
      <c r="B710" s="117"/>
      <c r="C710" s="123"/>
      <c r="D710" s="29"/>
      <c r="E710" s="30"/>
      <c r="F710" s="30"/>
      <c r="G710" s="31"/>
      <c r="H710" s="30"/>
      <c r="I710" s="31"/>
      <c r="J710" s="30"/>
    </row>
    <row r="711">
      <c r="A711" s="116"/>
      <c r="B711" s="117"/>
      <c r="C711" s="123"/>
      <c r="D711" s="29"/>
      <c r="E711" s="30"/>
      <c r="F711" s="30"/>
      <c r="G711" s="31"/>
      <c r="H711" s="30"/>
      <c r="I711" s="31"/>
      <c r="J711" s="30"/>
    </row>
    <row r="712">
      <c r="A712" s="121"/>
      <c r="B712" s="117"/>
      <c r="C712" s="123"/>
      <c r="D712" s="29"/>
      <c r="E712" s="30"/>
      <c r="F712" s="30"/>
      <c r="G712" s="31"/>
      <c r="H712" s="30"/>
      <c r="I712" s="31"/>
      <c r="J712" s="30"/>
    </row>
    <row r="713">
      <c r="A713" s="116"/>
      <c r="B713" s="117"/>
      <c r="C713" s="123"/>
      <c r="D713" s="29"/>
      <c r="E713" s="30"/>
      <c r="F713" s="30"/>
      <c r="G713" s="31"/>
      <c r="H713" s="30"/>
      <c r="I713" s="31"/>
      <c r="J713" s="30"/>
    </row>
    <row r="714">
      <c r="A714" s="116"/>
      <c r="B714" s="117"/>
      <c r="C714" s="123"/>
      <c r="D714" s="29"/>
      <c r="E714" s="30"/>
      <c r="F714" s="30"/>
      <c r="G714" s="31"/>
      <c r="H714" s="30"/>
      <c r="I714" s="31"/>
      <c r="J714" s="30"/>
    </row>
    <row r="715">
      <c r="A715" s="116"/>
      <c r="B715" s="117"/>
      <c r="C715" s="123"/>
      <c r="D715" s="29"/>
      <c r="E715" s="30"/>
      <c r="F715" s="30"/>
      <c r="G715" s="31"/>
      <c r="H715" s="30"/>
      <c r="I715" s="31"/>
      <c r="J715" s="30"/>
    </row>
    <row r="716">
      <c r="A716" s="116"/>
      <c r="B716" s="117"/>
      <c r="C716" s="123"/>
      <c r="D716" s="29"/>
      <c r="E716" s="30"/>
      <c r="F716" s="30"/>
      <c r="G716" s="31"/>
      <c r="H716" s="30"/>
      <c r="I716" s="31"/>
      <c r="J716" s="30"/>
    </row>
    <row r="717">
      <c r="A717" s="116"/>
      <c r="B717" s="117"/>
      <c r="C717" s="123"/>
      <c r="D717" s="29"/>
      <c r="E717" s="30"/>
      <c r="F717" s="30"/>
      <c r="G717" s="31"/>
      <c r="H717" s="30"/>
      <c r="I717" s="31"/>
      <c r="J717" s="30"/>
    </row>
    <row r="718">
      <c r="A718" s="116"/>
      <c r="B718" s="117"/>
      <c r="C718" s="123"/>
      <c r="D718" s="29"/>
      <c r="E718" s="30"/>
      <c r="F718" s="30"/>
      <c r="G718" s="31"/>
      <c r="H718" s="30"/>
      <c r="I718" s="31"/>
      <c r="J718" s="30"/>
    </row>
    <row r="719">
      <c r="A719" s="116"/>
      <c r="B719" s="117"/>
      <c r="C719" s="123"/>
      <c r="D719" s="29"/>
      <c r="E719" s="30"/>
      <c r="F719" s="30"/>
      <c r="G719" s="31"/>
      <c r="H719" s="30"/>
      <c r="I719" s="31"/>
      <c r="J719" s="30"/>
    </row>
    <row r="720">
      <c r="A720" s="116"/>
      <c r="B720" s="117"/>
      <c r="C720" s="123"/>
      <c r="D720" s="29"/>
      <c r="E720" s="30"/>
      <c r="F720" s="30"/>
      <c r="G720" s="31"/>
      <c r="H720" s="30"/>
      <c r="I720" s="31"/>
      <c r="J720" s="30"/>
    </row>
    <row r="721">
      <c r="A721" s="116"/>
      <c r="B721" s="117"/>
      <c r="C721" s="123"/>
      <c r="D721" s="29"/>
      <c r="E721" s="30"/>
      <c r="F721" s="30"/>
      <c r="G721" s="31"/>
      <c r="H721" s="30"/>
      <c r="I721" s="31"/>
      <c r="J721" s="30"/>
    </row>
    <row r="722">
      <c r="A722" s="116"/>
      <c r="B722" s="117"/>
      <c r="C722" s="123"/>
      <c r="D722" s="29"/>
      <c r="E722" s="30"/>
      <c r="F722" s="30"/>
      <c r="G722" s="31"/>
      <c r="H722" s="30"/>
      <c r="I722" s="31"/>
      <c r="J722" s="30"/>
    </row>
    <row r="723">
      <c r="A723" s="121"/>
      <c r="B723" s="117"/>
      <c r="C723" s="123"/>
      <c r="D723" s="29"/>
      <c r="E723" s="30"/>
      <c r="F723" s="30"/>
      <c r="G723" s="31"/>
      <c r="H723" s="30"/>
      <c r="I723" s="31"/>
      <c r="J723" s="30"/>
    </row>
    <row r="724">
      <c r="A724" s="121"/>
      <c r="B724" s="117"/>
      <c r="C724" s="123"/>
      <c r="D724" s="29"/>
      <c r="E724" s="30"/>
      <c r="F724" s="30"/>
      <c r="G724" s="31"/>
      <c r="H724" s="30"/>
      <c r="I724" s="31"/>
      <c r="J724" s="30"/>
    </row>
    <row r="725">
      <c r="A725" s="121"/>
      <c r="B725" s="117"/>
      <c r="C725" s="123"/>
      <c r="D725" s="29"/>
      <c r="E725" s="30"/>
      <c r="F725" s="30"/>
      <c r="G725" s="31"/>
      <c r="H725" s="30"/>
      <c r="I725" s="31"/>
      <c r="J725" s="30"/>
    </row>
    <row r="726">
      <c r="A726" s="121"/>
      <c r="B726" s="117"/>
      <c r="C726" s="123"/>
      <c r="D726" s="29"/>
      <c r="E726" s="30"/>
      <c r="F726" s="30"/>
      <c r="G726" s="31"/>
      <c r="H726" s="30"/>
      <c r="I726" s="31"/>
      <c r="J726" s="30"/>
    </row>
    <row r="727">
      <c r="A727" s="121"/>
      <c r="B727" s="117"/>
      <c r="C727" s="123"/>
      <c r="D727" s="29"/>
      <c r="E727" s="30"/>
      <c r="F727" s="30"/>
      <c r="G727" s="31"/>
      <c r="H727" s="30"/>
      <c r="I727" s="31"/>
      <c r="J727" s="30"/>
    </row>
    <row r="728">
      <c r="A728" s="121"/>
      <c r="B728" s="117"/>
      <c r="C728" s="123"/>
      <c r="D728" s="29"/>
      <c r="E728" s="30"/>
      <c r="F728" s="30"/>
      <c r="G728" s="31"/>
      <c r="H728" s="30"/>
      <c r="I728" s="31"/>
      <c r="J728" s="30"/>
    </row>
    <row r="729">
      <c r="A729" s="121"/>
      <c r="B729" s="117"/>
      <c r="C729" s="123"/>
      <c r="D729" s="29"/>
      <c r="E729" s="30"/>
      <c r="F729" s="30"/>
      <c r="G729" s="31"/>
      <c r="H729" s="30"/>
      <c r="I729" s="31"/>
      <c r="J729" s="30"/>
    </row>
    <row r="730">
      <c r="A730" s="121"/>
      <c r="B730" s="117"/>
      <c r="C730" s="123"/>
      <c r="D730" s="29"/>
      <c r="E730" s="30"/>
      <c r="F730" s="30"/>
      <c r="G730" s="31"/>
      <c r="H730" s="30"/>
      <c r="I730" s="31"/>
      <c r="J730" s="30"/>
    </row>
    <row r="731">
      <c r="A731" s="121"/>
      <c r="B731" s="117"/>
      <c r="C731" s="123"/>
      <c r="D731" s="29"/>
      <c r="E731" s="30"/>
      <c r="F731" s="30"/>
      <c r="G731" s="31"/>
      <c r="H731" s="30"/>
      <c r="I731" s="31"/>
      <c r="J731" s="30"/>
    </row>
    <row r="732">
      <c r="A732" s="121"/>
      <c r="B732" s="117"/>
      <c r="C732" s="123"/>
      <c r="D732" s="29"/>
      <c r="E732" s="30"/>
      <c r="F732" s="30"/>
      <c r="G732" s="31"/>
      <c r="H732" s="30"/>
      <c r="I732" s="31"/>
      <c r="J732" s="30"/>
    </row>
    <row r="733">
      <c r="A733" s="116"/>
      <c r="B733" s="117"/>
      <c r="C733" s="123"/>
      <c r="D733" s="29"/>
      <c r="E733" s="30"/>
      <c r="F733" s="30"/>
      <c r="G733" s="31"/>
      <c r="H733" s="30"/>
      <c r="I733" s="31"/>
      <c r="J733" s="30"/>
    </row>
    <row r="734">
      <c r="A734" s="116"/>
      <c r="B734" s="117"/>
      <c r="C734" s="123"/>
      <c r="D734" s="29"/>
      <c r="E734" s="30"/>
      <c r="F734" s="30"/>
      <c r="G734" s="31"/>
      <c r="H734" s="30"/>
      <c r="I734" s="31"/>
      <c r="J734" s="30"/>
    </row>
    <row r="735">
      <c r="A735" s="116"/>
      <c r="B735" s="117"/>
      <c r="C735" s="123"/>
      <c r="D735" s="29"/>
      <c r="E735" s="30"/>
      <c r="F735" s="30"/>
      <c r="G735" s="31"/>
      <c r="H735" s="30"/>
      <c r="I735" s="31"/>
      <c r="J735" s="30"/>
    </row>
    <row r="736">
      <c r="A736" s="116"/>
      <c r="B736" s="117"/>
      <c r="C736" s="123"/>
      <c r="D736" s="29"/>
      <c r="E736" s="30"/>
      <c r="F736" s="30"/>
      <c r="G736" s="31"/>
      <c r="H736" s="30"/>
      <c r="I736" s="31"/>
      <c r="J736" s="30"/>
    </row>
    <row r="737">
      <c r="A737" s="116"/>
      <c r="B737" s="117"/>
      <c r="C737" s="123"/>
      <c r="D737" s="29"/>
      <c r="E737" s="30"/>
      <c r="F737" s="30"/>
      <c r="G737" s="31"/>
      <c r="H737" s="30"/>
      <c r="I737" s="31"/>
      <c r="J737" s="30"/>
    </row>
    <row r="738">
      <c r="A738" s="125"/>
      <c r="B738" s="117"/>
      <c r="C738" s="126"/>
      <c r="D738" s="29"/>
      <c r="E738" s="30"/>
      <c r="F738" s="30"/>
      <c r="G738" s="31"/>
      <c r="H738" s="30"/>
      <c r="I738" s="31"/>
      <c r="J738" s="30"/>
    </row>
    <row r="739">
      <c r="A739" s="125"/>
      <c r="B739" s="117"/>
      <c r="C739" s="126"/>
      <c r="D739" s="29"/>
      <c r="E739" s="30"/>
      <c r="F739" s="30"/>
      <c r="G739" s="31"/>
      <c r="H739" s="30"/>
      <c r="I739" s="31"/>
      <c r="J739" s="30"/>
    </row>
    <row r="740">
      <c r="A740" s="125"/>
      <c r="B740" s="117"/>
      <c r="C740" s="126"/>
      <c r="D740" s="29"/>
      <c r="E740" s="30"/>
      <c r="F740" s="30"/>
      <c r="G740" s="31"/>
      <c r="H740" s="30"/>
      <c r="I740" s="31"/>
      <c r="J740" s="30"/>
    </row>
    <row r="741">
      <c r="A741" s="125"/>
      <c r="B741" s="117"/>
      <c r="C741" s="126"/>
      <c r="D741" s="29"/>
      <c r="E741" s="30"/>
      <c r="F741" s="30"/>
      <c r="G741" s="31"/>
      <c r="H741" s="30"/>
      <c r="I741" s="31"/>
      <c r="J741" s="30"/>
    </row>
    <row r="742">
      <c r="A742" s="125"/>
      <c r="B742" s="117"/>
      <c r="C742" s="126"/>
      <c r="D742" s="29"/>
      <c r="E742" s="30"/>
      <c r="F742" s="30"/>
      <c r="G742" s="31"/>
      <c r="H742" s="30"/>
      <c r="I742" s="31"/>
      <c r="J742" s="30"/>
    </row>
    <row r="743">
      <c r="A743" s="125"/>
      <c r="B743" s="117"/>
      <c r="C743" s="126"/>
      <c r="D743" s="29"/>
      <c r="E743" s="30"/>
      <c r="F743" s="30"/>
      <c r="G743" s="31"/>
      <c r="H743" s="30"/>
      <c r="I743" s="31"/>
      <c r="J743" s="30"/>
    </row>
    <row r="744">
      <c r="A744" s="127"/>
      <c r="B744" s="117"/>
      <c r="C744" s="128"/>
      <c r="D744" s="29"/>
      <c r="E744" s="30"/>
      <c r="F744" s="30"/>
      <c r="G744" s="31"/>
      <c r="H744" s="30"/>
      <c r="I744" s="31"/>
      <c r="J744" s="30"/>
    </row>
    <row r="745">
      <c r="A745" s="127"/>
      <c r="B745" s="117"/>
      <c r="C745" s="128"/>
      <c r="D745" s="29"/>
      <c r="E745" s="30"/>
      <c r="F745" s="30"/>
      <c r="G745" s="31"/>
      <c r="H745" s="30"/>
      <c r="I745" s="31"/>
      <c r="J745" s="30"/>
    </row>
    <row r="746">
      <c r="A746" s="127"/>
      <c r="B746" s="117"/>
      <c r="C746" s="128"/>
      <c r="D746" s="29"/>
      <c r="E746" s="30"/>
      <c r="F746" s="30"/>
      <c r="G746" s="31"/>
      <c r="H746" s="30"/>
      <c r="I746" s="31"/>
      <c r="J746" s="30"/>
    </row>
    <row r="747">
      <c r="A747" s="127"/>
      <c r="B747" s="117"/>
      <c r="C747" s="128"/>
      <c r="D747" s="29"/>
      <c r="E747" s="30"/>
      <c r="F747" s="30"/>
      <c r="G747" s="31"/>
      <c r="H747" s="30"/>
      <c r="I747" s="31"/>
      <c r="J747" s="30"/>
    </row>
    <row r="748">
      <c r="A748" s="129"/>
      <c r="B748" s="117"/>
      <c r="C748" s="128"/>
      <c r="D748" s="29"/>
      <c r="E748" s="30"/>
      <c r="F748" s="30"/>
      <c r="G748" s="31"/>
      <c r="H748" s="30"/>
      <c r="I748" s="31"/>
      <c r="J748" s="30"/>
    </row>
    <row r="749">
      <c r="A749" s="129"/>
      <c r="B749" s="117"/>
      <c r="C749" s="130"/>
      <c r="D749" s="29"/>
      <c r="E749" s="30"/>
      <c r="F749" s="30"/>
      <c r="G749" s="31"/>
      <c r="H749" s="30"/>
      <c r="I749" s="31"/>
      <c r="J749" s="30"/>
    </row>
    <row r="750">
      <c r="A750" s="129"/>
      <c r="B750" s="117"/>
      <c r="C750" s="130"/>
      <c r="D750" s="29"/>
      <c r="E750" s="30"/>
      <c r="F750" s="30"/>
      <c r="G750" s="31"/>
      <c r="H750" s="30"/>
      <c r="I750" s="31"/>
      <c r="J750" s="30"/>
    </row>
    <row r="751">
      <c r="A751" s="129"/>
      <c r="B751" s="117"/>
      <c r="C751" s="130"/>
      <c r="D751" s="29"/>
      <c r="E751" s="30"/>
      <c r="F751" s="30"/>
      <c r="G751" s="31"/>
      <c r="H751" s="30"/>
      <c r="I751" s="31"/>
      <c r="J751" s="30"/>
    </row>
    <row r="752">
      <c r="A752" s="129"/>
      <c r="B752" s="117"/>
      <c r="C752" s="130"/>
      <c r="D752" s="29"/>
      <c r="E752" s="30"/>
      <c r="F752" s="30"/>
      <c r="G752" s="31"/>
      <c r="H752" s="30"/>
      <c r="I752" s="31"/>
      <c r="J752" s="30"/>
    </row>
    <row r="753">
      <c r="A753" s="129"/>
      <c r="B753" s="117"/>
      <c r="C753" s="130"/>
      <c r="D753" s="29"/>
      <c r="E753" s="30"/>
      <c r="F753" s="30"/>
      <c r="G753" s="31"/>
      <c r="H753" s="30"/>
      <c r="I753" s="31"/>
      <c r="J753" s="30"/>
    </row>
    <row r="754">
      <c r="A754" s="127"/>
      <c r="B754" s="117"/>
      <c r="C754" s="130"/>
      <c r="D754" s="29"/>
      <c r="E754" s="30"/>
      <c r="F754" s="30"/>
      <c r="G754" s="31"/>
      <c r="H754" s="30"/>
      <c r="I754" s="31"/>
      <c r="J754" s="30"/>
    </row>
    <row r="755">
      <c r="A755" s="129"/>
      <c r="B755" s="117"/>
      <c r="C755" s="130"/>
      <c r="D755" s="29"/>
      <c r="E755" s="30"/>
      <c r="F755" s="30"/>
      <c r="G755" s="31"/>
      <c r="H755" s="30"/>
      <c r="I755" s="31"/>
      <c r="J755" s="30"/>
    </row>
    <row r="756">
      <c r="A756" s="129"/>
      <c r="B756" s="117"/>
      <c r="C756" s="130"/>
      <c r="D756" s="29"/>
      <c r="E756" s="30"/>
      <c r="F756" s="30"/>
      <c r="G756" s="31"/>
      <c r="H756" s="30"/>
      <c r="I756" s="31"/>
      <c r="J756" s="30"/>
    </row>
    <row r="757">
      <c r="A757" s="129"/>
      <c r="B757" s="117"/>
      <c r="C757" s="130"/>
      <c r="D757" s="29"/>
      <c r="E757" s="30"/>
      <c r="F757" s="30"/>
      <c r="G757" s="31"/>
      <c r="H757" s="30"/>
      <c r="I757" s="31"/>
      <c r="J757" s="30"/>
    </row>
    <row r="758">
      <c r="A758" s="129"/>
      <c r="B758" s="117"/>
      <c r="C758" s="128"/>
      <c r="D758" s="29"/>
      <c r="E758" s="30"/>
      <c r="F758" s="30"/>
      <c r="G758" s="31"/>
      <c r="H758" s="30"/>
      <c r="I758" s="31"/>
      <c r="J758" s="30"/>
    </row>
    <row r="759">
      <c r="A759" s="129"/>
      <c r="B759" s="117"/>
      <c r="C759" s="128"/>
      <c r="D759" s="29"/>
      <c r="E759" s="30"/>
      <c r="F759" s="30"/>
      <c r="G759" s="31"/>
      <c r="H759" s="30"/>
      <c r="I759" s="31"/>
      <c r="J759" s="30"/>
    </row>
    <row r="760">
      <c r="A760" s="127"/>
      <c r="B760" s="117"/>
      <c r="C760" s="128"/>
      <c r="D760" s="29"/>
      <c r="E760" s="30"/>
      <c r="F760" s="30"/>
      <c r="G760" s="31"/>
      <c r="H760" s="30"/>
      <c r="I760" s="31"/>
      <c r="J760" s="30"/>
    </row>
    <row r="761">
      <c r="A761" s="127"/>
      <c r="B761" s="117"/>
      <c r="C761" s="128"/>
      <c r="D761" s="29"/>
      <c r="E761" s="30"/>
      <c r="F761" s="30"/>
      <c r="G761" s="31"/>
      <c r="H761" s="30"/>
      <c r="I761" s="31"/>
      <c r="J761" s="30"/>
    </row>
    <row r="762">
      <c r="A762" s="127"/>
      <c r="B762" s="117"/>
      <c r="C762" s="128"/>
      <c r="D762" s="29"/>
      <c r="E762" s="30"/>
      <c r="F762" s="30"/>
      <c r="G762" s="31"/>
      <c r="H762" s="30"/>
      <c r="I762" s="31"/>
      <c r="J762" s="30"/>
    </row>
    <row r="763">
      <c r="A763" s="129"/>
      <c r="B763" s="117"/>
      <c r="C763" s="128"/>
      <c r="D763" s="29"/>
      <c r="E763" s="30"/>
      <c r="F763" s="30"/>
      <c r="G763" s="31"/>
      <c r="H763" s="30"/>
      <c r="I763" s="31"/>
      <c r="J763" s="30"/>
    </row>
    <row r="764">
      <c r="A764" s="129"/>
      <c r="B764" s="117"/>
      <c r="C764" s="128"/>
      <c r="D764" s="29"/>
      <c r="E764" s="30"/>
      <c r="F764" s="30"/>
      <c r="G764" s="31"/>
      <c r="H764" s="30"/>
      <c r="I764" s="31"/>
      <c r="J764" s="30"/>
    </row>
    <row r="765">
      <c r="A765" s="129"/>
      <c r="B765" s="117"/>
      <c r="C765" s="128"/>
      <c r="D765" s="29"/>
      <c r="E765" s="30"/>
      <c r="F765" s="30"/>
      <c r="G765" s="31"/>
      <c r="H765" s="30"/>
      <c r="I765" s="31"/>
      <c r="J765" s="30"/>
    </row>
    <row r="766">
      <c r="A766" s="129"/>
      <c r="B766" s="117"/>
      <c r="C766" s="128"/>
      <c r="D766" s="29"/>
      <c r="E766" s="30"/>
      <c r="F766" s="30"/>
      <c r="G766" s="31"/>
      <c r="H766" s="30"/>
      <c r="I766" s="31"/>
      <c r="J766" s="30"/>
    </row>
    <row r="767">
      <c r="A767" s="129"/>
      <c r="B767" s="117"/>
      <c r="C767" s="128"/>
      <c r="D767" s="29"/>
      <c r="E767" s="30"/>
      <c r="F767" s="30"/>
      <c r="G767" s="31"/>
      <c r="H767" s="30"/>
      <c r="I767" s="31"/>
      <c r="J767" s="30"/>
    </row>
    <row r="768">
      <c r="A768" s="129"/>
      <c r="B768" s="117"/>
      <c r="C768" s="128"/>
      <c r="D768" s="29"/>
      <c r="E768" s="30"/>
      <c r="F768" s="30"/>
      <c r="G768" s="31"/>
      <c r="H768" s="30"/>
      <c r="I768" s="31"/>
      <c r="J768" s="30"/>
    </row>
    <row r="769">
      <c r="A769" s="129"/>
      <c r="B769" s="117"/>
      <c r="C769" s="128"/>
      <c r="D769" s="29"/>
      <c r="E769" s="30"/>
      <c r="F769" s="30"/>
      <c r="G769" s="31"/>
      <c r="H769" s="30"/>
      <c r="I769" s="31"/>
      <c r="J769" s="30"/>
    </row>
    <row r="770">
      <c r="A770" s="129"/>
      <c r="B770" s="117"/>
      <c r="C770" s="128"/>
      <c r="D770" s="29"/>
      <c r="E770" s="30"/>
      <c r="F770" s="30"/>
      <c r="G770" s="31"/>
      <c r="H770" s="30"/>
      <c r="I770" s="31"/>
      <c r="J770" s="30"/>
    </row>
    <row r="771">
      <c r="A771" s="129"/>
      <c r="B771" s="117"/>
      <c r="C771" s="128"/>
      <c r="D771" s="29"/>
      <c r="E771" s="30"/>
      <c r="F771" s="30"/>
      <c r="G771" s="31"/>
      <c r="H771" s="30"/>
      <c r="I771" s="31"/>
      <c r="J771" s="30"/>
    </row>
    <row r="772">
      <c r="A772" s="129"/>
      <c r="B772" s="117"/>
      <c r="C772" s="128"/>
      <c r="D772" s="29"/>
      <c r="E772" s="30"/>
      <c r="F772" s="30"/>
      <c r="G772" s="31"/>
      <c r="H772" s="30"/>
      <c r="I772" s="31"/>
      <c r="J772" s="30"/>
    </row>
    <row r="773">
      <c r="A773" s="129"/>
      <c r="B773" s="117"/>
      <c r="C773" s="128"/>
      <c r="D773" s="29"/>
      <c r="E773" s="30"/>
      <c r="F773" s="30"/>
      <c r="G773" s="31"/>
      <c r="H773" s="30"/>
      <c r="I773" s="31"/>
      <c r="J773" s="30"/>
    </row>
    <row r="774">
      <c r="A774" s="129"/>
      <c r="B774" s="117"/>
      <c r="C774" s="128"/>
      <c r="D774" s="29"/>
      <c r="E774" s="30"/>
      <c r="F774" s="30"/>
      <c r="G774" s="31"/>
      <c r="H774" s="30"/>
      <c r="I774" s="31"/>
      <c r="J774" s="30"/>
    </row>
    <row r="775">
      <c r="A775" s="129"/>
      <c r="B775" s="117"/>
      <c r="C775" s="128"/>
      <c r="D775" s="29"/>
      <c r="E775" s="30"/>
      <c r="F775" s="30"/>
      <c r="G775" s="31"/>
      <c r="H775" s="30"/>
      <c r="I775" s="31"/>
      <c r="J775" s="30"/>
    </row>
    <row r="776">
      <c r="A776" s="129"/>
      <c r="B776" s="117"/>
      <c r="C776" s="128"/>
      <c r="D776" s="29"/>
      <c r="E776" s="30"/>
      <c r="F776" s="30"/>
      <c r="G776" s="31"/>
      <c r="H776" s="30"/>
      <c r="I776" s="31"/>
      <c r="J776" s="30"/>
    </row>
    <row r="777">
      <c r="A777" s="129"/>
      <c r="B777" s="117"/>
      <c r="C777" s="128"/>
      <c r="D777" s="29"/>
      <c r="E777" s="30"/>
      <c r="F777" s="30"/>
      <c r="G777" s="31"/>
      <c r="H777" s="30"/>
      <c r="I777" s="31"/>
      <c r="J777" s="30"/>
    </row>
    <row r="778">
      <c r="A778" s="129"/>
      <c r="B778" s="117"/>
      <c r="C778" s="128"/>
      <c r="D778" s="29"/>
      <c r="E778" s="30"/>
      <c r="F778" s="30"/>
      <c r="G778" s="31"/>
      <c r="H778" s="30"/>
      <c r="I778" s="31"/>
      <c r="J778" s="30"/>
    </row>
    <row r="779">
      <c r="A779" s="129"/>
      <c r="B779" s="117"/>
      <c r="C779" s="128"/>
      <c r="D779" s="29"/>
      <c r="E779" s="30"/>
      <c r="F779" s="30"/>
      <c r="G779" s="31"/>
      <c r="H779" s="30"/>
      <c r="I779" s="31"/>
      <c r="J779" s="30"/>
    </row>
    <row r="780">
      <c r="A780" s="129"/>
      <c r="B780" s="117"/>
      <c r="C780" s="128"/>
      <c r="D780" s="29"/>
      <c r="E780" s="30"/>
      <c r="F780" s="30"/>
      <c r="G780" s="31"/>
      <c r="H780" s="30"/>
      <c r="I780" s="31"/>
      <c r="J780" s="30"/>
    </row>
    <row r="781">
      <c r="A781" s="129"/>
      <c r="B781" s="117"/>
      <c r="C781" s="128"/>
      <c r="D781" s="29"/>
      <c r="E781" s="30"/>
      <c r="F781" s="30"/>
      <c r="G781" s="31"/>
      <c r="H781" s="30"/>
      <c r="I781" s="31"/>
      <c r="J781" s="30"/>
    </row>
    <row r="782">
      <c r="A782" s="129"/>
      <c r="B782" s="117"/>
      <c r="C782" s="128"/>
      <c r="D782" s="29"/>
      <c r="E782" s="30"/>
      <c r="F782" s="30"/>
      <c r="G782" s="31"/>
      <c r="H782" s="30"/>
      <c r="I782" s="31"/>
      <c r="J782" s="30"/>
    </row>
    <row r="783">
      <c r="A783" s="129"/>
      <c r="B783" s="117"/>
      <c r="C783" s="128"/>
      <c r="D783" s="29"/>
      <c r="E783" s="30"/>
      <c r="F783" s="30"/>
      <c r="G783" s="31"/>
      <c r="H783" s="30"/>
      <c r="I783" s="31"/>
      <c r="J783" s="30"/>
    </row>
    <row r="784">
      <c r="A784" s="129"/>
      <c r="B784" s="117"/>
      <c r="C784" s="128"/>
      <c r="D784" s="29"/>
      <c r="E784" s="30"/>
      <c r="F784" s="30"/>
      <c r="G784" s="31"/>
      <c r="H784" s="30"/>
      <c r="I784" s="31"/>
      <c r="J784" s="30"/>
    </row>
    <row r="785">
      <c r="A785" s="129"/>
      <c r="B785" s="117"/>
      <c r="C785" s="128"/>
      <c r="D785" s="29"/>
      <c r="E785" s="30"/>
      <c r="F785" s="30"/>
      <c r="G785" s="31"/>
      <c r="H785" s="30"/>
      <c r="I785" s="31"/>
      <c r="J785" s="30"/>
    </row>
    <row r="786">
      <c r="A786" s="129"/>
      <c r="B786" s="117"/>
      <c r="C786" s="128"/>
      <c r="D786" s="29"/>
      <c r="E786" s="30"/>
      <c r="F786" s="30"/>
      <c r="G786" s="31"/>
      <c r="H786" s="30"/>
      <c r="I786" s="31"/>
      <c r="J786" s="30"/>
    </row>
    <row r="787">
      <c r="A787" s="129"/>
      <c r="B787" s="117"/>
      <c r="C787" s="128"/>
      <c r="D787" s="29"/>
      <c r="E787" s="30"/>
      <c r="F787" s="30"/>
      <c r="G787" s="31"/>
      <c r="H787" s="30"/>
      <c r="I787" s="31"/>
      <c r="J787" s="30"/>
    </row>
    <row r="788">
      <c r="A788" s="129"/>
      <c r="B788" s="117"/>
      <c r="C788" s="128"/>
      <c r="D788" s="29"/>
      <c r="E788" s="30"/>
      <c r="F788" s="30"/>
      <c r="G788" s="31"/>
      <c r="H788" s="30"/>
      <c r="I788" s="31"/>
      <c r="J788" s="30"/>
    </row>
    <row r="789">
      <c r="A789" s="129"/>
      <c r="B789" s="117"/>
      <c r="C789" s="128"/>
      <c r="D789" s="29"/>
      <c r="E789" s="30"/>
      <c r="F789" s="30"/>
      <c r="G789" s="31"/>
      <c r="H789" s="30"/>
      <c r="I789" s="31"/>
      <c r="J789" s="30"/>
    </row>
    <row r="790">
      <c r="A790" s="129"/>
      <c r="B790" s="117"/>
      <c r="C790" s="128"/>
      <c r="D790" s="29"/>
      <c r="E790" s="30"/>
      <c r="F790" s="30"/>
      <c r="G790" s="31"/>
      <c r="H790" s="30"/>
      <c r="I790" s="31"/>
      <c r="J790" s="30"/>
    </row>
    <row r="791">
      <c r="A791" s="129"/>
      <c r="B791" s="117"/>
      <c r="C791" s="128"/>
      <c r="D791" s="29"/>
      <c r="E791" s="30"/>
      <c r="F791" s="30"/>
      <c r="G791" s="31"/>
      <c r="H791" s="30"/>
      <c r="I791" s="31"/>
      <c r="J791" s="30"/>
    </row>
    <row r="792">
      <c r="A792" s="129"/>
      <c r="B792" s="117"/>
      <c r="C792" s="128"/>
      <c r="D792" s="29"/>
      <c r="E792" s="30"/>
      <c r="F792" s="30"/>
      <c r="G792" s="31"/>
      <c r="H792" s="30"/>
      <c r="I792" s="31"/>
      <c r="J792" s="30"/>
    </row>
    <row r="793">
      <c r="A793" s="129"/>
      <c r="B793" s="117"/>
      <c r="C793" s="128"/>
      <c r="D793" s="29"/>
      <c r="E793" s="30"/>
      <c r="F793" s="30"/>
      <c r="G793" s="31"/>
      <c r="H793" s="30"/>
      <c r="I793" s="31"/>
      <c r="J793" s="30"/>
    </row>
    <row r="794">
      <c r="A794" s="129"/>
      <c r="B794" s="117"/>
      <c r="C794" s="128"/>
      <c r="D794" s="29"/>
      <c r="E794" s="30"/>
      <c r="F794" s="30"/>
      <c r="G794" s="31"/>
      <c r="H794" s="30"/>
      <c r="I794" s="31"/>
      <c r="J794" s="30"/>
    </row>
    <row r="795">
      <c r="A795" s="129"/>
      <c r="B795" s="117"/>
      <c r="C795" s="128"/>
      <c r="D795" s="29"/>
      <c r="E795" s="30"/>
      <c r="F795" s="30"/>
      <c r="G795" s="31"/>
      <c r="H795" s="30"/>
      <c r="I795" s="31"/>
      <c r="J795" s="30"/>
    </row>
    <row r="796">
      <c r="A796" s="129"/>
      <c r="B796" s="117"/>
      <c r="C796" s="128"/>
      <c r="D796" s="29"/>
      <c r="E796" s="30"/>
      <c r="F796" s="30"/>
      <c r="G796" s="31"/>
      <c r="H796" s="30"/>
      <c r="I796" s="31"/>
      <c r="J796" s="30"/>
    </row>
    <row r="797">
      <c r="A797" s="129"/>
      <c r="B797" s="117"/>
      <c r="C797" s="128"/>
      <c r="D797" s="29"/>
      <c r="E797" s="30"/>
      <c r="F797" s="30"/>
      <c r="G797" s="31"/>
      <c r="H797" s="30"/>
      <c r="I797" s="31"/>
      <c r="J797" s="30"/>
    </row>
    <row r="798">
      <c r="A798" s="129"/>
      <c r="B798" s="117"/>
      <c r="C798" s="128"/>
      <c r="D798" s="29"/>
      <c r="E798" s="30"/>
      <c r="F798" s="30"/>
      <c r="G798" s="31"/>
      <c r="H798" s="30"/>
      <c r="I798" s="31"/>
      <c r="J798" s="30"/>
    </row>
    <row r="799">
      <c r="A799" s="129"/>
      <c r="B799" s="117"/>
      <c r="C799" s="128"/>
      <c r="D799" s="29"/>
      <c r="E799" s="30"/>
      <c r="F799" s="30"/>
      <c r="G799" s="31"/>
      <c r="H799" s="30"/>
      <c r="I799" s="31"/>
      <c r="J799" s="30"/>
    </row>
    <row r="800">
      <c r="A800" s="129"/>
      <c r="B800" s="117"/>
      <c r="C800" s="128"/>
      <c r="D800" s="29"/>
      <c r="E800" s="30"/>
      <c r="F800" s="30"/>
      <c r="G800" s="31"/>
      <c r="H800" s="30"/>
      <c r="I800" s="31"/>
      <c r="J800" s="30"/>
    </row>
    <row r="801">
      <c r="A801" s="129"/>
      <c r="B801" s="117"/>
      <c r="C801" s="128"/>
      <c r="D801" s="29"/>
      <c r="E801" s="30"/>
      <c r="F801" s="30"/>
      <c r="G801" s="31"/>
      <c r="H801" s="30"/>
      <c r="I801" s="31"/>
      <c r="J801" s="30"/>
    </row>
    <row r="802">
      <c r="A802" s="129"/>
      <c r="B802" s="117"/>
      <c r="C802" s="128"/>
      <c r="D802" s="29"/>
      <c r="E802" s="30"/>
      <c r="F802" s="30"/>
      <c r="G802" s="31"/>
      <c r="H802" s="30"/>
      <c r="I802" s="31"/>
      <c r="J802" s="30"/>
    </row>
    <row r="803">
      <c r="A803" s="129"/>
      <c r="B803" s="117"/>
      <c r="C803" s="128"/>
      <c r="D803" s="29"/>
      <c r="E803" s="30"/>
      <c r="F803" s="30"/>
      <c r="G803" s="31"/>
      <c r="H803" s="30"/>
      <c r="I803" s="31"/>
      <c r="J803" s="30"/>
    </row>
    <row r="804">
      <c r="A804" s="88"/>
      <c r="B804" s="117"/>
      <c r="C804" s="118"/>
      <c r="D804" s="29"/>
      <c r="E804" s="30"/>
      <c r="F804" s="30"/>
      <c r="G804" s="31"/>
      <c r="H804" s="30"/>
      <c r="I804" s="31"/>
      <c r="J804" s="30"/>
    </row>
    <row r="805">
      <c r="A805" s="82"/>
      <c r="B805" s="117"/>
      <c r="C805" s="118"/>
      <c r="D805" s="29"/>
      <c r="E805" s="30"/>
      <c r="F805" s="30"/>
      <c r="G805" s="31"/>
      <c r="H805" s="30"/>
      <c r="I805" s="31"/>
      <c r="J805" s="30"/>
    </row>
    <row r="806">
      <c r="A806" s="82"/>
      <c r="B806" s="117"/>
      <c r="C806" s="118"/>
      <c r="D806" s="29"/>
      <c r="E806" s="30"/>
      <c r="F806" s="30"/>
      <c r="G806" s="31"/>
      <c r="H806" s="30"/>
      <c r="I806" s="31"/>
      <c r="J806" s="30"/>
    </row>
    <row r="807">
      <c r="A807" s="82"/>
      <c r="B807" s="117"/>
      <c r="C807" s="118"/>
      <c r="D807" s="29"/>
      <c r="E807" s="30"/>
      <c r="F807" s="30"/>
      <c r="G807" s="31"/>
      <c r="H807" s="30"/>
      <c r="I807" s="31"/>
      <c r="J807" s="30"/>
    </row>
    <row r="808">
      <c r="A808" s="88"/>
      <c r="B808" s="117"/>
      <c r="C808" s="118"/>
      <c r="D808" s="29"/>
      <c r="E808" s="30"/>
      <c r="F808" s="30"/>
      <c r="G808" s="31"/>
      <c r="H808" s="30"/>
      <c r="I808" s="31"/>
      <c r="J808" s="30"/>
    </row>
    <row r="809">
      <c r="A809" s="82"/>
      <c r="B809" s="117"/>
      <c r="C809" s="118"/>
      <c r="D809" s="29"/>
      <c r="E809" s="30"/>
      <c r="F809" s="30"/>
      <c r="G809" s="31"/>
      <c r="H809" s="30"/>
      <c r="I809" s="31"/>
      <c r="J809" s="30"/>
    </row>
    <row r="810">
      <c r="A810" s="129"/>
      <c r="B810" s="117"/>
      <c r="C810" s="118"/>
      <c r="D810" s="29"/>
      <c r="E810" s="30"/>
      <c r="F810" s="30"/>
      <c r="G810" s="31"/>
      <c r="H810" s="30"/>
      <c r="I810" s="31"/>
      <c r="J810" s="30"/>
    </row>
    <row r="811">
      <c r="A811" s="129"/>
      <c r="B811" s="117"/>
      <c r="C811" s="118"/>
      <c r="D811" s="29"/>
      <c r="E811" s="30"/>
      <c r="F811" s="30"/>
      <c r="G811" s="31"/>
      <c r="H811" s="30"/>
      <c r="I811" s="31"/>
      <c r="J811" s="30"/>
    </row>
    <row r="812">
      <c r="A812" s="129"/>
      <c r="B812" s="117"/>
      <c r="C812" s="118"/>
      <c r="D812" s="29"/>
      <c r="E812" s="30"/>
      <c r="F812" s="30"/>
      <c r="G812" s="31"/>
      <c r="H812" s="30"/>
      <c r="I812" s="31"/>
      <c r="J812" s="30"/>
    </row>
    <row r="813">
      <c r="A813" s="129"/>
      <c r="B813" s="117"/>
      <c r="C813" s="118"/>
      <c r="D813" s="29"/>
      <c r="E813" s="30"/>
      <c r="F813" s="30"/>
      <c r="G813" s="31"/>
      <c r="H813" s="30"/>
      <c r="I813" s="31"/>
      <c r="J813" s="30"/>
    </row>
    <row r="814">
      <c r="A814" s="129"/>
      <c r="B814" s="117"/>
      <c r="C814" s="118"/>
      <c r="D814" s="29"/>
      <c r="E814" s="30"/>
      <c r="F814" s="30"/>
      <c r="G814" s="31"/>
      <c r="H814" s="30"/>
      <c r="I814" s="31"/>
      <c r="J814" s="30"/>
    </row>
    <row r="815">
      <c r="A815" s="129"/>
      <c r="B815" s="117"/>
      <c r="C815" s="118"/>
      <c r="D815" s="29"/>
      <c r="E815" s="30"/>
      <c r="F815" s="30"/>
      <c r="G815" s="31"/>
      <c r="H815" s="30"/>
      <c r="I815" s="31"/>
      <c r="J815" s="30"/>
    </row>
    <row r="816">
      <c r="A816" s="129"/>
      <c r="B816" s="117"/>
      <c r="C816" s="118"/>
      <c r="D816" s="29"/>
      <c r="E816" s="30"/>
      <c r="F816" s="30"/>
      <c r="G816" s="31"/>
      <c r="H816" s="30"/>
      <c r="I816" s="31"/>
      <c r="J816" s="30"/>
    </row>
    <row r="817">
      <c r="A817" s="129"/>
      <c r="B817" s="117"/>
      <c r="C817" s="118"/>
      <c r="D817" s="29"/>
      <c r="E817" s="30"/>
      <c r="F817" s="30"/>
      <c r="G817" s="31"/>
      <c r="H817" s="30"/>
      <c r="I817" s="31"/>
      <c r="J817" s="30"/>
    </row>
    <row r="818">
      <c r="A818" s="129"/>
      <c r="B818" s="117"/>
      <c r="C818" s="118"/>
      <c r="D818" s="29"/>
      <c r="E818" s="30"/>
      <c r="F818" s="30"/>
      <c r="G818" s="31"/>
      <c r="H818" s="30"/>
      <c r="I818" s="31"/>
      <c r="J818" s="30"/>
    </row>
    <row r="819">
      <c r="A819" s="129"/>
      <c r="B819" s="117"/>
      <c r="C819" s="118"/>
      <c r="D819" s="29"/>
      <c r="E819" s="30"/>
      <c r="F819" s="30"/>
      <c r="G819" s="31"/>
      <c r="H819" s="30"/>
      <c r="I819" s="31"/>
      <c r="J819" s="30"/>
    </row>
    <row r="820">
      <c r="A820" s="129"/>
      <c r="B820" s="117"/>
      <c r="C820" s="118"/>
      <c r="D820" s="29"/>
      <c r="E820" s="30"/>
      <c r="F820" s="30"/>
      <c r="G820" s="31"/>
      <c r="H820" s="30"/>
      <c r="I820" s="31"/>
      <c r="J820" s="30"/>
    </row>
    <row r="821">
      <c r="A821" s="129"/>
      <c r="B821" s="117"/>
      <c r="C821" s="118"/>
      <c r="D821" s="29"/>
      <c r="E821" s="30"/>
      <c r="F821" s="30"/>
      <c r="G821" s="31"/>
      <c r="H821" s="30"/>
      <c r="I821" s="31"/>
      <c r="J821" s="30"/>
    </row>
    <row r="822">
      <c r="A822" s="129"/>
      <c r="B822" s="117"/>
      <c r="C822" s="118"/>
      <c r="D822" s="29"/>
      <c r="E822" s="30"/>
      <c r="F822" s="30"/>
      <c r="G822" s="31"/>
      <c r="H822" s="30"/>
      <c r="I822" s="31"/>
      <c r="J822" s="30"/>
    </row>
    <row r="823">
      <c r="A823" s="129"/>
      <c r="B823" s="117"/>
      <c r="C823" s="118"/>
      <c r="D823" s="29"/>
      <c r="E823" s="30"/>
      <c r="F823" s="30"/>
      <c r="G823" s="31"/>
      <c r="H823" s="30"/>
      <c r="I823" s="31"/>
      <c r="J823" s="30"/>
    </row>
    <row r="824">
      <c r="A824" s="129"/>
      <c r="B824" s="117"/>
      <c r="C824" s="118"/>
      <c r="D824" s="29"/>
      <c r="E824" s="30"/>
      <c r="F824" s="30"/>
      <c r="G824" s="31"/>
      <c r="H824" s="30"/>
      <c r="I824" s="31"/>
      <c r="J824" s="30"/>
    </row>
    <row r="825">
      <c r="A825" s="131"/>
      <c r="B825" s="117"/>
      <c r="C825" s="123"/>
      <c r="D825" s="29"/>
      <c r="E825" s="30"/>
      <c r="F825" s="30"/>
      <c r="G825" s="31"/>
      <c r="H825" s="30"/>
      <c r="I825" s="31"/>
      <c r="J825" s="30"/>
    </row>
    <row r="826">
      <c r="A826" s="131"/>
      <c r="B826" s="117"/>
      <c r="C826" s="123"/>
      <c r="D826" s="29"/>
      <c r="E826" s="30"/>
      <c r="F826" s="30"/>
      <c r="G826" s="31"/>
      <c r="H826" s="30"/>
      <c r="I826" s="31"/>
      <c r="J826" s="30"/>
    </row>
    <row r="827">
      <c r="A827" s="131"/>
      <c r="B827" s="117"/>
      <c r="C827" s="123"/>
      <c r="D827" s="29"/>
      <c r="E827" s="30"/>
      <c r="F827" s="30"/>
      <c r="G827" s="31"/>
      <c r="H827" s="30"/>
      <c r="I827" s="31"/>
      <c r="J827" s="30"/>
    </row>
    <row r="828">
      <c r="A828" s="131"/>
      <c r="B828" s="117"/>
      <c r="C828" s="123"/>
      <c r="D828" s="29"/>
      <c r="E828" s="30"/>
      <c r="F828" s="30"/>
      <c r="G828" s="31"/>
      <c r="H828" s="30"/>
      <c r="I828" s="31"/>
      <c r="J828" s="30"/>
    </row>
    <row r="829">
      <c r="A829" s="131"/>
      <c r="B829" s="117"/>
      <c r="C829" s="123"/>
      <c r="D829" s="29"/>
      <c r="E829" s="30"/>
      <c r="F829" s="30"/>
      <c r="G829" s="31"/>
      <c r="H829" s="30"/>
      <c r="I829" s="31"/>
      <c r="J829" s="30"/>
    </row>
    <row r="830">
      <c r="A830" s="131"/>
      <c r="B830" s="117"/>
      <c r="C830" s="123"/>
      <c r="D830" s="29"/>
      <c r="E830" s="30"/>
      <c r="F830" s="30"/>
      <c r="G830" s="31"/>
      <c r="H830" s="30"/>
      <c r="I830" s="31"/>
      <c r="J830" s="30"/>
    </row>
    <row r="831">
      <c r="A831" s="132"/>
      <c r="B831" s="133"/>
      <c r="C831" s="134"/>
      <c r="D831" s="29"/>
      <c r="E831" s="30"/>
      <c r="F831" s="30"/>
      <c r="G831" s="31"/>
      <c r="H831" s="30"/>
      <c r="I831" s="31"/>
      <c r="J831" s="30"/>
    </row>
    <row r="832">
      <c r="A832" s="132"/>
      <c r="B832" s="133"/>
      <c r="C832" s="134"/>
      <c r="D832" s="29"/>
      <c r="E832" s="30"/>
      <c r="F832" s="30"/>
      <c r="G832" s="31"/>
      <c r="H832" s="30"/>
      <c r="I832" s="31"/>
      <c r="J832" s="30"/>
    </row>
    <row r="833">
      <c r="A833" s="132"/>
      <c r="B833" s="133"/>
      <c r="C833" s="134"/>
      <c r="D833" s="29"/>
      <c r="E833" s="30"/>
      <c r="F833" s="30"/>
      <c r="G833" s="31"/>
      <c r="H833" s="30"/>
      <c r="I833" s="31"/>
      <c r="J833" s="30"/>
    </row>
    <row r="834">
      <c r="A834" s="132"/>
      <c r="B834" s="133"/>
      <c r="C834" s="134"/>
      <c r="D834" s="29"/>
      <c r="E834" s="30"/>
      <c r="F834" s="30"/>
      <c r="G834" s="31"/>
      <c r="H834" s="30"/>
      <c r="I834" s="31"/>
      <c r="J834" s="30"/>
    </row>
    <row r="835">
      <c r="A835" s="132"/>
      <c r="B835" s="133"/>
      <c r="C835" s="134"/>
      <c r="D835" s="29"/>
      <c r="E835" s="30"/>
      <c r="F835" s="30"/>
      <c r="G835" s="31"/>
      <c r="H835" s="30"/>
      <c r="I835" s="31"/>
      <c r="J835" s="30"/>
    </row>
    <row r="836">
      <c r="A836" s="132"/>
      <c r="B836" s="133"/>
      <c r="C836" s="134"/>
      <c r="D836" s="29"/>
      <c r="E836" s="30"/>
      <c r="F836" s="30"/>
      <c r="G836" s="31"/>
      <c r="H836" s="30"/>
      <c r="I836" s="31"/>
      <c r="J836" s="30"/>
    </row>
    <row r="837">
      <c r="A837" s="132"/>
      <c r="B837" s="133"/>
      <c r="C837" s="134"/>
      <c r="D837" s="29"/>
      <c r="E837" s="30"/>
      <c r="F837" s="30"/>
      <c r="G837" s="31"/>
      <c r="H837" s="30"/>
      <c r="I837" s="31"/>
      <c r="J837" s="30"/>
    </row>
    <row r="838">
      <c r="A838" s="132"/>
      <c r="B838" s="133"/>
      <c r="C838" s="134"/>
      <c r="D838" s="29"/>
      <c r="E838" s="30"/>
      <c r="F838" s="30"/>
      <c r="G838" s="31"/>
      <c r="H838" s="30"/>
      <c r="I838" s="31"/>
      <c r="J838" s="30"/>
    </row>
    <row r="839">
      <c r="A839" s="132"/>
      <c r="B839" s="133"/>
      <c r="C839" s="134"/>
      <c r="D839" s="29"/>
      <c r="E839" s="30"/>
      <c r="F839" s="30"/>
      <c r="G839" s="31"/>
      <c r="H839" s="30"/>
      <c r="I839" s="31"/>
      <c r="J839" s="30"/>
    </row>
    <row r="840">
      <c r="A840" s="132"/>
      <c r="B840" s="133"/>
      <c r="C840" s="134"/>
      <c r="D840" s="29"/>
      <c r="E840" s="30"/>
      <c r="F840" s="30"/>
      <c r="G840" s="31"/>
      <c r="H840" s="30"/>
      <c r="I840" s="31"/>
      <c r="J840" s="30"/>
    </row>
    <row r="841">
      <c r="A841" s="132"/>
      <c r="B841" s="133"/>
      <c r="C841" s="134"/>
      <c r="D841" s="29"/>
      <c r="E841" s="30"/>
      <c r="F841" s="30"/>
      <c r="G841" s="31"/>
      <c r="H841" s="30"/>
      <c r="I841" s="31"/>
      <c r="J841" s="30"/>
    </row>
    <row r="842">
      <c r="A842" s="132"/>
      <c r="B842" s="133"/>
      <c r="C842" s="134"/>
      <c r="D842" s="29"/>
      <c r="E842" s="30"/>
      <c r="F842" s="30"/>
      <c r="G842" s="31"/>
      <c r="H842" s="30"/>
      <c r="I842" s="31"/>
      <c r="J842" s="30"/>
    </row>
    <row r="843">
      <c r="A843" s="132"/>
      <c r="B843" s="133"/>
      <c r="C843" s="134"/>
      <c r="D843" s="29"/>
      <c r="E843" s="30"/>
      <c r="F843" s="30"/>
      <c r="G843" s="31"/>
      <c r="H843" s="30"/>
      <c r="I843" s="31"/>
      <c r="J843" s="30"/>
    </row>
    <row r="844">
      <c r="A844" s="132"/>
      <c r="B844" s="133"/>
      <c r="C844" s="134"/>
      <c r="D844" s="29"/>
      <c r="E844" s="30"/>
      <c r="F844" s="30"/>
      <c r="G844" s="31"/>
      <c r="H844" s="30"/>
      <c r="I844" s="31"/>
      <c r="J844" s="30"/>
    </row>
    <row r="845">
      <c r="A845" s="132"/>
      <c r="B845" s="133"/>
      <c r="C845" s="134"/>
      <c r="D845" s="29"/>
      <c r="E845" s="30"/>
      <c r="F845" s="30"/>
      <c r="G845" s="31"/>
      <c r="H845" s="30"/>
      <c r="I845" s="31"/>
      <c r="J845" s="30"/>
    </row>
    <row r="846">
      <c r="A846" s="132"/>
      <c r="B846" s="133"/>
      <c r="C846" s="134"/>
      <c r="D846" s="29"/>
      <c r="E846" s="30"/>
      <c r="F846" s="30"/>
      <c r="G846" s="31"/>
      <c r="H846" s="30"/>
      <c r="I846" s="31"/>
      <c r="J846" s="30"/>
    </row>
    <row r="847">
      <c r="A847" s="132"/>
      <c r="B847" s="133"/>
      <c r="C847" s="134"/>
      <c r="D847" s="29"/>
      <c r="E847" s="30"/>
      <c r="F847" s="30"/>
      <c r="G847" s="31"/>
      <c r="H847" s="30"/>
      <c r="I847" s="31"/>
      <c r="J847" s="30"/>
    </row>
    <row r="848">
      <c r="A848" s="132"/>
      <c r="B848" s="133"/>
      <c r="C848" s="134"/>
      <c r="D848" s="29"/>
      <c r="E848" s="30"/>
      <c r="F848" s="30"/>
      <c r="G848" s="31"/>
      <c r="H848" s="30"/>
      <c r="I848" s="31"/>
      <c r="J848" s="30"/>
    </row>
    <row r="849">
      <c r="A849" s="132"/>
      <c r="B849" s="133"/>
      <c r="C849" s="134"/>
      <c r="D849" s="29"/>
      <c r="E849" s="30"/>
      <c r="F849" s="30"/>
      <c r="G849" s="31"/>
      <c r="H849" s="30"/>
      <c r="I849" s="31"/>
      <c r="J849" s="30"/>
    </row>
    <row r="850">
      <c r="A850" s="132"/>
      <c r="B850" s="133"/>
      <c r="C850" s="134"/>
      <c r="D850" s="29"/>
      <c r="E850" s="30"/>
      <c r="F850" s="30"/>
      <c r="G850" s="31"/>
      <c r="H850" s="30"/>
      <c r="I850" s="31"/>
      <c r="J850" s="30"/>
    </row>
    <row r="851">
      <c r="A851" s="132"/>
      <c r="B851" s="133"/>
      <c r="C851" s="134"/>
      <c r="D851" s="29"/>
      <c r="E851" s="30"/>
      <c r="F851" s="30"/>
      <c r="G851" s="31"/>
      <c r="H851" s="30"/>
      <c r="I851" s="31"/>
      <c r="J851" s="30"/>
    </row>
    <row r="852">
      <c r="A852" s="132"/>
      <c r="B852" s="133"/>
      <c r="C852" s="134"/>
      <c r="D852" s="29"/>
      <c r="E852" s="30"/>
      <c r="F852" s="30"/>
      <c r="G852" s="31"/>
      <c r="H852" s="30"/>
      <c r="I852" s="31"/>
      <c r="J852" s="30"/>
    </row>
    <row r="853">
      <c r="A853" s="132"/>
      <c r="B853" s="133"/>
      <c r="C853" s="134"/>
      <c r="D853" s="29"/>
      <c r="E853" s="30"/>
      <c r="F853" s="30"/>
      <c r="G853" s="31"/>
      <c r="H853" s="30"/>
      <c r="I853" s="31"/>
      <c r="J853" s="30"/>
    </row>
    <row r="854">
      <c r="A854" s="132"/>
      <c r="B854" s="133"/>
      <c r="C854" s="134"/>
      <c r="D854" s="29"/>
      <c r="E854" s="30"/>
      <c r="F854" s="30"/>
      <c r="G854" s="31"/>
      <c r="H854" s="30"/>
      <c r="I854" s="31"/>
      <c r="J854" s="30"/>
    </row>
    <row r="855">
      <c r="A855" s="132"/>
      <c r="B855" s="133"/>
      <c r="C855" s="134"/>
      <c r="D855" s="29"/>
      <c r="E855" s="30"/>
      <c r="F855" s="30"/>
      <c r="G855" s="31"/>
      <c r="H855" s="30"/>
      <c r="I855" s="31"/>
      <c r="J855" s="30"/>
    </row>
    <row r="856">
      <c r="A856" s="132"/>
      <c r="B856" s="133"/>
      <c r="C856" s="134"/>
      <c r="D856" s="29"/>
      <c r="E856" s="30"/>
      <c r="F856" s="30"/>
      <c r="G856" s="31"/>
      <c r="H856" s="30"/>
      <c r="I856" s="31"/>
      <c r="J856" s="30"/>
    </row>
    <row r="857">
      <c r="A857" s="132"/>
      <c r="B857" s="133"/>
      <c r="C857" s="134"/>
      <c r="D857" s="29"/>
      <c r="E857" s="30"/>
      <c r="F857" s="30"/>
      <c r="G857" s="31"/>
      <c r="H857" s="30"/>
      <c r="I857" s="31"/>
      <c r="J857" s="30"/>
    </row>
    <row r="858">
      <c r="A858" s="132"/>
      <c r="B858" s="133"/>
      <c r="C858" s="134"/>
      <c r="D858" s="29"/>
      <c r="E858" s="30"/>
      <c r="F858" s="30"/>
      <c r="G858" s="31"/>
      <c r="H858" s="30"/>
      <c r="I858" s="31"/>
      <c r="J858" s="30"/>
    </row>
    <row r="859">
      <c r="A859" s="132"/>
      <c r="B859" s="133"/>
      <c r="C859" s="134"/>
      <c r="D859" s="29"/>
      <c r="E859" s="30"/>
      <c r="F859" s="30"/>
      <c r="G859" s="31"/>
      <c r="H859" s="30"/>
      <c r="I859" s="31"/>
      <c r="J859" s="30"/>
    </row>
    <row r="860">
      <c r="A860" s="132"/>
      <c r="B860" s="133"/>
      <c r="C860" s="134"/>
      <c r="D860" s="29"/>
      <c r="E860" s="30"/>
      <c r="F860" s="30"/>
      <c r="G860" s="31"/>
      <c r="H860" s="30"/>
      <c r="I860" s="31"/>
      <c r="J860" s="30"/>
    </row>
    <row r="861">
      <c r="A861" s="132"/>
      <c r="B861" s="133"/>
      <c r="C861" s="134"/>
      <c r="D861" s="29"/>
      <c r="E861" s="30"/>
      <c r="F861" s="30"/>
      <c r="G861" s="31"/>
      <c r="H861" s="30"/>
      <c r="I861" s="31"/>
      <c r="J861" s="30"/>
    </row>
    <row r="862">
      <c r="A862" s="132"/>
      <c r="B862" s="133"/>
      <c r="C862" s="134"/>
      <c r="D862" s="29"/>
      <c r="E862" s="30"/>
      <c r="F862" s="30"/>
      <c r="G862" s="31"/>
      <c r="H862" s="30"/>
      <c r="I862" s="31"/>
      <c r="J862" s="30"/>
    </row>
    <row r="863">
      <c r="A863" s="132"/>
      <c r="B863" s="133"/>
      <c r="C863" s="134"/>
      <c r="D863" s="29"/>
      <c r="E863" s="30"/>
      <c r="F863" s="30"/>
      <c r="G863" s="31"/>
      <c r="H863" s="30"/>
      <c r="I863" s="31"/>
      <c r="J863" s="30"/>
    </row>
    <row r="864">
      <c r="A864" s="132"/>
      <c r="B864" s="133"/>
      <c r="C864" s="134"/>
      <c r="D864" s="29"/>
      <c r="E864" s="30"/>
      <c r="F864" s="30"/>
      <c r="G864" s="31"/>
      <c r="H864" s="30"/>
      <c r="I864" s="31"/>
      <c r="J864" s="30"/>
    </row>
    <row r="865">
      <c r="A865" s="132"/>
      <c r="B865" s="133"/>
      <c r="C865" s="134"/>
      <c r="D865" s="29"/>
      <c r="E865" s="30"/>
      <c r="F865" s="30"/>
      <c r="G865" s="31"/>
      <c r="H865" s="30"/>
      <c r="I865" s="31"/>
      <c r="J865" s="30"/>
    </row>
    <row r="866">
      <c r="A866" s="132"/>
      <c r="B866" s="133"/>
      <c r="C866" s="134"/>
      <c r="D866" s="29"/>
      <c r="E866" s="30"/>
      <c r="F866" s="30"/>
      <c r="G866" s="31"/>
      <c r="H866" s="30"/>
      <c r="I866" s="31"/>
      <c r="J866" s="30"/>
    </row>
    <row r="867">
      <c r="A867" s="132"/>
      <c r="B867" s="133"/>
      <c r="C867" s="134"/>
      <c r="D867" s="29"/>
      <c r="E867" s="30"/>
      <c r="F867" s="30"/>
      <c r="G867" s="31"/>
      <c r="H867" s="30"/>
      <c r="I867" s="31"/>
      <c r="J867" s="30"/>
    </row>
    <row r="868">
      <c r="A868" s="132"/>
      <c r="B868" s="133"/>
      <c r="C868" s="134"/>
      <c r="D868" s="29"/>
      <c r="E868" s="30"/>
      <c r="F868" s="30"/>
      <c r="G868" s="31"/>
      <c r="H868" s="30"/>
      <c r="I868" s="31"/>
      <c r="J868" s="30"/>
    </row>
    <row r="869">
      <c r="A869" s="132"/>
      <c r="B869" s="133"/>
      <c r="C869" s="134"/>
      <c r="D869" s="29"/>
      <c r="E869" s="30"/>
      <c r="F869" s="30"/>
      <c r="G869" s="31"/>
      <c r="H869" s="30"/>
      <c r="I869" s="31"/>
      <c r="J869" s="30"/>
    </row>
    <row r="870">
      <c r="A870" s="132"/>
      <c r="B870" s="133"/>
      <c r="C870" s="134"/>
      <c r="D870" s="29"/>
      <c r="E870" s="30"/>
      <c r="F870" s="30"/>
      <c r="G870" s="31"/>
      <c r="H870" s="30"/>
      <c r="I870" s="31"/>
      <c r="J870" s="30"/>
    </row>
    <row r="871">
      <c r="A871" s="132"/>
      <c r="B871" s="133"/>
      <c r="C871" s="134"/>
      <c r="D871" s="29"/>
      <c r="E871" s="30"/>
      <c r="F871" s="30"/>
      <c r="G871" s="31"/>
      <c r="H871" s="30"/>
      <c r="I871" s="31"/>
      <c r="J871" s="30"/>
    </row>
    <row r="872">
      <c r="A872" s="132"/>
      <c r="B872" s="133"/>
      <c r="C872" s="134"/>
      <c r="D872" s="29"/>
      <c r="E872" s="30"/>
      <c r="F872" s="30"/>
      <c r="G872" s="31"/>
      <c r="H872" s="30"/>
      <c r="I872" s="31"/>
      <c r="J872" s="30"/>
    </row>
    <row r="873">
      <c r="A873" s="132"/>
      <c r="B873" s="133"/>
      <c r="C873" s="134"/>
      <c r="D873" s="29"/>
      <c r="E873" s="30"/>
      <c r="F873" s="30"/>
      <c r="G873" s="31"/>
      <c r="H873" s="30"/>
      <c r="I873" s="31"/>
      <c r="J873" s="30"/>
    </row>
    <row r="874">
      <c r="A874" s="132"/>
      <c r="B874" s="133"/>
      <c r="C874" s="134"/>
      <c r="D874" s="29"/>
      <c r="E874" s="30"/>
      <c r="F874" s="30"/>
      <c r="G874" s="31"/>
      <c r="H874" s="30"/>
      <c r="I874" s="31"/>
      <c r="J874" s="30"/>
    </row>
    <row r="875">
      <c r="A875" s="132"/>
      <c r="B875" s="133"/>
      <c r="C875" s="134"/>
      <c r="D875" s="29"/>
      <c r="E875" s="30"/>
      <c r="F875" s="30"/>
      <c r="G875" s="31"/>
      <c r="H875" s="30"/>
      <c r="I875" s="31"/>
      <c r="J875" s="30"/>
    </row>
    <row r="876">
      <c r="A876" s="132"/>
      <c r="B876" s="133"/>
      <c r="C876" s="134"/>
      <c r="D876" s="29"/>
      <c r="E876" s="30"/>
      <c r="F876" s="30"/>
      <c r="G876" s="31"/>
      <c r="H876" s="30"/>
      <c r="I876" s="31"/>
      <c r="J876" s="30"/>
    </row>
    <row r="877">
      <c r="A877" s="132"/>
      <c r="B877" s="133"/>
      <c r="C877" s="134"/>
      <c r="D877" s="29"/>
      <c r="E877" s="30"/>
      <c r="F877" s="30"/>
      <c r="G877" s="31"/>
      <c r="H877" s="30"/>
      <c r="I877" s="31"/>
      <c r="J877" s="30"/>
    </row>
    <row r="878">
      <c r="A878" s="132"/>
      <c r="B878" s="133"/>
      <c r="C878" s="134"/>
      <c r="D878" s="29"/>
      <c r="E878" s="30"/>
      <c r="F878" s="30"/>
      <c r="G878" s="31"/>
      <c r="H878" s="30"/>
      <c r="I878" s="31"/>
      <c r="J878" s="30"/>
    </row>
    <row r="879">
      <c r="A879" s="132"/>
      <c r="B879" s="133"/>
      <c r="C879" s="134"/>
      <c r="D879" s="29"/>
      <c r="E879" s="30"/>
      <c r="F879" s="30"/>
      <c r="G879" s="31"/>
      <c r="H879" s="30"/>
      <c r="I879" s="31"/>
      <c r="J879" s="30"/>
    </row>
    <row r="880">
      <c r="A880" s="132"/>
      <c r="B880" s="133"/>
      <c r="C880" s="134"/>
      <c r="D880" s="29"/>
      <c r="E880" s="30"/>
      <c r="F880" s="30"/>
      <c r="G880" s="31"/>
      <c r="H880" s="30"/>
      <c r="I880" s="31"/>
      <c r="J880" s="30"/>
    </row>
    <row r="881">
      <c r="A881" s="132"/>
      <c r="B881" s="133"/>
      <c r="C881" s="134"/>
      <c r="D881" s="29"/>
      <c r="E881" s="30"/>
      <c r="F881" s="30"/>
      <c r="G881" s="31"/>
      <c r="H881" s="30"/>
      <c r="I881" s="31"/>
      <c r="J881" s="30"/>
    </row>
    <row r="882">
      <c r="A882" s="132"/>
      <c r="B882" s="133"/>
      <c r="C882" s="134"/>
      <c r="D882" s="29"/>
      <c r="E882" s="30"/>
      <c r="F882" s="30"/>
      <c r="G882" s="31"/>
      <c r="H882" s="30"/>
      <c r="I882" s="31"/>
      <c r="J882" s="30"/>
    </row>
    <row r="883">
      <c r="A883" s="132"/>
      <c r="B883" s="133"/>
      <c r="C883" s="134"/>
      <c r="D883" s="29"/>
      <c r="E883" s="30"/>
      <c r="F883" s="30"/>
      <c r="G883" s="31"/>
      <c r="H883" s="30"/>
      <c r="I883" s="31"/>
      <c r="J883" s="30"/>
    </row>
    <row r="884">
      <c r="A884" s="132"/>
      <c r="B884" s="133"/>
      <c r="C884" s="134"/>
      <c r="D884" s="29"/>
      <c r="E884" s="30"/>
      <c r="F884" s="30"/>
      <c r="G884" s="31"/>
      <c r="H884" s="30"/>
      <c r="I884" s="31"/>
      <c r="J884" s="30"/>
    </row>
    <row r="885">
      <c r="A885" s="132"/>
      <c r="B885" s="133"/>
      <c r="C885" s="134"/>
      <c r="D885" s="29"/>
      <c r="E885" s="30"/>
      <c r="F885" s="30"/>
      <c r="G885" s="31"/>
      <c r="H885" s="30"/>
      <c r="I885" s="31"/>
      <c r="J885" s="30"/>
    </row>
    <row r="886">
      <c r="A886" s="132"/>
      <c r="B886" s="133"/>
      <c r="C886" s="134"/>
      <c r="D886" s="29"/>
      <c r="E886" s="30"/>
      <c r="F886" s="30"/>
      <c r="G886" s="31"/>
      <c r="H886" s="30"/>
      <c r="I886" s="31"/>
      <c r="J886" s="30"/>
    </row>
    <row r="887">
      <c r="A887" s="132"/>
      <c r="B887" s="133"/>
      <c r="C887" s="134"/>
      <c r="D887" s="29"/>
      <c r="E887" s="30"/>
      <c r="F887" s="30"/>
      <c r="G887" s="31"/>
      <c r="H887" s="30"/>
      <c r="I887" s="31"/>
      <c r="J887" s="30"/>
    </row>
    <row r="888">
      <c r="A888" s="132"/>
      <c r="B888" s="133"/>
      <c r="C888" s="134"/>
      <c r="D888" s="29"/>
      <c r="E888" s="30"/>
      <c r="F888" s="30"/>
      <c r="G888" s="31"/>
      <c r="H888" s="30"/>
      <c r="I888" s="31"/>
      <c r="J888" s="30"/>
    </row>
    <row r="889">
      <c r="A889" s="132"/>
      <c r="B889" s="133"/>
      <c r="C889" s="134"/>
      <c r="D889" s="29"/>
      <c r="E889" s="30"/>
      <c r="F889" s="30"/>
      <c r="G889" s="31"/>
      <c r="H889" s="30"/>
      <c r="I889" s="31"/>
      <c r="J889" s="30"/>
    </row>
    <row r="890">
      <c r="A890" s="132"/>
      <c r="B890" s="133"/>
      <c r="C890" s="134"/>
      <c r="D890" s="29"/>
      <c r="E890" s="30"/>
      <c r="F890" s="30"/>
      <c r="G890" s="31"/>
      <c r="H890" s="30"/>
      <c r="I890" s="31"/>
      <c r="J890" s="30"/>
    </row>
    <row r="891">
      <c r="A891" s="135"/>
      <c r="B891" s="136"/>
      <c r="C891" s="137"/>
      <c r="D891" s="29"/>
      <c r="E891" s="30"/>
      <c r="F891" s="30"/>
      <c r="G891" s="31"/>
      <c r="H891" s="30"/>
      <c r="I891" s="31"/>
      <c r="J891" s="30"/>
    </row>
    <row r="892">
      <c r="A892" s="138"/>
      <c r="B892" s="133"/>
      <c r="C892" s="104"/>
      <c r="D892" s="29"/>
      <c r="E892" s="30"/>
      <c r="F892" s="30"/>
      <c r="G892" s="31"/>
      <c r="H892" s="30"/>
      <c r="I892" s="31"/>
      <c r="J892" s="30"/>
    </row>
    <row r="893">
      <c r="A893" s="132"/>
      <c r="B893" s="133"/>
      <c r="C893" s="104"/>
      <c r="D893" s="29"/>
      <c r="E893" s="30"/>
      <c r="F893" s="30"/>
      <c r="G893" s="31"/>
      <c r="H893" s="30"/>
      <c r="I893" s="31"/>
      <c r="J893" s="30"/>
    </row>
    <row r="894">
      <c r="A894" s="138"/>
      <c r="B894" s="133"/>
      <c r="C894" s="104"/>
      <c r="D894" s="29"/>
      <c r="E894" s="30"/>
      <c r="F894" s="30"/>
      <c r="G894" s="31"/>
      <c r="H894" s="30"/>
      <c r="I894" s="31"/>
      <c r="J894" s="30"/>
    </row>
    <row r="895">
      <c r="A895" s="132"/>
      <c r="B895" s="133"/>
      <c r="C895" s="104"/>
      <c r="D895" s="29"/>
      <c r="E895" s="30"/>
      <c r="F895" s="30"/>
      <c r="G895" s="31"/>
      <c r="H895" s="30"/>
      <c r="I895" s="31"/>
      <c r="J895" s="30"/>
    </row>
    <row r="896">
      <c r="A896" s="132"/>
      <c r="B896" s="133"/>
      <c r="C896" s="104"/>
      <c r="D896" s="29"/>
      <c r="E896" s="30"/>
      <c r="F896" s="30"/>
      <c r="G896" s="31"/>
      <c r="H896" s="30"/>
      <c r="I896" s="31"/>
      <c r="J896" s="30"/>
    </row>
    <row r="897">
      <c r="A897" s="135"/>
      <c r="B897" s="136"/>
      <c r="C897" s="137"/>
      <c r="D897" s="29"/>
      <c r="E897" s="30"/>
      <c r="F897" s="30"/>
      <c r="G897" s="31"/>
      <c r="H897" s="30"/>
      <c r="I897" s="31"/>
      <c r="J897" s="30"/>
    </row>
    <row r="898">
      <c r="A898" s="138"/>
      <c r="B898" s="136"/>
      <c r="C898" s="104"/>
      <c r="D898" s="29"/>
      <c r="E898" s="30"/>
      <c r="F898" s="30"/>
      <c r="G898" s="31"/>
      <c r="H898" s="30"/>
      <c r="I898" s="31"/>
      <c r="J898" s="30"/>
    </row>
    <row r="899">
      <c r="A899" s="132"/>
      <c r="B899" s="136"/>
      <c r="C899" s="104"/>
      <c r="D899" s="29"/>
      <c r="E899" s="30"/>
      <c r="F899" s="30"/>
      <c r="G899" s="31"/>
      <c r="H899" s="30"/>
      <c r="I899" s="31"/>
      <c r="J899" s="30"/>
    </row>
    <row r="900">
      <c r="A900" s="132"/>
      <c r="B900" s="136"/>
      <c r="C900" s="104"/>
      <c r="D900" s="29"/>
      <c r="E900" s="30"/>
      <c r="F900" s="30"/>
      <c r="G900" s="31"/>
      <c r="H900" s="30"/>
      <c r="I900" s="31"/>
      <c r="J900" s="30"/>
    </row>
    <row r="901">
      <c r="A901" s="132"/>
      <c r="B901" s="136"/>
      <c r="C901" s="104"/>
      <c r="D901" s="29"/>
      <c r="E901" s="30"/>
      <c r="F901" s="30"/>
      <c r="G901" s="31"/>
      <c r="H901" s="30"/>
      <c r="I901" s="31"/>
      <c r="J901" s="30"/>
    </row>
    <row r="902">
      <c r="A902" s="132"/>
      <c r="B902" s="136"/>
      <c r="C902" s="104"/>
      <c r="D902" s="29"/>
      <c r="E902" s="30"/>
      <c r="F902" s="30"/>
      <c r="G902" s="31"/>
      <c r="H902" s="30"/>
      <c r="I902" s="31"/>
      <c r="J902" s="30"/>
    </row>
    <row r="903">
      <c r="A903" s="132"/>
      <c r="B903" s="136"/>
      <c r="C903" s="104"/>
      <c r="D903" s="29"/>
      <c r="E903" s="30"/>
      <c r="F903" s="30"/>
      <c r="G903" s="31"/>
      <c r="H903" s="30"/>
      <c r="I903" s="31"/>
      <c r="J903" s="30"/>
    </row>
    <row r="904">
      <c r="A904" s="132"/>
      <c r="B904" s="136"/>
      <c r="C904" s="104"/>
      <c r="D904" s="29"/>
      <c r="E904" s="30"/>
      <c r="F904" s="30"/>
      <c r="G904" s="31"/>
      <c r="H904" s="30"/>
      <c r="I904" s="31"/>
      <c r="J904" s="30"/>
    </row>
    <row r="905">
      <c r="A905" s="132"/>
      <c r="B905" s="136"/>
      <c r="C905" s="104"/>
      <c r="D905" s="29"/>
      <c r="E905" s="30"/>
      <c r="F905" s="30"/>
      <c r="G905" s="31"/>
      <c r="H905" s="30"/>
      <c r="I905" s="31"/>
      <c r="J905" s="30"/>
    </row>
    <row r="906">
      <c r="A906" s="132"/>
      <c r="B906" s="136"/>
      <c r="C906" s="104"/>
      <c r="D906" s="29"/>
      <c r="E906" s="30"/>
      <c r="F906" s="30"/>
      <c r="G906" s="31"/>
      <c r="H906" s="30"/>
      <c r="I906" s="31"/>
      <c r="J906" s="30"/>
    </row>
    <row r="907">
      <c r="A907" s="131"/>
      <c r="B907" s="133"/>
      <c r="C907" s="118"/>
      <c r="D907" s="29"/>
      <c r="E907" s="30"/>
      <c r="F907" s="30"/>
      <c r="G907" s="31"/>
      <c r="H907" s="30"/>
      <c r="I907" s="31"/>
      <c r="J907" s="30"/>
    </row>
    <row r="908">
      <c r="A908" s="88"/>
      <c r="B908" s="133"/>
      <c r="C908" s="134"/>
      <c r="D908" s="29"/>
      <c r="E908" s="30"/>
      <c r="F908" s="30"/>
      <c r="G908" s="31"/>
      <c r="H908" s="30"/>
      <c r="I908" s="31"/>
      <c r="J908" s="30"/>
    </row>
    <row r="909">
      <c r="A909" s="88"/>
      <c r="B909" s="133"/>
      <c r="C909" s="134"/>
      <c r="D909" s="29"/>
      <c r="E909" s="30"/>
      <c r="F909" s="30"/>
      <c r="G909" s="31"/>
      <c r="H909" s="30"/>
      <c r="I909" s="31"/>
      <c r="J909" s="30"/>
    </row>
    <row r="910">
      <c r="A910" s="88"/>
      <c r="B910" s="133"/>
      <c r="C910" s="134"/>
      <c r="D910" s="29"/>
      <c r="E910" s="30"/>
      <c r="F910" s="30"/>
      <c r="G910" s="31"/>
      <c r="H910" s="30"/>
      <c r="I910" s="31"/>
      <c r="J910" s="30"/>
    </row>
    <row r="911">
      <c r="A911" s="88"/>
      <c r="B911" s="133"/>
      <c r="C911" s="134"/>
      <c r="D911" s="29"/>
      <c r="E911" s="30"/>
      <c r="F911" s="30"/>
      <c r="G911" s="31"/>
      <c r="H911" s="30"/>
      <c r="I911" s="31"/>
      <c r="J911" s="30"/>
    </row>
    <row r="912">
      <c r="A912" s="88"/>
      <c r="B912" s="133"/>
      <c r="C912" s="134"/>
      <c r="D912" s="29"/>
      <c r="E912" s="30"/>
      <c r="F912" s="30"/>
      <c r="G912" s="31"/>
      <c r="H912" s="30"/>
      <c r="I912" s="31"/>
      <c r="J912" s="30"/>
    </row>
    <row r="913">
      <c r="A913" s="88"/>
      <c r="B913" s="133"/>
      <c r="C913" s="134"/>
      <c r="D913" s="29"/>
      <c r="E913" s="30"/>
      <c r="F913" s="30"/>
      <c r="G913" s="31"/>
      <c r="H913" s="30"/>
      <c r="I913" s="31"/>
      <c r="J913" s="30"/>
    </row>
    <row r="914">
      <c r="A914" s="82"/>
      <c r="B914" s="133"/>
      <c r="C914" s="134"/>
      <c r="D914" s="29"/>
      <c r="E914" s="30"/>
      <c r="F914" s="30"/>
      <c r="G914" s="31"/>
      <c r="H914" s="30"/>
      <c r="I914" s="31"/>
      <c r="J914" s="30"/>
    </row>
    <row r="915">
      <c r="A915" s="88"/>
      <c r="B915" s="133"/>
      <c r="C915" s="134"/>
      <c r="D915" s="29"/>
      <c r="E915" s="30"/>
      <c r="F915" s="30"/>
      <c r="G915" s="31"/>
      <c r="H915" s="30"/>
      <c r="I915" s="31"/>
      <c r="J915" s="30"/>
    </row>
    <row r="916">
      <c r="A916" s="88"/>
      <c r="B916" s="133"/>
      <c r="C916" s="134"/>
      <c r="D916" s="29"/>
      <c r="E916" s="30"/>
      <c r="F916" s="30"/>
      <c r="G916" s="31"/>
      <c r="H916" s="30"/>
      <c r="I916" s="31"/>
      <c r="J916" s="30"/>
    </row>
    <row r="917">
      <c r="A917" s="88"/>
      <c r="B917" s="133"/>
      <c r="C917" s="134"/>
      <c r="D917" s="29"/>
      <c r="E917" s="30"/>
      <c r="F917" s="30"/>
      <c r="G917" s="31"/>
      <c r="H917" s="30"/>
      <c r="I917" s="31"/>
      <c r="J917" s="30"/>
    </row>
    <row r="918">
      <c r="A918" s="88"/>
      <c r="B918" s="133"/>
      <c r="C918" s="134"/>
      <c r="D918" s="29"/>
      <c r="E918" s="30"/>
      <c r="F918" s="30"/>
      <c r="G918" s="31"/>
      <c r="H918" s="30"/>
      <c r="I918" s="31"/>
      <c r="J918" s="30"/>
    </row>
    <row r="919">
      <c r="A919" s="88"/>
      <c r="B919" s="133"/>
      <c r="C919" s="134"/>
      <c r="D919" s="29"/>
      <c r="E919" s="30"/>
      <c r="F919" s="30"/>
      <c r="G919" s="31"/>
      <c r="H919" s="30"/>
      <c r="I919" s="31"/>
      <c r="J919" s="30"/>
    </row>
    <row r="920">
      <c r="A920" s="88"/>
      <c r="B920" s="133"/>
      <c r="C920" s="134"/>
      <c r="D920" s="29"/>
      <c r="E920" s="30"/>
      <c r="F920" s="30"/>
      <c r="G920" s="31"/>
      <c r="H920" s="30"/>
      <c r="I920" s="31"/>
      <c r="J920" s="30"/>
    </row>
    <row r="921">
      <c r="A921" s="88"/>
      <c r="B921" s="133"/>
      <c r="C921" s="134"/>
      <c r="D921" s="29"/>
      <c r="E921" s="30"/>
      <c r="F921" s="30"/>
      <c r="G921" s="31"/>
      <c r="H921" s="30"/>
      <c r="I921" s="31"/>
      <c r="J921" s="30"/>
    </row>
    <row r="922">
      <c r="A922" s="88"/>
      <c r="B922" s="133"/>
      <c r="C922" s="134"/>
      <c r="D922" s="29"/>
      <c r="E922" s="30"/>
      <c r="F922" s="30"/>
      <c r="G922" s="31"/>
      <c r="H922" s="30"/>
      <c r="I922" s="31"/>
      <c r="J922" s="30"/>
    </row>
    <row r="923">
      <c r="A923" s="88"/>
      <c r="B923" s="133"/>
      <c r="C923" s="134"/>
      <c r="D923" s="29"/>
      <c r="E923" s="30"/>
      <c r="F923" s="30"/>
      <c r="G923" s="31"/>
      <c r="H923" s="30"/>
      <c r="I923" s="31"/>
      <c r="J923" s="30"/>
    </row>
    <row r="924">
      <c r="A924" s="88"/>
      <c r="B924" s="133"/>
      <c r="C924" s="134"/>
      <c r="D924" s="29"/>
      <c r="E924" s="30"/>
      <c r="F924" s="30"/>
      <c r="G924" s="31"/>
      <c r="H924" s="30"/>
      <c r="I924" s="31"/>
      <c r="J924" s="30"/>
    </row>
    <row r="925">
      <c r="A925" s="88"/>
      <c r="B925" s="133"/>
      <c r="C925" s="134"/>
      <c r="D925" s="29"/>
      <c r="E925" s="30"/>
      <c r="F925" s="30"/>
      <c r="G925" s="31"/>
      <c r="H925" s="30"/>
      <c r="I925" s="31"/>
      <c r="J925" s="30"/>
    </row>
    <row r="926">
      <c r="A926" s="88"/>
      <c r="B926" s="133"/>
      <c r="C926" s="134"/>
      <c r="D926" s="29"/>
      <c r="E926" s="30"/>
      <c r="F926" s="30"/>
      <c r="G926" s="31"/>
      <c r="H926" s="30"/>
      <c r="I926" s="31"/>
      <c r="J926" s="30"/>
    </row>
    <row r="927">
      <c r="A927" s="88"/>
      <c r="B927" s="133"/>
      <c r="C927" s="134"/>
      <c r="D927" s="29"/>
      <c r="E927" s="30"/>
      <c r="F927" s="30"/>
      <c r="G927" s="31"/>
      <c r="H927" s="30"/>
      <c r="I927" s="31"/>
      <c r="J927" s="30"/>
    </row>
    <row r="928">
      <c r="A928" s="88"/>
      <c r="B928" s="133"/>
      <c r="C928" s="134"/>
      <c r="D928" s="29"/>
      <c r="E928" s="30"/>
      <c r="F928" s="30"/>
      <c r="G928" s="31"/>
      <c r="H928" s="30"/>
      <c r="I928" s="31"/>
      <c r="J928" s="30"/>
    </row>
    <row r="929">
      <c r="A929" s="88"/>
      <c r="B929" s="133"/>
      <c r="C929" s="134"/>
      <c r="D929" s="29"/>
      <c r="E929" s="30"/>
      <c r="F929" s="30"/>
      <c r="G929" s="31"/>
      <c r="H929" s="30"/>
      <c r="I929" s="31"/>
      <c r="J929" s="30"/>
    </row>
    <row r="930">
      <c r="A930" s="88"/>
      <c r="B930" s="133"/>
      <c r="C930" s="134"/>
      <c r="D930" s="29"/>
      <c r="E930" s="30"/>
      <c r="F930" s="30"/>
      <c r="G930" s="31"/>
      <c r="H930" s="30"/>
      <c r="I930" s="31"/>
      <c r="J930" s="30"/>
    </row>
    <row r="931">
      <c r="A931" s="88"/>
      <c r="B931" s="133"/>
      <c r="C931" s="134"/>
      <c r="D931" s="29"/>
      <c r="E931" s="30"/>
      <c r="F931" s="30"/>
      <c r="G931" s="31"/>
      <c r="H931" s="30"/>
      <c r="I931" s="31"/>
      <c r="J931" s="30"/>
    </row>
    <row r="932">
      <c r="A932" s="88"/>
      <c r="B932" s="133"/>
      <c r="C932" s="134"/>
      <c r="D932" s="29"/>
      <c r="E932" s="30"/>
      <c r="F932" s="30"/>
      <c r="G932" s="31"/>
      <c r="H932" s="30"/>
      <c r="I932" s="31"/>
      <c r="J932" s="30"/>
    </row>
    <row r="933">
      <c r="A933" s="88"/>
      <c r="B933" s="133"/>
      <c r="C933" s="134"/>
      <c r="D933" s="29"/>
      <c r="E933" s="30"/>
      <c r="F933" s="30"/>
      <c r="G933" s="31"/>
      <c r="H933" s="30"/>
      <c r="I933" s="31"/>
      <c r="J933" s="30"/>
    </row>
    <row r="934">
      <c r="A934" s="88"/>
      <c r="B934" s="133"/>
      <c r="C934" s="134"/>
      <c r="D934" s="29"/>
      <c r="E934" s="30"/>
      <c r="F934" s="30"/>
      <c r="G934" s="31"/>
      <c r="H934" s="30"/>
      <c r="I934" s="31"/>
      <c r="J934" s="30"/>
    </row>
    <row r="935">
      <c r="A935" s="88"/>
      <c r="B935" s="133"/>
      <c r="C935" s="134"/>
      <c r="D935" s="29"/>
      <c r="E935" s="30"/>
      <c r="F935" s="30"/>
      <c r="G935" s="31"/>
      <c r="H935" s="30"/>
      <c r="I935" s="31"/>
      <c r="J935" s="30"/>
    </row>
    <row r="936">
      <c r="A936" s="88"/>
      <c r="B936" s="133"/>
      <c r="C936" s="134"/>
      <c r="D936" s="29"/>
      <c r="E936" s="30"/>
      <c r="F936" s="30"/>
      <c r="G936" s="31"/>
      <c r="H936" s="30"/>
      <c r="I936" s="31"/>
      <c r="J936" s="30"/>
    </row>
    <row r="937">
      <c r="A937" s="88"/>
      <c r="B937" s="133"/>
      <c r="C937" s="134"/>
      <c r="D937" s="29"/>
      <c r="E937" s="30"/>
      <c r="F937" s="30"/>
      <c r="G937" s="31"/>
      <c r="H937" s="30"/>
      <c r="I937" s="31"/>
      <c r="J937" s="30"/>
    </row>
    <row r="938">
      <c r="A938" s="88"/>
      <c r="B938" s="133"/>
      <c r="C938" s="134"/>
      <c r="D938" s="29"/>
      <c r="E938" s="30"/>
      <c r="F938" s="30"/>
      <c r="G938" s="31"/>
      <c r="H938" s="30"/>
      <c r="I938" s="31"/>
      <c r="J938" s="30"/>
    </row>
    <row r="939">
      <c r="A939" s="88"/>
      <c r="B939" s="133"/>
      <c r="C939" s="134"/>
      <c r="D939" s="29"/>
      <c r="E939" s="30"/>
      <c r="F939" s="30"/>
      <c r="G939" s="31"/>
      <c r="H939" s="30"/>
      <c r="I939" s="31"/>
      <c r="J939" s="30"/>
    </row>
    <row r="940">
      <c r="A940" s="88"/>
      <c r="B940" s="133"/>
      <c r="C940" s="134"/>
      <c r="D940" s="29"/>
      <c r="E940" s="30"/>
      <c r="F940" s="30"/>
      <c r="G940" s="31"/>
      <c r="H940" s="30"/>
      <c r="I940" s="31"/>
      <c r="J940" s="30"/>
    </row>
    <row r="941">
      <c r="A941" s="88"/>
      <c r="B941" s="133"/>
      <c r="C941" s="134"/>
      <c r="D941" s="29"/>
      <c r="E941" s="30"/>
      <c r="F941" s="30"/>
      <c r="G941" s="31"/>
      <c r="H941" s="30"/>
      <c r="I941" s="31"/>
      <c r="J941" s="30"/>
    </row>
    <row r="942">
      <c r="A942" s="88"/>
      <c r="B942" s="133"/>
      <c r="C942" s="134"/>
      <c r="D942" s="29"/>
      <c r="E942" s="30"/>
      <c r="F942" s="30"/>
      <c r="G942" s="31"/>
      <c r="H942" s="30"/>
      <c r="I942" s="31"/>
      <c r="J942" s="30"/>
    </row>
    <row r="943">
      <c r="A943" s="88"/>
      <c r="B943" s="133"/>
      <c r="C943" s="134"/>
      <c r="D943" s="29"/>
      <c r="E943" s="30"/>
      <c r="F943" s="30"/>
      <c r="G943" s="31"/>
      <c r="H943" s="30"/>
      <c r="I943" s="31"/>
      <c r="J943" s="30"/>
    </row>
    <row r="944">
      <c r="A944" s="88"/>
      <c r="B944" s="133"/>
      <c r="C944" s="134"/>
      <c r="D944" s="29"/>
      <c r="E944" s="30"/>
      <c r="F944" s="30"/>
      <c r="G944" s="31"/>
      <c r="H944" s="30"/>
      <c r="I944" s="31"/>
      <c r="J944" s="30"/>
    </row>
    <row r="945">
      <c r="A945" s="88"/>
      <c r="B945" s="133"/>
      <c r="C945" s="134"/>
      <c r="D945" s="29"/>
      <c r="E945" s="30"/>
      <c r="F945" s="30"/>
      <c r="G945" s="31"/>
      <c r="H945" s="30"/>
      <c r="I945" s="31"/>
      <c r="J945" s="30"/>
    </row>
    <row r="946">
      <c r="A946" s="88"/>
      <c r="B946" s="133"/>
      <c r="C946" s="134"/>
      <c r="D946" s="29"/>
      <c r="E946" s="30"/>
      <c r="F946" s="30"/>
      <c r="G946" s="31"/>
      <c r="H946" s="30"/>
      <c r="I946" s="31"/>
      <c r="J946" s="30"/>
    </row>
    <row r="947">
      <c r="A947" s="88"/>
      <c r="B947" s="133"/>
      <c r="C947" s="134"/>
      <c r="D947" s="29"/>
      <c r="E947" s="30"/>
      <c r="F947" s="30"/>
      <c r="G947" s="31"/>
      <c r="H947" s="30"/>
      <c r="I947" s="31"/>
      <c r="J947" s="30"/>
    </row>
    <row r="948">
      <c r="A948" s="88"/>
      <c r="B948" s="133"/>
      <c r="C948" s="134"/>
      <c r="D948" s="29"/>
      <c r="E948" s="30"/>
      <c r="F948" s="30"/>
      <c r="G948" s="31"/>
      <c r="H948" s="30"/>
      <c r="I948" s="31"/>
      <c r="J948" s="30"/>
    </row>
    <row r="949">
      <c r="A949" s="88"/>
      <c r="B949" s="133"/>
      <c r="C949" s="134"/>
      <c r="D949" s="29"/>
      <c r="E949" s="30"/>
      <c r="F949" s="30"/>
      <c r="G949" s="31"/>
      <c r="H949" s="30"/>
      <c r="I949" s="31"/>
      <c r="J949" s="30"/>
    </row>
    <row r="950">
      <c r="A950" s="88"/>
      <c r="B950" s="133"/>
      <c r="C950" s="134"/>
      <c r="D950" s="29"/>
      <c r="E950" s="30"/>
      <c r="F950" s="30"/>
      <c r="G950" s="31"/>
      <c r="H950" s="30"/>
      <c r="I950" s="31"/>
      <c r="J950" s="30"/>
    </row>
    <row r="951">
      <c r="A951" s="88"/>
      <c r="B951" s="133"/>
      <c r="C951" s="134"/>
      <c r="D951" s="29"/>
      <c r="E951" s="30"/>
      <c r="F951" s="30"/>
      <c r="G951" s="31"/>
      <c r="H951" s="30"/>
      <c r="I951" s="31"/>
      <c r="J951" s="30"/>
    </row>
    <row r="952">
      <c r="A952" s="88"/>
      <c r="B952" s="133"/>
      <c r="C952" s="134"/>
      <c r="D952" s="29"/>
      <c r="E952" s="30"/>
      <c r="F952" s="30"/>
      <c r="G952" s="31"/>
      <c r="H952" s="30"/>
      <c r="I952" s="31"/>
      <c r="J952" s="30"/>
    </row>
    <row r="953">
      <c r="A953" s="88"/>
      <c r="B953" s="133"/>
      <c r="C953" s="134"/>
      <c r="D953" s="29"/>
      <c r="E953" s="30"/>
      <c r="F953" s="30"/>
      <c r="G953" s="31"/>
      <c r="H953" s="30"/>
      <c r="I953" s="31"/>
      <c r="J953" s="30"/>
    </row>
    <row r="954">
      <c r="A954" s="88"/>
      <c r="B954" s="133"/>
      <c r="C954" s="134"/>
      <c r="D954" s="29"/>
      <c r="E954" s="30"/>
      <c r="F954" s="30"/>
      <c r="G954" s="31"/>
      <c r="H954" s="30"/>
      <c r="I954" s="31"/>
      <c r="J954" s="30"/>
    </row>
    <row r="955">
      <c r="A955" s="88"/>
      <c r="B955" s="133"/>
      <c r="C955" s="134"/>
      <c r="D955" s="29"/>
      <c r="E955" s="30"/>
      <c r="F955" s="30"/>
      <c r="G955" s="31"/>
      <c r="H955" s="30"/>
      <c r="I955" s="31"/>
      <c r="J955" s="30"/>
    </row>
    <row r="956">
      <c r="A956" s="88"/>
      <c r="B956" s="133"/>
      <c r="C956" s="134"/>
      <c r="D956" s="29"/>
      <c r="E956" s="30"/>
      <c r="F956" s="30"/>
      <c r="G956" s="31"/>
      <c r="H956" s="30"/>
      <c r="I956" s="31"/>
      <c r="J956" s="30"/>
    </row>
    <row r="957">
      <c r="A957" s="131"/>
      <c r="B957" s="133"/>
      <c r="C957" s="134"/>
      <c r="D957" s="29"/>
      <c r="E957" s="30"/>
      <c r="F957" s="30"/>
      <c r="G957" s="31"/>
      <c r="H957" s="30"/>
      <c r="I957" s="31"/>
      <c r="J957" s="30"/>
    </row>
    <row r="958">
      <c r="A958" s="131"/>
      <c r="B958" s="133"/>
      <c r="C958" s="134"/>
      <c r="D958" s="29"/>
      <c r="E958" s="30"/>
      <c r="F958" s="30"/>
      <c r="G958" s="31"/>
      <c r="H958" s="30"/>
      <c r="I958" s="31"/>
      <c r="J958" s="30"/>
    </row>
    <row r="959">
      <c r="A959" s="131"/>
      <c r="B959" s="133"/>
      <c r="C959" s="134"/>
      <c r="D959" s="29"/>
      <c r="E959" s="30"/>
      <c r="F959" s="30"/>
      <c r="G959" s="31"/>
      <c r="H959" s="30"/>
      <c r="I959" s="31"/>
      <c r="J959" s="30"/>
    </row>
    <row r="960">
      <c r="A960" s="131"/>
      <c r="B960" s="133"/>
      <c r="C960" s="134"/>
      <c r="D960" s="29"/>
      <c r="E960" s="30"/>
      <c r="F960" s="30"/>
      <c r="G960" s="31"/>
      <c r="H960" s="30"/>
      <c r="I960" s="31"/>
      <c r="J960" s="30"/>
    </row>
    <row r="961">
      <c r="A961" s="131"/>
      <c r="B961" s="133"/>
      <c r="C961" s="134"/>
      <c r="D961" s="29"/>
      <c r="E961" s="30"/>
      <c r="F961" s="30"/>
      <c r="G961" s="31"/>
      <c r="H961" s="30"/>
      <c r="I961" s="31"/>
      <c r="J961" s="30"/>
    </row>
    <row r="962">
      <c r="A962" s="131"/>
      <c r="B962" s="133"/>
      <c r="C962" s="134"/>
      <c r="D962" s="29"/>
      <c r="E962" s="30"/>
      <c r="F962" s="30"/>
      <c r="G962" s="31"/>
      <c r="H962" s="30"/>
      <c r="I962" s="31"/>
      <c r="J962" s="30"/>
    </row>
    <row r="963">
      <c r="A963" s="131"/>
      <c r="B963" s="133"/>
      <c r="C963" s="134"/>
      <c r="D963" s="29"/>
      <c r="E963" s="30"/>
      <c r="F963" s="30"/>
      <c r="G963" s="31"/>
      <c r="H963" s="30"/>
      <c r="I963" s="31"/>
      <c r="J963" s="30"/>
    </row>
    <row r="964">
      <c r="A964" s="131"/>
      <c r="B964" s="133"/>
      <c r="C964" s="134"/>
      <c r="D964" s="29"/>
      <c r="E964" s="30"/>
      <c r="F964" s="30"/>
      <c r="G964" s="31"/>
      <c r="H964" s="30"/>
      <c r="I964" s="31"/>
      <c r="J964" s="30"/>
    </row>
    <row r="965">
      <c r="A965" s="131"/>
      <c r="B965" s="133"/>
      <c r="C965" s="134"/>
      <c r="D965" s="29"/>
      <c r="E965" s="30"/>
      <c r="F965" s="30"/>
      <c r="G965" s="31"/>
      <c r="H965" s="30"/>
      <c r="I965" s="31"/>
      <c r="J965" s="30"/>
    </row>
    <row r="966">
      <c r="A966" s="131"/>
      <c r="B966" s="133"/>
      <c r="C966" s="134"/>
      <c r="D966" s="29"/>
      <c r="E966" s="30"/>
      <c r="F966" s="30"/>
      <c r="G966" s="31"/>
      <c r="H966" s="30"/>
      <c r="I966" s="31"/>
      <c r="J966" s="30"/>
    </row>
    <row r="967">
      <c r="A967" s="131"/>
      <c r="B967" s="133"/>
      <c r="C967" s="134"/>
      <c r="D967" s="29"/>
      <c r="E967" s="30"/>
      <c r="F967" s="30"/>
      <c r="G967" s="31"/>
      <c r="H967" s="30"/>
      <c r="I967" s="31"/>
      <c r="J967" s="30"/>
    </row>
    <row r="968">
      <c r="A968" s="131"/>
      <c r="B968" s="133"/>
      <c r="C968" s="134"/>
      <c r="D968" s="29"/>
      <c r="E968" s="30"/>
      <c r="F968" s="30"/>
      <c r="G968" s="31"/>
      <c r="H968" s="30"/>
      <c r="I968" s="31"/>
      <c r="J968" s="30"/>
    </row>
    <row r="969">
      <c r="A969" s="131"/>
      <c r="B969" s="133"/>
      <c r="C969" s="134"/>
      <c r="D969" s="29"/>
      <c r="E969" s="30"/>
      <c r="F969" s="30"/>
      <c r="G969" s="31"/>
      <c r="H969" s="30"/>
      <c r="I969" s="31"/>
      <c r="J969" s="30"/>
    </row>
    <row r="970">
      <c r="A970" s="131"/>
      <c r="B970" s="133"/>
      <c r="C970" s="134"/>
      <c r="D970" s="29"/>
      <c r="E970" s="30"/>
      <c r="F970" s="30"/>
      <c r="G970" s="31"/>
      <c r="H970" s="30"/>
      <c r="I970" s="31"/>
      <c r="J970" s="30"/>
    </row>
    <row r="971">
      <c r="A971" s="131"/>
      <c r="B971" s="133"/>
      <c r="C971" s="134"/>
      <c r="D971" s="29"/>
      <c r="E971" s="30"/>
      <c r="F971" s="30"/>
      <c r="G971" s="31"/>
      <c r="H971" s="30"/>
      <c r="I971" s="31"/>
      <c r="J971" s="30"/>
    </row>
    <row r="972">
      <c r="A972" s="131"/>
      <c r="B972" s="133"/>
      <c r="C972" s="134"/>
      <c r="D972" s="29"/>
      <c r="E972" s="30"/>
      <c r="F972" s="30"/>
      <c r="G972" s="31"/>
      <c r="H972" s="30"/>
      <c r="I972" s="31"/>
      <c r="J972" s="30"/>
    </row>
    <row r="973">
      <c r="A973" s="131"/>
      <c r="B973" s="133"/>
      <c r="C973" s="134"/>
      <c r="D973" s="29"/>
      <c r="E973" s="30"/>
      <c r="F973" s="30"/>
      <c r="G973" s="31"/>
      <c r="H973" s="30"/>
      <c r="I973" s="31"/>
      <c r="J973" s="30"/>
    </row>
    <row r="974">
      <c r="A974" s="131"/>
      <c r="B974" s="133"/>
      <c r="C974" s="134"/>
      <c r="D974" s="29"/>
      <c r="E974" s="30"/>
      <c r="F974" s="30"/>
      <c r="G974" s="31"/>
      <c r="H974" s="30"/>
      <c r="I974" s="31"/>
      <c r="J974" s="30"/>
    </row>
    <row r="975">
      <c r="A975" s="131"/>
      <c r="B975" s="133"/>
      <c r="C975" s="134"/>
      <c r="D975" s="29"/>
      <c r="E975" s="30"/>
      <c r="F975" s="30"/>
      <c r="G975" s="31"/>
      <c r="H975" s="30"/>
      <c r="I975" s="31"/>
      <c r="J975" s="30"/>
    </row>
    <row r="976">
      <c r="A976" s="131"/>
      <c r="B976" s="133"/>
      <c r="C976" s="134"/>
      <c r="D976" s="29"/>
      <c r="E976" s="30"/>
      <c r="F976" s="30"/>
      <c r="G976" s="31"/>
      <c r="H976" s="30"/>
      <c r="I976" s="31"/>
      <c r="J976" s="30"/>
    </row>
    <row r="977">
      <c r="A977" s="131"/>
      <c r="B977" s="133"/>
      <c r="C977" s="134"/>
      <c r="D977" s="29"/>
      <c r="E977" s="30"/>
      <c r="F977" s="30"/>
      <c r="G977" s="31"/>
      <c r="H977" s="30"/>
      <c r="I977" s="31"/>
      <c r="J977" s="30"/>
    </row>
    <row r="978">
      <c r="A978" s="131"/>
      <c r="B978" s="133"/>
      <c r="C978" s="134"/>
      <c r="D978" s="29"/>
      <c r="E978" s="30"/>
      <c r="F978" s="30"/>
      <c r="G978" s="31"/>
      <c r="H978" s="30"/>
      <c r="I978" s="31"/>
      <c r="J978" s="30"/>
    </row>
    <row r="979">
      <c r="A979" s="131"/>
      <c r="B979" s="133"/>
      <c r="C979" s="134"/>
      <c r="D979" s="29"/>
      <c r="E979" s="30"/>
      <c r="F979" s="30"/>
      <c r="G979" s="31"/>
      <c r="H979" s="30"/>
      <c r="I979" s="31"/>
      <c r="J979" s="30"/>
    </row>
    <row r="980">
      <c r="A980" s="131"/>
      <c r="B980" s="133"/>
      <c r="C980" s="134"/>
      <c r="D980" s="29"/>
      <c r="E980" s="30"/>
      <c r="F980" s="30"/>
      <c r="G980" s="31"/>
      <c r="H980" s="30"/>
      <c r="I980" s="31"/>
      <c r="J980" s="30"/>
    </row>
    <row r="981">
      <c r="A981" s="131"/>
      <c r="B981" s="133"/>
      <c r="C981" s="134"/>
      <c r="D981" s="29"/>
      <c r="E981" s="30"/>
      <c r="F981" s="30"/>
      <c r="G981" s="31"/>
      <c r="H981" s="30"/>
      <c r="I981" s="31"/>
      <c r="J981" s="30"/>
    </row>
    <row r="982">
      <c r="A982" s="131"/>
      <c r="B982" s="133"/>
      <c r="C982" s="134"/>
      <c r="D982" s="29"/>
      <c r="E982" s="30"/>
      <c r="F982" s="30"/>
      <c r="G982" s="31"/>
      <c r="H982" s="30"/>
      <c r="I982" s="31"/>
      <c r="J982" s="30"/>
    </row>
    <row r="983">
      <c r="A983" s="131"/>
      <c r="B983" s="133"/>
      <c r="C983" s="134"/>
      <c r="D983" s="29"/>
      <c r="E983" s="30"/>
      <c r="F983" s="30"/>
      <c r="G983" s="31"/>
      <c r="H983" s="30"/>
      <c r="I983" s="31"/>
      <c r="J983" s="30"/>
    </row>
    <row r="984">
      <c r="A984" s="131"/>
      <c r="B984" s="133"/>
      <c r="C984" s="134"/>
      <c r="D984" s="29"/>
      <c r="E984" s="30"/>
      <c r="F984" s="30"/>
      <c r="G984" s="31"/>
      <c r="H984" s="30"/>
      <c r="I984" s="31"/>
      <c r="J984" s="30"/>
    </row>
    <row r="985">
      <c r="A985" s="131"/>
      <c r="B985" s="133"/>
      <c r="C985" s="134"/>
      <c r="D985" s="29"/>
      <c r="E985" s="30"/>
      <c r="F985" s="30"/>
      <c r="G985" s="31"/>
      <c r="H985" s="30"/>
      <c r="I985" s="31"/>
      <c r="J985" s="30"/>
    </row>
    <row r="986">
      <c r="A986" s="131"/>
      <c r="B986" s="133"/>
      <c r="C986" s="134"/>
      <c r="D986" s="29"/>
      <c r="E986" s="30"/>
      <c r="F986" s="30"/>
      <c r="G986" s="31"/>
      <c r="H986" s="30"/>
      <c r="I986" s="31"/>
      <c r="J986" s="30"/>
    </row>
    <row r="987">
      <c r="A987" s="131"/>
      <c r="B987" s="133"/>
      <c r="C987" s="134"/>
      <c r="D987" s="29"/>
      <c r="E987" s="30"/>
      <c r="F987" s="30"/>
      <c r="G987" s="31"/>
      <c r="H987" s="30"/>
      <c r="I987" s="31"/>
      <c r="J987" s="30"/>
    </row>
    <row r="988">
      <c r="A988" s="131"/>
      <c r="B988" s="133"/>
      <c r="C988" s="134"/>
      <c r="D988" s="29"/>
      <c r="E988" s="30"/>
      <c r="F988" s="30"/>
      <c r="G988" s="31"/>
      <c r="H988" s="30"/>
      <c r="I988" s="31"/>
      <c r="J988" s="30"/>
    </row>
    <row r="989">
      <c r="A989" s="131"/>
      <c r="B989" s="133"/>
      <c r="C989" s="134"/>
      <c r="D989" s="29"/>
      <c r="E989" s="30"/>
      <c r="F989" s="30"/>
      <c r="G989" s="31"/>
      <c r="H989" s="30"/>
      <c r="I989" s="31"/>
      <c r="J989" s="30"/>
    </row>
    <row r="990">
      <c r="A990" s="131"/>
      <c r="B990" s="133"/>
      <c r="C990" s="134"/>
      <c r="D990" s="29"/>
      <c r="E990" s="30"/>
      <c r="F990" s="30"/>
      <c r="G990" s="31"/>
      <c r="H990" s="30"/>
      <c r="I990" s="31"/>
      <c r="J990" s="30"/>
    </row>
    <row r="991">
      <c r="A991" s="131"/>
      <c r="B991" s="133"/>
      <c r="C991" s="134"/>
      <c r="D991" s="29"/>
      <c r="E991" s="30"/>
      <c r="F991" s="30"/>
      <c r="G991" s="31"/>
      <c r="H991" s="30"/>
      <c r="I991" s="31"/>
      <c r="J991" s="30"/>
    </row>
    <row r="992">
      <c r="A992" s="131"/>
      <c r="B992" s="133"/>
      <c r="C992" s="134"/>
      <c r="D992" s="29"/>
      <c r="E992" s="30"/>
      <c r="F992" s="30"/>
      <c r="G992" s="31"/>
      <c r="H992" s="30"/>
      <c r="I992" s="31"/>
      <c r="J992" s="30"/>
    </row>
    <row r="993">
      <c r="A993" s="131"/>
      <c r="B993" s="133"/>
      <c r="C993" s="134"/>
      <c r="D993" s="29"/>
      <c r="E993" s="30"/>
      <c r="F993" s="30"/>
      <c r="G993" s="31"/>
      <c r="H993" s="30"/>
      <c r="I993" s="31"/>
      <c r="J993" s="30"/>
    </row>
    <row r="994">
      <c r="A994" s="131"/>
      <c r="B994" s="133"/>
      <c r="C994" s="134"/>
      <c r="D994" s="29"/>
      <c r="E994" s="30"/>
      <c r="F994" s="30"/>
      <c r="G994" s="31"/>
      <c r="H994" s="30"/>
      <c r="I994" s="31"/>
      <c r="J994" s="30"/>
    </row>
    <row r="995">
      <c r="A995" s="131"/>
      <c r="B995" s="133"/>
      <c r="C995" s="134"/>
      <c r="D995" s="29"/>
      <c r="E995" s="30"/>
      <c r="F995" s="30"/>
      <c r="G995" s="31"/>
      <c r="H995" s="30"/>
      <c r="I995" s="31"/>
      <c r="J995" s="30"/>
    </row>
    <row r="996">
      <c r="A996" s="131"/>
      <c r="B996" s="133"/>
      <c r="C996" s="134"/>
      <c r="D996" s="29"/>
      <c r="E996" s="30"/>
      <c r="F996" s="30"/>
      <c r="G996" s="31"/>
      <c r="H996" s="30"/>
      <c r="I996" s="31"/>
      <c r="J996" s="30"/>
    </row>
    <row r="997">
      <c r="A997" s="131"/>
      <c r="B997" s="133"/>
      <c r="C997" s="134"/>
      <c r="D997" s="29"/>
      <c r="E997" s="30"/>
      <c r="F997" s="30"/>
      <c r="G997" s="31"/>
      <c r="H997" s="30"/>
      <c r="I997" s="31"/>
      <c r="J997" s="30"/>
    </row>
    <row r="998">
      <c r="A998" s="131"/>
      <c r="B998" s="133"/>
      <c r="C998" s="134"/>
      <c r="D998" s="29"/>
      <c r="E998" s="30"/>
      <c r="F998" s="30"/>
      <c r="G998" s="31"/>
      <c r="H998" s="30"/>
      <c r="I998" s="31"/>
      <c r="J998" s="30"/>
    </row>
    <row r="999">
      <c r="A999" s="131"/>
      <c r="B999" s="133"/>
      <c r="C999" s="134"/>
      <c r="D999" s="29"/>
      <c r="E999" s="30"/>
      <c r="F999" s="30"/>
      <c r="G999" s="31"/>
      <c r="H999" s="30"/>
      <c r="I999" s="31"/>
      <c r="J999" s="30"/>
    </row>
    <row r="1000">
      <c r="A1000" s="131"/>
      <c r="B1000" s="133"/>
      <c r="C1000" s="134"/>
      <c r="D1000" s="29"/>
      <c r="E1000" s="30"/>
      <c r="F1000" s="30"/>
      <c r="G1000" s="31"/>
      <c r="H1000" s="30"/>
      <c r="I1000" s="31"/>
      <c r="J1000" s="30"/>
    </row>
    <row r="1001">
      <c r="A1001" s="131"/>
      <c r="B1001" s="133"/>
      <c r="C1001" s="134"/>
      <c r="D1001" s="29"/>
      <c r="E1001" s="30"/>
      <c r="F1001" s="30"/>
      <c r="G1001" s="31"/>
      <c r="H1001" s="30"/>
      <c r="I1001" s="31"/>
      <c r="J1001" s="30"/>
    </row>
    <row r="1002">
      <c r="A1002" s="131"/>
      <c r="B1002" s="133"/>
      <c r="C1002" s="134"/>
      <c r="D1002" s="29"/>
      <c r="E1002" s="30"/>
      <c r="F1002" s="30"/>
      <c r="G1002" s="31"/>
      <c r="H1002" s="30"/>
      <c r="I1002" s="31"/>
      <c r="J1002" s="30"/>
    </row>
    <row r="1003">
      <c r="A1003" s="131"/>
      <c r="B1003" s="133"/>
      <c r="C1003" s="134"/>
      <c r="D1003" s="29"/>
      <c r="E1003" s="30"/>
      <c r="F1003" s="30"/>
      <c r="G1003" s="31"/>
      <c r="H1003" s="30"/>
      <c r="I1003" s="31"/>
      <c r="J1003" s="30"/>
    </row>
    <row r="1004">
      <c r="A1004" s="131"/>
      <c r="B1004" s="133"/>
      <c r="C1004" s="134"/>
      <c r="D1004" s="29"/>
      <c r="E1004" s="30"/>
      <c r="F1004" s="30"/>
      <c r="G1004" s="31"/>
      <c r="H1004" s="30"/>
      <c r="I1004" s="31"/>
      <c r="J1004" s="30"/>
    </row>
    <row r="1005">
      <c r="A1005" s="131"/>
      <c r="B1005" s="133"/>
      <c r="C1005" s="134"/>
      <c r="D1005" s="29"/>
      <c r="E1005" s="30"/>
      <c r="F1005" s="30"/>
      <c r="G1005" s="31"/>
      <c r="H1005" s="30"/>
      <c r="I1005" s="31"/>
      <c r="J1005" s="30"/>
    </row>
    <row r="1006">
      <c r="A1006" s="131"/>
      <c r="B1006" s="133"/>
      <c r="C1006" s="134"/>
      <c r="D1006" s="29"/>
      <c r="E1006" s="30"/>
      <c r="F1006" s="30"/>
      <c r="G1006" s="31"/>
      <c r="H1006" s="30"/>
      <c r="I1006" s="31"/>
      <c r="J1006" s="30"/>
    </row>
    <row r="1007">
      <c r="A1007" s="131"/>
      <c r="B1007" s="133"/>
      <c r="C1007" s="134"/>
      <c r="D1007" s="29"/>
      <c r="E1007" s="30"/>
      <c r="F1007" s="30"/>
      <c r="G1007" s="31"/>
      <c r="H1007" s="30"/>
      <c r="I1007" s="31"/>
      <c r="J1007" s="30"/>
    </row>
    <row r="1008">
      <c r="A1008" s="131"/>
      <c r="B1008" s="133"/>
      <c r="C1008" s="134"/>
      <c r="D1008" s="29"/>
      <c r="E1008" s="30"/>
      <c r="F1008" s="30"/>
      <c r="G1008" s="31"/>
      <c r="H1008" s="30"/>
      <c r="I1008" s="31"/>
      <c r="J1008" s="30"/>
    </row>
    <row r="1009">
      <c r="A1009" s="131"/>
      <c r="B1009" s="133"/>
      <c r="C1009" s="134"/>
      <c r="D1009" s="29"/>
      <c r="E1009" s="30"/>
      <c r="F1009" s="30"/>
      <c r="G1009" s="31"/>
      <c r="H1009" s="30"/>
      <c r="I1009" s="31"/>
      <c r="J1009" s="30"/>
    </row>
    <row r="1010">
      <c r="A1010" s="131"/>
      <c r="B1010" s="133"/>
      <c r="C1010" s="134"/>
      <c r="D1010" s="29"/>
      <c r="E1010" s="30"/>
      <c r="F1010" s="30"/>
      <c r="G1010" s="31"/>
      <c r="H1010" s="30"/>
      <c r="I1010" s="31"/>
      <c r="J1010" s="30"/>
    </row>
    <row r="1011">
      <c r="A1011" s="131"/>
      <c r="B1011" s="133"/>
      <c r="C1011" s="134"/>
      <c r="D1011" s="29"/>
      <c r="E1011" s="30"/>
      <c r="F1011" s="30"/>
      <c r="G1011" s="31"/>
      <c r="H1011" s="30"/>
      <c r="I1011" s="31"/>
      <c r="J1011" s="30"/>
    </row>
    <row r="1012">
      <c r="A1012" s="131"/>
      <c r="B1012" s="133"/>
      <c r="C1012" s="134"/>
      <c r="D1012" s="29"/>
      <c r="E1012" s="30"/>
      <c r="F1012" s="30"/>
      <c r="G1012" s="31"/>
      <c r="H1012" s="30"/>
      <c r="I1012" s="31"/>
      <c r="J1012" s="30"/>
    </row>
    <row r="1013">
      <c r="A1013" s="131"/>
      <c r="B1013" s="133"/>
      <c r="C1013" s="134"/>
      <c r="D1013" s="29"/>
      <c r="E1013" s="30"/>
      <c r="F1013" s="30"/>
      <c r="G1013" s="31"/>
      <c r="H1013" s="30"/>
      <c r="I1013" s="31"/>
      <c r="J1013" s="30"/>
    </row>
    <row r="1014">
      <c r="A1014" s="131"/>
      <c r="B1014" s="133"/>
      <c r="C1014" s="134"/>
      <c r="D1014" s="29"/>
      <c r="E1014" s="30"/>
      <c r="F1014" s="30"/>
      <c r="G1014" s="31"/>
      <c r="H1014" s="30"/>
      <c r="I1014" s="31"/>
      <c r="J1014" s="30"/>
    </row>
    <row r="1015">
      <c r="A1015" s="131"/>
      <c r="B1015" s="133"/>
      <c r="C1015" s="134"/>
      <c r="D1015" s="29"/>
      <c r="E1015" s="30"/>
      <c r="F1015" s="30"/>
      <c r="G1015" s="31"/>
      <c r="H1015" s="30"/>
      <c r="I1015" s="31"/>
      <c r="J1015" s="30"/>
    </row>
    <row r="1016">
      <c r="A1016" s="131"/>
      <c r="B1016" s="133"/>
      <c r="C1016" s="134"/>
      <c r="D1016" s="29"/>
      <c r="E1016" s="30"/>
      <c r="F1016" s="30"/>
      <c r="G1016" s="31"/>
      <c r="H1016" s="30"/>
      <c r="I1016" s="31"/>
      <c r="J1016" s="30"/>
    </row>
    <row r="1017">
      <c r="A1017" s="131"/>
      <c r="B1017" s="133"/>
      <c r="C1017" s="134"/>
      <c r="D1017" s="29"/>
      <c r="E1017" s="30"/>
      <c r="F1017" s="30"/>
      <c r="G1017" s="31"/>
      <c r="H1017" s="30"/>
      <c r="I1017" s="31"/>
      <c r="J1017" s="30"/>
    </row>
    <row r="1018">
      <c r="A1018" s="131"/>
      <c r="B1018" s="133"/>
      <c r="C1018" s="134"/>
      <c r="D1018" s="29"/>
      <c r="E1018" s="30"/>
      <c r="F1018" s="30"/>
      <c r="G1018" s="31"/>
      <c r="H1018" s="30"/>
      <c r="I1018" s="31"/>
      <c r="J1018" s="30"/>
    </row>
    <row r="1019">
      <c r="A1019" s="131"/>
      <c r="B1019" s="133"/>
      <c r="C1019" s="134"/>
      <c r="D1019" s="29"/>
      <c r="E1019" s="30"/>
      <c r="F1019" s="30"/>
      <c r="G1019" s="31"/>
      <c r="H1019" s="30"/>
      <c r="I1019" s="31"/>
      <c r="J1019" s="30"/>
    </row>
    <row r="1020">
      <c r="A1020" s="131"/>
      <c r="B1020" s="133"/>
      <c r="C1020" s="134"/>
      <c r="D1020" s="29"/>
      <c r="E1020" s="30"/>
      <c r="F1020" s="30"/>
      <c r="G1020" s="31"/>
      <c r="H1020" s="30"/>
      <c r="I1020" s="31"/>
      <c r="J1020" s="30"/>
    </row>
    <row r="1021">
      <c r="A1021" s="131"/>
      <c r="B1021" s="133"/>
      <c r="C1021" s="134"/>
      <c r="D1021" s="29"/>
      <c r="E1021" s="30"/>
      <c r="F1021" s="30"/>
      <c r="G1021" s="31"/>
      <c r="H1021" s="30"/>
      <c r="I1021" s="31"/>
      <c r="J1021" s="30"/>
    </row>
    <row r="1022">
      <c r="A1022" s="131"/>
      <c r="B1022" s="133"/>
      <c r="C1022" s="134"/>
      <c r="D1022" s="29"/>
      <c r="E1022" s="30"/>
      <c r="F1022" s="30"/>
      <c r="G1022" s="31"/>
      <c r="H1022" s="30"/>
      <c r="I1022" s="31"/>
      <c r="J1022" s="30"/>
    </row>
    <row r="1023">
      <c r="A1023" s="131"/>
      <c r="B1023" s="133"/>
      <c r="C1023" s="134"/>
      <c r="D1023" s="29"/>
      <c r="E1023" s="30"/>
      <c r="F1023" s="30"/>
      <c r="G1023" s="31"/>
      <c r="H1023" s="30"/>
      <c r="I1023" s="31"/>
      <c r="J1023" s="30"/>
    </row>
    <row r="1024">
      <c r="A1024" s="131"/>
      <c r="B1024" s="133"/>
      <c r="C1024" s="134"/>
      <c r="D1024" s="29"/>
      <c r="E1024" s="30"/>
      <c r="F1024" s="30"/>
      <c r="G1024" s="31"/>
      <c r="H1024" s="30"/>
      <c r="I1024" s="31"/>
      <c r="J1024" s="30"/>
    </row>
    <row r="1025">
      <c r="A1025" s="131"/>
      <c r="B1025" s="133"/>
      <c r="C1025" s="134"/>
      <c r="D1025" s="29"/>
      <c r="E1025" s="30"/>
      <c r="F1025" s="30"/>
      <c r="G1025" s="31"/>
      <c r="H1025" s="30"/>
      <c r="I1025" s="31"/>
      <c r="J1025" s="30"/>
    </row>
    <row r="1026">
      <c r="A1026" s="131"/>
      <c r="B1026" s="133"/>
      <c r="C1026" s="134"/>
      <c r="D1026" s="29"/>
      <c r="E1026" s="30"/>
      <c r="F1026" s="30"/>
      <c r="G1026" s="31"/>
      <c r="H1026" s="30"/>
      <c r="I1026" s="31"/>
      <c r="J1026" s="30"/>
    </row>
    <row r="1027">
      <c r="A1027" s="131"/>
      <c r="B1027" s="133"/>
      <c r="C1027" s="134"/>
      <c r="D1027" s="29"/>
      <c r="E1027" s="30"/>
      <c r="F1027" s="30"/>
      <c r="G1027" s="31"/>
      <c r="H1027" s="30"/>
      <c r="I1027" s="31"/>
      <c r="J1027" s="30"/>
    </row>
    <row r="1028">
      <c r="A1028" s="131"/>
      <c r="B1028" s="133"/>
      <c r="C1028" s="134"/>
      <c r="D1028" s="29"/>
      <c r="E1028" s="30"/>
      <c r="F1028" s="30"/>
      <c r="G1028" s="31"/>
      <c r="H1028" s="30"/>
      <c r="I1028" s="31"/>
      <c r="J1028" s="30"/>
    </row>
    <row r="1029">
      <c r="A1029" s="131"/>
      <c r="B1029" s="133"/>
      <c r="C1029" s="134"/>
      <c r="D1029" s="29"/>
      <c r="E1029" s="30"/>
      <c r="F1029" s="30"/>
      <c r="G1029" s="31"/>
      <c r="H1029" s="30"/>
      <c r="I1029" s="31"/>
      <c r="J1029" s="30"/>
    </row>
    <row r="1030">
      <c r="A1030" s="131"/>
      <c r="B1030" s="133"/>
      <c r="C1030" s="134"/>
      <c r="D1030" s="29"/>
      <c r="E1030" s="30"/>
      <c r="F1030" s="30"/>
      <c r="G1030" s="31"/>
      <c r="H1030" s="30"/>
      <c r="I1030" s="31"/>
      <c r="J1030" s="30"/>
    </row>
    <row r="1031">
      <c r="A1031" s="131"/>
      <c r="B1031" s="133"/>
      <c r="C1031" s="134"/>
      <c r="D1031" s="29"/>
      <c r="E1031" s="30"/>
      <c r="F1031" s="30"/>
      <c r="G1031" s="31"/>
      <c r="H1031" s="30"/>
      <c r="I1031" s="31"/>
      <c r="J1031" s="30"/>
    </row>
    <row r="1032">
      <c r="A1032" s="131"/>
      <c r="B1032" s="133"/>
      <c r="C1032" s="134"/>
      <c r="D1032" s="29"/>
      <c r="E1032" s="30"/>
      <c r="F1032" s="30"/>
      <c r="G1032" s="31"/>
      <c r="H1032" s="30"/>
      <c r="I1032" s="31"/>
      <c r="J1032" s="30"/>
    </row>
    <row r="1033">
      <c r="A1033" s="131"/>
      <c r="B1033" s="133"/>
      <c r="C1033" s="134"/>
      <c r="D1033" s="29"/>
      <c r="E1033" s="30"/>
      <c r="F1033" s="30"/>
      <c r="G1033" s="31"/>
      <c r="H1033" s="30"/>
      <c r="I1033" s="31"/>
      <c r="J1033" s="30"/>
    </row>
    <row r="1034">
      <c r="A1034" s="131"/>
      <c r="B1034" s="133"/>
      <c r="C1034" s="134"/>
      <c r="D1034" s="29"/>
      <c r="E1034" s="30"/>
      <c r="F1034" s="30"/>
      <c r="G1034" s="31"/>
      <c r="H1034" s="30"/>
      <c r="I1034" s="31"/>
      <c r="J1034" s="30"/>
    </row>
    <row r="1035">
      <c r="A1035" s="131"/>
      <c r="B1035" s="133"/>
      <c r="C1035" s="134"/>
      <c r="D1035" s="29"/>
      <c r="E1035" s="30"/>
      <c r="F1035" s="30"/>
      <c r="G1035" s="31"/>
      <c r="H1035" s="30"/>
      <c r="I1035" s="31"/>
      <c r="J1035" s="30"/>
    </row>
    <row r="1036">
      <c r="A1036" s="131"/>
      <c r="B1036" s="133"/>
      <c r="C1036" s="134"/>
      <c r="D1036" s="29"/>
      <c r="E1036" s="30"/>
      <c r="F1036" s="30"/>
      <c r="G1036" s="31"/>
      <c r="H1036" s="30"/>
      <c r="I1036" s="31"/>
      <c r="J1036" s="30"/>
    </row>
    <row r="1037">
      <c r="A1037" s="131"/>
      <c r="B1037" s="133"/>
      <c r="C1037" s="134"/>
      <c r="D1037" s="29"/>
      <c r="E1037" s="30"/>
      <c r="F1037" s="30"/>
      <c r="G1037" s="31"/>
      <c r="H1037" s="30"/>
      <c r="I1037" s="31"/>
      <c r="J1037" s="30"/>
    </row>
    <row r="1038">
      <c r="A1038" s="131"/>
      <c r="B1038" s="133"/>
      <c r="C1038" s="134"/>
      <c r="D1038" s="29"/>
      <c r="E1038" s="30"/>
      <c r="F1038" s="30"/>
      <c r="G1038" s="31"/>
      <c r="H1038" s="30"/>
      <c r="I1038" s="31"/>
      <c r="J1038" s="30"/>
    </row>
    <row r="1039">
      <c r="A1039" s="131"/>
      <c r="B1039" s="133"/>
      <c r="C1039" s="134"/>
      <c r="D1039" s="29"/>
      <c r="E1039" s="30"/>
      <c r="F1039" s="30"/>
      <c r="G1039" s="31"/>
      <c r="H1039" s="30"/>
      <c r="I1039" s="31"/>
      <c r="J1039" s="30"/>
    </row>
    <row r="1040">
      <c r="A1040" s="131"/>
      <c r="B1040" s="133"/>
      <c r="C1040" s="134"/>
      <c r="D1040" s="29"/>
      <c r="E1040" s="30"/>
      <c r="F1040" s="30"/>
      <c r="G1040" s="31"/>
      <c r="H1040" s="30"/>
      <c r="I1040" s="31"/>
      <c r="J1040" s="30"/>
    </row>
    <row r="1041">
      <c r="A1041" s="131"/>
      <c r="B1041" s="133"/>
      <c r="C1041" s="134"/>
      <c r="D1041" s="29"/>
      <c r="E1041" s="30"/>
      <c r="F1041" s="30"/>
      <c r="G1041" s="31"/>
      <c r="H1041" s="30"/>
      <c r="I1041" s="31"/>
      <c r="J1041" s="30"/>
    </row>
    <row r="1042">
      <c r="A1042" s="131"/>
      <c r="B1042" s="133"/>
      <c r="C1042" s="134"/>
      <c r="D1042" s="29"/>
      <c r="E1042" s="30"/>
      <c r="F1042" s="30"/>
      <c r="G1042" s="31"/>
      <c r="H1042" s="30"/>
      <c r="I1042" s="31"/>
      <c r="J1042" s="30"/>
    </row>
    <row r="1043">
      <c r="A1043" s="131"/>
      <c r="B1043" s="133"/>
      <c r="C1043" s="134"/>
      <c r="D1043" s="29"/>
      <c r="E1043" s="30"/>
      <c r="F1043" s="30"/>
      <c r="G1043" s="31"/>
      <c r="H1043" s="30"/>
      <c r="I1043" s="31"/>
      <c r="J1043" s="30"/>
    </row>
    <row r="1044">
      <c r="A1044" s="131"/>
      <c r="B1044" s="133"/>
      <c r="C1044" s="134"/>
      <c r="D1044" s="29"/>
      <c r="E1044" s="30"/>
      <c r="F1044" s="30"/>
      <c r="G1044" s="31"/>
      <c r="H1044" s="30"/>
      <c r="I1044" s="31"/>
      <c r="J1044" s="30"/>
    </row>
    <row r="1045">
      <c r="A1045" s="131"/>
      <c r="B1045" s="133"/>
      <c r="C1045" s="134"/>
      <c r="D1045" s="29"/>
      <c r="E1045" s="30"/>
      <c r="F1045" s="30"/>
      <c r="G1045" s="31"/>
      <c r="H1045" s="30"/>
      <c r="I1045" s="31"/>
      <c r="J1045" s="30"/>
    </row>
    <row r="1046">
      <c r="A1046" s="131"/>
      <c r="B1046" s="133"/>
      <c r="C1046" s="134"/>
      <c r="D1046" s="29"/>
      <c r="E1046" s="30"/>
      <c r="F1046" s="30"/>
      <c r="G1046" s="31"/>
      <c r="H1046" s="30"/>
      <c r="I1046" s="31"/>
      <c r="J1046" s="30"/>
    </row>
    <row r="1047">
      <c r="A1047" s="131"/>
      <c r="B1047" s="133"/>
      <c r="C1047" s="134"/>
      <c r="D1047" s="29"/>
      <c r="E1047" s="30"/>
      <c r="F1047" s="30"/>
      <c r="G1047" s="31"/>
      <c r="H1047" s="30"/>
      <c r="I1047" s="31"/>
      <c r="J1047" s="30"/>
    </row>
    <row r="1048">
      <c r="A1048" s="131"/>
      <c r="B1048" s="133"/>
      <c r="C1048" s="134"/>
      <c r="D1048" s="29"/>
      <c r="E1048" s="30"/>
      <c r="F1048" s="30"/>
      <c r="G1048" s="31"/>
      <c r="H1048" s="30"/>
      <c r="I1048" s="31"/>
      <c r="J1048" s="30"/>
    </row>
    <row r="1049">
      <c r="A1049" s="131"/>
      <c r="B1049" s="133"/>
      <c r="C1049" s="134"/>
      <c r="D1049" s="29"/>
      <c r="E1049" s="30"/>
      <c r="F1049" s="30"/>
      <c r="G1049" s="31"/>
      <c r="H1049" s="30"/>
      <c r="I1049" s="31"/>
      <c r="J1049" s="30"/>
    </row>
    <row r="1050">
      <c r="A1050" s="131"/>
      <c r="B1050" s="133"/>
      <c r="C1050" s="134"/>
      <c r="D1050" s="29"/>
      <c r="E1050" s="30"/>
      <c r="F1050" s="30"/>
      <c r="G1050" s="31"/>
      <c r="H1050" s="30"/>
      <c r="I1050" s="31"/>
      <c r="J1050" s="30"/>
    </row>
    <row r="1051">
      <c r="A1051" s="131"/>
      <c r="B1051" s="133"/>
      <c r="C1051" s="134"/>
      <c r="D1051" s="29"/>
      <c r="E1051" s="30"/>
      <c r="F1051" s="30"/>
      <c r="G1051" s="31"/>
      <c r="H1051" s="30"/>
      <c r="I1051" s="31"/>
      <c r="J1051" s="30"/>
    </row>
    <row r="1052">
      <c r="A1052" s="131"/>
      <c r="B1052" s="133"/>
      <c r="C1052" s="134"/>
      <c r="D1052" s="29"/>
      <c r="E1052" s="30"/>
      <c r="F1052" s="30"/>
      <c r="G1052" s="31"/>
      <c r="H1052" s="30"/>
      <c r="I1052" s="31"/>
      <c r="J1052" s="30"/>
    </row>
    <row r="1053">
      <c r="A1053" s="131"/>
      <c r="B1053" s="133"/>
      <c r="C1053" s="134"/>
      <c r="D1053" s="29"/>
      <c r="E1053" s="30"/>
      <c r="F1053" s="30"/>
      <c r="G1053" s="31"/>
      <c r="H1053" s="30"/>
      <c r="I1053" s="31"/>
      <c r="J1053" s="30"/>
    </row>
    <row r="1054">
      <c r="A1054" s="131"/>
      <c r="B1054" s="133"/>
      <c r="C1054" s="134"/>
      <c r="D1054" s="29"/>
      <c r="E1054" s="30"/>
      <c r="F1054" s="30"/>
      <c r="G1054" s="31"/>
      <c r="H1054" s="30"/>
      <c r="I1054" s="31"/>
      <c r="J1054" s="30"/>
    </row>
    <row r="1055">
      <c r="A1055" s="131"/>
      <c r="B1055" s="133"/>
      <c r="C1055" s="134"/>
      <c r="D1055" s="29"/>
      <c r="E1055" s="30"/>
      <c r="F1055" s="30"/>
      <c r="G1055" s="31"/>
      <c r="H1055" s="30"/>
      <c r="I1055" s="31"/>
      <c r="J1055" s="30"/>
    </row>
    <row r="1056">
      <c r="A1056" s="131"/>
      <c r="B1056" s="133"/>
      <c r="C1056" s="134"/>
      <c r="D1056" s="29"/>
      <c r="E1056" s="30"/>
      <c r="F1056" s="30"/>
      <c r="G1056" s="31"/>
      <c r="H1056" s="30"/>
      <c r="I1056" s="31"/>
      <c r="J1056" s="30"/>
    </row>
    <row r="1057">
      <c r="A1057" s="131"/>
      <c r="B1057" s="133"/>
      <c r="C1057" s="134"/>
      <c r="D1057" s="29"/>
      <c r="E1057" s="30"/>
      <c r="F1057" s="30"/>
      <c r="G1057" s="31"/>
      <c r="H1057" s="30"/>
      <c r="I1057" s="31"/>
      <c r="J1057" s="30"/>
    </row>
    <row r="1058">
      <c r="A1058" s="131"/>
      <c r="B1058" s="133"/>
      <c r="C1058" s="134"/>
      <c r="D1058" s="29"/>
      <c r="E1058" s="30"/>
      <c r="F1058" s="30"/>
      <c r="G1058" s="31"/>
      <c r="H1058" s="30"/>
      <c r="I1058" s="31"/>
      <c r="J1058" s="30"/>
    </row>
    <row r="1059">
      <c r="A1059" s="131"/>
      <c r="B1059" s="133"/>
      <c r="C1059" s="134"/>
      <c r="D1059" s="29"/>
      <c r="E1059" s="30"/>
      <c r="F1059" s="30"/>
      <c r="G1059" s="31"/>
      <c r="H1059" s="30"/>
      <c r="I1059" s="31"/>
      <c r="J1059" s="30"/>
    </row>
    <row r="1060">
      <c r="A1060" s="131"/>
      <c r="B1060" s="133"/>
      <c r="C1060" s="134"/>
      <c r="D1060" s="29"/>
      <c r="E1060" s="30"/>
      <c r="F1060" s="30"/>
      <c r="G1060" s="31"/>
      <c r="H1060" s="30"/>
      <c r="I1060" s="31"/>
      <c r="J1060" s="30"/>
    </row>
    <row r="1061">
      <c r="A1061" s="131"/>
      <c r="B1061" s="133"/>
      <c r="C1061" s="134"/>
      <c r="D1061" s="29"/>
      <c r="E1061" s="30"/>
      <c r="F1061" s="30"/>
      <c r="G1061" s="31"/>
      <c r="H1061" s="30"/>
      <c r="I1061" s="31"/>
      <c r="J1061" s="30"/>
    </row>
    <row r="1062">
      <c r="A1062" s="131"/>
      <c r="B1062" s="133"/>
      <c r="C1062" s="134"/>
      <c r="D1062" s="29"/>
      <c r="E1062" s="30"/>
      <c r="F1062" s="30"/>
      <c r="G1062" s="31"/>
      <c r="H1062" s="30"/>
      <c r="I1062" s="31"/>
      <c r="J1062" s="30"/>
    </row>
    <row r="1063">
      <c r="A1063" s="131"/>
      <c r="B1063" s="133"/>
      <c r="C1063" s="134"/>
      <c r="D1063" s="29"/>
      <c r="E1063" s="30"/>
      <c r="F1063" s="30"/>
      <c r="G1063" s="31"/>
      <c r="H1063" s="30"/>
      <c r="I1063" s="31"/>
      <c r="J1063" s="30"/>
    </row>
    <row r="1064">
      <c r="A1064" s="131"/>
      <c r="B1064" s="133"/>
      <c r="C1064" s="134"/>
      <c r="D1064" s="29"/>
      <c r="E1064" s="30"/>
      <c r="F1064" s="30"/>
      <c r="G1064" s="31"/>
      <c r="H1064" s="30"/>
      <c r="I1064" s="31"/>
      <c r="J1064" s="30"/>
    </row>
    <row r="1065">
      <c r="A1065" s="131"/>
      <c r="B1065" s="133"/>
      <c r="C1065" s="134"/>
      <c r="D1065" s="29"/>
      <c r="E1065" s="30"/>
      <c r="F1065" s="30"/>
      <c r="G1065" s="31"/>
      <c r="H1065" s="30"/>
      <c r="I1065" s="31"/>
      <c r="J1065" s="30"/>
    </row>
    <row r="1066">
      <c r="A1066" s="131"/>
      <c r="B1066" s="133"/>
      <c r="C1066" s="134"/>
      <c r="D1066" s="29"/>
      <c r="E1066" s="30"/>
      <c r="F1066" s="30"/>
      <c r="G1066" s="31"/>
      <c r="H1066" s="30"/>
      <c r="I1066" s="31"/>
      <c r="J1066" s="30"/>
    </row>
    <row r="1067">
      <c r="A1067" s="131"/>
      <c r="B1067" s="133"/>
      <c r="C1067" s="134"/>
      <c r="D1067" s="29"/>
      <c r="E1067" s="30"/>
      <c r="F1067" s="30"/>
      <c r="G1067" s="31"/>
      <c r="H1067" s="30"/>
      <c r="I1067" s="31"/>
      <c r="J1067" s="30"/>
    </row>
    <row r="1068">
      <c r="A1068" s="131"/>
      <c r="B1068" s="133"/>
      <c r="C1068" s="134"/>
      <c r="D1068" s="29"/>
      <c r="E1068" s="30"/>
      <c r="F1068" s="30"/>
      <c r="G1068" s="31"/>
      <c r="H1068" s="30"/>
      <c r="I1068" s="31"/>
      <c r="J1068" s="30"/>
    </row>
    <row r="1069">
      <c r="A1069" s="131"/>
      <c r="B1069" s="133"/>
      <c r="C1069" s="134"/>
      <c r="D1069" s="29"/>
      <c r="E1069" s="30"/>
      <c r="F1069" s="30"/>
      <c r="G1069" s="31"/>
      <c r="H1069" s="30"/>
      <c r="I1069" s="31"/>
      <c r="J1069" s="30"/>
    </row>
    <row r="1070">
      <c r="A1070" s="131"/>
      <c r="B1070" s="133"/>
      <c r="C1070" s="134"/>
      <c r="D1070" s="29"/>
      <c r="E1070" s="30"/>
      <c r="F1070" s="30"/>
      <c r="G1070" s="31"/>
      <c r="H1070" s="30"/>
      <c r="I1070" s="31"/>
      <c r="J1070" s="30"/>
    </row>
    <row r="1071">
      <c r="A1071" s="131"/>
      <c r="B1071" s="133"/>
      <c r="C1071" s="134"/>
      <c r="D1071" s="29"/>
      <c r="E1071" s="30"/>
      <c r="F1071" s="30"/>
      <c r="G1071" s="31"/>
      <c r="H1071" s="30"/>
      <c r="I1071" s="31"/>
      <c r="J1071" s="30"/>
    </row>
    <row r="1072">
      <c r="A1072" s="131"/>
      <c r="B1072" s="133"/>
      <c r="C1072" s="134"/>
      <c r="D1072" s="29"/>
      <c r="E1072" s="30"/>
      <c r="F1072" s="30"/>
      <c r="G1072" s="31"/>
      <c r="H1072" s="30"/>
      <c r="I1072" s="31"/>
      <c r="J1072" s="30"/>
    </row>
    <row r="1073">
      <c r="A1073" s="131"/>
      <c r="B1073" s="133"/>
      <c r="C1073" s="134"/>
      <c r="D1073" s="29"/>
      <c r="E1073" s="30"/>
      <c r="F1073" s="30"/>
      <c r="G1073" s="31"/>
      <c r="H1073" s="30"/>
      <c r="I1073" s="31"/>
      <c r="J1073" s="30"/>
    </row>
    <row r="1074">
      <c r="A1074" s="131"/>
      <c r="B1074" s="133"/>
      <c r="C1074" s="134"/>
      <c r="D1074" s="29"/>
      <c r="E1074" s="30"/>
      <c r="F1074" s="30"/>
      <c r="G1074" s="31"/>
      <c r="H1074" s="30"/>
      <c r="I1074" s="31"/>
      <c r="J1074" s="30"/>
    </row>
    <row r="1075">
      <c r="A1075" s="131"/>
      <c r="B1075" s="133"/>
      <c r="C1075" s="134"/>
      <c r="D1075" s="29"/>
      <c r="E1075" s="30"/>
      <c r="F1075" s="30"/>
      <c r="G1075" s="31"/>
      <c r="H1075" s="30"/>
      <c r="I1075" s="31"/>
      <c r="J1075" s="30"/>
    </row>
    <row r="1076">
      <c r="A1076" s="131"/>
      <c r="B1076" s="133"/>
      <c r="C1076" s="134"/>
      <c r="D1076" s="29"/>
      <c r="E1076" s="30"/>
      <c r="F1076" s="30"/>
      <c r="G1076" s="31"/>
      <c r="H1076" s="30"/>
      <c r="I1076" s="31"/>
      <c r="J1076" s="30"/>
    </row>
    <row r="1077">
      <c r="A1077" s="131"/>
      <c r="B1077" s="133"/>
      <c r="C1077" s="134"/>
      <c r="D1077" s="29"/>
      <c r="E1077" s="30"/>
      <c r="F1077" s="30"/>
      <c r="G1077" s="31"/>
      <c r="H1077" s="30"/>
      <c r="I1077" s="31"/>
      <c r="J1077" s="30"/>
    </row>
    <row r="1078">
      <c r="A1078" s="131"/>
      <c r="B1078" s="133"/>
      <c r="C1078" s="134"/>
      <c r="D1078" s="29"/>
      <c r="E1078" s="30"/>
      <c r="F1078" s="30"/>
      <c r="G1078" s="31"/>
      <c r="H1078" s="30"/>
      <c r="I1078" s="31"/>
      <c r="J1078" s="30"/>
    </row>
    <row r="1079">
      <c r="A1079" s="131"/>
      <c r="B1079" s="133"/>
      <c r="C1079" s="134"/>
      <c r="D1079" s="29"/>
      <c r="E1079" s="30"/>
      <c r="F1079" s="30"/>
      <c r="G1079" s="31"/>
      <c r="H1079" s="30"/>
      <c r="I1079" s="31"/>
      <c r="J1079" s="30"/>
    </row>
    <row r="1080">
      <c r="A1080" s="131"/>
      <c r="B1080" s="133"/>
      <c r="C1080" s="134"/>
      <c r="D1080" s="29"/>
      <c r="E1080" s="30"/>
      <c r="F1080" s="30"/>
      <c r="G1080" s="31"/>
      <c r="H1080" s="30"/>
      <c r="I1080" s="31"/>
      <c r="J1080" s="30"/>
    </row>
    <row r="1081">
      <c r="A1081" s="131"/>
      <c r="B1081" s="133"/>
      <c r="C1081" s="134"/>
      <c r="D1081" s="29"/>
      <c r="E1081" s="30"/>
      <c r="F1081" s="30"/>
      <c r="G1081" s="31"/>
      <c r="H1081" s="30"/>
      <c r="I1081" s="31"/>
      <c r="J1081" s="30"/>
    </row>
    <row r="1082">
      <c r="A1082" s="131"/>
      <c r="B1082" s="133"/>
      <c r="C1082" s="134"/>
      <c r="D1082" s="29"/>
      <c r="E1082" s="30"/>
      <c r="F1082" s="30"/>
      <c r="G1082" s="31"/>
      <c r="H1082" s="30"/>
      <c r="I1082" s="31"/>
      <c r="J1082" s="30"/>
    </row>
    <row r="1083">
      <c r="A1083" s="131"/>
      <c r="B1083" s="133"/>
      <c r="C1083" s="134"/>
      <c r="D1083" s="29"/>
      <c r="E1083" s="30"/>
      <c r="F1083" s="30"/>
      <c r="G1083" s="31"/>
      <c r="H1083" s="30"/>
      <c r="I1083" s="31"/>
      <c r="J1083" s="30"/>
    </row>
    <row r="1084">
      <c r="A1084" s="131"/>
      <c r="B1084" s="133"/>
      <c r="C1084" s="134"/>
      <c r="D1084" s="29"/>
      <c r="E1084" s="30"/>
      <c r="F1084" s="30"/>
      <c r="G1084" s="31"/>
      <c r="H1084" s="30"/>
      <c r="I1084" s="31"/>
      <c r="J1084" s="30"/>
    </row>
    <row r="1085">
      <c r="A1085" s="131"/>
      <c r="B1085" s="133"/>
      <c r="C1085" s="134"/>
      <c r="D1085" s="29"/>
      <c r="E1085" s="30"/>
      <c r="F1085" s="30"/>
      <c r="G1085" s="31"/>
      <c r="H1085" s="30"/>
      <c r="I1085" s="31"/>
      <c r="J1085" s="30"/>
    </row>
    <row r="1086">
      <c r="A1086" s="131"/>
      <c r="B1086" s="133"/>
      <c r="C1086" s="134"/>
      <c r="D1086" s="29"/>
      <c r="E1086" s="30"/>
      <c r="F1086" s="30"/>
      <c r="G1086" s="31"/>
      <c r="H1086" s="30"/>
      <c r="I1086" s="31"/>
      <c r="J1086" s="30"/>
    </row>
    <row r="1087">
      <c r="A1087" s="131"/>
      <c r="B1087" s="133"/>
      <c r="C1087" s="134"/>
      <c r="D1087" s="29"/>
      <c r="E1087" s="30"/>
      <c r="F1087" s="30"/>
      <c r="G1087" s="31"/>
      <c r="H1087" s="30"/>
      <c r="I1087" s="31"/>
      <c r="J1087" s="30"/>
    </row>
    <row r="1088">
      <c r="A1088" s="131"/>
      <c r="B1088" s="133"/>
      <c r="C1088" s="134"/>
      <c r="D1088" s="29"/>
      <c r="E1088" s="30"/>
      <c r="F1088" s="30"/>
      <c r="G1088" s="31"/>
      <c r="H1088" s="30"/>
      <c r="I1088" s="31"/>
      <c r="J1088" s="30"/>
    </row>
    <row r="1089">
      <c r="A1089" s="131"/>
      <c r="B1089" s="133"/>
      <c r="C1089" s="134"/>
      <c r="D1089" s="29"/>
      <c r="E1089" s="30"/>
      <c r="F1089" s="30"/>
      <c r="G1089" s="31"/>
      <c r="H1089" s="30"/>
      <c r="I1089" s="31"/>
      <c r="J1089" s="30"/>
    </row>
    <row r="1090">
      <c r="A1090" s="131"/>
      <c r="B1090" s="133"/>
      <c r="C1090" s="134"/>
      <c r="D1090" s="29"/>
      <c r="E1090" s="30"/>
      <c r="F1090" s="30"/>
      <c r="G1090" s="31"/>
      <c r="H1090" s="30"/>
      <c r="I1090" s="31"/>
      <c r="J1090" s="30"/>
    </row>
    <row r="1091">
      <c r="A1091" s="131"/>
      <c r="B1091" s="133"/>
      <c r="C1091" s="134"/>
      <c r="D1091" s="29"/>
      <c r="E1091" s="30"/>
      <c r="F1091" s="30"/>
      <c r="G1091" s="31"/>
      <c r="H1091" s="30"/>
      <c r="I1091" s="31"/>
      <c r="J1091" s="30"/>
    </row>
    <row r="1092">
      <c r="A1092" s="131"/>
      <c r="B1092" s="133"/>
      <c r="C1092" s="134"/>
      <c r="D1092" s="29"/>
      <c r="E1092" s="30"/>
      <c r="F1092" s="30"/>
      <c r="G1092" s="31"/>
      <c r="H1092" s="30"/>
      <c r="I1092" s="31"/>
      <c r="J1092" s="30"/>
    </row>
    <row r="1093">
      <c r="A1093" s="131"/>
      <c r="B1093" s="133"/>
      <c r="C1093" s="134"/>
      <c r="D1093" s="29"/>
      <c r="E1093" s="30"/>
      <c r="F1093" s="30"/>
      <c r="G1093" s="31"/>
      <c r="H1093" s="30"/>
      <c r="I1093" s="31"/>
      <c r="J1093" s="30"/>
    </row>
    <row r="1094">
      <c r="A1094" s="131"/>
      <c r="B1094" s="133"/>
      <c r="C1094" s="134"/>
      <c r="D1094" s="29"/>
      <c r="E1094" s="30"/>
      <c r="F1094" s="30"/>
      <c r="G1094" s="31"/>
      <c r="H1094" s="30"/>
      <c r="I1094" s="31"/>
      <c r="J1094" s="30"/>
    </row>
    <row r="1095">
      <c r="A1095" s="131"/>
      <c r="B1095" s="133"/>
      <c r="C1095" s="134"/>
      <c r="D1095" s="29"/>
      <c r="E1095" s="30"/>
      <c r="F1095" s="30"/>
      <c r="G1095" s="31"/>
      <c r="H1095" s="30"/>
      <c r="I1095" s="31"/>
      <c r="J1095" s="30"/>
    </row>
    <row r="1096">
      <c r="A1096" s="131"/>
      <c r="B1096" s="133"/>
      <c r="C1096" s="134"/>
      <c r="D1096" s="29"/>
      <c r="E1096" s="30"/>
      <c r="F1096" s="30"/>
      <c r="G1096" s="31"/>
      <c r="H1096" s="30"/>
      <c r="I1096" s="31"/>
      <c r="J1096" s="30"/>
    </row>
    <row r="1097">
      <c r="A1097" s="131"/>
      <c r="B1097" s="133"/>
      <c r="C1097" s="134"/>
      <c r="D1097" s="29"/>
      <c r="E1097" s="30"/>
      <c r="F1097" s="30"/>
      <c r="G1097" s="31"/>
      <c r="H1097" s="30"/>
      <c r="I1097" s="31"/>
      <c r="J1097" s="30"/>
    </row>
    <row r="1098">
      <c r="A1098" s="131"/>
      <c r="B1098" s="133"/>
      <c r="C1098" s="134"/>
      <c r="D1098" s="29"/>
      <c r="E1098" s="30"/>
      <c r="F1098" s="30"/>
      <c r="G1098" s="31"/>
      <c r="H1098" s="30"/>
      <c r="I1098" s="31"/>
      <c r="J1098" s="30"/>
    </row>
    <row r="1099">
      <c r="A1099" s="131"/>
      <c r="B1099" s="133"/>
      <c r="C1099" s="134"/>
      <c r="D1099" s="29"/>
      <c r="E1099" s="30"/>
      <c r="F1099" s="30"/>
      <c r="G1099" s="31"/>
      <c r="H1099" s="30"/>
      <c r="I1099" s="31"/>
      <c r="J1099" s="30"/>
    </row>
    <row r="1100">
      <c r="A1100" s="131"/>
      <c r="B1100" s="133"/>
      <c r="C1100" s="134"/>
      <c r="D1100" s="29"/>
      <c r="E1100" s="30"/>
      <c r="F1100" s="30"/>
      <c r="G1100" s="31"/>
      <c r="H1100" s="30"/>
      <c r="I1100" s="31"/>
      <c r="J1100" s="30"/>
    </row>
    <row r="1101">
      <c r="A1101" s="131"/>
      <c r="B1101" s="133"/>
      <c r="C1101" s="134"/>
      <c r="D1101" s="29"/>
      <c r="E1101" s="30"/>
      <c r="F1101" s="30"/>
      <c r="G1101" s="31"/>
      <c r="H1101" s="30"/>
      <c r="I1101" s="31"/>
      <c r="J1101" s="30"/>
    </row>
    <row r="1102">
      <c r="A1102" s="131"/>
      <c r="B1102" s="133"/>
      <c r="C1102" s="134"/>
      <c r="D1102" s="29"/>
      <c r="E1102" s="30"/>
      <c r="F1102" s="30"/>
      <c r="G1102" s="31"/>
      <c r="H1102" s="30"/>
      <c r="I1102" s="31"/>
      <c r="J1102" s="30"/>
    </row>
    <row r="1103">
      <c r="A1103" s="131"/>
      <c r="B1103" s="133"/>
      <c r="C1103" s="134"/>
      <c r="D1103" s="29"/>
      <c r="E1103" s="30"/>
      <c r="F1103" s="30"/>
      <c r="G1103" s="31"/>
      <c r="H1103" s="30"/>
      <c r="I1103" s="31"/>
      <c r="J1103" s="30"/>
    </row>
    <row r="1104">
      <c r="A1104" s="131"/>
      <c r="B1104" s="133"/>
      <c r="C1104" s="134"/>
      <c r="D1104" s="29"/>
      <c r="E1104" s="30"/>
      <c r="F1104" s="30"/>
      <c r="G1104" s="31"/>
      <c r="H1104" s="30"/>
      <c r="I1104" s="31"/>
      <c r="J1104" s="30"/>
    </row>
    <row r="1105">
      <c r="A1105" s="131"/>
      <c r="B1105" s="133"/>
      <c r="C1105" s="134"/>
      <c r="D1105" s="29"/>
      <c r="E1105" s="30"/>
      <c r="F1105" s="30"/>
      <c r="G1105" s="31"/>
      <c r="H1105" s="30"/>
      <c r="I1105" s="31"/>
      <c r="J1105" s="30"/>
    </row>
    <row r="1106">
      <c r="A1106" s="131"/>
      <c r="B1106" s="133"/>
      <c r="C1106" s="134"/>
      <c r="D1106" s="29"/>
      <c r="E1106" s="30"/>
      <c r="F1106" s="30"/>
      <c r="G1106" s="31"/>
      <c r="H1106" s="30"/>
      <c r="I1106" s="31"/>
      <c r="J1106" s="30"/>
    </row>
    <row r="1107">
      <c r="A1107" s="131"/>
      <c r="B1107" s="133"/>
      <c r="C1107" s="134"/>
      <c r="D1107" s="29"/>
      <c r="E1107" s="30"/>
      <c r="F1107" s="30"/>
      <c r="G1107" s="31"/>
      <c r="H1107" s="30"/>
      <c r="I1107" s="31"/>
      <c r="J1107" s="30"/>
    </row>
    <row r="1108">
      <c r="A1108" s="131"/>
      <c r="B1108" s="133"/>
      <c r="C1108" s="134"/>
      <c r="D1108" s="29"/>
      <c r="E1108" s="30"/>
      <c r="F1108" s="30"/>
      <c r="G1108" s="31"/>
      <c r="H1108" s="30"/>
      <c r="I1108" s="31"/>
      <c r="J1108" s="30"/>
    </row>
    <row r="1109">
      <c r="A1109" s="131"/>
      <c r="B1109" s="133"/>
      <c r="C1109" s="134"/>
      <c r="D1109" s="29"/>
      <c r="E1109" s="30"/>
      <c r="F1109" s="30"/>
      <c r="G1109" s="31"/>
      <c r="H1109" s="30"/>
      <c r="I1109" s="31"/>
      <c r="J1109" s="30"/>
    </row>
    <row r="1110">
      <c r="A1110" s="131"/>
      <c r="B1110" s="133"/>
      <c r="C1110" s="134"/>
      <c r="D1110" s="29"/>
      <c r="E1110" s="30"/>
      <c r="F1110" s="30"/>
      <c r="G1110" s="31"/>
      <c r="H1110" s="30"/>
      <c r="I1110" s="31"/>
      <c r="J1110" s="30"/>
    </row>
    <row r="1111">
      <c r="A1111" s="131"/>
      <c r="B1111" s="133"/>
      <c r="C1111" s="134"/>
      <c r="D1111" s="29"/>
      <c r="E1111" s="30"/>
      <c r="F1111" s="30"/>
      <c r="G1111" s="31"/>
      <c r="H1111" s="30"/>
      <c r="I1111" s="31"/>
      <c r="J1111" s="30"/>
    </row>
    <row r="1112">
      <c r="A1112" s="131"/>
      <c r="B1112" s="133"/>
      <c r="C1112" s="134"/>
      <c r="D1112" s="29"/>
      <c r="E1112" s="30"/>
      <c r="F1112" s="30"/>
      <c r="G1112" s="31"/>
      <c r="H1112" s="30"/>
      <c r="I1112" s="31"/>
      <c r="J1112" s="30"/>
    </row>
    <row r="1113">
      <c r="A1113" s="131"/>
      <c r="B1113" s="133"/>
      <c r="C1113" s="134"/>
      <c r="D1113" s="29"/>
      <c r="E1113" s="30"/>
      <c r="F1113" s="30"/>
      <c r="G1113" s="31"/>
      <c r="H1113" s="30"/>
      <c r="I1113" s="31"/>
      <c r="J1113" s="30"/>
    </row>
    <row r="1114">
      <c r="A1114" s="131"/>
      <c r="B1114" s="133"/>
      <c r="C1114" s="134"/>
      <c r="D1114" s="29"/>
      <c r="E1114" s="30"/>
      <c r="F1114" s="30"/>
      <c r="G1114" s="31"/>
      <c r="H1114" s="30"/>
      <c r="I1114" s="31"/>
      <c r="J1114" s="30"/>
    </row>
    <row r="1115">
      <c r="A1115" s="131"/>
      <c r="B1115" s="133"/>
      <c r="C1115" s="134"/>
      <c r="D1115" s="29"/>
      <c r="E1115" s="30"/>
      <c r="F1115" s="30"/>
      <c r="G1115" s="31"/>
      <c r="H1115" s="30"/>
      <c r="I1115" s="31"/>
      <c r="J1115" s="30"/>
    </row>
    <row r="1116">
      <c r="A1116" s="131"/>
      <c r="B1116" s="133"/>
      <c r="C1116" s="134"/>
      <c r="D1116" s="29"/>
      <c r="E1116" s="30"/>
      <c r="F1116" s="30"/>
      <c r="G1116" s="31"/>
      <c r="H1116" s="30"/>
      <c r="I1116" s="31"/>
      <c r="J1116" s="30"/>
    </row>
    <row r="1117">
      <c r="A1117" s="131"/>
      <c r="B1117" s="133"/>
      <c r="C1117" s="134"/>
      <c r="D1117" s="29"/>
      <c r="E1117" s="30"/>
      <c r="F1117" s="30"/>
      <c r="G1117" s="31"/>
      <c r="H1117" s="30"/>
      <c r="I1117" s="31"/>
      <c r="J1117" s="30"/>
    </row>
    <row r="1118">
      <c r="A1118" s="131"/>
      <c r="B1118" s="133"/>
      <c r="C1118" s="134"/>
      <c r="D1118" s="29"/>
      <c r="E1118" s="30"/>
      <c r="F1118" s="30"/>
      <c r="G1118" s="31"/>
      <c r="H1118" s="30"/>
      <c r="I1118" s="31"/>
      <c r="J1118" s="30"/>
    </row>
    <row r="1119">
      <c r="A1119" s="131"/>
      <c r="B1119" s="133"/>
      <c r="C1119" s="134"/>
      <c r="D1119" s="29"/>
      <c r="E1119" s="30"/>
      <c r="F1119" s="30"/>
      <c r="G1119" s="31"/>
      <c r="H1119" s="30"/>
      <c r="I1119" s="31"/>
      <c r="J1119" s="30"/>
    </row>
    <row r="1120">
      <c r="A1120" s="131"/>
      <c r="B1120" s="133"/>
      <c r="C1120" s="134"/>
      <c r="D1120" s="29"/>
      <c r="E1120" s="30"/>
      <c r="F1120" s="30"/>
      <c r="G1120" s="31"/>
      <c r="H1120" s="30"/>
      <c r="I1120" s="31"/>
      <c r="J1120" s="30"/>
    </row>
    <row r="1121">
      <c r="A1121" s="131"/>
      <c r="B1121" s="133"/>
      <c r="C1121" s="134"/>
      <c r="D1121" s="29"/>
      <c r="E1121" s="30"/>
      <c r="F1121" s="30"/>
      <c r="G1121" s="31"/>
      <c r="H1121" s="30"/>
      <c r="I1121" s="31"/>
      <c r="J1121" s="30"/>
    </row>
    <row r="1122">
      <c r="A1122" s="131"/>
      <c r="B1122" s="133"/>
      <c r="C1122" s="134"/>
      <c r="D1122" s="29"/>
      <c r="E1122" s="30"/>
      <c r="F1122" s="30"/>
      <c r="G1122" s="31"/>
      <c r="H1122" s="30"/>
      <c r="I1122" s="31"/>
      <c r="J1122" s="30"/>
    </row>
    <row r="1123">
      <c r="A1123" s="131"/>
      <c r="B1123" s="133"/>
      <c r="C1123" s="134"/>
      <c r="D1123" s="29"/>
      <c r="E1123" s="30"/>
      <c r="F1123" s="30"/>
      <c r="G1123" s="31"/>
      <c r="H1123" s="30"/>
      <c r="I1123" s="31"/>
      <c r="J1123" s="30"/>
    </row>
    <row r="1124">
      <c r="A1124" s="131"/>
      <c r="B1124" s="133"/>
      <c r="C1124" s="134"/>
      <c r="D1124" s="29"/>
      <c r="E1124" s="30"/>
      <c r="F1124" s="30"/>
      <c r="G1124" s="31"/>
      <c r="H1124" s="30"/>
      <c r="I1124" s="31"/>
      <c r="J1124" s="30"/>
    </row>
    <row r="1125">
      <c r="A1125" s="131"/>
      <c r="B1125" s="133"/>
      <c r="C1125" s="134"/>
      <c r="D1125" s="29"/>
      <c r="E1125" s="30"/>
      <c r="F1125" s="30"/>
      <c r="G1125" s="31"/>
      <c r="H1125" s="30"/>
      <c r="I1125" s="31"/>
      <c r="J1125" s="30"/>
    </row>
    <row r="1126">
      <c r="A1126" s="131"/>
      <c r="B1126" s="133"/>
      <c r="C1126" s="134"/>
      <c r="D1126" s="29"/>
      <c r="E1126" s="30"/>
      <c r="F1126" s="30"/>
      <c r="G1126" s="31"/>
      <c r="H1126" s="30"/>
      <c r="I1126" s="31"/>
      <c r="J1126" s="30"/>
    </row>
    <row r="1127">
      <c r="A1127" s="131"/>
      <c r="B1127" s="133"/>
      <c r="C1127" s="134"/>
      <c r="D1127" s="29"/>
      <c r="E1127" s="30"/>
      <c r="F1127" s="30"/>
      <c r="G1127" s="31"/>
      <c r="H1127" s="30"/>
      <c r="I1127" s="31"/>
      <c r="J1127" s="30"/>
    </row>
    <row r="1128">
      <c r="A1128" s="131"/>
      <c r="B1128" s="133"/>
      <c r="C1128" s="134"/>
      <c r="D1128" s="29"/>
      <c r="E1128" s="30"/>
      <c r="F1128" s="30"/>
      <c r="G1128" s="31"/>
      <c r="H1128" s="30"/>
      <c r="I1128" s="31"/>
      <c r="J1128" s="30"/>
    </row>
    <row r="1129">
      <c r="A1129" s="131"/>
      <c r="B1129" s="133"/>
      <c r="C1129" s="134"/>
      <c r="D1129" s="29"/>
      <c r="E1129" s="30"/>
      <c r="F1129" s="30"/>
      <c r="G1129" s="31"/>
      <c r="H1129" s="30"/>
      <c r="I1129" s="31"/>
      <c r="J1129" s="30"/>
    </row>
    <row r="1130">
      <c r="A1130" s="131"/>
      <c r="B1130" s="133"/>
      <c r="C1130" s="134"/>
      <c r="D1130" s="29"/>
      <c r="E1130" s="30"/>
      <c r="F1130" s="30"/>
      <c r="G1130" s="31"/>
      <c r="H1130" s="30"/>
      <c r="I1130" s="31"/>
      <c r="J1130" s="30"/>
    </row>
    <row r="1131">
      <c r="A1131" s="131"/>
      <c r="B1131" s="133"/>
      <c r="C1131" s="134"/>
      <c r="D1131" s="29"/>
      <c r="E1131" s="30"/>
      <c r="F1131" s="30"/>
      <c r="G1131" s="31"/>
      <c r="H1131" s="30"/>
      <c r="I1131" s="31"/>
      <c r="J1131" s="30"/>
    </row>
    <row r="1132">
      <c r="A1132" s="131"/>
      <c r="B1132" s="133"/>
      <c r="C1132" s="134"/>
      <c r="D1132" s="29"/>
      <c r="E1132" s="30"/>
      <c r="F1132" s="30"/>
      <c r="G1132" s="31"/>
      <c r="H1132" s="30"/>
      <c r="I1132" s="31"/>
      <c r="J1132" s="30"/>
    </row>
    <row r="1133">
      <c r="A1133" s="131"/>
      <c r="B1133" s="133"/>
      <c r="C1133" s="134"/>
      <c r="D1133" s="29"/>
      <c r="E1133" s="30"/>
      <c r="F1133" s="30"/>
      <c r="G1133" s="31"/>
      <c r="H1133" s="30"/>
      <c r="I1133" s="31"/>
      <c r="J1133" s="30"/>
    </row>
    <row r="1134">
      <c r="A1134" s="131"/>
      <c r="B1134" s="133"/>
      <c r="C1134" s="134"/>
      <c r="D1134" s="29"/>
      <c r="E1134" s="30"/>
      <c r="F1134" s="30"/>
      <c r="G1134" s="31"/>
      <c r="H1134" s="30"/>
      <c r="I1134" s="31"/>
      <c r="J1134" s="30"/>
    </row>
    <row r="1135">
      <c r="A1135" s="131"/>
      <c r="B1135" s="133"/>
      <c r="C1135" s="134"/>
      <c r="D1135" s="29"/>
      <c r="E1135" s="30"/>
      <c r="F1135" s="30"/>
      <c r="G1135" s="31"/>
      <c r="H1135" s="30"/>
      <c r="I1135" s="31"/>
      <c r="J1135" s="30"/>
    </row>
    <row r="1136">
      <c r="A1136" s="131"/>
      <c r="B1136" s="133"/>
      <c r="C1136" s="134"/>
      <c r="D1136" s="29"/>
      <c r="E1136" s="30"/>
      <c r="F1136" s="30"/>
      <c r="G1136" s="31"/>
      <c r="H1136" s="30"/>
      <c r="I1136" s="31"/>
      <c r="J1136" s="30"/>
    </row>
    <row r="1137">
      <c r="A1137" s="131"/>
      <c r="B1137" s="133"/>
      <c r="C1137" s="134"/>
      <c r="D1137" s="29"/>
      <c r="E1137" s="30"/>
      <c r="F1137" s="30"/>
      <c r="G1137" s="31"/>
      <c r="H1137" s="30"/>
      <c r="I1137" s="31"/>
      <c r="J1137" s="30"/>
    </row>
    <row r="1138">
      <c r="A1138" s="131"/>
      <c r="B1138" s="133"/>
      <c r="C1138" s="134"/>
      <c r="D1138" s="29"/>
      <c r="E1138" s="30"/>
      <c r="F1138" s="30"/>
      <c r="G1138" s="31"/>
      <c r="H1138" s="30"/>
      <c r="I1138" s="31"/>
      <c r="J1138" s="30"/>
    </row>
    <row r="1139">
      <c r="A1139" s="131"/>
      <c r="B1139" s="133"/>
      <c r="C1139" s="134"/>
      <c r="D1139" s="29"/>
      <c r="E1139" s="30"/>
      <c r="F1139" s="30"/>
      <c r="G1139" s="31"/>
      <c r="H1139" s="30"/>
      <c r="I1139" s="31"/>
      <c r="J1139" s="30"/>
    </row>
    <row r="1140">
      <c r="A1140" s="131"/>
      <c r="B1140" s="133"/>
      <c r="C1140" s="134"/>
      <c r="D1140" s="29"/>
      <c r="E1140" s="30"/>
      <c r="F1140" s="30"/>
      <c r="G1140" s="31"/>
      <c r="H1140" s="30"/>
      <c r="I1140" s="31"/>
      <c r="J1140" s="30"/>
    </row>
    <row r="1141">
      <c r="A1141" s="131"/>
      <c r="B1141" s="133"/>
      <c r="C1141" s="134"/>
      <c r="D1141" s="29"/>
      <c r="E1141" s="30"/>
      <c r="F1141" s="30"/>
      <c r="G1141" s="31"/>
      <c r="H1141" s="30"/>
      <c r="I1141" s="31"/>
      <c r="J1141" s="30"/>
    </row>
    <row r="1142">
      <c r="A1142" s="131"/>
      <c r="B1142" s="133"/>
      <c r="C1142" s="134"/>
      <c r="D1142" s="29"/>
      <c r="E1142" s="30"/>
      <c r="F1142" s="30"/>
      <c r="G1142" s="31"/>
      <c r="H1142" s="30"/>
      <c r="I1142" s="31"/>
      <c r="J1142" s="30"/>
    </row>
    <row r="1143">
      <c r="A1143" s="131"/>
      <c r="B1143" s="133"/>
      <c r="C1143" s="134"/>
      <c r="D1143" s="29"/>
      <c r="E1143" s="30"/>
      <c r="F1143" s="30"/>
      <c r="G1143" s="31"/>
      <c r="H1143" s="30"/>
      <c r="I1143" s="31"/>
      <c r="J1143" s="30"/>
    </row>
    <row r="1144">
      <c r="A1144" s="131"/>
      <c r="B1144" s="133"/>
      <c r="C1144" s="134"/>
      <c r="D1144" s="29"/>
      <c r="E1144" s="30"/>
      <c r="F1144" s="30"/>
      <c r="G1144" s="31"/>
      <c r="H1144" s="30"/>
      <c r="I1144" s="31"/>
      <c r="J1144" s="30"/>
    </row>
    <row r="1145">
      <c r="A1145" s="131"/>
      <c r="B1145" s="133"/>
      <c r="C1145" s="134"/>
      <c r="D1145" s="29"/>
      <c r="E1145" s="30"/>
      <c r="F1145" s="30"/>
      <c r="G1145" s="31"/>
      <c r="H1145" s="30"/>
      <c r="I1145" s="31"/>
      <c r="J1145" s="30"/>
    </row>
    <row r="1146">
      <c r="A1146" s="131"/>
      <c r="B1146" s="133"/>
      <c r="C1146" s="134"/>
      <c r="D1146" s="29"/>
      <c r="E1146" s="30"/>
      <c r="F1146" s="30"/>
      <c r="G1146" s="31"/>
      <c r="H1146" s="30"/>
      <c r="I1146" s="31"/>
      <c r="J1146" s="30"/>
    </row>
    <row r="1147">
      <c r="A1147" s="131"/>
      <c r="B1147" s="133"/>
      <c r="C1147" s="134"/>
      <c r="D1147" s="29"/>
      <c r="E1147" s="30"/>
      <c r="F1147" s="30"/>
      <c r="G1147" s="31"/>
      <c r="H1147" s="30"/>
      <c r="I1147" s="31"/>
      <c r="J1147" s="30"/>
    </row>
    <row r="1148">
      <c r="A1148" s="131"/>
      <c r="B1148" s="133"/>
      <c r="C1148" s="134"/>
      <c r="D1148" s="29"/>
      <c r="E1148" s="30"/>
      <c r="F1148" s="30"/>
      <c r="G1148" s="31"/>
      <c r="H1148" s="30"/>
      <c r="I1148" s="31"/>
      <c r="J1148" s="30"/>
    </row>
    <row r="1149">
      <c r="A1149" s="131"/>
      <c r="B1149" s="133"/>
      <c r="C1149" s="134"/>
      <c r="D1149" s="29"/>
      <c r="E1149" s="30"/>
      <c r="F1149" s="30"/>
      <c r="G1149" s="31"/>
      <c r="H1149" s="30"/>
      <c r="I1149" s="31"/>
      <c r="J1149" s="30"/>
    </row>
    <row r="1150">
      <c r="A1150" s="131"/>
      <c r="B1150" s="133"/>
      <c r="C1150" s="134"/>
      <c r="D1150" s="29"/>
      <c r="E1150" s="30"/>
      <c r="F1150" s="30"/>
      <c r="G1150" s="31"/>
      <c r="H1150" s="30"/>
      <c r="I1150" s="31"/>
      <c r="J1150" s="30"/>
    </row>
    <row r="1151">
      <c r="A1151" s="131"/>
      <c r="B1151" s="133"/>
      <c r="C1151" s="134"/>
      <c r="D1151" s="29"/>
      <c r="E1151" s="30"/>
      <c r="F1151" s="30"/>
      <c r="G1151" s="31"/>
      <c r="H1151" s="30"/>
      <c r="I1151" s="31"/>
      <c r="J1151" s="30"/>
    </row>
    <row r="1152">
      <c r="A1152" s="131"/>
      <c r="B1152" s="133"/>
      <c r="C1152" s="134"/>
      <c r="D1152" s="29"/>
      <c r="E1152" s="30"/>
      <c r="F1152" s="30"/>
      <c r="G1152" s="31"/>
      <c r="H1152" s="30"/>
      <c r="I1152" s="31"/>
      <c r="J1152" s="30"/>
    </row>
    <row r="1153">
      <c r="A1153" s="131"/>
      <c r="B1153" s="133"/>
      <c r="C1153" s="134"/>
      <c r="D1153" s="29"/>
      <c r="E1153" s="30"/>
      <c r="F1153" s="30"/>
      <c r="G1153" s="31"/>
      <c r="H1153" s="30"/>
      <c r="I1153" s="31"/>
      <c r="J1153" s="30"/>
    </row>
    <row r="1154">
      <c r="A1154" s="131"/>
      <c r="B1154" s="133"/>
      <c r="C1154" s="134"/>
      <c r="D1154" s="29"/>
      <c r="E1154" s="30"/>
      <c r="F1154" s="30"/>
      <c r="G1154" s="31"/>
      <c r="H1154" s="30"/>
      <c r="I1154" s="31"/>
      <c r="J1154" s="30"/>
    </row>
    <row r="1155">
      <c r="A1155" s="131"/>
      <c r="B1155" s="133"/>
      <c r="C1155" s="134"/>
      <c r="D1155" s="29"/>
      <c r="E1155" s="30"/>
      <c r="F1155" s="30"/>
      <c r="G1155" s="31"/>
      <c r="H1155" s="30"/>
      <c r="I1155" s="31"/>
      <c r="J1155" s="30"/>
    </row>
    <row r="1156">
      <c r="A1156" s="131"/>
      <c r="B1156" s="133"/>
      <c r="C1156" s="134"/>
      <c r="D1156" s="29"/>
      <c r="E1156" s="30"/>
      <c r="F1156" s="30"/>
      <c r="G1156" s="31"/>
      <c r="H1156" s="30"/>
      <c r="I1156" s="31"/>
      <c r="J1156" s="30"/>
    </row>
    <row r="1157">
      <c r="A1157" s="131"/>
      <c r="B1157" s="133"/>
      <c r="C1157" s="134"/>
      <c r="D1157" s="29"/>
      <c r="E1157" s="30"/>
      <c r="F1157" s="30"/>
      <c r="G1157" s="31"/>
      <c r="H1157" s="30"/>
      <c r="I1157" s="31"/>
      <c r="J1157" s="30"/>
    </row>
    <row r="1158">
      <c r="A1158" s="131"/>
      <c r="B1158" s="133"/>
      <c r="C1158" s="134"/>
      <c r="D1158" s="29"/>
      <c r="E1158" s="30"/>
      <c r="F1158" s="30"/>
      <c r="G1158" s="31"/>
      <c r="H1158" s="30"/>
      <c r="I1158" s="31"/>
      <c r="J1158" s="30"/>
    </row>
    <row r="1159">
      <c r="A1159" s="131"/>
      <c r="B1159" s="133"/>
      <c r="C1159" s="134"/>
      <c r="D1159" s="29"/>
      <c r="E1159" s="30"/>
      <c r="F1159" s="30"/>
      <c r="G1159" s="31"/>
      <c r="H1159" s="30"/>
      <c r="I1159" s="31"/>
      <c r="J1159" s="30"/>
    </row>
    <row r="1160">
      <c r="A1160" s="131"/>
      <c r="B1160" s="133"/>
      <c r="C1160" s="134"/>
      <c r="D1160" s="29"/>
      <c r="E1160" s="30"/>
      <c r="F1160" s="30"/>
      <c r="G1160" s="31"/>
      <c r="H1160" s="30"/>
      <c r="I1160" s="31"/>
      <c r="J1160" s="30"/>
    </row>
    <row r="1161">
      <c r="A1161" s="131"/>
      <c r="B1161" s="133"/>
      <c r="C1161" s="134"/>
      <c r="D1161" s="29"/>
      <c r="E1161" s="30"/>
      <c r="F1161" s="30"/>
      <c r="G1161" s="31"/>
      <c r="H1161" s="30"/>
      <c r="I1161" s="31"/>
      <c r="J1161" s="30"/>
    </row>
    <row r="1162">
      <c r="A1162" s="131"/>
      <c r="B1162" s="133"/>
      <c r="C1162" s="134"/>
      <c r="D1162" s="29"/>
      <c r="E1162" s="30"/>
      <c r="F1162" s="30"/>
      <c r="G1162" s="31"/>
      <c r="H1162" s="30"/>
      <c r="I1162" s="31"/>
      <c r="J1162" s="30"/>
    </row>
    <row r="1163">
      <c r="A1163" s="131"/>
      <c r="B1163" s="133"/>
      <c r="C1163" s="134"/>
      <c r="D1163" s="29"/>
      <c r="E1163" s="30"/>
      <c r="F1163" s="30"/>
      <c r="G1163" s="31"/>
      <c r="H1163" s="30"/>
      <c r="I1163" s="31"/>
      <c r="J1163" s="30"/>
    </row>
    <row r="1164">
      <c r="A1164" s="131"/>
      <c r="B1164" s="133"/>
      <c r="C1164" s="134"/>
      <c r="D1164" s="29"/>
      <c r="E1164" s="30"/>
      <c r="F1164" s="30"/>
      <c r="G1164" s="31"/>
      <c r="H1164" s="30"/>
      <c r="I1164" s="31"/>
      <c r="J1164" s="30"/>
    </row>
    <row r="1165">
      <c r="A1165" s="131"/>
      <c r="B1165" s="133"/>
      <c r="C1165" s="134"/>
      <c r="D1165" s="29"/>
      <c r="E1165" s="30"/>
      <c r="F1165" s="30"/>
      <c r="G1165" s="31"/>
      <c r="H1165" s="30"/>
      <c r="I1165" s="31"/>
      <c r="J1165" s="30"/>
    </row>
    <row r="1166">
      <c r="A1166" s="131"/>
      <c r="B1166" s="133"/>
      <c r="C1166" s="134"/>
      <c r="D1166" s="29"/>
      <c r="E1166" s="30"/>
      <c r="F1166" s="30"/>
      <c r="G1166" s="31"/>
      <c r="H1166" s="30"/>
      <c r="I1166" s="31"/>
      <c r="J1166" s="30"/>
    </row>
    <row r="1167">
      <c r="A1167" s="131"/>
      <c r="B1167" s="133"/>
      <c r="C1167" s="134"/>
      <c r="D1167" s="29"/>
      <c r="E1167" s="30"/>
      <c r="F1167" s="30"/>
      <c r="G1167" s="31"/>
      <c r="H1167" s="30"/>
      <c r="I1167" s="31"/>
      <c r="J1167" s="30"/>
    </row>
    <row r="1168">
      <c r="A1168" s="131"/>
      <c r="B1168" s="133"/>
      <c r="C1168" s="134"/>
      <c r="D1168" s="29"/>
      <c r="E1168" s="30"/>
      <c r="F1168" s="30"/>
      <c r="G1168" s="31"/>
      <c r="H1168" s="30"/>
      <c r="I1168" s="31"/>
      <c r="J1168" s="30"/>
    </row>
    <row r="1169">
      <c r="A1169" s="131"/>
      <c r="B1169" s="133"/>
      <c r="C1169" s="134"/>
      <c r="D1169" s="29"/>
      <c r="E1169" s="30"/>
      <c r="F1169" s="30"/>
      <c r="G1169" s="31"/>
      <c r="H1169" s="30"/>
      <c r="I1169" s="31"/>
      <c r="J1169" s="30"/>
    </row>
    <row r="1170">
      <c r="A1170" s="131"/>
      <c r="B1170" s="133"/>
      <c r="C1170" s="134"/>
      <c r="D1170" s="29"/>
      <c r="E1170" s="30"/>
      <c r="F1170" s="30"/>
      <c r="G1170" s="31"/>
      <c r="H1170" s="30"/>
      <c r="I1170" s="31"/>
      <c r="J1170" s="30"/>
    </row>
    <row r="1171">
      <c r="A1171" s="131"/>
      <c r="B1171" s="133"/>
      <c r="C1171" s="134"/>
      <c r="D1171" s="29"/>
      <c r="E1171" s="30"/>
      <c r="F1171" s="30"/>
      <c r="G1171" s="31"/>
      <c r="H1171" s="30"/>
      <c r="I1171" s="31"/>
      <c r="J1171" s="30"/>
    </row>
    <row r="1172">
      <c r="A1172" s="131"/>
      <c r="B1172" s="133"/>
      <c r="C1172" s="134"/>
      <c r="D1172" s="29"/>
      <c r="E1172" s="30"/>
      <c r="F1172" s="30"/>
      <c r="G1172" s="31"/>
      <c r="H1172" s="30"/>
      <c r="I1172" s="31"/>
      <c r="J1172" s="30"/>
    </row>
    <row r="1173">
      <c r="A1173" s="131"/>
      <c r="B1173" s="133"/>
      <c r="C1173" s="134"/>
      <c r="D1173" s="29"/>
      <c r="E1173" s="30"/>
      <c r="F1173" s="30"/>
      <c r="G1173" s="31"/>
      <c r="H1173" s="30"/>
      <c r="I1173" s="31"/>
      <c r="J1173" s="30"/>
    </row>
    <row r="1174">
      <c r="A1174" s="131"/>
      <c r="B1174" s="133"/>
      <c r="C1174" s="134"/>
      <c r="D1174" s="29"/>
      <c r="E1174" s="30"/>
      <c r="F1174" s="30"/>
      <c r="G1174" s="31"/>
      <c r="H1174" s="30"/>
      <c r="I1174" s="31"/>
      <c r="J1174" s="30"/>
    </row>
    <row r="1175">
      <c r="A1175" s="131"/>
      <c r="B1175" s="133"/>
      <c r="C1175" s="134"/>
      <c r="D1175" s="29"/>
      <c r="E1175" s="30"/>
      <c r="F1175" s="30"/>
      <c r="G1175" s="31"/>
      <c r="H1175" s="30"/>
      <c r="I1175" s="31"/>
      <c r="J1175" s="30"/>
    </row>
    <row r="1176">
      <c r="A1176" s="131"/>
      <c r="B1176" s="133"/>
      <c r="C1176" s="134"/>
      <c r="D1176" s="29"/>
      <c r="E1176" s="30"/>
      <c r="F1176" s="30"/>
      <c r="G1176" s="31"/>
      <c r="H1176" s="30"/>
      <c r="I1176" s="31"/>
      <c r="J1176" s="30"/>
    </row>
    <row r="1177">
      <c r="A1177" s="131"/>
      <c r="B1177" s="133"/>
      <c r="C1177" s="134"/>
      <c r="D1177" s="29"/>
      <c r="E1177" s="30"/>
      <c r="F1177" s="30"/>
      <c r="G1177" s="31"/>
      <c r="H1177" s="30"/>
      <c r="I1177" s="31"/>
      <c r="J1177" s="30"/>
    </row>
    <row r="1178">
      <c r="A1178" s="131"/>
      <c r="B1178" s="133"/>
      <c r="C1178" s="134"/>
      <c r="D1178" s="29"/>
      <c r="E1178" s="30"/>
      <c r="F1178" s="30"/>
      <c r="G1178" s="31"/>
      <c r="H1178" s="30"/>
      <c r="I1178" s="31"/>
      <c r="J1178" s="30"/>
    </row>
    <row r="1179">
      <c r="A1179" s="131"/>
      <c r="B1179" s="133"/>
      <c r="C1179" s="134"/>
      <c r="D1179" s="29"/>
      <c r="E1179" s="30"/>
      <c r="F1179" s="30"/>
      <c r="G1179" s="31"/>
      <c r="H1179" s="30"/>
      <c r="I1179" s="31"/>
      <c r="J1179" s="30"/>
    </row>
    <row r="1180">
      <c r="A1180" s="131"/>
      <c r="B1180" s="133"/>
      <c r="C1180" s="134"/>
      <c r="D1180" s="29"/>
      <c r="E1180" s="30"/>
      <c r="F1180" s="30"/>
      <c r="G1180" s="31"/>
      <c r="H1180" s="30"/>
      <c r="I1180" s="31"/>
      <c r="J1180" s="30"/>
    </row>
    <row r="1181">
      <c r="A1181" s="131"/>
      <c r="B1181" s="133"/>
      <c r="C1181" s="134"/>
      <c r="D1181" s="29"/>
      <c r="E1181" s="30"/>
      <c r="F1181" s="30"/>
      <c r="G1181" s="31"/>
      <c r="H1181" s="30"/>
      <c r="I1181" s="31"/>
      <c r="J1181" s="30"/>
    </row>
    <row r="1182">
      <c r="A1182" s="131"/>
      <c r="B1182" s="133"/>
      <c r="C1182" s="134"/>
      <c r="D1182" s="29"/>
      <c r="E1182" s="30"/>
      <c r="F1182" s="30"/>
      <c r="G1182" s="31"/>
      <c r="H1182" s="30"/>
      <c r="I1182" s="31"/>
      <c r="J1182" s="30"/>
    </row>
    <row r="1183">
      <c r="A1183" s="131"/>
      <c r="B1183" s="133"/>
      <c r="C1183" s="134"/>
      <c r="D1183" s="29"/>
      <c r="E1183" s="30"/>
      <c r="F1183" s="30"/>
      <c r="G1183" s="31"/>
      <c r="H1183" s="30"/>
      <c r="I1183" s="31"/>
      <c r="J1183" s="30"/>
    </row>
    <row r="1184">
      <c r="A1184" s="131"/>
      <c r="B1184" s="133"/>
      <c r="C1184" s="134"/>
      <c r="D1184" s="29"/>
      <c r="E1184" s="30"/>
      <c r="F1184" s="30"/>
      <c r="G1184" s="31"/>
      <c r="H1184" s="30"/>
      <c r="I1184" s="31"/>
      <c r="J1184" s="30"/>
    </row>
    <row r="1185">
      <c r="A1185" s="131"/>
      <c r="B1185" s="133"/>
      <c r="C1185" s="134"/>
      <c r="D1185" s="29"/>
      <c r="E1185" s="30"/>
      <c r="F1185" s="30"/>
      <c r="G1185" s="31"/>
      <c r="H1185" s="30"/>
      <c r="I1185" s="31"/>
      <c r="J1185" s="30"/>
    </row>
    <row r="1186">
      <c r="A1186" s="131"/>
      <c r="B1186" s="133"/>
      <c r="C1186" s="134"/>
      <c r="D1186" s="29"/>
      <c r="E1186" s="30"/>
      <c r="F1186" s="30"/>
      <c r="G1186" s="31"/>
      <c r="H1186" s="30"/>
      <c r="I1186" s="31"/>
      <c r="J1186" s="30"/>
    </row>
    <row r="1187">
      <c r="A1187" s="131"/>
      <c r="B1187" s="133"/>
      <c r="C1187" s="134"/>
      <c r="D1187" s="29"/>
      <c r="E1187" s="30"/>
      <c r="F1187" s="30"/>
      <c r="G1187" s="31"/>
      <c r="H1187" s="30"/>
      <c r="I1187" s="31"/>
      <c r="J1187" s="30"/>
    </row>
    <row r="1188">
      <c r="A1188" s="131"/>
      <c r="B1188" s="133"/>
      <c r="C1188" s="134"/>
      <c r="D1188" s="29"/>
      <c r="E1188" s="30"/>
      <c r="F1188" s="30"/>
      <c r="G1188" s="31"/>
      <c r="H1188" s="30"/>
      <c r="I1188" s="31"/>
      <c r="J1188" s="30"/>
    </row>
    <row r="1189">
      <c r="A1189" s="131"/>
      <c r="B1189" s="133"/>
      <c r="C1189" s="134"/>
      <c r="D1189" s="29"/>
      <c r="E1189" s="30"/>
      <c r="F1189" s="30"/>
      <c r="G1189" s="31"/>
      <c r="H1189" s="30"/>
      <c r="I1189" s="31"/>
      <c r="J1189" s="30"/>
    </row>
    <row r="1190">
      <c r="A1190" s="131"/>
      <c r="B1190" s="133"/>
      <c r="C1190" s="134"/>
      <c r="D1190" s="29"/>
      <c r="E1190" s="30"/>
      <c r="F1190" s="30"/>
      <c r="G1190" s="31"/>
      <c r="H1190" s="30"/>
      <c r="I1190" s="31"/>
      <c r="J1190" s="30"/>
    </row>
    <row r="1191">
      <c r="A1191" s="131"/>
      <c r="B1191" s="133"/>
      <c r="C1191" s="134"/>
      <c r="D1191" s="29"/>
      <c r="E1191" s="30"/>
      <c r="F1191" s="30"/>
      <c r="G1191" s="31"/>
      <c r="H1191" s="30"/>
      <c r="I1191" s="31"/>
      <c r="J1191" s="30"/>
    </row>
    <row r="1192">
      <c r="A1192" s="131"/>
      <c r="B1192" s="133"/>
      <c r="C1192" s="134"/>
      <c r="D1192" s="29"/>
      <c r="E1192" s="30"/>
      <c r="F1192" s="30"/>
      <c r="G1192" s="31"/>
      <c r="H1192" s="30"/>
      <c r="I1192" s="31"/>
      <c r="J1192" s="30"/>
    </row>
    <row r="1193">
      <c r="A1193" s="131"/>
      <c r="B1193" s="133"/>
      <c r="C1193" s="134"/>
      <c r="D1193" s="29"/>
      <c r="E1193" s="30"/>
      <c r="F1193" s="30"/>
      <c r="G1193" s="31"/>
      <c r="H1193" s="30"/>
      <c r="I1193" s="31"/>
      <c r="J1193" s="30"/>
    </row>
    <row r="1194">
      <c r="A1194" s="131"/>
      <c r="B1194" s="133"/>
      <c r="C1194" s="134"/>
      <c r="D1194" s="29"/>
      <c r="E1194" s="30"/>
      <c r="F1194" s="30"/>
      <c r="G1194" s="31"/>
      <c r="H1194" s="30"/>
      <c r="I1194" s="31"/>
      <c r="J1194" s="30"/>
    </row>
    <row r="1195">
      <c r="A1195" s="131"/>
      <c r="B1195" s="133"/>
      <c r="C1195" s="134"/>
      <c r="D1195" s="29"/>
      <c r="E1195" s="30"/>
      <c r="F1195" s="30"/>
      <c r="G1195" s="31"/>
      <c r="H1195" s="30"/>
      <c r="I1195" s="31"/>
      <c r="J1195" s="30"/>
    </row>
    <row r="1196">
      <c r="A1196" s="131"/>
      <c r="B1196" s="133"/>
      <c r="C1196" s="134"/>
      <c r="D1196" s="29"/>
      <c r="E1196" s="30"/>
      <c r="F1196" s="30"/>
      <c r="G1196" s="31"/>
      <c r="H1196" s="30"/>
      <c r="I1196" s="31"/>
      <c r="J1196" s="30"/>
    </row>
    <row r="1197">
      <c r="A1197" s="131"/>
      <c r="B1197" s="133"/>
      <c r="C1197" s="134"/>
      <c r="D1197" s="29"/>
      <c r="E1197" s="30"/>
      <c r="F1197" s="30"/>
      <c r="G1197" s="31"/>
      <c r="H1197" s="30"/>
      <c r="I1197" s="31"/>
      <c r="J1197" s="30"/>
    </row>
    <row r="1198">
      <c r="A1198" s="131"/>
      <c r="B1198" s="133"/>
      <c r="C1198" s="134"/>
      <c r="D1198" s="29"/>
      <c r="E1198" s="30"/>
      <c r="F1198" s="30"/>
      <c r="G1198" s="31"/>
      <c r="H1198" s="30"/>
      <c r="I1198" s="31"/>
      <c r="J1198" s="30"/>
    </row>
    <row r="1199">
      <c r="A1199" s="131"/>
      <c r="B1199" s="133"/>
      <c r="C1199" s="134"/>
      <c r="D1199" s="29"/>
      <c r="E1199" s="30"/>
      <c r="F1199" s="30"/>
      <c r="G1199" s="31"/>
      <c r="H1199" s="30"/>
      <c r="I1199" s="31"/>
      <c r="J1199" s="30"/>
    </row>
    <row r="1200">
      <c r="A1200" s="131"/>
      <c r="B1200" s="133"/>
      <c r="C1200" s="134"/>
      <c r="D1200" s="29"/>
      <c r="E1200" s="30"/>
      <c r="F1200" s="30"/>
      <c r="G1200" s="31"/>
      <c r="H1200" s="30"/>
      <c r="I1200" s="31"/>
      <c r="J1200" s="30"/>
    </row>
    <row r="1201">
      <c r="A1201" s="131"/>
      <c r="B1201" s="133"/>
      <c r="C1201" s="134"/>
      <c r="D1201" s="29"/>
      <c r="E1201" s="30"/>
      <c r="F1201" s="30"/>
      <c r="G1201" s="31"/>
      <c r="H1201" s="30"/>
      <c r="I1201" s="31"/>
      <c r="J1201" s="30"/>
    </row>
    <row r="1202">
      <c r="A1202" s="131"/>
      <c r="B1202" s="133"/>
      <c r="C1202" s="134"/>
      <c r="D1202" s="29"/>
      <c r="E1202" s="30"/>
      <c r="F1202" s="30"/>
      <c r="G1202" s="31"/>
      <c r="H1202" s="30"/>
      <c r="I1202" s="31"/>
      <c r="J1202" s="30"/>
    </row>
    <row r="1203">
      <c r="A1203" s="131"/>
      <c r="B1203" s="133"/>
      <c r="C1203" s="134"/>
      <c r="D1203" s="29"/>
      <c r="E1203" s="30"/>
      <c r="F1203" s="30"/>
      <c r="G1203" s="31"/>
      <c r="H1203" s="30"/>
      <c r="I1203" s="31"/>
      <c r="J1203" s="30"/>
    </row>
    <row r="1204">
      <c r="A1204" s="131"/>
      <c r="B1204" s="133"/>
      <c r="C1204" s="134"/>
      <c r="D1204" s="29"/>
      <c r="E1204" s="30"/>
      <c r="F1204" s="30"/>
      <c r="G1204" s="31"/>
      <c r="H1204" s="30"/>
      <c r="I1204" s="31"/>
      <c r="J1204" s="30"/>
    </row>
    <row r="1205">
      <c r="A1205" s="131"/>
      <c r="B1205" s="133"/>
      <c r="C1205" s="134"/>
      <c r="D1205" s="29"/>
      <c r="E1205" s="30"/>
      <c r="F1205" s="30"/>
      <c r="G1205" s="31"/>
      <c r="H1205" s="30"/>
      <c r="I1205" s="31"/>
      <c r="J1205" s="30"/>
    </row>
    <row r="1206">
      <c r="A1206" s="131"/>
      <c r="B1206" s="133"/>
      <c r="C1206" s="134"/>
      <c r="D1206" s="29"/>
      <c r="E1206" s="30"/>
      <c r="F1206" s="30"/>
      <c r="G1206" s="31"/>
      <c r="H1206" s="30"/>
      <c r="I1206" s="31"/>
      <c r="J1206" s="30"/>
    </row>
    <row r="1207">
      <c r="A1207" s="131"/>
      <c r="B1207" s="133"/>
      <c r="C1207" s="134"/>
      <c r="D1207" s="29"/>
      <c r="E1207" s="30"/>
      <c r="F1207" s="30"/>
      <c r="G1207" s="31"/>
      <c r="H1207" s="30"/>
      <c r="I1207" s="31"/>
      <c r="J1207" s="30"/>
    </row>
    <row r="1208">
      <c r="A1208" s="131"/>
      <c r="B1208" s="133"/>
      <c r="C1208" s="134"/>
      <c r="D1208" s="29"/>
      <c r="E1208" s="30"/>
      <c r="F1208" s="30"/>
      <c r="G1208" s="31"/>
      <c r="H1208" s="30"/>
      <c r="I1208" s="31"/>
      <c r="J1208" s="30"/>
    </row>
    <row r="1209">
      <c r="A1209" s="131"/>
      <c r="B1209" s="133"/>
      <c r="C1209" s="134"/>
      <c r="D1209" s="29"/>
      <c r="E1209" s="30"/>
      <c r="F1209" s="30"/>
      <c r="G1209" s="31"/>
      <c r="H1209" s="30"/>
      <c r="I1209" s="31"/>
      <c r="J1209" s="30"/>
    </row>
    <row r="1210">
      <c r="A1210" s="131"/>
      <c r="B1210" s="133"/>
      <c r="C1210" s="134"/>
      <c r="D1210" s="29"/>
      <c r="E1210" s="30"/>
      <c r="F1210" s="30"/>
      <c r="G1210" s="31"/>
      <c r="H1210" s="30"/>
      <c r="I1210" s="31"/>
      <c r="J1210" s="30"/>
    </row>
    <row r="1211">
      <c r="A1211" s="131"/>
      <c r="B1211" s="133"/>
      <c r="C1211" s="134"/>
      <c r="D1211" s="29"/>
      <c r="E1211" s="30"/>
      <c r="F1211" s="30"/>
      <c r="G1211" s="31"/>
      <c r="H1211" s="30"/>
      <c r="I1211" s="31"/>
      <c r="J1211" s="30"/>
    </row>
    <row r="1212">
      <c r="A1212" s="131"/>
      <c r="B1212" s="133"/>
      <c r="C1212" s="134"/>
      <c r="D1212" s="29"/>
      <c r="E1212" s="30"/>
      <c r="F1212" s="30"/>
      <c r="G1212" s="31"/>
      <c r="H1212" s="30"/>
      <c r="I1212" s="31"/>
      <c r="J1212" s="30"/>
    </row>
    <row r="1213">
      <c r="A1213" s="131"/>
      <c r="B1213" s="133"/>
      <c r="C1213" s="134"/>
      <c r="D1213" s="29"/>
      <c r="E1213" s="30"/>
      <c r="F1213" s="30"/>
      <c r="G1213" s="31"/>
      <c r="H1213" s="30"/>
      <c r="I1213" s="31"/>
      <c r="J1213" s="30"/>
    </row>
    <row r="1214">
      <c r="A1214" s="131"/>
      <c r="B1214" s="133"/>
      <c r="C1214" s="134"/>
      <c r="D1214" s="29"/>
      <c r="E1214" s="30"/>
      <c r="F1214" s="30"/>
      <c r="G1214" s="31"/>
      <c r="H1214" s="30"/>
      <c r="I1214" s="31"/>
      <c r="J1214" s="30"/>
    </row>
    <row r="1215">
      <c r="A1215" s="131"/>
      <c r="B1215" s="133"/>
      <c r="C1215" s="134"/>
      <c r="D1215" s="29"/>
      <c r="E1215" s="30"/>
      <c r="F1215" s="30"/>
      <c r="G1215" s="31"/>
      <c r="H1215" s="30"/>
      <c r="I1215" s="31"/>
      <c r="J1215" s="30"/>
    </row>
    <row r="1216">
      <c r="A1216" s="131"/>
      <c r="B1216" s="133"/>
      <c r="C1216" s="134"/>
      <c r="D1216" s="29"/>
      <c r="E1216" s="30"/>
      <c r="F1216" s="30"/>
      <c r="G1216" s="31"/>
      <c r="H1216" s="30"/>
      <c r="I1216" s="31"/>
      <c r="J1216" s="30"/>
    </row>
    <row r="1217">
      <c r="A1217" s="131"/>
      <c r="B1217" s="133"/>
      <c r="C1217" s="134"/>
      <c r="D1217" s="29"/>
      <c r="E1217" s="30"/>
      <c r="F1217" s="30"/>
      <c r="G1217" s="31"/>
      <c r="H1217" s="30"/>
      <c r="I1217" s="31"/>
      <c r="J1217" s="30"/>
    </row>
    <row r="1218">
      <c r="A1218" s="131"/>
      <c r="B1218" s="133"/>
      <c r="C1218" s="134"/>
      <c r="D1218" s="29"/>
      <c r="E1218" s="30"/>
      <c r="F1218" s="30"/>
      <c r="G1218" s="31"/>
      <c r="H1218" s="30"/>
      <c r="I1218" s="31"/>
      <c r="J1218" s="30"/>
    </row>
    <row r="1219">
      <c r="A1219" s="131"/>
      <c r="B1219" s="133"/>
      <c r="C1219" s="134"/>
      <c r="D1219" s="29"/>
      <c r="E1219" s="30"/>
      <c r="F1219" s="30"/>
      <c r="G1219" s="31"/>
      <c r="H1219" s="30"/>
      <c r="I1219" s="31"/>
      <c r="J1219" s="30"/>
    </row>
    <row r="1220">
      <c r="A1220" s="131"/>
      <c r="B1220" s="133"/>
      <c r="C1220" s="134"/>
      <c r="D1220" s="29"/>
      <c r="E1220" s="30"/>
      <c r="F1220" s="30"/>
      <c r="G1220" s="31"/>
      <c r="H1220" s="30"/>
      <c r="I1220" s="31"/>
      <c r="J1220" s="30"/>
    </row>
    <row r="1221">
      <c r="A1221" s="131"/>
      <c r="B1221" s="133"/>
      <c r="C1221" s="134"/>
      <c r="D1221" s="29"/>
      <c r="E1221" s="30"/>
      <c r="F1221" s="30"/>
      <c r="G1221" s="31"/>
      <c r="H1221" s="30"/>
      <c r="I1221" s="31"/>
      <c r="J1221" s="30"/>
    </row>
    <row r="1222">
      <c r="A1222" s="131"/>
      <c r="B1222" s="133"/>
      <c r="C1222" s="134"/>
      <c r="D1222" s="29"/>
      <c r="E1222" s="30"/>
      <c r="F1222" s="30"/>
      <c r="G1222" s="31"/>
      <c r="H1222" s="30"/>
      <c r="I1222" s="31"/>
      <c r="J1222" s="30"/>
    </row>
    <row r="1223">
      <c r="A1223" s="131"/>
      <c r="B1223" s="133"/>
      <c r="C1223" s="134"/>
      <c r="D1223" s="29"/>
      <c r="E1223" s="30"/>
      <c r="F1223" s="30"/>
      <c r="G1223" s="31"/>
      <c r="H1223" s="30"/>
      <c r="I1223" s="31"/>
      <c r="J1223" s="30"/>
    </row>
    <row r="1224">
      <c r="A1224" s="131"/>
      <c r="B1224" s="133"/>
      <c r="C1224" s="134"/>
      <c r="D1224" s="29"/>
      <c r="E1224" s="30"/>
      <c r="F1224" s="30"/>
      <c r="G1224" s="31"/>
      <c r="H1224" s="30"/>
      <c r="I1224" s="31"/>
      <c r="J1224" s="30"/>
    </row>
    <row r="1225">
      <c r="A1225" s="131"/>
      <c r="B1225" s="133"/>
      <c r="C1225" s="134"/>
      <c r="D1225" s="29"/>
      <c r="E1225" s="30"/>
      <c r="F1225" s="30"/>
      <c r="G1225" s="31"/>
      <c r="H1225" s="30"/>
      <c r="I1225" s="31"/>
      <c r="J1225" s="30"/>
    </row>
    <row r="1226">
      <c r="A1226" s="131"/>
      <c r="B1226" s="133"/>
      <c r="C1226" s="134"/>
      <c r="D1226" s="29"/>
      <c r="E1226" s="30"/>
      <c r="F1226" s="30"/>
      <c r="G1226" s="31"/>
      <c r="H1226" s="30"/>
      <c r="I1226" s="31"/>
      <c r="J1226" s="30"/>
    </row>
    <row r="1227">
      <c r="A1227" s="131"/>
      <c r="B1227" s="133"/>
      <c r="C1227" s="134"/>
      <c r="D1227" s="29"/>
      <c r="E1227" s="30"/>
      <c r="F1227" s="30"/>
      <c r="G1227" s="31"/>
      <c r="H1227" s="30"/>
      <c r="I1227" s="31"/>
      <c r="J1227" s="30"/>
    </row>
    <row r="1228">
      <c r="A1228" s="131"/>
      <c r="B1228" s="133"/>
      <c r="C1228" s="134"/>
      <c r="D1228" s="29"/>
      <c r="E1228" s="30"/>
      <c r="F1228" s="30"/>
      <c r="G1228" s="31"/>
      <c r="H1228" s="30"/>
      <c r="I1228" s="31"/>
      <c r="J1228" s="30"/>
    </row>
    <row r="1229">
      <c r="A1229" s="131"/>
      <c r="B1229" s="133"/>
      <c r="C1229" s="134"/>
      <c r="D1229" s="29"/>
      <c r="E1229" s="30"/>
      <c r="F1229" s="30"/>
      <c r="G1229" s="31"/>
      <c r="H1229" s="30"/>
      <c r="I1229" s="31"/>
      <c r="J1229" s="30"/>
    </row>
    <row r="1230">
      <c r="A1230" s="131"/>
      <c r="B1230" s="133"/>
      <c r="C1230" s="134"/>
      <c r="D1230" s="29"/>
      <c r="E1230" s="30"/>
      <c r="F1230" s="30"/>
      <c r="G1230" s="31"/>
      <c r="H1230" s="30"/>
      <c r="I1230" s="31"/>
      <c r="J1230" s="30"/>
    </row>
    <row r="1231">
      <c r="A1231" s="131"/>
      <c r="B1231" s="133"/>
      <c r="C1231" s="134"/>
      <c r="D1231" s="29"/>
      <c r="E1231" s="30"/>
      <c r="F1231" s="30"/>
      <c r="G1231" s="31"/>
      <c r="H1231" s="30"/>
      <c r="I1231" s="31"/>
      <c r="J1231" s="30"/>
    </row>
    <row r="1232">
      <c r="A1232" s="131"/>
      <c r="B1232" s="133"/>
      <c r="C1232" s="134"/>
      <c r="D1232" s="29"/>
      <c r="E1232" s="30"/>
      <c r="F1232" s="30"/>
      <c r="G1232" s="31"/>
      <c r="H1232" s="30"/>
      <c r="I1232" s="31"/>
      <c r="J1232" s="30"/>
    </row>
    <row r="1233">
      <c r="A1233" s="131"/>
      <c r="B1233" s="133"/>
      <c r="C1233" s="134"/>
      <c r="D1233" s="29"/>
      <c r="E1233" s="30"/>
      <c r="F1233" s="30"/>
      <c r="G1233" s="31"/>
      <c r="H1233" s="30"/>
      <c r="I1233" s="31"/>
      <c r="J1233" s="30"/>
    </row>
    <row r="1234">
      <c r="A1234" s="131"/>
      <c r="B1234" s="133"/>
      <c r="C1234" s="134"/>
      <c r="D1234" s="29"/>
      <c r="E1234" s="30"/>
      <c r="F1234" s="30"/>
      <c r="G1234" s="31"/>
      <c r="H1234" s="30"/>
      <c r="I1234" s="31"/>
      <c r="J1234" s="30"/>
    </row>
    <row r="1235">
      <c r="A1235" s="131"/>
      <c r="B1235" s="133"/>
      <c r="C1235" s="134"/>
      <c r="D1235" s="29"/>
      <c r="E1235" s="30"/>
      <c r="F1235" s="30"/>
      <c r="G1235" s="31"/>
      <c r="H1235" s="30"/>
      <c r="I1235" s="31"/>
      <c r="J1235" s="30"/>
    </row>
    <row r="1236">
      <c r="A1236" s="131"/>
      <c r="B1236" s="133"/>
      <c r="C1236" s="134"/>
      <c r="D1236" s="29"/>
      <c r="E1236" s="30"/>
      <c r="F1236" s="30"/>
      <c r="G1236" s="31"/>
      <c r="H1236" s="30"/>
      <c r="I1236" s="31"/>
      <c r="J1236" s="30"/>
    </row>
    <row r="1237">
      <c r="A1237" s="131"/>
      <c r="B1237" s="133"/>
      <c r="C1237" s="134"/>
      <c r="D1237" s="29"/>
      <c r="E1237" s="30"/>
      <c r="F1237" s="30"/>
      <c r="G1237" s="31"/>
      <c r="H1237" s="30"/>
      <c r="I1237" s="31"/>
      <c r="J1237" s="30"/>
    </row>
    <row r="1238">
      <c r="A1238" s="131"/>
      <c r="B1238" s="133"/>
      <c r="C1238" s="134"/>
      <c r="D1238" s="29"/>
      <c r="E1238" s="30"/>
      <c r="F1238" s="30"/>
      <c r="G1238" s="31"/>
      <c r="H1238" s="30"/>
      <c r="I1238" s="31"/>
      <c r="J1238" s="30"/>
    </row>
    <row r="1239">
      <c r="A1239" s="131"/>
      <c r="B1239" s="133"/>
      <c r="C1239" s="134"/>
      <c r="D1239" s="29"/>
      <c r="E1239" s="30"/>
      <c r="F1239" s="30"/>
      <c r="G1239" s="31"/>
      <c r="H1239" s="30"/>
      <c r="I1239" s="31"/>
      <c r="J1239" s="30"/>
    </row>
    <row r="1240">
      <c r="A1240" s="131"/>
      <c r="B1240" s="133"/>
      <c r="C1240" s="134"/>
      <c r="D1240" s="29"/>
      <c r="E1240" s="30"/>
      <c r="F1240" s="30"/>
      <c r="G1240" s="31"/>
      <c r="H1240" s="30"/>
      <c r="I1240" s="31"/>
      <c r="J1240" s="30"/>
    </row>
    <row r="1241">
      <c r="A1241" s="131"/>
      <c r="B1241" s="133"/>
      <c r="C1241" s="134"/>
      <c r="D1241" s="29"/>
      <c r="E1241" s="30"/>
      <c r="F1241" s="30"/>
      <c r="G1241" s="31"/>
      <c r="H1241" s="30"/>
      <c r="I1241" s="31"/>
      <c r="J1241" s="30"/>
    </row>
    <row r="1242">
      <c r="A1242" s="131"/>
      <c r="B1242" s="133"/>
      <c r="C1242" s="134"/>
      <c r="D1242" s="29"/>
      <c r="E1242" s="30"/>
      <c r="F1242" s="30"/>
      <c r="G1242" s="31"/>
      <c r="H1242" s="30"/>
      <c r="I1242" s="31"/>
      <c r="J1242" s="30"/>
    </row>
    <row r="1243">
      <c r="A1243" s="131"/>
      <c r="B1243" s="133"/>
      <c r="C1243" s="134"/>
      <c r="D1243" s="29"/>
      <c r="E1243" s="30"/>
      <c r="F1243" s="30"/>
      <c r="G1243" s="31"/>
      <c r="H1243" s="30"/>
      <c r="I1243" s="31"/>
      <c r="J1243" s="30"/>
    </row>
    <row r="1244">
      <c r="A1244" s="131"/>
      <c r="B1244" s="133"/>
      <c r="C1244" s="134"/>
      <c r="D1244" s="29"/>
      <c r="E1244" s="30"/>
      <c r="F1244" s="30"/>
      <c r="G1244" s="31"/>
      <c r="H1244" s="30"/>
      <c r="I1244" s="31"/>
      <c r="J1244" s="30"/>
    </row>
    <row r="1245">
      <c r="A1245" s="131"/>
      <c r="B1245" s="133"/>
      <c r="C1245" s="134"/>
      <c r="D1245" s="29"/>
      <c r="E1245" s="30"/>
      <c r="F1245" s="30"/>
      <c r="G1245" s="31"/>
      <c r="H1245" s="30"/>
      <c r="I1245" s="31"/>
      <c r="J1245" s="30"/>
    </row>
    <row r="1246">
      <c r="A1246" s="131"/>
      <c r="B1246" s="133"/>
      <c r="C1246" s="134"/>
      <c r="D1246" s="29"/>
      <c r="E1246" s="30"/>
      <c r="F1246" s="30"/>
      <c r="G1246" s="31"/>
      <c r="H1246" s="30"/>
      <c r="I1246" s="31"/>
      <c r="J1246" s="30"/>
    </row>
    <row r="1247">
      <c r="A1247" s="131"/>
      <c r="B1247" s="133"/>
      <c r="C1247" s="134"/>
      <c r="D1247" s="29"/>
      <c r="E1247" s="30"/>
      <c r="F1247" s="30"/>
      <c r="G1247" s="31"/>
      <c r="H1247" s="30"/>
      <c r="I1247" s="31"/>
      <c r="J1247" s="30"/>
    </row>
    <row r="1248">
      <c r="A1248" s="131"/>
      <c r="B1248" s="133"/>
      <c r="C1248" s="134"/>
      <c r="D1248" s="29"/>
      <c r="E1248" s="30"/>
      <c r="F1248" s="30"/>
      <c r="G1248" s="31"/>
      <c r="H1248" s="30"/>
      <c r="I1248" s="31"/>
      <c r="J1248" s="30"/>
    </row>
    <row r="1249">
      <c r="A1249" s="131"/>
      <c r="B1249" s="133"/>
      <c r="C1249" s="134"/>
      <c r="D1249" s="29"/>
      <c r="E1249" s="30"/>
      <c r="F1249" s="30"/>
      <c r="G1249" s="31"/>
      <c r="H1249" s="30"/>
      <c r="I1249" s="31"/>
      <c r="J1249" s="30"/>
    </row>
    <row r="1250">
      <c r="A1250" s="131"/>
      <c r="B1250" s="133"/>
      <c r="C1250" s="134"/>
      <c r="D1250" s="29"/>
      <c r="E1250" s="30"/>
      <c r="F1250" s="30"/>
      <c r="G1250" s="31"/>
      <c r="H1250" s="30"/>
      <c r="I1250" s="31"/>
      <c r="J1250" s="30"/>
    </row>
    <row r="1251">
      <c r="A1251" s="131"/>
      <c r="B1251" s="133"/>
      <c r="C1251" s="134"/>
      <c r="D1251" s="29"/>
      <c r="E1251" s="30"/>
      <c r="F1251" s="30"/>
      <c r="G1251" s="31"/>
      <c r="H1251" s="30"/>
      <c r="I1251" s="31"/>
      <c r="J1251" s="30"/>
    </row>
    <row r="1252">
      <c r="A1252" s="131"/>
      <c r="B1252" s="133"/>
      <c r="C1252" s="134"/>
      <c r="D1252" s="29"/>
      <c r="E1252" s="30"/>
      <c r="F1252" s="30"/>
      <c r="G1252" s="31"/>
      <c r="H1252" s="30"/>
      <c r="I1252" s="31"/>
      <c r="J1252" s="30"/>
    </row>
    <row r="1253">
      <c r="A1253" s="131"/>
      <c r="B1253" s="133"/>
      <c r="C1253" s="134"/>
      <c r="D1253" s="29"/>
      <c r="E1253" s="30"/>
      <c r="F1253" s="30"/>
      <c r="G1253" s="31"/>
      <c r="H1253" s="30"/>
      <c r="I1253" s="31"/>
      <c r="J1253" s="30"/>
    </row>
    <row r="1254">
      <c r="A1254" s="131"/>
      <c r="B1254" s="133"/>
      <c r="C1254" s="134"/>
      <c r="D1254" s="29"/>
      <c r="E1254" s="30"/>
      <c r="F1254" s="30"/>
      <c r="G1254" s="31"/>
      <c r="H1254" s="30"/>
      <c r="I1254" s="31"/>
      <c r="J1254" s="30"/>
    </row>
    <row r="1255">
      <c r="A1255" s="131"/>
      <c r="B1255" s="133"/>
      <c r="C1255" s="134"/>
      <c r="D1255" s="29"/>
      <c r="E1255" s="30"/>
      <c r="F1255" s="30"/>
      <c r="G1255" s="31"/>
      <c r="H1255" s="30"/>
      <c r="I1255" s="31"/>
      <c r="J1255" s="30"/>
    </row>
    <row r="1256">
      <c r="A1256" s="131"/>
      <c r="B1256" s="133"/>
      <c r="C1256" s="134"/>
      <c r="D1256" s="29"/>
      <c r="E1256" s="30"/>
      <c r="F1256" s="30"/>
      <c r="G1256" s="31"/>
      <c r="H1256" s="30"/>
      <c r="I1256" s="31"/>
      <c r="J1256" s="30"/>
    </row>
    <row r="1257">
      <c r="A1257" s="131"/>
      <c r="B1257" s="133"/>
      <c r="C1257" s="134"/>
      <c r="D1257" s="29"/>
      <c r="E1257" s="30"/>
      <c r="F1257" s="30"/>
      <c r="G1257" s="31"/>
      <c r="H1257" s="30"/>
      <c r="I1257" s="31"/>
      <c r="J1257" s="30"/>
    </row>
    <row r="1258">
      <c r="A1258" s="131"/>
      <c r="B1258" s="133"/>
      <c r="C1258" s="134"/>
      <c r="D1258" s="29"/>
      <c r="E1258" s="30"/>
      <c r="F1258" s="30"/>
      <c r="G1258" s="31"/>
      <c r="H1258" s="30"/>
      <c r="I1258" s="31"/>
      <c r="J1258" s="30"/>
    </row>
    <row r="1259">
      <c r="A1259" s="131"/>
      <c r="B1259" s="133"/>
      <c r="C1259" s="134"/>
      <c r="D1259" s="29"/>
      <c r="E1259" s="30"/>
      <c r="F1259" s="30"/>
      <c r="G1259" s="31"/>
      <c r="H1259" s="30"/>
      <c r="I1259" s="31"/>
      <c r="J1259" s="30"/>
    </row>
    <row r="1260">
      <c r="A1260" s="131"/>
      <c r="B1260" s="133"/>
      <c r="C1260" s="134"/>
      <c r="D1260" s="29"/>
      <c r="E1260" s="30"/>
      <c r="F1260" s="30"/>
      <c r="G1260" s="31"/>
      <c r="H1260" s="30"/>
      <c r="I1260" s="31"/>
      <c r="J1260" s="30"/>
    </row>
    <row r="1261">
      <c r="A1261" s="131"/>
      <c r="B1261" s="133"/>
      <c r="C1261" s="134"/>
      <c r="D1261" s="29"/>
      <c r="E1261" s="30"/>
      <c r="F1261" s="30"/>
      <c r="G1261" s="31"/>
      <c r="H1261" s="30"/>
      <c r="I1261" s="31"/>
      <c r="J1261" s="30"/>
    </row>
    <row r="1262">
      <c r="A1262" s="131"/>
      <c r="B1262" s="133"/>
      <c r="C1262" s="134"/>
      <c r="D1262" s="29"/>
      <c r="E1262" s="30"/>
      <c r="F1262" s="30"/>
      <c r="G1262" s="31"/>
      <c r="H1262" s="30"/>
      <c r="I1262" s="31"/>
      <c r="J1262" s="30"/>
    </row>
    <row r="1263">
      <c r="A1263" s="131"/>
      <c r="B1263" s="133"/>
      <c r="C1263" s="134"/>
      <c r="D1263" s="29"/>
      <c r="E1263" s="30"/>
      <c r="F1263" s="30"/>
      <c r="G1263" s="31"/>
      <c r="H1263" s="30"/>
      <c r="I1263" s="31"/>
      <c r="J1263" s="30"/>
    </row>
    <row r="1264">
      <c r="A1264" s="131"/>
      <c r="B1264" s="133"/>
      <c r="C1264" s="134"/>
      <c r="D1264" s="29"/>
      <c r="E1264" s="30"/>
      <c r="F1264" s="30"/>
      <c r="G1264" s="31"/>
      <c r="H1264" s="30"/>
      <c r="I1264" s="31"/>
      <c r="J1264" s="30"/>
    </row>
    <row r="1265">
      <c r="A1265" s="131"/>
      <c r="B1265" s="133"/>
      <c r="C1265" s="134"/>
      <c r="D1265" s="29"/>
      <c r="E1265" s="30"/>
      <c r="F1265" s="30"/>
      <c r="G1265" s="31"/>
      <c r="H1265" s="30"/>
      <c r="I1265" s="31"/>
      <c r="J1265" s="30"/>
    </row>
    <row r="1266">
      <c r="A1266" s="131"/>
      <c r="B1266" s="133"/>
      <c r="C1266" s="134"/>
      <c r="D1266" s="29"/>
      <c r="E1266" s="30"/>
      <c r="F1266" s="30"/>
      <c r="G1266" s="31"/>
      <c r="H1266" s="30"/>
      <c r="I1266" s="31"/>
      <c r="J1266" s="30"/>
    </row>
    <row r="1267">
      <c r="A1267" s="131"/>
      <c r="B1267" s="133"/>
      <c r="C1267" s="134"/>
      <c r="D1267" s="29"/>
      <c r="E1267" s="30"/>
      <c r="F1267" s="30"/>
      <c r="G1267" s="31"/>
      <c r="H1267" s="30"/>
      <c r="I1267" s="31"/>
      <c r="J1267" s="30"/>
    </row>
    <row r="1268">
      <c r="A1268" s="131"/>
      <c r="B1268" s="133"/>
      <c r="C1268" s="134"/>
      <c r="D1268" s="29"/>
      <c r="E1268" s="30"/>
      <c r="F1268" s="30"/>
      <c r="G1268" s="31"/>
      <c r="H1268" s="30"/>
      <c r="I1268" s="31"/>
      <c r="J1268" s="30"/>
    </row>
    <row r="1269">
      <c r="A1269" s="131"/>
      <c r="B1269" s="133"/>
      <c r="C1269" s="134"/>
      <c r="D1269" s="29"/>
      <c r="E1269" s="30"/>
      <c r="F1269" s="30"/>
      <c r="G1269" s="31"/>
      <c r="H1269" s="30"/>
      <c r="I1269" s="31"/>
      <c r="J1269" s="30"/>
    </row>
    <row r="1270">
      <c r="A1270" s="131"/>
      <c r="B1270" s="133"/>
      <c r="C1270" s="134"/>
      <c r="D1270" s="29"/>
      <c r="E1270" s="30"/>
      <c r="F1270" s="30"/>
      <c r="G1270" s="31"/>
      <c r="H1270" s="30"/>
      <c r="I1270" s="31"/>
      <c r="J1270" s="30"/>
    </row>
    <row r="1271">
      <c r="A1271" s="131"/>
      <c r="B1271" s="133"/>
      <c r="C1271" s="134"/>
      <c r="D1271" s="29"/>
      <c r="E1271" s="30"/>
      <c r="F1271" s="30"/>
      <c r="G1271" s="31"/>
      <c r="H1271" s="30"/>
      <c r="I1271" s="31"/>
      <c r="J1271" s="30"/>
    </row>
    <row r="1272">
      <c r="A1272" s="131"/>
      <c r="B1272" s="133"/>
      <c r="C1272" s="134"/>
      <c r="D1272" s="29"/>
      <c r="E1272" s="30"/>
      <c r="F1272" s="30"/>
      <c r="G1272" s="31"/>
      <c r="H1272" s="30"/>
      <c r="I1272" s="31"/>
      <c r="J1272" s="30"/>
    </row>
    <row r="1273">
      <c r="A1273" s="131"/>
      <c r="B1273" s="133"/>
      <c r="C1273" s="134"/>
      <c r="D1273" s="29"/>
      <c r="E1273" s="30"/>
      <c r="F1273" s="30"/>
      <c r="G1273" s="31"/>
      <c r="H1273" s="30"/>
      <c r="I1273" s="31"/>
      <c r="J1273" s="30"/>
    </row>
    <row r="1274">
      <c r="A1274" s="131"/>
      <c r="B1274" s="133"/>
      <c r="C1274" s="134"/>
      <c r="D1274" s="29"/>
      <c r="E1274" s="30"/>
      <c r="F1274" s="30"/>
      <c r="G1274" s="31"/>
      <c r="H1274" s="30"/>
      <c r="I1274" s="31"/>
      <c r="J1274" s="30"/>
    </row>
    <row r="1275">
      <c r="A1275" s="131"/>
      <c r="B1275" s="133"/>
      <c r="C1275" s="134"/>
      <c r="D1275" s="29"/>
      <c r="E1275" s="30"/>
      <c r="F1275" s="30"/>
      <c r="G1275" s="31"/>
      <c r="H1275" s="30"/>
      <c r="I1275" s="31"/>
      <c r="J1275" s="30"/>
    </row>
    <row r="1276">
      <c r="A1276" s="131"/>
      <c r="B1276" s="133"/>
      <c r="C1276" s="134"/>
      <c r="D1276" s="29"/>
      <c r="E1276" s="30"/>
      <c r="F1276" s="30"/>
      <c r="G1276" s="31"/>
      <c r="H1276" s="30"/>
      <c r="I1276" s="31"/>
      <c r="J1276" s="30"/>
    </row>
    <row r="1277">
      <c r="A1277" s="131"/>
      <c r="B1277" s="133"/>
      <c r="C1277" s="134"/>
      <c r="D1277" s="29"/>
      <c r="E1277" s="30"/>
      <c r="F1277" s="30"/>
      <c r="G1277" s="31"/>
      <c r="H1277" s="30"/>
      <c r="I1277" s="31"/>
      <c r="J1277" s="30"/>
    </row>
    <row r="1278">
      <c r="A1278" s="131"/>
      <c r="B1278" s="133"/>
      <c r="C1278" s="134"/>
      <c r="D1278" s="29"/>
      <c r="E1278" s="30"/>
      <c r="F1278" s="30"/>
      <c r="G1278" s="31"/>
      <c r="H1278" s="30"/>
      <c r="I1278" s="31"/>
      <c r="J1278" s="30"/>
    </row>
    <row r="1279">
      <c r="A1279" s="131"/>
      <c r="B1279" s="133"/>
      <c r="C1279" s="134"/>
      <c r="D1279" s="29"/>
      <c r="E1279" s="30"/>
      <c r="F1279" s="30"/>
      <c r="G1279" s="31"/>
      <c r="H1279" s="30"/>
      <c r="I1279" s="31"/>
      <c r="J1279" s="30"/>
    </row>
    <row r="1280">
      <c r="A1280" s="131"/>
      <c r="B1280" s="133"/>
      <c r="C1280" s="134"/>
      <c r="D1280" s="29"/>
      <c r="E1280" s="30"/>
      <c r="F1280" s="30"/>
      <c r="G1280" s="31"/>
      <c r="H1280" s="30"/>
      <c r="I1280" s="31"/>
      <c r="J1280" s="30"/>
    </row>
    <row r="1281">
      <c r="A1281" s="131"/>
      <c r="B1281" s="133"/>
      <c r="C1281" s="134"/>
      <c r="D1281" s="29"/>
      <c r="E1281" s="30"/>
      <c r="F1281" s="30"/>
      <c r="G1281" s="31"/>
      <c r="H1281" s="30"/>
      <c r="I1281" s="31"/>
      <c r="J1281" s="30"/>
    </row>
    <row r="1282">
      <c r="A1282" s="131"/>
      <c r="B1282" s="133"/>
      <c r="C1282" s="134"/>
      <c r="D1282" s="29"/>
      <c r="E1282" s="30"/>
      <c r="F1282" s="30"/>
      <c r="G1282" s="31"/>
      <c r="H1282" s="30"/>
      <c r="I1282" s="31"/>
      <c r="J1282" s="30"/>
    </row>
    <row r="1283">
      <c r="A1283" s="131"/>
      <c r="B1283" s="133"/>
      <c r="C1283" s="134"/>
      <c r="D1283" s="29"/>
      <c r="E1283" s="30"/>
      <c r="F1283" s="30"/>
      <c r="G1283" s="31"/>
      <c r="H1283" s="30"/>
      <c r="I1283" s="31"/>
      <c r="J1283" s="30"/>
    </row>
    <row r="1284">
      <c r="A1284" s="131"/>
      <c r="B1284" s="133"/>
      <c r="C1284" s="134"/>
      <c r="D1284" s="29"/>
      <c r="E1284" s="30"/>
      <c r="F1284" s="30"/>
      <c r="G1284" s="31"/>
      <c r="H1284" s="30"/>
      <c r="I1284" s="31"/>
      <c r="J1284" s="30"/>
    </row>
    <row r="1285">
      <c r="A1285" s="131"/>
      <c r="B1285" s="133"/>
      <c r="C1285" s="134"/>
      <c r="D1285" s="29"/>
      <c r="E1285" s="30"/>
      <c r="F1285" s="30"/>
      <c r="G1285" s="31"/>
      <c r="H1285" s="30"/>
      <c r="I1285" s="31"/>
      <c r="J1285" s="30"/>
    </row>
    <row r="1286">
      <c r="A1286" s="131"/>
      <c r="B1286" s="133"/>
      <c r="C1286" s="134"/>
      <c r="D1286" s="29"/>
      <c r="E1286" s="30"/>
      <c r="F1286" s="30"/>
      <c r="G1286" s="31"/>
      <c r="H1286" s="30"/>
      <c r="I1286" s="31"/>
      <c r="J1286" s="30"/>
    </row>
    <row r="1287">
      <c r="A1287" s="131"/>
      <c r="B1287" s="133"/>
      <c r="C1287" s="134"/>
      <c r="D1287" s="29"/>
      <c r="E1287" s="30"/>
      <c r="F1287" s="30"/>
      <c r="G1287" s="31"/>
      <c r="H1287" s="30"/>
      <c r="I1287" s="31"/>
      <c r="J1287" s="30"/>
    </row>
    <row r="1288">
      <c r="A1288" s="131"/>
      <c r="B1288" s="133"/>
      <c r="C1288" s="134"/>
      <c r="D1288" s="29"/>
      <c r="E1288" s="30"/>
      <c r="F1288" s="30"/>
      <c r="G1288" s="31"/>
      <c r="H1288" s="30"/>
      <c r="I1288" s="31"/>
      <c r="J1288" s="30"/>
    </row>
    <row r="1289">
      <c r="A1289" s="131"/>
      <c r="B1289" s="133"/>
      <c r="C1289" s="134"/>
      <c r="D1289" s="29"/>
      <c r="E1289" s="30"/>
      <c r="F1289" s="30"/>
      <c r="G1289" s="31"/>
      <c r="H1289" s="30"/>
      <c r="I1289" s="31"/>
      <c r="J1289" s="30"/>
    </row>
    <row r="1290">
      <c r="A1290" s="131"/>
      <c r="B1290" s="133"/>
      <c r="C1290" s="134"/>
      <c r="D1290" s="29"/>
      <c r="E1290" s="30"/>
      <c r="F1290" s="30"/>
      <c r="G1290" s="31"/>
      <c r="H1290" s="30"/>
      <c r="I1290" s="31"/>
      <c r="J1290" s="30"/>
    </row>
    <row r="1291">
      <c r="A1291" s="131"/>
      <c r="B1291" s="133"/>
      <c r="C1291" s="134"/>
      <c r="D1291" s="29"/>
      <c r="E1291" s="30"/>
      <c r="F1291" s="30"/>
      <c r="G1291" s="31"/>
      <c r="H1291" s="30"/>
      <c r="I1291" s="31"/>
      <c r="J1291" s="30"/>
    </row>
    <row r="1292">
      <c r="A1292" s="131"/>
      <c r="B1292" s="133"/>
      <c r="C1292" s="134"/>
      <c r="D1292" s="29"/>
      <c r="E1292" s="30"/>
      <c r="F1292" s="30"/>
      <c r="G1292" s="31"/>
      <c r="H1292" s="30"/>
      <c r="I1292" s="31"/>
      <c r="J1292" s="30"/>
    </row>
    <row r="1293">
      <c r="A1293" s="131"/>
      <c r="B1293" s="133"/>
      <c r="C1293" s="134"/>
      <c r="D1293" s="29"/>
      <c r="E1293" s="30"/>
      <c r="F1293" s="30"/>
      <c r="G1293" s="31"/>
      <c r="H1293" s="30"/>
      <c r="I1293" s="31"/>
      <c r="J1293" s="30"/>
    </row>
    <row r="1294">
      <c r="A1294" s="131"/>
      <c r="B1294" s="133"/>
      <c r="C1294" s="134"/>
      <c r="D1294" s="29"/>
      <c r="E1294" s="30"/>
      <c r="F1294" s="30"/>
      <c r="G1294" s="31"/>
      <c r="H1294" s="30"/>
      <c r="I1294" s="31"/>
      <c r="J1294" s="30"/>
    </row>
    <row r="1295">
      <c r="A1295" s="131"/>
      <c r="B1295" s="133"/>
      <c r="C1295" s="134"/>
      <c r="D1295" s="29"/>
      <c r="E1295" s="30"/>
      <c r="F1295" s="30"/>
      <c r="G1295" s="31"/>
      <c r="H1295" s="30"/>
      <c r="I1295" s="31"/>
      <c r="J1295" s="30"/>
    </row>
    <row r="1296">
      <c r="A1296" s="131"/>
      <c r="B1296" s="133"/>
      <c r="C1296" s="134"/>
      <c r="D1296" s="29"/>
      <c r="E1296" s="30"/>
      <c r="F1296" s="30"/>
      <c r="G1296" s="31"/>
      <c r="H1296" s="30"/>
      <c r="I1296" s="31"/>
      <c r="J1296" s="30"/>
    </row>
    <row r="1297">
      <c r="A1297" s="131"/>
      <c r="B1297" s="133"/>
      <c r="C1297" s="134"/>
      <c r="D1297" s="29"/>
      <c r="E1297" s="30"/>
      <c r="F1297" s="30"/>
      <c r="G1297" s="31"/>
      <c r="H1297" s="30"/>
      <c r="I1297" s="31"/>
      <c r="J1297" s="30"/>
    </row>
    <row r="1298">
      <c r="A1298" s="131"/>
      <c r="B1298" s="133"/>
      <c r="C1298" s="134"/>
      <c r="D1298" s="29"/>
      <c r="E1298" s="30"/>
      <c r="F1298" s="30"/>
      <c r="G1298" s="31"/>
      <c r="H1298" s="30"/>
      <c r="I1298" s="31"/>
      <c r="J1298" s="30"/>
    </row>
    <row r="1299">
      <c r="A1299" s="131"/>
      <c r="B1299" s="133"/>
      <c r="C1299" s="134"/>
      <c r="D1299" s="29"/>
      <c r="E1299" s="30"/>
      <c r="F1299" s="30"/>
      <c r="G1299" s="31"/>
      <c r="H1299" s="30"/>
      <c r="I1299" s="31"/>
      <c r="J1299" s="30"/>
    </row>
    <row r="1300">
      <c r="A1300" s="131"/>
      <c r="B1300" s="133"/>
      <c r="C1300" s="134"/>
      <c r="D1300" s="29"/>
      <c r="E1300" s="30"/>
      <c r="F1300" s="30"/>
      <c r="G1300" s="31"/>
      <c r="H1300" s="30"/>
      <c r="I1300" s="31"/>
      <c r="J1300" s="30"/>
    </row>
    <row r="1301">
      <c r="A1301" s="131"/>
      <c r="B1301" s="133"/>
      <c r="C1301" s="134"/>
      <c r="D1301" s="29"/>
      <c r="E1301" s="30"/>
      <c r="F1301" s="30"/>
      <c r="G1301" s="31"/>
      <c r="H1301" s="30"/>
      <c r="I1301" s="31"/>
      <c r="J1301" s="30"/>
    </row>
    <row r="1302">
      <c r="A1302" s="131"/>
      <c r="B1302" s="133"/>
      <c r="C1302" s="134"/>
      <c r="D1302" s="29"/>
      <c r="E1302" s="30"/>
      <c r="F1302" s="30"/>
      <c r="G1302" s="31"/>
      <c r="H1302" s="30"/>
      <c r="I1302" s="31"/>
      <c r="J1302" s="30"/>
    </row>
    <row r="1303">
      <c r="A1303" s="131"/>
      <c r="B1303" s="133"/>
      <c r="C1303" s="134"/>
      <c r="D1303" s="29"/>
      <c r="E1303" s="30"/>
      <c r="F1303" s="30"/>
      <c r="G1303" s="31"/>
      <c r="H1303" s="30"/>
      <c r="I1303" s="31"/>
      <c r="J1303" s="30"/>
    </row>
    <row r="1304">
      <c r="A1304" s="131"/>
      <c r="B1304" s="133"/>
      <c r="C1304" s="134"/>
      <c r="D1304" s="29"/>
      <c r="E1304" s="30"/>
      <c r="F1304" s="30"/>
      <c r="G1304" s="31"/>
      <c r="H1304" s="30"/>
      <c r="I1304" s="31"/>
      <c r="J1304" s="30"/>
    </row>
    <row r="1305">
      <c r="A1305" s="131"/>
      <c r="B1305" s="133"/>
      <c r="C1305" s="134"/>
      <c r="D1305" s="29"/>
      <c r="E1305" s="30"/>
      <c r="F1305" s="30"/>
      <c r="G1305" s="31"/>
      <c r="H1305" s="30"/>
      <c r="I1305" s="31"/>
      <c r="J1305" s="30"/>
    </row>
    <row r="1306">
      <c r="A1306" s="131"/>
      <c r="B1306" s="133"/>
      <c r="C1306" s="134"/>
      <c r="D1306" s="29"/>
      <c r="E1306" s="30"/>
      <c r="F1306" s="30"/>
      <c r="G1306" s="31"/>
      <c r="H1306" s="30"/>
      <c r="I1306" s="31"/>
      <c r="J1306" s="30"/>
    </row>
    <row r="1307">
      <c r="A1307" s="131"/>
      <c r="B1307" s="133"/>
      <c r="C1307" s="134"/>
      <c r="D1307" s="29"/>
      <c r="E1307" s="30"/>
      <c r="F1307" s="30"/>
      <c r="G1307" s="31"/>
      <c r="H1307" s="30"/>
      <c r="I1307" s="31"/>
      <c r="J1307" s="30"/>
    </row>
    <row r="1308">
      <c r="A1308" s="131"/>
      <c r="B1308" s="133"/>
      <c r="C1308" s="134"/>
      <c r="D1308" s="29"/>
      <c r="E1308" s="30"/>
      <c r="F1308" s="30"/>
      <c r="G1308" s="31"/>
      <c r="H1308" s="30"/>
      <c r="I1308" s="31"/>
      <c r="J1308" s="30"/>
    </row>
    <row r="1309">
      <c r="A1309" s="131"/>
      <c r="B1309" s="133"/>
      <c r="C1309" s="134"/>
      <c r="D1309" s="29"/>
      <c r="E1309" s="30"/>
      <c r="F1309" s="30"/>
      <c r="G1309" s="31"/>
      <c r="H1309" s="30"/>
      <c r="I1309" s="31"/>
      <c r="J1309" s="30"/>
    </row>
    <row r="1310">
      <c r="A1310" s="131"/>
      <c r="B1310" s="133"/>
      <c r="C1310" s="134"/>
      <c r="D1310" s="29"/>
      <c r="E1310" s="30"/>
      <c r="F1310" s="30"/>
      <c r="G1310" s="31"/>
      <c r="H1310" s="30"/>
      <c r="I1310" s="31"/>
      <c r="J1310" s="30"/>
    </row>
    <row r="1311">
      <c r="A1311" s="131"/>
      <c r="B1311" s="133"/>
      <c r="C1311" s="134"/>
      <c r="D1311" s="29"/>
      <c r="E1311" s="30"/>
      <c r="F1311" s="30"/>
      <c r="G1311" s="31"/>
      <c r="H1311" s="30"/>
      <c r="I1311" s="31"/>
      <c r="J1311" s="30"/>
    </row>
    <row r="1312">
      <c r="A1312" s="131"/>
      <c r="B1312" s="133"/>
      <c r="C1312" s="134"/>
      <c r="D1312" s="29"/>
      <c r="E1312" s="30"/>
      <c r="F1312" s="30"/>
      <c r="G1312" s="31"/>
      <c r="H1312" s="30"/>
      <c r="I1312" s="31"/>
      <c r="J1312" s="30"/>
    </row>
    <row r="1313">
      <c r="A1313" s="131"/>
      <c r="B1313" s="133"/>
      <c r="C1313" s="134"/>
      <c r="D1313" s="29"/>
      <c r="E1313" s="30"/>
      <c r="F1313" s="30"/>
      <c r="G1313" s="31"/>
      <c r="H1313" s="30"/>
      <c r="I1313" s="31"/>
      <c r="J1313" s="30"/>
    </row>
    <row r="1314">
      <c r="A1314" s="131"/>
      <c r="B1314" s="133"/>
      <c r="C1314" s="134"/>
      <c r="D1314" s="29"/>
      <c r="E1314" s="30"/>
      <c r="F1314" s="30"/>
      <c r="G1314" s="31"/>
      <c r="H1314" s="30"/>
      <c r="I1314" s="31"/>
      <c r="J1314" s="30"/>
    </row>
    <row r="1315">
      <c r="A1315" s="131"/>
      <c r="B1315" s="133"/>
      <c r="C1315" s="134"/>
      <c r="D1315" s="29"/>
      <c r="E1315" s="30"/>
      <c r="F1315" s="30"/>
      <c r="G1315" s="31"/>
      <c r="H1315" s="30"/>
      <c r="I1315" s="31"/>
      <c r="J1315" s="30"/>
    </row>
    <row r="1316">
      <c r="A1316" s="131"/>
      <c r="B1316" s="133"/>
      <c r="C1316" s="134"/>
      <c r="D1316" s="29"/>
      <c r="E1316" s="30"/>
      <c r="F1316" s="30"/>
      <c r="G1316" s="31"/>
      <c r="H1316" s="30"/>
      <c r="I1316" s="31"/>
      <c r="J1316" s="30"/>
    </row>
    <row r="1317">
      <c r="A1317" s="131"/>
      <c r="B1317" s="133"/>
      <c r="C1317" s="134"/>
      <c r="D1317" s="29"/>
      <c r="E1317" s="30"/>
      <c r="F1317" s="30"/>
      <c r="G1317" s="31"/>
      <c r="H1317" s="30"/>
      <c r="I1317" s="31"/>
      <c r="J1317" s="30"/>
    </row>
    <row r="1318">
      <c r="A1318" s="131"/>
      <c r="B1318" s="133"/>
      <c r="C1318" s="134"/>
      <c r="D1318" s="29"/>
      <c r="E1318" s="30"/>
      <c r="F1318" s="30"/>
      <c r="G1318" s="31"/>
      <c r="H1318" s="30"/>
      <c r="I1318" s="31"/>
      <c r="J1318" s="30"/>
    </row>
    <row r="1319">
      <c r="A1319" s="131"/>
      <c r="B1319" s="133"/>
      <c r="C1319" s="134"/>
      <c r="D1319" s="29"/>
      <c r="E1319" s="30"/>
      <c r="F1319" s="30"/>
      <c r="G1319" s="31"/>
      <c r="H1319" s="30"/>
      <c r="I1319" s="31"/>
      <c r="J1319" s="30"/>
    </row>
    <row r="1320">
      <c r="A1320" s="131"/>
      <c r="B1320" s="133"/>
      <c r="C1320" s="134"/>
      <c r="D1320" s="29"/>
      <c r="E1320" s="30"/>
      <c r="F1320" s="30"/>
      <c r="G1320" s="31"/>
      <c r="H1320" s="30"/>
      <c r="I1320" s="31"/>
      <c r="J1320" s="30"/>
    </row>
    <row r="1321">
      <c r="A1321" s="131"/>
      <c r="B1321" s="133"/>
      <c r="C1321" s="134"/>
      <c r="D1321" s="29"/>
      <c r="E1321" s="30"/>
      <c r="F1321" s="30"/>
      <c r="G1321" s="31"/>
      <c r="H1321" s="30"/>
      <c r="I1321" s="31"/>
      <c r="J1321" s="30"/>
    </row>
    <row r="1322">
      <c r="A1322" s="131"/>
      <c r="B1322" s="133"/>
      <c r="C1322" s="134"/>
      <c r="D1322" s="29"/>
      <c r="E1322" s="30"/>
      <c r="F1322" s="30"/>
      <c r="G1322" s="31"/>
      <c r="H1322" s="30"/>
      <c r="I1322" s="31"/>
      <c r="J1322" s="30"/>
    </row>
    <row r="1323">
      <c r="A1323" s="131"/>
      <c r="B1323" s="133"/>
      <c r="C1323" s="134"/>
      <c r="D1323" s="29"/>
      <c r="E1323" s="30"/>
      <c r="F1323" s="30"/>
      <c r="G1323" s="31"/>
      <c r="H1323" s="30"/>
      <c r="I1323" s="31"/>
      <c r="J1323" s="30"/>
    </row>
    <row r="1324">
      <c r="A1324" s="131"/>
      <c r="B1324" s="133"/>
      <c r="C1324" s="134"/>
      <c r="D1324" s="29"/>
      <c r="E1324" s="30"/>
      <c r="F1324" s="30"/>
      <c r="G1324" s="31"/>
      <c r="H1324" s="30"/>
      <c r="I1324" s="31"/>
      <c r="J1324" s="30"/>
    </row>
    <row r="1325">
      <c r="A1325" s="131"/>
      <c r="B1325" s="133"/>
      <c r="C1325" s="134"/>
      <c r="D1325" s="29"/>
      <c r="E1325" s="30"/>
      <c r="F1325" s="30"/>
      <c r="G1325" s="31"/>
      <c r="H1325" s="30"/>
      <c r="I1325" s="31"/>
      <c r="J1325" s="30"/>
    </row>
    <row r="1326">
      <c r="A1326" s="131"/>
      <c r="B1326" s="133"/>
      <c r="C1326" s="134"/>
      <c r="D1326" s="29"/>
      <c r="E1326" s="30"/>
      <c r="F1326" s="30"/>
      <c r="G1326" s="31"/>
      <c r="H1326" s="30"/>
      <c r="I1326" s="31"/>
      <c r="J1326" s="30"/>
    </row>
    <row r="1327">
      <c r="A1327" s="131"/>
      <c r="B1327" s="133"/>
      <c r="C1327" s="134"/>
      <c r="D1327" s="29"/>
      <c r="E1327" s="30"/>
      <c r="F1327" s="30"/>
      <c r="G1327" s="31"/>
      <c r="H1327" s="30"/>
      <c r="I1327" s="31"/>
      <c r="J1327" s="30"/>
    </row>
    <row r="1328">
      <c r="A1328" s="131"/>
      <c r="B1328" s="133"/>
      <c r="C1328" s="134"/>
      <c r="D1328" s="29"/>
      <c r="E1328" s="30"/>
      <c r="F1328" s="30"/>
      <c r="G1328" s="31"/>
      <c r="H1328" s="30"/>
      <c r="I1328" s="31"/>
      <c r="J1328" s="30"/>
    </row>
    <row r="1329">
      <c r="A1329" s="131"/>
      <c r="B1329" s="133"/>
      <c r="C1329" s="134"/>
      <c r="D1329" s="29"/>
      <c r="E1329" s="30"/>
      <c r="F1329" s="30"/>
      <c r="G1329" s="31"/>
      <c r="H1329" s="30"/>
      <c r="I1329" s="31"/>
      <c r="J1329" s="30"/>
    </row>
    <row r="1330">
      <c r="A1330" s="131"/>
      <c r="B1330" s="133"/>
      <c r="C1330" s="134"/>
      <c r="D1330" s="29"/>
      <c r="E1330" s="30"/>
      <c r="F1330" s="30"/>
      <c r="G1330" s="31"/>
      <c r="H1330" s="30"/>
      <c r="I1330" s="31"/>
      <c r="J1330" s="30"/>
    </row>
    <row r="1331">
      <c r="A1331" s="131"/>
      <c r="B1331" s="133"/>
      <c r="C1331" s="134"/>
      <c r="D1331" s="29"/>
      <c r="E1331" s="30"/>
      <c r="F1331" s="30"/>
      <c r="G1331" s="31"/>
      <c r="H1331" s="30"/>
      <c r="I1331" s="31"/>
      <c r="J1331" s="30"/>
    </row>
    <row r="1332">
      <c r="A1332" s="131"/>
      <c r="B1332" s="133"/>
      <c r="C1332" s="134"/>
      <c r="D1332" s="29"/>
      <c r="E1332" s="30"/>
      <c r="F1332" s="30"/>
      <c r="G1332" s="31"/>
      <c r="H1332" s="30"/>
      <c r="I1332" s="31"/>
      <c r="J1332" s="30"/>
    </row>
    <row r="1333">
      <c r="A1333" s="131"/>
      <c r="B1333" s="133"/>
      <c r="C1333" s="134"/>
      <c r="D1333" s="29"/>
      <c r="E1333" s="30"/>
      <c r="F1333" s="30"/>
      <c r="G1333" s="31"/>
      <c r="H1333" s="30"/>
      <c r="I1333" s="31"/>
      <c r="J1333" s="30"/>
    </row>
    <row r="1334">
      <c r="A1334" s="131"/>
      <c r="B1334" s="133"/>
      <c r="C1334" s="134"/>
      <c r="D1334" s="29"/>
      <c r="E1334" s="30"/>
      <c r="F1334" s="30"/>
      <c r="G1334" s="31"/>
      <c r="H1334" s="30"/>
      <c r="I1334" s="31"/>
      <c r="J1334" s="30"/>
    </row>
    <row r="1335">
      <c r="A1335" s="131"/>
      <c r="B1335" s="133"/>
      <c r="C1335" s="134"/>
      <c r="D1335" s="29"/>
      <c r="E1335" s="30"/>
      <c r="F1335" s="30"/>
      <c r="G1335" s="31"/>
      <c r="H1335" s="30"/>
      <c r="I1335" s="31"/>
      <c r="J1335" s="30"/>
    </row>
    <row r="1336">
      <c r="A1336" s="131"/>
      <c r="B1336" s="133"/>
      <c r="C1336" s="134"/>
      <c r="D1336" s="29"/>
      <c r="E1336" s="30"/>
      <c r="F1336" s="30"/>
      <c r="G1336" s="31"/>
      <c r="H1336" s="30"/>
      <c r="I1336" s="31"/>
      <c r="J1336" s="30"/>
    </row>
    <row r="1337">
      <c r="A1337" s="131"/>
      <c r="B1337" s="133"/>
      <c r="C1337" s="134"/>
      <c r="D1337" s="29"/>
      <c r="E1337" s="30"/>
      <c r="F1337" s="30"/>
      <c r="G1337" s="31"/>
      <c r="H1337" s="30"/>
      <c r="I1337" s="31"/>
      <c r="J1337" s="30"/>
    </row>
    <row r="1338">
      <c r="A1338" s="131"/>
      <c r="B1338" s="133"/>
      <c r="C1338" s="134"/>
      <c r="D1338" s="29"/>
      <c r="E1338" s="30"/>
      <c r="F1338" s="30"/>
      <c r="G1338" s="31"/>
      <c r="H1338" s="30"/>
      <c r="I1338" s="31"/>
      <c r="J1338" s="30"/>
    </row>
    <row r="1339">
      <c r="A1339" s="131"/>
      <c r="B1339" s="133"/>
      <c r="C1339" s="134"/>
      <c r="D1339" s="29"/>
      <c r="E1339" s="30"/>
      <c r="F1339" s="30"/>
      <c r="G1339" s="31"/>
      <c r="H1339" s="30"/>
      <c r="I1339" s="31"/>
      <c r="J1339" s="30"/>
    </row>
    <row r="1340">
      <c r="A1340" s="131"/>
      <c r="B1340" s="133"/>
      <c r="C1340" s="134"/>
      <c r="D1340" s="29"/>
      <c r="E1340" s="30"/>
      <c r="F1340" s="30"/>
      <c r="G1340" s="31"/>
      <c r="H1340" s="30"/>
      <c r="I1340" s="31"/>
      <c r="J1340" s="30"/>
    </row>
    <row r="1341">
      <c r="A1341" s="131"/>
      <c r="B1341" s="133"/>
      <c r="C1341" s="134"/>
      <c r="D1341" s="29"/>
      <c r="E1341" s="30"/>
      <c r="F1341" s="30"/>
      <c r="G1341" s="31"/>
      <c r="H1341" s="30"/>
      <c r="I1341" s="31"/>
      <c r="J1341" s="30"/>
    </row>
    <row r="1342">
      <c r="A1342" s="131"/>
      <c r="B1342" s="133"/>
      <c r="C1342" s="134"/>
      <c r="D1342" s="29"/>
      <c r="E1342" s="30"/>
      <c r="F1342" s="30"/>
      <c r="G1342" s="31"/>
      <c r="H1342" s="30"/>
      <c r="I1342" s="31"/>
      <c r="J1342" s="30"/>
    </row>
    <row r="1343">
      <c r="A1343" s="131"/>
      <c r="B1343" s="133"/>
      <c r="C1343" s="134"/>
      <c r="D1343" s="29"/>
      <c r="E1343" s="30"/>
      <c r="F1343" s="30"/>
      <c r="G1343" s="31"/>
      <c r="H1343" s="30"/>
      <c r="I1343" s="31"/>
      <c r="J1343" s="30"/>
    </row>
    <row r="1344">
      <c r="A1344" s="131"/>
      <c r="B1344" s="133"/>
      <c r="C1344" s="134"/>
      <c r="D1344" s="29"/>
      <c r="E1344" s="30"/>
      <c r="F1344" s="30"/>
      <c r="G1344" s="31"/>
      <c r="H1344" s="30"/>
      <c r="I1344" s="31"/>
      <c r="J1344" s="30"/>
    </row>
    <row r="1345">
      <c r="A1345" s="131"/>
      <c r="B1345" s="133"/>
      <c r="C1345" s="134"/>
      <c r="D1345" s="29"/>
      <c r="E1345" s="30"/>
      <c r="F1345" s="30"/>
      <c r="G1345" s="31"/>
      <c r="H1345" s="30"/>
      <c r="I1345" s="31"/>
      <c r="J1345" s="30"/>
    </row>
    <row r="1346">
      <c r="A1346" s="131"/>
      <c r="B1346" s="133"/>
      <c r="C1346" s="134"/>
      <c r="D1346" s="29"/>
      <c r="E1346" s="30"/>
      <c r="F1346" s="30"/>
      <c r="G1346" s="31"/>
      <c r="H1346" s="30"/>
      <c r="I1346" s="31"/>
      <c r="J1346" s="30"/>
    </row>
    <row r="1347">
      <c r="A1347" s="131"/>
      <c r="B1347" s="133"/>
      <c r="C1347" s="134"/>
      <c r="D1347" s="29"/>
      <c r="E1347" s="30"/>
      <c r="F1347" s="30"/>
      <c r="G1347" s="31"/>
      <c r="H1347" s="30"/>
      <c r="I1347" s="31"/>
      <c r="J1347" s="30"/>
    </row>
    <row r="1348">
      <c r="A1348" s="131"/>
      <c r="B1348" s="133"/>
      <c r="C1348" s="134"/>
      <c r="D1348" s="29"/>
      <c r="E1348" s="30"/>
      <c r="F1348" s="30"/>
      <c r="G1348" s="31"/>
      <c r="H1348" s="30"/>
      <c r="I1348" s="31"/>
      <c r="J1348" s="30"/>
    </row>
    <row r="1349">
      <c r="A1349" s="131"/>
      <c r="B1349" s="133"/>
      <c r="C1349" s="134"/>
      <c r="D1349" s="29"/>
      <c r="E1349" s="30"/>
      <c r="F1349" s="30"/>
      <c r="G1349" s="31"/>
      <c r="H1349" s="30"/>
      <c r="I1349" s="31"/>
      <c r="J1349" s="30"/>
    </row>
    <row r="1350">
      <c r="A1350" s="131"/>
      <c r="B1350" s="133"/>
      <c r="C1350" s="134"/>
      <c r="D1350" s="29"/>
      <c r="E1350" s="30"/>
      <c r="F1350" s="30"/>
      <c r="G1350" s="31"/>
      <c r="H1350" s="30"/>
      <c r="I1350" s="31"/>
      <c r="J1350" s="30"/>
    </row>
    <row r="1351">
      <c r="A1351" s="131"/>
      <c r="B1351" s="133"/>
      <c r="C1351" s="134"/>
      <c r="D1351" s="29"/>
      <c r="E1351" s="30"/>
      <c r="F1351" s="30"/>
      <c r="G1351" s="31"/>
      <c r="H1351" s="30"/>
      <c r="I1351" s="31"/>
      <c r="J1351" s="30"/>
    </row>
    <row r="1352">
      <c r="A1352" s="131"/>
      <c r="B1352" s="133"/>
      <c r="C1352" s="134"/>
      <c r="D1352" s="29"/>
      <c r="E1352" s="30"/>
      <c r="F1352" s="30"/>
      <c r="G1352" s="31"/>
      <c r="H1352" s="30"/>
      <c r="I1352" s="31"/>
      <c r="J1352" s="30"/>
    </row>
    <row r="1353">
      <c r="A1353" s="131"/>
      <c r="B1353" s="133"/>
      <c r="C1353" s="134"/>
      <c r="D1353" s="29"/>
      <c r="E1353" s="30"/>
      <c r="F1353" s="30"/>
      <c r="G1353" s="31"/>
      <c r="H1353" s="30"/>
      <c r="I1353" s="31"/>
      <c r="J1353" s="30"/>
    </row>
    <row r="1354">
      <c r="A1354" s="131"/>
      <c r="B1354" s="133"/>
      <c r="C1354" s="134"/>
      <c r="D1354" s="29"/>
      <c r="E1354" s="30"/>
      <c r="F1354" s="30"/>
      <c r="G1354" s="31"/>
      <c r="H1354" s="30"/>
      <c r="I1354" s="31"/>
      <c r="J1354" s="30"/>
    </row>
    <row r="1355">
      <c r="A1355" s="131"/>
      <c r="B1355" s="133"/>
      <c r="C1355" s="134"/>
      <c r="D1355" s="29"/>
      <c r="E1355" s="30"/>
      <c r="F1355" s="30"/>
      <c r="G1355" s="31"/>
      <c r="H1355" s="30"/>
      <c r="I1355" s="31"/>
      <c r="J1355" s="30"/>
    </row>
    <row r="1356">
      <c r="A1356" s="131"/>
      <c r="B1356" s="133"/>
      <c r="C1356" s="134"/>
      <c r="D1356" s="29"/>
      <c r="E1356" s="30"/>
      <c r="F1356" s="30"/>
      <c r="G1356" s="31"/>
      <c r="H1356" s="30"/>
      <c r="I1356" s="31"/>
      <c r="J1356" s="30"/>
    </row>
    <row r="1357">
      <c r="A1357" s="131"/>
      <c r="B1357" s="133"/>
      <c r="C1357" s="134"/>
      <c r="D1357" s="29"/>
      <c r="E1357" s="30"/>
      <c r="F1357" s="30"/>
      <c r="G1357" s="31"/>
      <c r="H1357" s="30"/>
      <c r="I1357" s="31"/>
      <c r="J1357" s="30"/>
    </row>
    <row r="1358">
      <c r="A1358" s="131"/>
      <c r="B1358" s="133"/>
      <c r="C1358" s="134"/>
      <c r="D1358" s="29"/>
      <c r="E1358" s="30"/>
      <c r="F1358" s="30"/>
      <c r="G1358" s="31"/>
      <c r="H1358" s="30"/>
      <c r="I1358" s="31"/>
      <c r="J1358" s="30"/>
    </row>
    <row r="1359">
      <c r="A1359" s="131"/>
      <c r="B1359" s="133"/>
      <c r="C1359" s="134"/>
      <c r="D1359" s="29"/>
      <c r="E1359" s="30"/>
      <c r="F1359" s="30"/>
      <c r="G1359" s="31"/>
      <c r="H1359" s="30"/>
      <c r="I1359" s="31"/>
      <c r="J1359" s="30"/>
    </row>
    <row r="1360">
      <c r="A1360" s="131"/>
      <c r="B1360" s="133"/>
      <c r="C1360" s="134"/>
      <c r="D1360" s="29"/>
      <c r="E1360" s="30"/>
      <c r="F1360" s="30"/>
      <c r="G1360" s="31"/>
      <c r="H1360" s="30"/>
      <c r="I1360" s="31"/>
      <c r="J1360" s="30"/>
    </row>
    <row r="1361">
      <c r="A1361" s="131"/>
      <c r="B1361" s="133"/>
      <c r="C1361" s="134"/>
      <c r="D1361" s="29"/>
      <c r="E1361" s="30"/>
      <c r="F1361" s="30"/>
      <c r="G1361" s="31"/>
      <c r="H1361" s="30"/>
      <c r="I1361" s="31"/>
      <c r="J1361" s="30"/>
    </row>
    <row r="1362">
      <c r="A1362" s="131"/>
      <c r="B1362" s="133"/>
      <c r="C1362" s="134"/>
      <c r="D1362" s="29"/>
      <c r="E1362" s="30"/>
      <c r="F1362" s="30"/>
      <c r="G1362" s="31"/>
      <c r="H1362" s="30"/>
      <c r="I1362" s="31"/>
      <c r="J1362" s="30"/>
    </row>
    <row r="1363">
      <c r="A1363" s="131"/>
      <c r="B1363" s="133"/>
      <c r="C1363" s="134"/>
      <c r="D1363" s="29"/>
      <c r="E1363" s="30"/>
      <c r="F1363" s="30"/>
      <c r="G1363" s="31"/>
      <c r="H1363" s="30"/>
      <c r="I1363" s="31"/>
      <c r="J1363" s="30"/>
    </row>
    <row r="1364">
      <c r="A1364" s="131"/>
      <c r="B1364" s="133"/>
      <c r="C1364" s="134"/>
      <c r="D1364" s="29"/>
      <c r="E1364" s="30"/>
      <c r="F1364" s="30"/>
      <c r="G1364" s="31"/>
      <c r="H1364" s="30"/>
      <c r="I1364" s="31"/>
      <c r="J1364" s="30"/>
    </row>
    <row r="1365">
      <c r="A1365" s="131"/>
      <c r="B1365" s="133"/>
      <c r="C1365" s="134"/>
      <c r="D1365" s="29"/>
      <c r="E1365" s="30"/>
      <c r="F1365" s="30"/>
      <c r="G1365" s="31"/>
      <c r="H1365" s="30"/>
      <c r="I1365" s="31"/>
      <c r="J1365" s="30"/>
    </row>
    <row r="1366">
      <c r="A1366" s="131"/>
      <c r="B1366" s="133"/>
      <c r="C1366" s="134"/>
      <c r="D1366" s="29"/>
      <c r="E1366" s="30"/>
      <c r="F1366" s="30"/>
      <c r="G1366" s="31"/>
      <c r="H1366" s="30"/>
      <c r="I1366" s="31"/>
      <c r="J1366" s="30"/>
    </row>
    <row r="1367">
      <c r="A1367" s="131"/>
      <c r="B1367" s="133"/>
      <c r="C1367" s="134"/>
      <c r="D1367" s="29"/>
      <c r="E1367" s="30"/>
      <c r="F1367" s="30"/>
      <c r="G1367" s="31"/>
      <c r="H1367" s="30"/>
      <c r="I1367" s="31"/>
      <c r="J1367" s="30"/>
    </row>
    <row r="1368">
      <c r="A1368" s="131"/>
      <c r="B1368" s="133"/>
      <c r="C1368" s="134"/>
      <c r="D1368" s="29"/>
      <c r="E1368" s="30"/>
      <c r="F1368" s="30"/>
      <c r="G1368" s="31"/>
      <c r="H1368" s="30"/>
      <c r="I1368" s="31"/>
      <c r="J1368" s="30"/>
    </row>
    <row r="1369">
      <c r="A1369" s="131"/>
      <c r="B1369" s="133"/>
      <c r="C1369" s="134"/>
      <c r="D1369" s="29"/>
      <c r="E1369" s="30"/>
      <c r="F1369" s="30"/>
      <c r="G1369" s="31"/>
      <c r="H1369" s="30"/>
      <c r="I1369" s="31"/>
      <c r="J1369" s="30"/>
    </row>
    <row r="1370">
      <c r="A1370" s="131"/>
      <c r="B1370" s="133"/>
      <c r="C1370" s="134"/>
      <c r="D1370" s="29"/>
      <c r="E1370" s="30"/>
      <c r="F1370" s="30"/>
      <c r="G1370" s="31"/>
      <c r="H1370" s="30"/>
      <c r="I1370" s="31"/>
      <c r="J1370" s="30"/>
    </row>
    <row r="1371">
      <c r="A1371" s="131"/>
      <c r="B1371" s="133"/>
      <c r="C1371" s="134"/>
      <c r="D1371" s="29"/>
      <c r="E1371" s="30"/>
      <c r="F1371" s="30"/>
      <c r="G1371" s="31"/>
      <c r="H1371" s="30"/>
      <c r="I1371" s="31"/>
      <c r="J1371" s="30"/>
    </row>
    <row r="1372">
      <c r="A1372" s="131"/>
      <c r="B1372" s="133"/>
      <c r="C1372" s="134"/>
      <c r="D1372" s="29"/>
      <c r="E1372" s="30"/>
      <c r="F1372" s="30"/>
      <c r="G1372" s="31"/>
      <c r="H1372" s="30"/>
      <c r="I1372" s="31"/>
      <c r="J1372" s="30"/>
    </row>
    <row r="1373">
      <c r="A1373" s="131"/>
      <c r="B1373" s="133"/>
      <c r="C1373" s="134"/>
      <c r="D1373" s="29"/>
      <c r="E1373" s="30"/>
      <c r="F1373" s="30"/>
      <c r="G1373" s="31"/>
      <c r="H1373" s="30"/>
      <c r="I1373" s="31"/>
      <c r="J1373" s="30"/>
    </row>
    <row r="1374">
      <c r="A1374" s="131"/>
      <c r="B1374" s="133"/>
      <c r="C1374" s="134"/>
      <c r="D1374" s="29"/>
      <c r="E1374" s="30"/>
      <c r="F1374" s="30"/>
      <c r="G1374" s="31"/>
      <c r="H1374" s="30"/>
      <c r="I1374" s="31"/>
      <c r="J1374" s="30"/>
    </row>
    <row r="1375">
      <c r="A1375" s="131"/>
      <c r="B1375" s="133"/>
      <c r="C1375" s="134"/>
      <c r="D1375" s="29"/>
      <c r="E1375" s="30"/>
      <c r="F1375" s="30"/>
      <c r="G1375" s="31"/>
      <c r="H1375" s="30"/>
      <c r="I1375" s="31"/>
      <c r="J1375" s="30"/>
    </row>
    <row r="1376">
      <c r="A1376" s="131"/>
      <c r="B1376" s="133"/>
      <c r="C1376" s="134"/>
      <c r="D1376" s="29"/>
      <c r="E1376" s="30"/>
      <c r="F1376" s="30"/>
      <c r="G1376" s="31"/>
      <c r="H1376" s="30"/>
      <c r="I1376" s="31"/>
      <c r="J1376" s="30"/>
    </row>
    <row r="1377">
      <c r="A1377" s="131"/>
      <c r="B1377" s="133"/>
      <c r="C1377" s="134"/>
      <c r="D1377" s="29"/>
      <c r="E1377" s="30"/>
      <c r="F1377" s="30"/>
      <c r="G1377" s="31"/>
      <c r="H1377" s="30"/>
      <c r="I1377" s="31"/>
      <c r="J1377" s="30"/>
    </row>
    <row r="1378">
      <c r="A1378" s="131"/>
      <c r="B1378" s="133"/>
      <c r="C1378" s="134"/>
      <c r="D1378" s="29"/>
      <c r="E1378" s="30"/>
      <c r="F1378" s="30"/>
      <c r="G1378" s="31"/>
      <c r="H1378" s="30"/>
      <c r="I1378" s="31"/>
      <c r="J1378" s="30"/>
    </row>
    <row r="1379">
      <c r="A1379" s="131"/>
      <c r="B1379" s="133"/>
      <c r="C1379" s="134"/>
      <c r="D1379" s="29"/>
      <c r="E1379" s="30"/>
      <c r="F1379" s="30"/>
      <c r="G1379" s="31"/>
      <c r="H1379" s="30"/>
      <c r="I1379" s="31"/>
      <c r="J1379" s="30"/>
    </row>
    <row r="1380">
      <c r="A1380" s="131"/>
      <c r="B1380" s="133"/>
      <c r="C1380" s="134"/>
      <c r="D1380" s="29"/>
      <c r="E1380" s="30"/>
      <c r="F1380" s="30"/>
      <c r="G1380" s="31"/>
      <c r="H1380" s="30"/>
      <c r="I1380" s="31"/>
      <c r="J1380" s="30"/>
    </row>
    <row r="1381">
      <c r="A1381" s="131"/>
      <c r="B1381" s="133"/>
      <c r="C1381" s="134"/>
      <c r="D1381" s="29"/>
      <c r="E1381" s="30"/>
      <c r="F1381" s="30"/>
      <c r="G1381" s="31"/>
      <c r="H1381" s="30"/>
      <c r="I1381" s="31"/>
      <c r="J1381" s="30"/>
    </row>
    <row r="1382">
      <c r="A1382" s="131"/>
      <c r="B1382" s="133"/>
      <c r="C1382" s="134"/>
      <c r="D1382" s="29"/>
      <c r="E1382" s="30"/>
      <c r="F1382" s="30"/>
      <c r="G1382" s="31"/>
      <c r="H1382" s="30"/>
      <c r="I1382" s="31"/>
      <c r="J1382" s="30"/>
    </row>
    <row r="1383">
      <c r="A1383" s="131"/>
      <c r="B1383" s="133"/>
      <c r="C1383" s="134"/>
      <c r="D1383" s="29"/>
      <c r="E1383" s="30"/>
      <c r="F1383" s="30"/>
      <c r="G1383" s="31"/>
      <c r="H1383" s="30"/>
      <c r="I1383" s="31"/>
      <c r="J1383" s="30"/>
    </row>
    <row r="1384">
      <c r="A1384" s="131"/>
      <c r="B1384" s="133"/>
      <c r="C1384" s="134"/>
      <c r="D1384" s="29"/>
      <c r="E1384" s="30"/>
      <c r="F1384" s="30"/>
      <c r="G1384" s="31"/>
      <c r="H1384" s="30"/>
      <c r="I1384" s="31"/>
      <c r="J1384" s="30"/>
    </row>
    <row r="1385">
      <c r="A1385" s="131"/>
      <c r="B1385" s="133"/>
      <c r="C1385" s="134"/>
      <c r="D1385" s="29"/>
      <c r="E1385" s="30"/>
      <c r="F1385" s="30"/>
      <c r="G1385" s="31"/>
      <c r="H1385" s="30"/>
      <c r="I1385" s="31"/>
      <c r="J1385" s="30"/>
    </row>
    <row r="1386">
      <c r="A1386" s="131"/>
      <c r="B1386" s="133"/>
      <c r="C1386" s="134"/>
      <c r="D1386" s="29"/>
      <c r="E1386" s="30"/>
      <c r="F1386" s="30"/>
      <c r="G1386" s="31"/>
      <c r="H1386" s="30"/>
      <c r="I1386" s="31"/>
      <c r="J1386" s="30"/>
    </row>
    <row r="1387">
      <c r="A1387" s="131"/>
      <c r="B1387" s="133"/>
      <c r="C1387" s="134"/>
      <c r="D1387" s="29"/>
      <c r="E1387" s="30"/>
      <c r="F1387" s="30"/>
      <c r="G1387" s="31"/>
      <c r="H1387" s="30"/>
      <c r="I1387" s="31"/>
      <c r="J1387" s="30"/>
    </row>
    <row r="1388">
      <c r="A1388" s="131"/>
      <c r="B1388" s="133"/>
      <c r="C1388" s="134"/>
      <c r="D1388" s="29"/>
      <c r="E1388" s="30"/>
      <c r="F1388" s="30"/>
      <c r="G1388" s="31"/>
      <c r="H1388" s="30"/>
      <c r="I1388" s="31"/>
      <c r="J1388" s="30"/>
    </row>
    <row r="1389">
      <c r="A1389" s="131"/>
      <c r="B1389" s="133"/>
      <c r="C1389" s="134"/>
      <c r="D1389" s="29"/>
      <c r="E1389" s="30"/>
      <c r="F1389" s="30"/>
      <c r="G1389" s="31"/>
      <c r="H1389" s="30"/>
      <c r="I1389" s="31"/>
      <c r="J1389" s="30"/>
    </row>
    <row r="1390">
      <c r="A1390" s="131"/>
      <c r="B1390" s="133"/>
      <c r="C1390" s="134"/>
      <c r="D1390" s="29"/>
      <c r="E1390" s="30"/>
      <c r="F1390" s="30"/>
      <c r="G1390" s="31"/>
      <c r="H1390" s="30"/>
      <c r="I1390" s="31"/>
      <c r="J1390" s="30"/>
    </row>
    <row r="1391">
      <c r="A1391" s="131"/>
      <c r="B1391" s="133"/>
      <c r="C1391" s="134"/>
      <c r="D1391" s="29"/>
      <c r="E1391" s="30"/>
      <c r="F1391" s="30"/>
      <c r="G1391" s="31"/>
      <c r="H1391" s="30"/>
      <c r="I1391" s="31"/>
      <c r="J1391" s="30"/>
    </row>
    <row r="1392">
      <c r="A1392" s="131"/>
      <c r="B1392" s="133"/>
      <c r="C1392" s="134"/>
      <c r="D1392" s="29"/>
      <c r="E1392" s="30"/>
      <c r="F1392" s="30"/>
      <c r="G1392" s="31"/>
      <c r="H1392" s="30"/>
      <c r="I1392" s="31"/>
      <c r="J1392" s="30"/>
    </row>
    <row r="1393">
      <c r="A1393" s="131"/>
      <c r="B1393" s="133"/>
      <c r="C1393" s="134"/>
      <c r="D1393" s="29"/>
      <c r="E1393" s="30"/>
      <c r="F1393" s="30"/>
      <c r="G1393" s="31"/>
      <c r="H1393" s="30"/>
      <c r="I1393" s="31"/>
      <c r="J1393" s="30"/>
    </row>
    <row r="1394">
      <c r="A1394" s="131"/>
      <c r="B1394" s="133"/>
      <c r="C1394" s="134"/>
      <c r="D1394" s="29"/>
      <c r="E1394" s="30"/>
      <c r="F1394" s="30"/>
      <c r="G1394" s="31"/>
      <c r="H1394" s="30"/>
      <c r="I1394" s="31"/>
      <c r="J1394" s="30"/>
    </row>
    <row r="1395">
      <c r="A1395" s="131"/>
      <c r="B1395" s="133"/>
      <c r="C1395" s="134"/>
      <c r="D1395" s="29"/>
      <c r="E1395" s="30"/>
      <c r="F1395" s="30"/>
      <c r="G1395" s="31"/>
      <c r="H1395" s="30"/>
      <c r="I1395" s="31"/>
      <c r="J1395" s="30"/>
    </row>
    <row r="1396">
      <c r="A1396" s="131"/>
      <c r="B1396" s="133"/>
      <c r="C1396" s="134"/>
      <c r="D1396" s="29"/>
      <c r="E1396" s="30"/>
      <c r="F1396" s="30"/>
      <c r="G1396" s="31"/>
      <c r="H1396" s="30"/>
      <c r="I1396" s="31"/>
      <c r="J1396" s="30"/>
    </row>
    <row r="1397">
      <c r="A1397" s="131"/>
      <c r="B1397" s="133"/>
      <c r="C1397" s="134"/>
      <c r="D1397" s="29"/>
      <c r="E1397" s="30"/>
      <c r="F1397" s="30"/>
      <c r="G1397" s="31"/>
      <c r="H1397" s="30"/>
      <c r="I1397" s="31"/>
      <c r="J1397" s="30"/>
    </row>
    <row r="1398">
      <c r="A1398" s="131"/>
      <c r="B1398" s="133"/>
      <c r="C1398" s="134"/>
      <c r="D1398" s="29"/>
      <c r="E1398" s="30"/>
      <c r="F1398" s="30"/>
      <c r="G1398" s="31"/>
      <c r="H1398" s="30"/>
      <c r="I1398" s="31"/>
      <c r="J1398" s="30"/>
    </row>
    <row r="1399">
      <c r="A1399" s="131"/>
      <c r="B1399" s="133"/>
      <c r="C1399" s="134"/>
      <c r="D1399" s="29"/>
      <c r="E1399" s="30"/>
      <c r="F1399" s="30"/>
      <c r="G1399" s="31"/>
      <c r="H1399" s="30"/>
      <c r="I1399" s="31"/>
      <c r="J1399" s="30"/>
    </row>
    <row r="1400">
      <c r="A1400" s="131"/>
      <c r="B1400" s="133"/>
      <c r="C1400" s="134"/>
      <c r="D1400" s="29"/>
      <c r="E1400" s="30"/>
      <c r="F1400" s="30"/>
      <c r="G1400" s="31"/>
      <c r="H1400" s="30"/>
      <c r="I1400" s="31"/>
      <c r="J1400" s="30"/>
    </row>
    <row r="1401">
      <c r="A1401" s="131"/>
      <c r="B1401" s="133"/>
      <c r="C1401" s="134"/>
      <c r="D1401" s="29"/>
      <c r="E1401" s="30"/>
      <c r="F1401" s="30"/>
      <c r="G1401" s="31"/>
      <c r="H1401" s="30"/>
      <c r="I1401" s="31"/>
      <c r="J1401" s="30"/>
    </row>
    <row r="1402">
      <c r="A1402" s="131"/>
      <c r="B1402" s="133"/>
      <c r="C1402" s="134"/>
      <c r="D1402" s="29"/>
      <c r="E1402" s="30"/>
      <c r="F1402" s="30"/>
      <c r="G1402" s="31"/>
      <c r="H1402" s="30"/>
      <c r="I1402" s="31"/>
      <c r="J1402" s="30"/>
    </row>
    <row r="1403">
      <c r="A1403" s="131"/>
      <c r="B1403" s="133"/>
      <c r="C1403" s="134"/>
      <c r="D1403" s="29"/>
      <c r="E1403" s="30"/>
      <c r="F1403" s="30"/>
      <c r="G1403" s="31"/>
      <c r="H1403" s="30"/>
      <c r="I1403" s="31"/>
      <c r="J1403" s="30"/>
    </row>
    <row r="1404">
      <c r="A1404" s="131"/>
      <c r="B1404" s="133"/>
      <c r="C1404" s="134"/>
      <c r="D1404" s="29"/>
      <c r="E1404" s="30"/>
      <c r="F1404" s="30"/>
      <c r="G1404" s="31"/>
      <c r="H1404" s="30"/>
      <c r="I1404" s="31"/>
      <c r="J1404" s="30"/>
    </row>
    <row r="1405">
      <c r="A1405" s="131"/>
      <c r="B1405" s="133"/>
      <c r="C1405" s="134"/>
      <c r="D1405" s="29"/>
      <c r="E1405" s="30"/>
      <c r="F1405" s="30"/>
      <c r="G1405" s="31"/>
      <c r="H1405" s="30"/>
      <c r="I1405" s="31"/>
      <c r="J1405" s="30"/>
    </row>
    <row r="1406">
      <c r="A1406" s="131"/>
      <c r="B1406" s="133"/>
      <c r="C1406" s="134"/>
      <c r="D1406" s="29"/>
      <c r="E1406" s="30"/>
      <c r="F1406" s="30"/>
      <c r="G1406" s="31"/>
      <c r="H1406" s="30"/>
      <c r="I1406" s="31"/>
      <c r="J1406" s="30"/>
    </row>
    <row r="1407">
      <c r="A1407" s="131"/>
      <c r="B1407" s="133"/>
      <c r="C1407" s="134"/>
      <c r="D1407" s="29"/>
      <c r="E1407" s="30"/>
      <c r="F1407" s="30"/>
      <c r="G1407" s="31"/>
      <c r="H1407" s="30"/>
      <c r="I1407" s="31"/>
      <c r="J1407" s="30"/>
    </row>
    <row r="1408">
      <c r="A1408" s="131"/>
      <c r="B1408" s="133"/>
      <c r="C1408" s="134"/>
      <c r="D1408" s="29"/>
      <c r="E1408" s="30"/>
      <c r="F1408" s="30"/>
      <c r="G1408" s="31"/>
      <c r="H1408" s="30"/>
      <c r="I1408" s="31"/>
      <c r="J1408" s="30"/>
    </row>
    <row r="1409">
      <c r="A1409" s="131"/>
      <c r="B1409" s="133"/>
      <c r="C1409" s="134"/>
      <c r="D1409" s="29"/>
      <c r="E1409" s="30"/>
      <c r="F1409" s="30"/>
      <c r="G1409" s="31"/>
      <c r="H1409" s="30"/>
      <c r="I1409" s="31"/>
      <c r="J1409" s="30"/>
    </row>
    <row r="1410">
      <c r="A1410" s="131"/>
      <c r="B1410" s="133"/>
      <c r="C1410" s="134"/>
      <c r="D1410" s="29"/>
      <c r="E1410" s="30"/>
      <c r="F1410" s="30"/>
      <c r="G1410" s="31"/>
      <c r="H1410" s="30"/>
      <c r="I1410" s="31"/>
      <c r="J1410" s="30"/>
    </row>
    <row r="1411">
      <c r="A1411" s="131"/>
      <c r="B1411" s="133"/>
      <c r="C1411" s="134"/>
      <c r="D1411" s="29"/>
      <c r="E1411" s="30"/>
      <c r="F1411" s="30"/>
      <c r="G1411" s="31"/>
      <c r="H1411" s="30"/>
      <c r="I1411" s="31"/>
      <c r="J1411" s="30"/>
    </row>
    <row r="1412">
      <c r="A1412" s="131"/>
      <c r="B1412" s="133"/>
      <c r="C1412" s="134"/>
      <c r="D1412" s="29"/>
      <c r="E1412" s="30"/>
      <c r="F1412" s="30"/>
      <c r="G1412" s="31"/>
      <c r="H1412" s="30"/>
      <c r="I1412" s="31"/>
      <c r="J1412" s="30"/>
    </row>
    <row r="1413">
      <c r="A1413" s="131"/>
      <c r="B1413" s="133"/>
      <c r="C1413" s="134"/>
      <c r="D1413" s="29"/>
      <c r="E1413" s="30"/>
      <c r="F1413" s="30"/>
      <c r="G1413" s="31"/>
      <c r="H1413" s="30"/>
      <c r="I1413" s="31"/>
      <c r="J1413" s="30"/>
    </row>
    <row r="1414">
      <c r="A1414" s="131"/>
      <c r="B1414" s="133"/>
      <c r="C1414" s="134"/>
      <c r="D1414" s="29"/>
      <c r="E1414" s="30"/>
      <c r="F1414" s="30"/>
      <c r="G1414" s="31"/>
      <c r="H1414" s="30"/>
      <c r="I1414" s="31"/>
      <c r="J1414" s="30"/>
    </row>
    <row r="1415">
      <c r="A1415" s="131"/>
      <c r="B1415" s="133"/>
      <c r="C1415" s="134"/>
      <c r="D1415" s="29"/>
      <c r="E1415" s="30"/>
      <c r="F1415" s="30"/>
      <c r="G1415" s="31"/>
      <c r="H1415" s="30"/>
      <c r="I1415" s="31"/>
      <c r="J1415" s="30"/>
    </row>
    <row r="1416">
      <c r="A1416" s="131"/>
      <c r="B1416" s="133"/>
      <c r="C1416" s="134"/>
      <c r="D1416" s="29"/>
      <c r="E1416" s="30"/>
      <c r="F1416" s="30"/>
      <c r="G1416" s="31"/>
      <c r="H1416" s="30"/>
      <c r="I1416" s="31"/>
      <c r="J1416" s="30"/>
    </row>
    <row r="1417">
      <c r="A1417" s="131"/>
      <c r="B1417" s="133"/>
      <c r="C1417" s="134"/>
      <c r="D1417" s="29"/>
      <c r="E1417" s="30"/>
      <c r="F1417" s="30"/>
      <c r="G1417" s="31"/>
      <c r="H1417" s="30"/>
      <c r="I1417" s="31"/>
      <c r="J1417" s="30"/>
    </row>
    <row r="1418">
      <c r="A1418" s="131"/>
      <c r="B1418" s="133"/>
      <c r="C1418" s="134"/>
      <c r="D1418" s="29"/>
      <c r="E1418" s="30"/>
      <c r="F1418" s="30"/>
      <c r="G1418" s="31"/>
      <c r="H1418" s="30"/>
      <c r="I1418" s="31"/>
      <c r="J1418" s="30"/>
    </row>
    <row r="1419">
      <c r="A1419" s="131"/>
      <c r="B1419" s="133"/>
      <c r="C1419" s="134"/>
      <c r="D1419" s="29"/>
      <c r="E1419" s="30"/>
      <c r="F1419" s="30"/>
      <c r="G1419" s="31"/>
      <c r="H1419" s="30"/>
      <c r="I1419" s="31"/>
      <c r="J1419" s="30"/>
    </row>
    <row r="1420">
      <c r="A1420" s="131"/>
      <c r="B1420" s="133"/>
      <c r="C1420" s="134"/>
      <c r="D1420" s="29"/>
      <c r="E1420" s="30"/>
      <c r="F1420" s="30"/>
      <c r="G1420" s="31"/>
      <c r="H1420" s="30"/>
      <c r="I1420" s="31"/>
      <c r="J1420" s="30"/>
    </row>
    <row r="1421">
      <c r="A1421" s="131"/>
      <c r="B1421" s="133"/>
      <c r="C1421" s="134"/>
      <c r="D1421" s="29"/>
      <c r="E1421" s="30"/>
      <c r="F1421" s="30"/>
      <c r="G1421" s="31"/>
      <c r="H1421" s="30"/>
      <c r="I1421" s="31"/>
      <c r="J1421" s="30"/>
    </row>
    <row r="1422">
      <c r="A1422" s="131"/>
      <c r="B1422" s="133"/>
      <c r="C1422" s="134"/>
      <c r="D1422" s="29"/>
      <c r="E1422" s="30"/>
      <c r="F1422" s="30"/>
      <c r="G1422" s="31"/>
      <c r="H1422" s="30"/>
      <c r="I1422" s="31"/>
      <c r="J1422" s="30"/>
    </row>
    <row r="1423">
      <c r="A1423" s="131"/>
      <c r="B1423" s="133"/>
      <c r="C1423" s="134"/>
      <c r="D1423" s="29"/>
      <c r="E1423" s="30"/>
      <c r="F1423" s="30"/>
      <c r="G1423" s="31"/>
      <c r="H1423" s="30"/>
      <c r="I1423" s="31"/>
      <c r="J1423" s="30"/>
    </row>
    <row r="1424">
      <c r="A1424" s="131"/>
      <c r="B1424" s="133"/>
      <c r="C1424" s="134"/>
      <c r="D1424" s="29"/>
      <c r="E1424" s="30"/>
      <c r="F1424" s="30"/>
      <c r="G1424" s="31"/>
      <c r="H1424" s="30"/>
      <c r="I1424" s="31"/>
      <c r="J1424" s="30"/>
    </row>
    <row r="1425">
      <c r="A1425" s="131"/>
      <c r="B1425" s="133"/>
      <c r="C1425" s="134"/>
      <c r="D1425" s="29"/>
      <c r="E1425" s="30"/>
      <c r="F1425" s="30"/>
      <c r="G1425" s="31"/>
      <c r="H1425" s="30"/>
      <c r="I1425" s="31"/>
      <c r="J1425" s="30"/>
    </row>
    <row r="1426">
      <c r="A1426" s="131"/>
      <c r="B1426" s="133"/>
      <c r="C1426" s="134"/>
      <c r="D1426" s="29"/>
      <c r="E1426" s="30"/>
      <c r="F1426" s="30"/>
      <c r="G1426" s="31"/>
      <c r="H1426" s="30"/>
      <c r="I1426" s="31"/>
      <c r="J1426" s="30"/>
    </row>
    <row r="1427">
      <c r="A1427" s="131"/>
      <c r="B1427" s="133"/>
      <c r="C1427" s="134"/>
      <c r="D1427" s="29"/>
      <c r="E1427" s="30"/>
      <c r="F1427" s="30"/>
      <c r="G1427" s="31"/>
      <c r="H1427" s="30"/>
      <c r="I1427" s="31"/>
      <c r="J1427" s="30"/>
    </row>
    <row r="1428">
      <c r="A1428" s="131"/>
      <c r="B1428" s="133"/>
      <c r="C1428" s="134"/>
      <c r="D1428" s="29"/>
      <c r="E1428" s="30"/>
      <c r="F1428" s="30"/>
      <c r="G1428" s="31"/>
      <c r="H1428" s="30"/>
      <c r="I1428" s="31"/>
      <c r="J1428" s="30"/>
    </row>
    <row r="1429">
      <c r="A1429" s="131"/>
      <c r="B1429" s="133"/>
      <c r="C1429" s="134"/>
      <c r="D1429" s="29"/>
      <c r="E1429" s="30"/>
      <c r="F1429" s="30"/>
      <c r="G1429" s="31"/>
      <c r="H1429" s="30"/>
      <c r="I1429" s="31"/>
      <c r="J1429" s="30"/>
    </row>
    <row r="1430">
      <c r="A1430" s="131"/>
      <c r="B1430" s="133"/>
      <c r="C1430" s="134"/>
      <c r="D1430" s="29"/>
      <c r="E1430" s="30"/>
      <c r="F1430" s="30"/>
      <c r="G1430" s="31"/>
      <c r="H1430" s="30"/>
      <c r="I1430" s="31"/>
      <c r="J1430" s="30"/>
    </row>
    <row r="1431">
      <c r="A1431" s="131"/>
      <c r="B1431" s="133"/>
      <c r="C1431" s="134"/>
      <c r="D1431" s="29"/>
      <c r="E1431" s="30"/>
      <c r="F1431" s="30"/>
      <c r="G1431" s="31"/>
      <c r="H1431" s="30"/>
      <c r="I1431" s="31"/>
      <c r="J1431" s="30"/>
    </row>
    <row r="1432">
      <c r="A1432" s="131"/>
      <c r="B1432" s="133"/>
      <c r="C1432" s="134"/>
      <c r="D1432" s="29"/>
      <c r="E1432" s="30"/>
      <c r="F1432" s="30"/>
      <c r="G1432" s="31"/>
      <c r="H1432" s="30"/>
      <c r="I1432" s="31"/>
      <c r="J1432" s="30"/>
    </row>
    <row r="1433">
      <c r="A1433" s="131"/>
      <c r="B1433" s="133"/>
      <c r="C1433" s="134"/>
      <c r="D1433" s="29"/>
      <c r="E1433" s="30"/>
      <c r="F1433" s="30"/>
      <c r="G1433" s="31"/>
      <c r="H1433" s="30"/>
      <c r="I1433" s="31"/>
      <c r="J1433" s="30"/>
    </row>
    <row r="1434">
      <c r="A1434" s="131"/>
      <c r="B1434" s="133"/>
      <c r="C1434" s="134"/>
      <c r="D1434" s="29"/>
      <c r="E1434" s="30"/>
      <c r="F1434" s="30"/>
      <c r="G1434" s="31"/>
      <c r="H1434" s="30"/>
      <c r="I1434" s="31"/>
      <c r="J1434" s="30"/>
    </row>
    <row r="1435">
      <c r="A1435" s="131"/>
      <c r="B1435" s="133"/>
      <c r="C1435" s="134"/>
      <c r="D1435" s="29"/>
      <c r="E1435" s="30"/>
      <c r="F1435" s="30"/>
      <c r="G1435" s="31"/>
      <c r="H1435" s="30"/>
      <c r="I1435" s="31"/>
      <c r="J1435" s="30"/>
    </row>
    <row r="1436">
      <c r="A1436" s="131"/>
      <c r="B1436" s="133"/>
      <c r="C1436" s="134"/>
      <c r="D1436" s="29"/>
      <c r="E1436" s="30"/>
      <c r="F1436" s="30"/>
      <c r="G1436" s="31"/>
      <c r="H1436" s="30"/>
      <c r="I1436" s="31"/>
      <c r="J1436" s="30"/>
    </row>
    <row r="1437">
      <c r="A1437" s="131"/>
      <c r="B1437" s="133"/>
      <c r="C1437" s="134"/>
      <c r="D1437" s="29"/>
      <c r="E1437" s="30"/>
      <c r="F1437" s="30"/>
      <c r="G1437" s="31"/>
      <c r="H1437" s="30"/>
      <c r="I1437" s="31"/>
      <c r="J1437" s="30"/>
    </row>
    <row r="1438">
      <c r="A1438" s="131"/>
      <c r="B1438" s="133"/>
      <c r="C1438" s="134"/>
      <c r="D1438" s="29"/>
      <c r="E1438" s="30"/>
      <c r="F1438" s="30"/>
      <c r="G1438" s="31"/>
      <c r="H1438" s="30"/>
      <c r="I1438" s="31"/>
      <c r="J1438" s="30"/>
    </row>
    <row r="1439">
      <c r="A1439" s="131"/>
      <c r="B1439" s="133"/>
      <c r="C1439" s="134"/>
      <c r="D1439" s="29"/>
      <c r="E1439" s="30"/>
      <c r="F1439" s="30"/>
      <c r="G1439" s="31"/>
      <c r="H1439" s="30"/>
      <c r="I1439" s="31"/>
      <c r="J1439" s="30"/>
    </row>
    <row r="1440">
      <c r="A1440" s="131"/>
      <c r="B1440" s="133"/>
      <c r="C1440" s="134"/>
      <c r="D1440" s="29"/>
      <c r="E1440" s="30"/>
      <c r="F1440" s="30"/>
      <c r="G1440" s="31"/>
      <c r="H1440" s="30"/>
      <c r="I1440" s="31"/>
      <c r="J1440" s="30"/>
    </row>
    <row r="1441">
      <c r="A1441" s="131"/>
      <c r="B1441" s="133"/>
      <c r="C1441" s="134"/>
      <c r="D1441" s="29"/>
      <c r="E1441" s="30"/>
      <c r="F1441" s="30"/>
      <c r="G1441" s="31"/>
      <c r="H1441" s="30"/>
      <c r="I1441" s="31"/>
      <c r="J1441" s="30"/>
    </row>
    <row r="1442">
      <c r="A1442" s="131"/>
      <c r="B1442" s="133"/>
      <c r="C1442" s="134"/>
      <c r="D1442" s="29"/>
      <c r="E1442" s="30"/>
      <c r="F1442" s="30"/>
      <c r="G1442" s="31"/>
      <c r="H1442" s="30"/>
      <c r="I1442" s="31"/>
      <c r="J1442" s="30"/>
    </row>
    <row r="1443">
      <c r="A1443" s="131"/>
      <c r="B1443" s="133"/>
      <c r="C1443" s="134"/>
      <c r="D1443" s="29"/>
      <c r="E1443" s="30"/>
      <c r="F1443" s="30"/>
      <c r="G1443" s="31"/>
      <c r="H1443" s="30"/>
      <c r="I1443" s="31"/>
      <c r="J1443" s="30"/>
    </row>
    <row r="1444">
      <c r="A1444" s="131"/>
      <c r="B1444" s="133"/>
      <c r="C1444" s="134"/>
      <c r="D1444" s="29"/>
      <c r="E1444" s="30"/>
      <c r="F1444" s="30"/>
      <c r="G1444" s="31"/>
      <c r="H1444" s="30"/>
      <c r="I1444" s="31"/>
      <c r="J1444" s="30"/>
    </row>
    <row r="1445">
      <c r="A1445" s="131"/>
      <c r="B1445" s="133"/>
      <c r="C1445" s="134"/>
      <c r="D1445" s="29"/>
      <c r="E1445" s="30"/>
      <c r="F1445" s="30"/>
      <c r="G1445" s="31"/>
      <c r="H1445" s="30"/>
      <c r="I1445" s="31"/>
      <c r="J1445" s="30"/>
    </row>
    <row r="1446">
      <c r="A1446" s="131"/>
      <c r="B1446" s="133"/>
      <c r="C1446" s="134"/>
      <c r="D1446" s="29"/>
      <c r="E1446" s="30"/>
      <c r="F1446" s="30"/>
      <c r="G1446" s="31"/>
      <c r="H1446" s="30"/>
      <c r="I1446" s="31"/>
      <c r="J1446" s="30"/>
    </row>
    <row r="1447">
      <c r="A1447" s="131"/>
      <c r="B1447" s="133"/>
      <c r="C1447" s="134"/>
      <c r="D1447" s="29"/>
      <c r="E1447" s="30"/>
      <c r="F1447" s="30"/>
      <c r="G1447" s="31"/>
      <c r="H1447" s="30"/>
      <c r="I1447" s="31"/>
      <c r="J1447" s="30"/>
    </row>
    <row r="1448">
      <c r="A1448" s="131"/>
      <c r="B1448" s="133"/>
      <c r="C1448" s="134"/>
      <c r="D1448" s="29"/>
      <c r="E1448" s="30"/>
      <c r="F1448" s="30"/>
      <c r="G1448" s="31"/>
      <c r="H1448" s="30"/>
      <c r="I1448" s="31"/>
      <c r="J1448" s="30"/>
    </row>
    <row r="1449">
      <c r="A1449" s="131"/>
      <c r="B1449" s="133"/>
      <c r="C1449" s="134"/>
      <c r="D1449" s="29"/>
      <c r="E1449" s="30"/>
      <c r="F1449" s="30"/>
      <c r="G1449" s="31"/>
      <c r="H1449" s="30"/>
      <c r="I1449" s="31"/>
      <c r="J1449" s="30"/>
    </row>
    <row r="1450">
      <c r="A1450" s="131"/>
      <c r="B1450" s="133"/>
      <c r="C1450" s="134"/>
      <c r="D1450" s="29"/>
      <c r="E1450" s="30"/>
      <c r="F1450" s="30"/>
      <c r="G1450" s="31"/>
      <c r="H1450" s="30"/>
      <c r="I1450" s="31"/>
      <c r="J1450" s="30"/>
    </row>
    <row r="1451">
      <c r="A1451" s="131"/>
      <c r="B1451" s="133"/>
      <c r="C1451" s="134"/>
      <c r="D1451" s="29"/>
      <c r="E1451" s="30"/>
      <c r="F1451" s="30"/>
      <c r="G1451" s="31"/>
      <c r="H1451" s="30"/>
      <c r="I1451" s="31"/>
      <c r="J1451" s="30"/>
    </row>
    <row r="1452">
      <c r="A1452" s="131"/>
      <c r="B1452" s="133"/>
      <c r="C1452" s="134"/>
      <c r="D1452" s="29"/>
      <c r="E1452" s="30"/>
      <c r="F1452" s="30"/>
      <c r="G1452" s="31"/>
      <c r="H1452" s="30"/>
      <c r="I1452" s="31"/>
      <c r="J1452" s="30"/>
    </row>
    <row r="1453">
      <c r="A1453" s="131"/>
      <c r="B1453" s="133"/>
      <c r="C1453" s="134"/>
      <c r="D1453" s="29"/>
      <c r="E1453" s="30"/>
      <c r="F1453" s="30"/>
      <c r="G1453" s="31"/>
      <c r="H1453" s="30"/>
      <c r="I1453" s="31"/>
      <c r="J1453" s="30"/>
    </row>
    <row r="1454">
      <c r="A1454" s="131"/>
      <c r="B1454" s="133"/>
      <c r="C1454" s="134"/>
      <c r="D1454" s="29"/>
      <c r="E1454" s="30"/>
      <c r="F1454" s="30"/>
      <c r="G1454" s="31"/>
      <c r="H1454" s="30"/>
      <c r="I1454" s="31"/>
      <c r="J1454" s="30"/>
    </row>
    <row r="1455">
      <c r="A1455" s="131"/>
      <c r="B1455" s="133"/>
      <c r="C1455" s="134"/>
      <c r="D1455" s="29"/>
      <c r="E1455" s="30"/>
      <c r="F1455" s="30"/>
      <c r="G1455" s="31"/>
      <c r="H1455" s="30"/>
      <c r="I1455" s="31"/>
      <c r="J1455" s="30"/>
    </row>
    <row r="1456">
      <c r="A1456" s="131"/>
      <c r="B1456" s="133"/>
      <c r="C1456" s="134"/>
      <c r="D1456" s="29"/>
      <c r="E1456" s="30"/>
      <c r="F1456" s="30"/>
      <c r="G1456" s="31"/>
      <c r="H1456" s="30"/>
      <c r="I1456" s="31"/>
      <c r="J1456" s="30"/>
    </row>
    <row r="1457">
      <c r="A1457" s="131"/>
      <c r="B1457" s="133"/>
      <c r="C1457" s="134"/>
      <c r="D1457" s="29"/>
      <c r="E1457" s="30"/>
      <c r="F1457" s="30"/>
      <c r="G1457" s="31"/>
      <c r="H1457" s="30"/>
      <c r="I1457" s="31"/>
      <c r="J1457" s="30"/>
    </row>
    <row r="1458">
      <c r="A1458" s="131"/>
      <c r="B1458" s="133"/>
      <c r="C1458" s="134"/>
      <c r="D1458" s="29"/>
      <c r="E1458" s="30"/>
      <c r="F1458" s="30"/>
      <c r="G1458" s="31"/>
      <c r="H1458" s="30"/>
      <c r="I1458" s="31"/>
      <c r="J1458" s="30"/>
    </row>
    <row r="1459">
      <c r="A1459" s="131"/>
      <c r="B1459" s="133"/>
      <c r="C1459" s="134"/>
      <c r="D1459" s="29"/>
      <c r="E1459" s="30"/>
      <c r="F1459" s="30"/>
      <c r="G1459" s="31"/>
      <c r="H1459" s="30"/>
      <c r="I1459" s="31"/>
      <c r="J1459" s="30"/>
    </row>
    <row r="1460">
      <c r="A1460" s="131"/>
      <c r="B1460" s="133"/>
      <c r="C1460" s="134"/>
      <c r="D1460" s="29"/>
      <c r="E1460" s="30"/>
      <c r="F1460" s="30"/>
      <c r="G1460" s="31"/>
      <c r="H1460" s="30"/>
      <c r="I1460" s="31"/>
      <c r="J1460" s="30"/>
    </row>
  </sheetData>
  <mergeCells count="3">
    <mergeCell ref="B1:B2"/>
    <mergeCell ref="C1:H1"/>
    <mergeCell ref="C2:I2"/>
  </mergeCells>
  <conditionalFormatting sqref="A3 B3:J3">
    <cfRule type="expression" dxfId="0" priority="1">
      <formula>countif(A:A,A3)&gt;1</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tr">
        <f>IFERROR(__xludf.DUMMYFUNCTION("IMPORTRANGE(""https://docs.google.com/spreadsheets/d/1-PGtQfbeuiWnM5yK4JbSPcN2oBJ9Xk5oQx_g5stVnf0/edit#gid=424435508"",""Removal Prep List!A:P"")"),"date")</f>
        <v>date</v>
      </c>
      <c r="B1" t="str">
        <f>IFERROR(__xludf.DUMMYFUNCTION("""COMPUTED_VALUE"""),"scheduled_removal_date")</f>
        <v>scheduled_removal_date</v>
      </c>
      <c r="C1" t="str">
        <f>IFERROR(__xludf.DUMMYFUNCTION("""COMPUTED_VALUE"""),"language")</f>
        <v>language</v>
      </c>
      <c r="D1" t="str">
        <f>IFERROR(__xludf.DUMMYFUNCTION("""COMPUTED_VALUE"""),"courseid")</f>
        <v>courseid</v>
      </c>
      <c r="E1" t="str">
        <f>IFERROR(__xludf.DUMMYFUNCTION("""COMPUTED_VALUE"""),"Title")</f>
        <v>Title</v>
      </c>
      <c r="F1" t="str">
        <f>IFERROR(__xludf.DUMMYFUNCTION("""COMPUTED_VALUE"""),"Translated_Title")</f>
        <v>Translated_Title</v>
      </c>
      <c r="G1" t="str">
        <f>IFERROR(__xludf.DUMMYFUNCTION("""COMPUTED_VALUE"""),"instructor_userid")</f>
        <v>instructor_userid</v>
      </c>
      <c r="H1" t="str">
        <f>IFERROR(__xludf.DUMMYFUNCTION("""COMPUTED_VALUE"""),"Instructor")</f>
        <v>Instructor</v>
      </c>
      <c r="I1" t="str">
        <f>IFERROR(__xludf.DUMMYFUNCTION("""COMPUTED_VALUE"""),"reason")</f>
        <v>reason</v>
      </c>
      <c r="J1" t="str">
        <f>IFERROR(__xludf.DUMMYFUNCTION("""COMPUTED_VALUE"""),"UFB_Only?")</f>
        <v>UFB_Only?</v>
      </c>
      <c r="K1" t="str">
        <f>IFERROR(__xludf.DUMMYFUNCTION("""COMPUTED_VALUE"""),"Category")</f>
        <v>Category</v>
      </c>
      <c r="L1" t="str">
        <f>IFERROR(__xludf.DUMMYFUNCTION("""COMPUTED_VALUE"""),"Subcategory")</f>
        <v>Subcategory</v>
      </c>
      <c r="M1" s="140" t="str">
        <f>IFERROR(__xludf.DUMMYFUNCTION("""COMPUTED_VALUE"""),"replacement_courseid_1")</f>
        <v>replacement_courseid_1</v>
      </c>
      <c r="N1" t="str">
        <f>IFERROR(__xludf.DUMMYFUNCTION("""COMPUTED_VALUE"""),"Replacement_Course_Title_1")</f>
        <v>Replacement_Course_Title_1</v>
      </c>
      <c r="O1" s="140" t="str">
        <f>IFERROR(__xludf.DUMMYFUNCTION("""COMPUTED_VALUE"""),"replacement_courseid_2")</f>
        <v>replacement_courseid_2</v>
      </c>
      <c r="P1" t="str">
        <f>IFERROR(__xludf.DUMMYFUNCTION("""COMPUTED_VALUE"""),"Replacement_Course_Title_2")</f>
        <v>Replacement_Course_Title_2</v>
      </c>
    </row>
    <row r="2">
      <c r="A2" s="141">
        <f>IFERROR(__xludf.DUMMYFUNCTION("""COMPUTED_VALUE"""),44421.0)</f>
        <v>44421</v>
      </c>
      <c r="B2" s="141">
        <f>IFERROR(__xludf.DUMMYFUNCTION("""COMPUTED_VALUE"""),45169.0)</f>
        <v>45169</v>
      </c>
      <c r="C2" s="140" t="str">
        <f>IFERROR(__xludf.DUMMYFUNCTION("""COMPUTED_VALUE"""),"fr")</f>
        <v>fr</v>
      </c>
      <c r="D2">
        <f>IFERROR(__xludf.DUMMYFUNCTION("""COMPUTED_VALUE"""),3277156.0)</f>
        <v>3277156</v>
      </c>
      <c r="E2" t="str">
        <f>IFERROR(__xludf.DUMMYFUNCTION("""COMPUTED_VALUE"""),"AWS Certified Solutions Architect Associate 2021 [SAA-C02]")</f>
        <v>AWS Certified Solutions Architect Associate 2021 [SAA-C02]</v>
      </c>
      <c r="F2" t="str">
        <f>IFERROR(__xludf.DUMMYFUNCTION("""COMPUTED_VALUE"""),"AWS Certified Solutions Architect Associate 2021 [SAA-C02]")</f>
        <v>AWS Certified Solutions Architect Associate 2021 [SAA-C02]</v>
      </c>
      <c r="G2">
        <f>IFERROR(__xludf.DUMMYFUNCTION("""COMPUTED_VALUE"""),7.5551226E7)</f>
        <v>75551226</v>
      </c>
      <c r="H2" t="str">
        <f>IFERROR(__xludf.DUMMYFUNCTION("""COMPUTED_VALUE"""),"Erik JEULIN")</f>
        <v>Erik JEULIN</v>
      </c>
      <c r="I2" t="str">
        <f>IFERROR(__xludf.DUMMYFUNCTION("""COMPUTED_VALUE"""),"Instructor Request- Exclusivity")</f>
        <v>Instructor Request- Exclusivity</v>
      </c>
      <c r="J2" t="b">
        <f>IFERROR(__xludf.DUMMYFUNCTION("""COMPUTED_VALUE"""),FALSE)</f>
        <v>0</v>
      </c>
      <c r="K2" s="142" t="str">
        <f>IFERROR(__xludf.DUMMYFUNCTION("""COMPUTED_VALUE"""),"Cloud Computing")</f>
        <v>Cloud Computing</v>
      </c>
      <c r="L2" s="142" t="str">
        <f>IFERROR(__xludf.DUMMYFUNCTION("""COMPUTED_VALUE"""),"Cloud Certification")</f>
        <v>Cloud Certification</v>
      </c>
      <c r="N2" s="140" t="str">
        <f>IFERROR(__xludf.DUMMYFUNCTION("""COMPUTED_VALUE"""),"")</f>
        <v/>
      </c>
      <c r="P2" s="140" t="str">
        <f>IFERROR(__xludf.DUMMYFUNCTION("""COMPUTED_VALUE"""),"")</f>
        <v/>
      </c>
    </row>
    <row r="3">
      <c r="A3" s="141">
        <f>IFERROR(__xludf.DUMMYFUNCTION("""COMPUTED_VALUE"""),44284.0)</f>
        <v>44284</v>
      </c>
      <c r="B3" s="141">
        <f>IFERROR(__xludf.DUMMYFUNCTION("""COMPUTED_VALUE"""),45016.0)</f>
        <v>45016</v>
      </c>
      <c r="C3" s="140" t="str">
        <f>IFERROR(__xludf.DUMMYFUNCTION("""COMPUTED_VALUE"""),"fr")</f>
        <v>fr</v>
      </c>
      <c r="D3">
        <f>IFERROR(__xludf.DUMMYFUNCTION("""COMPUTED_VALUE"""),2768824.0)</f>
        <v>2768824</v>
      </c>
      <c r="E3" t="str">
        <f>IFERROR(__xludf.DUMMYFUNCTION("""COMPUTED_VALUE"""),"AWS Certified Cloud Practitioner 2021 [dernière édition]")</f>
        <v>AWS Certified Cloud Practitioner 2021 [dernière édition]</v>
      </c>
      <c r="F3" t="str">
        <f>IFERROR(__xludf.DUMMYFUNCTION("""COMPUTED_VALUE"""),"AWS Certified Cloud Practitioner 2021 [Last Edition]")</f>
        <v>AWS Certified Cloud Practitioner 2021 [Last Edition]</v>
      </c>
      <c r="G3">
        <f>IFERROR(__xludf.DUMMYFUNCTION("""COMPUTED_VALUE"""),7.5551226E7)</f>
        <v>75551226</v>
      </c>
      <c r="H3" t="str">
        <f>IFERROR(__xludf.DUMMYFUNCTION("""COMPUTED_VALUE"""),"Erik JEULIN")</f>
        <v>Erik JEULIN</v>
      </c>
      <c r="I3" t="str">
        <f>IFERROR(__xludf.DUMMYFUNCTION("""COMPUTED_VALUE"""),"Instructor Request- Exclusivity")</f>
        <v>Instructor Request- Exclusivity</v>
      </c>
      <c r="J3" t="b">
        <f>IFERROR(__xludf.DUMMYFUNCTION("""COMPUTED_VALUE"""),FALSE)</f>
        <v>0</v>
      </c>
      <c r="K3" s="142" t="str">
        <f>IFERROR(__xludf.DUMMYFUNCTION("""COMPUTED_VALUE"""),"Cloud Computing")</f>
        <v>Cloud Computing</v>
      </c>
      <c r="L3" s="142" t="str">
        <f>IFERROR(__xludf.DUMMYFUNCTION("""COMPUTED_VALUE"""),"Cloud Certification")</f>
        <v>Cloud Certification</v>
      </c>
      <c r="N3" s="140" t="str">
        <f>IFERROR(__xludf.DUMMYFUNCTION("""COMPUTED_VALUE"""),"")</f>
        <v/>
      </c>
      <c r="P3" s="140" t="str">
        <f>IFERROR(__xludf.DUMMYFUNCTION("""COMPUTED_VALUE"""),"")</f>
        <v/>
      </c>
    </row>
    <row r="4">
      <c r="A4" s="143">
        <f>IFERROR(__xludf.DUMMYFUNCTION("""COMPUTED_VALUE"""),44581.0)</f>
        <v>44581</v>
      </c>
      <c r="B4" s="143">
        <f>IFERROR(__xludf.DUMMYFUNCTION("""COMPUTED_VALUE"""),44926.0)</f>
        <v>44926</v>
      </c>
      <c r="C4" t="str">
        <f>IFERROR(__xludf.DUMMYFUNCTION("""COMPUTED_VALUE"""),"fr")</f>
        <v>fr</v>
      </c>
      <c r="D4">
        <f>IFERROR(__xludf.DUMMYFUNCTION("""COMPUTED_VALUE"""),3411646.0)</f>
        <v>3411646</v>
      </c>
      <c r="E4" t="str">
        <f>IFERROR(__xludf.DUMMYFUNCTION("""COMPUTED_VALUE"""),"Le guide complet d'Hadoop : maîtriser votre Big Data")</f>
        <v>Le guide complet d'Hadoop : maîtriser votre Big Data</v>
      </c>
      <c r="F4" t="str">
        <f>IFERROR(__xludf.DUMMYFUNCTION("""COMPUTED_VALUE"""),"The complete guide of Hadoop: to master your big data")</f>
        <v>The complete guide of Hadoop: to master your big data</v>
      </c>
      <c r="G4">
        <f>IFERROR(__xludf.DUMMYFUNCTION("""COMPUTED_VALUE"""),2.825301E7)</f>
        <v>28253010</v>
      </c>
      <c r="H4" t="str">
        <f>IFERROR(__xludf.DUMMYFUNCTION("""COMPUTED_VALUE"""),"Pascal Lochert")</f>
        <v>Pascal Lochert</v>
      </c>
      <c r="I4" t="str">
        <f>IFERROR(__xludf.DUMMYFUNCTION("""COMPUTED_VALUE"""),"Instructor Request- Opted Out")</f>
        <v>Instructor Request- Opted Out</v>
      </c>
      <c r="J4" t="b">
        <f>IFERROR(__xludf.DUMMYFUNCTION("""COMPUTED_VALUE"""),FALSE)</f>
        <v>0</v>
      </c>
      <c r="K4" s="142" t="str">
        <f>IFERROR(__xludf.DUMMYFUNCTION("""COMPUTED_VALUE"""),"Data Science")</f>
        <v>Data Science</v>
      </c>
      <c r="L4" s="142" t="str">
        <f>IFERROR(__xludf.DUMMYFUNCTION("""COMPUTED_VALUE"""),"Big Data")</f>
        <v>Big Data</v>
      </c>
      <c r="N4" s="140" t="str">
        <f>IFERROR(__xludf.DUMMYFUNCTION("""COMPUTED_VALUE"""),"")</f>
        <v/>
      </c>
      <c r="P4" s="140" t="str">
        <f>IFERROR(__xludf.DUMMYFUNCTION("""COMPUTED_VALUE"""),"")</f>
        <v/>
      </c>
    </row>
    <row r="5">
      <c r="A5" s="143">
        <f>IFERROR(__xludf.DUMMYFUNCTION("""COMPUTED_VALUE"""),44623.0)</f>
        <v>44623</v>
      </c>
      <c r="B5" s="143">
        <f>IFERROR(__xludf.DUMMYFUNCTION("""COMPUTED_VALUE"""),44834.0)</f>
        <v>44834</v>
      </c>
      <c r="C5" s="140" t="str">
        <f>IFERROR(__xludf.DUMMYFUNCTION("""COMPUTED_VALUE"""),"en")</f>
        <v>en</v>
      </c>
      <c r="D5">
        <f>IFERROR(__xludf.DUMMYFUNCTION("""COMPUTED_VALUE"""),40013.0)</f>
        <v>40013</v>
      </c>
      <c r="E5" t="str">
        <f>IFERROR(__xludf.DUMMYFUNCTION("""COMPUTED_VALUE"""),"Digital SLR Cameras &amp; Photography For Dummies Video Training")</f>
        <v>Digital SLR Cameras &amp; Photography For Dummies Video Training</v>
      </c>
      <c r="F5" t="str">
        <f>IFERROR(__xludf.DUMMYFUNCTION("""COMPUTED_VALUE"""),"Digital SLR Cameras &amp; Photography For Dummies Video Training")</f>
        <v>Digital SLR Cameras &amp; Photography For Dummies Video Training</v>
      </c>
      <c r="G5">
        <f>IFERROR(__xludf.DUMMYFUNCTION("""COMPUTED_VALUE"""),372263.0)</f>
        <v>372263</v>
      </c>
      <c r="H5" t="str">
        <f>IFERROR(__xludf.DUMMYFUNCTION("""COMPUTED_VALUE"""),"John Wiley &amp; Sons")</f>
        <v>John Wiley &amp; Sons</v>
      </c>
      <c r="I5" t="str">
        <f>IFERROR(__xludf.DUMMYFUNCTION("""COMPUTED_VALUE"""),"Low Rating")</f>
        <v>Low Rating</v>
      </c>
      <c r="J5" t="b">
        <f>IFERROR(__xludf.DUMMYFUNCTION("""COMPUTED_VALUE"""),FALSE)</f>
        <v>0</v>
      </c>
      <c r="K5" s="142" t="str">
        <f>IFERROR(__xludf.DUMMYFUNCTION("""COMPUTED_VALUE"""),"Personal Development")</f>
        <v>Personal Development</v>
      </c>
      <c r="L5" s="142" t="str">
        <f>IFERROR(__xludf.DUMMYFUNCTION("""COMPUTED_VALUE"""),"Arts &amp; Creativity")</f>
        <v>Arts &amp; Creativity</v>
      </c>
      <c r="N5" s="140" t="str">
        <f>IFERROR(__xludf.DUMMYFUNCTION("""COMPUTED_VALUE"""),"")</f>
        <v/>
      </c>
      <c r="P5" s="140" t="str">
        <f>IFERROR(__xludf.DUMMYFUNCTION("""COMPUTED_VALUE"""),"")</f>
        <v/>
      </c>
    </row>
    <row r="6">
      <c r="A6" s="143">
        <f>IFERROR(__xludf.DUMMYFUNCTION("""COMPUTED_VALUE"""),44623.0)</f>
        <v>44623</v>
      </c>
      <c r="B6" s="143">
        <f>IFERROR(__xludf.DUMMYFUNCTION("""COMPUTED_VALUE"""),44834.0)</f>
        <v>44834</v>
      </c>
      <c r="C6" t="str">
        <f>IFERROR(__xludf.DUMMYFUNCTION("""COMPUTED_VALUE"""),"en")</f>
        <v>en</v>
      </c>
      <c r="D6">
        <f>IFERROR(__xludf.DUMMYFUNCTION("""COMPUTED_VALUE"""),302536.0)</f>
        <v>302536</v>
      </c>
      <c r="E6" t="str">
        <f>IFERROR(__xludf.DUMMYFUNCTION("""COMPUTED_VALUE"""),"Web Accessibility: Learn Best Practices, Tools &amp; Techniques")</f>
        <v>Web Accessibility: Learn Best Practices, Tools &amp; Techniques</v>
      </c>
      <c r="F6" t="str">
        <f>IFERROR(__xludf.DUMMYFUNCTION("""COMPUTED_VALUE"""),"Web Accessibility: Learn Best Practices, Tools &amp; Techniques")</f>
        <v>Web Accessibility: Learn Best Practices, Tools &amp; Techniques</v>
      </c>
      <c r="G6">
        <f>IFERROR(__xludf.DUMMYFUNCTION("""COMPUTED_VALUE"""),5687608.0)</f>
        <v>5687608</v>
      </c>
      <c r="H6" t="str">
        <f>IFERROR(__xludf.DUMMYFUNCTION("""COMPUTED_VALUE"""),"Loop11 Loop11")</f>
        <v>Loop11 Loop11</v>
      </c>
      <c r="I6" t="str">
        <f>IFERROR(__xludf.DUMMYFUNCTION("""COMPUTED_VALUE"""),"Low Rating")</f>
        <v>Low Rating</v>
      </c>
      <c r="J6" t="b">
        <f>IFERROR(__xludf.DUMMYFUNCTION("""COMPUTED_VALUE"""),FALSE)</f>
        <v>0</v>
      </c>
      <c r="K6" s="142" t="str">
        <f>IFERROR(__xludf.DUMMYFUNCTION("""COMPUTED_VALUE"""),"Design")</f>
        <v>Design</v>
      </c>
      <c r="L6" s="142" t="str">
        <f>IFERROR(__xludf.DUMMYFUNCTION("""COMPUTED_VALUE"""),"User Experience Design")</f>
        <v>User Experience Design</v>
      </c>
      <c r="N6" s="140" t="str">
        <f>IFERROR(__xludf.DUMMYFUNCTION("""COMPUTED_VALUE"""),"")</f>
        <v/>
      </c>
      <c r="P6" s="140" t="str">
        <f>IFERROR(__xludf.DUMMYFUNCTION("""COMPUTED_VALUE"""),"")</f>
        <v/>
      </c>
    </row>
    <row r="7">
      <c r="A7" s="143">
        <f>IFERROR(__xludf.DUMMYFUNCTION("""COMPUTED_VALUE"""),44623.0)</f>
        <v>44623</v>
      </c>
      <c r="B7" s="143">
        <f>IFERROR(__xludf.DUMMYFUNCTION("""COMPUTED_VALUE"""),44834.0)</f>
        <v>44834</v>
      </c>
      <c r="C7" s="140" t="str">
        <f>IFERROR(__xludf.DUMMYFUNCTION("""COMPUTED_VALUE"""),"en")</f>
        <v>en</v>
      </c>
      <c r="D7">
        <f>IFERROR(__xludf.DUMMYFUNCTION("""COMPUTED_VALUE"""),371832.0)</f>
        <v>371832</v>
      </c>
      <c r="E7" t="str">
        <f>IFERROR(__xludf.DUMMYFUNCTION("""COMPUTED_VALUE"""),"Budgets, Cashflow Forecasting and Management Accounts")</f>
        <v>Budgets, Cashflow Forecasting and Management Accounts</v>
      </c>
      <c r="F7" t="str">
        <f>IFERROR(__xludf.DUMMYFUNCTION("""COMPUTED_VALUE"""),"Budgets, Cashflow Forecasting and Management Accounts")</f>
        <v>Budgets, Cashflow Forecasting and Management Accounts</v>
      </c>
      <c r="G7">
        <f>IFERROR(__xludf.DUMMYFUNCTION("""COMPUTED_VALUE"""),7543534.0)</f>
        <v>7543534</v>
      </c>
      <c r="H7" t="str">
        <f>IFERROR(__xludf.DUMMYFUNCTION("""COMPUTED_VALUE"""),"Lisa Newton")</f>
        <v>Lisa Newton</v>
      </c>
      <c r="I7" t="str">
        <f>IFERROR(__xludf.DUMMYFUNCTION("""COMPUTED_VALUE"""),"Low Rating")</f>
        <v>Low Rating</v>
      </c>
      <c r="J7" t="b">
        <f>IFERROR(__xludf.DUMMYFUNCTION("""COMPUTED_VALUE"""),FALSE)</f>
        <v>0</v>
      </c>
      <c r="K7" s="142" t="str">
        <f>IFERROR(__xludf.DUMMYFUNCTION("""COMPUTED_VALUE"""),"Finance &amp; Accounting")</f>
        <v>Finance &amp; Accounting</v>
      </c>
      <c r="L7" s="142" t="str">
        <f>IFERROR(__xludf.DUMMYFUNCTION("""COMPUTED_VALUE"""),"Finance Fundamentals")</f>
        <v>Finance Fundamentals</v>
      </c>
      <c r="N7" s="140" t="str">
        <f>IFERROR(__xludf.DUMMYFUNCTION("""COMPUTED_VALUE"""),"")</f>
        <v/>
      </c>
      <c r="P7" s="140" t="str">
        <f>IFERROR(__xludf.DUMMYFUNCTION("""COMPUTED_VALUE"""),"")</f>
        <v/>
      </c>
    </row>
    <row r="8">
      <c r="A8" s="143">
        <f>IFERROR(__xludf.DUMMYFUNCTION("""COMPUTED_VALUE"""),44623.0)</f>
        <v>44623</v>
      </c>
      <c r="B8" s="143">
        <f>IFERROR(__xludf.DUMMYFUNCTION("""COMPUTED_VALUE"""),44834.0)</f>
        <v>44834</v>
      </c>
      <c r="C8" s="140" t="str">
        <f>IFERROR(__xludf.DUMMYFUNCTION("""COMPUTED_VALUE"""),"en")</f>
        <v>en</v>
      </c>
      <c r="D8">
        <f>IFERROR(__xludf.DUMMYFUNCTION("""COMPUTED_VALUE"""),425522.0)</f>
        <v>425522</v>
      </c>
      <c r="E8" t="str">
        <f>IFERROR(__xludf.DUMMYFUNCTION("""COMPUTED_VALUE"""),"Learn VHDL and FPGA Development")</f>
        <v>Learn VHDL and FPGA Development</v>
      </c>
      <c r="F8" t="str">
        <f>IFERROR(__xludf.DUMMYFUNCTION("""COMPUTED_VALUE"""),"Learn VHDL and FPGA Development")</f>
        <v>Learn VHDL and FPGA Development</v>
      </c>
      <c r="G8">
        <f>IFERROR(__xludf.DUMMYFUNCTION("""COMPUTED_VALUE"""),9593581.0)</f>
        <v>9593581</v>
      </c>
      <c r="H8" t="str">
        <f>IFERROR(__xludf.DUMMYFUNCTION("""COMPUTED_VALUE"""),"Jordan Christman")</f>
        <v>Jordan Christman</v>
      </c>
      <c r="I8" t="str">
        <f>IFERROR(__xludf.DUMMYFUNCTION("""COMPUTED_VALUE"""),"Low Rating")</f>
        <v>Low Rating</v>
      </c>
      <c r="J8" t="b">
        <f>IFERROR(__xludf.DUMMYFUNCTION("""COMPUTED_VALUE"""),FALSE)</f>
        <v>0</v>
      </c>
      <c r="K8" s="142" t="str">
        <f>IFERROR(__xludf.DUMMYFUNCTION("""COMPUTED_VALUE"""),"IT Operations")</f>
        <v>IT Operations</v>
      </c>
      <c r="L8" s="142" t="str">
        <f>IFERROR(__xludf.DUMMYFUNCTION("""COMPUTED_VALUE"""),"Hardware")</f>
        <v>Hardware</v>
      </c>
      <c r="N8" s="140" t="str">
        <f>IFERROR(__xludf.DUMMYFUNCTION("""COMPUTED_VALUE"""),"")</f>
        <v/>
      </c>
      <c r="P8" s="140" t="str">
        <f>IFERROR(__xludf.DUMMYFUNCTION("""COMPUTED_VALUE"""),"")</f>
        <v/>
      </c>
    </row>
    <row r="9">
      <c r="A9" s="143">
        <f>IFERROR(__xludf.DUMMYFUNCTION("""COMPUTED_VALUE"""),44623.0)</f>
        <v>44623</v>
      </c>
      <c r="B9" s="143">
        <f>IFERROR(__xludf.DUMMYFUNCTION("""COMPUTED_VALUE"""),44834.0)</f>
        <v>44834</v>
      </c>
      <c r="C9" s="140" t="str">
        <f>IFERROR(__xludf.DUMMYFUNCTION("""COMPUTED_VALUE"""),"en")</f>
        <v>en</v>
      </c>
      <c r="D9">
        <f>IFERROR(__xludf.DUMMYFUNCTION("""COMPUTED_VALUE"""),468698.0)</f>
        <v>468698</v>
      </c>
      <c r="E9" t="str">
        <f>IFERROR(__xludf.DUMMYFUNCTION("""COMPUTED_VALUE"""),"Project Management: Simple Software Project Management")</f>
        <v>Project Management: Simple Software Project Management</v>
      </c>
      <c r="F9" t="str">
        <f>IFERROR(__xludf.DUMMYFUNCTION("""COMPUTED_VALUE"""),"Project Management: Simple Software Project Management")</f>
        <v>Project Management: Simple Software Project Management</v>
      </c>
      <c r="G9">
        <f>IFERROR(__xludf.DUMMYFUNCTION("""COMPUTED_VALUE"""),289469.0)</f>
        <v>289469</v>
      </c>
      <c r="H9" t="str">
        <f>IFERROR(__xludf.DUMMYFUNCTION("""COMPUTED_VALUE"""),"Srikanth Shirodkar")</f>
        <v>Srikanth Shirodkar</v>
      </c>
      <c r="I9" t="str">
        <f>IFERROR(__xludf.DUMMYFUNCTION("""COMPUTED_VALUE"""),"Low Rating")</f>
        <v>Low Rating</v>
      </c>
      <c r="J9" t="b">
        <f>IFERROR(__xludf.DUMMYFUNCTION("""COMPUTED_VALUE"""),FALSE)</f>
        <v>0</v>
      </c>
      <c r="K9" s="142" t="str">
        <f>IFERROR(__xludf.DUMMYFUNCTION("""COMPUTED_VALUE"""),"Project Management &amp; Operations")</f>
        <v>Project Management &amp; Operations</v>
      </c>
      <c r="L9" s="142" t="str">
        <f>IFERROR(__xludf.DUMMYFUNCTION("""COMPUTED_VALUE"""),"Project Management Fundamentals")</f>
        <v>Project Management Fundamentals</v>
      </c>
      <c r="N9" s="140" t="str">
        <f>IFERROR(__xludf.DUMMYFUNCTION("""COMPUTED_VALUE"""),"")</f>
        <v/>
      </c>
      <c r="P9" s="140" t="str">
        <f>IFERROR(__xludf.DUMMYFUNCTION("""COMPUTED_VALUE"""),"")</f>
        <v/>
      </c>
    </row>
    <row r="10">
      <c r="A10" s="143">
        <f>IFERROR(__xludf.DUMMYFUNCTION("""COMPUTED_VALUE"""),44623.0)</f>
        <v>44623</v>
      </c>
      <c r="B10" s="143">
        <f>IFERROR(__xludf.DUMMYFUNCTION("""COMPUTED_VALUE"""),44834.0)</f>
        <v>44834</v>
      </c>
      <c r="C10" s="140" t="str">
        <f>IFERROR(__xludf.DUMMYFUNCTION("""COMPUTED_VALUE"""),"en")</f>
        <v>en</v>
      </c>
      <c r="D10">
        <f>IFERROR(__xludf.DUMMYFUNCTION("""COMPUTED_VALUE"""),525788.0)</f>
        <v>525788</v>
      </c>
      <c r="E10" t="str">
        <f>IFERROR(__xludf.DUMMYFUNCTION("""COMPUTED_VALUE"""),"PowerPoint &amp; Excel Fusion (+250 PowerPoint Slides)")</f>
        <v>PowerPoint &amp; Excel Fusion (+250 PowerPoint Slides)</v>
      </c>
      <c r="F10" t="str">
        <f>IFERROR(__xludf.DUMMYFUNCTION("""COMPUTED_VALUE"""),"PowerPoint &amp; Excel Fusion (+250 PowerPoint Slides)")</f>
        <v>PowerPoint &amp; Excel Fusion (+250 PowerPoint Slides)</v>
      </c>
      <c r="G10">
        <f>IFERROR(__xludf.DUMMYFUNCTION("""COMPUTED_VALUE"""),9666084.0)</f>
        <v>9666084</v>
      </c>
      <c r="H10" t="str">
        <f>IFERROR(__xludf.DUMMYFUNCTION("""COMPUTED_VALUE"""),"Dragos Stefanescu")</f>
        <v>Dragos Stefanescu</v>
      </c>
      <c r="I10" t="str">
        <f>IFERROR(__xludf.DUMMYFUNCTION("""COMPUTED_VALUE"""),"Low Rating")</f>
        <v>Low Rating</v>
      </c>
      <c r="J10" t="b">
        <f>IFERROR(__xludf.DUMMYFUNCTION("""COMPUTED_VALUE"""),FALSE)</f>
        <v>0</v>
      </c>
      <c r="K10" s="142" t="str">
        <f>IFERROR(__xludf.DUMMYFUNCTION("""COMPUTED_VALUE"""),"Office Productivity")</f>
        <v>Office Productivity</v>
      </c>
      <c r="L10" s="142" t="str">
        <f>IFERROR(__xludf.DUMMYFUNCTION("""COMPUTED_VALUE"""),"Spreadsheets")</f>
        <v>Spreadsheets</v>
      </c>
      <c r="N10" s="140" t="str">
        <f>IFERROR(__xludf.DUMMYFUNCTION("""COMPUTED_VALUE"""),"")</f>
        <v/>
      </c>
      <c r="P10" s="140" t="str">
        <f>IFERROR(__xludf.DUMMYFUNCTION("""COMPUTED_VALUE"""),"")</f>
        <v/>
      </c>
    </row>
    <row r="11">
      <c r="A11" s="143">
        <f>IFERROR(__xludf.DUMMYFUNCTION("""COMPUTED_VALUE"""),44623.0)</f>
        <v>44623</v>
      </c>
      <c r="B11" s="143">
        <f>IFERROR(__xludf.DUMMYFUNCTION("""COMPUTED_VALUE"""),44834.0)</f>
        <v>44834</v>
      </c>
      <c r="C11" s="140" t="str">
        <f>IFERROR(__xludf.DUMMYFUNCTION("""COMPUTED_VALUE"""),"en")</f>
        <v>en</v>
      </c>
      <c r="D11">
        <f>IFERROR(__xludf.DUMMYFUNCTION("""COMPUTED_VALUE"""),543660.0)</f>
        <v>543660</v>
      </c>
      <c r="E11" t="str">
        <f>IFERROR(__xludf.DUMMYFUNCTION("""COMPUTED_VALUE"""),"Supply Chain: How to make planning (MPS, RCCP, MRP, DRP)")</f>
        <v>Supply Chain: How to make planning (MPS, RCCP, MRP, DRP)</v>
      </c>
      <c r="F11" t="str">
        <f>IFERROR(__xludf.DUMMYFUNCTION("""COMPUTED_VALUE"""),"Supply Chain: How to make planning (MPS, RCCP, MRP, DRP)")</f>
        <v>Supply Chain: How to make planning (MPS, RCCP, MRP, DRP)</v>
      </c>
      <c r="G11">
        <f>IFERROR(__xludf.DUMMYFUNCTION("""COMPUTED_VALUE"""),3247140.0)</f>
        <v>3247140</v>
      </c>
      <c r="H11" t="str">
        <f>IFERROR(__xludf.DUMMYFUNCTION("""COMPUTED_VALUE"""),"Yasin Bin Abdul Quader")</f>
        <v>Yasin Bin Abdul Quader</v>
      </c>
      <c r="I11" t="str">
        <f>IFERROR(__xludf.DUMMYFUNCTION("""COMPUTED_VALUE"""),"Low Rating")</f>
        <v>Low Rating</v>
      </c>
      <c r="J11" t="b">
        <f>IFERROR(__xludf.DUMMYFUNCTION("""COMPUTED_VALUE"""),FALSE)</f>
        <v>0</v>
      </c>
      <c r="K11" s="142" t="str">
        <f>IFERROR(__xludf.DUMMYFUNCTION("""COMPUTED_VALUE"""),"Project Management &amp; Operations")</f>
        <v>Project Management &amp; Operations</v>
      </c>
      <c r="L11" s="142" t="str">
        <f>IFERROR(__xludf.DUMMYFUNCTION("""COMPUTED_VALUE"""),"Operations Management")</f>
        <v>Operations Management</v>
      </c>
      <c r="N11" s="140" t="str">
        <f>IFERROR(__xludf.DUMMYFUNCTION("""COMPUTED_VALUE"""),"")</f>
        <v/>
      </c>
      <c r="P11" s="140" t="str">
        <f>IFERROR(__xludf.DUMMYFUNCTION("""COMPUTED_VALUE"""),"")</f>
        <v/>
      </c>
    </row>
    <row r="12">
      <c r="A12" s="143">
        <f>IFERROR(__xludf.DUMMYFUNCTION("""COMPUTED_VALUE"""),44623.0)</f>
        <v>44623</v>
      </c>
      <c r="B12" s="143">
        <f>IFERROR(__xludf.DUMMYFUNCTION("""COMPUTED_VALUE"""),44834.0)</f>
        <v>44834</v>
      </c>
      <c r="C12" s="140" t="str">
        <f>IFERROR(__xludf.DUMMYFUNCTION("""COMPUTED_VALUE"""),"en")</f>
        <v>en</v>
      </c>
      <c r="D12">
        <f>IFERROR(__xludf.DUMMYFUNCTION("""COMPUTED_VALUE"""),572268.0)</f>
        <v>572268</v>
      </c>
      <c r="E12" t="str">
        <f>IFERROR(__xludf.DUMMYFUNCTION("""COMPUTED_VALUE"""),"AngularJS For .Net Developers From Scratch")</f>
        <v>AngularJS For .Net Developers From Scratch</v>
      </c>
      <c r="F12" t="str">
        <f>IFERROR(__xludf.DUMMYFUNCTION("""COMPUTED_VALUE"""),"AngularJS For .Net Developers From Scratch")</f>
        <v>AngularJS For .Net Developers From Scratch</v>
      </c>
      <c r="G12">
        <f>IFERROR(__xludf.DUMMYFUNCTION("""COMPUTED_VALUE"""),1844382.0)</f>
        <v>1844382</v>
      </c>
      <c r="H12" t="str">
        <f>IFERROR(__xludf.DUMMYFUNCTION("""COMPUTED_VALUE"""),"Manzoor Ahmed")</f>
        <v>Manzoor Ahmed</v>
      </c>
      <c r="I12" t="str">
        <f>IFERROR(__xludf.DUMMYFUNCTION("""COMPUTED_VALUE"""),"Low Rating")</f>
        <v>Low Rating</v>
      </c>
      <c r="J12" t="b">
        <f>IFERROR(__xludf.DUMMYFUNCTION("""COMPUTED_VALUE"""),FALSE)</f>
        <v>0</v>
      </c>
      <c r="K12" s="142" t="str">
        <f>IFERROR(__xludf.DUMMYFUNCTION("""COMPUTED_VALUE"""),"Development")</f>
        <v>Development</v>
      </c>
      <c r="L12" s="142" t="str">
        <f>IFERROR(__xludf.DUMMYFUNCTION("""COMPUTED_VALUE"""),"Web Development")</f>
        <v>Web Development</v>
      </c>
      <c r="N12" s="140" t="str">
        <f>IFERROR(__xludf.DUMMYFUNCTION("""COMPUTED_VALUE"""),"")</f>
        <v/>
      </c>
      <c r="P12" s="140" t="str">
        <f>IFERROR(__xludf.DUMMYFUNCTION("""COMPUTED_VALUE"""),"")</f>
        <v/>
      </c>
    </row>
    <row r="13">
      <c r="A13" s="143">
        <f>IFERROR(__xludf.DUMMYFUNCTION("""COMPUTED_VALUE"""),44623.0)</f>
        <v>44623</v>
      </c>
      <c r="B13" s="143">
        <f>IFERROR(__xludf.DUMMYFUNCTION("""COMPUTED_VALUE"""),44834.0)</f>
        <v>44834</v>
      </c>
      <c r="C13" s="140" t="str">
        <f>IFERROR(__xludf.DUMMYFUNCTION("""COMPUTED_VALUE"""),"pt")</f>
        <v>pt</v>
      </c>
      <c r="D13">
        <f>IFERROR(__xludf.DUMMYFUNCTION("""COMPUTED_VALUE"""),596812.0)</f>
        <v>596812</v>
      </c>
      <c r="E13" t="str">
        <f>IFERROR(__xludf.DUMMYFUNCTION("""COMPUTED_VALUE"""),"Gestão de Projetos - Avançado")</f>
        <v>Gestão de Projetos - Avançado</v>
      </c>
      <c r="F13" t="str">
        <f>IFERROR(__xludf.DUMMYFUNCTION("""COMPUTED_VALUE"""),"Project Management - Advanced")</f>
        <v>Project Management - Advanced</v>
      </c>
      <c r="G13">
        <f>IFERROR(__xludf.DUMMYFUNCTION("""COMPUTED_VALUE"""),1136808.0)</f>
        <v>1136808</v>
      </c>
      <c r="H13" t="str">
        <f>IFERROR(__xludf.DUMMYFUNCTION("""COMPUTED_VALUE"""),"André Bernardo")</f>
        <v>André Bernardo</v>
      </c>
      <c r="I13" t="str">
        <f>IFERROR(__xludf.DUMMYFUNCTION("""COMPUTED_VALUE"""),"Low Rating")</f>
        <v>Low Rating</v>
      </c>
      <c r="J13" t="b">
        <f>IFERROR(__xludf.DUMMYFUNCTION("""COMPUTED_VALUE"""),FALSE)</f>
        <v>0</v>
      </c>
      <c r="K13" s="142" t="str">
        <f>IFERROR(__xludf.DUMMYFUNCTION("""COMPUTED_VALUE"""),"Project Management &amp; Operations")</f>
        <v>Project Management &amp; Operations</v>
      </c>
      <c r="L13" s="142" t="str">
        <f>IFERROR(__xludf.DUMMYFUNCTION("""COMPUTED_VALUE"""),"Project Management Fundamentals")</f>
        <v>Project Management Fundamentals</v>
      </c>
      <c r="N13" s="140" t="str">
        <f>IFERROR(__xludf.DUMMYFUNCTION("""COMPUTED_VALUE"""),"")</f>
        <v/>
      </c>
      <c r="P13" s="140" t="str">
        <f>IFERROR(__xludf.DUMMYFUNCTION("""COMPUTED_VALUE"""),"")</f>
        <v/>
      </c>
    </row>
    <row r="14">
      <c r="A14" s="143">
        <f>IFERROR(__xludf.DUMMYFUNCTION("""COMPUTED_VALUE"""),44623.0)</f>
        <v>44623</v>
      </c>
      <c r="B14" s="143">
        <f>IFERROR(__xludf.DUMMYFUNCTION("""COMPUTED_VALUE"""),44834.0)</f>
        <v>44834</v>
      </c>
      <c r="C14" s="140" t="str">
        <f>IFERROR(__xludf.DUMMYFUNCTION("""COMPUTED_VALUE"""),"ja")</f>
        <v>ja</v>
      </c>
      <c r="D14">
        <f>IFERROR(__xludf.DUMMYFUNCTION("""COMPUTED_VALUE"""),701468.0)</f>
        <v>701468</v>
      </c>
      <c r="E14" t="str">
        <f>IFERROR(__xludf.DUMMYFUNCTION("""COMPUTED_VALUE"""),"Photoshopマスターコース　基礎から上級まで　ステップバイステップでPhotoshopのすべてを学ぼう")</f>
        <v>Photoshopマスターコース　基礎から上級まで　ステップバイステップでPhotoshopのすべてを学ぼう</v>
      </c>
      <c r="F14" t="str">
        <f>IFERROR(__xludf.DUMMYFUNCTION("""COMPUTED_VALUE"""),"Photoshop Master Course Learn everything from Photoshop in step by step from basics to advanced")</f>
        <v>Photoshop Master Course Learn everything from Photoshop in step by step from basics to advanced</v>
      </c>
      <c r="G14">
        <f>IFERROR(__xludf.DUMMYFUNCTION("""COMPUTED_VALUE"""),1.3145774E7)</f>
        <v>13145774</v>
      </c>
      <c r="H14" t="str">
        <f>IFERROR(__xludf.DUMMYFUNCTION("""COMPUTED_VALUE"""),"村守 康")</f>
        <v>村守 康</v>
      </c>
      <c r="I14" t="str">
        <f>IFERROR(__xludf.DUMMYFUNCTION("""COMPUTED_VALUE"""),"Low Rating")</f>
        <v>Low Rating</v>
      </c>
      <c r="J14" t="b">
        <f>IFERROR(__xludf.DUMMYFUNCTION("""COMPUTED_VALUE"""),FALSE)</f>
        <v>0</v>
      </c>
      <c r="K14" s="142" t="str">
        <f>IFERROR(__xludf.DUMMYFUNCTION("""COMPUTED_VALUE"""),"Design")</f>
        <v>Design</v>
      </c>
      <c r="L14" s="142" t="str">
        <f>IFERROR(__xludf.DUMMYFUNCTION("""COMPUTED_VALUE"""),"Graphic Design")</f>
        <v>Graphic Design</v>
      </c>
      <c r="N14" s="140" t="str">
        <f>IFERROR(__xludf.DUMMYFUNCTION("""COMPUTED_VALUE"""),"")</f>
        <v/>
      </c>
      <c r="P14" s="140" t="str">
        <f>IFERROR(__xludf.DUMMYFUNCTION("""COMPUTED_VALUE"""),"")</f>
        <v/>
      </c>
    </row>
    <row r="15">
      <c r="A15" s="143">
        <f>IFERROR(__xludf.DUMMYFUNCTION("""COMPUTED_VALUE"""),44623.0)</f>
        <v>44623</v>
      </c>
      <c r="B15" s="143">
        <f>IFERROR(__xludf.DUMMYFUNCTION("""COMPUTED_VALUE"""),44834.0)</f>
        <v>44834</v>
      </c>
      <c r="C15" s="140" t="str">
        <f>IFERROR(__xludf.DUMMYFUNCTION("""COMPUTED_VALUE"""),"ja")</f>
        <v>ja</v>
      </c>
      <c r="D15">
        <f>IFERROR(__xludf.DUMMYFUNCTION("""COMPUTED_VALUE"""),927198.0)</f>
        <v>927198</v>
      </c>
      <c r="E15" t="str">
        <f>IFERROR(__xludf.DUMMYFUNCTION("""COMPUTED_VALUE"""),"【3日でできる】はじめてのLinuxサーバー構築入門（CentOS 7・PHP 7・Docker対応）")</f>
        <v>【3日でできる】はじめてのLinuxサーバー構築入門（CentOS 7・PHP 7・Docker対応）</v>
      </c>
      <c r="F15" t="str">
        <f>IFERROR(__xludf.DUMMYFUNCTION("""COMPUTED_VALUE"""),"[Can be done 3 days] Introduction to the first Linux server construction (CentOS 7 · PHP 7 · Docker compatible)")</f>
        <v>[Can be done 3 days] Introduction to the first Linux server construction (CentOS 7 · PHP 7 · Docker compatible)</v>
      </c>
      <c r="G15">
        <f>IFERROR(__xludf.DUMMYFUNCTION("""COMPUTED_VALUE"""),654126.0)</f>
        <v>654126</v>
      </c>
      <c r="H15" t="str">
        <f>IFERROR(__xludf.DUMMYFUNCTION("""COMPUTED_VALUE"""),"井上 博樹 (Hiroki Inoue)")</f>
        <v>井上 博樹 (Hiroki Inoue)</v>
      </c>
      <c r="I15" t="str">
        <f>IFERROR(__xludf.DUMMYFUNCTION("""COMPUTED_VALUE"""),"Low Rating")</f>
        <v>Low Rating</v>
      </c>
      <c r="J15" t="b">
        <f>IFERROR(__xludf.DUMMYFUNCTION("""COMPUTED_VALUE"""),FALSE)</f>
        <v>0</v>
      </c>
      <c r="K15" s="142" t="str">
        <f>IFERROR(__xludf.DUMMYFUNCTION("""COMPUTED_VALUE"""),"IT Operations")</f>
        <v>IT Operations</v>
      </c>
      <c r="L15" s="142" t="str">
        <f>IFERROR(__xludf.DUMMYFUNCTION("""COMPUTED_VALUE"""),"Operating Systems &amp; Servers")</f>
        <v>Operating Systems &amp; Servers</v>
      </c>
      <c r="N15" s="140" t="str">
        <f>IFERROR(__xludf.DUMMYFUNCTION("""COMPUTED_VALUE"""),"")</f>
        <v/>
      </c>
      <c r="P15" s="140" t="str">
        <f>IFERROR(__xludf.DUMMYFUNCTION("""COMPUTED_VALUE"""),"")</f>
        <v/>
      </c>
    </row>
    <row r="16">
      <c r="A16" s="143">
        <f>IFERROR(__xludf.DUMMYFUNCTION("""COMPUTED_VALUE"""),44623.0)</f>
        <v>44623</v>
      </c>
      <c r="B16" s="143">
        <f>IFERROR(__xludf.DUMMYFUNCTION("""COMPUTED_VALUE"""),44834.0)</f>
        <v>44834</v>
      </c>
      <c r="C16" s="140" t="str">
        <f>IFERROR(__xludf.DUMMYFUNCTION("""COMPUTED_VALUE"""),"en")</f>
        <v>en</v>
      </c>
      <c r="D16">
        <f>IFERROR(__xludf.DUMMYFUNCTION("""COMPUTED_VALUE"""),933048.0)</f>
        <v>933048</v>
      </c>
      <c r="E16" t="str">
        <f>IFERROR(__xludf.DUMMYFUNCTION("""COMPUTED_VALUE"""),"Goal Setting for Success - How to Set &amp; Achieve SMART Goals")</f>
        <v>Goal Setting for Success - How to Set &amp; Achieve SMART Goals</v>
      </c>
      <c r="F16" t="str">
        <f>IFERROR(__xludf.DUMMYFUNCTION("""COMPUTED_VALUE"""),"Goal Setting for Success - How to Set &amp; Achieve SMART Goals")</f>
        <v>Goal Setting for Success - How to Set &amp; Achieve SMART Goals</v>
      </c>
      <c r="G16">
        <f>IFERROR(__xludf.DUMMYFUNCTION("""COMPUTED_VALUE"""),2061762.0)</f>
        <v>2061762</v>
      </c>
      <c r="H16" t="str">
        <f>IFERROR(__xludf.DUMMYFUNCTION("""COMPUTED_VALUE"""),"Dr. Roy Naraine")</f>
        <v>Dr. Roy Naraine</v>
      </c>
      <c r="I16" t="str">
        <f>IFERROR(__xludf.DUMMYFUNCTION("""COMPUTED_VALUE"""),"Low Rating")</f>
        <v>Low Rating</v>
      </c>
      <c r="J16" t="b">
        <f>IFERROR(__xludf.DUMMYFUNCTION("""COMPUTED_VALUE"""),FALSE)</f>
        <v>0</v>
      </c>
      <c r="K16" s="142" t="str">
        <f>IFERROR(__xludf.DUMMYFUNCTION("""COMPUTED_VALUE"""),"Leadership &amp; Management")</f>
        <v>Leadership &amp; Management</v>
      </c>
      <c r="L16" s="142" t="str">
        <f>IFERROR(__xludf.DUMMYFUNCTION("""COMPUTED_VALUE"""),"Management")</f>
        <v>Management</v>
      </c>
      <c r="N16" s="140" t="str">
        <f>IFERROR(__xludf.DUMMYFUNCTION("""COMPUTED_VALUE"""),"")</f>
        <v/>
      </c>
      <c r="P16" s="140" t="str">
        <f>IFERROR(__xludf.DUMMYFUNCTION("""COMPUTED_VALUE"""),"")</f>
        <v/>
      </c>
    </row>
    <row r="17">
      <c r="A17" s="143">
        <f>IFERROR(__xludf.DUMMYFUNCTION("""COMPUTED_VALUE"""),44623.0)</f>
        <v>44623</v>
      </c>
      <c r="B17" s="143">
        <f>IFERROR(__xludf.DUMMYFUNCTION("""COMPUTED_VALUE"""),44834.0)</f>
        <v>44834</v>
      </c>
      <c r="C17" s="140" t="str">
        <f>IFERROR(__xludf.DUMMYFUNCTION("""COMPUTED_VALUE"""),"en")</f>
        <v>en</v>
      </c>
      <c r="D17">
        <f>IFERROR(__xludf.DUMMYFUNCTION("""COMPUTED_VALUE"""),993294.0)</f>
        <v>993294</v>
      </c>
      <c r="E17" t="str">
        <f>IFERROR(__xludf.DUMMYFUNCTION("""COMPUTED_VALUE"""),"The Science of Happiness")</f>
        <v>The Science of Happiness</v>
      </c>
      <c r="F17" t="str">
        <f>IFERROR(__xludf.DUMMYFUNCTION("""COMPUTED_VALUE"""),"The Science of Happiness")</f>
        <v>The Science of Happiness</v>
      </c>
      <c r="G17">
        <f>IFERROR(__xludf.DUMMYFUNCTION("""COMPUTED_VALUE"""),7479160.0)</f>
        <v>7479160</v>
      </c>
      <c r="H17" t="str">
        <f>IFERROR(__xludf.DUMMYFUNCTION("""COMPUTED_VALUE"""),"Libby Seery Founder of Renaissance Life Therapies")</f>
        <v>Libby Seery Founder of Renaissance Life Therapies</v>
      </c>
      <c r="I17" t="str">
        <f>IFERROR(__xludf.DUMMYFUNCTION("""COMPUTED_VALUE"""),"Low Rating")</f>
        <v>Low Rating</v>
      </c>
      <c r="J17" t="b">
        <f>IFERROR(__xludf.DUMMYFUNCTION("""COMPUTED_VALUE"""),FALSE)</f>
        <v>0</v>
      </c>
      <c r="K17" s="142" t="str">
        <f>IFERROR(__xludf.DUMMYFUNCTION("""COMPUTED_VALUE"""),"Personal Development")</f>
        <v>Personal Development</v>
      </c>
      <c r="L17" s="142" t="str">
        <f>IFERROR(__xludf.DUMMYFUNCTION("""COMPUTED_VALUE"""),"Personal Growth")</f>
        <v>Personal Growth</v>
      </c>
      <c r="N17" s="140" t="str">
        <f>IFERROR(__xludf.DUMMYFUNCTION("""COMPUTED_VALUE"""),"")</f>
        <v/>
      </c>
      <c r="P17" s="140" t="str">
        <f>IFERROR(__xludf.DUMMYFUNCTION("""COMPUTED_VALUE"""),"")</f>
        <v/>
      </c>
    </row>
    <row r="18">
      <c r="A18" s="143">
        <f>IFERROR(__xludf.DUMMYFUNCTION("""COMPUTED_VALUE"""),44623.0)</f>
        <v>44623</v>
      </c>
      <c r="B18" s="143">
        <f>IFERROR(__xludf.DUMMYFUNCTION("""COMPUTED_VALUE"""),44834.0)</f>
        <v>44834</v>
      </c>
      <c r="C18" s="140" t="str">
        <f>IFERROR(__xludf.DUMMYFUNCTION("""COMPUTED_VALUE"""),"en")</f>
        <v>en</v>
      </c>
      <c r="D18">
        <f>IFERROR(__xludf.DUMMYFUNCTION("""COMPUTED_VALUE"""),1109150.0)</f>
        <v>1109150</v>
      </c>
      <c r="E18" t="str">
        <f>IFERROR(__xludf.DUMMYFUNCTION("""COMPUTED_VALUE"""),"RESTful API with Laravel: Build a Real API with Laravel")</f>
        <v>RESTful API with Laravel: Build a Real API with Laravel</v>
      </c>
      <c r="F18" t="str">
        <f>IFERROR(__xludf.DUMMYFUNCTION("""COMPUTED_VALUE"""),"RESTful API with Laravel: Build a Real API with Laravel")</f>
        <v>RESTful API with Laravel: Build a Real API with Laravel</v>
      </c>
      <c r="G18">
        <f>IFERROR(__xludf.DUMMYFUNCTION("""COMPUTED_VALUE"""),8031846.0)</f>
        <v>8031846</v>
      </c>
      <c r="H18" t="str">
        <f>IFERROR(__xludf.DUMMYFUNCTION("""COMPUTED_VALUE"""),"JuanD MeGon")</f>
        <v>JuanD MeGon</v>
      </c>
      <c r="I18" t="str">
        <f>IFERROR(__xludf.DUMMYFUNCTION("""COMPUTED_VALUE"""),"Low Rating")</f>
        <v>Low Rating</v>
      </c>
      <c r="J18" t="b">
        <f>IFERROR(__xludf.DUMMYFUNCTION("""COMPUTED_VALUE"""),FALSE)</f>
        <v>0</v>
      </c>
      <c r="K18" s="142" t="str">
        <f>IFERROR(__xludf.DUMMYFUNCTION("""COMPUTED_VALUE"""),"Development")</f>
        <v>Development</v>
      </c>
      <c r="L18" s="142" t="str">
        <f>IFERROR(__xludf.DUMMYFUNCTION("""COMPUTED_VALUE"""),"Web Development")</f>
        <v>Web Development</v>
      </c>
      <c r="N18" s="140" t="str">
        <f>IFERROR(__xludf.DUMMYFUNCTION("""COMPUTED_VALUE"""),"")</f>
        <v/>
      </c>
      <c r="P18" s="140" t="str">
        <f>IFERROR(__xludf.DUMMYFUNCTION("""COMPUTED_VALUE"""),"")</f>
        <v/>
      </c>
    </row>
    <row r="19">
      <c r="A19" s="143">
        <f>IFERROR(__xludf.DUMMYFUNCTION("""COMPUTED_VALUE"""),44623.0)</f>
        <v>44623</v>
      </c>
      <c r="B19" s="143">
        <f>IFERROR(__xludf.DUMMYFUNCTION("""COMPUTED_VALUE"""),44834.0)</f>
        <v>44834</v>
      </c>
      <c r="C19" s="140" t="str">
        <f>IFERROR(__xludf.DUMMYFUNCTION("""COMPUTED_VALUE"""),"en")</f>
        <v>en</v>
      </c>
      <c r="D19">
        <f>IFERROR(__xludf.DUMMYFUNCTION("""COMPUTED_VALUE"""),1113458.0)</f>
        <v>1113458</v>
      </c>
      <c r="E19" t="str">
        <f>IFERROR(__xludf.DUMMYFUNCTION("""COMPUTED_VALUE"""),"Cost Accounting: Introduction to Management Accounting")</f>
        <v>Cost Accounting: Introduction to Management Accounting</v>
      </c>
      <c r="F19" t="str">
        <f>IFERROR(__xludf.DUMMYFUNCTION("""COMPUTED_VALUE"""),"Cost Accounting: Introduction to Management Accounting")</f>
        <v>Cost Accounting: Introduction to Management Accounting</v>
      </c>
      <c r="G19">
        <f>IFERROR(__xludf.DUMMYFUNCTION("""COMPUTED_VALUE"""),1.0438432E7)</f>
        <v>10438432</v>
      </c>
      <c r="H19" t="str">
        <f>IFERROR(__xludf.DUMMYFUNCTION("""COMPUTED_VALUE"""),"David Burrell, BComm")</f>
        <v>David Burrell, BComm</v>
      </c>
      <c r="I19" t="str">
        <f>IFERROR(__xludf.DUMMYFUNCTION("""COMPUTED_VALUE"""),"Low Rating")</f>
        <v>Low Rating</v>
      </c>
      <c r="J19" t="b">
        <f>IFERROR(__xludf.DUMMYFUNCTION("""COMPUTED_VALUE"""),FALSE)</f>
        <v>0</v>
      </c>
      <c r="K19" s="142" t="str">
        <f>IFERROR(__xludf.DUMMYFUNCTION("""COMPUTED_VALUE"""),"Finance &amp; Accounting")</f>
        <v>Finance &amp; Accounting</v>
      </c>
      <c r="L19" s="142" t="str">
        <f>IFERROR(__xludf.DUMMYFUNCTION("""COMPUTED_VALUE"""),"Accounting")</f>
        <v>Accounting</v>
      </c>
      <c r="N19" s="140" t="str">
        <f>IFERROR(__xludf.DUMMYFUNCTION("""COMPUTED_VALUE"""),"")</f>
        <v/>
      </c>
      <c r="P19" s="140" t="str">
        <f>IFERROR(__xludf.DUMMYFUNCTION("""COMPUTED_VALUE"""),"")</f>
        <v/>
      </c>
    </row>
    <row r="20">
      <c r="A20" s="143">
        <f>IFERROR(__xludf.DUMMYFUNCTION("""COMPUTED_VALUE"""),44623.0)</f>
        <v>44623</v>
      </c>
      <c r="B20" s="143">
        <f>IFERROR(__xludf.DUMMYFUNCTION("""COMPUTED_VALUE"""),44834.0)</f>
        <v>44834</v>
      </c>
      <c r="C20" s="140" t="str">
        <f>IFERROR(__xludf.DUMMYFUNCTION("""COMPUTED_VALUE"""),"en")</f>
        <v>en</v>
      </c>
      <c r="D20">
        <f>IFERROR(__xludf.DUMMYFUNCTION("""COMPUTED_VALUE"""),1163324.0)</f>
        <v>1163324</v>
      </c>
      <c r="E20" t="str">
        <f>IFERROR(__xludf.DUMMYFUNCTION("""COMPUTED_VALUE"""),"Oracle database utilities - Perform data export / Import")</f>
        <v>Oracle database utilities - Perform data export / Import</v>
      </c>
      <c r="F20" t="str">
        <f>IFERROR(__xludf.DUMMYFUNCTION("""COMPUTED_VALUE"""),"Oracle database utilities - Perform data export / Import")</f>
        <v>Oracle database utilities - Perform data export / Import</v>
      </c>
      <c r="G20">
        <f>IFERROR(__xludf.DUMMYFUNCTION("""COMPUTED_VALUE"""),7902836.0)</f>
        <v>7902836</v>
      </c>
      <c r="H20" t="str">
        <f>IFERROR(__xludf.DUMMYFUNCTION("""COMPUTED_VALUE"""),"Arun Kumar")</f>
        <v>Arun Kumar</v>
      </c>
      <c r="I20" t="str">
        <f>IFERROR(__xludf.DUMMYFUNCTION("""COMPUTED_VALUE"""),"Low Rating")</f>
        <v>Low Rating</v>
      </c>
      <c r="J20" t="b">
        <f>IFERROR(__xludf.DUMMYFUNCTION("""COMPUTED_VALUE"""),FALSE)</f>
        <v>0</v>
      </c>
      <c r="K20" s="142" t="str">
        <f>IFERROR(__xludf.DUMMYFUNCTION("""COMPUTED_VALUE"""),"Development")</f>
        <v>Development</v>
      </c>
      <c r="L20" s="142" t="str">
        <f>IFERROR(__xludf.DUMMYFUNCTION("""COMPUTED_VALUE"""),"Database Design &amp; Development")</f>
        <v>Database Design &amp; Development</v>
      </c>
      <c r="N20" s="140" t="str">
        <f>IFERROR(__xludf.DUMMYFUNCTION("""COMPUTED_VALUE"""),"")</f>
        <v/>
      </c>
      <c r="P20" s="140" t="str">
        <f>IFERROR(__xludf.DUMMYFUNCTION("""COMPUTED_VALUE"""),"")</f>
        <v/>
      </c>
    </row>
    <row r="21">
      <c r="A21" s="143">
        <f>IFERROR(__xludf.DUMMYFUNCTION("""COMPUTED_VALUE"""),44623.0)</f>
        <v>44623</v>
      </c>
      <c r="B21" s="143">
        <f>IFERROR(__xludf.DUMMYFUNCTION("""COMPUTED_VALUE"""),44834.0)</f>
        <v>44834</v>
      </c>
      <c r="C21" s="140" t="str">
        <f>IFERROR(__xludf.DUMMYFUNCTION("""COMPUTED_VALUE"""),"en")</f>
        <v>en</v>
      </c>
      <c r="D21">
        <f>IFERROR(__xludf.DUMMYFUNCTION("""COMPUTED_VALUE"""),1163956.0)</f>
        <v>1163956</v>
      </c>
      <c r="E21" t="str">
        <f>IFERROR(__xludf.DUMMYFUNCTION("""COMPUTED_VALUE"""),"The Complete Ethical Hacker Certification Exam Prep Course")</f>
        <v>The Complete Ethical Hacker Certification Exam Prep Course</v>
      </c>
      <c r="F21" t="str">
        <f>IFERROR(__xludf.DUMMYFUNCTION("""COMPUTED_VALUE"""),"The Complete Ethical Hacker Certification Exam Prep Course")</f>
        <v>The Complete Ethical Hacker Certification Exam Prep Course</v>
      </c>
      <c r="G21">
        <f>IFERROR(__xludf.DUMMYFUNCTION("""COMPUTED_VALUE"""),2.7917956E7)</f>
        <v>27917956</v>
      </c>
      <c r="H21" t="str">
        <f>IFERROR(__xludf.DUMMYFUNCTION("""COMPUTED_VALUE"""),"Tim Pierson")</f>
        <v>Tim Pierson</v>
      </c>
      <c r="I21" t="str">
        <f>IFERROR(__xludf.DUMMYFUNCTION("""COMPUTED_VALUE"""),"Low Rating")</f>
        <v>Low Rating</v>
      </c>
      <c r="J21" t="b">
        <f>IFERROR(__xludf.DUMMYFUNCTION("""COMPUTED_VALUE"""),FALSE)</f>
        <v>0</v>
      </c>
      <c r="K21" s="142" t="str">
        <f>IFERROR(__xludf.DUMMYFUNCTION("""COMPUTED_VALUE"""),"IT Operations")</f>
        <v>IT Operations</v>
      </c>
      <c r="L21" s="142" t="str">
        <f>IFERROR(__xludf.DUMMYFUNCTION("""COMPUTED_VALUE"""),"IT Certifications")</f>
        <v>IT Certifications</v>
      </c>
      <c r="N21" s="140" t="str">
        <f>IFERROR(__xludf.DUMMYFUNCTION("""COMPUTED_VALUE"""),"")</f>
        <v/>
      </c>
      <c r="P21" s="140" t="str">
        <f>IFERROR(__xludf.DUMMYFUNCTION("""COMPUTED_VALUE"""),"")</f>
        <v/>
      </c>
    </row>
    <row r="22">
      <c r="A22" s="143">
        <f>IFERROR(__xludf.DUMMYFUNCTION("""COMPUTED_VALUE"""),44623.0)</f>
        <v>44623</v>
      </c>
      <c r="B22" s="143">
        <f>IFERROR(__xludf.DUMMYFUNCTION("""COMPUTED_VALUE"""),44834.0)</f>
        <v>44834</v>
      </c>
      <c r="C22" s="140" t="str">
        <f>IFERROR(__xludf.DUMMYFUNCTION("""COMPUTED_VALUE"""),"en")</f>
        <v>en</v>
      </c>
      <c r="D22">
        <f>IFERROR(__xludf.DUMMYFUNCTION("""COMPUTED_VALUE"""),1165096.0)</f>
        <v>1165096</v>
      </c>
      <c r="E22" t="str">
        <f>IFERROR(__xludf.DUMMYFUNCTION("""COMPUTED_VALUE"""),"Vue JS 2.0 - Mastering Web Apps")</f>
        <v>Vue JS 2.0 - Mastering Web Apps</v>
      </c>
      <c r="F22" t="str">
        <f>IFERROR(__xludf.DUMMYFUNCTION("""COMPUTED_VALUE"""),"Vue JS 2.0 - Mastering Web Apps")</f>
        <v>Vue JS 2.0 - Mastering Web Apps</v>
      </c>
      <c r="G22">
        <f>IFERROR(__xludf.DUMMYFUNCTION("""COMPUTED_VALUE"""),1.068748E7)</f>
        <v>10687480</v>
      </c>
      <c r="H22" t="str">
        <f>IFERROR(__xludf.DUMMYFUNCTION("""COMPUTED_VALUE"""),"David Joseph Katz")</f>
        <v>David Joseph Katz</v>
      </c>
      <c r="I22" t="str">
        <f>IFERROR(__xludf.DUMMYFUNCTION("""COMPUTED_VALUE"""),"Low Rating")</f>
        <v>Low Rating</v>
      </c>
      <c r="J22" t="b">
        <f>IFERROR(__xludf.DUMMYFUNCTION("""COMPUTED_VALUE"""),FALSE)</f>
        <v>0</v>
      </c>
      <c r="K22" s="142" t="str">
        <f>IFERROR(__xludf.DUMMYFUNCTION("""COMPUTED_VALUE"""),"Development")</f>
        <v>Development</v>
      </c>
      <c r="L22" s="142" t="str">
        <f>IFERROR(__xludf.DUMMYFUNCTION("""COMPUTED_VALUE"""),"Web Development")</f>
        <v>Web Development</v>
      </c>
      <c r="N22" s="140" t="str">
        <f>IFERROR(__xludf.DUMMYFUNCTION("""COMPUTED_VALUE"""),"")</f>
        <v/>
      </c>
      <c r="P22" s="140" t="str">
        <f>IFERROR(__xludf.DUMMYFUNCTION("""COMPUTED_VALUE"""),"")</f>
        <v/>
      </c>
    </row>
    <row r="23">
      <c r="A23" s="143">
        <f>IFERROR(__xludf.DUMMYFUNCTION("""COMPUTED_VALUE"""),44623.0)</f>
        <v>44623</v>
      </c>
      <c r="B23" s="143">
        <f>IFERROR(__xludf.DUMMYFUNCTION("""COMPUTED_VALUE"""),44834.0)</f>
        <v>44834</v>
      </c>
      <c r="C23" s="140" t="str">
        <f>IFERROR(__xludf.DUMMYFUNCTION("""COMPUTED_VALUE"""),"en")</f>
        <v>en</v>
      </c>
      <c r="D23">
        <f>IFERROR(__xludf.DUMMYFUNCTION("""COMPUTED_VALUE"""),1245096.0)</f>
        <v>1245096</v>
      </c>
      <c r="E23" t="str">
        <f>IFERROR(__xludf.DUMMYFUNCTION("""COMPUTED_VALUE"""),"Get your PfMP® Certification on your first attempt")</f>
        <v>Get your PfMP® Certification on your first attempt</v>
      </c>
      <c r="F23" t="str">
        <f>IFERROR(__xludf.DUMMYFUNCTION("""COMPUTED_VALUE"""),"Get your PfMP® Certification on your first attempt")</f>
        <v>Get your PfMP® Certification on your first attempt</v>
      </c>
      <c r="G23">
        <f>IFERROR(__xludf.DUMMYFUNCTION("""COMPUTED_VALUE"""),2.8934322E7)</f>
        <v>28934322</v>
      </c>
      <c r="H23" t="str">
        <f>IFERROR(__xludf.DUMMYFUNCTION("""COMPUTED_VALUE"""),"Leithy Mohamed Leithy")</f>
        <v>Leithy Mohamed Leithy</v>
      </c>
      <c r="I23" t="str">
        <f>IFERROR(__xludf.DUMMYFUNCTION("""COMPUTED_VALUE"""),"Low Rating")</f>
        <v>Low Rating</v>
      </c>
      <c r="J23" t="b">
        <f>IFERROR(__xludf.DUMMYFUNCTION("""COMPUTED_VALUE"""),FALSE)</f>
        <v>0</v>
      </c>
      <c r="K23" s="142" t="str">
        <f>IFERROR(__xludf.DUMMYFUNCTION("""COMPUTED_VALUE"""),"Project Management &amp; Operations")</f>
        <v>Project Management &amp; Operations</v>
      </c>
      <c r="L23" s="142" t="str">
        <f>IFERROR(__xludf.DUMMYFUNCTION("""COMPUTED_VALUE"""),"Project Management Tools")</f>
        <v>Project Management Tools</v>
      </c>
      <c r="N23" s="140" t="str">
        <f>IFERROR(__xludf.DUMMYFUNCTION("""COMPUTED_VALUE"""),"")</f>
        <v/>
      </c>
      <c r="P23" s="140" t="str">
        <f>IFERROR(__xludf.DUMMYFUNCTION("""COMPUTED_VALUE"""),"")</f>
        <v/>
      </c>
    </row>
    <row r="24">
      <c r="A24" s="143">
        <f>IFERROR(__xludf.DUMMYFUNCTION("""COMPUTED_VALUE"""),44623.0)</f>
        <v>44623</v>
      </c>
      <c r="B24" s="143">
        <f>IFERROR(__xludf.DUMMYFUNCTION("""COMPUTED_VALUE"""),44834.0)</f>
        <v>44834</v>
      </c>
      <c r="C24" s="140" t="str">
        <f>IFERROR(__xludf.DUMMYFUNCTION("""COMPUTED_VALUE"""),"en")</f>
        <v>en</v>
      </c>
      <c r="D24">
        <f>IFERROR(__xludf.DUMMYFUNCTION("""COMPUTED_VALUE"""),1247102.0)</f>
        <v>1247102</v>
      </c>
      <c r="E24" t="str">
        <f>IFERROR(__xludf.DUMMYFUNCTION("""COMPUTED_VALUE"""),"Introduction to Sustainable Development Goals (SDGs)")</f>
        <v>Introduction to Sustainable Development Goals (SDGs)</v>
      </c>
      <c r="F24" t="str">
        <f>IFERROR(__xludf.DUMMYFUNCTION("""COMPUTED_VALUE"""),"Introduction to Sustainable Development Goals (SDGs)")</f>
        <v>Introduction to Sustainable Development Goals (SDGs)</v>
      </c>
      <c r="G24">
        <f>IFERROR(__xludf.DUMMYFUNCTION("""COMPUTED_VALUE"""),2.9173226E7)</f>
        <v>29173226</v>
      </c>
      <c r="H24" t="str">
        <f>IFERROR(__xludf.DUMMYFUNCTION("""COMPUTED_VALUE"""),"Edushala Pvt. Ltd")</f>
        <v>Edushala Pvt. Ltd</v>
      </c>
      <c r="I24" t="str">
        <f>IFERROR(__xludf.DUMMYFUNCTION("""COMPUTED_VALUE"""),"Low Rating")</f>
        <v>Low Rating</v>
      </c>
      <c r="J24" t="b">
        <f>IFERROR(__xludf.DUMMYFUNCTION("""COMPUTED_VALUE"""),FALSE)</f>
        <v>0</v>
      </c>
      <c r="K24" s="142" t="str">
        <f>IFERROR(__xludf.DUMMYFUNCTION("""COMPUTED_VALUE"""),"Leadership &amp; Management")</f>
        <v>Leadership &amp; Management</v>
      </c>
      <c r="L24" s="142" t="str">
        <f>IFERROR(__xludf.DUMMYFUNCTION("""COMPUTED_VALUE"""),"Strategy")</f>
        <v>Strategy</v>
      </c>
      <c r="N24" s="140" t="str">
        <f>IFERROR(__xludf.DUMMYFUNCTION("""COMPUTED_VALUE"""),"")</f>
        <v/>
      </c>
      <c r="P24" s="140" t="str">
        <f>IFERROR(__xludf.DUMMYFUNCTION("""COMPUTED_VALUE"""),"")</f>
        <v/>
      </c>
    </row>
    <row r="25">
      <c r="A25" s="143">
        <f>IFERROR(__xludf.DUMMYFUNCTION("""COMPUTED_VALUE"""),44623.0)</f>
        <v>44623</v>
      </c>
      <c r="B25" s="143">
        <f>IFERROR(__xludf.DUMMYFUNCTION("""COMPUTED_VALUE"""),44834.0)</f>
        <v>44834</v>
      </c>
      <c r="C25" s="140" t="str">
        <f>IFERROR(__xludf.DUMMYFUNCTION("""COMPUTED_VALUE"""),"de")</f>
        <v>de</v>
      </c>
      <c r="D25">
        <f>IFERROR(__xludf.DUMMYFUNCTION("""COMPUTED_VALUE"""),1290718.0)</f>
        <v>1290718</v>
      </c>
      <c r="E25" t="str">
        <f>IFERROR(__xludf.DUMMYFUNCTION("""COMPUTED_VALUE"""),"Erfolgreich telefonieren im Büro für Deutschlerner")</f>
        <v>Erfolgreich telefonieren im Büro für Deutschlerner</v>
      </c>
      <c r="F25" t="str">
        <f>IFERROR(__xludf.DUMMYFUNCTION("""COMPUTED_VALUE"""),"Successfully calls in the office for German learner")</f>
        <v>Successfully calls in the office for German learner</v>
      </c>
      <c r="G25">
        <f>IFERROR(__xludf.DUMMYFUNCTION("""COMPUTED_VALUE"""),3.258974E7)</f>
        <v>32589740</v>
      </c>
      <c r="H25" t="str">
        <f>IFERROR(__xludf.DUMMYFUNCTION("""COMPUTED_VALUE"""),"Tatjana Rhode")</f>
        <v>Tatjana Rhode</v>
      </c>
      <c r="I25" t="str">
        <f>IFERROR(__xludf.DUMMYFUNCTION("""COMPUTED_VALUE"""),"Low Rating")</f>
        <v>Low Rating</v>
      </c>
      <c r="J25" t="b">
        <f>IFERROR(__xludf.DUMMYFUNCTION("""COMPUTED_VALUE"""),FALSE)</f>
        <v>0</v>
      </c>
      <c r="K25" s="142" t="str">
        <f>IFERROR(__xludf.DUMMYFUNCTION("""COMPUTED_VALUE"""),"Personal Development")</f>
        <v>Personal Development</v>
      </c>
      <c r="L25" s="142" t="str">
        <f>IFERROR(__xludf.DUMMYFUNCTION("""COMPUTED_VALUE"""),"Language Learning")</f>
        <v>Language Learning</v>
      </c>
      <c r="N25" s="140" t="str">
        <f>IFERROR(__xludf.DUMMYFUNCTION("""COMPUTED_VALUE"""),"")</f>
        <v/>
      </c>
      <c r="P25" s="140" t="str">
        <f>IFERROR(__xludf.DUMMYFUNCTION("""COMPUTED_VALUE"""),"")</f>
        <v/>
      </c>
    </row>
    <row r="26">
      <c r="A26" s="143">
        <f>IFERROR(__xludf.DUMMYFUNCTION("""COMPUTED_VALUE"""),44623.0)</f>
        <v>44623</v>
      </c>
      <c r="B26" s="143">
        <f>IFERROR(__xludf.DUMMYFUNCTION("""COMPUTED_VALUE"""),44834.0)</f>
        <v>44834</v>
      </c>
      <c r="C26" s="140" t="str">
        <f>IFERROR(__xludf.DUMMYFUNCTION("""COMPUTED_VALUE"""),"fr")</f>
        <v>fr</v>
      </c>
      <c r="D26">
        <f>IFERROR(__xludf.DUMMYFUNCTION("""COMPUTED_VALUE"""),1342018.0)</f>
        <v>1342018</v>
      </c>
      <c r="E26" t="str">
        <f>IFERROR(__xludf.DUMMYFUNCTION("""COMPUTED_VALUE"""),"Créer un site web Pro en C# avec ASP.NET MVC 6 et Bootstrap")</f>
        <v>Créer un site web Pro en C# avec ASP.NET MVC 6 et Bootstrap</v>
      </c>
      <c r="F26" t="str">
        <f>IFERROR(__xludf.DUMMYFUNCTION("""COMPUTED_VALUE"""),"Create a Pro C # website with ASP.NET MVC 6 and Bootstrap")</f>
        <v>Create a Pro C # website with ASP.NET MVC 6 and Bootstrap</v>
      </c>
      <c r="G26">
        <f>IFERROR(__xludf.DUMMYFUNCTION("""COMPUTED_VALUE"""),3.5219816E7)</f>
        <v>35219816</v>
      </c>
      <c r="H26" t="str">
        <f>IFERROR(__xludf.DUMMYFUNCTION("""COMPUTED_VALUE"""),"Thomas Blotiere")</f>
        <v>Thomas Blotiere</v>
      </c>
      <c r="I26" t="str">
        <f>IFERROR(__xludf.DUMMYFUNCTION("""COMPUTED_VALUE"""),"Low Rating")</f>
        <v>Low Rating</v>
      </c>
      <c r="J26" t="b">
        <f>IFERROR(__xludf.DUMMYFUNCTION("""COMPUTED_VALUE"""),FALSE)</f>
        <v>0</v>
      </c>
      <c r="K26" s="142" t="str">
        <f>IFERROR(__xludf.DUMMYFUNCTION("""COMPUTED_VALUE"""),"Development")</f>
        <v>Development</v>
      </c>
      <c r="L26" s="142" t="str">
        <f>IFERROR(__xludf.DUMMYFUNCTION("""COMPUTED_VALUE"""),"Web Development")</f>
        <v>Web Development</v>
      </c>
      <c r="N26" s="140" t="str">
        <f>IFERROR(__xludf.DUMMYFUNCTION("""COMPUTED_VALUE"""),"")</f>
        <v/>
      </c>
      <c r="P26" s="140" t="str">
        <f>IFERROR(__xludf.DUMMYFUNCTION("""COMPUTED_VALUE"""),"")</f>
        <v/>
      </c>
    </row>
    <row r="27">
      <c r="A27" s="143">
        <f>IFERROR(__xludf.DUMMYFUNCTION("""COMPUTED_VALUE"""),44623.0)</f>
        <v>44623</v>
      </c>
      <c r="B27" s="143">
        <f>IFERROR(__xludf.DUMMYFUNCTION("""COMPUTED_VALUE"""),44834.0)</f>
        <v>44834</v>
      </c>
      <c r="C27" s="140" t="str">
        <f>IFERROR(__xludf.DUMMYFUNCTION("""COMPUTED_VALUE"""),"en")</f>
        <v>en</v>
      </c>
      <c r="D27">
        <f>IFERROR(__xludf.DUMMYFUNCTION("""COMPUTED_VALUE"""),1609212.0)</f>
        <v>1609212</v>
      </c>
      <c r="E27" t="str">
        <f>IFERROR(__xludf.DUMMYFUNCTION("""COMPUTED_VALUE"""),"Magento 2 Theme Development")</f>
        <v>Magento 2 Theme Development</v>
      </c>
      <c r="F27" t="str">
        <f>IFERROR(__xludf.DUMMYFUNCTION("""COMPUTED_VALUE"""),"Magento 2 Theme Development")</f>
        <v>Magento 2 Theme Development</v>
      </c>
      <c r="G27">
        <f>IFERROR(__xludf.DUMMYFUNCTION("""COMPUTED_VALUE"""),7077412.0)</f>
        <v>7077412</v>
      </c>
      <c r="H27" t="str">
        <f>IFERROR(__xludf.DUMMYFUNCTION("""COMPUTED_VALUE"""),"Pixelpro formación online")</f>
        <v>Pixelpro formación online</v>
      </c>
      <c r="I27" t="str">
        <f>IFERROR(__xludf.DUMMYFUNCTION("""COMPUTED_VALUE"""),"Low Rating")</f>
        <v>Low Rating</v>
      </c>
      <c r="J27" t="b">
        <f>IFERROR(__xludf.DUMMYFUNCTION("""COMPUTED_VALUE"""),FALSE)</f>
        <v>0</v>
      </c>
      <c r="K27" s="142" t="str">
        <f>IFERROR(__xludf.DUMMYFUNCTION("""COMPUTED_VALUE"""),"Development")</f>
        <v>Development</v>
      </c>
      <c r="L27" s="142" t="str">
        <f>IFERROR(__xludf.DUMMYFUNCTION("""COMPUTED_VALUE"""),"Web Development")</f>
        <v>Web Development</v>
      </c>
      <c r="N27" s="140" t="str">
        <f>IFERROR(__xludf.DUMMYFUNCTION("""COMPUTED_VALUE"""),"")</f>
        <v/>
      </c>
      <c r="P27" s="140" t="str">
        <f>IFERROR(__xludf.DUMMYFUNCTION("""COMPUTED_VALUE"""),"")</f>
        <v/>
      </c>
    </row>
    <row r="28">
      <c r="A28" s="143">
        <f>IFERROR(__xludf.DUMMYFUNCTION("""COMPUTED_VALUE"""),44623.0)</f>
        <v>44623</v>
      </c>
      <c r="B28" s="143">
        <f>IFERROR(__xludf.DUMMYFUNCTION("""COMPUTED_VALUE"""),44834.0)</f>
        <v>44834</v>
      </c>
      <c r="C28" s="140" t="str">
        <f>IFERROR(__xludf.DUMMYFUNCTION("""COMPUTED_VALUE"""),"en")</f>
        <v>en</v>
      </c>
      <c r="D28">
        <f>IFERROR(__xludf.DUMMYFUNCTION("""COMPUTED_VALUE"""),1651518.0)</f>
        <v>1651518</v>
      </c>
      <c r="E28" t="str">
        <f>IFERROR(__xludf.DUMMYFUNCTION("""COMPUTED_VALUE"""),"Effective Bookkeeping and Payroll")</f>
        <v>Effective Bookkeeping and Payroll</v>
      </c>
      <c r="F28" t="str">
        <f>IFERROR(__xludf.DUMMYFUNCTION("""COMPUTED_VALUE"""),"Effective Bookkeeping and Payroll")</f>
        <v>Effective Bookkeeping and Payroll</v>
      </c>
      <c r="G28">
        <f>IFERROR(__xludf.DUMMYFUNCTION("""COMPUTED_VALUE"""),4.3284762E7)</f>
        <v>43284762</v>
      </c>
      <c r="H28" t="str">
        <f>IFERROR(__xludf.DUMMYFUNCTION("""COMPUTED_VALUE"""),"Integrity Training")</f>
        <v>Integrity Training</v>
      </c>
      <c r="I28" t="str">
        <f>IFERROR(__xludf.DUMMYFUNCTION("""COMPUTED_VALUE"""),"Low Rating")</f>
        <v>Low Rating</v>
      </c>
      <c r="J28" t="b">
        <f>IFERROR(__xludf.DUMMYFUNCTION("""COMPUTED_VALUE"""),FALSE)</f>
        <v>0</v>
      </c>
      <c r="K28" s="142" t="str">
        <f>IFERROR(__xludf.DUMMYFUNCTION("""COMPUTED_VALUE"""),"Finance &amp; Accounting")</f>
        <v>Finance &amp; Accounting</v>
      </c>
      <c r="L28" s="142" t="str">
        <f>IFERROR(__xludf.DUMMYFUNCTION("""COMPUTED_VALUE"""),"Accounting")</f>
        <v>Accounting</v>
      </c>
      <c r="N28" s="140" t="str">
        <f>IFERROR(__xludf.DUMMYFUNCTION("""COMPUTED_VALUE"""),"")</f>
        <v/>
      </c>
      <c r="P28" s="140" t="str">
        <f>IFERROR(__xludf.DUMMYFUNCTION("""COMPUTED_VALUE"""),"")</f>
        <v/>
      </c>
    </row>
    <row r="29">
      <c r="A29" s="143">
        <f>IFERROR(__xludf.DUMMYFUNCTION("""COMPUTED_VALUE"""),44623.0)</f>
        <v>44623</v>
      </c>
      <c r="B29" s="143">
        <f>IFERROR(__xludf.DUMMYFUNCTION("""COMPUTED_VALUE"""),44834.0)</f>
        <v>44834</v>
      </c>
      <c r="C29" s="140" t="str">
        <f>IFERROR(__xludf.DUMMYFUNCTION("""COMPUTED_VALUE"""),"en")</f>
        <v>en</v>
      </c>
      <c r="D29">
        <f>IFERROR(__xludf.DUMMYFUNCTION("""COMPUTED_VALUE"""),1661622.0)</f>
        <v>1661622</v>
      </c>
      <c r="E29" t="str">
        <f>IFERROR(__xludf.DUMMYFUNCTION("""COMPUTED_VALUE"""),"Introduction to Precision Agriculture")</f>
        <v>Introduction to Precision Agriculture</v>
      </c>
      <c r="F29" t="str">
        <f>IFERROR(__xludf.DUMMYFUNCTION("""COMPUTED_VALUE"""),"Introduction to Precision Agriculture")</f>
        <v>Introduction to Precision Agriculture</v>
      </c>
      <c r="G29">
        <f>IFERROR(__xludf.DUMMYFUNCTION("""COMPUTED_VALUE"""),4.747081E7)</f>
        <v>47470810</v>
      </c>
      <c r="H29" t="str">
        <f>IFERROR(__xludf.DUMMYFUNCTION("""COMPUTED_VALUE"""),"Derek Arbeiter")</f>
        <v>Derek Arbeiter</v>
      </c>
      <c r="I29" t="str">
        <f>IFERROR(__xludf.DUMMYFUNCTION("""COMPUTED_VALUE"""),"Low Rating")</f>
        <v>Low Rating</v>
      </c>
      <c r="J29" t="b">
        <f>IFERROR(__xludf.DUMMYFUNCTION("""COMPUTED_VALUE"""),FALSE)</f>
        <v>0</v>
      </c>
      <c r="K29" s="142" t="str">
        <f>IFERROR(__xludf.DUMMYFUNCTION("""COMPUTED_VALUE"""),"IT Operations")</f>
        <v>IT Operations</v>
      </c>
      <c r="L29" s="142" t="str">
        <f>IFERROR(__xludf.DUMMYFUNCTION("""COMPUTED_VALUE"""),"Hardware")</f>
        <v>Hardware</v>
      </c>
      <c r="N29" s="140" t="str">
        <f>IFERROR(__xludf.DUMMYFUNCTION("""COMPUTED_VALUE"""),"")</f>
        <v/>
      </c>
      <c r="P29" s="140" t="str">
        <f>IFERROR(__xludf.DUMMYFUNCTION("""COMPUTED_VALUE"""),"")</f>
        <v/>
      </c>
    </row>
    <row r="30">
      <c r="A30" s="143">
        <f>IFERROR(__xludf.DUMMYFUNCTION("""COMPUTED_VALUE"""),44623.0)</f>
        <v>44623</v>
      </c>
      <c r="B30" s="143">
        <f>IFERROR(__xludf.DUMMYFUNCTION("""COMPUTED_VALUE"""),44834.0)</f>
        <v>44834</v>
      </c>
      <c r="C30" s="140" t="str">
        <f>IFERROR(__xludf.DUMMYFUNCTION("""COMPUTED_VALUE"""),"pt")</f>
        <v>pt</v>
      </c>
      <c r="D30">
        <f>IFERROR(__xludf.DUMMYFUNCTION("""COMPUTED_VALUE"""),1674658.0)</f>
        <v>1674658</v>
      </c>
      <c r="E30" t="str">
        <f>IFERROR(__xludf.DUMMYFUNCTION("""COMPUTED_VALUE"""),"Conceitos e Modelagem de Banco de Dados Relacional.")</f>
        <v>Conceitos e Modelagem de Banco de Dados Relacional.</v>
      </c>
      <c r="F30" t="str">
        <f>IFERROR(__xludf.DUMMYFUNCTION("""COMPUTED_VALUE"""),"Concepts and relational database modeling.")</f>
        <v>Concepts and relational database modeling.</v>
      </c>
      <c r="G30">
        <f>IFERROR(__xludf.DUMMYFUNCTION("""COMPUTED_VALUE"""),2.6602434E7)</f>
        <v>26602434</v>
      </c>
      <c r="H30" t="str">
        <f>IFERROR(__xludf.DUMMYFUNCTION("""COMPUTED_VALUE"""),"André Rosa")</f>
        <v>André Rosa</v>
      </c>
      <c r="I30" t="str">
        <f>IFERROR(__xludf.DUMMYFUNCTION("""COMPUTED_VALUE"""),"Low Rating")</f>
        <v>Low Rating</v>
      </c>
      <c r="J30" t="b">
        <f>IFERROR(__xludf.DUMMYFUNCTION("""COMPUTED_VALUE"""),FALSE)</f>
        <v>0</v>
      </c>
      <c r="K30" s="142" t="str">
        <f>IFERROR(__xludf.DUMMYFUNCTION("""COMPUTED_VALUE"""),"Development")</f>
        <v>Development</v>
      </c>
      <c r="L30" s="142" t="str">
        <f>IFERROR(__xludf.DUMMYFUNCTION("""COMPUTED_VALUE"""),"Database Design &amp; Development")</f>
        <v>Database Design &amp; Development</v>
      </c>
      <c r="N30" s="140" t="str">
        <f>IFERROR(__xludf.DUMMYFUNCTION("""COMPUTED_VALUE"""),"")</f>
        <v/>
      </c>
      <c r="P30" s="140" t="str">
        <f>IFERROR(__xludf.DUMMYFUNCTION("""COMPUTED_VALUE"""),"")</f>
        <v/>
      </c>
    </row>
    <row r="31">
      <c r="A31" s="143">
        <f>IFERROR(__xludf.DUMMYFUNCTION("""COMPUTED_VALUE"""),44623.0)</f>
        <v>44623</v>
      </c>
      <c r="B31" s="143">
        <f>IFERROR(__xludf.DUMMYFUNCTION("""COMPUTED_VALUE"""),44834.0)</f>
        <v>44834</v>
      </c>
      <c r="C31" s="140" t="str">
        <f>IFERROR(__xludf.DUMMYFUNCTION("""COMPUTED_VALUE"""),"en")</f>
        <v>en</v>
      </c>
      <c r="D31">
        <f>IFERROR(__xludf.DUMMYFUNCTION("""COMPUTED_VALUE"""),1679576.0)</f>
        <v>1679576</v>
      </c>
      <c r="E31" t="str">
        <f>IFERROR(__xludf.DUMMYFUNCTION("""COMPUTED_VALUE"""),"The Personal Finance and Wealth Management Masterclass")</f>
        <v>The Personal Finance and Wealth Management Masterclass</v>
      </c>
      <c r="F31" t="str">
        <f>IFERROR(__xludf.DUMMYFUNCTION("""COMPUTED_VALUE"""),"The Personal Finance and Wealth Management Masterclass")</f>
        <v>The Personal Finance and Wealth Management Masterclass</v>
      </c>
      <c r="G31">
        <f>IFERROR(__xludf.DUMMYFUNCTION("""COMPUTED_VALUE"""),4.6762492E7)</f>
        <v>46762492</v>
      </c>
      <c r="H31" t="str">
        <f>IFERROR(__xludf.DUMMYFUNCTION("""COMPUTED_VALUE"""),"Raj Gupta")</f>
        <v>Raj Gupta</v>
      </c>
      <c r="I31" t="str">
        <f>IFERROR(__xludf.DUMMYFUNCTION("""COMPUTED_VALUE"""),"Low Rating")</f>
        <v>Low Rating</v>
      </c>
      <c r="J31" t="b">
        <f>IFERROR(__xludf.DUMMYFUNCTION("""COMPUTED_VALUE"""),FALSE)</f>
        <v>0</v>
      </c>
      <c r="K31" s="142" t="str">
        <f>IFERROR(__xludf.DUMMYFUNCTION("""COMPUTED_VALUE"""),"Personal Development")</f>
        <v>Personal Development</v>
      </c>
      <c r="L31" s="142" t="str">
        <f>IFERROR(__xludf.DUMMYFUNCTION("""COMPUTED_VALUE"""),"Life Skills")</f>
        <v>Life Skills</v>
      </c>
      <c r="N31" s="140" t="str">
        <f>IFERROR(__xludf.DUMMYFUNCTION("""COMPUTED_VALUE"""),"")</f>
        <v/>
      </c>
      <c r="P31" s="140" t="str">
        <f>IFERROR(__xludf.DUMMYFUNCTION("""COMPUTED_VALUE"""),"")</f>
        <v/>
      </c>
    </row>
    <row r="32">
      <c r="A32" s="143">
        <f>IFERROR(__xludf.DUMMYFUNCTION("""COMPUTED_VALUE"""),44623.0)</f>
        <v>44623</v>
      </c>
      <c r="B32" s="143">
        <f>IFERROR(__xludf.DUMMYFUNCTION("""COMPUTED_VALUE"""),44834.0)</f>
        <v>44834</v>
      </c>
      <c r="C32" s="140" t="str">
        <f>IFERROR(__xludf.DUMMYFUNCTION("""COMPUTED_VALUE"""),"de")</f>
        <v>de</v>
      </c>
      <c r="D32">
        <f>IFERROR(__xludf.DUMMYFUNCTION("""COMPUTED_VALUE"""),1690182.0)</f>
        <v>1690182</v>
      </c>
      <c r="E32" t="str">
        <f>IFERROR(__xludf.DUMMYFUNCTION("""COMPUTED_VALUE"""),"Hacken von Webseiten und Web Anwendungen")</f>
        <v>Hacken von Webseiten und Web Anwendungen</v>
      </c>
      <c r="F32" t="str">
        <f>IFERROR(__xludf.DUMMYFUNCTION("""COMPUTED_VALUE"""),"Hacking websites and web applications")</f>
        <v>Hacking websites and web applications</v>
      </c>
      <c r="G32">
        <f>IFERROR(__xludf.DUMMYFUNCTION("""COMPUTED_VALUE"""),3.3250852E7)</f>
        <v>33250852</v>
      </c>
      <c r="H32" t="str">
        <f>IFERROR(__xludf.DUMMYFUNCTION("""COMPUTED_VALUE"""),"Cedric Mössner")</f>
        <v>Cedric Mössner</v>
      </c>
      <c r="I32" t="str">
        <f>IFERROR(__xludf.DUMMYFUNCTION("""COMPUTED_VALUE"""),"Low Rating")</f>
        <v>Low Rating</v>
      </c>
      <c r="J32" t="b">
        <f>IFERROR(__xludf.DUMMYFUNCTION("""COMPUTED_VALUE"""),FALSE)</f>
        <v>0</v>
      </c>
      <c r="K32" s="142" t="str">
        <f>IFERROR(__xludf.DUMMYFUNCTION("""COMPUTED_VALUE"""),"IT Operations")</f>
        <v>IT Operations</v>
      </c>
      <c r="L32" s="142" t="str">
        <f>IFERROR(__xludf.DUMMYFUNCTION("""COMPUTED_VALUE"""),"Network &amp; Security")</f>
        <v>Network &amp; Security</v>
      </c>
      <c r="N32" s="140" t="str">
        <f>IFERROR(__xludf.DUMMYFUNCTION("""COMPUTED_VALUE"""),"")</f>
        <v/>
      </c>
      <c r="P32" s="140" t="str">
        <f>IFERROR(__xludf.DUMMYFUNCTION("""COMPUTED_VALUE"""),"")</f>
        <v/>
      </c>
    </row>
    <row r="33">
      <c r="A33" s="143">
        <f>IFERROR(__xludf.DUMMYFUNCTION("""COMPUTED_VALUE"""),44623.0)</f>
        <v>44623</v>
      </c>
      <c r="B33" s="143">
        <f>IFERROR(__xludf.DUMMYFUNCTION("""COMPUTED_VALUE"""),44834.0)</f>
        <v>44834</v>
      </c>
      <c r="C33" s="140" t="str">
        <f>IFERROR(__xludf.DUMMYFUNCTION("""COMPUTED_VALUE"""),"de")</f>
        <v>de</v>
      </c>
      <c r="D33">
        <f>IFERROR(__xludf.DUMMYFUNCTION("""COMPUTED_VALUE"""),1759390.0)</f>
        <v>1759390</v>
      </c>
      <c r="E33" t="str">
        <f>IFERROR(__xludf.DUMMYFUNCTION("""COMPUTED_VALUE"""),"Spring Boot")</f>
        <v>Spring Boot</v>
      </c>
      <c r="F33" t="str">
        <f>IFERROR(__xludf.DUMMYFUNCTION("""COMPUTED_VALUE"""),"Spring Boot")</f>
        <v>Spring Boot</v>
      </c>
      <c r="G33">
        <f>IFERROR(__xludf.DUMMYFUNCTION("""COMPUTED_VALUE"""),2.2857774E7)</f>
        <v>22857774</v>
      </c>
      <c r="H33" t="str">
        <f>IFERROR(__xludf.DUMMYFUNCTION("""COMPUTED_VALUE"""),"Christian Trutz")</f>
        <v>Christian Trutz</v>
      </c>
      <c r="I33" t="str">
        <f>IFERROR(__xludf.DUMMYFUNCTION("""COMPUTED_VALUE"""),"Low Rating")</f>
        <v>Low Rating</v>
      </c>
      <c r="J33" t="b">
        <f>IFERROR(__xludf.DUMMYFUNCTION("""COMPUTED_VALUE"""),FALSE)</f>
        <v>0</v>
      </c>
      <c r="K33" s="142" t="str">
        <f>IFERROR(__xludf.DUMMYFUNCTION("""COMPUTED_VALUE"""),"Development")</f>
        <v>Development</v>
      </c>
      <c r="L33" s="142" t="str">
        <f>IFERROR(__xludf.DUMMYFUNCTION("""COMPUTED_VALUE"""),"Web Development")</f>
        <v>Web Development</v>
      </c>
      <c r="N33" s="140" t="str">
        <f>IFERROR(__xludf.DUMMYFUNCTION("""COMPUTED_VALUE"""),"")</f>
        <v/>
      </c>
      <c r="P33" s="140" t="str">
        <f>IFERROR(__xludf.DUMMYFUNCTION("""COMPUTED_VALUE"""),"")</f>
        <v/>
      </c>
    </row>
    <row r="34">
      <c r="A34" s="143">
        <f>IFERROR(__xludf.DUMMYFUNCTION("""COMPUTED_VALUE"""),44623.0)</f>
        <v>44623</v>
      </c>
      <c r="B34" s="143">
        <f>IFERROR(__xludf.DUMMYFUNCTION("""COMPUTED_VALUE"""),44834.0)</f>
        <v>44834</v>
      </c>
      <c r="C34" s="140" t="str">
        <f>IFERROR(__xludf.DUMMYFUNCTION("""COMPUTED_VALUE"""),"pt")</f>
        <v>pt</v>
      </c>
      <c r="D34">
        <f>IFERROR(__xludf.DUMMYFUNCTION("""COMPUTED_VALUE"""),1787628.0)</f>
        <v>1787628</v>
      </c>
      <c r="E34" t="str">
        <f>IFERROR(__xludf.DUMMYFUNCTION("""COMPUTED_VALUE"""),"Testes unitários em Java com JUnit e Mockito")</f>
        <v>Testes unitários em Java com JUnit e Mockito</v>
      </c>
      <c r="F34" t="str">
        <f>IFERROR(__xludf.DUMMYFUNCTION("""COMPUTED_VALUE"""),"Unit tests in Java with Junit and Mockito")</f>
        <v>Unit tests in Java with Junit and Mockito</v>
      </c>
      <c r="G34">
        <f>IFERROR(__xludf.DUMMYFUNCTION("""COMPUTED_VALUE"""),1269060.0)</f>
        <v>1269060</v>
      </c>
      <c r="H34" t="str">
        <f>IFERROR(__xludf.DUMMYFUNCTION("""COMPUTED_VALUE"""),"Leonardo Baraúna")</f>
        <v>Leonardo Baraúna</v>
      </c>
      <c r="I34" t="str">
        <f>IFERROR(__xludf.DUMMYFUNCTION("""COMPUTED_VALUE"""),"Low Rating")</f>
        <v>Low Rating</v>
      </c>
      <c r="J34" t="b">
        <f>IFERROR(__xludf.DUMMYFUNCTION("""COMPUTED_VALUE"""),FALSE)</f>
        <v>0</v>
      </c>
      <c r="K34" s="142" t="str">
        <f>IFERROR(__xludf.DUMMYFUNCTION("""COMPUTED_VALUE"""),"Development")</f>
        <v>Development</v>
      </c>
      <c r="L34" s="142" t="str">
        <f>IFERROR(__xludf.DUMMYFUNCTION("""COMPUTED_VALUE"""),"Software Testing")</f>
        <v>Software Testing</v>
      </c>
      <c r="N34" s="140" t="str">
        <f>IFERROR(__xludf.DUMMYFUNCTION("""COMPUTED_VALUE"""),"")</f>
        <v/>
      </c>
      <c r="P34" s="140" t="str">
        <f>IFERROR(__xludf.DUMMYFUNCTION("""COMPUTED_VALUE"""),"")</f>
        <v/>
      </c>
    </row>
    <row r="35">
      <c r="A35" s="143">
        <f>IFERROR(__xludf.DUMMYFUNCTION("""COMPUTED_VALUE"""),44623.0)</f>
        <v>44623</v>
      </c>
      <c r="B35" s="143">
        <f>IFERROR(__xludf.DUMMYFUNCTION("""COMPUTED_VALUE"""),44834.0)</f>
        <v>44834</v>
      </c>
      <c r="C35" s="140" t="str">
        <f>IFERROR(__xludf.DUMMYFUNCTION("""COMPUTED_VALUE"""),"en")</f>
        <v>en</v>
      </c>
      <c r="D35">
        <f>IFERROR(__xludf.DUMMYFUNCTION("""COMPUTED_VALUE"""),1843232.0)</f>
        <v>1843232</v>
      </c>
      <c r="E35" t="str">
        <f>IFERROR(__xludf.DUMMYFUNCTION("""COMPUTED_VALUE"""),"Learn Business English (Professional Language)")</f>
        <v>Learn Business English (Professional Language)</v>
      </c>
      <c r="F35" t="str">
        <f>IFERROR(__xludf.DUMMYFUNCTION("""COMPUTED_VALUE"""),"Learn Business English (Professional Language)")</f>
        <v>Learn Business English (Professional Language)</v>
      </c>
      <c r="G35">
        <f>IFERROR(__xludf.DUMMYFUNCTION("""COMPUTED_VALUE"""),4.8684078E7)</f>
        <v>48684078</v>
      </c>
      <c r="H35" t="str">
        <f>IFERROR(__xludf.DUMMYFUNCTION("""COMPUTED_VALUE"""),"Gabriel Wallace")</f>
        <v>Gabriel Wallace</v>
      </c>
      <c r="I35" t="str">
        <f>IFERROR(__xludf.DUMMYFUNCTION("""COMPUTED_VALUE"""),"Low Rating")</f>
        <v>Low Rating</v>
      </c>
      <c r="J35" t="b">
        <f>IFERROR(__xludf.DUMMYFUNCTION("""COMPUTED_VALUE"""),FALSE)</f>
        <v>0</v>
      </c>
      <c r="K35" s="142" t="str">
        <f>IFERROR(__xludf.DUMMYFUNCTION("""COMPUTED_VALUE"""),"Personal Development")</f>
        <v>Personal Development</v>
      </c>
      <c r="L35" s="142" t="str">
        <f>IFERROR(__xludf.DUMMYFUNCTION("""COMPUTED_VALUE"""),"Language Learning")</f>
        <v>Language Learning</v>
      </c>
      <c r="N35" s="140" t="str">
        <f>IFERROR(__xludf.DUMMYFUNCTION("""COMPUTED_VALUE"""),"")</f>
        <v/>
      </c>
      <c r="P35" s="140" t="str">
        <f>IFERROR(__xludf.DUMMYFUNCTION("""COMPUTED_VALUE"""),"")</f>
        <v/>
      </c>
    </row>
    <row r="36">
      <c r="A36" s="143">
        <f>IFERROR(__xludf.DUMMYFUNCTION("""COMPUTED_VALUE"""),44623.0)</f>
        <v>44623</v>
      </c>
      <c r="B36" s="143">
        <f>IFERROR(__xludf.DUMMYFUNCTION("""COMPUTED_VALUE"""),44834.0)</f>
        <v>44834</v>
      </c>
      <c r="C36" s="140" t="str">
        <f>IFERROR(__xludf.DUMMYFUNCTION("""COMPUTED_VALUE"""),"de")</f>
        <v>de</v>
      </c>
      <c r="D36">
        <f>IFERROR(__xludf.DUMMYFUNCTION("""COMPUTED_VALUE"""),1870598.0)</f>
        <v>1870598</v>
      </c>
      <c r="E36" t="str">
        <f>IFERROR(__xludf.DUMMYFUNCTION("""COMPUTED_VALUE"""),"Daytrading: An der Börse Geld verdienen für Einsteiger")</f>
        <v>Daytrading: An der Börse Geld verdienen für Einsteiger</v>
      </c>
      <c r="F36" t="str">
        <f>IFERROR(__xludf.DUMMYFUNCTION("""COMPUTED_VALUE"""),"Daytrading: Earn money on the stock market for beginners")</f>
        <v>Daytrading: Earn money on the stock market for beginners</v>
      </c>
      <c r="G36">
        <f>IFERROR(__xludf.DUMMYFUNCTION("""COMPUTED_VALUE"""),4.4165178E7)</f>
        <v>44165178</v>
      </c>
      <c r="H36" t="str">
        <f>IFERROR(__xludf.DUMMYFUNCTION("""COMPUTED_VALUE"""),"Thomas Dahlmann")</f>
        <v>Thomas Dahlmann</v>
      </c>
      <c r="I36" t="str">
        <f>IFERROR(__xludf.DUMMYFUNCTION("""COMPUTED_VALUE"""),"Low Rating")</f>
        <v>Low Rating</v>
      </c>
      <c r="J36" t="b">
        <f>IFERROR(__xludf.DUMMYFUNCTION("""COMPUTED_VALUE"""),FALSE)</f>
        <v>0</v>
      </c>
      <c r="K36" s="142" t="str">
        <f>IFERROR(__xludf.DUMMYFUNCTION("""COMPUTED_VALUE"""),"Finance &amp; Accounting")</f>
        <v>Finance &amp; Accounting</v>
      </c>
      <c r="L36" s="142" t="str">
        <f>IFERROR(__xludf.DUMMYFUNCTION("""COMPUTED_VALUE"""),"Finance Fundamentals")</f>
        <v>Finance Fundamentals</v>
      </c>
      <c r="N36" s="140" t="str">
        <f>IFERROR(__xludf.DUMMYFUNCTION("""COMPUTED_VALUE"""),"")</f>
        <v/>
      </c>
      <c r="P36" s="140" t="str">
        <f>IFERROR(__xludf.DUMMYFUNCTION("""COMPUTED_VALUE"""),"")</f>
        <v/>
      </c>
    </row>
    <row r="37">
      <c r="A37" s="143">
        <f>IFERROR(__xludf.DUMMYFUNCTION("""COMPUTED_VALUE"""),44623.0)</f>
        <v>44623</v>
      </c>
      <c r="B37" s="143">
        <f>IFERROR(__xludf.DUMMYFUNCTION("""COMPUTED_VALUE"""),44834.0)</f>
        <v>44834</v>
      </c>
      <c r="C37" s="140" t="str">
        <f>IFERROR(__xludf.DUMMYFUNCTION("""COMPUTED_VALUE"""),"es")</f>
        <v>es</v>
      </c>
      <c r="D37">
        <f>IFERROR(__xludf.DUMMYFUNCTION("""COMPUTED_VALUE"""),1895790.0)</f>
        <v>1895790</v>
      </c>
      <c r="E37" t="str">
        <f>IFERROR(__xludf.DUMMYFUNCTION("""COMPUTED_VALUE"""),"[2021] Gestión de proyectos - Proyectos pequeños")</f>
        <v>[2021] Gestión de proyectos - Proyectos pequeños</v>
      </c>
      <c r="F37" t="str">
        <f>IFERROR(__xludf.DUMMYFUNCTION("""COMPUTED_VALUE"""),"[2021] Project management - Small projects")</f>
        <v>[2021] Project management - Small projects</v>
      </c>
      <c r="G37">
        <f>IFERROR(__xludf.DUMMYFUNCTION("""COMPUTED_VALUE"""),9448502.0)</f>
        <v>9448502</v>
      </c>
      <c r="H37" t="str">
        <f>IFERROR(__xludf.DUMMYFUNCTION("""COMPUTED_VALUE"""),"Darwin Campoverde")</f>
        <v>Darwin Campoverde</v>
      </c>
      <c r="I37" t="str">
        <f>IFERROR(__xludf.DUMMYFUNCTION("""COMPUTED_VALUE"""),"Low Rating")</f>
        <v>Low Rating</v>
      </c>
      <c r="J37" t="b">
        <f>IFERROR(__xludf.DUMMYFUNCTION("""COMPUTED_VALUE"""),FALSE)</f>
        <v>0</v>
      </c>
      <c r="K37" s="142" t="str">
        <f>IFERROR(__xludf.DUMMYFUNCTION("""COMPUTED_VALUE"""),"Project Management &amp; Operations")</f>
        <v>Project Management &amp; Operations</v>
      </c>
      <c r="L37" s="142" t="str">
        <f>IFERROR(__xludf.DUMMYFUNCTION("""COMPUTED_VALUE"""),"Project Management Certifications")</f>
        <v>Project Management Certifications</v>
      </c>
      <c r="N37" s="140" t="str">
        <f>IFERROR(__xludf.DUMMYFUNCTION("""COMPUTED_VALUE"""),"")</f>
        <v/>
      </c>
      <c r="P37" s="140" t="str">
        <f>IFERROR(__xludf.DUMMYFUNCTION("""COMPUTED_VALUE"""),"")</f>
        <v/>
      </c>
    </row>
    <row r="38">
      <c r="A38" s="143">
        <f>IFERROR(__xludf.DUMMYFUNCTION("""COMPUTED_VALUE"""),44623.0)</f>
        <v>44623</v>
      </c>
      <c r="B38" s="143">
        <f>IFERROR(__xludf.DUMMYFUNCTION("""COMPUTED_VALUE"""),44834.0)</f>
        <v>44834</v>
      </c>
      <c r="C38" s="140" t="str">
        <f>IFERROR(__xludf.DUMMYFUNCTION("""COMPUTED_VALUE"""),"en")</f>
        <v>en</v>
      </c>
      <c r="D38">
        <f>IFERROR(__xludf.DUMMYFUNCTION("""COMPUTED_VALUE"""),1906034.0)</f>
        <v>1906034</v>
      </c>
      <c r="E38" t="str">
        <f>IFERROR(__xludf.DUMMYFUNCTION("""COMPUTED_VALUE"""),"Introduction to Unreal Engine 4 Ability System - UE4")</f>
        <v>Introduction to Unreal Engine 4 Ability System - UE4</v>
      </c>
      <c r="F38" t="str">
        <f>IFERROR(__xludf.DUMMYFUNCTION("""COMPUTED_VALUE"""),"Introduction to Unreal Engine 4 Ability System - UE4")</f>
        <v>Introduction to Unreal Engine 4 Ability System - UE4</v>
      </c>
      <c r="G38">
        <f>IFERROR(__xludf.DUMMYFUNCTION("""COMPUTED_VALUE"""),1.4735562E7)</f>
        <v>14735562</v>
      </c>
      <c r="H38" t="str">
        <f>IFERROR(__xludf.DUMMYFUNCTION("""COMPUTED_VALUE"""),"Ambience Lee")</f>
        <v>Ambience Lee</v>
      </c>
      <c r="I38" t="str">
        <f>IFERROR(__xludf.DUMMYFUNCTION("""COMPUTED_VALUE"""),"Low Rating")</f>
        <v>Low Rating</v>
      </c>
      <c r="J38" t="b">
        <f>IFERROR(__xludf.DUMMYFUNCTION("""COMPUTED_VALUE"""),FALSE)</f>
        <v>0</v>
      </c>
      <c r="K38" s="142" t="str">
        <f>IFERROR(__xludf.DUMMYFUNCTION("""COMPUTED_VALUE"""),"Design")</f>
        <v>Design</v>
      </c>
      <c r="L38" s="142" t="str">
        <f>IFERROR(__xludf.DUMMYFUNCTION("""COMPUTED_VALUE"""),"Game Design")</f>
        <v>Game Design</v>
      </c>
      <c r="N38" s="140" t="str">
        <f>IFERROR(__xludf.DUMMYFUNCTION("""COMPUTED_VALUE"""),"")</f>
        <v/>
      </c>
      <c r="P38" s="140" t="str">
        <f>IFERROR(__xludf.DUMMYFUNCTION("""COMPUTED_VALUE"""),"")</f>
        <v/>
      </c>
    </row>
    <row r="39">
      <c r="A39" s="143">
        <f>IFERROR(__xludf.DUMMYFUNCTION("""COMPUTED_VALUE"""),44623.0)</f>
        <v>44623</v>
      </c>
      <c r="B39" s="143">
        <f>IFERROR(__xludf.DUMMYFUNCTION("""COMPUTED_VALUE"""),44834.0)</f>
        <v>44834</v>
      </c>
      <c r="C39" s="140" t="str">
        <f>IFERROR(__xludf.DUMMYFUNCTION("""COMPUTED_VALUE"""),"en")</f>
        <v>en</v>
      </c>
      <c r="D39">
        <f>IFERROR(__xludf.DUMMYFUNCTION("""COMPUTED_VALUE"""),1941642.0)</f>
        <v>1941642</v>
      </c>
      <c r="E39" t="str">
        <f>IFERROR(__xludf.DUMMYFUNCTION("""COMPUTED_VALUE"""),"Oracle DB Tuning &amp; Troubleshooting - Interpret an AWR Report")</f>
        <v>Oracle DB Tuning &amp; Troubleshooting - Interpret an AWR Report</v>
      </c>
      <c r="F39" t="str">
        <f>IFERROR(__xludf.DUMMYFUNCTION("""COMPUTED_VALUE"""),"Oracle DB Tuning &amp; Troubleshooting - Interpret an AWR Report")</f>
        <v>Oracle DB Tuning &amp; Troubleshooting - Interpret an AWR Report</v>
      </c>
      <c r="G39">
        <f>IFERROR(__xludf.DUMMYFUNCTION("""COMPUTED_VALUE"""),2.1291036E7)</f>
        <v>21291036</v>
      </c>
      <c r="H39" t="str">
        <f>IFERROR(__xludf.DUMMYFUNCTION("""COMPUTED_VALUE"""),"TISYA Software Solutions Private Limited")</f>
        <v>TISYA Software Solutions Private Limited</v>
      </c>
      <c r="I39" t="str">
        <f>IFERROR(__xludf.DUMMYFUNCTION("""COMPUTED_VALUE"""),"Low Rating")</f>
        <v>Low Rating</v>
      </c>
      <c r="J39" t="b">
        <f>IFERROR(__xludf.DUMMYFUNCTION("""COMPUTED_VALUE"""),FALSE)</f>
        <v>0</v>
      </c>
      <c r="K39" s="142" t="str">
        <f>IFERROR(__xludf.DUMMYFUNCTION("""COMPUTED_VALUE"""),"Development")</f>
        <v>Development</v>
      </c>
      <c r="L39" s="142" t="str">
        <f>IFERROR(__xludf.DUMMYFUNCTION("""COMPUTED_VALUE"""),"Database Design &amp; Development")</f>
        <v>Database Design &amp; Development</v>
      </c>
      <c r="N39" s="140" t="str">
        <f>IFERROR(__xludf.DUMMYFUNCTION("""COMPUTED_VALUE"""),"")</f>
        <v/>
      </c>
      <c r="P39" s="140" t="str">
        <f>IFERROR(__xludf.DUMMYFUNCTION("""COMPUTED_VALUE"""),"")</f>
        <v/>
      </c>
    </row>
    <row r="40">
      <c r="A40" s="143">
        <f>IFERROR(__xludf.DUMMYFUNCTION("""COMPUTED_VALUE"""),44623.0)</f>
        <v>44623</v>
      </c>
      <c r="B40" s="143">
        <f>IFERROR(__xludf.DUMMYFUNCTION("""COMPUTED_VALUE"""),44834.0)</f>
        <v>44834</v>
      </c>
      <c r="C40" s="140" t="str">
        <f>IFERROR(__xludf.DUMMYFUNCTION("""COMPUTED_VALUE"""),"pt")</f>
        <v>pt</v>
      </c>
      <c r="D40">
        <f>IFERROR(__xludf.DUMMYFUNCTION("""COMPUTED_VALUE"""),1995796.0)</f>
        <v>1995796</v>
      </c>
      <c r="E40" t="str">
        <f>IFERROR(__xludf.DUMMYFUNCTION("""COMPUTED_VALUE"""),"Google G suite - do Usuário ao Administrador")</f>
        <v>Google G suite - do Usuário ao Administrador</v>
      </c>
      <c r="F40" t="str">
        <f>IFERROR(__xludf.DUMMYFUNCTION("""COMPUTED_VALUE"""),"Google G Suite - User to Administrator")</f>
        <v>Google G Suite - User to Administrator</v>
      </c>
      <c r="G40">
        <f>IFERROR(__xludf.DUMMYFUNCTION("""COMPUTED_VALUE"""),3.752486E7)</f>
        <v>37524860</v>
      </c>
      <c r="H40" t="str">
        <f>IFERROR(__xludf.DUMMYFUNCTION("""COMPUTED_VALUE"""),"Rodrigo Augusto Martins")</f>
        <v>Rodrigo Augusto Martins</v>
      </c>
      <c r="I40" t="str">
        <f>IFERROR(__xludf.DUMMYFUNCTION("""COMPUTED_VALUE"""),"Low Rating")</f>
        <v>Low Rating</v>
      </c>
      <c r="J40" t="b">
        <f>IFERROR(__xludf.DUMMYFUNCTION("""COMPUTED_VALUE"""),FALSE)</f>
        <v>0</v>
      </c>
      <c r="K40" s="142" t="str">
        <f>IFERROR(__xludf.DUMMYFUNCTION("""COMPUTED_VALUE"""),"Office Productivity")</f>
        <v>Office Productivity</v>
      </c>
      <c r="L40" s="142" t="str">
        <f>IFERROR(__xludf.DUMMYFUNCTION("""COMPUTED_VALUE"""),"Collaboration")</f>
        <v>Collaboration</v>
      </c>
      <c r="N40" s="140" t="str">
        <f>IFERROR(__xludf.DUMMYFUNCTION("""COMPUTED_VALUE"""),"")</f>
        <v/>
      </c>
      <c r="P40" s="140" t="str">
        <f>IFERROR(__xludf.DUMMYFUNCTION("""COMPUTED_VALUE"""),"")</f>
        <v/>
      </c>
    </row>
    <row r="41">
      <c r="A41" s="143">
        <f>IFERROR(__xludf.DUMMYFUNCTION("""COMPUTED_VALUE"""),44623.0)</f>
        <v>44623</v>
      </c>
      <c r="B41" s="143">
        <f>IFERROR(__xludf.DUMMYFUNCTION("""COMPUTED_VALUE"""),44834.0)</f>
        <v>44834</v>
      </c>
      <c r="C41" s="140" t="str">
        <f>IFERROR(__xludf.DUMMYFUNCTION("""COMPUTED_VALUE"""),"en")</f>
        <v>en</v>
      </c>
      <c r="D41">
        <f>IFERROR(__xludf.DUMMYFUNCTION("""COMPUTED_VALUE"""),2006624.0)</f>
        <v>2006624</v>
      </c>
      <c r="E41" t="str">
        <f>IFERROR(__xludf.DUMMYFUNCTION("""COMPUTED_VALUE"""),"Create a Battle Royale game using Unreal Engine 4 Blueprints")</f>
        <v>Create a Battle Royale game using Unreal Engine 4 Blueprints</v>
      </c>
      <c r="F41" t="str">
        <f>IFERROR(__xludf.DUMMYFUNCTION("""COMPUTED_VALUE"""),"Create a Battle Royale game using Unreal Engine 4 Blueprints")</f>
        <v>Create a Battle Royale game using Unreal Engine 4 Blueprints</v>
      </c>
      <c r="G41">
        <f>IFERROR(__xludf.DUMMYFUNCTION("""COMPUTED_VALUE"""),2.045522E7)</f>
        <v>20455220</v>
      </c>
      <c r="H41" t="str">
        <f>IFERROR(__xludf.DUMMYFUNCTION("""COMPUTED_VALUE"""),"Reuben Ward")</f>
        <v>Reuben Ward</v>
      </c>
      <c r="I41" t="str">
        <f>IFERROR(__xludf.DUMMYFUNCTION("""COMPUTED_VALUE"""),"Low Rating")</f>
        <v>Low Rating</v>
      </c>
      <c r="J41" t="b">
        <f>IFERROR(__xludf.DUMMYFUNCTION("""COMPUTED_VALUE"""),FALSE)</f>
        <v>0</v>
      </c>
      <c r="K41" s="142" t="str">
        <f>IFERROR(__xludf.DUMMYFUNCTION("""COMPUTED_VALUE"""),"Development")</f>
        <v>Development</v>
      </c>
      <c r="L41" s="142" t="str">
        <f>IFERROR(__xludf.DUMMYFUNCTION("""COMPUTED_VALUE"""),"Game Development")</f>
        <v>Game Development</v>
      </c>
      <c r="N41" s="140" t="str">
        <f>IFERROR(__xludf.DUMMYFUNCTION("""COMPUTED_VALUE"""),"")</f>
        <v/>
      </c>
      <c r="P41" s="140" t="str">
        <f>IFERROR(__xludf.DUMMYFUNCTION("""COMPUTED_VALUE"""),"")</f>
        <v/>
      </c>
    </row>
    <row r="42">
      <c r="A42" s="143">
        <f>IFERROR(__xludf.DUMMYFUNCTION("""COMPUTED_VALUE"""),44623.0)</f>
        <v>44623</v>
      </c>
      <c r="B42" s="143">
        <f>IFERROR(__xludf.DUMMYFUNCTION("""COMPUTED_VALUE"""),44834.0)</f>
        <v>44834</v>
      </c>
      <c r="C42" s="140" t="str">
        <f>IFERROR(__xludf.DUMMYFUNCTION("""COMPUTED_VALUE"""),"en")</f>
        <v>en</v>
      </c>
      <c r="D42">
        <f>IFERROR(__xludf.DUMMYFUNCTION("""COMPUTED_VALUE"""),2099870.0)</f>
        <v>2099870</v>
      </c>
      <c r="E42" t="str">
        <f>IFERROR(__xludf.DUMMYFUNCTION("""COMPUTED_VALUE"""),"Liferay for Beginners Create Your Website Without Coding")</f>
        <v>Liferay for Beginners Create Your Website Without Coding</v>
      </c>
      <c r="F42" t="str">
        <f>IFERROR(__xludf.DUMMYFUNCTION("""COMPUTED_VALUE"""),"Liferay for Beginners Create Your Website Without Coding")</f>
        <v>Liferay for Beginners Create Your Website Without Coding</v>
      </c>
      <c r="G42">
        <f>IFERROR(__xludf.DUMMYFUNCTION("""COMPUTED_VALUE"""),5.0715702E7)</f>
        <v>50715702</v>
      </c>
      <c r="H42" t="str">
        <f>IFERROR(__xludf.DUMMYFUNCTION("""COMPUTED_VALUE"""),"Vikas Kumar Jha")</f>
        <v>Vikas Kumar Jha</v>
      </c>
      <c r="I42" t="str">
        <f>IFERROR(__xludf.DUMMYFUNCTION("""COMPUTED_VALUE"""),"Low Rating")</f>
        <v>Low Rating</v>
      </c>
      <c r="J42" t="b">
        <f>IFERROR(__xludf.DUMMYFUNCTION("""COMPUTED_VALUE"""),FALSE)</f>
        <v>0</v>
      </c>
      <c r="K42" s="142" t="str">
        <f>IFERROR(__xludf.DUMMYFUNCTION("""COMPUTED_VALUE"""),"Development")</f>
        <v>Development</v>
      </c>
      <c r="L42" s="142" t="str">
        <f>IFERROR(__xludf.DUMMYFUNCTION("""COMPUTED_VALUE"""),"Web Development")</f>
        <v>Web Development</v>
      </c>
      <c r="N42" s="140" t="str">
        <f>IFERROR(__xludf.DUMMYFUNCTION("""COMPUTED_VALUE"""),"")</f>
        <v/>
      </c>
      <c r="P42" s="140" t="str">
        <f>IFERROR(__xludf.DUMMYFUNCTION("""COMPUTED_VALUE"""),"")</f>
        <v/>
      </c>
    </row>
    <row r="43">
      <c r="A43" s="143">
        <f>IFERROR(__xludf.DUMMYFUNCTION("""COMPUTED_VALUE"""),44623.0)</f>
        <v>44623</v>
      </c>
      <c r="B43" s="143">
        <f>IFERROR(__xludf.DUMMYFUNCTION("""COMPUTED_VALUE"""),44834.0)</f>
        <v>44834</v>
      </c>
      <c r="C43" s="140" t="str">
        <f>IFERROR(__xludf.DUMMYFUNCTION("""COMPUTED_VALUE"""),"es")</f>
        <v>es</v>
      </c>
      <c r="D43">
        <f>IFERROR(__xludf.DUMMYFUNCTION("""COMPUTED_VALUE"""),2128114.0)</f>
        <v>2128114</v>
      </c>
      <c r="E43" t="str">
        <f>IFERROR(__xludf.DUMMYFUNCTION("""COMPUTED_VALUE"""),"Curso de Finanzas Personales")</f>
        <v>Curso de Finanzas Personales</v>
      </c>
      <c r="F43" t="str">
        <f>IFERROR(__xludf.DUMMYFUNCTION("""COMPUTED_VALUE"""),"Personal finance course")</f>
        <v>Personal finance course</v>
      </c>
      <c r="G43">
        <f>IFERROR(__xludf.DUMMYFUNCTION("""COMPUTED_VALUE"""),1.671972E7)</f>
        <v>16719720</v>
      </c>
      <c r="H43" t="str">
        <f>IFERROR(__xludf.DUMMYFUNCTION("""COMPUTED_VALUE"""),"Fabián Razo")</f>
        <v>Fabián Razo</v>
      </c>
      <c r="I43" t="str">
        <f>IFERROR(__xludf.DUMMYFUNCTION("""COMPUTED_VALUE"""),"Low Rating")</f>
        <v>Low Rating</v>
      </c>
      <c r="J43" t="b">
        <f>IFERROR(__xludf.DUMMYFUNCTION("""COMPUTED_VALUE"""),FALSE)</f>
        <v>0</v>
      </c>
      <c r="K43" s="142" t="str">
        <f>IFERROR(__xludf.DUMMYFUNCTION("""COMPUTED_VALUE"""),"Personal Development")</f>
        <v>Personal Development</v>
      </c>
      <c r="L43" s="142" t="str">
        <f>IFERROR(__xludf.DUMMYFUNCTION("""COMPUTED_VALUE"""),"Personal Growth")</f>
        <v>Personal Growth</v>
      </c>
      <c r="N43" s="140" t="str">
        <f>IFERROR(__xludf.DUMMYFUNCTION("""COMPUTED_VALUE"""),"")</f>
        <v/>
      </c>
      <c r="P43" s="140" t="str">
        <f>IFERROR(__xludf.DUMMYFUNCTION("""COMPUTED_VALUE"""),"")</f>
        <v/>
      </c>
    </row>
    <row r="44">
      <c r="A44" s="143">
        <f>IFERROR(__xludf.DUMMYFUNCTION("""COMPUTED_VALUE"""),44623.0)</f>
        <v>44623</v>
      </c>
      <c r="B44" s="143">
        <f>IFERROR(__xludf.DUMMYFUNCTION("""COMPUTED_VALUE"""),44834.0)</f>
        <v>44834</v>
      </c>
      <c r="C44" s="140" t="str">
        <f>IFERROR(__xludf.DUMMYFUNCTION("""COMPUTED_VALUE"""),"es")</f>
        <v>es</v>
      </c>
      <c r="D44">
        <f>IFERROR(__xludf.DUMMYFUNCTION("""COMPUTED_VALUE"""),2165162.0)</f>
        <v>2165162</v>
      </c>
      <c r="E44" t="str">
        <f>IFERROR(__xludf.DUMMYFUNCTION("""COMPUTED_VALUE"""),"Service Desk Practica - Complemento para ITIL")</f>
        <v>Service Desk Practica - Complemento para ITIL</v>
      </c>
      <c r="F44" t="str">
        <f>IFERROR(__xludf.DUMMYFUNCTION("""COMPUTED_VALUE"""),"Service Desk Practice - Complement for ITIL")</f>
        <v>Service Desk Practice - Complement for ITIL</v>
      </c>
      <c r="G44">
        <f>IFERROR(__xludf.DUMMYFUNCTION("""COMPUTED_VALUE"""),2.3622934E7)</f>
        <v>23622934</v>
      </c>
      <c r="H44" t="str">
        <f>IFERROR(__xludf.DUMMYFUNCTION("""COMPUTED_VALUE"""),"Ismael Ramirez")</f>
        <v>Ismael Ramirez</v>
      </c>
      <c r="I44" t="str">
        <f>IFERROR(__xludf.DUMMYFUNCTION("""COMPUTED_VALUE"""),"Low Rating")</f>
        <v>Low Rating</v>
      </c>
      <c r="J44" t="b">
        <f>IFERROR(__xludf.DUMMYFUNCTION("""COMPUTED_VALUE"""),FALSE)</f>
        <v>0</v>
      </c>
      <c r="K44" s="142" t="str">
        <f>IFERROR(__xludf.DUMMYFUNCTION("""COMPUTED_VALUE"""),"IT Operations")</f>
        <v>IT Operations</v>
      </c>
      <c r="L44" s="142" t="str">
        <f>IFERROR(__xludf.DUMMYFUNCTION("""COMPUTED_VALUE"""),"IT Certifications")</f>
        <v>IT Certifications</v>
      </c>
      <c r="N44" s="140" t="str">
        <f>IFERROR(__xludf.DUMMYFUNCTION("""COMPUTED_VALUE"""),"")</f>
        <v/>
      </c>
      <c r="P44" s="140" t="str">
        <f>IFERROR(__xludf.DUMMYFUNCTION("""COMPUTED_VALUE"""),"")</f>
        <v/>
      </c>
    </row>
    <row r="45">
      <c r="A45" s="143">
        <f>IFERROR(__xludf.DUMMYFUNCTION("""COMPUTED_VALUE"""),44623.0)</f>
        <v>44623</v>
      </c>
      <c r="B45" s="143">
        <f>IFERROR(__xludf.DUMMYFUNCTION("""COMPUTED_VALUE"""),44834.0)</f>
        <v>44834</v>
      </c>
      <c r="C45" s="140" t="str">
        <f>IFERROR(__xludf.DUMMYFUNCTION("""COMPUTED_VALUE"""),"en")</f>
        <v>en</v>
      </c>
      <c r="D45">
        <f>IFERROR(__xludf.DUMMYFUNCTION("""COMPUTED_VALUE"""),2317328.0)</f>
        <v>2317328</v>
      </c>
      <c r="E45" t="str">
        <f>IFERROR(__xludf.DUMMYFUNCTION("""COMPUTED_VALUE"""),"Augmented Reality in Depth 101")</f>
        <v>Augmented Reality in Depth 101</v>
      </c>
      <c r="F45" t="str">
        <f>IFERROR(__xludf.DUMMYFUNCTION("""COMPUTED_VALUE"""),"Augmented Reality in Depth 101")</f>
        <v>Augmented Reality in Depth 101</v>
      </c>
      <c r="G45">
        <f>IFERROR(__xludf.DUMMYFUNCTION("""COMPUTED_VALUE"""),3.353668E7)</f>
        <v>33536680</v>
      </c>
      <c r="H45" t="str">
        <f>IFERROR(__xludf.DUMMYFUNCTION("""COMPUTED_VALUE"""),"Debayan Dey")</f>
        <v>Debayan Dey</v>
      </c>
      <c r="I45" t="str">
        <f>IFERROR(__xludf.DUMMYFUNCTION("""COMPUTED_VALUE"""),"Low Rating")</f>
        <v>Low Rating</v>
      </c>
      <c r="J45" t="b">
        <f>IFERROR(__xludf.DUMMYFUNCTION("""COMPUTED_VALUE"""),FALSE)</f>
        <v>0</v>
      </c>
      <c r="K45" s="142" t="str">
        <f>IFERROR(__xludf.DUMMYFUNCTION("""COMPUTED_VALUE"""),"Development")</f>
        <v>Development</v>
      </c>
      <c r="L45" s="142" t="str">
        <f>IFERROR(__xludf.DUMMYFUNCTION("""COMPUTED_VALUE"""),"Mobile Development")</f>
        <v>Mobile Development</v>
      </c>
      <c r="N45" s="140" t="str">
        <f>IFERROR(__xludf.DUMMYFUNCTION("""COMPUTED_VALUE"""),"")</f>
        <v/>
      </c>
      <c r="P45" s="140" t="str">
        <f>IFERROR(__xludf.DUMMYFUNCTION("""COMPUTED_VALUE"""),"")</f>
        <v/>
      </c>
    </row>
    <row r="46">
      <c r="A46" s="143">
        <f>IFERROR(__xludf.DUMMYFUNCTION("""COMPUTED_VALUE"""),44623.0)</f>
        <v>44623</v>
      </c>
      <c r="B46" s="143">
        <f>IFERROR(__xludf.DUMMYFUNCTION("""COMPUTED_VALUE"""),44834.0)</f>
        <v>44834</v>
      </c>
      <c r="C46" s="140" t="str">
        <f>IFERROR(__xludf.DUMMYFUNCTION("""COMPUTED_VALUE"""),"en")</f>
        <v>en</v>
      </c>
      <c r="D46">
        <f>IFERROR(__xludf.DUMMYFUNCTION("""COMPUTED_VALUE"""),2374074.0)</f>
        <v>2374074</v>
      </c>
      <c r="E46" t="str">
        <f>IFERROR(__xludf.DUMMYFUNCTION("""COMPUTED_VALUE"""),"Clear ECBA™ exam on your First try!")</f>
        <v>Clear ECBA™ exam on your First try!</v>
      </c>
      <c r="F46" t="str">
        <f>IFERROR(__xludf.DUMMYFUNCTION("""COMPUTED_VALUE"""),"Clear ECBA™ exam on your First try!")</f>
        <v>Clear ECBA™ exam on your First try!</v>
      </c>
      <c r="G46">
        <f>IFERROR(__xludf.DUMMYFUNCTION("""COMPUTED_VALUE"""),1.5339268E7)</f>
        <v>15339268</v>
      </c>
      <c r="H46" t="str">
        <f>IFERROR(__xludf.DUMMYFUNCTION("""COMPUTED_VALUE"""),"Tohid Been Mannan, PMP®, CBAP®")</f>
        <v>Tohid Been Mannan, PMP®, CBAP®</v>
      </c>
      <c r="I46" t="str">
        <f>IFERROR(__xludf.DUMMYFUNCTION("""COMPUTED_VALUE"""),"Low Rating")</f>
        <v>Low Rating</v>
      </c>
      <c r="J46" t="b">
        <f>IFERROR(__xludf.DUMMYFUNCTION("""COMPUTED_VALUE"""),FALSE)</f>
        <v>0</v>
      </c>
      <c r="K46" s="142" t="str">
        <f>IFERROR(__xludf.DUMMYFUNCTION("""COMPUTED_VALUE"""),"Project Management &amp; Operations")</f>
        <v>Project Management &amp; Operations</v>
      </c>
      <c r="L46" s="142" t="str">
        <f>IFERROR(__xludf.DUMMYFUNCTION("""COMPUTED_VALUE"""),"Project Management Certifications")</f>
        <v>Project Management Certifications</v>
      </c>
      <c r="N46" s="140" t="str">
        <f>IFERROR(__xludf.DUMMYFUNCTION("""COMPUTED_VALUE"""),"")</f>
        <v/>
      </c>
      <c r="P46" s="140" t="str">
        <f>IFERROR(__xludf.DUMMYFUNCTION("""COMPUTED_VALUE"""),"")</f>
        <v/>
      </c>
    </row>
    <row r="47">
      <c r="A47" s="143">
        <f>IFERROR(__xludf.DUMMYFUNCTION("""COMPUTED_VALUE"""),44623.0)</f>
        <v>44623</v>
      </c>
      <c r="B47" s="143">
        <f>IFERROR(__xludf.DUMMYFUNCTION("""COMPUTED_VALUE"""),44834.0)</f>
        <v>44834</v>
      </c>
      <c r="C47" s="140" t="str">
        <f>IFERROR(__xludf.DUMMYFUNCTION("""COMPUTED_VALUE"""),"en")</f>
        <v>en</v>
      </c>
      <c r="D47">
        <f>IFERROR(__xludf.DUMMYFUNCTION("""COMPUTED_VALUE"""),2434816.0)</f>
        <v>2434816</v>
      </c>
      <c r="E47" t="str">
        <f>IFERROR(__xludf.DUMMYFUNCTION("""COMPUTED_VALUE"""),"SAP Cloud for Customer (SAP C4C) - Functional Training")</f>
        <v>SAP Cloud for Customer (SAP C4C) - Functional Training</v>
      </c>
      <c r="F47" t="str">
        <f>IFERROR(__xludf.DUMMYFUNCTION("""COMPUTED_VALUE"""),"SAP Cloud for Customer (SAP C4C) - Functional Training")</f>
        <v>SAP Cloud for Customer (SAP C4C) - Functional Training</v>
      </c>
      <c r="G47">
        <f>IFERROR(__xludf.DUMMYFUNCTION("""COMPUTED_VALUE"""),7954756.0)</f>
        <v>7954756</v>
      </c>
      <c r="H47" t="str">
        <f>IFERROR(__xludf.DUMMYFUNCTION("""COMPUTED_VALUE"""),"Sahil Arora")</f>
        <v>Sahil Arora</v>
      </c>
      <c r="I47" t="str">
        <f>IFERROR(__xludf.DUMMYFUNCTION("""COMPUTED_VALUE"""),"Low Rating")</f>
        <v>Low Rating</v>
      </c>
      <c r="J47" t="b">
        <f>IFERROR(__xludf.DUMMYFUNCTION("""COMPUTED_VALUE"""),FALSE)</f>
        <v>0</v>
      </c>
      <c r="K47" s="142" t="str">
        <f>IFERROR(__xludf.DUMMYFUNCTION("""COMPUTED_VALUE"""),"IT Operations")</f>
        <v>IT Operations</v>
      </c>
      <c r="L47" s="142" t="str">
        <f>IFERROR(__xludf.DUMMYFUNCTION("""COMPUTED_VALUE"""),"IT Certifications")</f>
        <v>IT Certifications</v>
      </c>
      <c r="N47" s="140" t="str">
        <f>IFERROR(__xludf.DUMMYFUNCTION("""COMPUTED_VALUE"""),"")</f>
        <v/>
      </c>
      <c r="P47" s="140" t="str">
        <f>IFERROR(__xludf.DUMMYFUNCTION("""COMPUTED_VALUE"""),"")</f>
        <v/>
      </c>
    </row>
    <row r="48">
      <c r="A48" s="143">
        <f>IFERROR(__xludf.DUMMYFUNCTION("""COMPUTED_VALUE"""),44623.0)</f>
        <v>44623</v>
      </c>
      <c r="B48" s="143">
        <f>IFERROR(__xludf.DUMMYFUNCTION("""COMPUTED_VALUE"""),44834.0)</f>
        <v>44834</v>
      </c>
      <c r="C48" s="140" t="str">
        <f>IFERROR(__xludf.DUMMYFUNCTION("""COMPUTED_VALUE"""),"en")</f>
        <v>en</v>
      </c>
      <c r="D48">
        <f>IFERROR(__xludf.DUMMYFUNCTION("""COMPUTED_VALUE"""),2453718.0)</f>
        <v>2453718</v>
      </c>
      <c r="E48" t="str">
        <f>IFERROR(__xludf.DUMMYFUNCTION("""COMPUTED_VALUE"""),"The Complete Salesforce Advanced Administrator Certification")</f>
        <v>The Complete Salesforce Advanced Administrator Certification</v>
      </c>
      <c r="F48" t="str">
        <f>IFERROR(__xludf.DUMMYFUNCTION("""COMPUTED_VALUE"""),"The Complete Salesforce Advanced Administrator Certification")</f>
        <v>The Complete Salesforce Advanced Administrator Certification</v>
      </c>
      <c r="G48">
        <f>IFERROR(__xludf.DUMMYFUNCTION("""COMPUTED_VALUE"""),1.5987318E7)</f>
        <v>15987318</v>
      </c>
      <c r="H48" t="str">
        <f>IFERROR(__xludf.DUMMYFUNCTION("""COMPUTED_VALUE"""),"Archana Rajendran")</f>
        <v>Archana Rajendran</v>
      </c>
      <c r="I48" t="str">
        <f>IFERROR(__xludf.DUMMYFUNCTION("""COMPUTED_VALUE"""),"Low Rating")</f>
        <v>Low Rating</v>
      </c>
      <c r="J48" t="b">
        <f>IFERROR(__xludf.DUMMYFUNCTION("""COMPUTED_VALUE"""),FALSE)</f>
        <v>0</v>
      </c>
      <c r="K48" s="142" t="str">
        <f>IFERROR(__xludf.DUMMYFUNCTION("""COMPUTED_VALUE"""),"Cloud Computing")</f>
        <v>Cloud Computing</v>
      </c>
      <c r="L48" s="142" t="str">
        <f>IFERROR(__xludf.DUMMYFUNCTION("""COMPUTED_VALUE"""),"Cloud Certification")</f>
        <v>Cloud Certification</v>
      </c>
      <c r="N48" s="140" t="str">
        <f>IFERROR(__xludf.DUMMYFUNCTION("""COMPUTED_VALUE"""),"")</f>
        <v/>
      </c>
      <c r="P48" s="140" t="str">
        <f>IFERROR(__xludf.DUMMYFUNCTION("""COMPUTED_VALUE"""),"")</f>
        <v/>
      </c>
    </row>
    <row r="49">
      <c r="A49" s="143">
        <f>IFERROR(__xludf.DUMMYFUNCTION("""COMPUTED_VALUE"""),44623.0)</f>
        <v>44623</v>
      </c>
      <c r="B49" s="143">
        <f>IFERROR(__xludf.DUMMYFUNCTION("""COMPUTED_VALUE"""),44834.0)</f>
        <v>44834</v>
      </c>
      <c r="C49" s="140" t="str">
        <f>IFERROR(__xludf.DUMMYFUNCTION("""COMPUTED_VALUE"""),"en")</f>
        <v>en</v>
      </c>
      <c r="D49">
        <f>IFERROR(__xludf.DUMMYFUNCTION("""COMPUTED_VALUE"""),2508952.0)</f>
        <v>2508952</v>
      </c>
      <c r="E49" t="str">
        <f>IFERROR(__xludf.DUMMYFUNCTION("""COMPUTED_VALUE"""),"Healthcare 4.0 - Healthcare in the Industry 4.0")</f>
        <v>Healthcare 4.0 - Healthcare in the Industry 4.0</v>
      </c>
      <c r="F49" t="str">
        <f>IFERROR(__xludf.DUMMYFUNCTION("""COMPUTED_VALUE"""),"Healthcare 4.0 - Healthcare in the Industry 4.0")</f>
        <v>Healthcare 4.0 - Healthcare in the Industry 4.0</v>
      </c>
      <c r="G49">
        <f>IFERROR(__xludf.DUMMYFUNCTION("""COMPUTED_VALUE"""),4.6213646E7)</f>
        <v>46213646</v>
      </c>
      <c r="H49" t="str">
        <f>IFERROR(__xludf.DUMMYFUNCTION("""COMPUTED_VALUE"""),"CipherDev Labs™")</f>
        <v>CipherDev Labs™</v>
      </c>
      <c r="I49" t="str">
        <f>IFERROR(__xludf.DUMMYFUNCTION("""COMPUTED_VALUE"""),"Low Rating")</f>
        <v>Low Rating</v>
      </c>
      <c r="J49" t="b">
        <f>IFERROR(__xludf.DUMMYFUNCTION("""COMPUTED_VALUE"""),FALSE)</f>
        <v>0</v>
      </c>
      <c r="K49" s="142" t="str">
        <f>IFERROR(__xludf.DUMMYFUNCTION("""COMPUTED_VALUE"""),"Leadership &amp; Management")</f>
        <v>Leadership &amp; Management</v>
      </c>
      <c r="L49" s="142" t="str">
        <f>IFERROR(__xludf.DUMMYFUNCTION("""COMPUTED_VALUE"""),"Strategy")</f>
        <v>Strategy</v>
      </c>
      <c r="N49" s="140" t="str">
        <f>IFERROR(__xludf.DUMMYFUNCTION("""COMPUTED_VALUE"""),"")</f>
        <v/>
      </c>
      <c r="P49" s="140" t="str">
        <f>IFERROR(__xludf.DUMMYFUNCTION("""COMPUTED_VALUE"""),"")</f>
        <v/>
      </c>
    </row>
    <row r="50">
      <c r="A50" s="143">
        <f>IFERROR(__xludf.DUMMYFUNCTION("""COMPUTED_VALUE"""),44623.0)</f>
        <v>44623</v>
      </c>
      <c r="B50" s="143">
        <f>IFERROR(__xludf.DUMMYFUNCTION("""COMPUTED_VALUE"""),44834.0)</f>
        <v>44834</v>
      </c>
      <c r="C50" s="140" t="str">
        <f>IFERROR(__xludf.DUMMYFUNCTION("""COMPUTED_VALUE"""),"en")</f>
        <v>en</v>
      </c>
      <c r="D50">
        <f>IFERROR(__xludf.DUMMYFUNCTION("""COMPUTED_VALUE"""),2518074.0)</f>
        <v>2518074</v>
      </c>
      <c r="E50" t="str">
        <f>IFERROR(__xludf.DUMMYFUNCTION("""COMPUTED_VALUE"""),"Learn BERT - most powerful NLP algorithm by Google")</f>
        <v>Learn BERT - most powerful NLP algorithm by Google</v>
      </c>
      <c r="F50" t="str">
        <f>IFERROR(__xludf.DUMMYFUNCTION("""COMPUTED_VALUE"""),"Learn BERT - most powerful NLP algorithm by Google")</f>
        <v>Learn BERT - most powerful NLP algorithm by Google</v>
      </c>
      <c r="G50">
        <f>IFERROR(__xludf.DUMMYFUNCTION("""COMPUTED_VALUE"""),8.0002592E7)</f>
        <v>80002592</v>
      </c>
      <c r="H50" t="str">
        <f>IFERROR(__xludf.DUMMYFUNCTION("""COMPUTED_VALUE"""),"Modern NLP Advanced")</f>
        <v>Modern NLP Advanced</v>
      </c>
      <c r="I50" t="str">
        <f>IFERROR(__xludf.DUMMYFUNCTION("""COMPUTED_VALUE"""),"Low Rating")</f>
        <v>Low Rating</v>
      </c>
      <c r="J50" t="b">
        <f>IFERROR(__xludf.DUMMYFUNCTION("""COMPUTED_VALUE"""),FALSE)</f>
        <v>0</v>
      </c>
      <c r="K50" s="142" t="str">
        <f>IFERROR(__xludf.DUMMYFUNCTION("""COMPUTED_VALUE"""),"Development")</f>
        <v>Development</v>
      </c>
      <c r="L50" s="142" t="str">
        <f>IFERROR(__xludf.DUMMYFUNCTION("""COMPUTED_VALUE"""),"Development Tools")</f>
        <v>Development Tools</v>
      </c>
      <c r="N50" s="140" t="str">
        <f>IFERROR(__xludf.DUMMYFUNCTION("""COMPUTED_VALUE"""),"")</f>
        <v/>
      </c>
      <c r="P50" s="140" t="str">
        <f>IFERROR(__xludf.DUMMYFUNCTION("""COMPUTED_VALUE"""),"")</f>
        <v/>
      </c>
    </row>
    <row r="51">
      <c r="A51" s="143">
        <f>IFERROR(__xludf.DUMMYFUNCTION("""COMPUTED_VALUE"""),44623.0)</f>
        <v>44623</v>
      </c>
      <c r="B51" s="143">
        <f>IFERROR(__xludf.DUMMYFUNCTION("""COMPUTED_VALUE"""),44834.0)</f>
        <v>44834</v>
      </c>
      <c r="C51" s="140" t="str">
        <f>IFERROR(__xludf.DUMMYFUNCTION("""COMPUTED_VALUE"""),"en")</f>
        <v>en</v>
      </c>
      <c r="D51">
        <f>IFERROR(__xludf.DUMMYFUNCTION("""COMPUTED_VALUE"""),2596422.0)</f>
        <v>2596422</v>
      </c>
      <c r="E51" t="str">
        <f>IFERROR(__xludf.DUMMYFUNCTION("""COMPUTED_VALUE"""),"Expert Advisor Programming in MQL5 Part 1: Fundamentals")</f>
        <v>Expert Advisor Programming in MQL5 Part 1: Fundamentals</v>
      </c>
      <c r="F51" t="str">
        <f>IFERROR(__xludf.DUMMYFUNCTION("""COMPUTED_VALUE"""),"Expert Advisor Programming in MQL5 Part 1: Fundamentals")</f>
        <v>Expert Advisor Programming in MQL5 Part 1: Fundamentals</v>
      </c>
      <c r="G51">
        <f>IFERROR(__xludf.DUMMYFUNCTION("""COMPUTED_VALUE"""),1.630936E7)</f>
        <v>16309360</v>
      </c>
      <c r="H51" t="str">
        <f>IFERROR(__xludf.DUMMYFUNCTION("""COMPUTED_VALUE"""),"Enrico Lambino")</f>
        <v>Enrico Lambino</v>
      </c>
      <c r="I51" t="str">
        <f>IFERROR(__xludf.DUMMYFUNCTION("""COMPUTED_VALUE"""),"Low Rating")</f>
        <v>Low Rating</v>
      </c>
      <c r="J51" t="b">
        <f>IFERROR(__xludf.DUMMYFUNCTION("""COMPUTED_VALUE"""),FALSE)</f>
        <v>0</v>
      </c>
      <c r="K51" s="142" t="str">
        <f>IFERROR(__xludf.DUMMYFUNCTION("""COMPUTED_VALUE"""),"Finance &amp; Accounting")</f>
        <v>Finance &amp; Accounting</v>
      </c>
      <c r="L51" s="142" t="str">
        <f>IFERROR(__xludf.DUMMYFUNCTION("""COMPUTED_VALUE"""),"Investing &amp; Trading")</f>
        <v>Investing &amp; Trading</v>
      </c>
      <c r="N51" s="140" t="str">
        <f>IFERROR(__xludf.DUMMYFUNCTION("""COMPUTED_VALUE"""),"")</f>
        <v/>
      </c>
      <c r="P51" s="140" t="str">
        <f>IFERROR(__xludf.DUMMYFUNCTION("""COMPUTED_VALUE"""),"")</f>
        <v/>
      </c>
    </row>
    <row r="52">
      <c r="A52" s="143">
        <f>IFERROR(__xludf.DUMMYFUNCTION("""COMPUTED_VALUE"""),44623.0)</f>
        <v>44623</v>
      </c>
      <c r="B52" s="143">
        <f>IFERROR(__xludf.DUMMYFUNCTION("""COMPUTED_VALUE"""),44834.0)</f>
        <v>44834</v>
      </c>
      <c r="C52" s="140" t="str">
        <f>IFERROR(__xludf.DUMMYFUNCTION("""COMPUTED_VALUE"""),"en")</f>
        <v>en</v>
      </c>
      <c r="D52">
        <f>IFERROR(__xludf.DUMMYFUNCTION("""COMPUTED_VALUE"""),2607568.0)</f>
        <v>2607568</v>
      </c>
      <c r="E52" t="str">
        <f>IFERROR(__xludf.DUMMYFUNCTION("""COMPUTED_VALUE"""),"Introduction to Google Cloud IoT")</f>
        <v>Introduction to Google Cloud IoT</v>
      </c>
      <c r="F52" t="str">
        <f>IFERROR(__xludf.DUMMYFUNCTION("""COMPUTED_VALUE"""),"Introduction to Google Cloud IoT")</f>
        <v>Introduction to Google Cloud IoT</v>
      </c>
      <c r="G52">
        <f>IFERROR(__xludf.DUMMYFUNCTION("""COMPUTED_VALUE"""),646322.0)</f>
        <v>646322</v>
      </c>
      <c r="H52" t="str">
        <f>IFERROR(__xludf.DUMMYFUNCTION("""COMPUTED_VALUE"""),"Venkatesh Varadachari")</f>
        <v>Venkatesh Varadachari</v>
      </c>
      <c r="I52" t="str">
        <f>IFERROR(__xludf.DUMMYFUNCTION("""COMPUTED_VALUE"""),"Low Rating")</f>
        <v>Low Rating</v>
      </c>
      <c r="J52" t="b">
        <f>IFERROR(__xludf.DUMMYFUNCTION("""COMPUTED_VALUE"""),FALSE)</f>
        <v>0</v>
      </c>
      <c r="K52" s="142" t="str">
        <f>IFERROR(__xludf.DUMMYFUNCTION("""COMPUTED_VALUE"""),"Cloud Computing")</f>
        <v>Cloud Computing</v>
      </c>
      <c r="L52" s="142" t="str">
        <f>IFERROR(__xludf.DUMMYFUNCTION("""COMPUTED_VALUE"""),"Cloud Fundamentals")</f>
        <v>Cloud Fundamentals</v>
      </c>
      <c r="N52" s="140" t="str">
        <f>IFERROR(__xludf.DUMMYFUNCTION("""COMPUTED_VALUE"""),"")</f>
        <v/>
      </c>
      <c r="P52" s="140" t="str">
        <f>IFERROR(__xludf.DUMMYFUNCTION("""COMPUTED_VALUE"""),"")</f>
        <v/>
      </c>
    </row>
    <row r="53">
      <c r="A53" s="143">
        <f>IFERROR(__xludf.DUMMYFUNCTION("""COMPUTED_VALUE"""),44623.0)</f>
        <v>44623</v>
      </c>
      <c r="B53" s="143">
        <f>IFERROR(__xludf.DUMMYFUNCTION("""COMPUTED_VALUE"""),44834.0)</f>
        <v>44834</v>
      </c>
      <c r="C53" s="140" t="str">
        <f>IFERROR(__xludf.DUMMYFUNCTION("""COMPUTED_VALUE"""),"en")</f>
        <v>en</v>
      </c>
      <c r="D53">
        <f>IFERROR(__xludf.DUMMYFUNCTION("""COMPUTED_VALUE"""),2620540.0)</f>
        <v>2620540</v>
      </c>
      <c r="E53" t="str">
        <f>IFERROR(__xludf.DUMMYFUNCTION("""COMPUTED_VALUE"""),"Scrum Developer Professional- Preparation Course")</f>
        <v>Scrum Developer Professional- Preparation Course</v>
      </c>
      <c r="F53" t="str">
        <f>IFERROR(__xludf.DUMMYFUNCTION("""COMPUTED_VALUE"""),"Scrum Developer Professional- Preparation Course")</f>
        <v>Scrum Developer Professional- Preparation Course</v>
      </c>
      <c r="G53">
        <f>IFERROR(__xludf.DUMMYFUNCTION("""COMPUTED_VALUE"""),7.4251198E7)</f>
        <v>74251198</v>
      </c>
      <c r="H53" t="str">
        <f>IFERROR(__xludf.DUMMYFUNCTION("""COMPUTED_VALUE"""),"VScrum (Visual Scrum) Team")</f>
        <v>VScrum (Visual Scrum) Team</v>
      </c>
      <c r="I53" t="str">
        <f>IFERROR(__xludf.DUMMYFUNCTION("""COMPUTED_VALUE"""),"Low Rating")</f>
        <v>Low Rating</v>
      </c>
      <c r="J53" t="b">
        <f>IFERROR(__xludf.DUMMYFUNCTION("""COMPUTED_VALUE"""),FALSE)</f>
        <v>0</v>
      </c>
      <c r="K53" s="142" t="str">
        <f>IFERROR(__xludf.DUMMYFUNCTION("""COMPUTED_VALUE"""),"Project Management &amp; Operations")</f>
        <v>Project Management &amp; Operations</v>
      </c>
      <c r="L53" s="142" t="str">
        <f>IFERROR(__xludf.DUMMYFUNCTION("""COMPUTED_VALUE"""),"Project Management Certifications")</f>
        <v>Project Management Certifications</v>
      </c>
      <c r="N53" s="140" t="str">
        <f>IFERROR(__xludf.DUMMYFUNCTION("""COMPUTED_VALUE"""),"")</f>
        <v/>
      </c>
      <c r="P53" s="140" t="str">
        <f>IFERROR(__xludf.DUMMYFUNCTION("""COMPUTED_VALUE"""),"")</f>
        <v/>
      </c>
    </row>
    <row r="54">
      <c r="A54" s="143">
        <f>IFERROR(__xludf.DUMMYFUNCTION("""COMPUTED_VALUE"""),44623.0)</f>
        <v>44623</v>
      </c>
      <c r="B54" s="143">
        <f>IFERROR(__xludf.DUMMYFUNCTION("""COMPUTED_VALUE"""),44834.0)</f>
        <v>44834</v>
      </c>
      <c r="C54" s="140" t="str">
        <f>IFERROR(__xludf.DUMMYFUNCTION("""COMPUTED_VALUE"""),"en")</f>
        <v>en</v>
      </c>
      <c r="D54">
        <f>IFERROR(__xludf.DUMMYFUNCTION("""COMPUTED_VALUE"""),2669708.0)</f>
        <v>2669708</v>
      </c>
      <c r="E54" t="str">
        <f>IFERROR(__xludf.DUMMYFUNCTION("""COMPUTED_VALUE"""),"WCAG 2.1 / 2.2 Simplified With Examples")</f>
        <v>WCAG 2.1 / 2.2 Simplified With Examples</v>
      </c>
      <c r="F54" t="str">
        <f>IFERROR(__xludf.DUMMYFUNCTION("""COMPUTED_VALUE"""),"WCAG 2.1 / 2.2 Simplified With Examples")</f>
        <v>WCAG 2.1 / 2.2 Simplified With Examples</v>
      </c>
      <c r="G54">
        <f>IFERROR(__xludf.DUMMYFUNCTION("""COMPUTED_VALUE"""),4.4609338E7)</f>
        <v>44609338</v>
      </c>
      <c r="H54" t="str">
        <f>IFERROR(__xludf.DUMMYFUNCTION("""COMPUTED_VALUE"""),"Stefany Newman")</f>
        <v>Stefany Newman</v>
      </c>
      <c r="I54" t="str">
        <f>IFERROR(__xludf.DUMMYFUNCTION("""COMPUTED_VALUE"""),"Low Rating")</f>
        <v>Low Rating</v>
      </c>
      <c r="J54" t="b">
        <f>IFERROR(__xludf.DUMMYFUNCTION("""COMPUTED_VALUE"""),FALSE)</f>
        <v>0</v>
      </c>
      <c r="K54" s="142" t="str">
        <f>IFERROR(__xludf.DUMMYFUNCTION("""COMPUTED_VALUE"""),"Development")</f>
        <v>Development</v>
      </c>
      <c r="L54" s="142" t="str">
        <f>IFERROR(__xludf.DUMMYFUNCTION("""COMPUTED_VALUE"""),"Web Development")</f>
        <v>Web Development</v>
      </c>
      <c r="N54" s="140" t="str">
        <f>IFERROR(__xludf.DUMMYFUNCTION("""COMPUTED_VALUE"""),"")</f>
        <v/>
      </c>
      <c r="P54" s="140" t="str">
        <f>IFERROR(__xludf.DUMMYFUNCTION("""COMPUTED_VALUE"""),"")</f>
        <v/>
      </c>
    </row>
    <row r="55">
      <c r="A55" s="143">
        <f>IFERROR(__xludf.DUMMYFUNCTION("""COMPUTED_VALUE"""),44623.0)</f>
        <v>44623</v>
      </c>
      <c r="B55" s="143">
        <f>IFERROR(__xludf.DUMMYFUNCTION("""COMPUTED_VALUE"""),44834.0)</f>
        <v>44834</v>
      </c>
      <c r="C55" s="140" t="str">
        <f>IFERROR(__xludf.DUMMYFUNCTION("""COMPUTED_VALUE"""),"en")</f>
        <v>en</v>
      </c>
      <c r="D55">
        <f>IFERROR(__xludf.DUMMYFUNCTION("""COMPUTED_VALUE"""),2786210.0)</f>
        <v>2786210</v>
      </c>
      <c r="E55" t="str">
        <f>IFERROR(__xludf.DUMMYFUNCTION("""COMPUTED_VALUE"""),"Azure Kubernetes Service - AKS")</f>
        <v>Azure Kubernetes Service - AKS</v>
      </c>
      <c r="F55" t="str">
        <f>IFERROR(__xludf.DUMMYFUNCTION("""COMPUTED_VALUE"""),"Azure Kubernates Service - Aks")</f>
        <v>Azure Kubernates Service - Aks</v>
      </c>
      <c r="G55">
        <f>IFERROR(__xludf.DUMMYFUNCTION("""COMPUTED_VALUE"""),8.2600634E7)</f>
        <v>82600634</v>
      </c>
      <c r="H55" t="str">
        <f>IFERROR(__xludf.DUMMYFUNCTION("""COMPUTED_VALUE"""),"Tadeu Granemann")</f>
        <v>Tadeu Granemann</v>
      </c>
      <c r="I55" t="str">
        <f>IFERROR(__xludf.DUMMYFUNCTION("""COMPUTED_VALUE"""),"Low Rating")</f>
        <v>Low Rating</v>
      </c>
      <c r="J55" t="b">
        <f>IFERROR(__xludf.DUMMYFUNCTION("""COMPUTED_VALUE"""),FALSE)</f>
        <v>0</v>
      </c>
      <c r="K55" s="142" t="str">
        <f>IFERROR(__xludf.DUMMYFUNCTION("""COMPUTED_VALUE"""),"Development")</f>
        <v>Development</v>
      </c>
      <c r="L55" s="142" t="str">
        <f>IFERROR(__xludf.DUMMYFUNCTION("""COMPUTED_VALUE"""),"Development Tools")</f>
        <v>Development Tools</v>
      </c>
      <c r="N55" s="140" t="str">
        <f>IFERROR(__xludf.DUMMYFUNCTION("""COMPUTED_VALUE"""),"")</f>
        <v/>
      </c>
      <c r="P55" s="140" t="str">
        <f>IFERROR(__xludf.DUMMYFUNCTION("""COMPUTED_VALUE"""),"")</f>
        <v/>
      </c>
    </row>
    <row r="56">
      <c r="A56" s="143">
        <f>IFERROR(__xludf.DUMMYFUNCTION("""COMPUTED_VALUE"""),44623.0)</f>
        <v>44623</v>
      </c>
      <c r="B56" s="143">
        <f>IFERROR(__xludf.DUMMYFUNCTION("""COMPUTED_VALUE"""),44834.0)</f>
        <v>44834</v>
      </c>
      <c r="C56" s="140" t="str">
        <f>IFERROR(__xludf.DUMMYFUNCTION("""COMPUTED_VALUE"""),"en")</f>
        <v>en</v>
      </c>
      <c r="D56">
        <f>IFERROR(__xludf.DUMMYFUNCTION("""COMPUTED_VALUE"""),2852688.0)</f>
        <v>2852688</v>
      </c>
      <c r="E56" t="str">
        <f>IFERROR(__xludf.DUMMYFUNCTION("""COMPUTED_VALUE"""),"Spring Boot Security and oAuth2 in depth from scratch")</f>
        <v>Spring Boot Security and oAuth2 in depth from scratch</v>
      </c>
      <c r="F56" t="str">
        <f>IFERROR(__xludf.DUMMYFUNCTION("""COMPUTED_VALUE"""),"Spring Boot Security and oAuth2 in depth from scratch")</f>
        <v>Spring Boot Security and oAuth2 in depth from scratch</v>
      </c>
      <c r="G56">
        <f>IFERROR(__xludf.DUMMYFUNCTION("""COMPUTED_VALUE"""),8249682.0)</f>
        <v>8249682</v>
      </c>
      <c r="H56" t="str">
        <f>IFERROR(__xludf.DUMMYFUNCTION("""COMPUTED_VALUE"""),"Sivaprasad Valluru")</f>
        <v>Sivaprasad Valluru</v>
      </c>
      <c r="I56" t="str">
        <f>IFERROR(__xludf.DUMMYFUNCTION("""COMPUTED_VALUE"""),"Low Rating")</f>
        <v>Low Rating</v>
      </c>
      <c r="J56" t="b">
        <f>IFERROR(__xludf.DUMMYFUNCTION("""COMPUTED_VALUE"""),FALSE)</f>
        <v>0</v>
      </c>
      <c r="K56" s="142" t="str">
        <f>IFERROR(__xludf.DUMMYFUNCTION("""COMPUTED_VALUE"""),"IT Operations")</f>
        <v>IT Operations</v>
      </c>
      <c r="L56" s="142" t="str">
        <f>IFERROR(__xludf.DUMMYFUNCTION("""COMPUTED_VALUE"""),"Network &amp; Security")</f>
        <v>Network &amp; Security</v>
      </c>
      <c r="N56" s="140" t="str">
        <f>IFERROR(__xludf.DUMMYFUNCTION("""COMPUTED_VALUE"""),"")</f>
        <v/>
      </c>
      <c r="P56" s="140" t="str">
        <f>IFERROR(__xludf.DUMMYFUNCTION("""COMPUTED_VALUE"""),"")</f>
        <v/>
      </c>
    </row>
    <row r="57">
      <c r="A57" s="143">
        <f>IFERROR(__xludf.DUMMYFUNCTION("""COMPUTED_VALUE"""),44623.0)</f>
        <v>44623</v>
      </c>
      <c r="B57" s="143">
        <f>IFERROR(__xludf.DUMMYFUNCTION("""COMPUTED_VALUE"""),44834.0)</f>
        <v>44834</v>
      </c>
      <c r="C57" s="140" t="str">
        <f>IFERROR(__xludf.DUMMYFUNCTION("""COMPUTED_VALUE"""),"en")</f>
        <v>en</v>
      </c>
      <c r="D57">
        <f>IFERROR(__xludf.DUMMYFUNCTION("""COMPUTED_VALUE"""),2866094.0)</f>
        <v>2866094</v>
      </c>
      <c r="E57" t="str">
        <f>IFERROR(__xludf.DUMMYFUNCTION("""COMPUTED_VALUE"""),"An Introduction to DataDog for Developers")</f>
        <v>An Introduction to DataDog for Developers</v>
      </c>
      <c r="F57" t="str">
        <f>IFERROR(__xludf.DUMMYFUNCTION("""COMPUTED_VALUE"""),"An Introduction to DataDog for Developers")</f>
        <v>An Introduction to DataDog for Developers</v>
      </c>
      <c r="G57">
        <f>IFERROR(__xludf.DUMMYFUNCTION("""COMPUTED_VALUE"""),6.4875242E7)</f>
        <v>64875242</v>
      </c>
      <c r="H57" t="str">
        <f>IFERROR(__xludf.DUMMYFUNCTION("""COMPUTED_VALUE"""),"Vaga Notes")</f>
        <v>Vaga Notes</v>
      </c>
      <c r="I57" t="str">
        <f>IFERROR(__xludf.DUMMYFUNCTION("""COMPUTED_VALUE"""),"Low Rating")</f>
        <v>Low Rating</v>
      </c>
      <c r="J57" t="b">
        <f>IFERROR(__xludf.DUMMYFUNCTION("""COMPUTED_VALUE"""),FALSE)</f>
        <v>0</v>
      </c>
      <c r="K57" s="142" t="str">
        <f>IFERROR(__xludf.DUMMYFUNCTION("""COMPUTED_VALUE"""),"Development")</f>
        <v>Development</v>
      </c>
      <c r="L57" s="142" t="str">
        <f>IFERROR(__xludf.DUMMYFUNCTION("""COMPUTED_VALUE"""),"Software Engineering")</f>
        <v>Software Engineering</v>
      </c>
      <c r="N57" s="140" t="str">
        <f>IFERROR(__xludf.DUMMYFUNCTION("""COMPUTED_VALUE"""),"")</f>
        <v/>
      </c>
      <c r="P57" s="140" t="str">
        <f>IFERROR(__xludf.DUMMYFUNCTION("""COMPUTED_VALUE"""),"")</f>
        <v/>
      </c>
    </row>
    <row r="58">
      <c r="A58" s="143">
        <f>IFERROR(__xludf.DUMMYFUNCTION("""COMPUTED_VALUE"""),44623.0)</f>
        <v>44623</v>
      </c>
      <c r="B58" s="143">
        <f>IFERROR(__xludf.DUMMYFUNCTION("""COMPUTED_VALUE"""),44834.0)</f>
        <v>44834</v>
      </c>
      <c r="C58" s="140" t="str">
        <f>IFERROR(__xludf.DUMMYFUNCTION("""COMPUTED_VALUE"""),"en")</f>
        <v>en</v>
      </c>
      <c r="D58">
        <f>IFERROR(__xludf.DUMMYFUNCTION("""COMPUTED_VALUE"""),2977104.0)</f>
        <v>2977104</v>
      </c>
      <c r="E58" t="str">
        <f>IFERROR(__xludf.DUMMYFUNCTION("""COMPUTED_VALUE"""),"Aruba Switching Training With Labs For ACSA ACSP HPE")</f>
        <v>Aruba Switching Training With Labs For ACSA ACSP HPE</v>
      </c>
      <c r="F58" t="str">
        <f>IFERROR(__xludf.DUMMYFUNCTION("""COMPUTED_VALUE"""),"Aruba Switching Training With Labs For ACSA ACSP HPE")</f>
        <v>Aruba Switching Training With Labs For ACSA ACSP HPE</v>
      </c>
      <c r="G58">
        <f>IFERROR(__xludf.DUMMYFUNCTION("""COMPUTED_VALUE"""),4.5428814E7)</f>
        <v>45428814</v>
      </c>
      <c r="H58" t="str">
        <f>IFERROR(__xludf.DUMMYFUNCTION("""COMPUTED_VALUE"""),"Veyhurdam Dikmen")</f>
        <v>Veyhurdam Dikmen</v>
      </c>
      <c r="I58" t="str">
        <f>IFERROR(__xludf.DUMMYFUNCTION("""COMPUTED_VALUE"""),"Low Rating")</f>
        <v>Low Rating</v>
      </c>
      <c r="J58" t="b">
        <f>IFERROR(__xludf.DUMMYFUNCTION("""COMPUTED_VALUE"""),FALSE)</f>
        <v>0</v>
      </c>
      <c r="K58" s="142" t="str">
        <f>IFERROR(__xludf.DUMMYFUNCTION("""COMPUTED_VALUE"""),"IT Operations")</f>
        <v>IT Operations</v>
      </c>
      <c r="L58" s="142" t="str">
        <f>IFERROR(__xludf.DUMMYFUNCTION("""COMPUTED_VALUE"""),"IT Certifications")</f>
        <v>IT Certifications</v>
      </c>
      <c r="N58" s="140" t="str">
        <f>IFERROR(__xludf.DUMMYFUNCTION("""COMPUTED_VALUE"""),"")</f>
        <v/>
      </c>
      <c r="P58" s="140" t="str">
        <f>IFERROR(__xludf.DUMMYFUNCTION("""COMPUTED_VALUE"""),"")</f>
        <v/>
      </c>
    </row>
    <row r="59">
      <c r="A59" s="143">
        <f>IFERROR(__xludf.DUMMYFUNCTION("""COMPUTED_VALUE"""),44623.0)</f>
        <v>44623</v>
      </c>
      <c r="B59" s="143">
        <f>IFERROR(__xludf.DUMMYFUNCTION("""COMPUTED_VALUE"""),44834.0)</f>
        <v>44834</v>
      </c>
      <c r="C59" s="140" t="str">
        <f>IFERROR(__xludf.DUMMYFUNCTION("""COMPUTED_VALUE"""),"en")</f>
        <v>en</v>
      </c>
      <c r="D59">
        <f>IFERROR(__xludf.DUMMYFUNCTION("""COMPUTED_VALUE"""),3018838.0)</f>
        <v>3018838</v>
      </c>
      <c r="E59" t="str">
        <f>IFERROR(__xludf.DUMMYFUNCTION("""COMPUTED_VALUE"""),"Hadoop Administration: An easy way to become a Hadoop Admin")</f>
        <v>Hadoop Administration: An easy way to become a Hadoop Admin</v>
      </c>
      <c r="F59" t="str">
        <f>IFERROR(__xludf.DUMMYFUNCTION("""COMPUTED_VALUE"""),"Hadoop Administration: An easy way to become a Hadoop Admin")</f>
        <v>Hadoop Administration: An easy way to become a Hadoop Admin</v>
      </c>
      <c r="G59">
        <f>IFERROR(__xludf.DUMMYFUNCTION("""COMPUTED_VALUE"""),3.8132937E7)</f>
        <v>38132937</v>
      </c>
      <c r="H59" t="str">
        <f>IFERROR(__xludf.DUMMYFUNCTION("""COMPUTED_VALUE"""),"Shrikant Ahire")</f>
        <v>Shrikant Ahire</v>
      </c>
      <c r="I59" t="str">
        <f>IFERROR(__xludf.DUMMYFUNCTION("""COMPUTED_VALUE"""),"Low Rating")</f>
        <v>Low Rating</v>
      </c>
      <c r="J59" t="b">
        <f>IFERROR(__xludf.DUMMYFUNCTION("""COMPUTED_VALUE"""),FALSE)</f>
        <v>0</v>
      </c>
      <c r="K59" s="142" t="str">
        <f>IFERROR(__xludf.DUMMYFUNCTION("""COMPUTED_VALUE"""),"Data Science")</f>
        <v>Data Science</v>
      </c>
      <c r="L59" s="142" t="str">
        <f>IFERROR(__xludf.DUMMYFUNCTION("""COMPUTED_VALUE"""),"Big Data")</f>
        <v>Big Data</v>
      </c>
      <c r="N59" s="140" t="str">
        <f>IFERROR(__xludf.DUMMYFUNCTION("""COMPUTED_VALUE"""),"")</f>
        <v/>
      </c>
      <c r="P59" s="140" t="str">
        <f>IFERROR(__xludf.DUMMYFUNCTION("""COMPUTED_VALUE"""),"")</f>
        <v/>
      </c>
    </row>
    <row r="60">
      <c r="A60" s="143">
        <f>IFERROR(__xludf.DUMMYFUNCTION("""COMPUTED_VALUE"""),44623.0)</f>
        <v>44623</v>
      </c>
      <c r="B60" s="143">
        <f>IFERROR(__xludf.DUMMYFUNCTION("""COMPUTED_VALUE"""),44834.0)</f>
        <v>44834</v>
      </c>
      <c r="C60" s="140" t="str">
        <f>IFERROR(__xludf.DUMMYFUNCTION("""COMPUTED_VALUE"""),"en")</f>
        <v>en</v>
      </c>
      <c r="D60">
        <f>IFERROR(__xludf.DUMMYFUNCTION("""COMPUTED_VALUE"""),3255908.0)</f>
        <v>3255908</v>
      </c>
      <c r="E60" t="str">
        <f>IFERROR(__xludf.DUMMYFUNCTION("""COMPUTED_VALUE"""),"Apache JMeter - Basics to Intermediate level")</f>
        <v>Apache JMeter - Basics to Intermediate level</v>
      </c>
      <c r="F60" t="str">
        <f>IFERROR(__xludf.DUMMYFUNCTION("""COMPUTED_VALUE"""),"Apache JMeter - Basics to Intermediate level")</f>
        <v>Apache JMeter - Basics to Intermediate level</v>
      </c>
      <c r="G60">
        <f>IFERROR(__xludf.DUMMYFUNCTION("""COMPUTED_VALUE"""),4.618919E7)</f>
        <v>46189190</v>
      </c>
      <c r="H60" t="str">
        <f>IFERROR(__xludf.DUMMYFUNCTION("""COMPUTED_VALUE"""),"kumar Gupta")</f>
        <v>kumar Gupta</v>
      </c>
      <c r="I60" t="str">
        <f>IFERROR(__xludf.DUMMYFUNCTION("""COMPUTED_VALUE"""),"Low Rating")</f>
        <v>Low Rating</v>
      </c>
      <c r="J60" t="b">
        <f>IFERROR(__xludf.DUMMYFUNCTION("""COMPUTED_VALUE"""),FALSE)</f>
        <v>0</v>
      </c>
      <c r="K60" s="142" t="str">
        <f>IFERROR(__xludf.DUMMYFUNCTION("""COMPUTED_VALUE"""),"Development")</f>
        <v>Development</v>
      </c>
      <c r="L60" s="142" t="str">
        <f>IFERROR(__xludf.DUMMYFUNCTION("""COMPUTED_VALUE"""),"Software Testing")</f>
        <v>Software Testing</v>
      </c>
      <c r="N60" s="140" t="str">
        <f>IFERROR(__xludf.DUMMYFUNCTION("""COMPUTED_VALUE"""),"")</f>
        <v/>
      </c>
      <c r="P60" s="140" t="str">
        <f>IFERROR(__xludf.DUMMYFUNCTION("""COMPUTED_VALUE"""),"")</f>
        <v/>
      </c>
    </row>
    <row r="61">
      <c r="A61" s="143">
        <f>IFERROR(__xludf.DUMMYFUNCTION("""COMPUTED_VALUE"""),44623.0)</f>
        <v>44623</v>
      </c>
      <c r="B61" s="143">
        <f>IFERROR(__xludf.DUMMYFUNCTION("""COMPUTED_VALUE"""),44834.0)</f>
        <v>44834</v>
      </c>
      <c r="C61" s="140" t="str">
        <f>IFERROR(__xludf.DUMMYFUNCTION("""COMPUTED_VALUE"""),"en")</f>
        <v>en</v>
      </c>
      <c r="D61">
        <f>IFERROR(__xludf.DUMMYFUNCTION("""COMPUTED_VALUE"""),3313824.0)</f>
        <v>3313824</v>
      </c>
      <c r="E61" t="str">
        <f>IFERROR(__xludf.DUMMYFUNCTION("""COMPUTED_VALUE"""),"Applying The Art and Science of Sales Enablement")</f>
        <v>Applying The Art and Science of Sales Enablement</v>
      </c>
      <c r="F61" t="str">
        <f>IFERROR(__xludf.DUMMYFUNCTION("""COMPUTED_VALUE"""),"Applying The Art and Science of Sales Enablement")</f>
        <v>Applying The Art and Science of Sales Enablement</v>
      </c>
      <c r="G61">
        <f>IFERROR(__xludf.DUMMYFUNCTION("""COMPUTED_VALUE"""),1.12502558E8)</f>
        <v>112502558</v>
      </c>
      <c r="H61" t="str">
        <f>IFERROR(__xludf.DUMMYFUNCTION("""COMPUTED_VALUE"""),"Roderick Jefferson")</f>
        <v>Roderick Jefferson</v>
      </c>
      <c r="I61" t="str">
        <f>IFERROR(__xludf.DUMMYFUNCTION("""COMPUTED_VALUE"""),"Low Rating")</f>
        <v>Low Rating</v>
      </c>
      <c r="J61" t="b">
        <f>IFERROR(__xludf.DUMMYFUNCTION("""COMPUTED_VALUE"""),FALSE)</f>
        <v>0</v>
      </c>
      <c r="K61" s="142" t="str">
        <f>IFERROR(__xludf.DUMMYFUNCTION("""COMPUTED_VALUE"""),"Sales")</f>
        <v>Sales</v>
      </c>
      <c r="L61" s="142" t="str">
        <f>IFERROR(__xludf.DUMMYFUNCTION("""COMPUTED_VALUE"""),"Sales Skills &amp; Tools")</f>
        <v>Sales Skills &amp; Tools</v>
      </c>
      <c r="N61" s="140" t="str">
        <f>IFERROR(__xludf.DUMMYFUNCTION("""COMPUTED_VALUE"""),"")</f>
        <v/>
      </c>
      <c r="P61" s="140" t="str">
        <f>IFERROR(__xludf.DUMMYFUNCTION("""COMPUTED_VALUE"""),"")</f>
        <v/>
      </c>
    </row>
    <row r="62">
      <c r="A62" s="143">
        <f>IFERROR(__xludf.DUMMYFUNCTION("""COMPUTED_VALUE"""),44623.0)</f>
        <v>44623</v>
      </c>
      <c r="B62" s="143">
        <f>IFERROR(__xludf.DUMMYFUNCTION("""COMPUTED_VALUE"""),44834.0)</f>
        <v>44834</v>
      </c>
      <c r="C62" t="str">
        <f>IFERROR(__xludf.DUMMYFUNCTION("""COMPUTED_VALUE"""),"en")</f>
        <v>en</v>
      </c>
      <c r="D62">
        <f>IFERROR(__xludf.DUMMYFUNCTION("""COMPUTED_VALUE"""),3336462.0)</f>
        <v>3336462</v>
      </c>
      <c r="E62" t="str">
        <f>IFERROR(__xludf.DUMMYFUNCTION("""COMPUTED_VALUE"""),"Terraform Master Course | HashiCorp Certified Terraform 2021")</f>
        <v>Terraform Master Course | HashiCorp Certified Terraform 2021</v>
      </c>
      <c r="F62" t="str">
        <f>IFERROR(__xludf.DUMMYFUNCTION("""COMPUTED_VALUE"""),"Terraform Master Course | HashiCorp Certified Terraform 2021")</f>
        <v>Terraform Master Course | HashiCorp Certified Terraform 2021</v>
      </c>
      <c r="G62">
        <f>IFERROR(__xludf.DUMMYFUNCTION("""COMPUTED_VALUE"""),5.244145E7)</f>
        <v>52441450</v>
      </c>
      <c r="H62" t="str">
        <f>IFERROR(__xludf.DUMMYFUNCTION("""COMPUTED_VALUE"""),"Dean Houari")</f>
        <v>Dean Houari</v>
      </c>
      <c r="I62" t="str">
        <f>IFERROR(__xludf.DUMMYFUNCTION("""COMPUTED_VALUE"""),"Low Rating")</f>
        <v>Low Rating</v>
      </c>
      <c r="J62" t="b">
        <f>IFERROR(__xludf.DUMMYFUNCTION("""COMPUTED_VALUE"""),FALSE)</f>
        <v>0</v>
      </c>
      <c r="K62" s="142" t="str">
        <f>IFERROR(__xludf.DUMMYFUNCTION("""COMPUTED_VALUE"""),"IT Operations")</f>
        <v>IT Operations</v>
      </c>
      <c r="L62" s="142" t="str">
        <f>IFERROR(__xludf.DUMMYFUNCTION("""COMPUTED_VALUE"""),"IT Certifications")</f>
        <v>IT Certifications</v>
      </c>
      <c r="N62" s="140" t="str">
        <f>IFERROR(__xludf.DUMMYFUNCTION("""COMPUTED_VALUE"""),"")</f>
        <v/>
      </c>
      <c r="P62" s="140" t="str">
        <f>IFERROR(__xludf.DUMMYFUNCTION("""COMPUTED_VALUE"""),"")</f>
        <v/>
      </c>
    </row>
    <row r="63">
      <c r="A63" s="143">
        <f>IFERROR(__xludf.DUMMYFUNCTION("""COMPUTED_VALUE"""),44623.0)</f>
        <v>44623</v>
      </c>
      <c r="B63" s="143">
        <f>IFERROR(__xludf.DUMMYFUNCTION("""COMPUTED_VALUE"""),44834.0)</f>
        <v>44834</v>
      </c>
      <c r="C63" t="str">
        <f>IFERROR(__xludf.DUMMYFUNCTION("""COMPUTED_VALUE"""),"en")</f>
        <v>en</v>
      </c>
      <c r="D63">
        <f>IFERROR(__xludf.DUMMYFUNCTION("""COMPUTED_VALUE"""),3342284.0)</f>
        <v>3342284</v>
      </c>
      <c r="E63" t="str">
        <f>IFERROR(__xludf.DUMMYFUNCTION("""COMPUTED_VALUE"""),"Complete Payroll Management in Excel &amp;TALLY ERP9 &amp;TallyPrime")</f>
        <v>Complete Payroll Management in Excel &amp;TALLY ERP9 &amp;TallyPrime</v>
      </c>
      <c r="F63" t="str">
        <f>IFERROR(__xludf.DUMMYFUNCTION("""COMPUTED_VALUE"""),"Complete Payroll Management in Excel &amp;TALLY ERP9 &amp;TallyPrime")</f>
        <v>Complete Payroll Management in Excel &amp;TALLY ERP9 &amp;TallyPrime</v>
      </c>
      <c r="G63">
        <f>IFERROR(__xludf.DUMMYFUNCTION("""COMPUTED_VALUE"""),1.04259012E8)</f>
        <v>104259012</v>
      </c>
      <c r="H63" t="str">
        <f>IFERROR(__xludf.DUMMYFUNCTION("""COMPUTED_VALUE"""),"A.M.A.M Mubeen (Expert In Tally &amp; Finance &amp; Microsoft Office)")</f>
        <v>A.M.A.M Mubeen (Expert In Tally &amp; Finance &amp; Microsoft Office)</v>
      </c>
      <c r="I63" t="str">
        <f>IFERROR(__xludf.DUMMYFUNCTION("""COMPUTED_VALUE"""),"Low Rating")</f>
        <v>Low Rating</v>
      </c>
      <c r="J63" t="b">
        <f>IFERROR(__xludf.DUMMYFUNCTION("""COMPUTED_VALUE"""),FALSE)</f>
        <v>0</v>
      </c>
      <c r="K63" s="142" t="str">
        <f>IFERROR(__xludf.DUMMYFUNCTION("""COMPUTED_VALUE"""),"Finance &amp; Accounting")</f>
        <v>Finance &amp; Accounting</v>
      </c>
      <c r="L63" s="142" t="str">
        <f>IFERROR(__xludf.DUMMYFUNCTION("""COMPUTED_VALUE"""),"Finance Fundamentals")</f>
        <v>Finance Fundamentals</v>
      </c>
      <c r="N63" s="140" t="str">
        <f>IFERROR(__xludf.DUMMYFUNCTION("""COMPUTED_VALUE"""),"")</f>
        <v/>
      </c>
      <c r="P63" s="140" t="str">
        <f>IFERROR(__xludf.DUMMYFUNCTION("""COMPUTED_VALUE"""),"")</f>
        <v/>
      </c>
    </row>
    <row r="64">
      <c r="A64" s="143">
        <f>IFERROR(__xludf.DUMMYFUNCTION("""COMPUTED_VALUE"""),44623.0)</f>
        <v>44623</v>
      </c>
      <c r="B64" s="143">
        <f>IFERROR(__xludf.DUMMYFUNCTION("""COMPUTED_VALUE"""),44834.0)</f>
        <v>44834</v>
      </c>
      <c r="C64" s="140" t="str">
        <f>IFERROR(__xludf.DUMMYFUNCTION("""COMPUTED_VALUE"""),"en")</f>
        <v>en</v>
      </c>
      <c r="D64">
        <f>IFERROR(__xludf.DUMMYFUNCTION("""COMPUTED_VALUE"""),3444710.0)</f>
        <v>3444710</v>
      </c>
      <c r="E64" t="str">
        <f>IFERROR(__xludf.DUMMYFUNCTION("""COMPUTED_VALUE"""),"Julia Programming 2021 [UPDATED]")</f>
        <v>Julia Programming 2021 [UPDATED]</v>
      </c>
      <c r="F64" t="str">
        <f>IFERROR(__xludf.DUMMYFUNCTION("""COMPUTED_VALUE"""),"Julia Programming 2021 [UPDATED]")</f>
        <v>Julia Programming 2021 [UPDATED]</v>
      </c>
      <c r="G64">
        <f>IFERROR(__xludf.DUMMYFUNCTION("""COMPUTED_VALUE"""),1.30735372E8)</f>
        <v>130735372</v>
      </c>
      <c r="H64" t="str">
        <f>IFERROR(__xludf.DUMMYFUNCTION("""COMPUTED_VALUE"""),"Ayush Hate")</f>
        <v>Ayush Hate</v>
      </c>
      <c r="I64" t="str">
        <f>IFERROR(__xludf.DUMMYFUNCTION("""COMPUTED_VALUE"""),"Low Rating")</f>
        <v>Low Rating</v>
      </c>
      <c r="J64" t="b">
        <f>IFERROR(__xludf.DUMMYFUNCTION("""COMPUTED_VALUE"""),FALSE)</f>
        <v>0</v>
      </c>
      <c r="K64" s="142" t="str">
        <f>IFERROR(__xludf.DUMMYFUNCTION("""COMPUTED_VALUE"""),"Development")</f>
        <v>Development</v>
      </c>
      <c r="L64" s="142" t="str">
        <f>IFERROR(__xludf.DUMMYFUNCTION("""COMPUTED_VALUE"""),"Programming Languages")</f>
        <v>Programming Languages</v>
      </c>
      <c r="N64" s="140" t="str">
        <f>IFERROR(__xludf.DUMMYFUNCTION("""COMPUTED_VALUE"""),"")</f>
        <v/>
      </c>
      <c r="P64" s="140" t="str">
        <f>IFERROR(__xludf.DUMMYFUNCTION("""COMPUTED_VALUE"""),"")</f>
        <v/>
      </c>
    </row>
    <row r="65">
      <c r="A65" s="143">
        <f>IFERROR(__xludf.DUMMYFUNCTION("""COMPUTED_VALUE"""),44623.0)</f>
        <v>44623</v>
      </c>
      <c r="B65" s="143">
        <f>IFERROR(__xludf.DUMMYFUNCTION("""COMPUTED_VALUE"""),44834.0)</f>
        <v>44834</v>
      </c>
      <c r="C65" s="140" t="str">
        <f>IFERROR(__xludf.DUMMYFUNCTION("""COMPUTED_VALUE"""),"en")</f>
        <v>en</v>
      </c>
      <c r="D65">
        <f>IFERROR(__xludf.DUMMYFUNCTION("""COMPUTED_VALUE"""),3491770.0)</f>
        <v>3491770</v>
      </c>
      <c r="E65" t="str">
        <f>IFERROR(__xludf.DUMMYFUNCTION("""COMPUTED_VALUE"""),"Ultimate Prometheus")</f>
        <v>Ultimate Prometheus</v>
      </c>
      <c r="F65" t="str">
        <f>IFERROR(__xludf.DUMMYFUNCTION("""COMPUTED_VALUE"""),"Ultimate Prometheus")</f>
        <v>Ultimate Prometheus</v>
      </c>
      <c r="G65">
        <f>IFERROR(__xludf.DUMMYFUNCTION("""COMPUTED_VALUE"""),8.3056698E7)</f>
        <v>83056698</v>
      </c>
      <c r="H65" t="str">
        <f>IFERROR(__xludf.DUMMYFUNCTION("""COMPUTED_VALUE"""),"Eldan Elias")</f>
        <v>Eldan Elias</v>
      </c>
      <c r="I65" t="str">
        <f>IFERROR(__xludf.DUMMYFUNCTION("""COMPUTED_VALUE"""),"Low Rating")</f>
        <v>Low Rating</v>
      </c>
      <c r="J65" t="b">
        <f>IFERROR(__xludf.DUMMYFUNCTION("""COMPUTED_VALUE"""),FALSE)</f>
        <v>0</v>
      </c>
      <c r="K65" s="142" t="str">
        <f>IFERROR(__xludf.DUMMYFUNCTION("""COMPUTED_VALUE"""),"Development")</f>
        <v>Development</v>
      </c>
      <c r="L65" s="142" t="str">
        <f>IFERROR(__xludf.DUMMYFUNCTION("""COMPUTED_VALUE"""),"Development Tools")</f>
        <v>Development Tools</v>
      </c>
      <c r="N65" s="140" t="str">
        <f>IFERROR(__xludf.DUMMYFUNCTION("""COMPUTED_VALUE"""),"")</f>
        <v/>
      </c>
      <c r="P65" s="140" t="str">
        <f>IFERROR(__xludf.DUMMYFUNCTION("""COMPUTED_VALUE"""),"")</f>
        <v/>
      </c>
    </row>
    <row r="66">
      <c r="A66" s="143">
        <f>IFERROR(__xludf.DUMMYFUNCTION("""COMPUTED_VALUE"""),44623.0)</f>
        <v>44623</v>
      </c>
      <c r="B66" s="143">
        <f>IFERROR(__xludf.DUMMYFUNCTION("""COMPUTED_VALUE"""),44834.0)</f>
        <v>44834</v>
      </c>
      <c r="C66" s="140" t="str">
        <f>IFERROR(__xludf.DUMMYFUNCTION("""COMPUTED_VALUE"""),"ja")</f>
        <v>ja</v>
      </c>
      <c r="D66">
        <f>IFERROR(__xludf.DUMMYFUNCTION("""COMPUTED_VALUE"""),3495894.0)</f>
        <v>3495894</v>
      </c>
      <c r="E66" t="str">
        <f>IFERROR(__xludf.DUMMYFUNCTION("""COMPUTED_VALUE"""),"実務で使えるDCDCコンバータの基礎知識")</f>
        <v>実務で使えるDCDCコンバータの基礎知識</v>
      </c>
      <c r="F66" t="str">
        <f>IFERROR(__xludf.DUMMYFUNCTION("""COMPUTED_VALUE"""),"Basic knowledge of DCDC converter that can be used practical")</f>
        <v>Basic knowledge of DCDC converter that can be used practical</v>
      </c>
      <c r="G66">
        <f>IFERROR(__xludf.DUMMYFUNCTION("""COMPUTED_VALUE"""),1.29730674E8)</f>
        <v>129730674</v>
      </c>
      <c r="H66" t="str">
        <f>IFERROR(__xludf.DUMMYFUNCTION("""COMPUTED_VALUE"""),"Leo Leo")</f>
        <v>Leo Leo</v>
      </c>
      <c r="I66" t="str">
        <f>IFERROR(__xludf.DUMMYFUNCTION("""COMPUTED_VALUE"""),"Low Rating")</f>
        <v>Low Rating</v>
      </c>
      <c r="J66" t="b">
        <f>IFERROR(__xludf.DUMMYFUNCTION("""COMPUTED_VALUE"""),FALSE)</f>
        <v>0</v>
      </c>
      <c r="K66" s="142" t="str">
        <f>IFERROR(__xludf.DUMMYFUNCTION("""COMPUTED_VALUE"""),"IT Operations")</f>
        <v>IT Operations</v>
      </c>
      <c r="L66" s="142" t="str">
        <f>IFERROR(__xludf.DUMMYFUNCTION("""COMPUTED_VALUE"""),"Hardware")</f>
        <v>Hardware</v>
      </c>
      <c r="N66" s="140" t="str">
        <f>IFERROR(__xludf.DUMMYFUNCTION("""COMPUTED_VALUE"""),"")</f>
        <v/>
      </c>
      <c r="P66" s="140" t="str">
        <f>IFERROR(__xludf.DUMMYFUNCTION("""COMPUTED_VALUE"""),"")</f>
        <v/>
      </c>
    </row>
    <row r="67">
      <c r="A67" s="143">
        <f>IFERROR(__xludf.DUMMYFUNCTION("""COMPUTED_VALUE"""),44623.0)</f>
        <v>44623</v>
      </c>
      <c r="B67" s="143">
        <f>IFERROR(__xludf.DUMMYFUNCTION("""COMPUTED_VALUE"""),44834.0)</f>
        <v>44834</v>
      </c>
      <c r="C67" s="140" t="str">
        <f>IFERROR(__xludf.DUMMYFUNCTION("""COMPUTED_VALUE"""),"en")</f>
        <v>en</v>
      </c>
      <c r="D67">
        <f>IFERROR(__xludf.DUMMYFUNCTION("""COMPUTED_VALUE"""),3513670.0)</f>
        <v>3513670</v>
      </c>
      <c r="E67" t="str">
        <f>IFERROR(__xludf.DUMMYFUNCTION("""COMPUTED_VALUE"""),"Primavera &amp; Power BI Integration | Interactive Dashboards")</f>
        <v>Primavera &amp; Power BI Integration | Interactive Dashboards</v>
      </c>
      <c r="F67" t="str">
        <f>IFERROR(__xludf.DUMMYFUNCTION("""COMPUTED_VALUE"""),"Primavera &amp; Power BI Integration | Interactive Dashboards")</f>
        <v>Primavera &amp; Power BI Integration | Interactive Dashboards</v>
      </c>
      <c r="G67">
        <f>IFERROR(__xludf.DUMMYFUNCTION("""COMPUTED_VALUE"""),3.5149866E7)</f>
        <v>35149866</v>
      </c>
      <c r="H67" t="str">
        <f>IFERROR(__xludf.DUMMYFUNCTION("""COMPUTED_VALUE"""),"Eslam Gharib")</f>
        <v>Eslam Gharib</v>
      </c>
      <c r="I67" t="str">
        <f>IFERROR(__xludf.DUMMYFUNCTION("""COMPUTED_VALUE"""),"Low Rating")</f>
        <v>Low Rating</v>
      </c>
      <c r="J67" t="b">
        <f>IFERROR(__xludf.DUMMYFUNCTION("""COMPUTED_VALUE"""),FALSE)</f>
        <v>0</v>
      </c>
      <c r="K67" s="142" t="str">
        <f>IFERROR(__xludf.DUMMYFUNCTION("""COMPUTED_VALUE"""),"Data Science")</f>
        <v>Data Science</v>
      </c>
      <c r="L67" s="142" t="str">
        <f>IFERROR(__xludf.DUMMYFUNCTION("""COMPUTED_VALUE"""),"Analytics")</f>
        <v>Analytics</v>
      </c>
      <c r="N67" s="140" t="str">
        <f>IFERROR(__xludf.DUMMYFUNCTION("""COMPUTED_VALUE"""),"")</f>
        <v/>
      </c>
      <c r="P67" s="140" t="str">
        <f>IFERROR(__xludf.DUMMYFUNCTION("""COMPUTED_VALUE"""),"")</f>
        <v/>
      </c>
    </row>
    <row r="68">
      <c r="A68" s="143">
        <f>IFERROR(__xludf.DUMMYFUNCTION("""COMPUTED_VALUE"""),44623.0)</f>
        <v>44623</v>
      </c>
      <c r="B68" s="143">
        <f>IFERROR(__xludf.DUMMYFUNCTION("""COMPUTED_VALUE"""),44834.0)</f>
        <v>44834</v>
      </c>
      <c r="C68" s="140" t="str">
        <f>IFERROR(__xludf.DUMMYFUNCTION("""COMPUTED_VALUE"""),"en")</f>
        <v>en</v>
      </c>
      <c r="D68">
        <f>IFERROR(__xludf.DUMMYFUNCTION("""COMPUTED_VALUE"""),3536520.0)</f>
        <v>3536520</v>
      </c>
      <c r="E68" t="str">
        <f>IFERROR(__xludf.DUMMYFUNCTION("""COMPUTED_VALUE"""),"Docker for .NET Apps - on Linux and Windows")</f>
        <v>Docker for .NET Apps - on Linux and Windows</v>
      </c>
      <c r="F68" t="str">
        <f>IFERROR(__xludf.DUMMYFUNCTION("""COMPUTED_VALUE"""),"Docker for .NET Apps - on Linux and Windows")</f>
        <v>Docker for .NET Apps - on Linux and Windows</v>
      </c>
      <c r="G68">
        <f>IFERROR(__xludf.DUMMYFUNCTION("""COMPUTED_VALUE"""),1.6925458E7)</f>
        <v>16925458</v>
      </c>
      <c r="H68" t="str">
        <f>IFERROR(__xludf.DUMMYFUNCTION("""COMPUTED_VALUE"""),"Elton Stoneman")</f>
        <v>Elton Stoneman</v>
      </c>
      <c r="I68" t="str">
        <f>IFERROR(__xludf.DUMMYFUNCTION("""COMPUTED_VALUE"""),"Low Rating")</f>
        <v>Low Rating</v>
      </c>
      <c r="J68" t="b">
        <f>IFERROR(__xludf.DUMMYFUNCTION("""COMPUTED_VALUE"""),FALSE)</f>
        <v>0</v>
      </c>
      <c r="K68" s="142" t="str">
        <f>IFERROR(__xludf.DUMMYFUNCTION("""COMPUTED_VALUE"""),"Development")</f>
        <v>Development</v>
      </c>
      <c r="L68" s="142" t="str">
        <f>IFERROR(__xludf.DUMMYFUNCTION("""COMPUTED_VALUE"""),"Programming Languages")</f>
        <v>Programming Languages</v>
      </c>
      <c r="N68" s="140" t="str">
        <f>IFERROR(__xludf.DUMMYFUNCTION("""COMPUTED_VALUE"""),"")</f>
        <v/>
      </c>
      <c r="P68" s="140" t="str">
        <f>IFERROR(__xludf.DUMMYFUNCTION("""COMPUTED_VALUE"""),"")</f>
        <v/>
      </c>
    </row>
    <row r="69">
      <c r="A69" s="143">
        <f>IFERROR(__xludf.DUMMYFUNCTION("""COMPUTED_VALUE"""),44623.0)</f>
        <v>44623</v>
      </c>
      <c r="B69" s="143">
        <f>IFERROR(__xludf.DUMMYFUNCTION("""COMPUTED_VALUE"""),44834.0)</f>
        <v>44834</v>
      </c>
      <c r="C69" s="140" t="str">
        <f>IFERROR(__xludf.DUMMYFUNCTION("""COMPUTED_VALUE"""),"en")</f>
        <v>en</v>
      </c>
      <c r="D69">
        <f>IFERROR(__xludf.DUMMYFUNCTION("""COMPUTED_VALUE"""),3571013.0)</f>
        <v>3571013</v>
      </c>
      <c r="E69" t="str">
        <f>IFERROR(__xludf.DUMMYFUNCTION("""COMPUTED_VALUE"""),"Master Google Analytics (Firebase) for Mobile Applications")</f>
        <v>Master Google Analytics (Firebase) for Mobile Applications</v>
      </c>
      <c r="F69" t="str">
        <f>IFERROR(__xludf.DUMMYFUNCTION("""COMPUTED_VALUE"""),"Master Google Analytics (Firebase) for Mobile Applications")</f>
        <v>Master Google Analytics (Firebase) for Mobile Applications</v>
      </c>
      <c r="G69">
        <f>IFERROR(__xludf.DUMMYFUNCTION("""COMPUTED_VALUE"""),4.6813486E7)</f>
        <v>46813486</v>
      </c>
      <c r="H69" t="str">
        <f>IFERROR(__xludf.DUMMYFUNCTION("""COMPUTED_VALUE"""),"Rudranil Chakrabortty")</f>
        <v>Rudranil Chakrabortty</v>
      </c>
      <c r="I69" t="str">
        <f>IFERROR(__xludf.DUMMYFUNCTION("""COMPUTED_VALUE"""),"Low Rating")</f>
        <v>Low Rating</v>
      </c>
      <c r="J69" t="b">
        <f>IFERROR(__xludf.DUMMYFUNCTION("""COMPUTED_VALUE"""),TRUE)</f>
        <v>1</v>
      </c>
      <c r="K69" s="142" t="str">
        <f>IFERROR(__xludf.DUMMYFUNCTION("""COMPUTED_VALUE"""),"Marketing")</f>
        <v>Marketing</v>
      </c>
      <c r="L69" s="142" t="str">
        <f>IFERROR(__xludf.DUMMYFUNCTION("""COMPUTED_VALUE"""),"Marketing Analytics &amp; Automation")</f>
        <v>Marketing Analytics &amp; Automation</v>
      </c>
      <c r="N69" s="140" t="str">
        <f>IFERROR(__xludf.DUMMYFUNCTION("""COMPUTED_VALUE"""),"")</f>
        <v/>
      </c>
      <c r="P69" s="140" t="str">
        <f>IFERROR(__xludf.DUMMYFUNCTION("""COMPUTED_VALUE"""),"")</f>
        <v/>
      </c>
    </row>
    <row r="70">
      <c r="A70" s="143">
        <f>IFERROR(__xludf.DUMMYFUNCTION("""COMPUTED_VALUE"""),44623.0)</f>
        <v>44623</v>
      </c>
      <c r="B70" s="143">
        <f>IFERROR(__xludf.DUMMYFUNCTION("""COMPUTED_VALUE"""),44834.0)</f>
        <v>44834</v>
      </c>
      <c r="C70" s="140" t="str">
        <f>IFERROR(__xludf.DUMMYFUNCTION("""COMPUTED_VALUE"""),"en")</f>
        <v>en</v>
      </c>
      <c r="D70">
        <f>IFERROR(__xludf.DUMMYFUNCTION("""COMPUTED_VALUE"""),3631076.0)</f>
        <v>3631076</v>
      </c>
      <c r="E70" t="str">
        <f>IFERROR(__xludf.DUMMYFUNCTION("""COMPUTED_VALUE"""),"Solarwinds Server &amp; Application Monitor SAM Full Course 2021")</f>
        <v>Solarwinds Server &amp; Application Monitor SAM Full Course 2021</v>
      </c>
      <c r="F70" t="str">
        <f>IFERROR(__xludf.DUMMYFUNCTION("""COMPUTED_VALUE"""),"Solarwinds Server &amp; Application Monitor SAM Full Course 2021")</f>
        <v>Solarwinds Server &amp; Application Monitor SAM Full Course 2021</v>
      </c>
      <c r="G70">
        <f>IFERROR(__xludf.DUMMYFUNCTION("""COMPUTED_VALUE"""),1.41370286E8)</f>
        <v>141370286</v>
      </c>
      <c r="H70" t="str">
        <f>IFERROR(__xludf.DUMMYFUNCTION("""COMPUTED_VALUE"""),"Yaz Becker")</f>
        <v>Yaz Becker</v>
      </c>
      <c r="I70" t="str">
        <f>IFERROR(__xludf.DUMMYFUNCTION("""COMPUTED_VALUE"""),"Low Rating")</f>
        <v>Low Rating</v>
      </c>
      <c r="J70" t="b">
        <f>IFERROR(__xludf.DUMMYFUNCTION("""COMPUTED_VALUE"""),FALSE)</f>
        <v>0</v>
      </c>
      <c r="K70" s="142" t="str">
        <f>IFERROR(__xludf.DUMMYFUNCTION("""COMPUTED_VALUE"""),"IT Operations")</f>
        <v>IT Operations</v>
      </c>
      <c r="L70" s="142" t="str">
        <f>IFERROR(__xludf.DUMMYFUNCTION("""COMPUTED_VALUE"""),"IT Certifications")</f>
        <v>IT Certifications</v>
      </c>
      <c r="N70" s="140" t="str">
        <f>IFERROR(__xludf.DUMMYFUNCTION("""COMPUTED_VALUE"""),"")</f>
        <v/>
      </c>
      <c r="P70" s="140" t="str">
        <f>IFERROR(__xludf.DUMMYFUNCTION("""COMPUTED_VALUE"""),"")</f>
        <v/>
      </c>
    </row>
    <row r="71">
      <c r="A71" s="143">
        <f>IFERROR(__xludf.DUMMYFUNCTION("""COMPUTED_VALUE"""),44623.0)</f>
        <v>44623</v>
      </c>
      <c r="B71" s="143">
        <f>IFERROR(__xludf.DUMMYFUNCTION("""COMPUTED_VALUE"""),44834.0)</f>
        <v>44834</v>
      </c>
      <c r="C71" s="140" t="str">
        <f>IFERROR(__xludf.DUMMYFUNCTION("""COMPUTED_VALUE"""),"en")</f>
        <v>en</v>
      </c>
      <c r="D71">
        <f>IFERROR(__xludf.DUMMYFUNCTION("""COMPUTED_VALUE"""),3647421.0)</f>
        <v>3647421</v>
      </c>
      <c r="E71" t="str">
        <f>IFERROR(__xludf.DUMMYFUNCTION("""COMPUTED_VALUE"""),"Automotive/Automobile Engineering; Onboard Diagnostics(OBD)")</f>
        <v>Automotive/Automobile Engineering; Onboard Diagnostics(OBD)</v>
      </c>
      <c r="F71" t="str">
        <f>IFERROR(__xludf.DUMMYFUNCTION("""COMPUTED_VALUE"""),"Automotive/Automobile Engineering; Onboard Diagnostics(OBD)")</f>
        <v>Automotive/Automobile Engineering; Onboard Diagnostics(OBD)</v>
      </c>
      <c r="G71">
        <f>IFERROR(__xludf.DUMMYFUNCTION("""COMPUTED_VALUE"""),1.27522182E8)</f>
        <v>127522182</v>
      </c>
      <c r="H71" t="str">
        <f>IFERROR(__xludf.DUMMYFUNCTION("""COMPUTED_VALUE"""),"Palem Vamsi")</f>
        <v>Palem Vamsi</v>
      </c>
      <c r="I71" t="str">
        <f>IFERROR(__xludf.DUMMYFUNCTION("""COMPUTED_VALUE"""),"Low Rating")</f>
        <v>Low Rating</v>
      </c>
      <c r="J71" t="b">
        <f>IFERROR(__xludf.DUMMYFUNCTION("""COMPUTED_VALUE"""),FALSE)</f>
        <v>0</v>
      </c>
      <c r="K71" s="142" t="str">
        <f>IFERROR(__xludf.DUMMYFUNCTION("""COMPUTED_VALUE"""),"IT Operations")</f>
        <v>IT Operations</v>
      </c>
      <c r="L71" s="142" t="str">
        <f>IFERROR(__xludf.DUMMYFUNCTION("""COMPUTED_VALUE"""),"Hardware")</f>
        <v>Hardware</v>
      </c>
      <c r="N71" s="140" t="str">
        <f>IFERROR(__xludf.DUMMYFUNCTION("""COMPUTED_VALUE"""),"")</f>
        <v/>
      </c>
      <c r="P71" s="140" t="str">
        <f>IFERROR(__xludf.DUMMYFUNCTION("""COMPUTED_VALUE"""),"")</f>
        <v/>
      </c>
    </row>
    <row r="72">
      <c r="A72" s="143">
        <f>IFERROR(__xludf.DUMMYFUNCTION("""COMPUTED_VALUE"""),44623.0)</f>
        <v>44623</v>
      </c>
      <c r="B72" s="143">
        <f>IFERROR(__xludf.DUMMYFUNCTION("""COMPUTED_VALUE"""),44834.0)</f>
        <v>44834</v>
      </c>
      <c r="C72" t="str">
        <f>IFERROR(__xludf.DUMMYFUNCTION("""COMPUTED_VALUE"""),"es")</f>
        <v>es</v>
      </c>
      <c r="D72">
        <f>IFERROR(__xludf.DUMMYFUNCTION("""COMPUTED_VALUE"""),108324.0)</f>
        <v>108324</v>
      </c>
      <c r="E72" t="str">
        <f>IFERROR(__xludf.DUMMYFUNCTION("""COMPUTED_VALUE"""),"SEO para WordPress - Curso Práctico de SEO usando WordPress")</f>
        <v>SEO para WordPress - Curso Práctico de SEO usando WordPress</v>
      </c>
      <c r="F72" t="str">
        <f>IFERROR(__xludf.DUMMYFUNCTION("""COMPUTED_VALUE"""),"SEO for WordPress - SEO practical course using WordPress")</f>
        <v>SEO for WordPress - SEO practical course using WordPress</v>
      </c>
      <c r="G72">
        <f>IFERROR(__xludf.DUMMYFUNCTION("""COMPUTED_VALUE"""),170781.0)</f>
        <v>170781</v>
      </c>
      <c r="H72" t="str">
        <f>IFERROR(__xludf.DUMMYFUNCTION("""COMPUTED_VALUE"""),"Jorge Jaramillo")</f>
        <v>Jorge Jaramillo</v>
      </c>
      <c r="I72" t="str">
        <f>IFERROR(__xludf.DUMMYFUNCTION("""COMPUTED_VALUE"""),"Low Rating")</f>
        <v>Low Rating</v>
      </c>
      <c r="J72" t="b">
        <f>IFERROR(__xludf.DUMMYFUNCTION("""COMPUTED_VALUE"""),FALSE)</f>
        <v>0</v>
      </c>
      <c r="K72" s="142" t="str">
        <f>IFERROR(__xludf.DUMMYFUNCTION("""COMPUTED_VALUE"""),"Marketing")</f>
        <v>Marketing</v>
      </c>
      <c r="L72" s="142" t="str">
        <f>IFERROR(__xludf.DUMMYFUNCTION("""COMPUTED_VALUE"""),"Search Engine Optimization")</f>
        <v>Search Engine Optimization</v>
      </c>
      <c r="N72" s="140" t="str">
        <f>IFERROR(__xludf.DUMMYFUNCTION("""COMPUTED_VALUE"""),"")</f>
        <v/>
      </c>
      <c r="P72" s="140" t="str">
        <f>IFERROR(__xludf.DUMMYFUNCTION("""COMPUTED_VALUE"""),"")</f>
        <v/>
      </c>
    </row>
    <row r="73">
      <c r="A73" s="143">
        <f>IFERROR(__xludf.DUMMYFUNCTION("""COMPUTED_VALUE"""),44623.0)</f>
        <v>44623</v>
      </c>
      <c r="B73" s="143">
        <f>IFERROR(__xludf.DUMMYFUNCTION("""COMPUTED_VALUE"""),44834.0)</f>
        <v>44834</v>
      </c>
      <c r="C73" t="str">
        <f>IFERROR(__xludf.DUMMYFUNCTION("""COMPUTED_VALUE"""),"en")</f>
        <v>en</v>
      </c>
      <c r="D73">
        <f>IFERROR(__xludf.DUMMYFUNCTION("""COMPUTED_VALUE"""),132804.0)</f>
        <v>132804</v>
      </c>
      <c r="E73" t="str">
        <f>IFERROR(__xludf.DUMMYFUNCTION("""COMPUTED_VALUE"""),"Website Localization For Translators")</f>
        <v>Website Localization For Translators</v>
      </c>
      <c r="F73" t="str">
        <f>IFERROR(__xludf.DUMMYFUNCTION("""COMPUTED_VALUE"""),"Website Localization For Translators")</f>
        <v>Website Localization For Translators</v>
      </c>
      <c r="G73">
        <f>IFERROR(__xludf.DUMMYFUNCTION("""COMPUTED_VALUE"""),2211516.0)</f>
        <v>2211516</v>
      </c>
      <c r="H73" t="str">
        <f>IFERROR(__xludf.DUMMYFUNCTION("""COMPUTED_VALUE"""),"Dorota Pawlak")</f>
        <v>Dorota Pawlak</v>
      </c>
      <c r="I73" t="str">
        <f>IFERROR(__xludf.DUMMYFUNCTION("""COMPUTED_VALUE"""),"Low Rating")</f>
        <v>Low Rating</v>
      </c>
      <c r="J73" t="b">
        <f>IFERROR(__xludf.DUMMYFUNCTION("""COMPUTED_VALUE"""),FALSE)</f>
        <v>0</v>
      </c>
      <c r="K73" s="142" t="str">
        <f>IFERROR(__xludf.DUMMYFUNCTION("""COMPUTED_VALUE"""),"Marketing")</f>
        <v>Marketing</v>
      </c>
      <c r="L73" s="142" t="str">
        <f>IFERROR(__xludf.DUMMYFUNCTION("""COMPUTED_VALUE"""),"Digital Marketing")</f>
        <v>Digital Marketing</v>
      </c>
      <c r="N73" s="140" t="str">
        <f>IFERROR(__xludf.DUMMYFUNCTION("""COMPUTED_VALUE"""),"")</f>
        <v/>
      </c>
      <c r="P73" s="140" t="str">
        <f>IFERROR(__xludf.DUMMYFUNCTION("""COMPUTED_VALUE"""),"")</f>
        <v/>
      </c>
    </row>
    <row r="74">
      <c r="A74" s="143">
        <f>IFERROR(__xludf.DUMMYFUNCTION("""COMPUTED_VALUE"""),44623.0)</f>
        <v>44623</v>
      </c>
      <c r="B74" s="143">
        <f>IFERROR(__xludf.DUMMYFUNCTION("""COMPUTED_VALUE"""),44834.0)</f>
        <v>44834</v>
      </c>
      <c r="C74" t="str">
        <f>IFERROR(__xludf.DUMMYFUNCTION("""COMPUTED_VALUE"""),"de")</f>
        <v>de</v>
      </c>
      <c r="D74">
        <f>IFERROR(__xludf.DUMMYFUNCTION("""COMPUTED_VALUE"""),288206.0)</f>
        <v>288206</v>
      </c>
      <c r="E74" t="str">
        <f>IFERROR(__xludf.DUMMYFUNCTION("""COMPUTED_VALUE"""),"PHP Programmierung für Anfänger - Grundlagen")</f>
        <v>PHP Programmierung für Anfänger - Grundlagen</v>
      </c>
      <c r="F74" t="str">
        <f>IFERROR(__xludf.DUMMYFUNCTION("""COMPUTED_VALUE"""),"PHP programming for beginners - basics")</f>
        <v>PHP programming for beginners - basics</v>
      </c>
      <c r="G74">
        <f>IFERROR(__xludf.DUMMYFUNCTION("""COMPUTED_VALUE"""),7365600.0)</f>
        <v>7365600</v>
      </c>
      <c r="H74" t="str">
        <f>IFERROR(__xludf.DUMMYFUNCTION("""COMPUTED_VALUE"""),"Timo Jeske")</f>
        <v>Timo Jeske</v>
      </c>
      <c r="I74" t="str">
        <f>IFERROR(__xludf.DUMMYFUNCTION("""COMPUTED_VALUE"""),"Low Rating")</f>
        <v>Low Rating</v>
      </c>
      <c r="J74" t="b">
        <f>IFERROR(__xludf.DUMMYFUNCTION("""COMPUTED_VALUE"""),FALSE)</f>
        <v>0</v>
      </c>
      <c r="K74" s="142" t="str">
        <f>IFERROR(__xludf.DUMMYFUNCTION("""COMPUTED_VALUE"""),"Development")</f>
        <v>Development</v>
      </c>
      <c r="L74" s="142" t="str">
        <f>IFERROR(__xludf.DUMMYFUNCTION("""COMPUTED_VALUE"""),"Web Development")</f>
        <v>Web Development</v>
      </c>
      <c r="N74" s="140" t="str">
        <f>IFERROR(__xludf.DUMMYFUNCTION("""COMPUTED_VALUE"""),"")</f>
        <v/>
      </c>
      <c r="P74" s="140" t="str">
        <f>IFERROR(__xludf.DUMMYFUNCTION("""COMPUTED_VALUE"""),"")</f>
        <v/>
      </c>
    </row>
    <row r="75">
      <c r="A75" s="143">
        <f>IFERROR(__xludf.DUMMYFUNCTION("""COMPUTED_VALUE"""),44623.0)</f>
        <v>44623</v>
      </c>
      <c r="B75" s="143">
        <f>IFERROR(__xludf.DUMMYFUNCTION("""COMPUTED_VALUE"""),44834.0)</f>
        <v>44834</v>
      </c>
      <c r="C75" t="str">
        <f>IFERROR(__xludf.DUMMYFUNCTION("""COMPUTED_VALUE"""),"en")</f>
        <v>en</v>
      </c>
      <c r="D75">
        <f>IFERROR(__xludf.DUMMYFUNCTION("""COMPUTED_VALUE"""),343816.0)</f>
        <v>343816</v>
      </c>
      <c r="E75" t="str">
        <f>IFERROR(__xludf.DUMMYFUNCTION("""COMPUTED_VALUE"""),"SASS from Beginner to Expert")</f>
        <v>SASS from Beginner to Expert</v>
      </c>
      <c r="F75" t="str">
        <f>IFERROR(__xludf.DUMMYFUNCTION("""COMPUTED_VALUE"""),"SASS from Beginner to Expert")</f>
        <v>SASS from Beginner to Expert</v>
      </c>
      <c r="G75">
        <f>IFERROR(__xludf.DUMMYFUNCTION("""COMPUTED_VALUE"""),621716.0)</f>
        <v>621716</v>
      </c>
      <c r="H75" t="str">
        <f>IFERROR(__xludf.DUMMYFUNCTION("""COMPUTED_VALUE"""),"Arkadiusz Włodarczyk")</f>
        <v>Arkadiusz Włodarczyk</v>
      </c>
      <c r="I75" t="str">
        <f>IFERROR(__xludf.DUMMYFUNCTION("""COMPUTED_VALUE"""),"Low Rating")</f>
        <v>Low Rating</v>
      </c>
      <c r="J75" t="b">
        <f>IFERROR(__xludf.DUMMYFUNCTION("""COMPUTED_VALUE"""),FALSE)</f>
        <v>0</v>
      </c>
      <c r="K75" s="142" t="str">
        <f>IFERROR(__xludf.DUMMYFUNCTION("""COMPUTED_VALUE"""),"Development")</f>
        <v>Development</v>
      </c>
      <c r="L75" s="142" t="str">
        <f>IFERROR(__xludf.DUMMYFUNCTION("""COMPUTED_VALUE"""),"Web Development")</f>
        <v>Web Development</v>
      </c>
      <c r="N75" s="140" t="str">
        <f>IFERROR(__xludf.DUMMYFUNCTION("""COMPUTED_VALUE"""),"")</f>
        <v/>
      </c>
      <c r="P75" s="140" t="str">
        <f>IFERROR(__xludf.DUMMYFUNCTION("""COMPUTED_VALUE"""),"")</f>
        <v/>
      </c>
    </row>
    <row r="76">
      <c r="A76" s="143">
        <f>IFERROR(__xludf.DUMMYFUNCTION("""COMPUTED_VALUE"""),44623.0)</f>
        <v>44623</v>
      </c>
      <c r="B76" s="143">
        <f>IFERROR(__xludf.DUMMYFUNCTION("""COMPUTED_VALUE"""),44834.0)</f>
        <v>44834</v>
      </c>
      <c r="C76" t="str">
        <f>IFERROR(__xludf.DUMMYFUNCTION("""COMPUTED_VALUE"""),"es")</f>
        <v>es</v>
      </c>
      <c r="D76">
        <f>IFERROR(__xludf.DUMMYFUNCTION("""COMPUTED_VALUE"""),376402.0)</f>
        <v>376402</v>
      </c>
      <c r="E76" t="str">
        <f>IFERROR(__xludf.DUMMYFUNCTION("""COMPUTED_VALUE"""),"Desarrollo Web con Spring 4")</f>
        <v>Desarrollo Web con Spring 4</v>
      </c>
      <c r="F76" t="str">
        <f>IFERROR(__xludf.DUMMYFUNCTION("""COMPUTED_VALUE"""),"Web development with Spring 4")</f>
        <v>Web development with Spring 4</v>
      </c>
      <c r="G76">
        <f>IFERROR(__xludf.DUMMYFUNCTION("""COMPUTED_VALUE"""),4876734.0)</f>
        <v>4876734</v>
      </c>
      <c r="H76" t="str">
        <f>IFERROR(__xludf.DUMMYFUNCTION("""COMPUTED_VALUE"""),"Abraham Ramirez")</f>
        <v>Abraham Ramirez</v>
      </c>
      <c r="I76" t="str">
        <f>IFERROR(__xludf.DUMMYFUNCTION("""COMPUTED_VALUE"""),"Low Rating")</f>
        <v>Low Rating</v>
      </c>
      <c r="J76" t="b">
        <f>IFERROR(__xludf.DUMMYFUNCTION("""COMPUTED_VALUE"""),FALSE)</f>
        <v>0</v>
      </c>
      <c r="K76" s="142" t="str">
        <f>IFERROR(__xludf.DUMMYFUNCTION("""COMPUTED_VALUE"""),"Development")</f>
        <v>Development</v>
      </c>
      <c r="L76" s="142" t="str">
        <f>IFERROR(__xludf.DUMMYFUNCTION("""COMPUTED_VALUE"""),"Web Development")</f>
        <v>Web Development</v>
      </c>
      <c r="N76" s="140" t="str">
        <f>IFERROR(__xludf.DUMMYFUNCTION("""COMPUTED_VALUE"""),"")</f>
        <v/>
      </c>
      <c r="P76" s="140" t="str">
        <f>IFERROR(__xludf.DUMMYFUNCTION("""COMPUTED_VALUE"""),"")</f>
        <v/>
      </c>
    </row>
    <row r="77">
      <c r="A77" s="143">
        <f>IFERROR(__xludf.DUMMYFUNCTION("""COMPUTED_VALUE"""),44623.0)</f>
        <v>44623</v>
      </c>
      <c r="B77" s="143">
        <f>IFERROR(__xludf.DUMMYFUNCTION("""COMPUTED_VALUE"""),44834.0)</f>
        <v>44834</v>
      </c>
      <c r="C77" t="str">
        <f>IFERROR(__xludf.DUMMYFUNCTION("""COMPUTED_VALUE"""),"en")</f>
        <v>en</v>
      </c>
      <c r="D77">
        <f>IFERROR(__xludf.DUMMYFUNCTION("""COMPUTED_VALUE"""),421216.0)</f>
        <v>421216</v>
      </c>
      <c r="E77" t="str">
        <f>IFERROR(__xludf.DUMMYFUNCTION("""COMPUTED_VALUE"""),"Text Mining, Scraping and Sentiment Analysis with R")</f>
        <v>Text Mining, Scraping and Sentiment Analysis with R</v>
      </c>
      <c r="F77" t="str">
        <f>IFERROR(__xludf.DUMMYFUNCTION("""COMPUTED_VALUE"""),"Text Mining, Scraping and Sentiment Analysis with R")</f>
        <v>Text Mining, Scraping and Sentiment Analysis with R</v>
      </c>
      <c r="G77">
        <f>IFERROR(__xludf.DUMMYFUNCTION("""COMPUTED_VALUE"""),5678748.0)</f>
        <v>5678748</v>
      </c>
      <c r="H77" t="str">
        <f>IFERROR(__xludf.DUMMYFUNCTION("""COMPUTED_VALUE"""),"R-Tutorials Training")</f>
        <v>R-Tutorials Training</v>
      </c>
      <c r="I77" t="str">
        <f>IFERROR(__xludf.DUMMYFUNCTION("""COMPUTED_VALUE"""),"Low Rating")</f>
        <v>Low Rating</v>
      </c>
      <c r="J77" t="b">
        <f>IFERROR(__xludf.DUMMYFUNCTION("""COMPUTED_VALUE"""),FALSE)</f>
        <v>0</v>
      </c>
      <c r="K77" s="142" t="str">
        <f>IFERROR(__xludf.DUMMYFUNCTION("""COMPUTED_VALUE"""),"Data Science")</f>
        <v>Data Science</v>
      </c>
      <c r="L77" s="142" t="str">
        <f>IFERROR(__xludf.DUMMYFUNCTION("""COMPUTED_VALUE"""),"Analytics")</f>
        <v>Analytics</v>
      </c>
      <c r="N77" s="140" t="str">
        <f>IFERROR(__xludf.DUMMYFUNCTION("""COMPUTED_VALUE"""),"")</f>
        <v/>
      </c>
      <c r="P77" s="140" t="str">
        <f>IFERROR(__xludf.DUMMYFUNCTION("""COMPUTED_VALUE"""),"")</f>
        <v/>
      </c>
    </row>
    <row r="78">
      <c r="A78" s="143">
        <f>IFERROR(__xludf.DUMMYFUNCTION("""COMPUTED_VALUE"""),44623.0)</f>
        <v>44623</v>
      </c>
      <c r="B78" s="143">
        <f>IFERROR(__xludf.DUMMYFUNCTION("""COMPUTED_VALUE"""),44834.0)</f>
        <v>44834</v>
      </c>
      <c r="C78" t="str">
        <f>IFERROR(__xludf.DUMMYFUNCTION("""COMPUTED_VALUE"""),"en")</f>
        <v>en</v>
      </c>
      <c r="D78">
        <f>IFERROR(__xludf.DUMMYFUNCTION("""COMPUTED_VALUE"""),435902.0)</f>
        <v>435902</v>
      </c>
      <c r="E78" t="str">
        <f>IFERROR(__xludf.DUMMYFUNCTION("""COMPUTED_VALUE"""),"Personal Finance Life Coach Certification 3WEC Training")</f>
        <v>Personal Finance Life Coach Certification 3WEC Training</v>
      </c>
      <c r="F78" t="str">
        <f>IFERROR(__xludf.DUMMYFUNCTION("""COMPUTED_VALUE"""),"Personal Finance Life Coach Certification 3WEC Training")</f>
        <v>Personal Finance Life Coach Certification 3WEC Training</v>
      </c>
      <c r="G78">
        <f>IFERROR(__xludf.DUMMYFUNCTION("""COMPUTED_VALUE"""),1.0248944E7)</f>
        <v>10248944</v>
      </c>
      <c r="H78" t="str">
        <f>IFERROR(__xludf.DUMMYFUNCTION("""COMPUTED_VALUE"""),"Holistic Coach Academy")</f>
        <v>Holistic Coach Academy</v>
      </c>
      <c r="I78" t="str">
        <f>IFERROR(__xludf.DUMMYFUNCTION("""COMPUTED_VALUE"""),"Low Rating")</f>
        <v>Low Rating</v>
      </c>
      <c r="J78" t="b">
        <f>IFERROR(__xludf.DUMMYFUNCTION("""COMPUTED_VALUE"""),FALSE)</f>
        <v>0</v>
      </c>
      <c r="K78" s="142" t="str">
        <f>IFERROR(__xludf.DUMMYFUNCTION("""COMPUTED_VALUE"""),"Personal Development")</f>
        <v>Personal Development</v>
      </c>
      <c r="L78" s="142" t="str">
        <f>IFERROR(__xludf.DUMMYFUNCTION("""COMPUTED_VALUE"""),"Life Skills")</f>
        <v>Life Skills</v>
      </c>
      <c r="N78" s="140" t="str">
        <f>IFERROR(__xludf.DUMMYFUNCTION("""COMPUTED_VALUE"""),"")</f>
        <v/>
      </c>
      <c r="P78" s="140" t="str">
        <f>IFERROR(__xludf.DUMMYFUNCTION("""COMPUTED_VALUE"""),"")</f>
        <v/>
      </c>
    </row>
    <row r="79">
      <c r="A79" s="143">
        <f>IFERROR(__xludf.DUMMYFUNCTION("""COMPUTED_VALUE"""),44623.0)</f>
        <v>44623</v>
      </c>
      <c r="B79" s="143">
        <f>IFERROR(__xludf.DUMMYFUNCTION("""COMPUTED_VALUE"""),44834.0)</f>
        <v>44834</v>
      </c>
      <c r="C79" t="str">
        <f>IFERROR(__xludf.DUMMYFUNCTION("""COMPUTED_VALUE"""),"de")</f>
        <v>de</v>
      </c>
      <c r="D79">
        <f>IFERROR(__xludf.DUMMYFUNCTION("""COMPUTED_VALUE"""),735284.0)</f>
        <v>735284</v>
      </c>
      <c r="E79" t="str">
        <f>IFERROR(__xludf.DUMMYFUNCTION("""COMPUTED_VALUE"""),"Erstelle Android Apps, die geliebt werden!")</f>
        <v>Erstelle Android Apps, die geliebt werden!</v>
      </c>
      <c r="F79" t="str">
        <f>IFERROR(__xludf.DUMMYFUNCTION("""COMPUTED_VALUE"""),"Create Android apps that are loved!")</f>
        <v>Create Android apps that are loved!</v>
      </c>
      <c r="G79">
        <f>IFERROR(__xludf.DUMMYFUNCTION("""COMPUTED_VALUE"""),4573650.0)</f>
        <v>4573650</v>
      </c>
      <c r="H79" t="str">
        <f>IFERROR(__xludf.DUMMYFUNCTION("""COMPUTED_VALUE"""),"Denis Panjuta")</f>
        <v>Denis Panjuta</v>
      </c>
      <c r="I79" t="str">
        <f>IFERROR(__xludf.DUMMYFUNCTION("""COMPUTED_VALUE"""),"Low Rating")</f>
        <v>Low Rating</v>
      </c>
      <c r="J79" t="b">
        <f>IFERROR(__xludf.DUMMYFUNCTION("""COMPUTED_VALUE"""),FALSE)</f>
        <v>0</v>
      </c>
      <c r="K79" s="142" t="str">
        <f>IFERROR(__xludf.DUMMYFUNCTION("""COMPUTED_VALUE"""),"Development")</f>
        <v>Development</v>
      </c>
      <c r="L79" s="142" t="str">
        <f>IFERROR(__xludf.DUMMYFUNCTION("""COMPUTED_VALUE"""),"Mobile Development")</f>
        <v>Mobile Development</v>
      </c>
      <c r="N79" s="140" t="str">
        <f>IFERROR(__xludf.DUMMYFUNCTION("""COMPUTED_VALUE"""),"")</f>
        <v/>
      </c>
      <c r="P79" s="140" t="str">
        <f>IFERROR(__xludf.DUMMYFUNCTION("""COMPUTED_VALUE"""),"")</f>
        <v/>
      </c>
    </row>
    <row r="80">
      <c r="A80" s="143">
        <f>IFERROR(__xludf.DUMMYFUNCTION("""COMPUTED_VALUE"""),44623.0)</f>
        <v>44623</v>
      </c>
      <c r="B80" s="143">
        <f>IFERROR(__xludf.DUMMYFUNCTION("""COMPUTED_VALUE"""),44834.0)</f>
        <v>44834</v>
      </c>
      <c r="C80" t="str">
        <f>IFERROR(__xludf.DUMMYFUNCTION("""COMPUTED_VALUE"""),"pt")</f>
        <v>pt</v>
      </c>
      <c r="D80">
        <f>IFERROR(__xludf.DUMMYFUNCTION("""COMPUTED_VALUE"""),865646.0)</f>
        <v>865646</v>
      </c>
      <c r="E80" t="str">
        <f>IFERROR(__xludf.DUMMYFUNCTION("""COMPUTED_VALUE"""),"Curso de desenvolvimento iOS 10 -  Aprenda a criar 15 apps")</f>
        <v>Curso de desenvolvimento iOS 10 -  Aprenda a criar 15 apps</v>
      </c>
      <c r="F80" t="str">
        <f>IFERROR(__xludf.DUMMYFUNCTION("""COMPUTED_VALUE"""),"IOS 10 Development Course - Learn to Create 15 Apps")</f>
        <v>IOS 10 Development Course - Learn to Create 15 Apps</v>
      </c>
      <c r="G80">
        <f>IFERROR(__xludf.DUMMYFUNCTION("""COMPUTED_VALUE"""),3195542.0)</f>
        <v>3195542</v>
      </c>
      <c r="H80" t="str">
        <f>IFERROR(__xludf.DUMMYFUNCTION("""COMPUTED_VALUE"""),"Jamilton Damasceno")</f>
        <v>Jamilton Damasceno</v>
      </c>
      <c r="I80" t="str">
        <f>IFERROR(__xludf.DUMMYFUNCTION("""COMPUTED_VALUE"""),"Low Rating")</f>
        <v>Low Rating</v>
      </c>
      <c r="J80" t="b">
        <f>IFERROR(__xludf.DUMMYFUNCTION("""COMPUTED_VALUE"""),FALSE)</f>
        <v>0</v>
      </c>
      <c r="K80" s="142" t="str">
        <f>IFERROR(__xludf.DUMMYFUNCTION("""COMPUTED_VALUE"""),"Development")</f>
        <v>Development</v>
      </c>
      <c r="L80" s="142" t="str">
        <f>IFERROR(__xludf.DUMMYFUNCTION("""COMPUTED_VALUE"""),"Mobile Development")</f>
        <v>Mobile Development</v>
      </c>
      <c r="N80" s="140" t="str">
        <f>IFERROR(__xludf.DUMMYFUNCTION("""COMPUTED_VALUE"""),"")</f>
        <v/>
      </c>
      <c r="P80" s="140" t="str">
        <f>IFERROR(__xludf.DUMMYFUNCTION("""COMPUTED_VALUE"""),"")</f>
        <v/>
      </c>
    </row>
    <row r="81">
      <c r="A81" s="143">
        <f>IFERROR(__xludf.DUMMYFUNCTION("""COMPUTED_VALUE"""),44623.0)</f>
        <v>44623</v>
      </c>
      <c r="B81" s="143">
        <f>IFERROR(__xludf.DUMMYFUNCTION("""COMPUTED_VALUE"""),44834.0)</f>
        <v>44834</v>
      </c>
      <c r="C81" t="str">
        <f>IFERROR(__xludf.DUMMYFUNCTION("""COMPUTED_VALUE"""),"en")</f>
        <v>en</v>
      </c>
      <c r="D81">
        <f>IFERROR(__xludf.DUMMYFUNCTION("""COMPUTED_VALUE"""),955948.0)</f>
        <v>955948</v>
      </c>
      <c r="E81" t="str">
        <f>IFERROR(__xludf.DUMMYFUNCTION("""COMPUTED_VALUE"""),"Learn Adobe Character Animator CC")</f>
        <v>Learn Adobe Character Animator CC</v>
      </c>
      <c r="F81" t="str">
        <f>IFERROR(__xludf.DUMMYFUNCTION("""COMPUTED_VALUE"""),"Learn Adobe Character Animator CC")</f>
        <v>Learn Adobe Character Animator CC</v>
      </c>
      <c r="G81">
        <f>IFERROR(__xludf.DUMMYFUNCTION("""COMPUTED_VALUE"""),2.5783478E7)</f>
        <v>25783478</v>
      </c>
      <c r="H81" t="str">
        <f>IFERROR(__xludf.DUMMYFUNCTION("""COMPUTED_VALUE"""),"David Miller")</f>
        <v>David Miller</v>
      </c>
      <c r="I81" t="str">
        <f>IFERROR(__xludf.DUMMYFUNCTION("""COMPUTED_VALUE"""),"Low Rating")</f>
        <v>Low Rating</v>
      </c>
      <c r="J81" t="b">
        <f>IFERROR(__xludf.DUMMYFUNCTION("""COMPUTED_VALUE"""),FALSE)</f>
        <v>0</v>
      </c>
      <c r="K81" s="142" t="str">
        <f>IFERROR(__xludf.DUMMYFUNCTION("""COMPUTED_VALUE"""),"Design")</f>
        <v>Design</v>
      </c>
      <c r="L81" s="142" t="str">
        <f>IFERROR(__xludf.DUMMYFUNCTION("""COMPUTED_VALUE"""),"3D &amp; Animation")</f>
        <v>3D &amp; Animation</v>
      </c>
      <c r="N81" s="140" t="str">
        <f>IFERROR(__xludf.DUMMYFUNCTION("""COMPUTED_VALUE"""),"")</f>
        <v/>
      </c>
      <c r="P81" s="140" t="str">
        <f>IFERROR(__xludf.DUMMYFUNCTION("""COMPUTED_VALUE"""),"")</f>
        <v/>
      </c>
    </row>
    <row r="82">
      <c r="A82" s="143">
        <f>IFERROR(__xludf.DUMMYFUNCTION("""COMPUTED_VALUE"""),44623.0)</f>
        <v>44623</v>
      </c>
      <c r="B82" s="143">
        <f>IFERROR(__xludf.DUMMYFUNCTION("""COMPUTED_VALUE"""),44834.0)</f>
        <v>44834</v>
      </c>
      <c r="C82" t="str">
        <f>IFERROR(__xludf.DUMMYFUNCTION("""COMPUTED_VALUE"""),"en")</f>
        <v>en</v>
      </c>
      <c r="D82">
        <f>IFERROR(__xludf.DUMMYFUNCTION("""COMPUTED_VALUE"""),1218790.0)</f>
        <v>1218790</v>
      </c>
      <c r="E82" t="str">
        <f>IFERROR(__xludf.DUMMYFUNCTION("""COMPUTED_VALUE"""),"Basics in Plan to Produce (P2P) Process: Oracle SCM Cloud")</f>
        <v>Basics in Plan to Produce (P2P) Process: Oracle SCM Cloud</v>
      </c>
      <c r="F82" t="str">
        <f>IFERROR(__xludf.DUMMYFUNCTION("""COMPUTED_VALUE"""),"Basics in Plan to Produce (P2P) Process: Oracle SCM Cloud")</f>
        <v>Basics in Plan to Produce (P2P) Process: Oracle SCM Cloud</v>
      </c>
      <c r="G82">
        <f>IFERROR(__xludf.DUMMYFUNCTION("""COMPUTED_VALUE"""),2.5326468E7)</f>
        <v>25326468</v>
      </c>
      <c r="H82" t="str">
        <f>IFERROR(__xludf.DUMMYFUNCTION("""COMPUTED_VALUE"""),"Solution Architect/Trainer")</f>
        <v>Solution Architect/Trainer</v>
      </c>
      <c r="I82" t="str">
        <f>IFERROR(__xludf.DUMMYFUNCTION("""COMPUTED_VALUE"""),"Low Rating")</f>
        <v>Low Rating</v>
      </c>
      <c r="J82" t="b">
        <f>IFERROR(__xludf.DUMMYFUNCTION("""COMPUTED_VALUE"""),FALSE)</f>
        <v>0</v>
      </c>
      <c r="K82" s="142" t="str">
        <f>IFERROR(__xludf.DUMMYFUNCTION("""COMPUTED_VALUE"""),"Development")</f>
        <v>Development</v>
      </c>
      <c r="L82" s="142" t="str">
        <f>IFERROR(__xludf.DUMMYFUNCTION("""COMPUTED_VALUE"""),"Database Design &amp; Development")</f>
        <v>Database Design &amp; Development</v>
      </c>
      <c r="N82" s="140" t="str">
        <f>IFERROR(__xludf.DUMMYFUNCTION("""COMPUTED_VALUE"""),"")</f>
        <v/>
      </c>
      <c r="P82" s="140" t="str">
        <f>IFERROR(__xludf.DUMMYFUNCTION("""COMPUTED_VALUE"""),"")</f>
        <v/>
      </c>
    </row>
    <row r="83">
      <c r="A83" s="143">
        <f>IFERROR(__xludf.DUMMYFUNCTION("""COMPUTED_VALUE"""),44623.0)</f>
        <v>44623</v>
      </c>
      <c r="B83" s="143">
        <f>IFERROR(__xludf.DUMMYFUNCTION("""COMPUTED_VALUE"""),44834.0)</f>
        <v>44834</v>
      </c>
      <c r="C83" t="str">
        <f>IFERROR(__xludf.DUMMYFUNCTION("""COMPUTED_VALUE"""),"en")</f>
        <v>en</v>
      </c>
      <c r="D83">
        <f>IFERROR(__xludf.DUMMYFUNCTION("""COMPUTED_VALUE"""),1220862.0)</f>
        <v>1220862</v>
      </c>
      <c r="E83" t="str">
        <f>IFERROR(__xludf.DUMMYFUNCTION("""COMPUTED_VALUE"""),"Stock Market Success : Secret Sauce - Stock Market Trading")</f>
        <v>Stock Market Success : Secret Sauce - Stock Market Trading</v>
      </c>
      <c r="F83" t="str">
        <f>IFERROR(__xludf.DUMMYFUNCTION("""COMPUTED_VALUE"""),"Stock Market Success : Secret Sauce - Stock Market Trading")</f>
        <v>Stock Market Success : Secret Sauce - Stock Market Trading</v>
      </c>
      <c r="G83">
        <f>IFERROR(__xludf.DUMMYFUNCTION("""COMPUTED_VALUE"""),3.1816962E7)</f>
        <v>31816962</v>
      </c>
      <c r="H83" t="str">
        <f>IFERROR(__xludf.DUMMYFUNCTION("""COMPUTED_VALUE"""),"Chandra Sekhar")</f>
        <v>Chandra Sekhar</v>
      </c>
      <c r="I83" t="str">
        <f>IFERROR(__xludf.DUMMYFUNCTION("""COMPUTED_VALUE"""),"Low Rating")</f>
        <v>Low Rating</v>
      </c>
      <c r="J83" t="b">
        <f>IFERROR(__xludf.DUMMYFUNCTION("""COMPUTED_VALUE"""),FALSE)</f>
        <v>0</v>
      </c>
      <c r="K83" s="142" t="str">
        <f>IFERROR(__xludf.DUMMYFUNCTION("""COMPUTED_VALUE"""),"Finance &amp; Accounting")</f>
        <v>Finance &amp; Accounting</v>
      </c>
      <c r="L83" s="142" t="str">
        <f>IFERROR(__xludf.DUMMYFUNCTION("""COMPUTED_VALUE"""),"Investing &amp; Trading")</f>
        <v>Investing &amp; Trading</v>
      </c>
      <c r="N83" s="140" t="str">
        <f>IFERROR(__xludf.DUMMYFUNCTION("""COMPUTED_VALUE"""),"")</f>
        <v/>
      </c>
      <c r="P83" s="140" t="str">
        <f>IFERROR(__xludf.DUMMYFUNCTION("""COMPUTED_VALUE"""),"")</f>
        <v/>
      </c>
    </row>
    <row r="84">
      <c r="A84" s="143">
        <f>IFERROR(__xludf.DUMMYFUNCTION("""COMPUTED_VALUE"""),44623.0)</f>
        <v>44623</v>
      </c>
      <c r="B84" s="143">
        <f>IFERROR(__xludf.DUMMYFUNCTION("""COMPUTED_VALUE"""),44834.0)</f>
        <v>44834</v>
      </c>
      <c r="C84" t="str">
        <f>IFERROR(__xludf.DUMMYFUNCTION("""COMPUTED_VALUE"""),"pt")</f>
        <v>pt</v>
      </c>
      <c r="D84">
        <f>IFERROR(__xludf.DUMMYFUNCTION("""COMPUTED_VALUE"""),1222412.0)</f>
        <v>1222412</v>
      </c>
      <c r="E84" t="str">
        <f>IFERROR(__xludf.DUMMYFUNCTION("""COMPUTED_VALUE"""),"Curso Completo de Kotlin para Desenvolvimento Android")</f>
        <v>Curso Completo de Kotlin para Desenvolvimento Android</v>
      </c>
      <c r="F84" t="str">
        <f>IFERROR(__xludf.DUMMYFUNCTION("""COMPUTED_VALUE"""),"Full Kotlin Course for Android Development")</f>
        <v>Full Kotlin Course for Android Development</v>
      </c>
      <c r="G84">
        <f>IFERROR(__xludf.DUMMYFUNCTION("""COMPUTED_VALUE"""),2.6760298E7)</f>
        <v>26760298</v>
      </c>
      <c r="H84" t="str">
        <f>IFERROR(__xludf.DUMMYFUNCTION("""COMPUTED_VALUE"""),"AndroidPro Blog")</f>
        <v>AndroidPro Blog</v>
      </c>
      <c r="I84" t="str">
        <f>IFERROR(__xludf.DUMMYFUNCTION("""COMPUTED_VALUE"""),"Low Rating")</f>
        <v>Low Rating</v>
      </c>
      <c r="J84" t="b">
        <f>IFERROR(__xludf.DUMMYFUNCTION("""COMPUTED_VALUE"""),FALSE)</f>
        <v>0</v>
      </c>
      <c r="K84" s="142" t="str">
        <f>IFERROR(__xludf.DUMMYFUNCTION("""COMPUTED_VALUE"""),"Development")</f>
        <v>Development</v>
      </c>
      <c r="L84" s="142" t="str">
        <f>IFERROR(__xludf.DUMMYFUNCTION("""COMPUTED_VALUE"""),"Mobile Development")</f>
        <v>Mobile Development</v>
      </c>
      <c r="N84" s="140" t="str">
        <f>IFERROR(__xludf.DUMMYFUNCTION("""COMPUTED_VALUE"""),"")</f>
        <v/>
      </c>
      <c r="P84" s="140" t="str">
        <f>IFERROR(__xludf.DUMMYFUNCTION("""COMPUTED_VALUE"""),"")</f>
        <v/>
      </c>
    </row>
    <row r="85">
      <c r="A85" s="143">
        <f>IFERROR(__xludf.DUMMYFUNCTION("""COMPUTED_VALUE"""),44623.0)</f>
        <v>44623</v>
      </c>
      <c r="B85" s="143">
        <f>IFERROR(__xludf.DUMMYFUNCTION("""COMPUTED_VALUE"""),44834.0)</f>
        <v>44834</v>
      </c>
      <c r="C85" t="str">
        <f>IFERROR(__xludf.DUMMYFUNCTION("""COMPUTED_VALUE"""),"en")</f>
        <v>en</v>
      </c>
      <c r="D85">
        <f>IFERROR(__xludf.DUMMYFUNCTION("""COMPUTED_VALUE"""),1241926.0)</f>
        <v>1241926</v>
      </c>
      <c r="E85" t="str">
        <f>IFERROR(__xludf.DUMMYFUNCTION("""COMPUTED_VALUE"""),"Learn MAPINFO Professional from scratch ( Zero to Hero )")</f>
        <v>Learn MAPINFO Professional from scratch ( Zero to Hero )</v>
      </c>
      <c r="F85" t="str">
        <f>IFERROR(__xludf.DUMMYFUNCTION("""COMPUTED_VALUE"""),"Learn MAPINFO Professional from scratch ( Zero to Hero )")</f>
        <v>Learn MAPINFO Professional from scratch ( Zero to Hero )</v>
      </c>
      <c r="G85">
        <f>IFERROR(__xludf.DUMMYFUNCTION("""COMPUTED_VALUE"""),2.1939786E7)</f>
        <v>21939786</v>
      </c>
      <c r="H85" t="str">
        <f>IFERROR(__xludf.DUMMYFUNCTION("""COMPUTED_VALUE"""),"Syed Shabbir")</f>
        <v>Syed Shabbir</v>
      </c>
      <c r="I85" t="str">
        <f>IFERROR(__xludf.DUMMYFUNCTION("""COMPUTED_VALUE"""),"Low Rating")</f>
        <v>Low Rating</v>
      </c>
      <c r="J85" t="b">
        <f>IFERROR(__xludf.DUMMYFUNCTION("""COMPUTED_VALUE"""),FALSE)</f>
        <v>0</v>
      </c>
      <c r="K85" s="142" t="str">
        <f>IFERROR(__xludf.DUMMYFUNCTION("""COMPUTED_VALUE"""),"Data Science")</f>
        <v>Data Science</v>
      </c>
      <c r="L85" s="142" t="str">
        <f>IFERROR(__xludf.DUMMYFUNCTION("""COMPUTED_VALUE"""),"Statistical Analysis")</f>
        <v>Statistical Analysis</v>
      </c>
      <c r="N85" s="140" t="str">
        <f>IFERROR(__xludf.DUMMYFUNCTION("""COMPUTED_VALUE"""),"")</f>
        <v/>
      </c>
      <c r="P85" s="140" t="str">
        <f>IFERROR(__xludf.DUMMYFUNCTION("""COMPUTED_VALUE"""),"")</f>
        <v/>
      </c>
    </row>
    <row r="86">
      <c r="A86" s="143">
        <f>IFERROR(__xludf.DUMMYFUNCTION("""COMPUTED_VALUE"""),44623.0)</f>
        <v>44623</v>
      </c>
      <c r="B86" s="143">
        <f>IFERROR(__xludf.DUMMYFUNCTION("""COMPUTED_VALUE"""),44834.0)</f>
        <v>44834</v>
      </c>
      <c r="C86" t="str">
        <f>IFERROR(__xludf.DUMMYFUNCTION("""COMPUTED_VALUE"""),"pt")</f>
        <v>pt</v>
      </c>
      <c r="D86">
        <f>IFERROR(__xludf.DUMMYFUNCTION("""COMPUTED_VALUE"""),1251060.0)</f>
        <v>1251060</v>
      </c>
      <c r="E86" t="str">
        <f>IFERROR(__xludf.DUMMYFUNCTION("""COMPUTED_VALUE"""),"Curso de Moodle - Plataforma de Cursos")</f>
        <v>Curso de Moodle - Plataforma de Cursos</v>
      </c>
      <c r="F86" t="str">
        <f>IFERROR(__xludf.DUMMYFUNCTION("""COMPUTED_VALUE"""),"Course of Moodle - Courses Platform")</f>
        <v>Course of Moodle - Courses Platform</v>
      </c>
      <c r="G86">
        <f>IFERROR(__xludf.DUMMYFUNCTION("""COMPUTED_VALUE"""),1.6772908E7)</f>
        <v>16772908</v>
      </c>
      <c r="H86" t="str">
        <f>IFERROR(__xludf.DUMMYFUNCTION("""COMPUTED_VALUE"""),"Hugo Vasconcelos")</f>
        <v>Hugo Vasconcelos</v>
      </c>
      <c r="I86" t="str">
        <f>IFERROR(__xludf.DUMMYFUNCTION("""COMPUTED_VALUE"""),"Low Rating")</f>
        <v>Low Rating</v>
      </c>
      <c r="J86" t="b">
        <f>IFERROR(__xludf.DUMMYFUNCTION("""COMPUTED_VALUE"""),FALSE)</f>
        <v>0</v>
      </c>
      <c r="K86" s="142" t="str">
        <f>IFERROR(__xludf.DUMMYFUNCTION("""COMPUTED_VALUE"""),"Office Productivity")</f>
        <v>Office Productivity</v>
      </c>
      <c r="L86" s="142" t="str">
        <f>IFERROR(__xludf.DUMMYFUNCTION("""COMPUTED_VALUE"""),"Collaboration")</f>
        <v>Collaboration</v>
      </c>
      <c r="N86" s="140" t="str">
        <f>IFERROR(__xludf.DUMMYFUNCTION("""COMPUTED_VALUE"""),"")</f>
        <v/>
      </c>
      <c r="P86" s="140" t="str">
        <f>IFERROR(__xludf.DUMMYFUNCTION("""COMPUTED_VALUE"""),"")</f>
        <v/>
      </c>
    </row>
    <row r="87">
      <c r="A87" s="143">
        <f>IFERROR(__xludf.DUMMYFUNCTION("""COMPUTED_VALUE"""),44623.0)</f>
        <v>44623</v>
      </c>
      <c r="B87" s="143">
        <f>IFERROR(__xludf.DUMMYFUNCTION("""COMPUTED_VALUE"""),44834.0)</f>
        <v>44834</v>
      </c>
      <c r="C87" t="str">
        <f>IFERROR(__xludf.DUMMYFUNCTION("""COMPUTED_VALUE"""),"de")</f>
        <v>de</v>
      </c>
      <c r="D87">
        <f>IFERROR(__xludf.DUMMYFUNCTION("""COMPUTED_VALUE"""),1301058.0)</f>
        <v>1301058</v>
      </c>
      <c r="E87" t="str">
        <f>IFERROR(__xludf.DUMMYFUNCTION("""COMPUTED_VALUE"""),"Lerne die Android Programmierung in nur 2 Wochen!")</f>
        <v>Lerne die Android Programmierung in nur 2 Wochen!</v>
      </c>
      <c r="F87" t="str">
        <f>IFERROR(__xludf.DUMMYFUNCTION("""COMPUTED_VALUE"""),"Learn the Android programming in just 2 weeks!")</f>
        <v>Learn the Android programming in just 2 weeks!</v>
      </c>
      <c r="G87">
        <f>IFERROR(__xludf.DUMMYFUNCTION("""COMPUTED_VALUE"""),1.0337794E7)</f>
        <v>10337794</v>
      </c>
      <c r="H87" t="str">
        <f>IFERROR(__xludf.DUMMYFUNCTION("""COMPUTED_VALUE"""),"Sherzad Kalaf Mohe")</f>
        <v>Sherzad Kalaf Mohe</v>
      </c>
      <c r="I87" t="str">
        <f>IFERROR(__xludf.DUMMYFUNCTION("""COMPUTED_VALUE"""),"Low Rating")</f>
        <v>Low Rating</v>
      </c>
      <c r="J87" t="b">
        <f>IFERROR(__xludf.DUMMYFUNCTION("""COMPUTED_VALUE"""),FALSE)</f>
        <v>0</v>
      </c>
      <c r="K87" s="142" t="str">
        <f>IFERROR(__xludf.DUMMYFUNCTION("""COMPUTED_VALUE"""),"Development")</f>
        <v>Development</v>
      </c>
      <c r="L87" s="142" t="str">
        <f>IFERROR(__xludf.DUMMYFUNCTION("""COMPUTED_VALUE"""),"Mobile Development")</f>
        <v>Mobile Development</v>
      </c>
      <c r="N87" s="140" t="str">
        <f>IFERROR(__xludf.DUMMYFUNCTION("""COMPUTED_VALUE"""),"")</f>
        <v/>
      </c>
      <c r="P87" s="140" t="str">
        <f>IFERROR(__xludf.DUMMYFUNCTION("""COMPUTED_VALUE"""),"")</f>
        <v/>
      </c>
    </row>
    <row r="88">
      <c r="A88" s="143">
        <f>IFERROR(__xludf.DUMMYFUNCTION("""COMPUTED_VALUE"""),44623.0)</f>
        <v>44623</v>
      </c>
      <c r="B88" s="143">
        <f>IFERROR(__xludf.DUMMYFUNCTION("""COMPUTED_VALUE"""),44834.0)</f>
        <v>44834</v>
      </c>
      <c r="C88" t="str">
        <f>IFERROR(__xludf.DUMMYFUNCTION("""COMPUTED_VALUE"""),"en")</f>
        <v>en</v>
      </c>
      <c r="D88">
        <f>IFERROR(__xludf.DUMMYFUNCTION("""COMPUTED_VALUE"""),1318550.0)</f>
        <v>1318550</v>
      </c>
      <c r="E88" t="str">
        <f>IFERROR(__xludf.DUMMYFUNCTION("""COMPUTED_VALUE"""),"Master Discrete Mathematics-Set Theory, Relations &amp; More")</f>
        <v>Master Discrete Mathematics-Set Theory, Relations &amp; More</v>
      </c>
      <c r="F88" t="str">
        <f>IFERROR(__xludf.DUMMYFUNCTION("""COMPUTED_VALUE"""),"Master Discrete Mathematics-Set Theory, Relations &amp; More")</f>
        <v>Master Discrete Mathematics-Set Theory, Relations &amp; More</v>
      </c>
      <c r="G88">
        <f>IFERROR(__xludf.DUMMYFUNCTION("""COMPUTED_VALUE"""),1.275243E7)</f>
        <v>12752430</v>
      </c>
      <c r="H88" t="str">
        <f>IFERROR(__xludf.DUMMYFUNCTION("""COMPUTED_VALUE"""),"Engineering Education Hub by Prateek Porwal")</f>
        <v>Engineering Education Hub by Prateek Porwal</v>
      </c>
      <c r="I88" t="str">
        <f>IFERROR(__xludf.DUMMYFUNCTION("""COMPUTED_VALUE"""),"Low Rating")</f>
        <v>Low Rating</v>
      </c>
      <c r="J88" t="b">
        <f>IFERROR(__xludf.DUMMYFUNCTION("""COMPUTED_VALUE"""),FALSE)</f>
        <v>0</v>
      </c>
      <c r="K88" s="142" t="str">
        <f>IFERROR(__xludf.DUMMYFUNCTION("""COMPUTED_VALUE"""),"Data Science")</f>
        <v>Data Science</v>
      </c>
      <c r="L88" s="142" t="str">
        <f>IFERROR(__xludf.DUMMYFUNCTION("""COMPUTED_VALUE"""),"Statistical Analysis")</f>
        <v>Statistical Analysis</v>
      </c>
      <c r="N88" s="140" t="str">
        <f>IFERROR(__xludf.DUMMYFUNCTION("""COMPUTED_VALUE"""),"")</f>
        <v/>
      </c>
      <c r="P88" s="140" t="str">
        <f>IFERROR(__xludf.DUMMYFUNCTION("""COMPUTED_VALUE"""),"")</f>
        <v/>
      </c>
    </row>
    <row r="89">
      <c r="A89" s="143">
        <f>IFERROR(__xludf.DUMMYFUNCTION("""COMPUTED_VALUE"""),44623.0)</f>
        <v>44623</v>
      </c>
      <c r="B89" s="143">
        <f>IFERROR(__xludf.DUMMYFUNCTION("""COMPUTED_VALUE"""),44834.0)</f>
        <v>44834</v>
      </c>
      <c r="C89" t="str">
        <f>IFERROR(__xludf.DUMMYFUNCTION("""COMPUTED_VALUE"""),"en")</f>
        <v>en</v>
      </c>
      <c r="D89">
        <f>IFERROR(__xludf.DUMMYFUNCTION("""COMPUTED_VALUE"""),1414788.0)</f>
        <v>1414788</v>
      </c>
      <c r="E89" t="str">
        <f>IFERROR(__xludf.DUMMYFUNCTION("""COMPUTED_VALUE"""),"Mastering Intermediate DAX - Power BI, Power Pivot &amp; SSAS")</f>
        <v>Mastering Intermediate DAX - Power BI, Power Pivot &amp; SSAS</v>
      </c>
      <c r="F89" t="str">
        <f>IFERROR(__xludf.DUMMYFUNCTION("""COMPUTED_VALUE"""),"Mastering Intermediate DAX - Power BI, Power Pivot &amp; SSAS")</f>
        <v>Mastering Intermediate DAX - Power BI, Power Pivot &amp; SSAS</v>
      </c>
      <c r="G89">
        <f>IFERROR(__xludf.DUMMYFUNCTION("""COMPUTED_VALUE"""),794806.0)</f>
        <v>794806</v>
      </c>
      <c r="H89" t="str">
        <f>IFERROR(__xludf.DUMMYFUNCTION("""COMPUTED_VALUE"""),"Paula Guilfoyle CPA &amp; MVP")</f>
        <v>Paula Guilfoyle CPA &amp; MVP</v>
      </c>
      <c r="I89" t="str">
        <f>IFERROR(__xludf.DUMMYFUNCTION("""COMPUTED_VALUE"""),"Low Rating")</f>
        <v>Low Rating</v>
      </c>
      <c r="J89" t="b">
        <f>IFERROR(__xludf.DUMMYFUNCTION("""COMPUTED_VALUE"""),FALSE)</f>
        <v>0</v>
      </c>
      <c r="K89" s="142" t="str">
        <f>IFERROR(__xludf.DUMMYFUNCTION("""COMPUTED_VALUE"""),"Development")</f>
        <v>Development</v>
      </c>
      <c r="L89" s="142" t="str">
        <f>IFERROR(__xludf.DUMMYFUNCTION("""COMPUTED_VALUE"""),"Database Design &amp; Development")</f>
        <v>Database Design &amp; Development</v>
      </c>
      <c r="N89" s="140" t="str">
        <f>IFERROR(__xludf.DUMMYFUNCTION("""COMPUTED_VALUE"""),"")</f>
        <v/>
      </c>
      <c r="P89" s="140" t="str">
        <f>IFERROR(__xludf.DUMMYFUNCTION("""COMPUTED_VALUE"""),"")</f>
        <v/>
      </c>
    </row>
    <row r="90">
      <c r="A90" s="143">
        <f>IFERROR(__xludf.DUMMYFUNCTION("""COMPUTED_VALUE"""),44623.0)</f>
        <v>44623</v>
      </c>
      <c r="B90" s="143">
        <f>IFERROR(__xludf.DUMMYFUNCTION("""COMPUTED_VALUE"""),44834.0)</f>
        <v>44834</v>
      </c>
      <c r="C90" t="str">
        <f>IFERROR(__xludf.DUMMYFUNCTION("""COMPUTED_VALUE"""),"de")</f>
        <v>de</v>
      </c>
      <c r="D90">
        <f>IFERROR(__xludf.DUMMYFUNCTION("""COMPUTED_VALUE"""),1449884.0)</f>
        <v>1449884</v>
      </c>
      <c r="E90" t="str">
        <f>IFERROR(__xludf.DUMMYFUNCTION("""COMPUTED_VALUE"""),"Java - Programmieren für Anfänger")</f>
        <v>Java - Programmieren für Anfänger</v>
      </c>
      <c r="F90" t="str">
        <f>IFERROR(__xludf.DUMMYFUNCTION("""COMPUTED_VALUE"""),"Java - Programming for beginners")</f>
        <v>Java - Programming for beginners</v>
      </c>
      <c r="G90">
        <f>IFERROR(__xludf.DUMMYFUNCTION("""COMPUTED_VALUE"""),1.9606558E7)</f>
        <v>19606558</v>
      </c>
      <c r="H90" t="str">
        <f>IFERROR(__xludf.DUMMYFUNCTION("""COMPUTED_VALUE"""),"Karsten Brodmann")</f>
        <v>Karsten Brodmann</v>
      </c>
      <c r="I90" t="str">
        <f>IFERROR(__xludf.DUMMYFUNCTION("""COMPUTED_VALUE"""),"Low Rating")</f>
        <v>Low Rating</v>
      </c>
      <c r="J90" t="b">
        <f>IFERROR(__xludf.DUMMYFUNCTION("""COMPUTED_VALUE"""),FALSE)</f>
        <v>0</v>
      </c>
      <c r="K90" s="142" t="str">
        <f>IFERROR(__xludf.DUMMYFUNCTION("""COMPUTED_VALUE"""),"Development")</f>
        <v>Development</v>
      </c>
      <c r="L90" s="142" t="str">
        <f>IFERROR(__xludf.DUMMYFUNCTION("""COMPUTED_VALUE"""),"Programming Languages")</f>
        <v>Programming Languages</v>
      </c>
      <c r="N90" s="140" t="str">
        <f>IFERROR(__xludf.DUMMYFUNCTION("""COMPUTED_VALUE"""),"")</f>
        <v/>
      </c>
      <c r="P90" s="140" t="str">
        <f>IFERROR(__xludf.DUMMYFUNCTION("""COMPUTED_VALUE"""),"")</f>
        <v/>
      </c>
    </row>
    <row r="91">
      <c r="A91" s="143">
        <f>IFERROR(__xludf.DUMMYFUNCTION("""COMPUTED_VALUE"""),44623.0)</f>
        <v>44623</v>
      </c>
      <c r="B91" s="143">
        <f>IFERROR(__xludf.DUMMYFUNCTION("""COMPUTED_VALUE"""),44834.0)</f>
        <v>44834</v>
      </c>
      <c r="C91" t="str">
        <f>IFERROR(__xludf.DUMMYFUNCTION("""COMPUTED_VALUE"""),"en")</f>
        <v>en</v>
      </c>
      <c r="D91">
        <f>IFERROR(__xludf.DUMMYFUNCTION("""COMPUTED_VALUE"""),1469142.0)</f>
        <v>1469142</v>
      </c>
      <c r="E91" t="str">
        <f>IFERROR(__xludf.DUMMYFUNCTION("""COMPUTED_VALUE"""),"The Complete Apache HBase Developer Course")</f>
        <v>The Complete Apache HBase Developer Course</v>
      </c>
      <c r="F91" t="str">
        <f>IFERROR(__xludf.DUMMYFUNCTION("""COMPUTED_VALUE"""),"The Complete Apache HBase Developer Course")</f>
        <v>The Complete Apache HBase Developer Course</v>
      </c>
      <c r="G91">
        <f>IFERROR(__xludf.DUMMYFUNCTION("""COMPUTED_VALUE"""),4.0842218E7)</f>
        <v>40842218</v>
      </c>
      <c r="H91" t="str">
        <f>IFERROR(__xludf.DUMMYFUNCTION("""COMPUTED_VALUE"""),"HubeTech Academy, Inc.")</f>
        <v>HubeTech Academy, Inc.</v>
      </c>
      <c r="I91" t="str">
        <f>IFERROR(__xludf.DUMMYFUNCTION("""COMPUTED_VALUE"""),"Low Rating")</f>
        <v>Low Rating</v>
      </c>
      <c r="J91" t="b">
        <f>IFERROR(__xludf.DUMMYFUNCTION("""COMPUTED_VALUE"""),FALSE)</f>
        <v>0</v>
      </c>
      <c r="K91" s="142" t="str">
        <f>IFERROR(__xludf.DUMMYFUNCTION("""COMPUTED_VALUE"""),"Data Science")</f>
        <v>Data Science</v>
      </c>
      <c r="L91" s="142" t="str">
        <f>IFERROR(__xludf.DUMMYFUNCTION("""COMPUTED_VALUE"""),"Big Data")</f>
        <v>Big Data</v>
      </c>
      <c r="N91" s="140" t="str">
        <f>IFERROR(__xludf.DUMMYFUNCTION("""COMPUTED_VALUE"""),"")</f>
        <v/>
      </c>
      <c r="P91" s="140" t="str">
        <f>IFERROR(__xludf.DUMMYFUNCTION("""COMPUTED_VALUE"""),"")</f>
        <v/>
      </c>
    </row>
    <row r="92">
      <c r="A92" s="143">
        <f>IFERROR(__xludf.DUMMYFUNCTION("""COMPUTED_VALUE"""),44623.0)</f>
        <v>44623</v>
      </c>
      <c r="B92" s="143">
        <f>IFERROR(__xludf.DUMMYFUNCTION("""COMPUTED_VALUE"""),44834.0)</f>
        <v>44834</v>
      </c>
      <c r="C92" t="str">
        <f>IFERROR(__xludf.DUMMYFUNCTION("""COMPUTED_VALUE"""),"de")</f>
        <v>de</v>
      </c>
      <c r="D92">
        <f>IFERROR(__xludf.DUMMYFUNCTION("""COMPUTED_VALUE"""),1493316.0)</f>
        <v>1493316</v>
      </c>
      <c r="E92" t="str">
        <f>IFERROR(__xludf.DUMMYFUNCTION("""COMPUTED_VALUE"""),"Facebook Werbeanzeigen Meisterkurs: Facebook Werbung von A-Z")</f>
        <v>Facebook Werbeanzeigen Meisterkurs: Facebook Werbung von A-Z</v>
      </c>
      <c r="F92" t="str">
        <f>IFERROR(__xludf.DUMMYFUNCTION("""COMPUTED_VALUE"""),"Facebook Ads Championship course: Facebook Advertising from A-Z")</f>
        <v>Facebook Ads Championship course: Facebook Advertising from A-Z</v>
      </c>
      <c r="G92">
        <f>IFERROR(__xludf.DUMMYFUNCTION("""COMPUTED_VALUE"""),7649326.0)</f>
        <v>7649326</v>
      </c>
      <c r="H92" t="str">
        <f>IFERROR(__xludf.DUMMYFUNCTION("""COMPUTED_VALUE"""),"Leon Chaudhari")</f>
        <v>Leon Chaudhari</v>
      </c>
      <c r="I92" t="str">
        <f>IFERROR(__xludf.DUMMYFUNCTION("""COMPUTED_VALUE"""),"Low Rating")</f>
        <v>Low Rating</v>
      </c>
      <c r="J92" t="b">
        <f>IFERROR(__xludf.DUMMYFUNCTION("""COMPUTED_VALUE"""),FALSE)</f>
        <v>0</v>
      </c>
      <c r="K92" s="142" t="str">
        <f>IFERROR(__xludf.DUMMYFUNCTION("""COMPUTED_VALUE"""),"Marketing")</f>
        <v>Marketing</v>
      </c>
      <c r="L92" s="142" t="str">
        <f>IFERROR(__xludf.DUMMYFUNCTION("""COMPUTED_VALUE"""),"Paid Advertising")</f>
        <v>Paid Advertising</v>
      </c>
      <c r="N92" s="140" t="str">
        <f>IFERROR(__xludf.DUMMYFUNCTION("""COMPUTED_VALUE"""),"")</f>
        <v/>
      </c>
      <c r="P92" s="140" t="str">
        <f>IFERROR(__xludf.DUMMYFUNCTION("""COMPUTED_VALUE"""),"")</f>
        <v/>
      </c>
    </row>
    <row r="93">
      <c r="A93" s="143">
        <f>IFERROR(__xludf.DUMMYFUNCTION("""COMPUTED_VALUE"""),44623.0)</f>
        <v>44623</v>
      </c>
      <c r="B93" s="143">
        <f>IFERROR(__xludf.DUMMYFUNCTION("""COMPUTED_VALUE"""),44834.0)</f>
        <v>44834</v>
      </c>
      <c r="C93" t="str">
        <f>IFERROR(__xludf.DUMMYFUNCTION("""COMPUTED_VALUE"""),"en")</f>
        <v>en</v>
      </c>
      <c r="D93">
        <f>IFERROR(__xludf.DUMMYFUNCTION("""COMPUTED_VALUE"""),1504080.0)</f>
        <v>1504080</v>
      </c>
      <c r="E93" t="str">
        <f>IFERROR(__xludf.DUMMYFUNCTION("""COMPUTED_VALUE"""),"Software Design: Functional Programming in C#")</f>
        <v>Software Design: Functional Programming in C#</v>
      </c>
      <c r="F93" t="str">
        <f>IFERROR(__xludf.DUMMYFUNCTION("""COMPUTED_VALUE"""),"Software Design: Functional Programming in C#")</f>
        <v>Software Design: Functional Programming in C#</v>
      </c>
      <c r="G93">
        <f>IFERROR(__xludf.DUMMYFUNCTION("""COMPUTED_VALUE"""),426576.0)</f>
        <v>426576</v>
      </c>
      <c r="H93" t="str">
        <f>IFERROR(__xludf.DUMMYFUNCTION("""COMPUTED_VALUE"""),"Engineer Spock")</f>
        <v>Engineer Spock</v>
      </c>
      <c r="I93" t="str">
        <f>IFERROR(__xludf.DUMMYFUNCTION("""COMPUTED_VALUE"""),"Low Rating")</f>
        <v>Low Rating</v>
      </c>
      <c r="J93" t="b">
        <f>IFERROR(__xludf.DUMMYFUNCTION("""COMPUTED_VALUE"""),FALSE)</f>
        <v>0</v>
      </c>
      <c r="K93" s="142" t="str">
        <f>IFERROR(__xludf.DUMMYFUNCTION("""COMPUTED_VALUE"""),"Development")</f>
        <v>Development</v>
      </c>
      <c r="L93" s="142" t="str">
        <f>IFERROR(__xludf.DUMMYFUNCTION("""COMPUTED_VALUE"""),"Programming Languages")</f>
        <v>Programming Languages</v>
      </c>
      <c r="N93" s="140" t="str">
        <f>IFERROR(__xludf.DUMMYFUNCTION("""COMPUTED_VALUE"""),"")</f>
        <v/>
      </c>
      <c r="P93" s="140" t="str">
        <f>IFERROR(__xludf.DUMMYFUNCTION("""COMPUTED_VALUE"""),"")</f>
        <v/>
      </c>
    </row>
    <row r="94">
      <c r="A94" s="143">
        <f>IFERROR(__xludf.DUMMYFUNCTION("""COMPUTED_VALUE"""),44623.0)</f>
        <v>44623</v>
      </c>
      <c r="B94" s="143">
        <f>IFERROR(__xludf.DUMMYFUNCTION("""COMPUTED_VALUE"""),44834.0)</f>
        <v>44834</v>
      </c>
      <c r="C94" t="str">
        <f>IFERROR(__xludf.DUMMYFUNCTION("""COMPUTED_VALUE"""),"en")</f>
        <v>en</v>
      </c>
      <c r="D94">
        <f>IFERROR(__xludf.DUMMYFUNCTION("""COMPUTED_VALUE"""),1534830.0)</f>
        <v>1534830</v>
      </c>
      <c r="E94" t="str">
        <f>IFERROR(__xludf.DUMMYFUNCTION("""COMPUTED_VALUE"""),"Learn the basics of ArcGIS for hydrology")</f>
        <v>Learn the basics of ArcGIS for hydrology</v>
      </c>
      <c r="F94" t="str">
        <f>IFERROR(__xludf.DUMMYFUNCTION("""COMPUTED_VALUE"""),"Learn the basics of ArcGIS for hydrology")</f>
        <v>Learn the basics of ArcGIS for hydrology</v>
      </c>
      <c r="G94">
        <f>IFERROR(__xludf.DUMMYFUNCTION("""COMPUTED_VALUE"""),2.9457546E7)</f>
        <v>29457546</v>
      </c>
      <c r="H94" t="str">
        <f>IFERROR(__xludf.DUMMYFUNCTION("""COMPUTED_VALUE"""),"Paul Nicoara")</f>
        <v>Paul Nicoara</v>
      </c>
      <c r="I94" t="str">
        <f>IFERROR(__xludf.DUMMYFUNCTION("""COMPUTED_VALUE"""),"Low Rating")</f>
        <v>Low Rating</v>
      </c>
      <c r="J94" t="b">
        <f>IFERROR(__xludf.DUMMYFUNCTION("""COMPUTED_VALUE"""),FALSE)</f>
        <v>0</v>
      </c>
      <c r="K94" s="142" t="str">
        <f>IFERROR(__xludf.DUMMYFUNCTION("""COMPUTED_VALUE"""),"Development")</f>
        <v>Development</v>
      </c>
      <c r="L94" s="142" t="str">
        <f>IFERROR(__xludf.DUMMYFUNCTION("""COMPUTED_VALUE"""),"Software Engineering")</f>
        <v>Software Engineering</v>
      </c>
      <c r="N94" s="140" t="str">
        <f>IFERROR(__xludf.DUMMYFUNCTION("""COMPUTED_VALUE"""),"")</f>
        <v/>
      </c>
      <c r="P94" s="140" t="str">
        <f>IFERROR(__xludf.DUMMYFUNCTION("""COMPUTED_VALUE"""),"")</f>
        <v/>
      </c>
    </row>
    <row r="95">
      <c r="A95" s="143">
        <f>IFERROR(__xludf.DUMMYFUNCTION("""COMPUTED_VALUE"""),44623.0)</f>
        <v>44623</v>
      </c>
      <c r="B95" s="143">
        <f>IFERROR(__xludf.DUMMYFUNCTION("""COMPUTED_VALUE"""),44834.0)</f>
        <v>44834</v>
      </c>
      <c r="C95" t="str">
        <f>IFERROR(__xludf.DUMMYFUNCTION("""COMPUTED_VALUE"""),"es")</f>
        <v>es</v>
      </c>
      <c r="D95">
        <f>IFERROR(__xludf.DUMMYFUNCTION("""COMPUTED_VALUE"""),1714684.0)</f>
        <v>1714684</v>
      </c>
      <c r="E95" t="str">
        <f>IFERROR(__xludf.DUMMYFUNCTION("""COMPUTED_VALUE"""),"10 Maneras de Crecer tu Instagram de forma Orgánica")</f>
        <v>10 Maneras de Crecer tu Instagram de forma Orgánica</v>
      </c>
      <c r="F95" t="str">
        <f>IFERROR(__xludf.DUMMYFUNCTION("""COMPUTED_VALUE"""),"10 ways to grow your Instagram organic")</f>
        <v>10 ways to grow your Instagram organic</v>
      </c>
      <c r="G95">
        <f>IFERROR(__xludf.DUMMYFUNCTION("""COMPUTED_VALUE"""),801404.0)</f>
        <v>801404</v>
      </c>
      <c r="H95" t="str">
        <f>IFERROR(__xludf.DUMMYFUNCTION("""COMPUTED_VALUE"""),"Diego Davila")</f>
        <v>Diego Davila</v>
      </c>
      <c r="I95" t="str">
        <f>IFERROR(__xludf.DUMMYFUNCTION("""COMPUTED_VALUE"""),"Low Rating")</f>
        <v>Low Rating</v>
      </c>
      <c r="J95" t="b">
        <f>IFERROR(__xludf.DUMMYFUNCTION("""COMPUTED_VALUE"""),FALSE)</f>
        <v>0</v>
      </c>
      <c r="K95" s="142" t="str">
        <f>IFERROR(__xludf.DUMMYFUNCTION("""COMPUTED_VALUE"""),"Marketing")</f>
        <v>Marketing</v>
      </c>
      <c r="L95" s="142" t="str">
        <f>IFERROR(__xludf.DUMMYFUNCTION("""COMPUTED_VALUE"""),"Social Media Marketing")</f>
        <v>Social Media Marketing</v>
      </c>
      <c r="N95" s="140" t="str">
        <f>IFERROR(__xludf.DUMMYFUNCTION("""COMPUTED_VALUE"""),"")</f>
        <v/>
      </c>
      <c r="P95" s="140" t="str">
        <f>IFERROR(__xludf.DUMMYFUNCTION("""COMPUTED_VALUE"""),"")</f>
        <v/>
      </c>
    </row>
    <row r="96">
      <c r="A96" s="143">
        <f>IFERROR(__xludf.DUMMYFUNCTION("""COMPUTED_VALUE"""),44623.0)</f>
        <v>44623</v>
      </c>
      <c r="B96" s="143">
        <f>IFERROR(__xludf.DUMMYFUNCTION("""COMPUTED_VALUE"""),44834.0)</f>
        <v>44834</v>
      </c>
      <c r="C96" t="str">
        <f>IFERROR(__xludf.DUMMYFUNCTION("""COMPUTED_VALUE"""),"pt")</f>
        <v>pt</v>
      </c>
      <c r="D96">
        <f>IFERROR(__xludf.DUMMYFUNCTION("""COMPUTED_VALUE"""),1785616.0)</f>
        <v>1785616</v>
      </c>
      <c r="E96" t="str">
        <f>IFERROR(__xludf.DUMMYFUNCTION("""COMPUTED_VALUE"""),"Gerenciamento de Risco com Simulação de Monte Carlo")</f>
        <v>Gerenciamento de Risco com Simulação de Monte Carlo</v>
      </c>
      <c r="F96" t="str">
        <f>IFERROR(__xludf.DUMMYFUNCTION("""COMPUTED_VALUE"""),"Risk Management with Monte Carlo simulation")</f>
        <v>Risk Management with Monte Carlo simulation</v>
      </c>
      <c r="G96">
        <f>IFERROR(__xludf.DUMMYFUNCTION("""COMPUTED_VALUE"""),4.6008154E7)</f>
        <v>46008154</v>
      </c>
      <c r="H96" t="str">
        <f>IFERROR(__xludf.DUMMYFUNCTION("""COMPUTED_VALUE"""),"Luiz Guilherme Carvalho")</f>
        <v>Luiz Guilherme Carvalho</v>
      </c>
      <c r="I96" t="str">
        <f>IFERROR(__xludf.DUMMYFUNCTION("""COMPUTED_VALUE"""),"Low Rating")</f>
        <v>Low Rating</v>
      </c>
      <c r="J96" t="b">
        <f>IFERROR(__xludf.DUMMYFUNCTION("""COMPUTED_VALUE"""),FALSE)</f>
        <v>0</v>
      </c>
      <c r="K96" s="142" t="str">
        <f>IFERROR(__xludf.DUMMYFUNCTION("""COMPUTED_VALUE"""),"Project Management &amp; Operations")</f>
        <v>Project Management &amp; Operations</v>
      </c>
      <c r="L96" s="142" t="str">
        <f>IFERROR(__xludf.DUMMYFUNCTION("""COMPUTED_VALUE"""),"Operations Management")</f>
        <v>Operations Management</v>
      </c>
      <c r="N96" s="140" t="str">
        <f>IFERROR(__xludf.DUMMYFUNCTION("""COMPUTED_VALUE"""),"")</f>
        <v/>
      </c>
      <c r="P96" s="140" t="str">
        <f>IFERROR(__xludf.DUMMYFUNCTION("""COMPUTED_VALUE"""),"")</f>
        <v/>
      </c>
    </row>
    <row r="97">
      <c r="A97" s="143">
        <f>IFERROR(__xludf.DUMMYFUNCTION("""COMPUTED_VALUE"""),44623.0)</f>
        <v>44623</v>
      </c>
      <c r="B97" s="143">
        <f>IFERROR(__xludf.DUMMYFUNCTION("""COMPUTED_VALUE"""),44834.0)</f>
        <v>44834</v>
      </c>
      <c r="C97" t="str">
        <f>IFERROR(__xludf.DUMMYFUNCTION("""COMPUTED_VALUE"""),"de")</f>
        <v>de</v>
      </c>
      <c r="D97">
        <f>IFERROR(__xludf.DUMMYFUNCTION("""COMPUTED_VALUE"""),1836608.0)</f>
        <v>1836608</v>
      </c>
      <c r="E97" t="str">
        <f>IFERROR(__xludf.DUMMYFUNCTION("""COMPUTED_VALUE"""),"Statistik mit IBM SPSS Statistics")</f>
        <v>Statistik mit IBM SPSS Statistics</v>
      </c>
      <c r="F97" t="str">
        <f>IFERROR(__xludf.DUMMYFUNCTION("""COMPUTED_VALUE"""),"Statistics with IBM SPSS Statistics")</f>
        <v>Statistics with IBM SPSS Statistics</v>
      </c>
      <c r="G97">
        <f>IFERROR(__xludf.DUMMYFUNCTION("""COMPUTED_VALUE"""),6.327451E7)</f>
        <v>63274510</v>
      </c>
      <c r="H97" t="str">
        <f>IFERROR(__xludf.DUMMYFUNCTION("""COMPUTED_VALUE"""),"Dr. Dominik FRÖHLICH")</f>
        <v>Dr. Dominik FRÖHLICH</v>
      </c>
      <c r="I97" t="str">
        <f>IFERROR(__xludf.DUMMYFUNCTION("""COMPUTED_VALUE"""),"Low Rating")</f>
        <v>Low Rating</v>
      </c>
      <c r="J97" t="b">
        <f>IFERROR(__xludf.DUMMYFUNCTION("""COMPUTED_VALUE"""),FALSE)</f>
        <v>0</v>
      </c>
      <c r="K97" s="142" t="str">
        <f>IFERROR(__xludf.DUMMYFUNCTION("""COMPUTED_VALUE"""),"Data Science")</f>
        <v>Data Science</v>
      </c>
      <c r="L97" s="142" t="str">
        <f>IFERROR(__xludf.DUMMYFUNCTION("""COMPUTED_VALUE"""),"Statistical Analysis")</f>
        <v>Statistical Analysis</v>
      </c>
      <c r="N97" s="140" t="str">
        <f>IFERROR(__xludf.DUMMYFUNCTION("""COMPUTED_VALUE"""),"")</f>
        <v/>
      </c>
      <c r="P97" s="140" t="str">
        <f>IFERROR(__xludf.DUMMYFUNCTION("""COMPUTED_VALUE"""),"")</f>
        <v/>
      </c>
    </row>
    <row r="98">
      <c r="A98" s="143">
        <f>IFERROR(__xludf.DUMMYFUNCTION("""COMPUTED_VALUE"""),44623.0)</f>
        <v>44623</v>
      </c>
      <c r="B98" s="143">
        <f>IFERROR(__xludf.DUMMYFUNCTION("""COMPUTED_VALUE"""),44834.0)</f>
        <v>44834</v>
      </c>
      <c r="C98" t="str">
        <f>IFERROR(__xludf.DUMMYFUNCTION("""COMPUTED_VALUE"""),"es")</f>
        <v>es</v>
      </c>
      <c r="D98">
        <f>IFERROR(__xludf.DUMMYFUNCTION("""COMPUTED_VALUE"""),1852438.0)</f>
        <v>1852438</v>
      </c>
      <c r="E98" t="str">
        <f>IFERROR(__xludf.DUMMYFUNCTION("""COMPUTED_VALUE"""),"[A-Z] avanzando en analítica digital: Google Analytics y GA4")</f>
        <v>[A-Z] avanzando en analítica digital: Google Analytics y GA4</v>
      </c>
      <c r="F98" t="str">
        <f>IFERROR(__xludf.DUMMYFUNCTION("""COMPUTED_VALUE"""),"[A-Z] Advancing in Digital Analytics: Google Analytics and GA4")</f>
        <v>[A-Z] Advancing in Digital Analytics: Google Analytics and GA4</v>
      </c>
      <c r="G98">
        <f>IFERROR(__xludf.DUMMYFUNCTION("""COMPUTED_VALUE"""),3.8475646E7)</f>
        <v>38475646</v>
      </c>
      <c r="H98" t="str">
        <f>IFERROR(__xludf.DUMMYFUNCTION("""COMPUTED_VALUE"""),"Marco Russo")</f>
        <v>Marco Russo</v>
      </c>
      <c r="I98" t="str">
        <f>IFERROR(__xludf.DUMMYFUNCTION("""COMPUTED_VALUE"""),"Low Rating")</f>
        <v>Low Rating</v>
      </c>
      <c r="J98" t="b">
        <f>IFERROR(__xludf.DUMMYFUNCTION("""COMPUTED_VALUE"""),FALSE)</f>
        <v>0</v>
      </c>
      <c r="K98" s="142" t="str">
        <f>IFERROR(__xludf.DUMMYFUNCTION("""COMPUTED_VALUE"""),"Marketing")</f>
        <v>Marketing</v>
      </c>
      <c r="L98" s="142" t="str">
        <f>IFERROR(__xludf.DUMMYFUNCTION("""COMPUTED_VALUE"""),"Marketing Analytics &amp; Automation")</f>
        <v>Marketing Analytics &amp; Automation</v>
      </c>
      <c r="N98" s="140" t="str">
        <f>IFERROR(__xludf.DUMMYFUNCTION("""COMPUTED_VALUE"""),"")</f>
        <v/>
      </c>
      <c r="P98" s="140" t="str">
        <f>IFERROR(__xludf.DUMMYFUNCTION("""COMPUTED_VALUE"""),"")</f>
        <v/>
      </c>
    </row>
    <row r="99">
      <c r="A99" s="143">
        <f>IFERROR(__xludf.DUMMYFUNCTION("""COMPUTED_VALUE"""),44623.0)</f>
        <v>44623</v>
      </c>
      <c r="B99" s="143">
        <f>IFERROR(__xludf.DUMMYFUNCTION("""COMPUTED_VALUE"""),44834.0)</f>
        <v>44834</v>
      </c>
      <c r="C99" t="str">
        <f>IFERROR(__xludf.DUMMYFUNCTION("""COMPUTED_VALUE"""),"es")</f>
        <v>es</v>
      </c>
      <c r="D99">
        <f>IFERROR(__xludf.DUMMYFUNCTION("""COMPUTED_VALUE"""),1918630.0)</f>
        <v>1918630</v>
      </c>
      <c r="E99" t="str">
        <f>IFERROR(__xludf.DUMMYFUNCTION("""COMPUTED_VALUE"""),"Camino a la Certificación - Reloaded")</f>
        <v>Camino a la Certificación - Reloaded</v>
      </c>
      <c r="F99" t="str">
        <f>IFERROR(__xludf.DUMMYFUNCTION("""COMPUTED_VALUE"""),"Road to Certification - Reloaded")</f>
        <v>Road to Certification - Reloaded</v>
      </c>
      <c r="G99">
        <f>IFERROR(__xludf.DUMMYFUNCTION("""COMPUTED_VALUE"""),3.5973838E7)</f>
        <v>35973838</v>
      </c>
      <c r="H99" t="str">
        <f>IFERROR(__xludf.DUMMYFUNCTION("""COMPUTED_VALUE"""),"Fidel DominguezValero")</f>
        <v>Fidel DominguezValero</v>
      </c>
      <c r="I99" t="str">
        <f>IFERROR(__xludf.DUMMYFUNCTION("""COMPUTED_VALUE"""),"Low Rating")</f>
        <v>Low Rating</v>
      </c>
      <c r="J99" t="b">
        <f>IFERROR(__xludf.DUMMYFUNCTION("""COMPUTED_VALUE"""),FALSE)</f>
        <v>0</v>
      </c>
      <c r="K99" s="142" t="str">
        <f>IFERROR(__xludf.DUMMYFUNCTION("""COMPUTED_VALUE"""),"IT Operations")</f>
        <v>IT Operations</v>
      </c>
      <c r="L99" s="142" t="str">
        <f>IFERROR(__xludf.DUMMYFUNCTION("""COMPUTED_VALUE"""),"IT Certifications")</f>
        <v>IT Certifications</v>
      </c>
      <c r="N99" s="140" t="str">
        <f>IFERROR(__xludf.DUMMYFUNCTION("""COMPUTED_VALUE"""),"")</f>
        <v/>
      </c>
      <c r="P99" s="140" t="str">
        <f>IFERROR(__xludf.DUMMYFUNCTION("""COMPUTED_VALUE"""),"")</f>
        <v/>
      </c>
    </row>
    <row r="100">
      <c r="A100" s="143">
        <f>IFERROR(__xludf.DUMMYFUNCTION("""COMPUTED_VALUE"""),44623.0)</f>
        <v>44623</v>
      </c>
      <c r="B100" s="143">
        <f>IFERROR(__xludf.DUMMYFUNCTION("""COMPUTED_VALUE"""),44834.0)</f>
        <v>44834</v>
      </c>
      <c r="C100" t="str">
        <f>IFERROR(__xludf.DUMMYFUNCTION("""COMPUTED_VALUE"""),"de")</f>
        <v>de</v>
      </c>
      <c r="D100">
        <f>IFERROR(__xludf.DUMMYFUNCTION("""COMPUTED_VALUE"""),1984288.0)</f>
        <v>1984288</v>
      </c>
      <c r="E100" t="str">
        <f>IFERROR(__xludf.DUMMYFUNCTION("""COMPUTED_VALUE"""),"LinkedIn Marketing für Ein- und Aufsteiger")</f>
        <v>LinkedIn Marketing für Ein- und Aufsteiger</v>
      </c>
      <c r="F100" t="str">
        <f>IFERROR(__xludf.DUMMYFUNCTION("""COMPUTED_VALUE"""),"LinkedIn marketing for a new and promoted")</f>
        <v>LinkedIn marketing for a new and promoted</v>
      </c>
      <c r="G100">
        <f>IFERROR(__xludf.DUMMYFUNCTION("""COMPUTED_VALUE"""),3.1385786E7)</f>
        <v>31385786</v>
      </c>
      <c r="H100" t="str">
        <f>IFERROR(__xludf.DUMMYFUNCTION("""COMPUTED_VALUE"""),"Ulrich Löser,")</f>
        <v>Ulrich Löser,</v>
      </c>
      <c r="I100" t="str">
        <f>IFERROR(__xludf.DUMMYFUNCTION("""COMPUTED_VALUE"""),"Low Rating")</f>
        <v>Low Rating</v>
      </c>
      <c r="J100" t="b">
        <f>IFERROR(__xludf.DUMMYFUNCTION("""COMPUTED_VALUE"""),FALSE)</f>
        <v>0</v>
      </c>
      <c r="K100" s="142" t="str">
        <f>IFERROR(__xludf.DUMMYFUNCTION("""COMPUTED_VALUE"""),"Marketing")</f>
        <v>Marketing</v>
      </c>
      <c r="L100" s="142" t="str">
        <f>IFERROR(__xludf.DUMMYFUNCTION("""COMPUTED_VALUE"""),"Social Media Marketing")</f>
        <v>Social Media Marketing</v>
      </c>
      <c r="N100" s="140" t="str">
        <f>IFERROR(__xludf.DUMMYFUNCTION("""COMPUTED_VALUE"""),"")</f>
        <v/>
      </c>
      <c r="P100" s="140" t="str">
        <f>IFERROR(__xludf.DUMMYFUNCTION("""COMPUTED_VALUE"""),"")</f>
        <v/>
      </c>
    </row>
    <row r="101">
      <c r="A101" s="143">
        <f>IFERROR(__xludf.DUMMYFUNCTION("""COMPUTED_VALUE"""),44623.0)</f>
        <v>44623</v>
      </c>
      <c r="B101" s="143">
        <f>IFERROR(__xludf.DUMMYFUNCTION("""COMPUTED_VALUE"""),44834.0)</f>
        <v>44834</v>
      </c>
      <c r="C101" t="str">
        <f>IFERROR(__xludf.DUMMYFUNCTION("""COMPUTED_VALUE"""),"en")</f>
        <v>en</v>
      </c>
      <c r="D101">
        <f>IFERROR(__xludf.DUMMYFUNCTION("""COMPUTED_VALUE"""),2017348.0)</f>
        <v>2017348</v>
      </c>
      <c r="E101" t="str">
        <f>IFERROR(__xludf.DUMMYFUNCTION("""COMPUTED_VALUE"""),"System C Project - Write a Garbage Collector from Scratch")</f>
        <v>System C Project - Write a Garbage Collector from Scratch</v>
      </c>
      <c r="F101" t="str">
        <f>IFERROR(__xludf.DUMMYFUNCTION("""COMPUTED_VALUE"""),"System C Project - Write a Garbage Collector from Scratch")</f>
        <v>System C Project - Write a Garbage Collector from Scratch</v>
      </c>
      <c r="G101">
        <f>IFERROR(__xludf.DUMMYFUNCTION("""COMPUTED_VALUE"""),2.8938208E7)</f>
        <v>28938208</v>
      </c>
      <c r="H101" t="str">
        <f>IFERROR(__xludf.DUMMYFUNCTION("""COMPUTED_VALUE"""),"Abhishek CSEPracticals")</f>
        <v>Abhishek CSEPracticals</v>
      </c>
      <c r="I101" t="str">
        <f>IFERROR(__xludf.DUMMYFUNCTION("""COMPUTED_VALUE"""),"Low Rating")</f>
        <v>Low Rating</v>
      </c>
      <c r="J101" t="b">
        <f>IFERROR(__xludf.DUMMYFUNCTION("""COMPUTED_VALUE"""),FALSE)</f>
        <v>0</v>
      </c>
      <c r="K101" s="142" t="str">
        <f>IFERROR(__xludf.DUMMYFUNCTION("""COMPUTED_VALUE"""),"IT Operations")</f>
        <v>IT Operations</v>
      </c>
      <c r="L101" s="142" t="str">
        <f>IFERROR(__xludf.DUMMYFUNCTION("""COMPUTED_VALUE"""),"Operating Systems &amp; Servers")</f>
        <v>Operating Systems &amp; Servers</v>
      </c>
      <c r="N101" s="140" t="str">
        <f>IFERROR(__xludf.DUMMYFUNCTION("""COMPUTED_VALUE"""),"")</f>
        <v/>
      </c>
      <c r="P101" s="140" t="str">
        <f>IFERROR(__xludf.DUMMYFUNCTION("""COMPUTED_VALUE"""),"")</f>
        <v/>
      </c>
    </row>
    <row r="102">
      <c r="A102" s="143">
        <f>IFERROR(__xludf.DUMMYFUNCTION("""COMPUTED_VALUE"""),44623.0)</f>
        <v>44623</v>
      </c>
      <c r="B102" s="143">
        <f>IFERROR(__xludf.DUMMYFUNCTION("""COMPUTED_VALUE"""),44834.0)</f>
        <v>44834</v>
      </c>
      <c r="C102" t="str">
        <f>IFERROR(__xludf.DUMMYFUNCTION("""COMPUTED_VALUE"""),"en")</f>
        <v>en</v>
      </c>
      <c r="D102">
        <f>IFERROR(__xludf.DUMMYFUNCTION("""COMPUTED_VALUE"""),2034380.0)</f>
        <v>2034380</v>
      </c>
      <c r="E102" t="str">
        <f>IFERROR(__xludf.DUMMYFUNCTION("""COMPUTED_VALUE"""),"Making HTML5 Games with Phaser 3")</f>
        <v>Making HTML5 Games with Phaser 3</v>
      </c>
      <c r="F102" t="str">
        <f>IFERROR(__xludf.DUMMYFUNCTION("""COMPUTED_VALUE"""),"Making HTML5 Games with Phaser 3")</f>
        <v>Making HTML5 Games with Phaser 3</v>
      </c>
      <c r="G102">
        <f>IFERROR(__xludf.DUMMYFUNCTION("""COMPUTED_VALUE"""),2.0094796E7)</f>
        <v>20094796</v>
      </c>
      <c r="H102" t="str">
        <f>IFERROR(__xludf.DUMMYFUNCTION("""COMPUTED_VALUE"""),"William Clarkson")</f>
        <v>William Clarkson</v>
      </c>
      <c r="I102" t="str">
        <f>IFERROR(__xludf.DUMMYFUNCTION("""COMPUTED_VALUE"""),"Low Rating")</f>
        <v>Low Rating</v>
      </c>
      <c r="J102" t="b">
        <f>IFERROR(__xludf.DUMMYFUNCTION("""COMPUTED_VALUE"""),FALSE)</f>
        <v>0</v>
      </c>
      <c r="K102" s="142" t="str">
        <f>IFERROR(__xludf.DUMMYFUNCTION("""COMPUTED_VALUE"""),"Development")</f>
        <v>Development</v>
      </c>
      <c r="L102" s="142" t="str">
        <f>IFERROR(__xludf.DUMMYFUNCTION("""COMPUTED_VALUE"""),"Web Development")</f>
        <v>Web Development</v>
      </c>
      <c r="N102" s="140" t="str">
        <f>IFERROR(__xludf.DUMMYFUNCTION("""COMPUTED_VALUE"""),"")</f>
        <v/>
      </c>
      <c r="P102" s="140" t="str">
        <f>IFERROR(__xludf.DUMMYFUNCTION("""COMPUTED_VALUE"""),"")</f>
        <v/>
      </c>
    </row>
    <row r="103">
      <c r="A103" s="143">
        <f>IFERROR(__xludf.DUMMYFUNCTION("""COMPUTED_VALUE"""),44623.0)</f>
        <v>44623</v>
      </c>
      <c r="B103" s="143">
        <f>IFERROR(__xludf.DUMMYFUNCTION("""COMPUTED_VALUE"""),44834.0)</f>
        <v>44834</v>
      </c>
      <c r="C103" t="str">
        <f>IFERROR(__xludf.DUMMYFUNCTION("""COMPUTED_VALUE"""),"es")</f>
        <v>es</v>
      </c>
      <c r="D103">
        <f>IFERROR(__xludf.DUMMYFUNCTION("""COMPUTED_VALUE"""),2035614.0)</f>
        <v>2035614</v>
      </c>
      <c r="E103" t="str">
        <f>IFERROR(__xludf.DUMMYFUNCTION("""COMPUTED_VALUE"""),"Introducción a las consultas SQL Server")</f>
        <v>Introducción a las consultas SQL Server</v>
      </c>
      <c r="F103" t="str">
        <f>IFERROR(__xludf.DUMMYFUNCTION("""COMPUTED_VALUE"""),"Introduction to the SQL Server queries")</f>
        <v>Introduction to the SQL Server queries</v>
      </c>
      <c r="G103">
        <f>IFERROR(__xludf.DUMMYFUNCTION("""COMPUTED_VALUE"""),2.0567942E7)</f>
        <v>20567942</v>
      </c>
      <c r="H103" t="str">
        <f>IFERROR(__xludf.DUMMYFUNCTION("""COMPUTED_VALUE"""),"Hugo Bernachea Administrador de Bases de datos y Desarrollador TSQL")</f>
        <v>Hugo Bernachea Administrador de Bases de datos y Desarrollador TSQL</v>
      </c>
      <c r="I103" t="str">
        <f>IFERROR(__xludf.DUMMYFUNCTION("""COMPUTED_VALUE"""),"Low Rating")</f>
        <v>Low Rating</v>
      </c>
      <c r="J103" t="b">
        <f>IFERROR(__xludf.DUMMYFUNCTION("""COMPUTED_VALUE"""),FALSE)</f>
        <v>0</v>
      </c>
      <c r="K103" s="142" t="str">
        <f>IFERROR(__xludf.DUMMYFUNCTION("""COMPUTED_VALUE"""),"IT Operations")</f>
        <v>IT Operations</v>
      </c>
      <c r="L103" s="142" t="str">
        <f>IFERROR(__xludf.DUMMYFUNCTION("""COMPUTED_VALUE"""),"Operating Systems &amp; Servers")</f>
        <v>Operating Systems &amp; Servers</v>
      </c>
      <c r="N103" s="140" t="str">
        <f>IFERROR(__xludf.DUMMYFUNCTION("""COMPUTED_VALUE"""),"")</f>
        <v/>
      </c>
      <c r="P103" s="140" t="str">
        <f>IFERROR(__xludf.DUMMYFUNCTION("""COMPUTED_VALUE"""),"")</f>
        <v/>
      </c>
    </row>
    <row r="104">
      <c r="A104" s="143">
        <f>IFERROR(__xludf.DUMMYFUNCTION("""COMPUTED_VALUE"""),44623.0)</f>
        <v>44623</v>
      </c>
      <c r="B104" s="143">
        <f>IFERROR(__xludf.DUMMYFUNCTION("""COMPUTED_VALUE"""),44834.0)</f>
        <v>44834</v>
      </c>
      <c r="C104" t="str">
        <f>IFERROR(__xludf.DUMMYFUNCTION("""COMPUTED_VALUE"""),"en")</f>
        <v>en</v>
      </c>
      <c r="D104">
        <f>IFERROR(__xludf.DUMMYFUNCTION("""COMPUTED_VALUE"""),2094130.0)</f>
        <v>2094130</v>
      </c>
      <c r="E104" t="str">
        <f>IFERROR(__xludf.DUMMYFUNCTION("""COMPUTED_VALUE"""),"Deploy Serverless Machine Learning Models to AWS Lambda")</f>
        <v>Deploy Serverless Machine Learning Models to AWS Lambda</v>
      </c>
      <c r="F104" t="str">
        <f>IFERROR(__xludf.DUMMYFUNCTION("""COMPUTED_VALUE"""),"Deploy Serverless Machine Learning Models to AWS Lambda")</f>
        <v>Deploy Serverless Machine Learning Models to AWS Lambda</v>
      </c>
      <c r="G104">
        <f>IFERROR(__xludf.DUMMYFUNCTION("""COMPUTED_VALUE"""),5.037331E7)</f>
        <v>50373310</v>
      </c>
      <c r="H104" t="str">
        <f>IFERROR(__xludf.DUMMYFUNCTION("""COMPUTED_VALUE"""),"Milan Pavlović")</f>
        <v>Milan Pavlović</v>
      </c>
      <c r="I104" t="str">
        <f>IFERROR(__xludf.DUMMYFUNCTION("""COMPUTED_VALUE"""),"Low Rating")</f>
        <v>Low Rating</v>
      </c>
      <c r="J104" t="b">
        <f>IFERROR(__xludf.DUMMYFUNCTION("""COMPUTED_VALUE"""),FALSE)</f>
        <v>0</v>
      </c>
      <c r="K104" s="142" t="str">
        <f>IFERROR(__xludf.DUMMYFUNCTION("""COMPUTED_VALUE"""),"Data Science")</f>
        <v>Data Science</v>
      </c>
      <c r="L104" s="142" t="str">
        <f>IFERROR(__xludf.DUMMYFUNCTION("""COMPUTED_VALUE"""),"Machine Learning")</f>
        <v>Machine Learning</v>
      </c>
      <c r="N104" s="140" t="str">
        <f>IFERROR(__xludf.DUMMYFUNCTION("""COMPUTED_VALUE"""),"")</f>
        <v/>
      </c>
      <c r="P104" s="140" t="str">
        <f>IFERROR(__xludf.DUMMYFUNCTION("""COMPUTED_VALUE"""),"")</f>
        <v/>
      </c>
    </row>
    <row r="105">
      <c r="A105" s="143">
        <f>IFERROR(__xludf.DUMMYFUNCTION("""COMPUTED_VALUE"""),44623.0)</f>
        <v>44623</v>
      </c>
      <c r="B105" s="143">
        <f>IFERROR(__xludf.DUMMYFUNCTION("""COMPUTED_VALUE"""),44834.0)</f>
        <v>44834</v>
      </c>
      <c r="C105" t="str">
        <f>IFERROR(__xludf.DUMMYFUNCTION("""COMPUTED_VALUE"""),"en")</f>
        <v>en</v>
      </c>
      <c r="D105">
        <f>IFERROR(__xludf.DUMMYFUNCTION("""COMPUTED_VALUE"""),2112202.0)</f>
        <v>2112202</v>
      </c>
      <c r="E105" t="str">
        <f>IFERROR(__xludf.DUMMYFUNCTION("""COMPUTED_VALUE"""),"Data analyzing and Machine Learning Hands-on with KNIME")</f>
        <v>Data analyzing and Machine Learning Hands-on with KNIME</v>
      </c>
      <c r="F105" t="str">
        <f>IFERROR(__xludf.DUMMYFUNCTION("""COMPUTED_VALUE"""),"Data analyzing and Machine Learning Hands-on with KNIME")</f>
        <v>Data analyzing and Machine Learning Hands-on with KNIME</v>
      </c>
      <c r="G105">
        <f>IFERROR(__xludf.DUMMYFUNCTION("""COMPUTED_VALUE"""),5.2099304E7)</f>
        <v>52099304</v>
      </c>
      <c r="H105" t="str">
        <f>IFERROR(__xludf.DUMMYFUNCTION("""COMPUTED_VALUE"""),"Barbora Stetinova, MBA")</f>
        <v>Barbora Stetinova, MBA</v>
      </c>
      <c r="I105" t="str">
        <f>IFERROR(__xludf.DUMMYFUNCTION("""COMPUTED_VALUE"""),"Low Rating")</f>
        <v>Low Rating</v>
      </c>
      <c r="J105" t="b">
        <f>IFERROR(__xludf.DUMMYFUNCTION("""COMPUTED_VALUE"""),FALSE)</f>
        <v>0</v>
      </c>
      <c r="K105" s="142" t="str">
        <f>IFERROR(__xludf.DUMMYFUNCTION("""COMPUTED_VALUE"""),"Data Science")</f>
        <v>Data Science</v>
      </c>
      <c r="L105" s="142" t="str">
        <f>IFERROR(__xludf.DUMMYFUNCTION("""COMPUTED_VALUE"""),"Machine Learning")</f>
        <v>Machine Learning</v>
      </c>
      <c r="N105" s="140" t="str">
        <f>IFERROR(__xludf.DUMMYFUNCTION("""COMPUTED_VALUE"""),"")</f>
        <v/>
      </c>
      <c r="P105" s="140" t="str">
        <f>IFERROR(__xludf.DUMMYFUNCTION("""COMPUTED_VALUE"""),"")</f>
        <v/>
      </c>
    </row>
    <row r="106">
      <c r="A106" s="143">
        <f>IFERROR(__xludf.DUMMYFUNCTION("""COMPUTED_VALUE"""),44623.0)</f>
        <v>44623</v>
      </c>
      <c r="B106" s="143">
        <f>IFERROR(__xludf.DUMMYFUNCTION("""COMPUTED_VALUE"""),44834.0)</f>
        <v>44834</v>
      </c>
      <c r="C106" t="str">
        <f>IFERROR(__xludf.DUMMYFUNCTION("""COMPUTED_VALUE"""),"es")</f>
        <v>es</v>
      </c>
      <c r="D106">
        <f>IFERROR(__xludf.DUMMYFUNCTION("""COMPUTED_VALUE"""),2213022.0)</f>
        <v>2213022</v>
      </c>
      <c r="E106" t="str">
        <f>IFERROR(__xludf.DUMMYFUNCTION("""COMPUTED_VALUE"""),"PrestaShop 1.7: Crea tu Tienda Online de 0 a Experto!")</f>
        <v>PrestaShop 1.7: Crea tu Tienda Online de 0 a Experto!</v>
      </c>
      <c r="F106" t="str">
        <f>IFERROR(__xludf.DUMMYFUNCTION("""COMPUTED_VALUE"""),"PrestaShop 1.7: Create your online store from 0 to expert!")</f>
        <v>PrestaShop 1.7: Create your online store from 0 to expert!</v>
      </c>
      <c r="G106">
        <f>IFERROR(__xludf.DUMMYFUNCTION("""COMPUTED_VALUE"""),3.0747612E7)</f>
        <v>30747612</v>
      </c>
      <c r="H106" t="str">
        <f>IFERROR(__xludf.DUMMYFUNCTION("""COMPUTED_VALUE"""),"Agustin Navarro Galdon")</f>
        <v>Agustin Navarro Galdon</v>
      </c>
      <c r="I106" t="str">
        <f>IFERROR(__xludf.DUMMYFUNCTION("""COMPUTED_VALUE"""),"Low Rating")</f>
        <v>Low Rating</v>
      </c>
      <c r="J106" t="b">
        <f>IFERROR(__xludf.DUMMYFUNCTION("""COMPUTED_VALUE"""),FALSE)</f>
        <v>0</v>
      </c>
      <c r="K106" s="142" t="str">
        <f>IFERROR(__xludf.DUMMYFUNCTION("""COMPUTED_VALUE"""),"Marketing")</f>
        <v>Marketing</v>
      </c>
      <c r="L106" s="142" t="str">
        <f>IFERROR(__xludf.DUMMYFUNCTION("""COMPUTED_VALUE"""),"Digital Marketing")</f>
        <v>Digital Marketing</v>
      </c>
      <c r="N106" s="140" t="str">
        <f>IFERROR(__xludf.DUMMYFUNCTION("""COMPUTED_VALUE"""),"")</f>
        <v/>
      </c>
      <c r="P106" s="140" t="str">
        <f>IFERROR(__xludf.DUMMYFUNCTION("""COMPUTED_VALUE"""),"")</f>
        <v/>
      </c>
    </row>
    <row r="107">
      <c r="A107" s="143">
        <f>IFERROR(__xludf.DUMMYFUNCTION("""COMPUTED_VALUE"""),44623.0)</f>
        <v>44623</v>
      </c>
      <c r="B107" s="143">
        <f>IFERROR(__xludf.DUMMYFUNCTION("""COMPUTED_VALUE"""),44834.0)</f>
        <v>44834</v>
      </c>
      <c r="C107" t="str">
        <f>IFERROR(__xludf.DUMMYFUNCTION("""COMPUTED_VALUE"""),"fr")</f>
        <v>fr</v>
      </c>
      <c r="D107">
        <f>IFERROR(__xludf.DUMMYFUNCTION("""COMPUTED_VALUE"""),2346550.0)</f>
        <v>2346550</v>
      </c>
      <c r="E107" t="str">
        <f>IFERROR(__xludf.DUMMYFUNCTION("""COMPUTED_VALUE"""),"Comment conduire des réunions toniques et utiles")</f>
        <v>Comment conduire des réunions toniques et utiles</v>
      </c>
      <c r="F107" t="str">
        <f>IFERROR(__xludf.DUMMYFUNCTION("""COMPUTED_VALUE"""),"How to drive tonic and useful meetings")</f>
        <v>How to drive tonic and useful meetings</v>
      </c>
      <c r="G107">
        <f>IFERROR(__xludf.DUMMYFUNCTION("""COMPUTED_VALUE"""),7.056057E7)</f>
        <v>70560570</v>
      </c>
      <c r="H107" t="str">
        <f>IFERROR(__xludf.DUMMYFUNCTION("""COMPUTED_VALUE"""),"Catherine Barbon")</f>
        <v>Catherine Barbon</v>
      </c>
      <c r="I107" t="str">
        <f>IFERROR(__xludf.DUMMYFUNCTION("""COMPUTED_VALUE"""),"Low Rating")</f>
        <v>Low Rating</v>
      </c>
      <c r="J107" t="b">
        <f>IFERROR(__xludf.DUMMYFUNCTION("""COMPUTED_VALUE"""),FALSE)</f>
        <v>0</v>
      </c>
      <c r="K107" s="142" t="str">
        <f>IFERROR(__xludf.DUMMYFUNCTION("""COMPUTED_VALUE"""),"Leadership &amp; Management")</f>
        <v>Leadership &amp; Management</v>
      </c>
      <c r="L107" s="142" t="str">
        <f>IFERROR(__xludf.DUMMYFUNCTION("""COMPUTED_VALUE"""),"Management")</f>
        <v>Management</v>
      </c>
      <c r="N107" s="140" t="str">
        <f>IFERROR(__xludf.DUMMYFUNCTION("""COMPUTED_VALUE"""),"")</f>
        <v/>
      </c>
      <c r="P107" s="140" t="str">
        <f>IFERROR(__xludf.DUMMYFUNCTION("""COMPUTED_VALUE"""),"")</f>
        <v/>
      </c>
    </row>
    <row r="108">
      <c r="A108" s="143">
        <f>IFERROR(__xludf.DUMMYFUNCTION("""COMPUTED_VALUE"""),44623.0)</f>
        <v>44623</v>
      </c>
      <c r="B108" s="143">
        <f>IFERROR(__xludf.DUMMYFUNCTION("""COMPUTED_VALUE"""),44834.0)</f>
        <v>44834</v>
      </c>
      <c r="C108" t="str">
        <f>IFERROR(__xludf.DUMMYFUNCTION("""COMPUTED_VALUE"""),"en")</f>
        <v>en</v>
      </c>
      <c r="D108">
        <f>IFERROR(__xludf.DUMMYFUNCTION("""COMPUTED_VALUE"""),2531636.0)</f>
        <v>2531636</v>
      </c>
      <c r="E108" t="str">
        <f>IFERROR(__xludf.DUMMYFUNCTION("""COMPUTED_VALUE"""),"PowerPoint VBA Macros and Coding Interactive Presentations")</f>
        <v>PowerPoint VBA Macros and Coding Interactive Presentations</v>
      </c>
      <c r="F108" t="str">
        <f>IFERROR(__xludf.DUMMYFUNCTION("""COMPUTED_VALUE"""),"PowerPoint VBA Macros and Coding Interactive Presentations")</f>
        <v>PowerPoint VBA Macros and Coding Interactive Presentations</v>
      </c>
      <c r="G108">
        <f>IFERROR(__xludf.DUMMYFUNCTION("""COMPUTED_VALUE"""),3.3816608E7)</f>
        <v>33816608</v>
      </c>
      <c r="H108" t="str">
        <f>IFERROR(__xludf.DUMMYFUNCTION("""COMPUTED_VALUE"""),"Thomas Venables")</f>
        <v>Thomas Venables</v>
      </c>
      <c r="I108" t="str">
        <f>IFERROR(__xludf.DUMMYFUNCTION("""COMPUTED_VALUE"""),"Low Rating")</f>
        <v>Low Rating</v>
      </c>
      <c r="J108" t="b">
        <f>IFERROR(__xludf.DUMMYFUNCTION("""COMPUTED_VALUE"""),FALSE)</f>
        <v>0</v>
      </c>
      <c r="K108" s="142" t="str">
        <f>IFERROR(__xludf.DUMMYFUNCTION("""COMPUTED_VALUE"""),"Office Productivity")</f>
        <v>Office Productivity</v>
      </c>
      <c r="L108" s="142" t="str">
        <f>IFERROR(__xludf.DUMMYFUNCTION("""COMPUTED_VALUE"""),"Presentations")</f>
        <v>Presentations</v>
      </c>
      <c r="N108" s="140" t="str">
        <f>IFERROR(__xludf.DUMMYFUNCTION("""COMPUTED_VALUE"""),"")</f>
        <v/>
      </c>
      <c r="P108" s="140" t="str">
        <f>IFERROR(__xludf.DUMMYFUNCTION("""COMPUTED_VALUE"""),"")</f>
        <v/>
      </c>
    </row>
    <row r="109">
      <c r="A109" s="143">
        <f>IFERROR(__xludf.DUMMYFUNCTION("""COMPUTED_VALUE"""),44623.0)</f>
        <v>44623</v>
      </c>
      <c r="B109" s="143">
        <f>IFERROR(__xludf.DUMMYFUNCTION("""COMPUTED_VALUE"""),44834.0)</f>
        <v>44834</v>
      </c>
      <c r="C109" t="str">
        <f>IFERROR(__xludf.DUMMYFUNCTION("""COMPUTED_VALUE"""),"en")</f>
        <v>en</v>
      </c>
      <c r="D109">
        <f>IFERROR(__xludf.DUMMYFUNCTION("""COMPUTED_VALUE"""),2545917.0)</f>
        <v>2545917</v>
      </c>
      <c r="E109" t="str">
        <f>IFERROR(__xludf.DUMMYFUNCTION("""COMPUTED_VALUE"""),"Android Firebase Masterclass - Master Google Firebase")</f>
        <v>Android Firebase Masterclass - Master Google Firebase</v>
      </c>
      <c r="F109" t="str">
        <f>IFERROR(__xludf.DUMMYFUNCTION("""COMPUTED_VALUE"""),"Android Firebase Masterclass - Master Google Firebase")</f>
        <v>Android Firebase Masterclass - Master Google Firebase</v>
      </c>
      <c r="G109">
        <f>IFERROR(__xludf.DUMMYFUNCTION("""COMPUTED_VALUE"""),3.510115E7)</f>
        <v>35101150</v>
      </c>
      <c r="H109" t="str">
        <f>IFERROR(__xludf.DUMMYFUNCTION("""COMPUTED_VALUE"""),"Tim Buchalka's Learn Programming Academy")</f>
        <v>Tim Buchalka's Learn Programming Academy</v>
      </c>
      <c r="I109" t="str">
        <f>IFERROR(__xludf.DUMMYFUNCTION("""COMPUTED_VALUE"""),"Low Rating")</f>
        <v>Low Rating</v>
      </c>
      <c r="J109" t="b">
        <f>IFERROR(__xludf.DUMMYFUNCTION("""COMPUTED_VALUE"""),FALSE)</f>
        <v>0</v>
      </c>
      <c r="K109" s="142" t="str">
        <f>IFERROR(__xludf.DUMMYFUNCTION("""COMPUTED_VALUE"""),"Development")</f>
        <v>Development</v>
      </c>
      <c r="L109" s="142" t="str">
        <f>IFERROR(__xludf.DUMMYFUNCTION("""COMPUTED_VALUE"""),"Mobile Development")</f>
        <v>Mobile Development</v>
      </c>
      <c r="N109" s="140" t="str">
        <f>IFERROR(__xludf.DUMMYFUNCTION("""COMPUTED_VALUE"""),"")</f>
        <v/>
      </c>
      <c r="P109" s="140" t="str">
        <f>IFERROR(__xludf.DUMMYFUNCTION("""COMPUTED_VALUE"""),"")</f>
        <v/>
      </c>
    </row>
    <row r="110">
      <c r="A110" s="143">
        <f>IFERROR(__xludf.DUMMYFUNCTION("""COMPUTED_VALUE"""),44623.0)</f>
        <v>44623</v>
      </c>
      <c r="B110" s="143">
        <f>IFERROR(__xludf.DUMMYFUNCTION("""COMPUTED_VALUE"""),44834.0)</f>
        <v>44834</v>
      </c>
      <c r="C110" t="str">
        <f>IFERROR(__xludf.DUMMYFUNCTION("""COMPUTED_VALUE"""),"pt")</f>
        <v>pt</v>
      </c>
      <c r="D110">
        <f>IFERROR(__xludf.DUMMYFUNCTION("""COMPUTED_VALUE"""),2569532.0)</f>
        <v>2569532</v>
      </c>
      <c r="E110" t="str">
        <f>IFERROR(__xludf.DUMMYFUNCTION("""COMPUTED_VALUE"""),"Curso Instagram Marketing Completo - Do Básico ao Avançado.")</f>
        <v>Curso Instagram Marketing Completo - Do Básico ao Avançado.</v>
      </c>
      <c r="F110" t="str">
        <f>IFERROR(__xludf.DUMMYFUNCTION("""COMPUTED_VALUE"""),"Course Instagram complete marketing - from the basics to advanced.")</f>
        <v>Course Instagram complete marketing - from the basics to advanced.</v>
      </c>
      <c r="G110">
        <f>IFERROR(__xludf.DUMMYFUNCTION("""COMPUTED_VALUE"""),3.475999E7)</f>
        <v>34759990</v>
      </c>
      <c r="H110" t="str">
        <f>IFERROR(__xludf.DUMMYFUNCTION("""COMPUTED_VALUE"""),"André Fontenelle")</f>
        <v>André Fontenelle</v>
      </c>
      <c r="I110" t="str">
        <f>IFERROR(__xludf.DUMMYFUNCTION("""COMPUTED_VALUE"""),"Low Rating")</f>
        <v>Low Rating</v>
      </c>
      <c r="J110" t="b">
        <f>IFERROR(__xludf.DUMMYFUNCTION("""COMPUTED_VALUE"""),FALSE)</f>
        <v>0</v>
      </c>
      <c r="K110" s="142" t="str">
        <f>IFERROR(__xludf.DUMMYFUNCTION("""COMPUTED_VALUE"""),"Marketing")</f>
        <v>Marketing</v>
      </c>
      <c r="L110" s="142" t="str">
        <f>IFERROR(__xludf.DUMMYFUNCTION("""COMPUTED_VALUE"""),"Digital Marketing")</f>
        <v>Digital Marketing</v>
      </c>
      <c r="N110" s="140" t="str">
        <f>IFERROR(__xludf.DUMMYFUNCTION("""COMPUTED_VALUE"""),"")</f>
        <v/>
      </c>
      <c r="P110" s="140" t="str">
        <f>IFERROR(__xludf.DUMMYFUNCTION("""COMPUTED_VALUE"""),"")</f>
        <v/>
      </c>
    </row>
    <row r="111">
      <c r="A111" s="143">
        <f>IFERROR(__xludf.DUMMYFUNCTION("""COMPUTED_VALUE"""),44623.0)</f>
        <v>44623</v>
      </c>
      <c r="B111" s="143">
        <f>IFERROR(__xludf.DUMMYFUNCTION("""COMPUTED_VALUE"""),44834.0)</f>
        <v>44834</v>
      </c>
      <c r="C111" t="str">
        <f>IFERROR(__xludf.DUMMYFUNCTION("""COMPUTED_VALUE"""),"fr")</f>
        <v>fr</v>
      </c>
      <c r="D111">
        <f>IFERROR(__xludf.DUMMYFUNCTION("""COMPUTED_VALUE"""),2593040.0)</f>
        <v>2593040</v>
      </c>
      <c r="E111" t="str">
        <f>IFERROR(__xludf.DUMMYFUNCTION("""COMPUTED_VALUE"""),"Les bases de Symfony 4")</f>
        <v>Les bases de Symfony 4</v>
      </c>
      <c r="F111" t="str">
        <f>IFERROR(__xludf.DUMMYFUNCTION("""COMPUTED_VALUE"""),"The basics of Symfony 4")</f>
        <v>The basics of Symfony 4</v>
      </c>
      <c r="G111">
        <f>IFERROR(__xludf.DUMMYFUNCTION("""COMPUTED_VALUE"""),7.9496162E7)</f>
        <v>79496162</v>
      </c>
      <c r="H111" t="str">
        <f>IFERROR(__xludf.DUMMYFUNCTION("""COMPUTED_VALUE"""),"Florent NICOLAS")</f>
        <v>Florent NICOLAS</v>
      </c>
      <c r="I111" t="str">
        <f>IFERROR(__xludf.DUMMYFUNCTION("""COMPUTED_VALUE"""),"Low Rating")</f>
        <v>Low Rating</v>
      </c>
      <c r="J111" t="b">
        <f>IFERROR(__xludf.DUMMYFUNCTION("""COMPUTED_VALUE"""),FALSE)</f>
        <v>0</v>
      </c>
      <c r="K111" s="142" t="str">
        <f>IFERROR(__xludf.DUMMYFUNCTION("""COMPUTED_VALUE"""),"Development")</f>
        <v>Development</v>
      </c>
      <c r="L111" s="142" t="str">
        <f>IFERROR(__xludf.DUMMYFUNCTION("""COMPUTED_VALUE"""),"Web Development")</f>
        <v>Web Development</v>
      </c>
      <c r="N111" s="140" t="str">
        <f>IFERROR(__xludf.DUMMYFUNCTION("""COMPUTED_VALUE"""),"")</f>
        <v/>
      </c>
      <c r="P111" s="140" t="str">
        <f>IFERROR(__xludf.DUMMYFUNCTION("""COMPUTED_VALUE"""),"")</f>
        <v/>
      </c>
    </row>
    <row r="112">
      <c r="A112" s="143">
        <f>IFERROR(__xludf.DUMMYFUNCTION("""COMPUTED_VALUE"""),44623.0)</f>
        <v>44623</v>
      </c>
      <c r="B112" s="143">
        <f>IFERROR(__xludf.DUMMYFUNCTION("""COMPUTED_VALUE"""),44834.0)</f>
        <v>44834</v>
      </c>
      <c r="C112" t="str">
        <f>IFERROR(__xludf.DUMMYFUNCTION("""COMPUTED_VALUE"""),"pt")</f>
        <v>pt</v>
      </c>
      <c r="D112">
        <f>IFERROR(__xludf.DUMMYFUNCTION("""COMPUTED_VALUE"""),2609628.0)</f>
        <v>2609628</v>
      </c>
      <c r="E112" t="str">
        <f>IFERROR(__xludf.DUMMYFUNCTION("""COMPUTED_VALUE"""),"Certificação AZ-304 Microsoft Azure Architect Design 2021")</f>
        <v>Certificação AZ-304 Microsoft Azure Architect Design 2021</v>
      </c>
      <c r="F112" t="str">
        <f>IFERROR(__xludf.DUMMYFUNCTION("""COMPUTED_VALUE"""),"AZ-304 Certification Microsoft Azure Architect Design 2021")</f>
        <v>AZ-304 Certification Microsoft Azure Architect Design 2021</v>
      </c>
      <c r="G112">
        <f>IFERROR(__xludf.DUMMYFUNCTION("""COMPUTED_VALUE"""),4404500.0)</f>
        <v>4404500</v>
      </c>
      <c r="H112" t="str">
        <f>IFERROR(__xludf.DUMMYFUNCTION("""COMPUTED_VALUE"""),"Andre Iacono | 100.000+ Alunos")</f>
        <v>Andre Iacono | 100.000+ Alunos</v>
      </c>
      <c r="I112" t="str">
        <f>IFERROR(__xludf.DUMMYFUNCTION("""COMPUTED_VALUE"""),"Low Rating")</f>
        <v>Low Rating</v>
      </c>
      <c r="J112" t="b">
        <f>IFERROR(__xludf.DUMMYFUNCTION("""COMPUTED_VALUE"""),FALSE)</f>
        <v>0</v>
      </c>
      <c r="K112" s="142" t="str">
        <f>IFERROR(__xludf.DUMMYFUNCTION("""COMPUTED_VALUE"""),"IT Operations")</f>
        <v>IT Operations</v>
      </c>
      <c r="L112" s="142" t="str">
        <f>IFERROR(__xludf.DUMMYFUNCTION("""COMPUTED_VALUE"""),"IT Certifications")</f>
        <v>IT Certifications</v>
      </c>
      <c r="N112" s="140" t="str">
        <f>IFERROR(__xludf.DUMMYFUNCTION("""COMPUTED_VALUE"""),"")</f>
        <v/>
      </c>
      <c r="P112" s="140" t="str">
        <f>IFERROR(__xludf.DUMMYFUNCTION("""COMPUTED_VALUE"""),"")</f>
        <v/>
      </c>
    </row>
    <row r="113">
      <c r="A113" s="143">
        <f>IFERROR(__xludf.DUMMYFUNCTION("""COMPUTED_VALUE"""),44623.0)</f>
        <v>44623</v>
      </c>
      <c r="B113" s="143">
        <f>IFERROR(__xludf.DUMMYFUNCTION("""COMPUTED_VALUE"""),44834.0)</f>
        <v>44834</v>
      </c>
      <c r="C113" t="str">
        <f>IFERROR(__xludf.DUMMYFUNCTION("""COMPUTED_VALUE"""),"en")</f>
        <v>en</v>
      </c>
      <c r="D113">
        <f>IFERROR(__xludf.DUMMYFUNCTION("""COMPUTED_VALUE"""),2802605.0)</f>
        <v>2802605</v>
      </c>
      <c r="E113" t="str">
        <f>IFERROR(__xludf.DUMMYFUNCTION("""COMPUTED_VALUE"""),"The Most Comprehensive Dropshipping Guide Ever Created")</f>
        <v>The Most Comprehensive Dropshipping Guide Ever Created</v>
      </c>
      <c r="F113" t="str">
        <f>IFERROR(__xludf.DUMMYFUNCTION("""COMPUTED_VALUE"""),"The Most Comprehensive Dropshipping Guide Ever Created")</f>
        <v>The Most Comprehensive Dropshipping Guide Ever Created</v>
      </c>
      <c r="G113">
        <f>IFERROR(__xludf.DUMMYFUNCTION("""COMPUTED_VALUE"""),4.1455224E7)</f>
        <v>41455224</v>
      </c>
      <c r="H113" t="str">
        <f>IFERROR(__xludf.DUMMYFUNCTION("""COMPUTED_VALUE"""),"David Hanlin")</f>
        <v>David Hanlin</v>
      </c>
      <c r="I113" t="str">
        <f>IFERROR(__xludf.DUMMYFUNCTION("""COMPUTED_VALUE"""),"Low Rating")</f>
        <v>Low Rating</v>
      </c>
      <c r="J113" t="b">
        <f>IFERROR(__xludf.DUMMYFUNCTION("""COMPUTED_VALUE"""),FALSE)</f>
        <v>0</v>
      </c>
      <c r="K113" s="142" t="str">
        <f>IFERROR(__xludf.DUMMYFUNCTION("""COMPUTED_VALUE"""),"Personal Development")</f>
        <v>Personal Development</v>
      </c>
      <c r="L113" s="142" t="str">
        <f>IFERROR(__xludf.DUMMYFUNCTION("""COMPUTED_VALUE"""),"Entrepreneurship")</f>
        <v>Entrepreneurship</v>
      </c>
      <c r="N113" s="140" t="str">
        <f>IFERROR(__xludf.DUMMYFUNCTION("""COMPUTED_VALUE"""),"")</f>
        <v/>
      </c>
      <c r="P113" s="140" t="str">
        <f>IFERROR(__xludf.DUMMYFUNCTION("""COMPUTED_VALUE"""),"")</f>
        <v/>
      </c>
    </row>
    <row r="114">
      <c r="A114" s="143">
        <f>IFERROR(__xludf.DUMMYFUNCTION("""COMPUTED_VALUE"""),44623.0)</f>
        <v>44623</v>
      </c>
      <c r="B114" s="143">
        <f>IFERROR(__xludf.DUMMYFUNCTION("""COMPUTED_VALUE"""),44834.0)</f>
        <v>44834</v>
      </c>
      <c r="C114" t="str">
        <f>IFERROR(__xludf.DUMMYFUNCTION("""COMPUTED_VALUE"""),"en")</f>
        <v>en</v>
      </c>
      <c r="D114">
        <f>IFERROR(__xludf.DUMMYFUNCTION("""COMPUTED_VALUE"""),2853152.0)</f>
        <v>2853152</v>
      </c>
      <c r="E114" t="str">
        <f>IFERROR(__xludf.DUMMYFUNCTION("""COMPUTED_VALUE"""),"#N/A")</f>
        <v>#N/A</v>
      </c>
      <c r="F114" t="str">
        <f>IFERROR(__xludf.DUMMYFUNCTION("""COMPUTED_VALUE"""),"#N/A")</f>
        <v>#N/A</v>
      </c>
      <c r="G114" t="str">
        <f>IFERROR(__xludf.DUMMYFUNCTION("""COMPUTED_VALUE"""),"#N/A")</f>
        <v>#N/A</v>
      </c>
      <c r="H114" t="str">
        <f>IFERROR(__xludf.DUMMYFUNCTION("""COMPUTED_VALUE"""),"#N/A")</f>
        <v>#N/A</v>
      </c>
      <c r="I114" t="str">
        <f>IFERROR(__xludf.DUMMYFUNCTION("""COMPUTED_VALUE"""),"Low Rating")</f>
        <v>Low Rating</v>
      </c>
      <c r="J114" t="str">
        <f>IFERROR(__xludf.DUMMYFUNCTION("""COMPUTED_VALUE"""),"#N/A")</f>
        <v>#N/A</v>
      </c>
      <c r="K114" s="142" t="str">
        <f>IFERROR(__xludf.DUMMYFUNCTION("""COMPUTED_VALUE"""),"#N/A")</f>
        <v>#N/A</v>
      </c>
      <c r="L114" s="142" t="str">
        <f>IFERROR(__xludf.DUMMYFUNCTION("""COMPUTED_VALUE"""),"#N/A")</f>
        <v>#N/A</v>
      </c>
      <c r="N114" s="140" t="str">
        <f>IFERROR(__xludf.DUMMYFUNCTION("""COMPUTED_VALUE"""),"")</f>
        <v/>
      </c>
      <c r="P114" s="140" t="str">
        <f>IFERROR(__xludf.DUMMYFUNCTION("""COMPUTED_VALUE"""),"")</f>
        <v/>
      </c>
    </row>
    <row r="115">
      <c r="A115" s="143">
        <f>IFERROR(__xludf.DUMMYFUNCTION("""COMPUTED_VALUE"""),44623.0)</f>
        <v>44623</v>
      </c>
      <c r="B115" s="143">
        <f>IFERROR(__xludf.DUMMYFUNCTION("""COMPUTED_VALUE"""),44834.0)</f>
        <v>44834</v>
      </c>
      <c r="C115" t="str">
        <f>IFERROR(__xludf.DUMMYFUNCTION("""COMPUTED_VALUE"""),"pt")</f>
        <v>pt</v>
      </c>
      <c r="D115">
        <f>IFERROR(__xludf.DUMMYFUNCTION("""COMPUTED_VALUE"""),2981770.0)</f>
        <v>2981770</v>
      </c>
      <c r="E115" t="str">
        <f>IFERROR(__xludf.DUMMYFUNCTION("""COMPUTED_VALUE"""),"Clube de Idiomas - O Método Extraordinário para Aprendizado")</f>
        <v>Clube de Idiomas - O Método Extraordinário para Aprendizado</v>
      </c>
      <c r="F115" t="str">
        <f>IFERROR(__xludf.DUMMYFUNCTION("""COMPUTED_VALUE"""),"Language Club - The Extraordinary Method for Learning")</f>
        <v>Language Club - The Extraordinary Method for Learning</v>
      </c>
      <c r="G115">
        <f>IFERROR(__xludf.DUMMYFUNCTION("""COMPUTED_VALUE"""),7.847446E7)</f>
        <v>78474460</v>
      </c>
      <c r="H115" t="str">
        <f>IFERROR(__xludf.DUMMYFUNCTION("""COMPUTED_VALUE"""),"Anselmo Costa")</f>
        <v>Anselmo Costa</v>
      </c>
      <c r="I115" t="str">
        <f>IFERROR(__xludf.DUMMYFUNCTION("""COMPUTED_VALUE"""),"Low Rating")</f>
        <v>Low Rating</v>
      </c>
      <c r="J115" t="b">
        <f>IFERROR(__xludf.DUMMYFUNCTION("""COMPUTED_VALUE"""),FALSE)</f>
        <v>0</v>
      </c>
      <c r="K115" s="142" t="str">
        <f>IFERROR(__xludf.DUMMYFUNCTION("""COMPUTED_VALUE"""),"Personal Development")</f>
        <v>Personal Development</v>
      </c>
      <c r="L115" s="142" t="str">
        <f>IFERROR(__xludf.DUMMYFUNCTION("""COMPUTED_VALUE"""),"Language Learning")</f>
        <v>Language Learning</v>
      </c>
      <c r="N115" s="140" t="str">
        <f>IFERROR(__xludf.DUMMYFUNCTION("""COMPUTED_VALUE"""),"")</f>
        <v/>
      </c>
      <c r="P115" s="140" t="str">
        <f>IFERROR(__xludf.DUMMYFUNCTION("""COMPUTED_VALUE"""),"")</f>
        <v/>
      </c>
    </row>
    <row r="116">
      <c r="A116" s="143">
        <f>IFERROR(__xludf.DUMMYFUNCTION("""COMPUTED_VALUE"""),44623.0)</f>
        <v>44623</v>
      </c>
      <c r="B116" s="143">
        <f>IFERROR(__xludf.DUMMYFUNCTION("""COMPUTED_VALUE"""),44834.0)</f>
        <v>44834</v>
      </c>
      <c r="C116" t="str">
        <f>IFERROR(__xludf.DUMMYFUNCTION("""COMPUTED_VALUE"""),"en")</f>
        <v>en</v>
      </c>
      <c r="D116">
        <f>IFERROR(__xludf.DUMMYFUNCTION("""COMPUTED_VALUE"""),3063576.0)</f>
        <v>3063576</v>
      </c>
      <c r="E116" t="str">
        <f>IFERROR(__xludf.DUMMYFUNCTION("""COMPUTED_VALUE"""),"The Complete Guide to Bot Creation")</f>
        <v>The Complete Guide to Bot Creation</v>
      </c>
      <c r="F116" t="str">
        <f>IFERROR(__xludf.DUMMYFUNCTION("""COMPUTED_VALUE"""),"The Complete Guide to Bot Creation")</f>
        <v>The Complete Guide to Bot Creation</v>
      </c>
      <c r="G116">
        <f>IFERROR(__xludf.DUMMYFUNCTION("""COMPUTED_VALUE"""),2341218.0)</f>
        <v>2341218</v>
      </c>
      <c r="H116" t="str">
        <f>IFERROR(__xludf.DUMMYFUNCTION("""COMPUTED_VALUE"""),"Tim Großmann")</f>
        <v>Tim Großmann</v>
      </c>
      <c r="I116" t="str">
        <f>IFERROR(__xludf.DUMMYFUNCTION("""COMPUTED_VALUE"""),"Low Rating")</f>
        <v>Low Rating</v>
      </c>
      <c r="J116" t="b">
        <f>IFERROR(__xludf.DUMMYFUNCTION("""COMPUTED_VALUE"""),FALSE)</f>
        <v>0</v>
      </c>
      <c r="K116" s="142" t="str">
        <f>IFERROR(__xludf.DUMMYFUNCTION("""COMPUTED_VALUE"""),"Development")</f>
        <v>Development</v>
      </c>
      <c r="L116" s="142" t="str">
        <f>IFERROR(__xludf.DUMMYFUNCTION("""COMPUTED_VALUE"""),"Programming Languages")</f>
        <v>Programming Languages</v>
      </c>
      <c r="N116" s="140" t="str">
        <f>IFERROR(__xludf.DUMMYFUNCTION("""COMPUTED_VALUE"""),"")</f>
        <v/>
      </c>
      <c r="P116" s="140" t="str">
        <f>IFERROR(__xludf.DUMMYFUNCTION("""COMPUTED_VALUE"""),"")</f>
        <v/>
      </c>
    </row>
    <row r="117">
      <c r="A117" s="143">
        <f>IFERROR(__xludf.DUMMYFUNCTION("""COMPUTED_VALUE"""),44623.0)</f>
        <v>44623</v>
      </c>
      <c r="B117" s="143">
        <f>IFERROR(__xludf.DUMMYFUNCTION("""COMPUTED_VALUE"""),44834.0)</f>
        <v>44834</v>
      </c>
      <c r="C117" t="str">
        <f>IFERROR(__xludf.DUMMYFUNCTION("""COMPUTED_VALUE"""),"de")</f>
        <v>de</v>
      </c>
      <c r="D117">
        <f>IFERROR(__xludf.DUMMYFUNCTION("""COMPUTED_VALUE"""),3277200.0)</f>
        <v>3277200</v>
      </c>
      <c r="E117" t="str">
        <f>IFERROR(__xludf.DUMMYFUNCTION("""COMPUTED_VALUE"""),"PowerPoint für Profis – Erfolgreich mit Präsentationsfolien")</f>
        <v>PowerPoint für Profis – Erfolgreich mit Präsentationsfolien</v>
      </c>
      <c r="F117" t="str">
        <f>IFERROR(__xludf.DUMMYFUNCTION("""COMPUTED_VALUE"""),"PowerPoint for professionals - successful with presentation films")</f>
        <v>PowerPoint for professionals - successful with presentation films</v>
      </c>
      <c r="G117">
        <f>IFERROR(__xludf.DUMMYFUNCTION("""COMPUTED_VALUE"""),5.2105044E7)</f>
        <v>52105044</v>
      </c>
      <c r="H117" t="str">
        <f>IFERROR(__xludf.DUMMYFUNCTION("""COMPUTED_VALUE"""),"Salvatore Princi")</f>
        <v>Salvatore Princi</v>
      </c>
      <c r="I117" t="str">
        <f>IFERROR(__xludf.DUMMYFUNCTION("""COMPUTED_VALUE"""),"Low Rating")</f>
        <v>Low Rating</v>
      </c>
      <c r="J117" t="b">
        <f>IFERROR(__xludf.DUMMYFUNCTION("""COMPUTED_VALUE"""),FALSE)</f>
        <v>0</v>
      </c>
      <c r="K117" s="142" t="str">
        <f>IFERROR(__xludf.DUMMYFUNCTION("""COMPUTED_VALUE"""),"Leadership &amp; Management")</f>
        <v>Leadership &amp; Management</v>
      </c>
      <c r="L117" s="142" t="str">
        <f>IFERROR(__xludf.DUMMYFUNCTION("""COMPUTED_VALUE"""),"Communication")</f>
        <v>Communication</v>
      </c>
      <c r="N117" s="140" t="str">
        <f>IFERROR(__xludf.DUMMYFUNCTION("""COMPUTED_VALUE"""),"")</f>
        <v/>
      </c>
      <c r="P117" s="140" t="str">
        <f>IFERROR(__xludf.DUMMYFUNCTION("""COMPUTED_VALUE"""),"")</f>
        <v/>
      </c>
    </row>
    <row r="118">
      <c r="A118" s="143">
        <f>IFERROR(__xludf.DUMMYFUNCTION("""COMPUTED_VALUE"""),44623.0)</f>
        <v>44623</v>
      </c>
      <c r="B118" s="143">
        <f>IFERROR(__xludf.DUMMYFUNCTION("""COMPUTED_VALUE"""),44834.0)</f>
        <v>44834</v>
      </c>
      <c r="C118" t="str">
        <f>IFERROR(__xludf.DUMMYFUNCTION("""COMPUTED_VALUE"""),"fr")</f>
        <v>fr</v>
      </c>
      <c r="D118">
        <f>IFERROR(__xludf.DUMMYFUNCTION("""COMPUTED_VALUE"""),3466696.0)</f>
        <v>3466696</v>
      </c>
      <c r="E118" t="str">
        <f>IFERROR(__xludf.DUMMYFUNCTION("""COMPUTED_VALUE"""),"ISO 9001 Version 2015 : La maîtrise")</f>
        <v>ISO 9001 Version 2015 : La maîtrise</v>
      </c>
      <c r="F118" t="str">
        <f>IFERROR(__xludf.DUMMYFUNCTION("""COMPUTED_VALUE"""),"ISO 9001 Version 2015: Master's degree")</f>
        <v>ISO 9001 Version 2015: Master's degree</v>
      </c>
      <c r="G118">
        <f>IFERROR(__xludf.DUMMYFUNCTION("""COMPUTED_VALUE"""),9.7379394E7)</f>
        <v>97379394</v>
      </c>
      <c r="H118" t="str">
        <f>IFERROR(__xludf.DUMMYFUNCTION("""COMPUTED_VALUE"""),"Abdellah HAMDOUNE")</f>
        <v>Abdellah HAMDOUNE</v>
      </c>
      <c r="I118" t="str">
        <f>IFERROR(__xludf.DUMMYFUNCTION("""COMPUTED_VALUE"""),"Low Rating")</f>
        <v>Low Rating</v>
      </c>
      <c r="J118" t="b">
        <f>IFERROR(__xludf.DUMMYFUNCTION("""COMPUTED_VALUE"""),FALSE)</f>
        <v>0</v>
      </c>
      <c r="K118" s="142" t="str">
        <f>IFERROR(__xludf.DUMMYFUNCTION("""COMPUTED_VALUE"""),"Project Management &amp; Operations")</f>
        <v>Project Management &amp; Operations</v>
      </c>
      <c r="L118" s="142" t="str">
        <f>IFERROR(__xludf.DUMMYFUNCTION("""COMPUTED_VALUE"""),"Operations Management")</f>
        <v>Operations Management</v>
      </c>
      <c r="N118" s="140" t="str">
        <f>IFERROR(__xludf.DUMMYFUNCTION("""COMPUTED_VALUE"""),"")</f>
        <v/>
      </c>
      <c r="P118" s="140" t="str">
        <f>IFERROR(__xludf.DUMMYFUNCTION("""COMPUTED_VALUE"""),"")</f>
        <v/>
      </c>
    </row>
    <row r="119">
      <c r="A119" s="143">
        <f>IFERROR(__xludf.DUMMYFUNCTION("""COMPUTED_VALUE"""),44623.0)</f>
        <v>44623</v>
      </c>
      <c r="B119" s="143">
        <f>IFERROR(__xludf.DUMMYFUNCTION("""COMPUTED_VALUE"""),44834.0)</f>
        <v>44834</v>
      </c>
      <c r="C119" t="str">
        <f>IFERROR(__xludf.DUMMYFUNCTION("""COMPUTED_VALUE"""),"de")</f>
        <v>de</v>
      </c>
      <c r="D119">
        <f>IFERROR(__xludf.DUMMYFUNCTION("""COMPUTED_VALUE"""),3537356.0)</f>
        <v>3537356</v>
      </c>
      <c r="E119" t="str">
        <f>IFERROR(__xludf.DUMMYFUNCTION("""COMPUTED_VALUE"""),"Einstieg ins strategische Management")</f>
        <v>Einstieg ins strategische Management</v>
      </c>
      <c r="F119" t="str">
        <f>IFERROR(__xludf.DUMMYFUNCTION("""COMPUTED_VALUE"""),"Entry into strategic management")</f>
        <v>Entry into strategic management</v>
      </c>
      <c r="G119">
        <f>IFERROR(__xludf.DUMMYFUNCTION("""COMPUTED_VALUE"""),4.7680978E7)</f>
        <v>47680978</v>
      </c>
      <c r="H119" t="str">
        <f>IFERROR(__xludf.DUMMYFUNCTION("""COMPUTED_VALUE"""),"Kristoffer Ditz")</f>
        <v>Kristoffer Ditz</v>
      </c>
      <c r="I119" t="str">
        <f>IFERROR(__xludf.DUMMYFUNCTION("""COMPUTED_VALUE"""),"Low Rating")</f>
        <v>Low Rating</v>
      </c>
      <c r="J119" t="b">
        <f>IFERROR(__xludf.DUMMYFUNCTION("""COMPUTED_VALUE"""),FALSE)</f>
        <v>0</v>
      </c>
      <c r="K119" s="142" t="str">
        <f>IFERROR(__xludf.DUMMYFUNCTION("""COMPUTED_VALUE"""),"Leadership &amp; Management")</f>
        <v>Leadership &amp; Management</v>
      </c>
      <c r="L119" s="142" t="str">
        <f>IFERROR(__xludf.DUMMYFUNCTION("""COMPUTED_VALUE"""),"Strategy")</f>
        <v>Strategy</v>
      </c>
      <c r="N119" s="140" t="str">
        <f>IFERROR(__xludf.DUMMYFUNCTION("""COMPUTED_VALUE"""),"")</f>
        <v/>
      </c>
      <c r="P119" s="140" t="str">
        <f>IFERROR(__xludf.DUMMYFUNCTION("""COMPUTED_VALUE"""),"")</f>
        <v/>
      </c>
    </row>
    <row r="120">
      <c r="A120" s="143">
        <f>IFERROR(__xludf.DUMMYFUNCTION("""COMPUTED_VALUE"""),44623.0)</f>
        <v>44623</v>
      </c>
      <c r="B120" s="143">
        <f>IFERROR(__xludf.DUMMYFUNCTION("""COMPUTED_VALUE"""),44834.0)</f>
        <v>44834</v>
      </c>
      <c r="C120" t="str">
        <f>IFERROR(__xludf.DUMMYFUNCTION("""COMPUTED_VALUE"""),"pt")</f>
        <v>pt</v>
      </c>
      <c r="D120">
        <f>IFERROR(__xludf.DUMMYFUNCTION("""COMPUTED_VALUE"""),3593010.0)</f>
        <v>3593010</v>
      </c>
      <c r="E120" t="str">
        <f>IFERROR(__xludf.DUMMYFUNCTION("""COMPUTED_VALUE"""),"SketchUp para a Web 2021")</f>
        <v>SketchUp para a Web 2021</v>
      </c>
      <c r="F120" t="str">
        <f>IFERROR(__xludf.DUMMYFUNCTION("""COMPUTED_VALUE"""),"Sketchup for Web 2021")</f>
        <v>Sketchup for Web 2021</v>
      </c>
      <c r="G120">
        <f>IFERROR(__xludf.DUMMYFUNCTION("""COMPUTED_VALUE"""),6.1539304E7)</f>
        <v>61539304</v>
      </c>
      <c r="H120" t="str">
        <f>IFERROR(__xludf.DUMMYFUNCTION("""COMPUTED_VALUE"""),"Maycon Del Piero da Silva")</f>
        <v>Maycon Del Piero da Silva</v>
      </c>
      <c r="I120" t="str">
        <f>IFERROR(__xludf.DUMMYFUNCTION("""COMPUTED_VALUE"""),"Low Rating")</f>
        <v>Low Rating</v>
      </c>
      <c r="J120" t="b">
        <f>IFERROR(__xludf.DUMMYFUNCTION("""COMPUTED_VALUE"""),FALSE)</f>
        <v>0</v>
      </c>
      <c r="K120" s="142" t="str">
        <f>IFERROR(__xludf.DUMMYFUNCTION("""COMPUTED_VALUE"""),"Design")</f>
        <v>Design</v>
      </c>
      <c r="L120" s="142" t="str">
        <f>IFERROR(__xludf.DUMMYFUNCTION("""COMPUTED_VALUE"""),"Design Tools")</f>
        <v>Design Tools</v>
      </c>
      <c r="N120" s="140" t="str">
        <f>IFERROR(__xludf.DUMMYFUNCTION("""COMPUTED_VALUE"""),"")</f>
        <v/>
      </c>
      <c r="P120" s="140" t="str">
        <f>IFERROR(__xludf.DUMMYFUNCTION("""COMPUTED_VALUE"""),"")</f>
        <v/>
      </c>
    </row>
    <row r="121">
      <c r="A121" s="143">
        <f>IFERROR(__xludf.DUMMYFUNCTION("""COMPUTED_VALUE"""),44623.0)</f>
        <v>44623</v>
      </c>
      <c r="B121" s="143">
        <f>IFERROR(__xludf.DUMMYFUNCTION("""COMPUTED_VALUE"""),44834.0)</f>
        <v>44834</v>
      </c>
      <c r="C121" t="str">
        <f>IFERROR(__xludf.DUMMYFUNCTION("""COMPUTED_VALUE"""),"en")</f>
        <v>en</v>
      </c>
      <c r="D121">
        <f>IFERROR(__xludf.DUMMYFUNCTION("""COMPUTED_VALUE"""),3642974.0)</f>
        <v>3642974</v>
      </c>
      <c r="E121" t="str">
        <f>IFERROR(__xludf.DUMMYFUNCTION("""COMPUTED_VALUE"""),"The Webrtc Bootcamp 2021 For Beginners")</f>
        <v>The Webrtc Bootcamp 2021 For Beginners</v>
      </c>
      <c r="F121" t="str">
        <f>IFERROR(__xludf.DUMMYFUNCTION("""COMPUTED_VALUE"""),"The Webrtc Bootcamp 2021 For Beginners")</f>
        <v>The Webrtc Bootcamp 2021 For Beginners</v>
      </c>
      <c r="G121">
        <f>IFERROR(__xludf.DUMMYFUNCTION("""COMPUTED_VALUE"""),6.4428018E7)</f>
        <v>64428018</v>
      </c>
      <c r="H121" t="str">
        <f>IFERROR(__xludf.DUMMYFUNCTION("""COMPUTED_VALUE"""),"Km Habib")</f>
        <v>Km Habib</v>
      </c>
      <c r="I121" t="str">
        <f>IFERROR(__xludf.DUMMYFUNCTION("""COMPUTED_VALUE"""),"Low Rating")</f>
        <v>Low Rating</v>
      </c>
      <c r="J121" t="b">
        <f>IFERROR(__xludf.DUMMYFUNCTION("""COMPUTED_VALUE"""),FALSE)</f>
        <v>0</v>
      </c>
      <c r="K121" s="142" t="str">
        <f>IFERROR(__xludf.DUMMYFUNCTION("""COMPUTED_VALUE"""),"IT Operations")</f>
        <v>IT Operations</v>
      </c>
      <c r="L121" s="142" t="str">
        <f>IFERROR(__xludf.DUMMYFUNCTION("""COMPUTED_VALUE"""),"IT Certifications")</f>
        <v>IT Certifications</v>
      </c>
      <c r="N121" s="140" t="str">
        <f>IFERROR(__xludf.DUMMYFUNCTION("""COMPUTED_VALUE"""),"")</f>
        <v/>
      </c>
      <c r="P121" s="140" t="str">
        <f>IFERROR(__xludf.DUMMYFUNCTION("""COMPUTED_VALUE"""),"")</f>
        <v/>
      </c>
    </row>
    <row r="122">
      <c r="A122" s="143">
        <f>IFERROR(__xludf.DUMMYFUNCTION("""COMPUTED_VALUE"""),44623.0)</f>
        <v>44623</v>
      </c>
      <c r="B122" s="143">
        <f>IFERROR(__xludf.DUMMYFUNCTION("""COMPUTED_VALUE"""),44834.0)</f>
        <v>44834</v>
      </c>
      <c r="C122" t="str">
        <f>IFERROR(__xludf.DUMMYFUNCTION("""COMPUTED_VALUE"""),"de")</f>
        <v>de</v>
      </c>
      <c r="D122">
        <f>IFERROR(__xludf.DUMMYFUNCTION("""COMPUTED_VALUE"""),3649938.0)</f>
        <v>3649938</v>
      </c>
      <c r="E122" t="str">
        <f>IFERROR(__xludf.DUMMYFUNCTION("""COMPUTED_VALUE"""),"Souveräne Wirkung als Frau")</f>
        <v>Souveräne Wirkung als Frau</v>
      </c>
      <c r="F122" t="str">
        <f>IFERROR(__xludf.DUMMYFUNCTION("""COMPUTED_VALUE"""),"Sovereign effect as a woman")</f>
        <v>Sovereign effect as a woman</v>
      </c>
      <c r="G122">
        <f>IFERROR(__xludf.DUMMYFUNCTION("""COMPUTED_VALUE"""),1.41829806E8)</f>
        <v>141829806</v>
      </c>
      <c r="H122" t="str">
        <f>IFERROR(__xludf.DUMMYFUNCTION("""COMPUTED_VALUE"""),"Rebecca Paul")</f>
        <v>Rebecca Paul</v>
      </c>
      <c r="I122" t="str">
        <f>IFERROR(__xludf.DUMMYFUNCTION("""COMPUTED_VALUE"""),"Low Rating")</f>
        <v>Low Rating</v>
      </c>
      <c r="J122" t="b">
        <f>IFERROR(__xludf.DUMMYFUNCTION("""COMPUTED_VALUE"""),FALSE)</f>
        <v>0</v>
      </c>
      <c r="K122" s="142" t="str">
        <f>IFERROR(__xludf.DUMMYFUNCTION("""COMPUTED_VALUE"""),"Personal Development")</f>
        <v>Personal Development</v>
      </c>
      <c r="L122" s="142" t="str">
        <f>IFERROR(__xludf.DUMMYFUNCTION("""COMPUTED_VALUE"""),"Personal Growth")</f>
        <v>Personal Growth</v>
      </c>
      <c r="N122" s="140" t="str">
        <f>IFERROR(__xludf.DUMMYFUNCTION("""COMPUTED_VALUE"""),"")</f>
        <v/>
      </c>
      <c r="P122" s="140" t="str">
        <f>IFERROR(__xludf.DUMMYFUNCTION("""COMPUTED_VALUE"""),"")</f>
        <v/>
      </c>
    </row>
    <row r="123">
      <c r="A123" s="143">
        <f>IFERROR(__xludf.DUMMYFUNCTION("""COMPUTED_VALUE"""),44623.0)</f>
        <v>44623</v>
      </c>
      <c r="B123" s="143">
        <f>IFERROR(__xludf.DUMMYFUNCTION("""COMPUTED_VALUE"""),44834.0)</f>
        <v>44834</v>
      </c>
      <c r="C123" t="str">
        <f>IFERROR(__xludf.DUMMYFUNCTION("""COMPUTED_VALUE"""),"es")</f>
        <v>es</v>
      </c>
      <c r="D123">
        <f>IFERROR(__xludf.DUMMYFUNCTION("""COMPUTED_VALUE"""),3704788.0)</f>
        <v>3704788</v>
      </c>
      <c r="E123" t="str">
        <f>IFERROR(__xludf.DUMMYFUNCTION("""COMPUTED_VALUE"""),"NLP. Procesamiento del lenguaje natural con NLP y Python")</f>
        <v>NLP. Procesamiento del lenguaje natural con NLP y Python</v>
      </c>
      <c r="F123" t="str">
        <f>IFERROR(__xludf.DUMMYFUNCTION("""COMPUTED_VALUE"""),"NLP Natural language processing with NLP and Python")</f>
        <v>NLP Natural language processing with NLP and Python</v>
      </c>
      <c r="G123">
        <f>IFERROR(__xludf.DUMMYFUNCTION("""COMPUTED_VALUE"""),6.2411504E7)</f>
        <v>62411504</v>
      </c>
      <c r="H123" t="str">
        <f>IFERROR(__xludf.DUMMYFUNCTION("""COMPUTED_VALUE"""),"Redait Media")</f>
        <v>Redait Media</v>
      </c>
      <c r="I123" t="str">
        <f>IFERROR(__xludf.DUMMYFUNCTION("""COMPUTED_VALUE"""),"Low Rating")</f>
        <v>Low Rating</v>
      </c>
      <c r="J123" t="b">
        <f>IFERROR(__xludf.DUMMYFUNCTION("""COMPUTED_VALUE"""),FALSE)</f>
        <v>0</v>
      </c>
      <c r="K123" s="142" t="str">
        <f>IFERROR(__xludf.DUMMYFUNCTION("""COMPUTED_VALUE"""),"Data Science")</f>
        <v>Data Science</v>
      </c>
      <c r="L123" s="142" t="str">
        <f>IFERROR(__xludf.DUMMYFUNCTION("""COMPUTED_VALUE"""),"Machine Learning")</f>
        <v>Machine Learning</v>
      </c>
      <c r="N123" s="140" t="str">
        <f>IFERROR(__xludf.DUMMYFUNCTION("""COMPUTED_VALUE"""),"")</f>
        <v/>
      </c>
      <c r="P123" s="140" t="str">
        <f>IFERROR(__xludf.DUMMYFUNCTION("""COMPUTED_VALUE"""),"")</f>
        <v/>
      </c>
    </row>
    <row r="124">
      <c r="A124" s="143">
        <f>IFERROR(__xludf.DUMMYFUNCTION("""COMPUTED_VALUE"""),44623.0)</f>
        <v>44623</v>
      </c>
      <c r="B124" s="143">
        <f>IFERROR(__xludf.DUMMYFUNCTION("""COMPUTED_VALUE"""),44834.0)</f>
        <v>44834</v>
      </c>
      <c r="C124" t="str">
        <f>IFERROR(__xludf.DUMMYFUNCTION("""COMPUTED_VALUE"""),"en")</f>
        <v>en</v>
      </c>
      <c r="D124">
        <f>IFERROR(__xludf.DUMMYFUNCTION("""COMPUTED_VALUE"""),3710188.0)</f>
        <v>3710188</v>
      </c>
      <c r="E124" t="str">
        <f>IFERROR(__xludf.DUMMYFUNCTION("""COMPUTED_VALUE"""),"A Course on Part Modelling in PTC Creo Software")</f>
        <v>A Course on Part Modelling in PTC Creo Software</v>
      </c>
      <c r="F124" t="str">
        <f>IFERROR(__xludf.DUMMYFUNCTION("""COMPUTED_VALUE"""),"A Course on Part Modelling in PTC Creo Software")</f>
        <v>A Course on Part Modelling in PTC Creo Software</v>
      </c>
      <c r="G124">
        <f>IFERROR(__xludf.DUMMYFUNCTION("""COMPUTED_VALUE"""),1.26920764E8)</f>
        <v>126920764</v>
      </c>
      <c r="H124" t="str">
        <f>IFERROR(__xludf.DUMMYFUNCTION("""COMPUTED_VALUE"""),"Pankaj Ramanlal Beldar")</f>
        <v>Pankaj Ramanlal Beldar</v>
      </c>
      <c r="I124" t="str">
        <f>IFERROR(__xludf.DUMMYFUNCTION("""COMPUTED_VALUE"""),"Low Rating")</f>
        <v>Low Rating</v>
      </c>
      <c r="J124" t="b">
        <f>IFERROR(__xludf.DUMMYFUNCTION("""COMPUTED_VALUE"""),FALSE)</f>
        <v>0</v>
      </c>
      <c r="K124" s="142" t="str">
        <f>IFERROR(__xludf.DUMMYFUNCTION("""COMPUTED_VALUE"""),"IT Operations")</f>
        <v>IT Operations</v>
      </c>
      <c r="L124" s="142" t="str">
        <f>IFERROR(__xludf.DUMMYFUNCTION("""COMPUTED_VALUE"""),"Hardware")</f>
        <v>Hardware</v>
      </c>
      <c r="N124" s="140" t="str">
        <f>IFERROR(__xludf.DUMMYFUNCTION("""COMPUTED_VALUE"""),"")</f>
        <v/>
      </c>
      <c r="P124" s="140" t="str">
        <f>IFERROR(__xludf.DUMMYFUNCTION("""COMPUTED_VALUE"""),"")</f>
        <v/>
      </c>
    </row>
    <row r="125">
      <c r="A125" s="143">
        <f>IFERROR(__xludf.DUMMYFUNCTION("""COMPUTED_VALUE"""),44623.0)</f>
        <v>44623</v>
      </c>
      <c r="B125" s="143">
        <f>IFERROR(__xludf.DUMMYFUNCTION("""COMPUTED_VALUE"""),44834.0)</f>
        <v>44834</v>
      </c>
      <c r="C125" t="str">
        <f>IFERROR(__xludf.DUMMYFUNCTION("""COMPUTED_VALUE"""),"es")</f>
        <v>es</v>
      </c>
      <c r="D125">
        <f>IFERROR(__xludf.DUMMYFUNCTION("""COMPUTED_VALUE"""),3820148.0)</f>
        <v>3820148</v>
      </c>
      <c r="E125" t="str">
        <f>IFERROR(__xludf.DUMMYFUNCTION("""COMPUTED_VALUE"""),"Crea Sistemas Administrativos con Angular y Firebase")</f>
        <v>Crea Sistemas Administrativos con Angular y Firebase</v>
      </c>
      <c r="F125" t="str">
        <f>IFERROR(__xludf.DUMMYFUNCTION("""COMPUTED_VALUE"""),"Create administrative systems with Angular and Firebase")</f>
        <v>Create administrative systems with Angular and Firebase</v>
      </c>
      <c r="G125">
        <f>IFERROR(__xludf.DUMMYFUNCTION("""COMPUTED_VALUE"""),1.966921E7)</f>
        <v>19669210</v>
      </c>
      <c r="H125" t="str">
        <f>IFERROR(__xludf.DUMMYFUNCTION("""COMPUTED_VALUE"""),"Juan Fernando Urrego")</f>
        <v>Juan Fernando Urrego</v>
      </c>
      <c r="I125" t="str">
        <f>IFERROR(__xludf.DUMMYFUNCTION("""COMPUTED_VALUE"""),"Low Rating")</f>
        <v>Low Rating</v>
      </c>
      <c r="J125" t="b">
        <f>IFERROR(__xludf.DUMMYFUNCTION("""COMPUTED_VALUE"""),FALSE)</f>
        <v>0</v>
      </c>
      <c r="K125" s="142" t="str">
        <f>IFERROR(__xludf.DUMMYFUNCTION("""COMPUTED_VALUE"""),"Development")</f>
        <v>Development</v>
      </c>
      <c r="L125" s="142" t="str">
        <f>IFERROR(__xludf.DUMMYFUNCTION("""COMPUTED_VALUE"""),"Web Development")</f>
        <v>Web Development</v>
      </c>
      <c r="N125" s="140" t="str">
        <f>IFERROR(__xludf.DUMMYFUNCTION("""COMPUTED_VALUE"""),"")</f>
        <v/>
      </c>
      <c r="P125" s="140" t="str">
        <f>IFERROR(__xludf.DUMMYFUNCTION("""COMPUTED_VALUE"""),"")</f>
        <v/>
      </c>
    </row>
    <row r="126">
      <c r="A126" s="143">
        <f>IFERROR(__xludf.DUMMYFUNCTION("""COMPUTED_VALUE"""),44623.0)</f>
        <v>44623</v>
      </c>
      <c r="B126" s="143">
        <f>IFERROR(__xludf.DUMMYFUNCTION("""COMPUTED_VALUE"""),44834.0)</f>
        <v>44834</v>
      </c>
      <c r="C126" t="str">
        <f>IFERROR(__xludf.DUMMYFUNCTION("""COMPUTED_VALUE"""),"en")</f>
        <v>en</v>
      </c>
      <c r="D126">
        <f>IFERROR(__xludf.DUMMYFUNCTION("""COMPUTED_VALUE"""),4174868.0)</f>
        <v>4174868</v>
      </c>
      <c r="E126" t="str">
        <f>IFERROR(__xludf.DUMMYFUNCTION("""COMPUTED_VALUE"""),"Learn Microsoft Publisher 2016 Complete Course for Beginners")</f>
        <v>Learn Microsoft Publisher 2016 Complete Course for Beginners</v>
      </c>
      <c r="F126" t="str">
        <f>IFERROR(__xludf.DUMMYFUNCTION("""COMPUTED_VALUE"""),"Learn Microsoft Publisher 2016 Complete Course for Beginners")</f>
        <v>Learn Microsoft Publisher 2016 Complete Course for Beginners</v>
      </c>
      <c r="G126">
        <f>IFERROR(__xludf.DUMMYFUNCTION("""COMPUTED_VALUE"""),1.5146124E8)</f>
        <v>151461240</v>
      </c>
      <c r="H126" t="str">
        <f>IFERROR(__xludf.DUMMYFUNCTION("""COMPUTED_VALUE"""),"Wasim jaan")</f>
        <v>Wasim jaan</v>
      </c>
      <c r="I126" t="str">
        <f>IFERROR(__xludf.DUMMYFUNCTION("""COMPUTED_VALUE"""),"Low Rating")</f>
        <v>Low Rating</v>
      </c>
      <c r="J126" t="b">
        <f>IFERROR(__xludf.DUMMYFUNCTION("""COMPUTED_VALUE"""),FALSE)</f>
        <v>0</v>
      </c>
      <c r="K126" s="142" t="str">
        <f>IFERROR(__xludf.DUMMYFUNCTION("""COMPUTED_VALUE"""),"Office Productivity")</f>
        <v>Office Productivity</v>
      </c>
      <c r="L126" s="142" t="str">
        <f>IFERROR(__xludf.DUMMYFUNCTION("""COMPUTED_VALUE"""),"Word Processing")</f>
        <v>Word Processing</v>
      </c>
      <c r="N126" s="140" t="str">
        <f>IFERROR(__xludf.DUMMYFUNCTION("""COMPUTED_VALUE"""),"")</f>
        <v/>
      </c>
      <c r="P126" s="140" t="str">
        <f>IFERROR(__xludf.DUMMYFUNCTION("""COMPUTED_VALUE"""),"")</f>
        <v/>
      </c>
    </row>
    <row r="127">
      <c r="A127" s="143">
        <f>IFERROR(__xludf.DUMMYFUNCTION("""COMPUTED_VALUE"""),44614.0)</f>
        <v>44614</v>
      </c>
      <c r="B127" s="143">
        <f>IFERROR(__xludf.DUMMYFUNCTION("""COMPUTED_VALUE"""),44804.0)</f>
        <v>44804</v>
      </c>
      <c r="C127" t="str">
        <f>IFERROR(__xludf.DUMMYFUNCTION("""COMPUTED_VALUE"""),"ru")</f>
        <v>ru</v>
      </c>
      <c r="D127">
        <f>IFERROR(__xludf.DUMMYFUNCTION("""COMPUTED_VALUE"""),3937826.0)</f>
        <v>3937826</v>
      </c>
      <c r="E127" t="str">
        <f>IFERROR(__xludf.DUMMYFUNCTION("""COMPUTED_VALUE"""),"SQL для Анализа Данных с Глебом Михайловым")</f>
        <v>SQL для Анализа Данных с Глебом Михайловым</v>
      </c>
      <c r="F127" t="str">
        <f>IFERROR(__xludf.DUMMYFUNCTION("""COMPUTED_VALUE"""),"SQL for data analysis with Gleb Mikhailov")</f>
        <v>SQL for data analysis with Gleb Mikhailov</v>
      </c>
      <c r="G127">
        <f>IFERROR(__xludf.DUMMYFUNCTION("""COMPUTED_VALUE"""),4.0314254E7)</f>
        <v>40314254</v>
      </c>
      <c r="H127" t="str">
        <f>IFERROR(__xludf.DUMMYFUNCTION("""COMPUTED_VALUE"""),"Глеб Михайлов")</f>
        <v>Глеб Михайлов</v>
      </c>
      <c r="I127" t="str">
        <f>IFERROR(__xludf.DUMMYFUNCTION("""COMPUTED_VALUE"""),"Instructor Request- Opted Out")</f>
        <v>Instructor Request- Opted Out</v>
      </c>
      <c r="J127" t="b">
        <f>IFERROR(__xludf.DUMMYFUNCTION("""COMPUTED_VALUE"""),FALSE)</f>
        <v>0</v>
      </c>
      <c r="K127" s="142" t="str">
        <f>IFERROR(__xludf.DUMMYFUNCTION("""COMPUTED_VALUE"""),"Data Science")</f>
        <v>Data Science</v>
      </c>
      <c r="L127" s="142" t="str">
        <f>IFERROR(__xludf.DUMMYFUNCTION("""COMPUTED_VALUE"""),"Database Design &amp; Development")</f>
        <v>Database Design &amp; Development</v>
      </c>
      <c r="N127" s="140" t="str">
        <f>IFERROR(__xludf.DUMMYFUNCTION("""COMPUTED_VALUE"""),"")</f>
        <v/>
      </c>
      <c r="P127" s="140" t="str">
        <f>IFERROR(__xludf.DUMMYFUNCTION("""COMPUTED_VALUE"""),"")</f>
        <v/>
      </c>
    </row>
    <row r="128">
      <c r="A128" s="143">
        <f>IFERROR(__xludf.DUMMYFUNCTION("""COMPUTED_VALUE"""),44614.0)</f>
        <v>44614</v>
      </c>
      <c r="B128" s="143">
        <f>IFERROR(__xludf.DUMMYFUNCTION("""COMPUTED_VALUE"""),44804.0)</f>
        <v>44804</v>
      </c>
      <c r="C128" t="str">
        <f>IFERROR(__xludf.DUMMYFUNCTION("""COMPUTED_VALUE"""),"ru")</f>
        <v>ru</v>
      </c>
      <c r="D128">
        <f>IFERROR(__xludf.DUMMYFUNCTION("""COMPUTED_VALUE"""),3888028.0)</f>
        <v>3888028</v>
      </c>
      <c r="E128">
        <f>IFERROR(__xludf.DUMMYFUNCTION("""COMPUTED_VALUE"""),3888028.0)</f>
        <v>3888028</v>
      </c>
      <c r="F128" t="str">
        <f>IFERROR(__xludf.DUMMYFUNCTION("""COMPUTED_VALUE"""),"3888028")</f>
        <v>3888028</v>
      </c>
      <c r="G128">
        <f>IFERROR(__xludf.DUMMYFUNCTION("""COMPUTED_VALUE"""),4.0314254E7)</f>
        <v>40314254</v>
      </c>
      <c r="H128" t="str">
        <f>IFERROR(__xludf.DUMMYFUNCTION("""COMPUTED_VALUE"""),"Глеб Михайлов")</f>
        <v>Глеб Михайлов</v>
      </c>
      <c r="I128" t="str">
        <f>IFERROR(__xludf.DUMMYFUNCTION("""COMPUTED_VALUE"""),"Instructor Request- Opted Out")</f>
        <v>Instructor Request- Opted Out</v>
      </c>
      <c r="J128" t="b">
        <f>IFERROR(__xludf.DUMMYFUNCTION("""COMPUTED_VALUE"""),FALSE)</f>
        <v>0</v>
      </c>
      <c r="K128" s="142" t="str">
        <f>IFERROR(__xludf.DUMMYFUNCTION("""COMPUTED_VALUE"""),"Software Engineering")</f>
        <v>Software Engineering</v>
      </c>
      <c r="L128" s="142" t="str">
        <f>IFERROR(__xludf.DUMMYFUNCTION("""COMPUTED_VALUE"""),"Programming Languages")</f>
        <v>Programming Languages</v>
      </c>
      <c r="N128" s="140" t="str">
        <f>IFERROR(__xludf.DUMMYFUNCTION("""COMPUTED_VALUE"""),"")</f>
        <v/>
      </c>
      <c r="P128" s="140" t="str">
        <f>IFERROR(__xludf.DUMMYFUNCTION("""COMPUTED_VALUE"""),"")</f>
        <v/>
      </c>
    </row>
    <row r="129">
      <c r="A129" s="143">
        <f>IFERROR(__xludf.DUMMYFUNCTION("""COMPUTED_VALUE"""),44614.0)</f>
        <v>44614</v>
      </c>
      <c r="B129" s="143">
        <f>IFERROR(__xludf.DUMMYFUNCTION("""COMPUTED_VALUE"""),44804.0)</f>
        <v>44804</v>
      </c>
      <c r="C129" t="str">
        <f>IFERROR(__xludf.DUMMYFUNCTION("""COMPUTED_VALUE"""),"it")</f>
        <v>it</v>
      </c>
      <c r="D129">
        <f>IFERROR(__xludf.DUMMYFUNCTION("""COMPUTED_VALUE"""),3530152.0)</f>
        <v>3530152</v>
      </c>
      <c r="E129" t="str">
        <f>IFERROR(__xludf.DUMMYFUNCTION("""COMPUTED_VALUE"""),"Excel per la Finanza")</f>
        <v>Excel per la Finanza</v>
      </c>
      <c r="F129" t="str">
        <f>IFERROR(__xludf.DUMMYFUNCTION("""COMPUTED_VALUE"""),"Excel for finance")</f>
        <v>Excel for finance</v>
      </c>
      <c r="G129">
        <f>IFERROR(__xludf.DUMMYFUNCTION("""COMPUTED_VALUE"""),6.2023738E7)</f>
        <v>62023738</v>
      </c>
      <c r="H129" t="str">
        <f>IFERROR(__xludf.DUMMYFUNCTION("""COMPUTED_VALUE"""),"Gianluca Pontoni")</f>
        <v>Gianluca Pontoni</v>
      </c>
      <c r="I129" t="str">
        <f>IFERROR(__xludf.DUMMYFUNCTION("""COMPUTED_VALUE"""),"Instructor Request- Opted Out")</f>
        <v>Instructor Request- Opted Out</v>
      </c>
      <c r="J129" t="b">
        <f>IFERROR(__xludf.DUMMYFUNCTION("""COMPUTED_VALUE"""),FALSE)</f>
        <v>0</v>
      </c>
      <c r="K129" s="142" t="str">
        <f>IFERROR(__xludf.DUMMYFUNCTION("""COMPUTED_VALUE"""),"Finance &amp; Accounting")</f>
        <v>Finance &amp; Accounting</v>
      </c>
      <c r="L129" s="142" t="str">
        <f>IFERROR(__xludf.DUMMYFUNCTION("""COMPUTED_VALUE"""),"Finance Fundamentals")</f>
        <v>Finance Fundamentals</v>
      </c>
      <c r="N129" s="140" t="str">
        <f>IFERROR(__xludf.DUMMYFUNCTION("""COMPUTED_VALUE"""),"")</f>
        <v/>
      </c>
      <c r="P129" s="140" t="str">
        <f>IFERROR(__xludf.DUMMYFUNCTION("""COMPUTED_VALUE"""),"")</f>
        <v/>
      </c>
    </row>
    <row r="130">
      <c r="A130" s="143">
        <f>IFERROR(__xludf.DUMMYFUNCTION("""COMPUTED_VALUE"""),44614.0)</f>
        <v>44614</v>
      </c>
      <c r="B130" s="143">
        <f>IFERROR(__xludf.DUMMYFUNCTION("""COMPUTED_VALUE"""),44804.0)</f>
        <v>44804</v>
      </c>
      <c r="C130" s="140" t="str">
        <f>IFERROR(__xludf.DUMMYFUNCTION("""COMPUTED_VALUE"""),"it")</f>
        <v>it</v>
      </c>
      <c r="D130">
        <f>IFERROR(__xludf.DUMMYFUNCTION("""COMPUTED_VALUE"""),4069482.0)</f>
        <v>4069482</v>
      </c>
      <c r="E130" t="str">
        <f>IFERROR(__xludf.DUMMYFUNCTION("""COMPUTED_VALUE"""),"valutazione Azionaria")</f>
        <v>valutazione Azionaria</v>
      </c>
      <c r="F130" t="str">
        <f>IFERROR(__xludf.DUMMYFUNCTION("""COMPUTED_VALUE"""),"equity assessment")</f>
        <v>equity assessment</v>
      </c>
      <c r="G130">
        <f>IFERROR(__xludf.DUMMYFUNCTION("""COMPUTED_VALUE"""),6.2023738E7)</f>
        <v>62023738</v>
      </c>
      <c r="H130" t="str">
        <f>IFERROR(__xludf.DUMMYFUNCTION("""COMPUTED_VALUE"""),"Gianluca Pontoni")</f>
        <v>Gianluca Pontoni</v>
      </c>
      <c r="I130" t="str">
        <f>IFERROR(__xludf.DUMMYFUNCTION("""COMPUTED_VALUE"""),"Instructor Request- Opted Out")</f>
        <v>Instructor Request- Opted Out</v>
      </c>
      <c r="J130" t="b">
        <f>IFERROR(__xludf.DUMMYFUNCTION("""COMPUTED_VALUE"""),FALSE)</f>
        <v>0</v>
      </c>
      <c r="K130" s="142" t="str">
        <f>IFERROR(__xludf.DUMMYFUNCTION("""COMPUTED_VALUE"""),"Finance &amp; Accounting")</f>
        <v>Finance &amp; Accounting</v>
      </c>
      <c r="L130" s="142" t="str">
        <f>IFERROR(__xludf.DUMMYFUNCTION("""COMPUTED_VALUE"""),"Financial Modeling &amp; Analysis")</f>
        <v>Financial Modeling &amp; Analysis</v>
      </c>
      <c r="N130" s="140" t="str">
        <f>IFERROR(__xludf.DUMMYFUNCTION("""COMPUTED_VALUE"""),"")</f>
        <v/>
      </c>
      <c r="P130" s="140" t="str">
        <f>IFERROR(__xludf.DUMMYFUNCTION("""COMPUTED_VALUE"""),"")</f>
        <v/>
      </c>
    </row>
    <row r="131">
      <c r="A131" s="143">
        <f>IFERROR(__xludf.DUMMYFUNCTION("""COMPUTED_VALUE"""),44614.0)</f>
        <v>44614</v>
      </c>
      <c r="B131" s="143">
        <f>IFERROR(__xludf.DUMMYFUNCTION("""COMPUTED_VALUE"""),44804.0)</f>
        <v>44804</v>
      </c>
      <c r="C131" s="140" t="str">
        <f>IFERROR(__xludf.DUMMYFUNCTION("""COMPUTED_VALUE"""),"it")</f>
        <v>it</v>
      </c>
      <c r="D131">
        <f>IFERROR(__xludf.DUMMYFUNCTION("""COMPUTED_VALUE"""),4296928.0)</f>
        <v>4296928</v>
      </c>
      <c r="E131" t="str">
        <f>IFERROR(__xludf.DUMMYFUNCTION("""COMPUTED_VALUE"""),"Introduzione alla Finanza")</f>
        <v>Introduzione alla Finanza</v>
      </c>
      <c r="F131" t="str">
        <f>IFERROR(__xludf.DUMMYFUNCTION("""COMPUTED_VALUE"""),"Introduction to finance")</f>
        <v>Introduction to finance</v>
      </c>
      <c r="G131">
        <f>IFERROR(__xludf.DUMMYFUNCTION("""COMPUTED_VALUE"""),6.2023738E7)</f>
        <v>62023738</v>
      </c>
      <c r="H131" t="str">
        <f>IFERROR(__xludf.DUMMYFUNCTION("""COMPUTED_VALUE"""),"Gianluca Pontoni")</f>
        <v>Gianluca Pontoni</v>
      </c>
      <c r="I131" t="str">
        <f>IFERROR(__xludf.DUMMYFUNCTION("""COMPUTED_VALUE"""),"Instructor Request- Opted Out")</f>
        <v>Instructor Request- Opted Out</v>
      </c>
      <c r="J131" t="b">
        <f>IFERROR(__xludf.DUMMYFUNCTION("""COMPUTED_VALUE"""),FALSE)</f>
        <v>0</v>
      </c>
      <c r="K131" s="142" t="str">
        <f>IFERROR(__xludf.DUMMYFUNCTION("""COMPUTED_VALUE"""),"Finance &amp; Accounting")</f>
        <v>Finance &amp; Accounting</v>
      </c>
      <c r="L131" s="142" t="str">
        <f>IFERROR(__xludf.DUMMYFUNCTION("""COMPUTED_VALUE"""),"Finance Fundamentals")</f>
        <v>Finance Fundamentals</v>
      </c>
      <c r="N131" s="140" t="str">
        <f>IFERROR(__xludf.DUMMYFUNCTION("""COMPUTED_VALUE"""),"")</f>
        <v/>
      </c>
      <c r="P131" s="140" t="str">
        <f>IFERROR(__xludf.DUMMYFUNCTION("""COMPUTED_VALUE"""),"")</f>
        <v/>
      </c>
    </row>
    <row r="132">
      <c r="A132" s="143">
        <f>IFERROR(__xludf.DUMMYFUNCTION("""COMPUTED_VALUE"""),44614.0)</f>
        <v>44614</v>
      </c>
      <c r="B132" s="143">
        <f>IFERROR(__xludf.DUMMYFUNCTION("""COMPUTED_VALUE"""),44804.0)</f>
        <v>44804</v>
      </c>
      <c r="C132" s="140" t="str">
        <f>IFERROR(__xludf.DUMMYFUNCTION("""COMPUTED_VALUE"""),"en")</f>
        <v>en</v>
      </c>
      <c r="D132">
        <f>IFERROR(__xludf.DUMMYFUNCTION("""COMPUTED_VALUE"""),4359778.0)</f>
        <v>4359778</v>
      </c>
      <c r="E132" t="str">
        <f>IFERROR(__xludf.DUMMYFUNCTION("""COMPUTED_VALUE"""),"Pixel Art Fundamentals - Introduction to 2D Game Pixel Art")</f>
        <v>Pixel Art Fundamentals - Introduction to 2D Game Pixel Art</v>
      </c>
      <c r="F132" t="str">
        <f>IFERROR(__xludf.DUMMYFUNCTION("""COMPUTED_VALUE"""),"Pixel Art Fundamentals - Introduction to 2D Game Pixel Art")</f>
        <v>Pixel Art Fundamentals - Introduction to 2D Game Pixel Art</v>
      </c>
      <c r="G132">
        <f>IFERROR(__xludf.DUMMYFUNCTION("""COMPUTED_VALUE"""),4355282.0)</f>
        <v>4355282</v>
      </c>
      <c r="H132" t="str">
        <f>IFERROR(__xludf.DUMMYFUNCTION("""COMPUTED_VALUE"""),"Ben Tristem")</f>
        <v>Ben Tristem</v>
      </c>
      <c r="I132" t="str">
        <f>IFERROR(__xludf.DUMMYFUNCTION("""COMPUTED_VALUE"""),"Instructor Request- Opted Out")</f>
        <v>Instructor Request- Opted Out</v>
      </c>
      <c r="J132" t="b">
        <f>IFERROR(__xludf.DUMMYFUNCTION("""COMPUTED_VALUE"""),FALSE)</f>
        <v>0</v>
      </c>
      <c r="K132" s="142" t="str">
        <f>IFERROR(__xludf.DUMMYFUNCTION("""COMPUTED_VALUE"""),"Design")</f>
        <v>Design</v>
      </c>
      <c r="L132" s="142" t="str">
        <f>IFERROR(__xludf.DUMMYFUNCTION("""COMPUTED_VALUE"""),"3D &amp; Animation")</f>
        <v>3D &amp; Animation</v>
      </c>
      <c r="N132" s="140" t="str">
        <f>IFERROR(__xludf.DUMMYFUNCTION("""COMPUTED_VALUE"""),"")</f>
        <v/>
      </c>
      <c r="P132" s="140" t="str">
        <f>IFERROR(__xludf.DUMMYFUNCTION("""COMPUTED_VALUE"""),"")</f>
        <v/>
      </c>
    </row>
    <row r="133">
      <c r="A133" s="143">
        <f>IFERROR(__xludf.DUMMYFUNCTION("""COMPUTED_VALUE"""),44614.0)</f>
        <v>44614</v>
      </c>
      <c r="B133" s="143">
        <f>IFERROR(__xludf.DUMMYFUNCTION("""COMPUTED_VALUE"""),44804.0)</f>
        <v>44804</v>
      </c>
      <c r="C133" s="140" t="str">
        <f>IFERROR(__xludf.DUMMYFUNCTION("""COMPUTED_VALUE"""),"en")</f>
        <v>en</v>
      </c>
      <c r="D133">
        <f>IFERROR(__xludf.DUMMYFUNCTION("""COMPUTED_VALUE"""),3768848.0)</f>
        <v>3768848</v>
      </c>
      <c r="E133" t="str">
        <f>IFERROR(__xludf.DUMMYFUNCTION("""COMPUTED_VALUE"""),"Complete Drawing Course: Create Video Game Concept Art")</f>
        <v>Complete Drawing Course: Create Video Game Concept Art</v>
      </c>
      <c r="F133" t="str">
        <f>IFERROR(__xludf.DUMMYFUNCTION("""COMPUTED_VALUE"""),"Complete Drawing Course: Create Video Game Concept Art")</f>
        <v>Complete Drawing Course: Create Video Game Concept Art</v>
      </c>
      <c r="G133">
        <f>IFERROR(__xludf.DUMMYFUNCTION("""COMPUTED_VALUE"""),4355282.0)</f>
        <v>4355282</v>
      </c>
      <c r="H133" t="str">
        <f>IFERROR(__xludf.DUMMYFUNCTION("""COMPUTED_VALUE"""),"Ben Tristem")</f>
        <v>Ben Tristem</v>
      </c>
      <c r="I133" t="str">
        <f>IFERROR(__xludf.DUMMYFUNCTION("""COMPUTED_VALUE"""),"Instructor Request- Opted Out")</f>
        <v>Instructor Request- Opted Out</v>
      </c>
      <c r="J133" t="b">
        <f>IFERROR(__xludf.DUMMYFUNCTION("""COMPUTED_VALUE"""),FALSE)</f>
        <v>0</v>
      </c>
      <c r="K133" s="142" t="str">
        <f>IFERROR(__xludf.DUMMYFUNCTION("""COMPUTED_VALUE"""),"Design")</f>
        <v>Design</v>
      </c>
      <c r="L133" s="142" t="str">
        <f>IFERROR(__xludf.DUMMYFUNCTION("""COMPUTED_VALUE"""),"Game Design")</f>
        <v>Game Design</v>
      </c>
      <c r="N133" s="140" t="str">
        <f>IFERROR(__xludf.DUMMYFUNCTION("""COMPUTED_VALUE"""),"")</f>
        <v/>
      </c>
      <c r="P133" s="140" t="str">
        <f>IFERROR(__xludf.DUMMYFUNCTION("""COMPUTED_VALUE"""),"")</f>
        <v/>
      </c>
    </row>
    <row r="134">
      <c r="A134" s="143">
        <f>IFERROR(__xludf.DUMMYFUNCTION("""COMPUTED_VALUE"""),44614.0)</f>
        <v>44614</v>
      </c>
      <c r="B134" s="143">
        <f>IFERROR(__xludf.DUMMYFUNCTION("""COMPUTED_VALUE"""),44804.0)</f>
        <v>44804</v>
      </c>
      <c r="C134" s="140" t="str">
        <f>IFERROR(__xludf.DUMMYFUNCTION("""COMPUTED_VALUE"""),"en")</f>
        <v>en</v>
      </c>
      <c r="D134">
        <f>IFERROR(__xludf.DUMMYFUNCTION("""COMPUTED_VALUE"""),2443214.0)</f>
        <v>2443214</v>
      </c>
      <c r="E134" t="str">
        <f>IFERROR(__xludf.DUMMYFUNCTION("""COMPUTED_VALUE"""),"Get Git Smart Course: Learn Git in Unity, SourceTree, GitHub")</f>
        <v>Get Git Smart Course: Learn Git in Unity, SourceTree, GitHub</v>
      </c>
      <c r="F134" t="str">
        <f>IFERROR(__xludf.DUMMYFUNCTION("""COMPUTED_VALUE"""),"Get Git Smart Course: Learn Git in Unity, SourceTree, GitHub")</f>
        <v>Get Git Smart Course: Learn Git in Unity, SourceTree, GitHub</v>
      </c>
      <c r="G134">
        <f>IFERROR(__xludf.DUMMYFUNCTION("""COMPUTED_VALUE"""),4355282.0)</f>
        <v>4355282</v>
      </c>
      <c r="H134" t="str">
        <f>IFERROR(__xludf.DUMMYFUNCTION("""COMPUTED_VALUE"""),"Ben Tristem")</f>
        <v>Ben Tristem</v>
      </c>
      <c r="I134" t="str">
        <f>IFERROR(__xludf.DUMMYFUNCTION("""COMPUTED_VALUE"""),"Instructor Request- Opted Out")</f>
        <v>Instructor Request- Opted Out</v>
      </c>
      <c r="J134" t="b">
        <f>IFERROR(__xludf.DUMMYFUNCTION("""COMPUTED_VALUE"""),FALSE)</f>
        <v>0</v>
      </c>
      <c r="K134" s="142" t="str">
        <f>IFERROR(__xludf.DUMMYFUNCTION("""COMPUTED_VALUE"""),"Development")</f>
        <v>Development</v>
      </c>
      <c r="L134" s="142" t="str">
        <f>IFERROR(__xludf.DUMMYFUNCTION("""COMPUTED_VALUE"""),"Development Tools")</f>
        <v>Development Tools</v>
      </c>
      <c r="N134" s="140" t="str">
        <f>IFERROR(__xludf.DUMMYFUNCTION("""COMPUTED_VALUE"""),"")</f>
        <v/>
      </c>
      <c r="P134" s="140" t="str">
        <f>IFERROR(__xludf.DUMMYFUNCTION("""COMPUTED_VALUE"""),"")</f>
        <v/>
      </c>
    </row>
    <row r="135">
      <c r="A135" s="143">
        <f>IFERROR(__xludf.DUMMYFUNCTION("""COMPUTED_VALUE"""),44614.0)</f>
        <v>44614</v>
      </c>
      <c r="B135" s="143">
        <f>IFERROR(__xludf.DUMMYFUNCTION("""COMPUTED_VALUE"""),44804.0)</f>
        <v>44804</v>
      </c>
      <c r="C135" s="140" t="str">
        <f>IFERROR(__xludf.DUMMYFUNCTION("""COMPUTED_VALUE"""),"en")</f>
        <v>en</v>
      </c>
      <c r="D135">
        <f>IFERROR(__xludf.DUMMYFUNCTION("""COMPUTED_VALUE"""),3019460.0)</f>
        <v>3019460</v>
      </c>
      <c r="E135" t="str">
        <f>IFERROR(__xludf.DUMMYFUNCTION("""COMPUTED_VALUE"""),"Math For Video Games: The Fastest Way To Get Smarter At Math")</f>
        <v>Math For Video Games: The Fastest Way To Get Smarter At Math</v>
      </c>
      <c r="F135" t="str">
        <f>IFERROR(__xludf.DUMMYFUNCTION("""COMPUTED_VALUE"""),"Math For Video Games: The Fastest Way To Get Smarter At Math")</f>
        <v>Math For Video Games: The Fastest Way To Get Smarter At Math</v>
      </c>
      <c r="G135">
        <f>IFERROR(__xludf.DUMMYFUNCTION("""COMPUTED_VALUE"""),4355282.0)</f>
        <v>4355282</v>
      </c>
      <c r="H135" t="str">
        <f>IFERROR(__xludf.DUMMYFUNCTION("""COMPUTED_VALUE"""),"Ben Tristem")</f>
        <v>Ben Tristem</v>
      </c>
      <c r="I135" t="str">
        <f>IFERROR(__xludf.DUMMYFUNCTION("""COMPUTED_VALUE"""),"Instructor Request- Opted Out")</f>
        <v>Instructor Request- Opted Out</v>
      </c>
      <c r="J135" t="b">
        <f>IFERROR(__xludf.DUMMYFUNCTION("""COMPUTED_VALUE"""),FALSE)</f>
        <v>0</v>
      </c>
      <c r="K135" s="142" t="str">
        <f>IFERROR(__xludf.DUMMYFUNCTION("""COMPUTED_VALUE"""),"Development")</f>
        <v>Development</v>
      </c>
      <c r="L135" s="142" t="str">
        <f>IFERROR(__xludf.DUMMYFUNCTION("""COMPUTED_VALUE"""),"Game Development")</f>
        <v>Game Development</v>
      </c>
      <c r="N135" s="140" t="str">
        <f>IFERROR(__xludf.DUMMYFUNCTION("""COMPUTED_VALUE"""),"")</f>
        <v/>
      </c>
      <c r="P135" s="140" t="str">
        <f>IFERROR(__xludf.DUMMYFUNCTION("""COMPUTED_VALUE"""),"")</f>
        <v/>
      </c>
    </row>
    <row r="136">
      <c r="A136" s="143">
        <f>IFERROR(__xludf.DUMMYFUNCTION("""COMPUTED_VALUE"""),44614.0)</f>
        <v>44614</v>
      </c>
      <c r="B136" s="143">
        <f>IFERROR(__xludf.DUMMYFUNCTION("""COMPUTED_VALUE"""),44804.0)</f>
        <v>44804</v>
      </c>
      <c r="C136" s="140" t="str">
        <f>IFERROR(__xludf.DUMMYFUNCTION("""COMPUTED_VALUE"""),"en")</f>
        <v>en</v>
      </c>
      <c r="D136">
        <f>IFERROR(__xludf.DUMMYFUNCTION("""COMPUTED_VALUE"""),1426094.0)</f>
        <v>1426094</v>
      </c>
      <c r="E136" t="str">
        <f>IFERROR(__xludf.DUMMYFUNCTION("""COMPUTED_VALUE"""),"Flourishing in Stressful Times - with Tara Brach")</f>
        <v>Flourishing in Stressful Times - with Tara Brach</v>
      </c>
      <c r="F136" t="str">
        <f>IFERROR(__xludf.DUMMYFUNCTION("""COMPUTED_VALUE"""),"Flourishing in Stressful Times - with Tara Brach")</f>
        <v>Flourishing in Stressful Times - with Tara Brach</v>
      </c>
      <c r="G136">
        <f>IFERROR(__xludf.DUMMYFUNCTION("""COMPUTED_VALUE"""),2.4514132E7)</f>
        <v>24514132</v>
      </c>
      <c r="H136" t="str">
        <f>IFERROR(__xludf.DUMMYFUNCTION("""COMPUTED_VALUE"""),"Tara Brach, Ph.D.")</f>
        <v>Tara Brach, Ph.D.</v>
      </c>
      <c r="I136" t="str">
        <f>IFERROR(__xludf.DUMMYFUNCTION("""COMPUTED_VALUE"""),"Instructor Request- Opted Out")</f>
        <v>Instructor Request- Opted Out</v>
      </c>
      <c r="J136" t="b">
        <f>IFERROR(__xludf.DUMMYFUNCTION("""COMPUTED_VALUE"""),TRUE)</f>
        <v>1</v>
      </c>
      <c r="K136" s="142" t="str">
        <f>IFERROR(__xludf.DUMMYFUNCTION("""COMPUTED_VALUE"""),"Personal Development")</f>
        <v>Personal Development</v>
      </c>
      <c r="L136" s="142" t="str">
        <f>IFERROR(__xludf.DUMMYFUNCTION("""COMPUTED_VALUE"""),"Stress Management")</f>
        <v>Stress Management</v>
      </c>
      <c r="N136" s="140" t="str">
        <f>IFERROR(__xludf.DUMMYFUNCTION("""COMPUTED_VALUE"""),"")</f>
        <v/>
      </c>
      <c r="P136" s="140" t="str">
        <f>IFERROR(__xludf.DUMMYFUNCTION("""COMPUTED_VALUE"""),"")</f>
        <v/>
      </c>
    </row>
    <row r="137">
      <c r="A137" s="143">
        <f>IFERROR(__xludf.DUMMYFUNCTION("""COMPUTED_VALUE"""),44614.0)</f>
        <v>44614</v>
      </c>
      <c r="B137" s="143">
        <f>IFERROR(__xludf.DUMMYFUNCTION("""COMPUTED_VALUE"""),44804.0)</f>
        <v>44804</v>
      </c>
      <c r="C137" s="140" t="str">
        <f>IFERROR(__xludf.DUMMYFUNCTION("""COMPUTED_VALUE"""),"en")</f>
        <v>en</v>
      </c>
      <c r="D137">
        <f>IFERROR(__xludf.DUMMYFUNCTION("""COMPUTED_VALUE"""),2660268.0)</f>
        <v>2660268</v>
      </c>
      <c r="E137" t="str">
        <f>IFERROR(__xludf.DUMMYFUNCTION("""COMPUTED_VALUE"""),"Forgiveness and Meditation ~ with Tara Brach")</f>
        <v>Forgiveness and Meditation ~ with Tara Brach</v>
      </c>
      <c r="F137" t="str">
        <f>IFERROR(__xludf.DUMMYFUNCTION("""COMPUTED_VALUE"""),"Forgiveness and Meditation ~ with Tara Brach")</f>
        <v>Forgiveness and Meditation ~ with Tara Brach</v>
      </c>
      <c r="G137">
        <f>IFERROR(__xludf.DUMMYFUNCTION("""COMPUTED_VALUE"""),2.4514132E7)</f>
        <v>24514132</v>
      </c>
      <c r="H137" t="str">
        <f>IFERROR(__xludf.DUMMYFUNCTION("""COMPUTED_VALUE"""),"Tara Brach, Ph.D.")</f>
        <v>Tara Brach, Ph.D.</v>
      </c>
      <c r="I137" t="str">
        <f>IFERROR(__xludf.DUMMYFUNCTION("""COMPUTED_VALUE"""),"Instructor Request- Opted Out")</f>
        <v>Instructor Request- Opted Out</v>
      </c>
      <c r="J137" t="b">
        <f>IFERROR(__xludf.DUMMYFUNCTION("""COMPUTED_VALUE"""),TRUE)</f>
        <v>1</v>
      </c>
      <c r="K137" s="142" t="str">
        <f>IFERROR(__xludf.DUMMYFUNCTION("""COMPUTED_VALUE"""),"Personal Development")</f>
        <v>Personal Development</v>
      </c>
      <c r="L137" s="142" t="str">
        <f>IFERROR(__xludf.DUMMYFUNCTION("""COMPUTED_VALUE"""),"Personal Growth")</f>
        <v>Personal Growth</v>
      </c>
      <c r="N137" s="140" t="str">
        <f>IFERROR(__xludf.DUMMYFUNCTION("""COMPUTED_VALUE"""),"")</f>
        <v/>
      </c>
      <c r="P137" s="140" t="str">
        <f>IFERROR(__xludf.DUMMYFUNCTION("""COMPUTED_VALUE"""),"")</f>
        <v/>
      </c>
    </row>
    <row r="138">
      <c r="A138" s="143">
        <f>IFERROR(__xludf.DUMMYFUNCTION("""COMPUTED_VALUE"""),44614.0)</f>
        <v>44614</v>
      </c>
      <c r="B138" s="143">
        <f>IFERROR(__xludf.DUMMYFUNCTION("""COMPUTED_VALUE"""),44804.0)</f>
        <v>44804</v>
      </c>
      <c r="C138" s="140" t="str">
        <f>IFERROR(__xludf.DUMMYFUNCTION("""COMPUTED_VALUE"""),"en")</f>
        <v>en</v>
      </c>
      <c r="D138">
        <f>IFERROR(__xludf.DUMMYFUNCTION("""COMPUTED_VALUE"""),2343632.0)</f>
        <v>2343632</v>
      </c>
      <c r="E138" t="str">
        <f>IFERROR(__xludf.DUMMYFUNCTION("""COMPUTED_VALUE"""),"Mindfulness for Anxiety and Sleep - with Tara Brach")</f>
        <v>Mindfulness for Anxiety and Sleep - with Tara Brach</v>
      </c>
      <c r="F138" t="str">
        <f>IFERROR(__xludf.DUMMYFUNCTION("""COMPUTED_VALUE"""),"Mindfulness for Anxiety and Sleep - with Tara Brach")</f>
        <v>Mindfulness for Anxiety and Sleep - with Tara Brach</v>
      </c>
      <c r="G138">
        <f>IFERROR(__xludf.DUMMYFUNCTION("""COMPUTED_VALUE"""),2.4514132E7)</f>
        <v>24514132</v>
      </c>
      <c r="H138" t="str">
        <f>IFERROR(__xludf.DUMMYFUNCTION("""COMPUTED_VALUE"""),"Tara Brach, Ph.D.")</f>
        <v>Tara Brach, Ph.D.</v>
      </c>
      <c r="I138" t="str">
        <f>IFERROR(__xludf.DUMMYFUNCTION("""COMPUTED_VALUE"""),"Instructor Request- Opted Out")</f>
        <v>Instructor Request- Opted Out</v>
      </c>
      <c r="J138" t="b">
        <f>IFERROR(__xludf.DUMMYFUNCTION("""COMPUTED_VALUE"""),TRUE)</f>
        <v>1</v>
      </c>
      <c r="K138" s="142" t="str">
        <f>IFERROR(__xludf.DUMMYFUNCTION("""COMPUTED_VALUE"""),"Personal Development")</f>
        <v>Personal Development</v>
      </c>
      <c r="L138" s="142" t="str">
        <f>IFERROR(__xludf.DUMMYFUNCTION("""COMPUTED_VALUE"""),"Personal Growth")</f>
        <v>Personal Growth</v>
      </c>
      <c r="N138" s="140" t="str">
        <f>IFERROR(__xludf.DUMMYFUNCTION("""COMPUTED_VALUE"""),"")</f>
        <v/>
      </c>
      <c r="P138" s="140" t="str">
        <f>IFERROR(__xludf.DUMMYFUNCTION("""COMPUTED_VALUE"""),"")</f>
        <v/>
      </c>
    </row>
    <row r="139">
      <c r="A139" s="143">
        <f>IFERROR(__xludf.DUMMYFUNCTION("""COMPUTED_VALUE"""),44614.0)</f>
        <v>44614</v>
      </c>
      <c r="B139" s="143">
        <f>IFERROR(__xludf.DUMMYFUNCTION("""COMPUTED_VALUE"""),44804.0)</f>
        <v>44804</v>
      </c>
      <c r="C139" s="140" t="str">
        <f>IFERROR(__xludf.DUMMYFUNCTION("""COMPUTED_VALUE"""),"en")</f>
        <v>en</v>
      </c>
      <c r="D139">
        <f>IFERROR(__xludf.DUMMYFUNCTION("""COMPUTED_VALUE"""),942320.0)</f>
        <v>942320</v>
      </c>
      <c r="E139" t="str">
        <f>IFERROR(__xludf.DUMMYFUNCTION("""COMPUTED_VALUE"""),"Awaken Your Heart, Creativity &amp; Wisdom with Tara Brach")</f>
        <v>Awaken Your Heart, Creativity &amp; Wisdom with Tara Brach</v>
      </c>
      <c r="F139" t="str">
        <f>IFERROR(__xludf.DUMMYFUNCTION("""COMPUTED_VALUE"""),"Awaken Your Heart, Creativity &amp; Wisdom with Tara Brach")</f>
        <v>Awaken Your Heart, Creativity &amp; Wisdom with Tara Brach</v>
      </c>
      <c r="G139">
        <f>IFERROR(__xludf.DUMMYFUNCTION("""COMPUTED_VALUE"""),2.4514132E7)</f>
        <v>24514132</v>
      </c>
      <c r="H139" t="str">
        <f>IFERROR(__xludf.DUMMYFUNCTION("""COMPUTED_VALUE"""),"Tara Brach, Ph.D.")</f>
        <v>Tara Brach, Ph.D.</v>
      </c>
      <c r="I139" t="str">
        <f>IFERROR(__xludf.DUMMYFUNCTION("""COMPUTED_VALUE"""),"Instructor Request- Opted Out")</f>
        <v>Instructor Request- Opted Out</v>
      </c>
      <c r="J139" t="b">
        <f>IFERROR(__xludf.DUMMYFUNCTION("""COMPUTED_VALUE"""),TRUE)</f>
        <v>1</v>
      </c>
      <c r="K139" s="142" t="str">
        <f>IFERROR(__xludf.DUMMYFUNCTION("""COMPUTED_VALUE"""),"Personal Development")</f>
        <v>Personal Development</v>
      </c>
      <c r="L139" s="142" t="str">
        <f>IFERROR(__xludf.DUMMYFUNCTION("""COMPUTED_VALUE"""),"Arts &amp; Creativity")</f>
        <v>Arts &amp; Creativity</v>
      </c>
      <c r="N139" s="140" t="str">
        <f>IFERROR(__xludf.DUMMYFUNCTION("""COMPUTED_VALUE"""),"")</f>
        <v/>
      </c>
      <c r="P139" s="140" t="str">
        <f>IFERROR(__xludf.DUMMYFUNCTION("""COMPUTED_VALUE"""),"")</f>
        <v/>
      </c>
    </row>
    <row r="140">
      <c r="A140" s="143">
        <f>IFERROR(__xludf.DUMMYFUNCTION("""COMPUTED_VALUE"""),44614.0)</f>
        <v>44614</v>
      </c>
      <c r="B140" s="143">
        <f>IFERROR(__xludf.DUMMYFUNCTION("""COMPUTED_VALUE"""),44804.0)</f>
        <v>44804</v>
      </c>
      <c r="C140" s="140" t="str">
        <f>IFERROR(__xludf.DUMMYFUNCTION("""COMPUTED_VALUE"""),"en")</f>
        <v>en</v>
      </c>
      <c r="D140">
        <f>IFERROR(__xludf.DUMMYFUNCTION("""COMPUTED_VALUE"""),2155970.0)</f>
        <v>2155970</v>
      </c>
      <c r="E140" t="str">
        <f>IFERROR(__xludf.DUMMYFUNCTION("""COMPUTED_VALUE"""),"Releasing Negative Beliefs &amp; Thought-Patterns ~ Tara Brach")</f>
        <v>Releasing Negative Beliefs &amp; Thought-Patterns ~ Tara Brach</v>
      </c>
      <c r="F140" t="str">
        <f>IFERROR(__xludf.DUMMYFUNCTION("""COMPUTED_VALUE"""),"Releasing Negative Beliefs &amp; Thought-Patterns ~ Tara Brach")</f>
        <v>Releasing Negative Beliefs &amp; Thought-Patterns ~ Tara Brach</v>
      </c>
      <c r="G140">
        <f>IFERROR(__xludf.DUMMYFUNCTION("""COMPUTED_VALUE"""),2.4514132E7)</f>
        <v>24514132</v>
      </c>
      <c r="H140" t="str">
        <f>IFERROR(__xludf.DUMMYFUNCTION("""COMPUTED_VALUE"""),"Tara Brach, Ph.D.")</f>
        <v>Tara Brach, Ph.D.</v>
      </c>
      <c r="I140" t="str">
        <f>IFERROR(__xludf.DUMMYFUNCTION("""COMPUTED_VALUE"""),"Instructor Request- Opted Out")</f>
        <v>Instructor Request- Opted Out</v>
      </c>
      <c r="J140" t="b">
        <f>IFERROR(__xludf.DUMMYFUNCTION("""COMPUTED_VALUE"""),TRUE)</f>
        <v>1</v>
      </c>
      <c r="K140" s="142" t="str">
        <f>IFERROR(__xludf.DUMMYFUNCTION("""COMPUTED_VALUE"""),"Personal Development")</f>
        <v>Personal Development</v>
      </c>
      <c r="L140" s="142" t="str">
        <f>IFERROR(__xludf.DUMMYFUNCTION("""COMPUTED_VALUE"""),"Personal Growth")</f>
        <v>Personal Growth</v>
      </c>
      <c r="N140" s="140" t="str">
        <f>IFERROR(__xludf.DUMMYFUNCTION("""COMPUTED_VALUE"""),"")</f>
        <v/>
      </c>
      <c r="P140" s="140" t="str">
        <f>IFERROR(__xludf.DUMMYFUNCTION("""COMPUTED_VALUE"""),"")</f>
        <v/>
      </c>
    </row>
    <row r="141">
      <c r="A141" s="143">
        <f>IFERROR(__xludf.DUMMYFUNCTION("""COMPUTED_VALUE"""),44614.0)</f>
        <v>44614</v>
      </c>
      <c r="B141" s="143">
        <f>IFERROR(__xludf.DUMMYFUNCTION("""COMPUTED_VALUE"""),44804.0)</f>
        <v>44804</v>
      </c>
      <c r="C141" s="140" t="str">
        <f>IFERROR(__xludf.DUMMYFUNCTION("""COMPUTED_VALUE"""),"en")</f>
        <v>en</v>
      </c>
      <c r="D141">
        <f>IFERROR(__xludf.DUMMYFUNCTION("""COMPUTED_VALUE"""),1932476.0)</f>
        <v>1932476</v>
      </c>
      <c r="E141" t="str">
        <f>IFERROR(__xludf.DUMMYFUNCTION("""COMPUTED_VALUE"""),"Freeing Ourselves With Mindfulness - with Tara Brach")</f>
        <v>Freeing Ourselves With Mindfulness - with Tara Brach</v>
      </c>
      <c r="F141" t="str">
        <f>IFERROR(__xludf.DUMMYFUNCTION("""COMPUTED_VALUE"""),"Freeing Ourselves With Mindfulness - with Tara Brach")</f>
        <v>Freeing Ourselves With Mindfulness - with Tara Brach</v>
      </c>
      <c r="G141">
        <f>IFERROR(__xludf.DUMMYFUNCTION("""COMPUTED_VALUE"""),2.4514132E7)</f>
        <v>24514132</v>
      </c>
      <c r="H141" t="str">
        <f>IFERROR(__xludf.DUMMYFUNCTION("""COMPUTED_VALUE"""),"Tara Brach, Ph.D.")</f>
        <v>Tara Brach, Ph.D.</v>
      </c>
      <c r="I141" t="str">
        <f>IFERROR(__xludf.DUMMYFUNCTION("""COMPUTED_VALUE"""),"Instructor Request- Opted Out")</f>
        <v>Instructor Request- Opted Out</v>
      </c>
      <c r="J141" t="b">
        <f>IFERROR(__xludf.DUMMYFUNCTION("""COMPUTED_VALUE"""),TRUE)</f>
        <v>1</v>
      </c>
      <c r="K141" s="142" t="str">
        <f>IFERROR(__xludf.DUMMYFUNCTION("""COMPUTED_VALUE"""),"Personal Development")</f>
        <v>Personal Development</v>
      </c>
      <c r="L141" s="142" t="str">
        <f>IFERROR(__xludf.DUMMYFUNCTION("""COMPUTED_VALUE"""),"Personal Growth")</f>
        <v>Personal Growth</v>
      </c>
      <c r="N141" s="140" t="str">
        <f>IFERROR(__xludf.DUMMYFUNCTION("""COMPUTED_VALUE"""),"")</f>
        <v/>
      </c>
      <c r="P141" s="140" t="str">
        <f>IFERROR(__xludf.DUMMYFUNCTION("""COMPUTED_VALUE"""),"")</f>
        <v/>
      </c>
    </row>
    <row r="142">
      <c r="A142" s="143">
        <f>IFERROR(__xludf.DUMMYFUNCTION("""COMPUTED_VALUE"""),44614.0)</f>
        <v>44614</v>
      </c>
      <c r="B142" s="143">
        <f>IFERROR(__xludf.DUMMYFUNCTION("""COMPUTED_VALUE"""),44804.0)</f>
        <v>44804</v>
      </c>
      <c r="C142" s="140" t="str">
        <f>IFERROR(__xludf.DUMMYFUNCTION("""COMPUTED_VALUE"""),"en")</f>
        <v>en</v>
      </c>
      <c r="D142">
        <f>IFERROR(__xludf.DUMMYFUNCTION("""COMPUTED_VALUE"""),1171814.0)</f>
        <v>1171814</v>
      </c>
      <c r="E142" t="str">
        <f>IFERROR(__xludf.DUMMYFUNCTION("""COMPUTED_VALUE"""),"Radical Acceptance with Tara Brach")</f>
        <v>Radical Acceptance with Tara Brach</v>
      </c>
      <c r="F142" t="str">
        <f>IFERROR(__xludf.DUMMYFUNCTION("""COMPUTED_VALUE"""),"Radical Acceptance with Tara Brach")</f>
        <v>Radical Acceptance with Tara Brach</v>
      </c>
      <c r="G142">
        <f>IFERROR(__xludf.DUMMYFUNCTION("""COMPUTED_VALUE"""),2.4514132E7)</f>
        <v>24514132</v>
      </c>
      <c r="H142" t="str">
        <f>IFERROR(__xludf.DUMMYFUNCTION("""COMPUTED_VALUE"""),"Tara Brach, Ph.D.")</f>
        <v>Tara Brach, Ph.D.</v>
      </c>
      <c r="I142" t="str">
        <f>IFERROR(__xludf.DUMMYFUNCTION("""COMPUTED_VALUE"""),"Instructor Request- Opted Out")</f>
        <v>Instructor Request- Opted Out</v>
      </c>
      <c r="J142" t="b">
        <f>IFERROR(__xludf.DUMMYFUNCTION("""COMPUTED_VALUE"""),TRUE)</f>
        <v>1</v>
      </c>
      <c r="K142" s="142" t="str">
        <f>IFERROR(__xludf.DUMMYFUNCTION("""COMPUTED_VALUE"""),"Personal Development")</f>
        <v>Personal Development</v>
      </c>
      <c r="L142" s="142" t="str">
        <f>IFERROR(__xludf.DUMMYFUNCTION("""COMPUTED_VALUE"""),"Personal Growth")</f>
        <v>Personal Growth</v>
      </c>
      <c r="N142" s="140" t="str">
        <f>IFERROR(__xludf.DUMMYFUNCTION("""COMPUTED_VALUE"""),"")</f>
        <v/>
      </c>
      <c r="P142" s="140" t="str">
        <f>IFERROR(__xludf.DUMMYFUNCTION("""COMPUTED_VALUE"""),"")</f>
        <v/>
      </c>
    </row>
    <row r="143">
      <c r="A143" s="143">
        <f>IFERROR(__xludf.DUMMYFUNCTION("""COMPUTED_VALUE"""),44614.0)</f>
        <v>44614</v>
      </c>
      <c r="B143" s="143">
        <f>IFERROR(__xludf.DUMMYFUNCTION("""COMPUTED_VALUE"""),44804.0)</f>
        <v>44804</v>
      </c>
      <c r="C143" s="140" t="str">
        <f>IFERROR(__xludf.DUMMYFUNCTION("""COMPUTED_VALUE"""),"fr")</f>
        <v>fr</v>
      </c>
      <c r="D143">
        <f>IFERROR(__xludf.DUMMYFUNCTION("""COMPUTED_VALUE"""),3798514.0)</f>
        <v>3798514</v>
      </c>
      <c r="E143" t="str">
        <f>IFERROR(__xludf.DUMMYFUNCTION("""COMPUTED_VALUE"""),"Emailing en 2022 ▶ Accélérez vos ventes, méthode de A à Z")</f>
        <v>Emailing en 2022 ▶ Accélérez vos ventes, méthode de A à Z</v>
      </c>
      <c r="F143" t="str">
        <f>IFERROR(__xludf.DUMMYFUNCTION("""COMPUTED_VALUE"""),"Emailing in 2022 ▶ Accelerate your sales, A to Z method")</f>
        <v>Emailing in 2022 ▶ Accelerate your sales, A to Z method</v>
      </c>
      <c r="G143">
        <f>IFERROR(__xludf.DUMMYFUNCTION("""COMPUTED_VALUE"""),1.37674844E8)</f>
        <v>137674844</v>
      </c>
      <c r="H143" t="str">
        <f>IFERROR(__xludf.DUMMYFUNCTION("""COMPUTED_VALUE"""),"Antoine Thoreau | Email Marketing / Cold Email / Marketing Automation")</f>
        <v>Antoine Thoreau | Email Marketing / Cold Email / Marketing Automation</v>
      </c>
      <c r="I143" t="str">
        <f>IFERROR(__xludf.DUMMYFUNCTION("""COMPUTED_VALUE"""),"Instructor Request- Opted Out")</f>
        <v>Instructor Request- Opted Out</v>
      </c>
      <c r="J143" t="b">
        <f>IFERROR(__xludf.DUMMYFUNCTION("""COMPUTED_VALUE"""),FALSE)</f>
        <v>0</v>
      </c>
      <c r="K143" s="142" t="str">
        <f>IFERROR(__xludf.DUMMYFUNCTION("""COMPUTED_VALUE"""),"Marketing")</f>
        <v>Marketing</v>
      </c>
      <c r="L143" s="142" t="str">
        <f>IFERROR(__xludf.DUMMYFUNCTION("""COMPUTED_VALUE"""),"Digital Marketing")</f>
        <v>Digital Marketing</v>
      </c>
      <c r="N143" s="140" t="str">
        <f>IFERROR(__xludf.DUMMYFUNCTION("""COMPUTED_VALUE"""),"")</f>
        <v/>
      </c>
      <c r="P143" s="140" t="str">
        <f>IFERROR(__xludf.DUMMYFUNCTION("""COMPUTED_VALUE"""),"")</f>
        <v/>
      </c>
    </row>
    <row r="144">
      <c r="A144" s="143">
        <f>IFERROR(__xludf.DUMMYFUNCTION("""COMPUTED_VALUE"""),44614.0)</f>
        <v>44614</v>
      </c>
      <c r="B144" s="143">
        <f>IFERROR(__xludf.DUMMYFUNCTION("""COMPUTED_VALUE"""),44804.0)</f>
        <v>44804</v>
      </c>
      <c r="C144" t="str">
        <f>IFERROR(__xludf.DUMMYFUNCTION("""COMPUTED_VALUE"""),"tr")</f>
        <v>tr</v>
      </c>
      <c r="D144">
        <f>IFERROR(__xludf.DUMMYFUNCTION("""COMPUTED_VALUE"""),2099762.0)</f>
        <v>2099762</v>
      </c>
      <c r="E144" t="str">
        <f>IFERROR(__xludf.DUMMYFUNCTION("""COMPUTED_VALUE"""),"Yaratıcı Düşünme ve Fikir Bulma Teknikleri")</f>
        <v>Yaratıcı Düşünme ve Fikir Bulma Teknikleri</v>
      </c>
      <c r="F144" t="str">
        <f>IFERROR(__xludf.DUMMYFUNCTION("""COMPUTED_VALUE"""),"Creative thinking and finding techniques")</f>
        <v>Creative thinking and finding techniques</v>
      </c>
      <c r="G144">
        <f>IFERROR(__xludf.DUMMYFUNCTION("""COMPUTED_VALUE"""),2.1490496E7)</f>
        <v>21490496</v>
      </c>
      <c r="H144" t="str">
        <f>IFERROR(__xludf.DUMMYFUNCTION("""COMPUTED_VALUE"""),"Yaratıcı Düşünme Kursu")</f>
        <v>Yaratıcı Düşünme Kursu</v>
      </c>
      <c r="I144" t="str">
        <f>IFERROR(__xludf.DUMMYFUNCTION("""COMPUTED_VALUE"""),"Instructor Request- Opted Out")</f>
        <v>Instructor Request- Opted Out</v>
      </c>
      <c r="J144" t="b">
        <f>IFERROR(__xludf.DUMMYFUNCTION("""COMPUTED_VALUE"""),FALSE)</f>
        <v>0</v>
      </c>
      <c r="K144" s="142" t="str">
        <f>IFERROR(__xludf.DUMMYFUNCTION("""COMPUTED_VALUE"""),"Personal Development")</f>
        <v>Personal Development</v>
      </c>
      <c r="L144" s="142" t="str">
        <f>IFERROR(__xludf.DUMMYFUNCTION("""COMPUTED_VALUE"""),"Personal Growth")</f>
        <v>Personal Growth</v>
      </c>
      <c r="N144" s="140" t="str">
        <f>IFERROR(__xludf.DUMMYFUNCTION("""COMPUTED_VALUE"""),"")</f>
        <v/>
      </c>
      <c r="P144" s="140" t="str">
        <f>IFERROR(__xludf.DUMMYFUNCTION("""COMPUTED_VALUE"""),"")</f>
        <v/>
      </c>
    </row>
    <row r="145">
      <c r="A145" s="143">
        <f>IFERROR(__xludf.DUMMYFUNCTION("""COMPUTED_VALUE"""),44614.0)</f>
        <v>44614</v>
      </c>
      <c r="B145" s="143">
        <f>IFERROR(__xludf.DUMMYFUNCTION("""COMPUTED_VALUE"""),44804.0)</f>
        <v>44804</v>
      </c>
      <c r="C145" s="140" t="str">
        <f>IFERROR(__xludf.DUMMYFUNCTION("""COMPUTED_VALUE"""),"en")</f>
        <v>en</v>
      </c>
      <c r="D145">
        <f>IFERROR(__xludf.DUMMYFUNCTION("""COMPUTED_VALUE"""),3728402.0)</f>
        <v>3728402</v>
      </c>
      <c r="E145" t="str">
        <f>IFERROR(__xludf.DUMMYFUNCTION("""COMPUTED_VALUE"""),"Informatica Master Data Management ( Informatica MDM )")</f>
        <v>Informatica Master Data Management ( Informatica MDM )</v>
      </c>
      <c r="F145" t="str">
        <f>IFERROR(__xludf.DUMMYFUNCTION("""COMPUTED_VALUE"""),"Computer Science Master Data Management (MDM Computer Science)")</f>
        <v>Computer Science Master Data Management (MDM Computer Science)</v>
      </c>
      <c r="G145">
        <f>IFERROR(__xludf.DUMMYFUNCTION("""COMPUTED_VALUE"""),1.45597212E8)</f>
        <v>145597212</v>
      </c>
      <c r="H145" t="str">
        <f>IFERROR(__xludf.DUMMYFUNCTION("""COMPUTED_VALUE"""),"Vinay Srivastava")</f>
        <v>Vinay Srivastava</v>
      </c>
      <c r="I145" t="str">
        <f>IFERROR(__xludf.DUMMYFUNCTION("""COMPUTED_VALUE"""),"Instructor Request- Opted Out")</f>
        <v>Instructor Request- Opted Out</v>
      </c>
      <c r="J145" t="b">
        <f>IFERROR(__xludf.DUMMYFUNCTION("""COMPUTED_VALUE"""),FALSE)</f>
        <v>0</v>
      </c>
      <c r="K145" s="142" t="str">
        <f>IFERROR(__xludf.DUMMYFUNCTION("""COMPUTED_VALUE"""),"Data Science")</f>
        <v>Data Science</v>
      </c>
      <c r="L145" s="142" t="str">
        <f>IFERROR(__xludf.DUMMYFUNCTION("""COMPUTED_VALUE"""),"Big Data")</f>
        <v>Big Data</v>
      </c>
      <c r="N145" s="140" t="str">
        <f>IFERROR(__xludf.DUMMYFUNCTION("""COMPUTED_VALUE"""),"")</f>
        <v/>
      </c>
      <c r="P145" s="140" t="str">
        <f>IFERROR(__xludf.DUMMYFUNCTION("""COMPUTED_VALUE"""),"")</f>
        <v/>
      </c>
    </row>
    <row r="146">
      <c r="A146" s="143">
        <f>IFERROR(__xludf.DUMMYFUNCTION("""COMPUTED_VALUE"""),44614.0)</f>
        <v>44614</v>
      </c>
      <c r="B146" s="143">
        <f>IFERROR(__xludf.DUMMYFUNCTION("""COMPUTED_VALUE"""),44804.0)</f>
        <v>44804</v>
      </c>
      <c r="C146" s="140" t="str">
        <f>IFERROR(__xludf.DUMMYFUNCTION("""COMPUTED_VALUE"""),"es")</f>
        <v>es</v>
      </c>
      <c r="D146">
        <f>IFERROR(__xludf.DUMMYFUNCTION("""COMPUTED_VALUE"""),4010354.0)</f>
        <v>4010354</v>
      </c>
      <c r="E146" t="str">
        <f>IFERROR(__xludf.DUMMYFUNCTION("""COMPUTED_VALUE"""),"Escribir bien para pensar mejor")</f>
        <v>Escribir bien para pensar mejor</v>
      </c>
      <c r="F146" t="str">
        <f>IFERROR(__xludf.DUMMYFUNCTION("""COMPUTED_VALUE"""),"Write well to think better")</f>
        <v>Write well to think better</v>
      </c>
      <c r="G146">
        <f>IFERROR(__xludf.DUMMYFUNCTION("""COMPUTED_VALUE"""),3396514.0)</f>
        <v>3396514</v>
      </c>
      <c r="H146" t="str">
        <f>IFERROR(__xludf.DUMMYFUNCTION("""COMPUTED_VALUE"""),"Instituto Serves - Servicios Educativos")</f>
        <v>Instituto Serves - Servicios Educativos</v>
      </c>
      <c r="I146" t="str">
        <f>IFERROR(__xludf.DUMMYFUNCTION("""COMPUTED_VALUE"""),"Instructor Request- Opted Out")</f>
        <v>Instructor Request- Opted Out</v>
      </c>
      <c r="J146" t="b">
        <f>IFERROR(__xludf.DUMMYFUNCTION("""COMPUTED_VALUE"""),FALSE)</f>
        <v>0</v>
      </c>
      <c r="K146" s="142" t="str">
        <f>IFERROR(__xludf.DUMMYFUNCTION("""COMPUTED_VALUE"""),"Personal Development")</f>
        <v>Personal Development</v>
      </c>
      <c r="L146" s="142" t="str">
        <f>IFERROR(__xludf.DUMMYFUNCTION("""COMPUTED_VALUE"""),"Personal Growth")</f>
        <v>Personal Growth</v>
      </c>
      <c r="N146" s="140" t="str">
        <f>IFERROR(__xludf.DUMMYFUNCTION("""COMPUTED_VALUE"""),"")</f>
        <v/>
      </c>
      <c r="P146" s="140" t="str">
        <f>IFERROR(__xludf.DUMMYFUNCTION("""COMPUTED_VALUE"""),"")</f>
        <v/>
      </c>
    </row>
    <row r="147">
      <c r="A147" s="143">
        <f>IFERROR(__xludf.DUMMYFUNCTION("""COMPUTED_VALUE"""),44614.0)</f>
        <v>44614</v>
      </c>
      <c r="B147" s="143">
        <f>IFERROR(__xludf.DUMMYFUNCTION("""COMPUTED_VALUE"""),44804.0)</f>
        <v>44804</v>
      </c>
      <c r="C147" s="140" t="str">
        <f>IFERROR(__xludf.DUMMYFUNCTION("""COMPUTED_VALUE"""),"en")</f>
        <v>en</v>
      </c>
      <c r="D147">
        <f>IFERROR(__xludf.DUMMYFUNCTION("""COMPUTED_VALUE"""),1968490.0)</f>
        <v>1968490</v>
      </c>
      <c r="E147" t="str">
        <f>IFERROR(__xludf.DUMMYFUNCTION("""COMPUTED_VALUE"""),"TOTAL: CompTIA PenTest+ (Ethical Hacking) + 2 FREE Tests.")</f>
        <v>TOTAL: CompTIA PenTest+ (Ethical Hacking) + 2 FREE Tests.</v>
      </c>
      <c r="F147" t="str">
        <f>IFERROR(__xludf.DUMMYFUNCTION("""COMPUTED_VALUE"""),"TOTAL: CompTIA PenTest+ (Ethical Hacking) + 2 FREE Tests.")</f>
        <v>TOTAL: CompTIA PenTest+ (Ethical Hacking) + 2 FREE Tests.</v>
      </c>
      <c r="G147">
        <f>IFERROR(__xludf.DUMMYFUNCTION("""COMPUTED_VALUE"""),1.6569604E7)</f>
        <v>16569604</v>
      </c>
      <c r="H147" t="str">
        <f>IFERROR(__xludf.DUMMYFUNCTION("""COMPUTED_VALUE"""),"Total Seminars • 750,000+ Enrollments")</f>
        <v>Total Seminars • 750,000+ Enrollments</v>
      </c>
      <c r="I147" t="str">
        <f>IFERROR(__xludf.DUMMYFUNCTION("""COMPUTED_VALUE"""),"Instructor Request- Opted Out")</f>
        <v>Instructor Request- Opted Out</v>
      </c>
      <c r="J147" t="b">
        <f>IFERROR(__xludf.DUMMYFUNCTION("""COMPUTED_VALUE"""),FALSE)</f>
        <v>0</v>
      </c>
      <c r="K147" s="142" t="str">
        <f>IFERROR(__xludf.DUMMYFUNCTION("""COMPUTED_VALUE"""),"IT Operations")</f>
        <v>IT Operations</v>
      </c>
      <c r="L147" s="142" t="str">
        <f>IFERROR(__xludf.DUMMYFUNCTION("""COMPUTED_VALUE"""),"IT Certifications")</f>
        <v>IT Certifications</v>
      </c>
      <c r="N147" s="140" t="str">
        <f>IFERROR(__xludf.DUMMYFUNCTION("""COMPUTED_VALUE"""),"")</f>
        <v/>
      </c>
      <c r="P147" s="140" t="str">
        <f>IFERROR(__xludf.DUMMYFUNCTION("""COMPUTED_VALUE"""),"")</f>
        <v/>
      </c>
    </row>
    <row r="148">
      <c r="A148" s="143">
        <f>IFERROR(__xludf.DUMMYFUNCTION("""COMPUTED_VALUE"""),44614.0)</f>
        <v>44614</v>
      </c>
      <c r="B148" s="143">
        <f>IFERROR(__xludf.DUMMYFUNCTION("""COMPUTED_VALUE"""),44804.0)</f>
        <v>44804</v>
      </c>
      <c r="C148" s="140" t="str">
        <f>IFERROR(__xludf.DUMMYFUNCTION("""COMPUTED_VALUE"""),"pt")</f>
        <v>pt</v>
      </c>
      <c r="D148">
        <f>IFERROR(__xludf.DUMMYFUNCTION("""COMPUTED_VALUE"""),831588.0)</f>
        <v>831588</v>
      </c>
      <c r="E148" t="str">
        <f>IFERROR(__xludf.DUMMYFUNCTION("""COMPUTED_VALUE"""),"Gamificação: Teoria e Aplicações Práticas")</f>
        <v>Gamificação: Teoria e Aplicações Práticas</v>
      </c>
      <c r="F148" t="str">
        <f>IFERROR(__xludf.DUMMYFUNCTION("""COMPUTED_VALUE"""),"Gamification: Practical Theory and Applications")</f>
        <v>Gamification: Practical Theory and Applications</v>
      </c>
      <c r="G148">
        <f>IFERROR(__xludf.DUMMYFUNCTION("""COMPUTED_VALUE"""),4628586.0)</f>
        <v>4628586</v>
      </c>
      <c r="H148" t="str">
        <f>IFERROR(__xludf.DUMMYFUNCTION("""COMPUTED_VALUE"""),"Escola Brasileira de Games (EBG)")</f>
        <v>Escola Brasileira de Games (EBG)</v>
      </c>
      <c r="I148" t="str">
        <f>IFERROR(__xludf.DUMMYFUNCTION("""COMPUTED_VALUE"""),"Instructor Request- Opted Out")</f>
        <v>Instructor Request- Opted Out</v>
      </c>
      <c r="J148" t="b">
        <f>IFERROR(__xludf.DUMMYFUNCTION("""COMPUTED_VALUE"""),FALSE)</f>
        <v>0</v>
      </c>
      <c r="K148" s="142" t="str">
        <f>IFERROR(__xludf.DUMMYFUNCTION("""COMPUTED_VALUE"""),"Design")</f>
        <v>Design</v>
      </c>
      <c r="L148" s="142" t="str">
        <f>IFERROR(__xludf.DUMMYFUNCTION("""COMPUTED_VALUE"""),"User Experience Design")</f>
        <v>User Experience Design</v>
      </c>
      <c r="N148" s="140" t="str">
        <f>IFERROR(__xludf.DUMMYFUNCTION("""COMPUTED_VALUE"""),"")</f>
        <v/>
      </c>
      <c r="P148" s="140" t="str">
        <f>IFERROR(__xludf.DUMMYFUNCTION("""COMPUTED_VALUE"""),"")</f>
        <v/>
      </c>
    </row>
    <row r="149">
      <c r="A149" s="143">
        <f>IFERROR(__xludf.DUMMYFUNCTION("""COMPUTED_VALUE"""),44581.0)</f>
        <v>44581</v>
      </c>
      <c r="B149" s="143">
        <f>IFERROR(__xludf.DUMMYFUNCTION("""COMPUTED_VALUE"""),44773.0)</f>
        <v>44773</v>
      </c>
      <c r="C149" s="140" t="str">
        <f>IFERROR(__xludf.DUMMYFUNCTION("""COMPUTED_VALUE"""),"de")</f>
        <v>de</v>
      </c>
      <c r="D149">
        <f>IFERROR(__xludf.DUMMYFUNCTION("""COMPUTED_VALUE"""),2826011.0)</f>
        <v>2826011</v>
      </c>
      <c r="E149" t="str">
        <f>IFERROR(__xludf.DUMMYFUNCTION("""COMPUTED_VALUE"""),"Buchführung &amp; Jahresabschluss einfach erklärt in 5 Stunden")</f>
        <v>Buchführung &amp; Jahresabschluss einfach erklärt in 5 Stunden</v>
      </c>
      <c r="F149" t="str">
        <f>IFERROR(__xludf.DUMMYFUNCTION("""COMPUTED_VALUE"""),"Accounting &amp; Financial Statements Simply explained in 5 hours")</f>
        <v>Accounting &amp; Financial Statements Simply explained in 5 hours</v>
      </c>
      <c r="G149">
        <f>IFERROR(__xludf.DUMMYFUNCTION("""COMPUTED_VALUE"""),1.03475935E8)</f>
        <v>103475935</v>
      </c>
      <c r="H149" t="str">
        <f>IFERROR(__xludf.DUMMYFUNCTION("""COMPUTED_VALUE"""),"Gripscoach von GripsCoachTV &amp; Prüfungshelden")</f>
        <v>Gripscoach von GripsCoachTV &amp; Prüfungshelden</v>
      </c>
      <c r="I149" t="str">
        <f>IFERROR(__xludf.DUMMYFUNCTION("""COMPUTED_VALUE"""),"Instructor Request- Opted Out")</f>
        <v>Instructor Request- Opted Out</v>
      </c>
      <c r="J149" t="b">
        <f>IFERROR(__xludf.DUMMYFUNCTION("""COMPUTED_VALUE"""),FALSE)</f>
        <v>0</v>
      </c>
      <c r="K149" s="142" t="str">
        <f>IFERROR(__xludf.DUMMYFUNCTION("""COMPUTED_VALUE"""),"Finance &amp; Accounting")</f>
        <v>Finance &amp; Accounting</v>
      </c>
      <c r="L149" s="142" t="str">
        <f>IFERROR(__xludf.DUMMYFUNCTION("""COMPUTED_VALUE"""),"Finance Fundamentals")</f>
        <v>Finance Fundamentals</v>
      </c>
      <c r="N149" s="140" t="str">
        <f>IFERROR(__xludf.DUMMYFUNCTION("""COMPUTED_VALUE"""),"")</f>
        <v/>
      </c>
      <c r="P149" s="140" t="str">
        <f>IFERROR(__xludf.DUMMYFUNCTION("""COMPUTED_VALUE"""),"")</f>
        <v/>
      </c>
    </row>
    <row r="150">
      <c r="A150" s="143">
        <f>IFERROR(__xludf.DUMMYFUNCTION("""COMPUTED_VALUE"""),44581.0)</f>
        <v>44581</v>
      </c>
      <c r="B150" s="143">
        <f>IFERROR(__xludf.DUMMYFUNCTION("""COMPUTED_VALUE"""),44773.0)</f>
        <v>44773</v>
      </c>
      <c r="C150" s="140" t="str">
        <f>IFERROR(__xludf.DUMMYFUNCTION("""COMPUTED_VALUE"""),"en")</f>
        <v>en</v>
      </c>
      <c r="D150">
        <f>IFERROR(__xludf.DUMMYFUNCTION("""COMPUTED_VALUE"""),2479338.0)</f>
        <v>2479338</v>
      </c>
      <c r="E150" t="str">
        <f>IFERROR(__xludf.DUMMYFUNCTION("""COMPUTED_VALUE"""),"Master Fundamentals of ECG / EKG.")</f>
        <v>Master Fundamentals of ECG / EKG.</v>
      </c>
      <c r="F150" t="str">
        <f>IFERROR(__xludf.DUMMYFUNCTION("""COMPUTED_VALUE"""),"Master Fundamentals of ECG / EKG.")</f>
        <v>Master Fundamentals of ECG / EKG.</v>
      </c>
      <c r="G150">
        <f>IFERROR(__xludf.DUMMYFUNCTION("""COMPUTED_VALUE"""),7.5938806E7)</f>
        <v>75938806</v>
      </c>
      <c r="H150" t="str">
        <f>IFERROR(__xludf.DUMMYFUNCTION("""COMPUTED_VALUE"""),"Dr. Najeeb Lectures")</f>
        <v>Dr. Najeeb Lectures</v>
      </c>
      <c r="I150" t="str">
        <f>IFERROR(__xludf.DUMMYFUNCTION("""COMPUTED_VALUE"""),"Instructor Request- Opted Out")</f>
        <v>Instructor Request- Opted Out</v>
      </c>
      <c r="J150" t="b">
        <f>IFERROR(__xludf.DUMMYFUNCTION("""COMPUTED_VALUE"""),FALSE)</f>
        <v>0</v>
      </c>
      <c r="K150" s="142" t="str">
        <f>IFERROR(__xludf.DUMMYFUNCTION("""COMPUTED_VALUE"""),"Personal Development")</f>
        <v>Personal Development</v>
      </c>
      <c r="L150" s="142" t="str">
        <f>IFERROR(__xludf.DUMMYFUNCTION("""COMPUTED_VALUE"""),"Health &amp; Fitness")</f>
        <v>Health &amp; Fitness</v>
      </c>
      <c r="N150" s="140" t="str">
        <f>IFERROR(__xludf.DUMMYFUNCTION("""COMPUTED_VALUE"""),"")</f>
        <v/>
      </c>
      <c r="P150" s="140" t="str">
        <f>IFERROR(__xludf.DUMMYFUNCTION("""COMPUTED_VALUE"""),"")</f>
        <v/>
      </c>
    </row>
    <row r="151">
      <c r="A151" s="143">
        <f>IFERROR(__xludf.DUMMYFUNCTION("""COMPUTED_VALUE"""),44581.0)</f>
        <v>44581</v>
      </c>
      <c r="B151" s="143">
        <f>IFERROR(__xludf.DUMMYFUNCTION("""COMPUTED_VALUE"""),44773.0)</f>
        <v>44773</v>
      </c>
      <c r="C151" s="140" t="str">
        <f>IFERROR(__xludf.DUMMYFUNCTION("""COMPUTED_VALUE"""),"en")</f>
        <v>en</v>
      </c>
      <c r="D151">
        <f>IFERROR(__xludf.DUMMYFUNCTION("""COMPUTED_VALUE"""),2443266.0)</f>
        <v>2443266</v>
      </c>
      <c r="E151" t="str">
        <f>IFERROR(__xludf.DUMMYFUNCTION("""COMPUTED_VALUE"""),"Master Neuroscience and Neuroanatomy.")</f>
        <v>Master Neuroscience and Neuroanatomy.</v>
      </c>
      <c r="F151" t="str">
        <f>IFERROR(__xludf.DUMMYFUNCTION("""COMPUTED_VALUE"""),"Master Neuroscience and Neuroanatomy.")</f>
        <v>Master Neuroscience and Neuroanatomy.</v>
      </c>
      <c r="G151">
        <f>IFERROR(__xludf.DUMMYFUNCTION("""COMPUTED_VALUE"""),7.5938806E7)</f>
        <v>75938806</v>
      </c>
      <c r="H151" t="str">
        <f>IFERROR(__xludf.DUMMYFUNCTION("""COMPUTED_VALUE"""),"Dr. Najeeb Lectures")</f>
        <v>Dr. Najeeb Lectures</v>
      </c>
      <c r="I151" t="str">
        <f>IFERROR(__xludf.DUMMYFUNCTION("""COMPUTED_VALUE"""),"Instructor Request- Opted Out")</f>
        <v>Instructor Request- Opted Out</v>
      </c>
      <c r="J151" t="b">
        <f>IFERROR(__xludf.DUMMYFUNCTION("""COMPUTED_VALUE"""),FALSE)</f>
        <v>0</v>
      </c>
      <c r="K151" s="142" t="str">
        <f>IFERROR(__xludf.DUMMYFUNCTION("""COMPUTED_VALUE"""),"Personal Development")</f>
        <v>Personal Development</v>
      </c>
      <c r="L151" s="142" t="str">
        <f>IFERROR(__xludf.DUMMYFUNCTION("""COMPUTED_VALUE"""),"Personal Growth")</f>
        <v>Personal Growth</v>
      </c>
      <c r="N151" s="140" t="str">
        <f>IFERROR(__xludf.DUMMYFUNCTION("""COMPUTED_VALUE"""),"")</f>
        <v/>
      </c>
      <c r="P151" s="140" t="str">
        <f>IFERROR(__xludf.DUMMYFUNCTION("""COMPUTED_VALUE"""),"")</f>
        <v/>
      </c>
    </row>
    <row r="152">
      <c r="A152" s="143">
        <f>IFERROR(__xludf.DUMMYFUNCTION("""COMPUTED_VALUE"""),44587.0)</f>
        <v>44587</v>
      </c>
      <c r="B152" s="143">
        <f>IFERROR(__xludf.DUMMYFUNCTION("""COMPUTED_VALUE"""),44773.0)</f>
        <v>44773</v>
      </c>
      <c r="C152" s="140" t="str">
        <f>IFERROR(__xludf.DUMMYFUNCTION("""COMPUTED_VALUE"""),"en")</f>
        <v>en</v>
      </c>
      <c r="D152">
        <f>IFERROR(__xludf.DUMMYFUNCTION("""COMPUTED_VALUE"""),4063124.0)</f>
        <v>4063124</v>
      </c>
      <c r="E152" t="str">
        <f>IFERROR(__xludf.DUMMYFUNCTION("""COMPUTED_VALUE"""),"Ethical Hacking for Beginners")</f>
        <v>Ethical Hacking for Beginners</v>
      </c>
      <c r="F152" t="str">
        <f>IFERROR(__xludf.DUMMYFUNCTION("""COMPUTED_VALUE"""),"Ethical Hacking for Beginners")</f>
        <v>Ethical Hacking for Beginners</v>
      </c>
      <c r="G152">
        <f>IFERROR(__xludf.DUMMYFUNCTION("""COMPUTED_VALUE"""),4.891275E7)</f>
        <v>48912750</v>
      </c>
      <c r="H152" t="str">
        <f>IFERROR(__xludf.DUMMYFUNCTION("""COMPUTED_VALUE"""),"Experts with David Bombal")</f>
        <v>Experts with David Bombal</v>
      </c>
      <c r="I152" t="str">
        <f>IFERROR(__xludf.DUMMYFUNCTION("""COMPUTED_VALUE"""),"Instructor Request- Opted Out")</f>
        <v>Instructor Request- Opted Out</v>
      </c>
      <c r="J152" t="b">
        <f>IFERROR(__xludf.DUMMYFUNCTION("""COMPUTED_VALUE"""),FALSE)</f>
        <v>0</v>
      </c>
      <c r="K152" s="142" t="str">
        <f>IFERROR(__xludf.DUMMYFUNCTION("""COMPUTED_VALUE"""),"IT Operations")</f>
        <v>IT Operations</v>
      </c>
      <c r="L152" s="142" t="str">
        <f>IFERROR(__xludf.DUMMYFUNCTION("""COMPUTED_VALUE"""),"Network &amp; Security")</f>
        <v>Network &amp; Security</v>
      </c>
      <c r="N152" s="140" t="str">
        <f>IFERROR(__xludf.DUMMYFUNCTION("""COMPUTED_VALUE"""),"")</f>
        <v/>
      </c>
      <c r="P152" s="140" t="str">
        <f>IFERROR(__xludf.DUMMYFUNCTION("""COMPUTED_VALUE"""),"")</f>
        <v/>
      </c>
    </row>
    <row r="153">
      <c r="A153" s="143">
        <f>IFERROR(__xludf.DUMMYFUNCTION("""COMPUTED_VALUE"""),44587.0)</f>
        <v>44587</v>
      </c>
      <c r="B153" s="143">
        <f>IFERROR(__xludf.DUMMYFUNCTION("""COMPUTED_VALUE"""),44773.0)</f>
        <v>44773</v>
      </c>
      <c r="C153" s="140" t="str">
        <f>IFERROR(__xludf.DUMMYFUNCTION("""COMPUTED_VALUE"""),"en")</f>
        <v>en</v>
      </c>
      <c r="D153">
        <f>IFERROR(__xludf.DUMMYFUNCTION("""COMPUTED_VALUE"""),3985912.0)</f>
        <v>3985912</v>
      </c>
      <c r="E153" t="str">
        <f>IFERROR(__xludf.DUMMYFUNCTION("""COMPUTED_VALUE"""),"(NEW 2021) CompTIA Network+ (N10-008) Video Training Series")</f>
        <v>(NEW 2021) CompTIA Network+ (N10-008) Video Training Series</v>
      </c>
      <c r="F153" t="str">
        <f>IFERROR(__xludf.DUMMYFUNCTION("""COMPUTED_VALUE"""),"(NEW 2021) CompTIA Network+ (N10-008) Video Training Series")</f>
        <v>(NEW 2021) CompTIA Network+ (N10-008) Video Training Series</v>
      </c>
      <c r="G153">
        <f>IFERROR(__xludf.DUMMYFUNCTION("""COMPUTED_VALUE"""),4.891275E7)</f>
        <v>48912750</v>
      </c>
      <c r="H153" t="str">
        <f>IFERROR(__xludf.DUMMYFUNCTION("""COMPUTED_VALUE"""),"Experts with David Bombal")</f>
        <v>Experts with David Bombal</v>
      </c>
      <c r="I153" t="str">
        <f>IFERROR(__xludf.DUMMYFUNCTION("""COMPUTED_VALUE"""),"Instructor Request- Opted Out")</f>
        <v>Instructor Request- Opted Out</v>
      </c>
      <c r="J153" t="b">
        <f>IFERROR(__xludf.DUMMYFUNCTION("""COMPUTED_VALUE"""),FALSE)</f>
        <v>0</v>
      </c>
      <c r="K153" s="142" t="str">
        <f>IFERROR(__xludf.DUMMYFUNCTION("""COMPUTED_VALUE"""),"IT Operations")</f>
        <v>IT Operations</v>
      </c>
      <c r="L153" s="142" t="str">
        <f>IFERROR(__xludf.DUMMYFUNCTION("""COMPUTED_VALUE"""),"Network &amp; Security")</f>
        <v>Network &amp; Security</v>
      </c>
      <c r="N153" s="140" t="str">
        <f>IFERROR(__xludf.DUMMYFUNCTION("""COMPUTED_VALUE"""),"")</f>
        <v/>
      </c>
      <c r="P153" s="140" t="str">
        <f>IFERROR(__xludf.DUMMYFUNCTION("""COMPUTED_VALUE"""),"")</f>
        <v/>
      </c>
    </row>
    <row r="154">
      <c r="A154" s="143">
        <f>IFERROR(__xludf.DUMMYFUNCTION("""COMPUTED_VALUE"""),44587.0)</f>
        <v>44587</v>
      </c>
      <c r="B154" s="143">
        <f>IFERROR(__xludf.DUMMYFUNCTION("""COMPUTED_VALUE"""),44773.0)</f>
        <v>44773</v>
      </c>
      <c r="C154" s="140" t="str">
        <f>IFERROR(__xludf.DUMMYFUNCTION("""COMPUTED_VALUE"""),"en")</f>
        <v>en</v>
      </c>
      <c r="D154">
        <f>IFERROR(__xludf.DUMMYFUNCTION("""COMPUTED_VALUE"""),4206756.0)</f>
        <v>4206756</v>
      </c>
      <c r="E154" t="str">
        <f>IFERROR(__xludf.DUMMYFUNCTION("""COMPUTED_VALUE"""),"Complete CCNP ENARSI (300-410) Master Class")</f>
        <v>Complete CCNP ENARSI (300-410) Master Class</v>
      </c>
      <c r="F154" t="str">
        <f>IFERROR(__xludf.DUMMYFUNCTION("""COMPUTED_VALUE"""),"Complete CCNP ENARSI (300-410) Master Class")</f>
        <v>Complete CCNP ENARSI (300-410) Master Class</v>
      </c>
      <c r="G154">
        <f>IFERROR(__xludf.DUMMYFUNCTION("""COMPUTED_VALUE"""),4.891275E7)</f>
        <v>48912750</v>
      </c>
      <c r="H154" t="str">
        <f>IFERROR(__xludf.DUMMYFUNCTION("""COMPUTED_VALUE"""),"Experts with David Bombal")</f>
        <v>Experts with David Bombal</v>
      </c>
      <c r="I154" t="str">
        <f>IFERROR(__xludf.DUMMYFUNCTION("""COMPUTED_VALUE"""),"Instructor Request- Opted Out")</f>
        <v>Instructor Request- Opted Out</v>
      </c>
      <c r="J154" t="b">
        <f>IFERROR(__xludf.DUMMYFUNCTION("""COMPUTED_VALUE"""),FALSE)</f>
        <v>0</v>
      </c>
      <c r="K154" s="142" t="str">
        <f>IFERROR(__xludf.DUMMYFUNCTION("""COMPUTED_VALUE"""),"Cloud Computing")</f>
        <v>Cloud Computing</v>
      </c>
      <c r="L154" s="142" t="str">
        <f>IFERROR(__xludf.DUMMYFUNCTION("""COMPUTED_VALUE"""),"Cloud Certification")</f>
        <v>Cloud Certification</v>
      </c>
      <c r="N154" s="140" t="str">
        <f>IFERROR(__xludf.DUMMYFUNCTION("""COMPUTED_VALUE"""),"")</f>
        <v/>
      </c>
      <c r="P154" s="140" t="str">
        <f>IFERROR(__xludf.DUMMYFUNCTION("""COMPUTED_VALUE"""),"")</f>
        <v/>
      </c>
    </row>
    <row r="155">
      <c r="A155" s="143">
        <f>IFERROR(__xludf.DUMMYFUNCTION("""COMPUTED_VALUE"""),44587.0)</f>
        <v>44587</v>
      </c>
      <c r="B155" s="143">
        <f>IFERROR(__xludf.DUMMYFUNCTION("""COMPUTED_VALUE"""),44773.0)</f>
        <v>44773</v>
      </c>
      <c r="C155" s="140" t="str">
        <f>IFERROR(__xludf.DUMMYFUNCTION("""COMPUTED_VALUE"""),"en")</f>
        <v>en</v>
      </c>
      <c r="D155">
        <f>IFERROR(__xludf.DUMMYFUNCTION("""COMPUTED_VALUE"""),4189210.0)</f>
        <v>4189210</v>
      </c>
      <c r="E155" t="str">
        <f>IFERROR(__xludf.DUMMYFUNCTION("""COMPUTED_VALUE"""),"Complete CCNA (200-301) Master Class")</f>
        <v>Complete CCNA (200-301) Master Class</v>
      </c>
      <c r="F155" t="str">
        <f>IFERROR(__xludf.DUMMYFUNCTION("""COMPUTED_VALUE"""),"Complete CCNA (200-301) Master Class")</f>
        <v>Complete CCNA (200-301) Master Class</v>
      </c>
      <c r="G155">
        <f>IFERROR(__xludf.DUMMYFUNCTION("""COMPUTED_VALUE"""),4.891275E7)</f>
        <v>48912750</v>
      </c>
      <c r="H155" t="str">
        <f>IFERROR(__xludf.DUMMYFUNCTION("""COMPUTED_VALUE"""),"Experts with David Bombal")</f>
        <v>Experts with David Bombal</v>
      </c>
      <c r="I155" t="str">
        <f>IFERROR(__xludf.DUMMYFUNCTION("""COMPUTED_VALUE"""),"Instructor Request- Opted Out")</f>
        <v>Instructor Request- Opted Out</v>
      </c>
      <c r="J155" t="b">
        <f>IFERROR(__xludf.DUMMYFUNCTION("""COMPUTED_VALUE"""),FALSE)</f>
        <v>0</v>
      </c>
      <c r="K155" s="142" t="str">
        <f>IFERROR(__xludf.DUMMYFUNCTION("""COMPUTED_VALUE"""),"IT Operations")</f>
        <v>IT Operations</v>
      </c>
      <c r="L155" s="142" t="str">
        <f>IFERROR(__xludf.DUMMYFUNCTION("""COMPUTED_VALUE"""),"IT Certifications")</f>
        <v>IT Certifications</v>
      </c>
      <c r="N155" s="140" t="str">
        <f>IFERROR(__xludf.DUMMYFUNCTION("""COMPUTED_VALUE"""),"")</f>
        <v/>
      </c>
      <c r="P155" s="140" t="str">
        <f>IFERROR(__xludf.DUMMYFUNCTION("""COMPUTED_VALUE"""),"")</f>
        <v/>
      </c>
    </row>
    <row r="156">
      <c r="A156" s="143">
        <f>IFERROR(__xludf.DUMMYFUNCTION("""COMPUTED_VALUE"""),44587.0)</f>
        <v>44587</v>
      </c>
      <c r="B156" s="143">
        <f>IFERROR(__xludf.DUMMYFUNCTION("""COMPUTED_VALUE"""),44773.0)</f>
        <v>44773</v>
      </c>
      <c r="C156" s="140" t="str">
        <f>IFERROR(__xludf.DUMMYFUNCTION("""COMPUTED_VALUE"""),"en")</f>
        <v>en</v>
      </c>
      <c r="D156">
        <f>IFERROR(__xludf.DUMMYFUNCTION("""COMPUTED_VALUE"""),4187754.0)</f>
        <v>4187754</v>
      </c>
      <c r="E156" t="str">
        <f>IFERROR(__xludf.DUMMYFUNCTION("""COMPUTED_VALUE"""),"Complete CCNP ENCOR (350-401) Master Class")</f>
        <v>Complete CCNP ENCOR (350-401) Master Class</v>
      </c>
      <c r="F156" t="str">
        <f>IFERROR(__xludf.DUMMYFUNCTION("""COMPUTED_VALUE"""),"Complete CCNP ENCOR (350-401) Master Class")</f>
        <v>Complete CCNP ENCOR (350-401) Master Class</v>
      </c>
      <c r="G156">
        <f>IFERROR(__xludf.DUMMYFUNCTION("""COMPUTED_VALUE"""),4.891275E7)</f>
        <v>48912750</v>
      </c>
      <c r="H156" t="str">
        <f>IFERROR(__xludf.DUMMYFUNCTION("""COMPUTED_VALUE"""),"Experts with David Bombal")</f>
        <v>Experts with David Bombal</v>
      </c>
      <c r="I156" t="str">
        <f>IFERROR(__xludf.DUMMYFUNCTION("""COMPUTED_VALUE"""),"Instructor Request- Opted Out")</f>
        <v>Instructor Request- Opted Out</v>
      </c>
      <c r="J156" t="b">
        <f>IFERROR(__xludf.DUMMYFUNCTION("""COMPUTED_VALUE"""),FALSE)</f>
        <v>0</v>
      </c>
      <c r="K156" s="142" t="str">
        <f>IFERROR(__xludf.DUMMYFUNCTION("""COMPUTED_VALUE"""),"IT Operations")</f>
        <v>IT Operations</v>
      </c>
      <c r="L156" s="142" t="str">
        <f>IFERROR(__xludf.DUMMYFUNCTION("""COMPUTED_VALUE"""),"Network &amp; Security")</f>
        <v>Network &amp; Security</v>
      </c>
      <c r="N156" s="140" t="str">
        <f>IFERROR(__xludf.DUMMYFUNCTION("""COMPUTED_VALUE"""),"")</f>
        <v/>
      </c>
      <c r="P156" s="140" t="str">
        <f>IFERROR(__xludf.DUMMYFUNCTION("""COMPUTED_VALUE"""),"")</f>
        <v/>
      </c>
    </row>
    <row r="157">
      <c r="A157" s="143">
        <f>IFERROR(__xludf.DUMMYFUNCTION("""COMPUTED_VALUE"""),44603.0)</f>
        <v>44603</v>
      </c>
      <c r="B157" s="143">
        <f>IFERROR(__xludf.DUMMYFUNCTION("""COMPUTED_VALUE"""),44773.0)</f>
        <v>44773</v>
      </c>
      <c r="C157" t="str">
        <f>IFERROR(__xludf.DUMMYFUNCTION("""COMPUTED_VALUE"""),"jp")</f>
        <v>jp</v>
      </c>
      <c r="D157">
        <f>IFERROR(__xludf.DUMMYFUNCTION("""COMPUTED_VALUE"""),2646558.0)</f>
        <v>2646558</v>
      </c>
      <c r="E157" t="str">
        <f>IFERROR(__xludf.DUMMYFUNCTION("""COMPUTED_VALUE"""),"GmailをLINEで受信！Messaging APIとGASで作りながら覚えるLinebot作り方講座")</f>
        <v>GmailをLINEで受信！Messaging APIとGASで作りながら覚えるLinebot作り方講座</v>
      </c>
      <c r="F157" t="str">
        <f>IFERROR(__xludf.DUMMYFUNCTION("""COMPUTED_VALUE"""),"Receive Gmail with LINE! Messaging API and GAS Making LINEBOT Making Lecture Course")</f>
        <v>Receive Gmail with LINE! Messaging API and GAS Making LINEBOT Making Lecture Course</v>
      </c>
      <c r="G157">
        <f>IFERROR(__xludf.DUMMYFUNCTION("""COMPUTED_VALUE"""),7.9287014E7)</f>
        <v>79287014</v>
      </c>
      <c r="H157" t="str">
        <f>IFERROR(__xludf.DUMMYFUNCTION("""COMPUTED_VALUE"""),"Taka pon")</f>
        <v>Taka pon</v>
      </c>
      <c r="I157" t="str">
        <f>IFERROR(__xludf.DUMMYFUNCTION("""COMPUTED_VALUE"""),"Low Rating")</f>
        <v>Low Rating</v>
      </c>
      <c r="J157" t="b">
        <f>IFERROR(__xludf.DUMMYFUNCTION("""COMPUTED_VALUE"""),FALSE)</f>
        <v>0</v>
      </c>
      <c r="K157" s="142" t="str">
        <f>IFERROR(__xludf.DUMMYFUNCTION("""COMPUTED_VALUE"""),"Development")</f>
        <v>Development</v>
      </c>
      <c r="L157" s="142" t="str">
        <f>IFERROR(__xludf.DUMMYFUNCTION("""COMPUTED_VALUE"""),"Web Development")</f>
        <v>Web Development</v>
      </c>
      <c r="N157" s="140" t="str">
        <f>IFERROR(__xludf.DUMMYFUNCTION("""COMPUTED_VALUE"""),"")</f>
        <v/>
      </c>
      <c r="P157" s="140" t="str">
        <f>IFERROR(__xludf.DUMMYFUNCTION("""COMPUTED_VALUE"""),"")</f>
        <v/>
      </c>
    </row>
    <row r="158">
      <c r="A158" s="143">
        <f>IFERROR(__xludf.DUMMYFUNCTION("""COMPUTED_VALUE"""),44603.0)</f>
        <v>44603</v>
      </c>
      <c r="B158" s="143">
        <f>IFERROR(__xludf.DUMMYFUNCTION("""COMPUTED_VALUE"""),44773.0)</f>
        <v>44773</v>
      </c>
      <c r="C158" t="str">
        <f>IFERROR(__xludf.DUMMYFUNCTION("""COMPUTED_VALUE"""),"jp")</f>
        <v>jp</v>
      </c>
      <c r="D158">
        <f>IFERROR(__xludf.DUMMYFUNCTION("""COMPUTED_VALUE"""),3809796.0)</f>
        <v>3809796</v>
      </c>
      <c r="E158" t="str">
        <f>IFERROR(__xludf.DUMMYFUNCTION("""COMPUTED_VALUE"""),"Flutter × Firebaseで開発するモバイルアプリ入門")</f>
        <v>Flutter × Firebaseで開発するモバイルアプリ入門</v>
      </c>
      <c r="F158" t="str">
        <f>IFERROR(__xludf.DUMMYFUNCTION("""COMPUTED_VALUE"""),"Introduction to mobile apps developed with FLUTTER × FIREBASE")</f>
        <v>Introduction to mobile apps developed with FLUTTER × FIREBASE</v>
      </c>
      <c r="G158">
        <f>IFERROR(__xludf.DUMMYFUNCTION("""COMPUTED_VALUE"""),1.33932066E8)</f>
        <v>133932066</v>
      </c>
      <c r="H158" t="str">
        <f>IFERROR(__xludf.DUMMYFUNCTION("""COMPUTED_VALUE"""),"Flutter ラボ")</f>
        <v>Flutter ラボ</v>
      </c>
      <c r="I158" t="str">
        <f>IFERROR(__xludf.DUMMYFUNCTION("""COMPUTED_VALUE"""),"Low Rating")</f>
        <v>Low Rating</v>
      </c>
      <c r="J158" t="b">
        <f>IFERROR(__xludf.DUMMYFUNCTION("""COMPUTED_VALUE"""),FALSE)</f>
        <v>0</v>
      </c>
      <c r="K158" s="142" t="str">
        <f>IFERROR(__xludf.DUMMYFUNCTION("""COMPUTED_VALUE"""),"Development")</f>
        <v>Development</v>
      </c>
      <c r="L158" s="142" t="str">
        <f>IFERROR(__xludf.DUMMYFUNCTION("""COMPUTED_VALUE"""),"Mobile Development")</f>
        <v>Mobile Development</v>
      </c>
      <c r="N158" s="140" t="str">
        <f>IFERROR(__xludf.DUMMYFUNCTION("""COMPUTED_VALUE"""),"")</f>
        <v/>
      </c>
      <c r="P158" s="140" t="str">
        <f>IFERROR(__xludf.DUMMYFUNCTION("""COMPUTED_VALUE"""),"")</f>
        <v/>
      </c>
    </row>
    <row r="159">
      <c r="A159" s="143">
        <f>IFERROR(__xludf.DUMMYFUNCTION("""COMPUTED_VALUE"""),44603.0)</f>
        <v>44603</v>
      </c>
      <c r="B159" s="143">
        <f>IFERROR(__xludf.DUMMYFUNCTION("""COMPUTED_VALUE"""),44773.0)</f>
        <v>44773</v>
      </c>
      <c r="C159" t="str">
        <f>IFERROR(__xludf.DUMMYFUNCTION("""COMPUTED_VALUE"""),"jp")</f>
        <v>jp</v>
      </c>
      <c r="D159">
        <f>IFERROR(__xludf.DUMMYFUNCTION("""COMPUTED_VALUE"""),2638036.0)</f>
        <v>2638036</v>
      </c>
      <c r="E159" t="str">
        <f>IFERROR(__xludf.DUMMYFUNCTION("""COMPUTED_VALUE"""),"繰り返しタスクをサクサクこなす! アウトライナーを使った行動リスト管理術")</f>
        <v>繰り返しタスクをサクサクこなす! アウトライナーを使った行動リスト管理術</v>
      </c>
      <c r="F159" t="str">
        <f>IFERROR(__xludf.DUMMYFUNCTION("""COMPUTED_VALUE"""),"Repeated tasks are crispy! Behavior list management using outliner")</f>
        <v>Repeated tasks are crispy! Behavior list management using outliner</v>
      </c>
      <c r="G159">
        <f>IFERROR(__xludf.DUMMYFUNCTION("""COMPUTED_VALUE"""),1.3211102E7)</f>
        <v>13211102</v>
      </c>
      <c r="H159" t="str">
        <f>IFERROR(__xludf.DUMMYFUNCTION("""COMPUTED_VALUE"""),"セム Mayumi Shinya")</f>
        <v>セム Mayumi Shinya</v>
      </c>
      <c r="I159" t="str">
        <f>IFERROR(__xludf.DUMMYFUNCTION("""COMPUTED_VALUE"""),"Low Rating")</f>
        <v>Low Rating</v>
      </c>
      <c r="J159" t="b">
        <f>IFERROR(__xludf.DUMMYFUNCTION("""COMPUTED_VALUE"""),FALSE)</f>
        <v>0</v>
      </c>
      <c r="K159" s="142" t="str">
        <f>IFERROR(__xludf.DUMMYFUNCTION("""COMPUTED_VALUE"""),"Office Productivity")</f>
        <v>Office Productivity</v>
      </c>
      <c r="L159" s="142" t="str">
        <f>IFERROR(__xludf.DUMMYFUNCTION("""COMPUTED_VALUE"""),"Email &amp; Productivity")</f>
        <v>Email &amp; Productivity</v>
      </c>
      <c r="N159" s="140" t="str">
        <f>IFERROR(__xludf.DUMMYFUNCTION("""COMPUTED_VALUE"""),"")</f>
        <v/>
      </c>
      <c r="P159" s="140" t="str">
        <f>IFERROR(__xludf.DUMMYFUNCTION("""COMPUTED_VALUE"""),"")</f>
        <v/>
      </c>
    </row>
    <row r="160">
      <c r="A160" s="143">
        <f>IFERROR(__xludf.DUMMYFUNCTION("""COMPUTED_VALUE"""),44603.0)</f>
        <v>44603</v>
      </c>
      <c r="B160" s="143">
        <f>IFERROR(__xludf.DUMMYFUNCTION("""COMPUTED_VALUE"""),44773.0)</f>
        <v>44773</v>
      </c>
      <c r="C160" t="str">
        <f>IFERROR(__xludf.DUMMYFUNCTION("""COMPUTED_VALUE"""),"jp")</f>
        <v>jp</v>
      </c>
      <c r="D160">
        <f>IFERROR(__xludf.DUMMYFUNCTION("""COMPUTED_VALUE"""),2963114.0)</f>
        <v>2963114</v>
      </c>
      <c r="E160" t="str">
        <f>IFERROR(__xludf.DUMMYFUNCTION("""COMPUTED_VALUE"""),"AWS認定 DevOpsエンジニア – プロフェッショナル (DOP-C01) 模擬試験 (2021年試験対応版)")</f>
        <v>AWS認定 DevOpsエンジニア – プロフェッショナル (DOP-C01) 模擬試験 (2021年試験対応版)</v>
      </c>
      <c r="F160" t="str">
        <f>IFERROR(__xludf.DUMMYFUNCTION("""COMPUTED_VALUE"""),"AWS Certified DevoPS Engineer-Professional (DOP-C01) Mock Examination (2021 Testable Version)")</f>
        <v>AWS Certified DevoPS Engineer-Professional (DOP-C01) Mock Examination (2021 Testable Version)</v>
      </c>
      <c r="G160">
        <f>IFERROR(__xludf.DUMMYFUNCTION("""COMPUTED_VALUE"""),9.7594848E7)</f>
        <v>97594848</v>
      </c>
      <c r="H160" t="str">
        <f>IFERROR(__xludf.DUMMYFUNCTION("""COMPUTED_VALUE"""),"Keigo Kitagawa")</f>
        <v>Keigo Kitagawa</v>
      </c>
      <c r="I160" t="str">
        <f>IFERROR(__xludf.DUMMYFUNCTION("""COMPUTED_VALUE"""),"Low Rating")</f>
        <v>Low Rating</v>
      </c>
      <c r="J160" t="b">
        <f>IFERROR(__xludf.DUMMYFUNCTION("""COMPUTED_VALUE"""),FALSE)</f>
        <v>0</v>
      </c>
      <c r="K160" s="142" t="str">
        <f>IFERROR(__xludf.DUMMYFUNCTION("""COMPUTED_VALUE"""),"IT Operations")</f>
        <v>IT Operations</v>
      </c>
      <c r="L160" s="142" t="str">
        <f>IFERROR(__xludf.DUMMYFUNCTION("""COMPUTED_VALUE"""),"IT Certifications")</f>
        <v>IT Certifications</v>
      </c>
      <c r="N160" s="140" t="str">
        <f>IFERROR(__xludf.DUMMYFUNCTION("""COMPUTED_VALUE"""),"")</f>
        <v/>
      </c>
      <c r="P160" s="140" t="str">
        <f>IFERROR(__xludf.DUMMYFUNCTION("""COMPUTED_VALUE"""),"")</f>
        <v/>
      </c>
    </row>
    <row r="161">
      <c r="A161" s="143">
        <f>IFERROR(__xludf.DUMMYFUNCTION("""COMPUTED_VALUE"""),44603.0)</f>
        <v>44603</v>
      </c>
      <c r="B161" s="143">
        <f>IFERROR(__xludf.DUMMYFUNCTION("""COMPUTED_VALUE"""),44773.0)</f>
        <v>44773</v>
      </c>
      <c r="C161" t="str">
        <f>IFERROR(__xludf.DUMMYFUNCTION("""COMPUTED_VALUE"""),"jp")</f>
        <v>jp</v>
      </c>
      <c r="D161">
        <f>IFERROR(__xludf.DUMMYFUNCTION("""COMPUTED_VALUE"""),4014286.0)</f>
        <v>4014286</v>
      </c>
      <c r="E161" t="str">
        <f>IFERROR(__xludf.DUMMYFUNCTION("""COMPUTED_VALUE"""),"ノーコード「Bubble」でメルカリを作る！  | アプリを収益化する方法を学べます")</f>
        <v>ノーコード「Bubble」でメルカリを作る！  | アプリを収益化する方法を学べます</v>
      </c>
      <c r="F161" t="str">
        <f>IFERROR(__xludf.DUMMYFUNCTION("""COMPUTED_VALUE"""),"Make Merkari with no code ""Bubble""! You can learn how to revise the app")</f>
        <v>Make Merkari with no code "Bubble"! You can learn how to revise the app</v>
      </c>
      <c r="G161">
        <f>IFERROR(__xludf.DUMMYFUNCTION("""COMPUTED_VALUE"""),1.23494044E8)</f>
        <v>123494044</v>
      </c>
      <c r="H161" t="str">
        <f>IFERROR(__xludf.DUMMYFUNCTION("""COMPUTED_VALUE"""),"ノーコードの 加藤")</f>
        <v>ノーコードの 加藤</v>
      </c>
      <c r="I161" t="str">
        <f>IFERROR(__xludf.DUMMYFUNCTION("""COMPUTED_VALUE"""),"Low Rating")</f>
        <v>Low Rating</v>
      </c>
      <c r="J161" t="b">
        <f>IFERROR(__xludf.DUMMYFUNCTION("""COMPUTED_VALUE"""),FALSE)</f>
        <v>0</v>
      </c>
      <c r="K161" s="142" t="str">
        <f>IFERROR(__xludf.DUMMYFUNCTION("""COMPUTED_VALUE"""),"Development")</f>
        <v>Development</v>
      </c>
      <c r="L161" s="142" t="str">
        <f>IFERROR(__xludf.DUMMYFUNCTION("""COMPUTED_VALUE"""),"Web Development")</f>
        <v>Web Development</v>
      </c>
      <c r="N161" s="140" t="str">
        <f>IFERROR(__xludf.DUMMYFUNCTION("""COMPUTED_VALUE"""),"")</f>
        <v/>
      </c>
      <c r="P161" s="140" t="str">
        <f>IFERROR(__xludf.DUMMYFUNCTION("""COMPUTED_VALUE"""),"")</f>
        <v/>
      </c>
    </row>
    <row r="162">
      <c r="A162" s="143">
        <f>IFERROR(__xludf.DUMMYFUNCTION("""COMPUTED_VALUE"""),44603.0)</f>
        <v>44603</v>
      </c>
      <c r="B162" s="143">
        <f>IFERROR(__xludf.DUMMYFUNCTION("""COMPUTED_VALUE"""),44773.0)</f>
        <v>44773</v>
      </c>
      <c r="C162" t="str">
        <f>IFERROR(__xludf.DUMMYFUNCTION("""COMPUTED_VALUE"""),"jp")</f>
        <v>jp</v>
      </c>
      <c r="D162">
        <f>IFERROR(__xludf.DUMMYFUNCTION("""COMPUTED_VALUE"""),4258024.0)</f>
        <v>4258024</v>
      </c>
      <c r="E162" t="str">
        <f>IFERROR(__xludf.DUMMYFUNCTION("""COMPUTED_VALUE"""),"【続】Microsoft Power Automate Desktop 入門講座 ～ PDF アクション 特訓編 ～")</f>
        <v>【続】Microsoft Power Automate Desktop 入門講座 ～ PDF アクション 特訓編 ～</v>
      </c>
      <c r="F162" t="str">
        <f>IFERROR(__xludf.DUMMYFUNCTION("""COMPUTED_VALUE"""),"[Continued] Microsoft Power Automate Desktop Introduction Course ~ PDF Action Special Training Hen ~")</f>
        <v>[Continued] Microsoft Power Automate Desktop Introduction Course ~ PDF Action Special Training Hen ~</v>
      </c>
      <c r="G162">
        <f>IFERROR(__xludf.DUMMYFUNCTION("""COMPUTED_VALUE"""),1.342004E7)</f>
        <v>13420040</v>
      </c>
      <c r="H162" t="str">
        <f>IFERROR(__xludf.DUMMYFUNCTION("""COMPUTED_VALUE"""),"マスカワ シゲル")</f>
        <v>マスカワ シゲル</v>
      </c>
      <c r="I162" t="str">
        <f>IFERROR(__xludf.DUMMYFUNCTION("""COMPUTED_VALUE"""),"Low Rating")</f>
        <v>Low Rating</v>
      </c>
      <c r="J162" t="b">
        <f>IFERROR(__xludf.DUMMYFUNCTION("""COMPUTED_VALUE"""),FALSE)</f>
        <v>0</v>
      </c>
      <c r="K162" s="142" t="str">
        <f>IFERROR(__xludf.DUMMYFUNCTION("""COMPUTED_VALUE"""),"Data Science")</f>
        <v>Data Science</v>
      </c>
      <c r="L162" s="142" t="str">
        <f>IFERROR(__xludf.DUMMYFUNCTION("""COMPUTED_VALUE"""),"Analytics")</f>
        <v>Analytics</v>
      </c>
      <c r="N162" s="140" t="str">
        <f>IFERROR(__xludf.DUMMYFUNCTION("""COMPUTED_VALUE"""),"")</f>
        <v/>
      </c>
      <c r="P162" s="140" t="str">
        <f>IFERROR(__xludf.DUMMYFUNCTION("""COMPUTED_VALUE"""),"")</f>
        <v/>
      </c>
    </row>
    <row r="163">
      <c r="A163" s="143">
        <f>IFERROR(__xludf.DUMMYFUNCTION("""COMPUTED_VALUE"""),44603.0)</f>
        <v>44603</v>
      </c>
      <c r="B163" s="143">
        <f>IFERROR(__xludf.DUMMYFUNCTION("""COMPUTED_VALUE"""),44773.0)</f>
        <v>44773</v>
      </c>
      <c r="C163" t="str">
        <f>IFERROR(__xludf.DUMMYFUNCTION("""COMPUTED_VALUE"""),"jp")</f>
        <v>jp</v>
      </c>
      <c r="D163">
        <f>IFERROR(__xludf.DUMMYFUNCTION("""COMPUTED_VALUE"""),3497944.0)</f>
        <v>3497944</v>
      </c>
      <c r="E163" t="str">
        <f>IFERROR(__xludf.DUMMYFUNCTION("""COMPUTED_VALUE"""),"Pythonとディープラーニングがわかる基礎講座（Windows10版）")</f>
        <v>Pythonとディープラーニングがわかる基礎講座（Windows10版）</v>
      </c>
      <c r="F163" t="str">
        <f>IFERROR(__xludf.DUMMYFUNCTION("""COMPUTED_VALUE"""),"Basic course (Windows 10 version) that shows Python and Deepler")</f>
        <v>Basic course (Windows 10 version) that shows Python and Deepler</v>
      </c>
      <c r="G163">
        <f>IFERROR(__xludf.DUMMYFUNCTION("""COMPUTED_VALUE"""),1.02565195E8)</f>
        <v>102565195</v>
      </c>
      <c r="H163" t="str">
        <f>IFERROR(__xludf.DUMMYFUNCTION("""COMPUTED_VALUE"""),"伊藤 泰輔")</f>
        <v>伊藤 泰輔</v>
      </c>
      <c r="I163" t="str">
        <f>IFERROR(__xludf.DUMMYFUNCTION("""COMPUTED_VALUE"""),"Low Rating")</f>
        <v>Low Rating</v>
      </c>
      <c r="J163" t="b">
        <f>IFERROR(__xludf.DUMMYFUNCTION("""COMPUTED_VALUE"""),FALSE)</f>
        <v>0</v>
      </c>
      <c r="K163" s="142" t="str">
        <f>IFERROR(__xludf.DUMMYFUNCTION("""COMPUTED_VALUE"""),"Data Science")</f>
        <v>Data Science</v>
      </c>
      <c r="L163" s="142" t="str">
        <f>IFERROR(__xludf.DUMMYFUNCTION("""COMPUTED_VALUE"""),"Machine Learning")</f>
        <v>Machine Learning</v>
      </c>
      <c r="N163" s="140" t="str">
        <f>IFERROR(__xludf.DUMMYFUNCTION("""COMPUTED_VALUE"""),"")</f>
        <v/>
      </c>
      <c r="P163" s="140" t="str">
        <f>IFERROR(__xludf.DUMMYFUNCTION("""COMPUTED_VALUE"""),"")</f>
        <v/>
      </c>
    </row>
    <row r="164">
      <c r="A164" s="143">
        <f>IFERROR(__xludf.DUMMYFUNCTION("""COMPUTED_VALUE"""),44603.0)</f>
        <v>44603</v>
      </c>
      <c r="B164" s="143">
        <f>IFERROR(__xludf.DUMMYFUNCTION("""COMPUTED_VALUE"""),44773.0)</f>
        <v>44773</v>
      </c>
      <c r="C164" t="str">
        <f>IFERROR(__xludf.DUMMYFUNCTION("""COMPUTED_VALUE"""),"jp")</f>
        <v>jp</v>
      </c>
      <c r="D164">
        <f>IFERROR(__xludf.DUMMYFUNCTION("""COMPUTED_VALUE"""),1037862.0)</f>
        <v>1037862</v>
      </c>
      <c r="E164" t="str">
        <f>IFERROR(__xludf.DUMMYFUNCTION("""COMPUTED_VALUE"""),"【Python 3 x Django 2.0】作りながら覚えるDjango")</f>
        <v>【Python 3 x Django 2.0】作りながら覚えるDjango</v>
      </c>
      <c r="F164" t="str">
        <f>IFERROR(__xludf.DUMMYFUNCTION("""COMPUTED_VALUE"""),"[Python 3 x Django 2.0] I remember while making Django")</f>
        <v>[Python 3 x Django 2.0] I remember while making Django</v>
      </c>
      <c r="G164">
        <f>IFERROR(__xludf.DUMMYFUNCTION("""COMPUTED_VALUE"""),2.7688978E7)</f>
        <v>27688978</v>
      </c>
      <c r="H164" t="str">
        <f>IFERROR(__xludf.DUMMYFUNCTION("""COMPUTED_VALUE"""),"Dai Takahashi")</f>
        <v>Dai Takahashi</v>
      </c>
      <c r="I164" t="str">
        <f>IFERROR(__xludf.DUMMYFUNCTION("""COMPUTED_VALUE"""),"Low Rating")</f>
        <v>Low Rating</v>
      </c>
      <c r="J164" t="b">
        <f>IFERROR(__xludf.DUMMYFUNCTION("""COMPUTED_VALUE"""),FALSE)</f>
        <v>0</v>
      </c>
      <c r="K164" s="142" t="str">
        <f>IFERROR(__xludf.DUMMYFUNCTION("""COMPUTED_VALUE"""),"Development")</f>
        <v>Development</v>
      </c>
      <c r="L164" s="142" t="str">
        <f>IFERROR(__xludf.DUMMYFUNCTION("""COMPUTED_VALUE"""),"Web Development")</f>
        <v>Web Development</v>
      </c>
      <c r="N164" s="140" t="str">
        <f>IFERROR(__xludf.DUMMYFUNCTION("""COMPUTED_VALUE"""),"")</f>
        <v/>
      </c>
      <c r="P164" s="140" t="str">
        <f>IFERROR(__xludf.DUMMYFUNCTION("""COMPUTED_VALUE"""),"")</f>
        <v/>
      </c>
    </row>
    <row r="165">
      <c r="A165" s="143">
        <f>IFERROR(__xludf.DUMMYFUNCTION("""COMPUTED_VALUE"""),44603.0)</f>
        <v>44603</v>
      </c>
      <c r="B165" s="143">
        <f>IFERROR(__xludf.DUMMYFUNCTION("""COMPUTED_VALUE"""),44773.0)</f>
        <v>44773</v>
      </c>
      <c r="C165" t="str">
        <f>IFERROR(__xludf.DUMMYFUNCTION("""COMPUTED_VALUE"""),"jp")</f>
        <v>jp</v>
      </c>
      <c r="D165">
        <f>IFERROR(__xludf.DUMMYFUNCTION("""COMPUTED_VALUE"""),3978604.0)</f>
        <v>3978604</v>
      </c>
      <c r="E165" t="str">
        <f>IFERROR(__xludf.DUMMYFUNCTION("""COMPUTED_VALUE"""),"Flutterアプリ開発基礎入門")</f>
        <v>Flutterアプリ開発基礎入門</v>
      </c>
      <c r="F165" t="str">
        <f>IFERROR(__xludf.DUMMYFUNCTION("""COMPUTED_VALUE"""),"FLUTTER application development basic introductory")</f>
        <v>FLUTTER application development basic introductory</v>
      </c>
      <c r="G165">
        <f>IFERROR(__xludf.DUMMYFUNCTION("""COMPUTED_VALUE"""),4.889419E7)</f>
        <v>48894190</v>
      </c>
      <c r="H165" t="str">
        <f>IFERROR(__xludf.DUMMYFUNCTION("""COMPUTED_VALUE"""),"KBOY from Flutter大学")</f>
        <v>KBOY from Flutter大学</v>
      </c>
      <c r="I165" t="str">
        <f>IFERROR(__xludf.DUMMYFUNCTION("""COMPUTED_VALUE"""),"Low Rating")</f>
        <v>Low Rating</v>
      </c>
      <c r="J165" t="b">
        <f>IFERROR(__xludf.DUMMYFUNCTION("""COMPUTED_VALUE"""),FALSE)</f>
        <v>0</v>
      </c>
      <c r="K165" s="142" t="str">
        <f>IFERROR(__xludf.DUMMYFUNCTION("""COMPUTED_VALUE"""),"Development")</f>
        <v>Development</v>
      </c>
      <c r="L165" s="142" t="str">
        <f>IFERROR(__xludf.DUMMYFUNCTION("""COMPUTED_VALUE"""),"Mobile Development")</f>
        <v>Mobile Development</v>
      </c>
      <c r="N165" s="140" t="str">
        <f>IFERROR(__xludf.DUMMYFUNCTION("""COMPUTED_VALUE"""),"")</f>
        <v/>
      </c>
      <c r="P165" s="140" t="str">
        <f>IFERROR(__xludf.DUMMYFUNCTION("""COMPUTED_VALUE"""),"")</f>
        <v/>
      </c>
    </row>
    <row r="166">
      <c r="A166" s="143">
        <f>IFERROR(__xludf.DUMMYFUNCTION("""COMPUTED_VALUE"""),44603.0)</f>
        <v>44603</v>
      </c>
      <c r="B166" s="143">
        <f>IFERROR(__xludf.DUMMYFUNCTION("""COMPUTED_VALUE"""),44773.0)</f>
        <v>44773</v>
      </c>
      <c r="C166" t="str">
        <f>IFERROR(__xludf.DUMMYFUNCTION("""COMPUTED_VALUE"""),"jp")</f>
        <v>jp</v>
      </c>
      <c r="D166">
        <f>IFERROR(__xludf.DUMMYFUNCTION("""COMPUTED_VALUE"""),2230432.0)</f>
        <v>2230432</v>
      </c>
      <c r="E166" t="str">
        <f>IFERROR(__xludf.DUMMYFUNCTION("""COMPUTED_VALUE"""),"【YOLO v3で実践】ディープラーニングによる物体検出入門")</f>
        <v>【YOLO v3で実践】ディープラーニングによる物体検出入門</v>
      </c>
      <c r="F166" t="str">
        <f>IFERROR(__xludf.DUMMYFUNCTION("""COMPUTED_VALUE"""),"[Practice with Yolo V3] Object inspection gate by Deepler")</f>
        <v>[Practice with Yolo V3] Object inspection gate by Deepler</v>
      </c>
      <c r="G166">
        <f>IFERROR(__xludf.DUMMYFUNCTION("""COMPUTED_VALUE"""),654126.0)</f>
        <v>654126</v>
      </c>
      <c r="H166" t="str">
        <f>IFERROR(__xludf.DUMMYFUNCTION("""COMPUTED_VALUE"""),"井上 博樹 (Hiroki Inoue)")</f>
        <v>井上 博樹 (Hiroki Inoue)</v>
      </c>
      <c r="I166" t="str">
        <f>IFERROR(__xludf.DUMMYFUNCTION("""COMPUTED_VALUE"""),"Low Rating")</f>
        <v>Low Rating</v>
      </c>
      <c r="J166" t="b">
        <f>IFERROR(__xludf.DUMMYFUNCTION("""COMPUTED_VALUE"""),FALSE)</f>
        <v>0</v>
      </c>
      <c r="K166" s="142" t="str">
        <f>IFERROR(__xludf.DUMMYFUNCTION("""COMPUTED_VALUE"""),"Data Science")</f>
        <v>Data Science</v>
      </c>
      <c r="L166" s="142" t="str">
        <f>IFERROR(__xludf.DUMMYFUNCTION("""COMPUTED_VALUE"""),"Machine Learning")</f>
        <v>Machine Learning</v>
      </c>
      <c r="N166" s="140" t="str">
        <f>IFERROR(__xludf.DUMMYFUNCTION("""COMPUTED_VALUE"""),"")</f>
        <v/>
      </c>
      <c r="P166" s="140" t="str">
        <f>IFERROR(__xludf.DUMMYFUNCTION("""COMPUTED_VALUE"""),"")</f>
        <v/>
      </c>
    </row>
    <row r="167">
      <c r="A167" s="143">
        <f>IFERROR(__xludf.DUMMYFUNCTION("""COMPUTED_VALUE"""),44603.0)</f>
        <v>44603</v>
      </c>
      <c r="B167" s="143">
        <f>IFERROR(__xludf.DUMMYFUNCTION("""COMPUTED_VALUE"""),44773.0)</f>
        <v>44773</v>
      </c>
      <c r="C167" t="str">
        <f>IFERROR(__xludf.DUMMYFUNCTION("""COMPUTED_VALUE"""),"jp")</f>
        <v>jp</v>
      </c>
      <c r="D167">
        <f>IFERROR(__xludf.DUMMYFUNCTION("""COMPUTED_VALUE"""),3845692.0)</f>
        <v>3845692</v>
      </c>
      <c r="E167" t="str">
        <f>IFERROR(__xludf.DUMMYFUNCTION("""COMPUTED_VALUE"""),"初心者のための『テーブル・データベース論理設計』〜ゼロからシステム開発に必要なデータベースの知識を身につけよう〜")</f>
        <v>初心者のための『テーブル・データベース論理設計』〜ゼロからシステム開発に必要なデータベースの知識を身につけよう〜</v>
      </c>
      <c r="F167" t="str">
        <f>IFERROR(__xludf.DUMMYFUNCTION("""COMPUTED_VALUE"""),"Acquire the knowledge of the database required for system development from zero ""Table Database Logic Design"" for beginners")</f>
        <v>Acquire the knowledge of the database required for system development from zero "Table Database Logic Design" for beginners</v>
      </c>
      <c r="G167">
        <f>IFERROR(__xludf.DUMMYFUNCTION("""COMPUTED_VALUE"""),1.3368001E8)</f>
        <v>133680010</v>
      </c>
      <c r="H167" t="str">
        <f>IFERROR(__xludf.DUMMYFUNCTION("""COMPUTED_VALUE"""),"辻 大貴")</f>
        <v>辻 大貴</v>
      </c>
      <c r="I167" t="str">
        <f>IFERROR(__xludf.DUMMYFUNCTION("""COMPUTED_VALUE"""),"Low Rating")</f>
        <v>Low Rating</v>
      </c>
      <c r="J167" t="b">
        <f>IFERROR(__xludf.DUMMYFUNCTION("""COMPUTED_VALUE"""),FALSE)</f>
        <v>0</v>
      </c>
      <c r="K167" s="142" t="str">
        <f>IFERROR(__xludf.DUMMYFUNCTION("""COMPUTED_VALUE"""),"Development")</f>
        <v>Development</v>
      </c>
      <c r="L167" s="142" t="str">
        <f>IFERROR(__xludf.DUMMYFUNCTION("""COMPUTED_VALUE"""),"Database Design &amp; Development")</f>
        <v>Database Design &amp; Development</v>
      </c>
      <c r="N167" s="140" t="str">
        <f>IFERROR(__xludf.DUMMYFUNCTION("""COMPUTED_VALUE"""),"")</f>
        <v/>
      </c>
      <c r="P167" s="140" t="str">
        <f>IFERROR(__xludf.DUMMYFUNCTION("""COMPUTED_VALUE"""),"")</f>
        <v/>
      </c>
    </row>
    <row r="168">
      <c r="A168" s="143">
        <f>IFERROR(__xludf.DUMMYFUNCTION("""COMPUTED_VALUE"""),44603.0)</f>
        <v>44603</v>
      </c>
      <c r="B168" s="143">
        <f>IFERROR(__xludf.DUMMYFUNCTION("""COMPUTED_VALUE"""),44773.0)</f>
        <v>44773</v>
      </c>
      <c r="C168" t="str">
        <f>IFERROR(__xludf.DUMMYFUNCTION("""COMPUTED_VALUE"""),"jp")</f>
        <v>jp</v>
      </c>
      <c r="D168">
        <f>IFERROR(__xludf.DUMMYFUNCTION("""COMPUTED_VALUE"""),642146.0)</f>
        <v>642146</v>
      </c>
      <c r="E168" t="str">
        <f>IFERROR(__xludf.DUMMYFUNCTION("""COMPUTED_VALUE"""),"70以上のレッスンで、基礎からしっかり学べる！ HTML5完全マスターコース")</f>
        <v>70以上のレッスンで、基礎からしっかり学べる！ HTML5完全マスターコース</v>
      </c>
      <c r="F168" t="str">
        <f>IFERROR(__xludf.DUMMYFUNCTION("""COMPUTED_VALUE"""),"More than 70 lessons, can learn well from the basics! HTML5 full master course")</f>
        <v>More than 70 lessons, can learn well from the basics! HTML5 full master course</v>
      </c>
      <c r="G168">
        <f>IFERROR(__xludf.DUMMYFUNCTION("""COMPUTED_VALUE"""),4332006.0)</f>
        <v>4332006</v>
      </c>
      <c r="H168" t="str">
        <f>IFERROR(__xludf.DUMMYFUNCTION("""COMPUTED_VALUE"""),"NEST online")</f>
        <v>NEST online</v>
      </c>
      <c r="I168" t="str">
        <f>IFERROR(__xludf.DUMMYFUNCTION("""COMPUTED_VALUE"""),"Low Rating")</f>
        <v>Low Rating</v>
      </c>
      <c r="J168" t="b">
        <f>IFERROR(__xludf.DUMMYFUNCTION("""COMPUTED_VALUE"""),FALSE)</f>
        <v>0</v>
      </c>
      <c r="K168" s="142" t="str">
        <f>IFERROR(__xludf.DUMMYFUNCTION("""COMPUTED_VALUE"""),"Design")</f>
        <v>Design</v>
      </c>
      <c r="L168" s="142" t="str">
        <f>IFERROR(__xludf.DUMMYFUNCTION("""COMPUTED_VALUE"""),"Web Design")</f>
        <v>Web Design</v>
      </c>
      <c r="N168" s="140" t="str">
        <f>IFERROR(__xludf.DUMMYFUNCTION("""COMPUTED_VALUE"""),"")</f>
        <v/>
      </c>
      <c r="P168" s="140" t="str">
        <f>IFERROR(__xludf.DUMMYFUNCTION("""COMPUTED_VALUE"""),"")</f>
        <v/>
      </c>
    </row>
    <row r="169">
      <c r="A169" s="143">
        <f>IFERROR(__xludf.DUMMYFUNCTION("""COMPUTED_VALUE"""),44603.0)</f>
        <v>44603</v>
      </c>
      <c r="B169" s="143">
        <f>IFERROR(__xludf.DUMMYFUNCTION("""COMPUTED_VALUE"""),44773.0)</f>
        <v>44773</v>
      </c>
      <c r="C169" t="str">
        <f>IFERROR(__xludf.DUMMYFUNCTION("""COMPUTED_VALUE"""),"jp")</f>
        <v>jp</v>
      </c>
      <c r="D169">
        <f>IFERROR(__xludf.DUMMYFUNCTION("""COMPUTED_VALUE"""),1868462.0)</f>
        <v>1868462</v>
      </c>
      <c r="E169" t="str">
        <f>IFERROR(__xludf.DUMMYFUNCTION("""COMPUTED_VALUE"""),"相手からOK/YESをもらう! アウトライナーを使ったロジカルなライティング構成の練り方")</f>
        <v>相手からOK/YESをもらう! アウトライナーを使ったロジカルなライティング構成の練り方</v>
      </c>
      <c r="F169" t="str">
        <f>IFERROR(__xludf.DUMMYFUNCTION("""COMPUTED_VALUE"""),"Get OK / YES from the other party! How to use an outliner Logical Lighting Configuration")</f>
        <v>Get OK / YES from the other party! How to use an outliner Logical Lighting Configuration</v>
      </c>
      <c r="G169">
        <f>IFERROR(__xludf.DUMMYFUNCTION("""COMPUTED_VALUE"""),1.3211102E7)</f>
        <v>13211102</v>
      </c>
      <c r="H169" t="str">
        <f>IFERROR(__xludf.DUMMYFUNCTION("""COMPUTED_VALUE"""),"セム Mayumi Shinya")</f>
        <v>セム Mayumi Shinya</v>
      </c>
      <c r="I169" t="str">
        <f>IFERROR(__xludf.DUMMYFUNCTION("""COMPUTED_VALUE"""),"Low Rating")</f>
        <v>Low Rating</v>
      </c>
      <c r="J169" t="b">
        <f>IFERROR(__xludf.DUMMYFUNCTION("""COMPUTED_VALUE"""),FALSE)</f>
        <v>0</v>
      </c>
      <c r="K169" s="142" t="str">
        <f>IFERROR(__xludf.DUMMYFUNCTION("""COMPUTED_VALUE"""),"Office Productivity")</f>
        <v>Office Productivity</v>
      </c>
      <c r="L169" s="142" t="str">
        <f>IFERROR(__xludf.DUMMYFUNCTION("""COMPUTED_VALUE"""),"Email &amp; Productivity")</f>
        <v>Email &amp; Productivity</v>
      </c>
      <c r="N169" s="140" t="str">
        <f>IFERROR(__xludf.DUMMYFUNCTION("""COMPUTED_VALUE"""),"")</f>
        <v/>
      </c>
      <c r="P169" s="140" t="str">
        <f>IFERROR(__xludf.DUMMYFUNCTION("""COMPUTED_VALUE"""),"")</f>
        <v/>
      </c>
    </row>
    <row r="170">
      <c r="A170" s="143">
        <f>IFERROR(__xludf.DUMMYFUNCTION("""COMPUTED_VALUE"""),44603.0)</f>
        <v>44603</v>
      </c>
      <c r="B170" s="143">
        <f>IFERROR(__xludf.DUMMYFUNCTION("""COMPUTED_VALUE"""),44773.0)</f>
        <v>44773</v>
      </c>
      <c r="C170" t="str">
        <f>IFERROR(__xludf.DUMMYFUNCTION("""COMPUTED_VALUE"""),"jp")</f>
        <v>jp</v>
      </c>
      <c r="D170">
        <f>IFERROR(__xludf.DUMMYFUNCTION("""COMPUTED_VALUE"""),2141450.0)</f>
        <v>2141450</v>
      </c>
      <c r="E170" t="str">
        <f>IFERROR(__xludf.DUMMYFUNCTION("""COMPUTED_VALUE"""),"マインドマップ本質講座 Vol.1【基礎編】〜本質を理解し、書いてみて初めて分かるマインドマップの効果を体感してみよう〜")</f>
        <v>マインドマップ本質講座 Vol.1【基礎編】〜本質を理解し、書いてみて初めて分かるマインドマップの効果を体感してみよう〜</v>
      </c>
      <c r="F170" t="str">
        <f>IFERROR(__xludf.DUMMYFUNCTION("""COMPUTED_VALUE"""),"Mind Map Number Course Vol.1 [Basic Hen] ~ Understanding and Writing the Ortens Mind Mind Map Effects")</f>
        <v>Mind Map Number Course Vol.1 [Basic Hen] ~ Understanding and Writing the Ortens Mind Mind Map Effects</v>
      </c>
      <c r="G170">
        <f>IFERROR(__xludf.DUMMYFUNCTION("""COMPUTED_VALUE"""),6.2633898E7)</f>
        <v>62633898</v>
      </c>
      <c r="H170" t="str">
        <f>IFERROR(__xludf.DUMMYFUNCTION("""COMPUTED_VALUE"""),"松岡 克政")</f>
        <v>松岡 克政</v>
      </c>
      <c r="I170" t="str">
        <f>IFERROR(__xludf.DUMMYFUNCTION("""COMPUTED_VALUE"""),"Low Rating")</f>
        <v>Low Rating</v>
      </c>
      <c r="J170" t="b">
        <f>IFERROR(__xludf.DUMMYFUNCTION("""COMPUTED_VALUE"""),FALSE)</f>
        <v>0</v>
      </c>
      <c r="K170" s="142" t="str">
        <f>IFERROR(__xludf.DUMMYFUNCTION("""COMPUTED_VALUE"""),"Leadership &amp; Management")</f>
        <v>Leadership &amp; Management</v>
      </c>
      <c r="L170" s="142" t="str">
        <f>IFERROR(__xludf.DUMMYFUNCTION("""COMPUTED_VALUE"""),"Strategy")</f>
        <v>Strategy</v>
      </c>
      <c r="N170" s="140" t="str">
        <f>IFERROR(__xludf.DUMMYFUNCTION("""COMPUTED_VALUE"""),"")</f>
        <v/>
      </c>
      <c r="P170" s="140" t="str">
        <f>IFERROR(__xludf.DUMMYFUNCTION("""COMPUTED_VALUE"""),"")</f>
        <v/>
      </c>
    </row>
    <row r="171">
      <c r="A171" s="143">
        <f>IFERROR(__xludf.DUMMYFUNCTION("""COMPUTED_VALUE"""),44603.0)</f>
        <v>44603</v>
      </c>
      <c r="B171" s="143">
        <f>IFERROR(__xludf.DUMMYFUNCTION("""COMPUTED_VALUE"""),44773.0)</f>
        <v>44773</v>
      </c>
      <c r="C171" t="str">
        <f>IFERROR(__xludf.DUMMYFUNCTION("""COMPUTED_VALUE"""),"jp")</f>
        <v>jp</v>
      </c>
      <c r="D171">
        <f>IFERROR(__xludf.DUMMYFUNCTION("""COMPUTED_VALUE"""),2619622.0)</f>
        <v>2619622</v>
      </c>
      <c r="E171" t="str">
        <f>IFERROR(__xludf.DUMMYFUNCTION("""COMPUTED_VALUE"""),"はじめてのLINEBOTの作り方　秘書ボットを作ろう")</f>
        <v>はじめてのLINEBOTの作り方　秘書ボットを作ろう</v>
      </c>
      <c r="F171" t="str">
        <f>IFERROR(__xludf.DUMMYFUNCTION("""COMPUTED_VALUE"""),"How to Make LINEBOT Form Create a Secretary Bot")</f>
        <v>How to Make LINEBOT Form Create a Secretary Bot</v>
      </c>
      <c r="G171">
        <f>IFERROR(__xludf.DUMMYFUNCTION("""COMPUTED_VALUE"""),7.9287014E7)</f>
        <v>79287014</v>
      </c>
      <c r="H171" t="str">
        <f>IFERROR(__xludf.DUMMYFUNCTION("""COMPUTED_VALUE"""),"Taka pon")</f>
        <v>Taka pon</v>
      </c>
      <c r="I171" t="str">
        <f>IFERROR(__xludf.DUMMYFUNCTION("""COMPUTED_VALUE"""),"Low Rating")</f>
        <v>Low Rating</v>
      </c>
      <c r="J171" t="b">
        <f>IFERROR(__xludf.DUMMYFUNCTION("""COMPUTED_VALUE"""),FALSE)</f>
        <v>0</v>
      </c>
      <c r="K171" s="142" t="str">
        <f>IFERROR(__xludf.DUMMYFUNCTION("""COMPUTED_VALUE"""),"Development")</f>
        <v>Development</v>
      </c>
      <c r="L171" s="142" t="str">
        <f>IFERROR(__xludf.DUMMYFUNCTION("""COMPUTED_VALUE"""),"Web Development")</f>
        <v>Web Development</v>
      </c>
      <c r="N171" s="140" t="str">
        <f>IFERROR(__xludf.DUMMYFUNCTION("""COMPUTED_VALUE"""),"")</f>
        <v/>
      </c>
      <c r="P171" s="140" t="str">
        <f>IFERROR(__xludf.DUMMYFUNCTION("""COMPUTED_VALUE"""),"")</f>
        <v/>
      </c>
    </row>
    <row r="172">
      <c r="A172" s="143">
        <f>IFERROR(__xludf.DUMMYFUNCTION("""COMPUTED_VALUE"""),44603.0)</f>
        <v>44603</v>
      </c>
      <c r="B172" s="143">
        <f>IFERROR(__xludf.DUMMYFUNCTION("""COMPUTED_VALUE"""),44773.0)</f>
        <v>44773</v>
      </c>
      <c r="C172" t="str">
        <f>IFERROR(__xludf.DUMMYFUNCTION("""COMPUTED_VALUE"""),"jp")</f>
        <v>jp</v>
      </c>
      <c r="D172">
        <f>IFERROR(__xludf.DUMMYFUNCTION("""COMPUTED_VALUE"""),2973492.0)</f>
        <v>2973492</v>
      </c>
      <c r="E172" t="str">
        <f>IFERROR(__xludf.DUMMYFUNCTION("""COMPUTED_VALUE"""),"LINEで順番待ち。順番待ちLINEボットの作り方講座")</f>
        <v>LINEで順番待ち。順番待ちLINEボットの作り方講座</v>
      </c>
      <c r="F172" t="str">
        <f>IFERROR(__xludf.DUMMYFUNCTION("""COMPUTED_VALUE"""),"Wait for the order in LINE. How to make a turn box LINE Bot")</f>
        <v>Wait for the order in LINE. How to make a turn box LINE Bot</v>
      </c>
      <c r="G172">
        <f>IFERROR(__xludf.DUMMYFUNCTION("""COMPUTED_VALUE"""),7.9287014E7)</f>
        <v>79287014</v>
      </c>
      <c r="H172" t="str">
        <f>IFERROR(__xludf.DUMMYFUNCTION("""COMPUTED_VALUE"""),"Taka pon")</f>
        <v>Taka pon</v>
      </c>
      <c r="I172" t="str">
        <f>IFERROR(__xludf.DUMMYFUNCTION("""COMPUTED_VALUE"""),"Low Rating")</f>
        <v>Low Rating</v>
      </c>
      <c r="J172" t="b">
        <f>IFERROR(__xludf.DUMMYFUNCTION("""COMPUTED_VALUE"""),FALSE)</f>
        <v>0</v>
      </c>
      <c r="K172" s="142" t="str">
        <f>IFERROR(__xludf.DUMMYFUNCTION("""COMPUTED_VALUE"""),"Development")</f>
        <v>Development</v>
      </c>
      <c r="L172" s="142" t="str">
        <f>IFERROR(__xludf.DUMMYFUNCTION("""COMPUTED_VALUE"""),"Web Development")</f>
        <v>Web Development</v>
      </c>
      <c r="N172" s="140" t="str">
        <f>IFERROR(__xludf.DUMMYFUNCTION("""COMPUTED_VALUE"""),"")</f>
        <v/>
      </c>
      <c r="P172" s="140" t="str">
        <f>IFERROR(__xludf.DUMMYFUNCTION("""COMPUTED_VALUE"""),"")</f>
        <v/>
      </c>
    </row>
    <row r="173">
      <c r="A173" s="141">
        <f>IFERROR(__xludf.DUMMYFUNCTION("""COMPUTED_VALUE"""),44407.0)</f>
        <v>44407</v>
      </c>
      <c r="B173" s="141">
        <f>IFERROR(__xludf.DUMMYFUNCTION("""COMPUTED_VALUE"""),44771.0)</f>
        <v>44771</v>
      </c>
      <c r="C173" t="str">
        <f>IFERROR(__xludf.DUMMYFUNCTION("""COMPUTED_VALUE"""),"ja")</f>
        <v>ja</v>
      </c>
      <c r="D173">
        <f>IFERROR(__xludf.DUMMYFUNCTION("""COMPUTED_VALUE"""),3471832.0)</f>
        <v>3471832</v>
      </c>
      <c r="E173" t="str">
        <f>IFERROR(__xludf.DUMMYFUNCTION("""COMPUTED_VALUE"""),"米シリコンバレーDevOps監修！超AWS完全入門+本番運用向け上級編ベストプラクティスとTerraform")</f>
        <v>米シリコンバレーDevOps監修！超AWS完全入門+本番運用向け上級編ベストプラクティスとTerraform</v>
      </c>
      <c r="F173" t="str">
        <f>IFERROR(__xludf.DUMMYFUNCTION("""COMPUTED_VALUE"""),"US Silicon Valley Devops supervision! Super AWS Fully Introduction + Advanced Hen Best Practices and TerraForm for News")</f>
        <v>US Silicon Valley Devops supervision! Super AWS Fully Introduction + Advanced Hen Best Practices and TerraForm for News</v>
      </c>
      <c r="G173">
        <f>IFERROR(__xludf.DUMMYFUNCTION("""COMPUTED_VALUE"""),1.10924584E8)</f>
        <v>110924584</v>
      </c>
      <c r="H173" t="str">
        <f>IFERROR(__xludf.DUMMYFUNCTION("""COMPUTED_VALUE"""),"CS Career Kaizen (元Microsoft現シリバレエンジニア)")</f>
        <v>CS Career Kaizen (元Microsoft現シリバレエンジニア)</v>
      </c>
      <c r="I173" t="str">
        <f>IFERROR(__xludf.DUMMYFUNCTION("""COMPUTED_VALUE"""),"Instructor Request- Revenue")</f>
        <v>Instructor Request- Revenue</v>
      </c>
      <c r="J173" t="b">
        <f>IFERROR(__xludf.DUMMYFUNCTION("""COMPUTED_VALUE"""),FALSE)</f>
        <v>0</v>
      </c>
      <c r="K173" s="142" t="str">
        <f>IFERROR(__xludf.DUMMYFUNCTION("""COMPUTED_VALUE"""),"IT Operations")</f>
        <v>IT Operations</v>
      </c>
      <c r="L173" s="142" t="str">
        <f>IFERROR(__xludf.DUMMYFUNCTION("""COMPUTED_VALUE"""),"Network &amp; Security")</f>
        <v>Network &amp; Security</v>
      </c>
      <c r="N173" s="140" t="str">
        <f>IFERROR(__xludf.DUMMYFUNCTION("""COMPUTED_VALUE"""),"")</f>
        <v/>
      </c>
      <c r="P173" s="140" t="str">
        <f>IFERROR(__xludf.DUMMYFUNCTION("""COMPUTED_VALUE"""),"")</f>
        <v/>
      </c>
    </row>
    <row r="174">
      <c r="A174" s="141">
        <f>IFERROR(__xludf.DUMMYFUNCTION("""COMPUTED_VALUE"""),44407.0)</f>
        <v>44407</v>
      </c>
      <c r="B174" s="141">
        <f>IFERROR(__xludf.DUMMYFUNCTION("""COMPUTED_VALUE"""),44771.0)</f>
        <v>44771</v>
      </c>
      <c r="C174" t="str">
        <f>IFERROR(__xludf.DUMMYFUNCTION("""COMPUTED_VALUE"""),"ja")</f>
        <v>ja</v>
      </c>
      <c r="D174">
        <f>IFERROR(__xludf.DUMMYFUNCTION("""COMPUTED_VALUE"""),3880570.0)</f>
        <v>3880570</v>
      </c>
      <c r="E174" t="str">
        <f>IFERROR(__xludf.DUMMYFUNCTION("""COMPUTED_VALUE"""),"米シリコンバレーDevOps監修！超Terraform完全入門(0.14) + AWS DevOps IaCをマスター！")</f>
        <v>米シリコンバレーDevOps監修！超Terraform完全入門(0.14) + AWS DevOps IaCをマスター！</v>
      </c>
      <c r="F174" t="str">
        <f>IFERROR(__xludf.DUMMYFUNCTION("""COMPUTED_VALUE"""),"US Silicon Valley Devops supervision! Super TerraForm Complete Introduction (0.14) + AWS Devops Master!")</f>
        <v>US Silicon Valley Devops supervision! Super TerraForm Complete Introduction (0.14) + AWS Devops Master!</v>
      </c>
      <c r="G174">
        <f>IFERROR(__xludf.DUMMYFUNCTION("""COMPUTED_VALUE"""),1.10924584E8)</f>
        <v>110924584</v>
      </c>
      <c r="H174" t="str">
        <f>IFERROR(__xludf.DUMMYFUNCTION("""COMPUTED_VALUE"""),"CS Career Kaizen (元Microsoft現シリバレエンジニア)")</f>
        <v>CS Career Kaizen (元Microsoft現シリバレエンジニア)</v>
      </c>
      <c r="I174" t="str">
        <f>IFERROR(__xludf.DUMMYFUNCTION("""COMPUTED_VALUE"""),"Instructor Request- Revenue")</f>
        <v>Instructor Request- Revenue</v>
      </c>
      <c r="J174" t="b">
        <f>IFERROR(__xludf.DUMMYFUNCTION("""COMPUTED_VALUE"""),FALSE)</f>
        <v>0</v>
      </c>
      <c r="K174" s="142" t="str">
        <f>IFERROR(__xludf.DUMMYFUNCTION("""COMPUTED_VALUE"""),"Cloud Computing")</f>
        <v>Cloud Computing</v>
      </c>
      <c r="L174" s="142" t="str">
        <f>IFERROR(__xludf.DUMMYFUNCTION("""COMPUTED_VALUE"""),"Cloud Development")</f>
        <v>Cloud Development</v>
      </c>
      <c r="M174" s="140">
        <f>IFERROR(__xludf.DUMMYFUNCTION("""COMPUTED_VALUE"""),3747522.0)</f>
        <v>3747522</v>
      </c>
      <c r="N174" s="140" t="str">
        <f>IFERROR(__xludf.DUMMYFUNCTION("""COMPUTED_VALUE"""),"AWS と Terraformで実現するInfrastructure as Code")</f>
        <v>AWS と Terraformで実現するInfrastructure as Code</v>
      </c>
      <c r="P174" s="140" t="str">
        <f>IFERROR(__xludf.DUMMYFUNCTION("""COMPUTED_VALUE"""),"")</f>
        <v/>
      </c>
    </row>
    <row r="175">
      <c r="A175" s="143">
        <f>IFERROR(__xludf.DUMMYFUNCTION("""COMPUTED_VALUE"""),44567.0)</f>
        <v>44567</v>
      </c>
      <c r="B175" s="143">
        <f>IFERROR(__xludf.DUMMYFUNCTION("""COMPUTED_VALUE"""),44771.0)</f>
        <v>44771</v>
      </c>
      <c r="C175" s="140" t="str">
        <f>IFERROR(__xludf.DUMMYFUNCTION("""COMPUTED_VALUE"""),"pt")</f>
        <v>pt</v>
      </c>
      <c r="D175">
        <f>IFERROR(__xludf.DUMMYFUNCTION("""COMPUTED_VALUE"""),1922324.0)</f>
        <v>1922324</v>
      </c>
      <c r="E175" t="str">
        <f>IFERROR(__xludf.DUMMYFUNCTION("""COMPUTED_VALUE"""),"Curso Completo de Bootstrap 4 + jQuery com 6 Projetos reais")</f>
        <v>Curso Completo de Bootstrap 4 + jQuery com 6 Projetos reais</v>
      </c>
      <c r="F175" t="str">
        <f>IFERROR(__xludf.DUMMYFUNCTION("""COMPUTED_VALUE"""),"Full Bootstrap 4 + JQuery Course with 6 Real Projects")</f>
        <v>Full Bootstrap 4 + JQuery Course with 6 Real Projects</v>
      </c>
      <c r="G175">
        <f>IFERROR(__xludf.DUMMYFUNCTION("""COMPUTED_VALUE"""),3.3058682E7)</f>
        <v>33058682</v>
      </c>
      <c r="H175" t="str">
        <f>IFERROR(__xludf.DUMMYFUNCTION("""COMPUTED_VALUE"""),"Daniel Tapias Morales")</f>
        <v>Daniel Tapias Morales</v>
      </c>
      <c r="I175" t="str">
        <f>IFERROR(__xludf.DUMMYFUNCTION("""COMPUTED_VALUE"""),"Instructor Request- Opted Out")</f>
        <v>Instructor Request- Opted Out</v>
      </c>
      <c r="J175" t="b">
        <f>IFERROR(__xludf.DUMMYFUNCTION("""COMPUTED_VALUE"""),FALSE)</f>
        <v>0</v>
      </c>
      <c r="K175" s="142" t="str">
        <f>IFERROR(__xludf.DUMMYFUNCTION("""COMPUTED_VALUE"""),"Development")</f>
        <v>Development</v>
      </c>
      <c r="L175" s="142" t="str">
        <f>IFERROR(__xludf.DUMMYFUNCTION("""COMPUTED_VALUE"""),"Web Development")</f>
        <v>Web Development</v>
      </c>
      <c r="N175" s="140" t="str">
        <f>IFERROR(__xludf.DUMMYFUNCTION("""COMPUTED_VALUE"""),"")</f>
        <v/>
      </c>
      <c r="P175" s="140" t="str">
        <f>IFERROR(__xludf.DUMMYFUNCTION("""COMPUTED_VALUE"""),"")</f>
        <v/>
      </c>
    </row>
    <row r="176">
      <c r="A176" s="143">
        <f>IFERROR(__xludf.DUMMYFUNCTION("""COMPUTED_VALUE"""),44581.0)</f>
        <v>44581</v>
      </c>
      <c r="B176" s="143">
        <f>IFERROR(__xludf.DUMMYFUNCTION("""COMPUTED_VALUE"""),44771.0)</f>
        <v>44771</v>
      </c>
      <c r="C176" s="140" t="str">
        <f>IFERROR(__xludf.DUMMYFUNCTION("""COMPUTED_VALUE"""),"en")</f>
        <v>en</v>
      </c>
      <c r="D176">
        <f>IFERROR(__xludf.DUMMYFUNCTION("""COMPUTED_VALUE"""),3370416.0)</f>
        <v>3370416</v>
      </c>
      <c r="E176" t="str">
        <f>IFERROR(__xludf.DUMMYFUNCTION("""COMPUTED_VALUE"""),"Tokenisation and Encryption in Digital Payments, FinTech")</f>
        <v>Tokenisation and Encryption in Digital Payments, FinTech</v>
      </c>
      <c r="F176" t="str">
        <f>IFERROR(__xludf.DUMMYFUNCTION("""COMPUTED_VALUE"""),"Tokenisation and Encryption in Digital Payments, FinTech")</f>
        <v>Tokenisation and Encryption in Digital Payments, FinTech</v>
      </c>
      <c r="G176">
        <f>IFERROR(__xludf.DUMMYFUNCTION("""COMPUTED_VALUE"""),3.0628562E7)</f>
        <v>30628562</v>
      </c>
      <c r="H176" t="str">
        <f>IFERROR(__xludf.DUMMYFUNCTION("""COMPUTED_VALUE"""),"Global FinTech Academy")</f>
        <v>Global FinTech Academy</v>
      </c>
      <c r="I176" t="str">
        <f>IFERROR(__xludf.DUMMYFUNCTION("""COMPUTED_VALUE"""),"Instructor Request- Opted Out")</f>
        <v>Instructor Request- Opted Out</v>
      </c>
      <c r="J176" t="b">
        <f>IFERROR(__xludf.DUMMYFUNCTION("""COMPUTED_VALUE"""),FALSE)</f>
        <v>0</v>
      </c>
      <c r="K176" s="142" t="str">
        <f>IFERROR(__xludf.DUMMYFUNCTION("""COMPUTED_VALUE"""),"IT Operations")</f>
        <v>IT Operations</v>
      </c>
      <c r="L176" s="142" t="str">
        <f>IFERROR(__xludf.DUMMYFUNCTION("""COMPUTED_VALUE"""),"Network &amp; Security")</f>
        <v>Network &amp; Security</v>
      </c>
      <c r="N176" s="140" t="str">
        <f>IFERROR(__xludf.DUMMYFUNCTION("""COMPUTED_VALUE"""),"")</f>
        <v/>
      </c>
      <c r="P176" s="140" t="str">
        <f>IFERROR(__xludf.DUMMYFUNCTION("""COMPUTED_VALUE"""),"")</f>
        <v/>
      </c>
    </row>
    <row r="177">
      <c r="A177" s="143">
        <f>IFERROR(__xludf.DUMMYFUNCTION("""COMPUTED_VALUE"""),44587.0)</f>
        <v>44587</v>
      </c>
      <c r="B177" s="143">
        <f>IFERROR(__xludf.DUMMYFUNCTION("""COMPUTED_VALUE"""),44771.0)</f>
        <v>44771</v>
      </c>
      <c r="C177" s="140" t="str">
        <f>IFERROR(__xludf.DUMMYFUNCTION("""COMPUTED_VALUE"""),"en")</f>
        <v>en</v>
      </c>
      <c r="D177">
        <f>IFERROR(__xludf.DUMMYFUNCTION("""COMPUTED_VALUE"""),1791750.0)</f>
        <v>1791750</v>
      </c>
      <c r="E177" t="str">
        <f>IFERROR(__xludf.DUMMYFUNCTION("""COMPUTED_VALUE"""),"How to Make Professional 2D Animation Videos in Vyond")</f>
        <v>How to Make Professional 2D Animation Videos in Vyond</v>
      </c>
      <c r="F177" t="str">
        <f>IFERROR(__xludf.DUMMYFUNCTION("""COMPUTED_VALUE"""),"How to Make Professional 2D Animation Videos in Vyond")</f>
        <v>How to Make Professional 2D Animation Videos in Vyond</v>
      </c>
      <c r="G177">
        <f>IFERROR(__xludf.DUMMYFUNCTION("""COMPUTED_VALUE"""),1.0032762E7)</f>
        <v>10032762</v>
      </c>
      <c r="H177" t="str">
        <f>IFERROR(__xludf.DUMMYFUNCTION("""COMPUTED_VALUE"""),"Rued C. Riis")</f>
        <v>Rued C. Riis</v>
      </c>
      <c r="I177" t="str">
        <f>IFERROR(__xludf.DUMMYFUNCTION("""COMPUTED_VALUE"""),"Instructor Request- Opted Out")</f>
        <v>Instructor Request- Opted Out</v>
      </c>
      <c r="J177" t="b">
        <f>IFERROR(__xludf.DUMMYFUNCTION("""COMPUTED_VALUE"""),FALSE)</f>
        <v>0</v>
      </c>
      <c r="K177" s="142" t="str">
        <f>IFERROR(__xludf.DUMMYFUNCTION("""COMPUTED_VALUE"""),"Design")</f>
        <v>Design</v>
      </c>
      <c r="L177" s="142" t="str">
        <f>IFERROR(__xludf.DUMMYFUNCTION("""COMPUTED_VALUE"""),"3D &amp; Animation")</f>
        <v>3D &amp; Animation</v>
      </c>
      <c r="N177" s="140" t="str">
        <f>IFERROR(__xludf.DUMMYFUNCTION("""COMPUTED_VALUE"""),"")</f>
        <v/>
      </c>
      <c r="P177" s="140" t="str">
        <f>IFERROR(__xludf.DUMMYFUNCTION("""COMPUTED_VALUE"""),"")</f>
        <v/>
      </c>
    </row>
    <row r="178">
      <c r="A178" s="143">
        <f>IFERROR(__xludf.DUMMYFUNCTION("""COMPUTED_VALUE"""),44587.0)</f>
        <v>44587</v>
      </c>
      <c r="B178" s="143">
        <f>IFERROR(__xludf.DUMMYFUNCTION("""COMPUTED_VALUE"""),44771.0)</f>
        <v>44771</v>
      </c>
      <c r="C178" t="str">
        <f>IFERROR(__xludf.DUMMYFUNCTION("""COMPUTED_VALUE"""),"en")</f>
        <v>en</v>
      </c>
      <c r="D178">
        <f>IFERROR(__xludf.DUMMYFUNCTION("""COMPUTED_VALUE"""),1638736.0)</f>
        <v>1638736</v>
      </c>
      <c r="E178" t="str">
        <f>IFERROR(__xludf.DUMMYFUNCTION("""COMPUTED_VALUE"""),"Understanding and Troubleshooting SIP")</f>
        <v>Understanding and Troubleshooting SIP</v>
      </c>
      <c r="F178" t="str">
        <f>IFERROR(__xludf.DUMMYFUNCTION("""COMPUTED_VALUE"""),"Understanding and Troubleshooting SIP")</f>
        <v>Understanding and Troubleshooting SIP</v>
      </c>
      <c r="G178">
        <f>IFERROR(__xludf.DUMMYFUNCTION("""COMPUTED_VALUE"""),2.3860018E7)</f>
        <v>23860018</v>
      </c>
      <c r="H178" t="str">
        <f>IFERROR(__xludf.DUMMYFUNCTION("""COMPUTED_VALUE"""),"Flavio E. Goncalves")</f>
        <v>Flavio E. Goncalves</v>
      </c>
      <c r="I178" t="str">
        <f>IFERROR(__xludf.DUMMYFUNCTION("""COMPUTED_VALUE"""),"Instructor Request- Opted Out")</f>
        <v>Instructor Request- Opted Out</v>
      </c>
      <c r="J178" t="str">
        <f>IFERROR(__xludf.DUMMYFUNCTION("""COMPUTED_VALUE"""),"#N/A")</f>
        <v>#N/A</v>
      </c>
      <c r="K178" s="142" t="str">
        <f>IFERROR(__xludf.DUMMYFUNCTION("""COMPUTED_VALUE"""),"Development")</f>
        <v>Development</v>
      </c>
      <c r="L178" s="142" t="str">
        <f>IFERROR(__xludf.DUMMYFUNCTION("""COMPUTED_VALUE"""),"Programming Languages")</f>
        <v>Programming Languages</v>
      </c>
      <c r="N178" s="140" t="str">
        <f>IFERROR(__xludf.DUMMYFUNCTION("""COMPUTED_VALUE"""),"")</f>
        <v/>
      </c>
      <c r="P178" s="140" t="str">
        <f>IFERROR(__xludf.DUMMYFUNCTION("""COMPUTED_VALUE"""),"")</f>
        <v/>
      </c>
    </row>
    <row r="179">
      <c r="A179" s="143">
        <f>IFERROR(__xludf.DUMMYFUNCTION("""COMPUTED_VALUE"""),44587.0)</f>
        <v>44587</v>
      </c>
      <c r="B179" s="143">
        <f>IFERROR(__xludf.DUMMYFUNCTION("""COMPUTED_VALUE"""),44771.0)</f>
        <v>44771</v>
      </c>
      <c r="C179" s="140" t="str">
        <f>IFERROR(__xludf.DUMMYFUNCTION("""COMPUTED_VALUE"""),"ko")</f>
        <v>ko</v>
      </c>
      <c r="D179">
        <f>IFERROR(__xludf.DUMMYFUNCTION("""COMPUTED_VALUE"""),4279180.0)</f>
        <v>4279180</v>
      </c>
      <c r="E179" t="str">
        <f>IFERROR(__xludf.DUMMYFUNCTION("""COMPUTED_VALUE"""),"영어 발음 디톡스 - 리스닝과 스피킹 동시에 해결하는 영어 발음 강의")</f>
        <v>영어 발음 디톡스 - 리스닝과 스피킹 동시에 해결하는 영어 발음 강의</v>
      </c>
      <c r="F179" t="str">
        <f>IFERROR(__xludf.DUMMYFUNCTION("""COMPUTED_VALUE"""),"English pronunciation Detox - Listening and speaking English pronunciation for simultaneous English pronunciation")</f>
        <v>English pronunciation Detox - Listening and speaking English pronunciation for simultaneous English pronunciation</v>
      </c>
      <c r="G179">
        <f>IFERROR(__xludf.DUMMYFUNCTION("""COMPUTED_VALUE"""),1.7079099E8)</f>
        <v>170790990</v>
      </c>
      <c r="H179" t="str">
        <f>IFERROR(__xludf.DUMMYFUNCTION("""COMPUTED_VALUE"""),"황규 유")</f>
        <v>황규 유</v>
      </c>
      <c r="I179" t="str">
        <f>IFERROR(__xludf.DUMMYFUNCTION("""COMPUTED_VALUE"""),"Instructor Request- Opted Out")</f>
        <v>Instructor Request- Opted Out</v>
      </c>
      <c r="J179" t="b">
        <f>IFERROR(__xludf.DUMMYFUNCTION("""COMPUTED_VALUE"""),FALSE)</f>
        <v>0</v>
      </c>
      <c r="K179" s="142" t="str">
        <f>IFERROR(__xludf.DUMMYFUNCTION("""COMPUTED_VALUE"""),"Personal Development")</f>
        <v>Personal Development</v>
      </c>
      <c r="L179" s="142" t="str">
        <f>IFERROR(__xludf.DUMMYFUNCTION("""COMPUTED_VALUE"""),"Language Learning")</f>
        <v>Language Learning</v>
      </c>
      <c r="N179" s="140" t="str">
        <f>IFERROR(__xludf.DUMMYFUNCTION("""COMPUTED_VALUE"""),"")</f>
        <v/>
      </c>
      <c r="P179" s="140" t="str">
        <f>IFERROR(__xludf.DUMMYFUNCTION("""COMPUTED_VALUE"""),"")</f>
        <v/>
      </c>
    </row>
    <row r="180">
      <c r="A180" s="143">
        <f>IFERROR(__xludf.DUMMYFUNCTION("""COMPUTED_VALUE"""),44587.0)</f>
        <v>44587</v>
      </c>
      <c r="B180" s="143">
        <f>IFERROR(__xludf.DUMMYFUNCTION("""COMPUTED_VALUE"""),44771.0)</f>
        <v>44771</v>
      </c>
      <c r="C180" t="str">
        <f>IFERROR(__xludf.DUMMYFUNCTION("""COMPUTED_VALUE"""),"de")</f>
        <v>de</v>
      </c>
      <c r="D180">
        <f>IFERROR(__xludf.DUMMYFUNCTION("""COMPUTED_VALUE"""),4271162.0)</f>
        <v>4271162</v>
      </c>
      <c r="E180" t="str">
        <f>IFERROR(__xludf.DUMMYFUNCTION("""COMPUTED_VALUE"""),"Der komplette C Kurs - Programmieren lernen von Anfang an")</f>
        <v>Der komplette C Kurs - Programmieren lernen von Anfang an</v>
      </c>
      <c r="F180" t="str">
        <f>IFERROR(__xludf.DUMMYFUNCTION("""COMPUTED_VALUE"""),"The complete C course - programming learning from the beginning")</f>
        <v>The complete C course - programming learning from the beginning</v>
      </c>
      <c r="G180">
        <f>IFERROR(__xludf.DUMMYFUNCTION("""COMPUTED_VALUE"""),2.2447634E7)</f>
        <v>22447634</v>
      </c>
      <c r="H180" t="str">
        <f>IFERROR(__xludf.DUMMYFUNCTION("""COMPUTED_VALUE"""),"Jannick Leismann")</f>
        <v>Jannick Leismann</v>
      </c>
      <c r="I180" t="str">
        <f>IFERROR(__xludf.DUMMYFUNCTION("""COMPUTED_VALUE"""),"Instructor Request- Opted Out")</f>
        <v>Instructor Request- Opted Out</v>
      </c>
      <c r="J180" t="str">
        <f>IFERROR(__xludf.DUMMYFUNCTION("""COMPUTED_VALUE"""),"#N/A")</f>
        <v>#N/A</v>
      </c>
      <c r="K180" s="142" t="str">
        <f>IFERROR(__xludf.DUMMYFUNCTION("""COMPUTED_VALUE"""),"Development")</f>
        <v>Development</v>
      </c>
      <c r="L180" s="142" t="str">
        <f>IFERROR(__xludf.DUMMYFUNCTION("""COMPUTED_VALUE"""),"Programming Languages")</f>
        <v>Programming Languages</v>
      </c>
      <c r="N180" s="140" t="str">
        <f>IFERROR(__xludf.DUMMYFUNCTION("""COMPUTED_VALUE"""),"")</f>
        <v/>
      </c>
      <c r="P180" s="140" t="str">
        <f>IFERROR(__xludf.DUMMYFUNCTION("""COMPUTED_VALUE"""),"")</f>
        <v/>
      </c>
    </row>
    <row r="181">
      <c r="A181" s="143">
        <f>IFERROR(__xludf.DUMMYFUNCTION("""COMPUTED_VALUE"""),44587.0)</f>
        <v>44587</v>
      </c>
      <c r="B181" s="143">
        <f>IFERROR(__xludf.DUMMYFUNCTION("""COMPUTED_VALUE"""),44771.0)</f>
        <v>44771</v>
      </c>
      <c r="C181" t="str">
        <f>IFERROR(__xludf.DUMMYFUNCTION("""COMPUTED_VALUE"""),"de")</f>
        <v>de</v>
      </c>
      <c r="D181">
        <f>IFERROR(__xludf.DUMMYFUNCTION("""COMPUTED_VALUE"""),4170016.0)</f>
        <v>4170016</v>
      </c>
      <c r="E181" t="str">
        <f>IFERROR(__xludf.DUMMYFUNCTION("""COMPUTED_VALUE"""),"ASP.NET Core Intensivkurs - C# Anwendungen und WebAPIs")</f>
        <v>ASP.NET Core Intensivkurs - C# Anwendungen und WebAPIs</v>
      </c>
      <c r="F181" t="str">
        <f>IFERROR(__xludf.DUMMYFUNCTION("""COMPUTED_VALUE"""),"ASP.Net Core Intensive Course - C # Applications and WebApis")</f>
        <v>ASP.Net Core Intensive Course - C # Applications and WebApis</v>
      </c>
      <c r="G181">
        <f>IFERROR(__xludf.DUMMYFUNCTION("""COMPUTED_VALUE"""),2.2447634E7)</f>
        <v>22447634</v>
      </c>
      <c r="H181" t="str">
        <f>IFERROR(__xludf.DUMMYFUNCTION("""COMPUTED_VALUE"""),"Jannick Leismann")</f>
        <v>Jannick Leismann</v>
      </c>
      <c r="I181" t="str">
        <f>IFERROR(__xludf.DUMMYFUNCTION("""COMPUTED_VALUE"""),"Instructor Request- Opted Out")</f>
        <v>Instructor Request- Opted Out</v>
      </c>
      <c r="J181" t="b">
        <f>IFERROR(__xludf.DUMMYFUNCTION("""COMPUTED_VALUE"""),FALSE)</f>
        <v>0</v>
      </c>
      <c r="K181" s="142" t="str">
        <f>IFERROR(__xludf.DUMMYFUNCTION("""COMPUTED_VALUE"""),"Development")</f>
        <v>Development</v>
      </c>
      <c r="L181" s="142" t="str">
        <f>IFERROR(__xludf.DUMMYFUNCTION("""COMPUTED_VALUE"""),"Programming Languages")</f>
        <v>Programming Languages</v>
      </c>
      <c r="N181" s="140" t="str">
        <f>IFERROR(__xludf.DUMMYFUNCTION("""COMPUTED_VALUE"""),"")</f>
        <v/>
      </c>
      <c r="P181" s="140" t="str">
        <f>IFERROR(__xludf.DUMMYFUNCTION("""COMPUTED_VALUE"""),"")</f>
        <v/>
      </c>
    </row>
    <row r="182">
      <c r="A182" s="143">
        <f>IFERROR(__xludf.DUMMYFUNCTION("""COMPUTED_VALUE"""),44587.0)</f>
        <v>44587</v>
      </c>
      <c r="B182" s="143">
        <f>IFERROR(__xludf.DUMMYFUNCTION("""COMPUTED_VALUE"""),44771.0)</f>
        <v>44771</v>
      </c>
      <c r="C182" s="140" t="str">
        <f>IFERROR(__xludf.DUMMYFUNCTION("""COMPUTED_VALUE"""),"de")</f>
        <v>de</v>
      </c>
      <c r="D182">
        <f>IFERROR(__xludf.DUMMYFUNCTION("""COMPUTED_VALUE"""),4186244.0)</f>
        <v>4186244</v>
      </c>
      <c r="E182" t="str">
        <f>IFERROR(__xludf.DUMMYFUNCTION("""COMPUTED_VALUE"""),"Der Angular 11 Crashkurs - Frontend Entwicklung für Anfänger")</f>
        <v>Der Angular 11 Crashkurs - Frontend Entwicklung für Anfänger</v>
      </c>
      <c r="F182" t="str">
        <f>IFERROR(__xludf.DUMMYFUNCTION("""COMPUTED_VALUE"""),"The Angular 11 Crash Course - Frontend Development for Beginners")</f>
        <v>The Angular 11 Crash Course - Frontend Development for Beginners</v>
      </c>
      <c r="G182">
        <f>IFERROR(__xludf.DUMMYFUNCTION("""COMPUTED_VALUE"""),2.2447634E7)</f>
        <v>22447634</v>
      </c>
      <c r="H182" t="str">
        <f>IFERROR(__xludf.DUMMYFUNCTION("""COMPUTED_VALUE"""),"Jannick Leismann")</f>
        <v>Jannick Leismann</v>
      </c>
      <c r="I182" t="str">
        <f>IFERROR(__xludf.DUMMYFUNCTION("""COMPUTED_VALUE"""),"Instructor Request- Opted Out")</f>
        <v>Instructor Request- Opted Out</v>
      </c>
      <c r="J182" t="b">
        <f>IFERROR(__xludf.DUMMYFUNCTION("""COMPUTED_VALUE"""),FALSE)</f>
        <v>0</v>
      </c>
      <c r="K182" s="142" t="str">
        <f>IFERROR(__xludf.DUMMYFUNCTION("""COMPUTED_VALUE"""),"Development")</f>
        <v>Development</v>
      </c>
      <c r="L182" s="142" t="str">
        <f>IFERROR(__xludf.DUMMYFUNCTION("""COMPUTED_VALUE"""),"Web Development")</f>
        <v>Web Development</v>
      </c>
      <c r="N182" s="140" t="str">
        <f>IFERROR(__xludf.DUMMYFUNCTION("""COMPUTED_VALUE"""),"")</f>
        <v/>
      </c>
      <c r="P182" s="140" t="str">
        <f>IFERROR(__xludf.DUMMYFUNCTION("""COMPUTED_VALUE"""),"")</f>
        <v/>
      </c>
    </row>
    <row r="183">
      <c r="A183" s="143">
        <f>IFERROR(__xludf.DUMMYFUNCTION("""COMPUTED_VALUE"""),44587.0)</f>
        <v>44587</v>
      </c>
      <c r="B183" s="143">
        <f>IFERROR(__xludf.DUMMYFUNCTION("""COMPUTED_VALUE"""),44771.0)</f>
        <v>44771</v>
      </c>
      <c r="C183" t="str">
        <f>IFERROR(__xludf.DUMMYFUNCTION("""COMPUTED_VALUE"""),"de")</f>
        <v>de</v>
      </c>
      <c r="D183">
        <f>IFERROR(__xludf.DUMMYFUNCTION("""COMPUTED_VALUE"""),4336568.0)</f>
        <v>4336568</v>
      </c>
      <c r="E183" t="str">
        <f>IFERROR(__xludf.DUMMYFUNCTION("""COMPUTED_VALUE"""),"Das komplette Python Bootcamp 2021 - von 0 auf 100 in Python")</f>
        <v>Das komplette Python Bootcamp 2021 - von 0 auf 100 in Python</v>
      </c>
      <c r="F183" t="str">
        <f>IFERROR(__xludf.DUMMYFUNCTION("""COMPUTED_VALUE"""),"The complete Python Bootcamp 2021 - from 0 to 100 in Python")</f>
        <v>The complete Python Bootcamp 2021 - from 0 to 100 in Python</v>
      </c>
      <c r="G183">
        <f>IFERROR(__xludf.DUMMYFUNCTION("""COMPUTED_VALUE"""),2.2447634E7)</f>
        <v>22447634</v>
      </c>
      <c r="H183" t="str">
        <f>IFERROR(__xludf.DUMMYFUNCTION("""COMPUTED_VALUE"""),"#N/A")</f>
        <v>#N/A</v>
      </c>
      <c r="I183" t="str">
        <f>IFERROR(__xludf.DUMMYFUNCTION("""COMPUTED_VALUE"""),"Instructor Request- Opted Out")</f>
        <v>Instructor Request- Opted Out</v>
      </c>
      <c r="J183" t="str">
        <f>IFERROR(__xludf.DUMMYFUNCTION("""COMPUTED_VALUE"""),"#N/A")</f>
        <v>#N/A</v>
      </c>
      <c r="K183" s="142" t="str">
        <f>IFERROR(__xludf.DUMMYFUNCTION("""COMPUTED_VALUE"""),"Development")</f>
        <v>Development</v>
      </c>
      <c r="L183" s="142" t="str">
        <f>IFERROR(__xludf.DUMMYFUNCTION("""COMPUTED_VALUE"""),"Programming Languages")</f>
        <v>Programming Languages</v>
      </c>
      <c r="N183" s="140" t="str">
        <f>IFERROR(__xludf.DUMMYFUNCTION("""COMPUTED_VALUE"""),"")</f>
        <v/>
      </c>
      <c r="P183" s="140" t="str">
        <f>IFERROR(__xludf.DUMMYFUNCTION("""COMPUTED_VALUE"""),"")</f>
        <v/>
      </c>
    </row>
    <row r="184">
      <c r="A184" s="143">
        <f>IFERROR(__xludf.DUMMYFUNCTION("""COMPUTED_VALUE"""),44587.0)</f>
        <v>44587</v>
      </c>
      <c r="B184" s="143">
        <f>IFERROR(__xludf.DUMMYFUNCTION("""COMPUTED_VALUE"""),44771.0)</f>
        <v>44771</v>
      </c>
      <c r="C184" s="140" t="str">
        <f>IFERROR(__xludf.DUMMYFUNCTION("""COMPUTED_VALUE"""),"fr")</f>
        <v>fr</v>
      </c>
      <c r="D184">
        <f>IFERROR(__xludf.DUMMYFUNCTION("""COMPUTED_VALUE"""),2892470.0)</f>
        <v>2892470</v>
      </c>
      <c r="E184" t="str">
        <f>IFERROR(__xludf.DUMMYFUNCTION("""COMPUTED_VALUE"""),"Conduite agile du changement : accompagner vos projets")</f>
        <v>Conduite agile du changement : accompagner vos projets</v>
      </c>
      <c r="F184" t="str">
        <f>IFERROR(__xludf.DUMMYFUNCTION("""COMPUTED_VALUE"""),"Agile change of change: accompany your projects")</f>
        <v>Agile change of change: accompany your projects</v>
      </c>
      <c r="G184">
        <f>IFERROR(__xludf.DUMMYFUNCTION("""COMPUTED_VALUE"""),2.825301E7)</f>
        <v>28253010</v>
      </c>
      <c r="H184" t="str">
        <f>IFERROR(__xludf.DUMMYFUNCTION("""COMPUTED_VALUE"""),"Pascal Lochert")</f>
        <v>Pascal Lochert</v>
      </c>
      <c r="I184" t="str">
        <f>IFERROR(__xludf.DUMMYFUNCTION("""COMPUTED_VALUE"""),"Instructor Request- Opted Out")</f>
        <v>Instructor Request- Opted Out</v>
      </c>
      <c r="J184" t="b">
        <f>IFERROR(__xludf.DUMMYFUNCTION("""COMPUTED_VALUE"""),FALSE)</f>
        <v>0</v>
      </c>
      <c r="K184" s="142" t="str">
        <f>IFERROR(__xludf.DUMMYFUNCTION("""COMPUTED_VALUE"""),"Leadership &amp; Management")</f>
        <v>Leadership &amp; Management</v>
      </c>
      <c r="L184" s="142" t="str">
        <f>IFERROR(__xludf.DUMMYFUNCTION("""COMPUTED_VALUE"""),"Management")</f>
        <v>Management</v>
      </c>
      <c r="N184" s="140" t="str">
        <f>IFERROR(__xludf.DUMMYFUNCTION("""COMPUTED_VALUE"""),"")</f>
        <v/>
      </c>
      <c r="P184" s="140" t="str">
        <f>IFERROR(__xludf.DUMMYFUNCTION("""COMPUTED_VALUE"""),"")</f>
        <v/>
      </c>
    </row>
    <row r="185">
      <c r="A185" s="143">
        <f>IFERROR(__xludf.DUMMYFUNCTION("""COMPUTED_VALUE"""),44587.0)</f>
        <v>44587</v>
      </c>
      <c r="B185" s="143">
        <f>IFERROR(__xludf.DUMMYFUNCTION("""COMPUTED_VALUE"""),44771.0)</f>
        <v>44771</v>
      </c>
      <c r="C185" s="140" t="str">
        <f>IFERROR(__xludf.DUMMYFUNCTION("""COMPUTED_VALUE"""),"fr")</f>
        <v>fr</v>
      </c>
      <c r="D185">
        <f>IFERROR(__xludf.DUMMYFUNCTION("""COMPUTED_VALUE"""),2683004.0)</f>
        <v>2683004</v>
      </c>
      <c r="E185" t="str">
        <f>IFERROR(__xludf.DUMMYFUNCTION("""COMPUTED_VALUE"""),"Stratégie de prises de décisions : les succès de vos projets")</f>
        <v>Stratégie de prises de décisions : les succès de vos projets</v>
      </c>
      <c r="F185" t="str">
        <f>IFERROR(__xludf.DUMMYFUNCTION("""COMPUTED_VALUE"""),"Decision Making Strategy: The Success of Your Projects")</f>
        <v>Decision Making Strategy: The Success of Your Projects</v>
      </c>
      <c r="G185">
        <f>IFERROR(__xludf.DUMMYFUNCTION("""COMPUTED_VALUE"""),3.3560908E7)</f>
        <v>33560908</v>
      </c>
      <c r="H185" t="str">
        <f>IFERROR(__xludf.DUMMYFUNCTION("""COMPUTED_VALUE"""),"Pascal Lochert")</f>
        <v>Pascal Lochert</v>
      </c>
      <c r="I185" t="str">
        <f>IFERROR(__xludf.DUMMYFUNCTION("""COMPUTED_VALUE"""),"Instructor Request- Opted Out")</f>
        <v>Instructor Request- Opted Out</v>
      </c>
      <c r="J185" t="b">
        <f>IFERROR(__xludf.DUMMYFUNCTION("""COMPUTED_VALUE"""),FALSE)</f>
        <v>0</v>
      </c>
      <c r="K185" s="142" t="str">
        <f>IFERROR(__xludf.DUMMYFUNCTION("""COMPUTED_VALUE"""),"Leadership &amp; Management")</f>
        <v>Leadership &amp; Management</v>
      </c>
      <c r="L185" s="142" t="str">
        <f>IFERROR(__xludf.DUMMYFUNCTION("""COMPUTED_VALUE"""),"Management")</f>
        <v>Management</v>
      </c>
      <c r="N185" s="140" t="str">
        <f>IFERROR(__xludf.DUMMYFUNCTION("""COMPUTED_VALUE"""),"")</f>
        <v/>
      </c>
      <c r="P185" s="140" t="str">
        <f>IFERROR(__xludf.DUMMYFUNCTION("""COMPUTED_VALUE"""),"")</f>
        <v/>
      </c>
    </row>
    <row r="186">
      <c r="A186" s="143">
        <f>IFERROR(__xludf.DUMMYFUNCTION("""COMPUTED_VALUE"""),44587.0)</f>
        <v>44587</v>
      </c>
      <c r="B186" s="143">
        <f>IFERROR(__xludf.DUMMYFUNCTION("""COMPUTED_VALUE"""),44771.0)</f>
        <v>44771</v>
      </c>
      <c r="C186" s="140" t="str">
        <f>IFERROR(__xludf.DUMMYFUNCTION("""COMPUTED_VALUE"""),"fr")</f>
        <v>fr</v>
      </c>
      <c r="D186">
        <f>IFERROR(__xludf.DUMMYFUNCTION("""COMPUTED_VALUE"""),2546989.0)</f>
        <v>2546989</v>
      </c>
      <c r="E186" t="str">
        <f>IFERROR(__xludf.DUMMYFUNCTION("""COMPUTED_VALUE"""),"JAVA Performance : étude de cas concrets")</f>
        <v>JAVA Performance : étude de cas concrets</v>
      </c>
      <c r="F186" t="str">
        <f>IFERROR(__xludf.DUMMYFUNCTION("""COMPUTED_VALUE"""),"Java Performance: concrete case study")</f>
        <v>Java Performance: concrete case study</v>
      </c>
      <c r="G186">
        <f>IFERROR(__xludf.DUMMYFUNCTION("""COMPUTED_VALUE"""),1.0032762E7)</f>
        <v>10032762</v>
      </c>
      <c r="H186" t="str">
        <f>IFERROR(__xludf.DUMMYFUNCTION("""COMPUTED_VALUE"""),"HAMLAT Ameziane")</f>
        <v>HAMLAT Ameziane</v>
      </c>
      <c r="I186" t="str">
        <f>IFERROR(__xludf.DUMMYFUNCTION("""COMPUTED_VALUE"""),"Instructor Request- Opted Out")</f>
        <v>Instructor Request- Opted Out</v>
      </c>
      <c r="J186" t="b">
        <f>IFERROR(__xludf.DUMMYFUNCTION("""COMPUTED_VALUE"""),FALSE)</f>
        <v>0</v>
      </c>
      <c r="K186" s="142" t="str">
        <f>IFERROR(__xludf.DUMMYFUNCTION("""COMPUTED_VALUE"""),"Development")</f>
        <v>Development</v>
      </c>
      <c r="L186" s="142" t="str">
        <f>IFERROR(__xludf.DUMMYFUNCTION("""COMPUTED_VALUE"""),"Programming Languages")</f>
        <v>Programming Languages</v>
      </c>
      <c r="N186" s="140" t="str">
        <f>IFERROR(__xludf.DUMMYFUNCTION("""COMPUTED_VALUE"""),"")</f>
        <v/>
      </c>
    </row>
    <row r="187">
      <c r="A187" s="143">
        <f>IFERROR(__xludf.DUMMYFUNCTION("""COMPUTED_VALUE"""),44587.0)</f>
        <v>44587</v>
      </c>
      <c r="B187" s="143">
        <f>IFERROR(__xludf.DUMMYFUNCTION("""COMPUTED_VALUE"""),44771.0)</f>
        <v>44771</v>
      </c>
      <c r="C187" s="140" t="str">
        <f>IFERROR(__xludf.DUMMYFUNCTION("""COMPUTED_VALUE"""),"fr")</f>
        <v>fr</v>
      </c>
      <c r="D187">
        <f>IFERROR(__xludf.DUMMYFUNCTION("""COMPUTED_VALUE"""),2815411.0)</f>
        <v>2815411</v>
      </c>
      <c r="E187" t="str">
        <f>IFERROR(__xludf.DUMMYFUNCTION("""COMPUTED_VALUE"""),"Prévenir et désamorcer les conflits interpersonnels")</f>
        <v>Prévenir et désamorcer les conflits interpersonnels</v>
      </c>
      <c r="F187" t="str">
        <f>IFERROR(__xludf.DUMMYFUNCTION("""COMPUTED_VALUE"""),"Prevent and defuse interpersonal conflicts")</f>
        <v>Prevent and defuse interpersonal conflicts</v>
      </c>
      <c r="G187">
        <f>IFERROR(__xludf.DUMMYFUNCTION("""COMPUTED_VALUE"""),7199032.0)</f>
        <v>7199032</v>
      </c>
      <c r="H187" t="str">
        <f>IFERROR(__xludf.DUMMYFUNCTION("""COMPUTED_VALUE"""),"Leïla Hiret")</f>
        <v>Leïla Hiret</v>
      </c>
      <c r="I187" t="str">
        <f>IFERROR(__xludf.DUMMYFUNCTION("""COMPUTED_VALUE"""),"Instructor Request- Opted Out")</f>
        <v>Instructor Request- Opted Out</v>
      </c>
      <c r="J187" t="b">
        <f>IFERROR(__xludf.DUMMYFUNCTION("""COMPUTED_VALUE"""),FALSE)</f>
        <v>0</v>
      </c>
      <c r="K187" s="142" t="str">
        <f>IFERROR(__xludf.DUMMYFUNCTION("""COMPUTED_VALUE"""),"Leadership &amp; Management")</f>
        <v>Leadership &amp; Management</v>
      </c>
      <c r="L187" s="142" t="str">
        <f>IFERROR(__xludf.DUMMYFUNCTION("""COMPUTED_VALUE"""),"Communication")</f>
        <v>Communication</v>
      </c>
      <c r="N187" s="140" t="str">
        <f>IFERROR(__xludf.DUMMYFUNCTION("""COMPUTED_VALUE"""),"")</f>
        <v/>
      </c>
    </row>
    <row r="188">
      <c r="A188" s="143">
        <f>IFERROR(__xludf.DUMMYFUNCTION("""COMPUTED_VALUE"""),44594.0)</f>
        <v>44594</v>
      </c>
      <c r="B188" s="143">
        <f>IFERROR(__xludf.DUMMYFUNCTION("""COMPUTED_VALUE"""),44771.0)</f>
        <v>44771</v>
      </c>
      <c r="C188" s="140" t="str">
        <f>IFERROR(__xludf.DUMMYFUNCTION("""COMPUTED_VALUE"""),"es")</f>
        <v>es</v>
      </c>
      <c r="D188">
        <f>IFERROR(__xludf.DUMMYFUNCTION("""COMPUTED_VALUE"""),2767652.0)</f>
        <v>2767652</v>
      </c>
      <c r="E188" t="str">
        <f>IFERROR(__xludf.DUMMYFUNCTION("""COMPUTED_VALUE"""),"Tienda Online: NodeJS + MongoDB + Stripe + GraphQL - MEAN+G")</f>
        <v>Tienda Online: NodeJS + MongoDB + Stripe + GraphQL - MEAN+G</v>
      </c>
      <c r="F188" t="str">
        <f>IFERROR(__xludf.DUMMYFUNCTION("""COMPUTED_VALUE"""),"Tienda Online: NodeJS + MongoDB + Stripe + GraphQL - MEAN+G")</f>
        <v>Tienda Online: NodeJS + MongoDB + Stripe + GraphQL - MEAN+G</v>
      </c>
      <c r="G188">
        <f>IFERROR(__xludf.DUMMYFUNCTION("""COMPUTED_VALUE"""),3194958.0)</f>
        <v>3194958</v>
      </c>
      <c r="H188" t="str">
        <f>IFERROR(__xludf.DUMMYFUNCTION("""COMPUTED_VALUE"""),"Anartz Mugika Ledo")</f>
        <v>Anartz Mugika Ledo</v>
      </c>
      <c r="I188" t="str">
        <f>IFERROR(__xludf.DUMMYFUNCTION("""COMPUTED_VALUE"""),"Instructor Request- Opted Out")</f>
        <v>Instructor Request- Opted Out</v>
      </c>
      <c r="J188" t="b">
        <f>IFERROR(__xludf.DUMMYFUNCTION("""COMPUTED_VALUE"""),FALSE)</f>
        <v>0</v>
      </c>
      <c r="K188" s="142" t="str">
        <f>IFERROR(__xludf.DUMMYFUNCTION("""COMPUTED_VALUE"""),"Development")</f>
        <v>Development</v>
      </c>
      <c r="L188" s="142" t="str">
        <f>IFERROR(__xludf.DUMMYFUNCTION("""COMPUTED_VALUE"""),"Web Development")</f>
        <v>Web Development</v>
      </c>
      <c r="N188" s="140" t="str">
        <f>IFERROR(__xludf.DUMMYFUNCTION("""COMPUTED_VALUE"""),"")</f>
        <v/>
      </c>
    </row>
    <row r="189">
      <c r="A189" s="143">
        <f>IFERROR(__xludf.DUMMYFUNCTION("""COMPUTED_VALUE"""),44594.0)</f>
        <v>44594</v>
      </c>
      <c r="B189" s="143">
        <f>IFERROR(__xludf.DUMMYFUNCTION("""COMPUTED_VALUE"""),44771.0)</f>
        <v>44771</v>
      </c>
      <c r="C189" s="140" t="str">
        <f>IFERROR(__xludf.DUMMYFUNCTION("""COMPUTED_VALUE"""),"de")</f>
        <v>de</v>
      </c>
      <c r="D189">
        <f>IFERROR(__xludf.DUMMYFUNCTION("""COMPUTED_VALUE"""),1794822.0)</f>
        <v>1794822</v>
      </c>
      <c r="E189" t="str">
        <f>IFERROR(__xludf.DUMMYFUNCTION("""COMPUTED_VALUE"""),"Einfach Arbeitsrecht verstehen")</f>
        <v>Einfach Arbeitsrecht verstehen</v>
      </c>
      <c r="F189" t="str">
        <f>IFERROR(__xludf.DUMMYFUNCTION("""COMPUTED_VALUE"""),"Simply understand labor law")</f>
        <v>Simply understand labor law</v>
      </c>
      <c r="G189">
        <f>IFERROR(__xludf.DUMMYFUNCTION("""COMPUTED_VALUE"""),4.0723238E7)</f>
        <v>40723238</v>
      </c>
      <c r="H189" t="str">
        <f>IFERROR(__xludf.DUMMYFUNCTION("""COMPUTED_VALUE"""),"On Point")</f>
        <v>On Point</v>
      </c>
      <c r="I189" t="str">
        <f>IFERROR(__xludf.DUMMYFUNCTION("""COMPUTED_VALUE"""),"Instructor Request- Opted Out")</f>
        <v>Instructor Request- Opted Out</v>
      </c>
      <c r="J189" t="b">
        <f>IFERROR(__xludf.DUMMYFUNCTION("""COMPUTED_VALUE"""),FALSE)</f>
        <v>0</v>
      </c>
      <c r="K189" s="142" t="str">
        <f>IFERROR(__xludf.DUMMYFUNCTION("""COMPUTED_VALUE"""),"Workplace &amp; Human Resources")</f>
        <v>Workplace &amp; Human Resources</v>
      </c>
      <c r="L189" s="142" t="str">
        <f>IFERROR(__xludf.DUMMYFUNCTION("""COMPUTED_VALUE"""),"Human Resources Fundamentals")</f>
        <v>Human Resources Fundamentals</v>
      </c>
      <c r="N189" s="140" t="str">
        <f>IFERROR(__xludf.DUMMYFUNCTION("""COMPUTED_VALUE"""),"")</f>
        <v/>
      </c>
    </row>
    <row r="190">
      <c r="A190" s="143">
        <f>IFERROR(__xludf.DUMMYFUNCTION("""COMPUTED_VALUE"""),44594.0)</f>
        <v>44594</v>
      </c>
      <c r="B190" s="143">
        <f>IFERROR(__xludf.DUMMYFUNCTION("""COMPUTED_VALUE"""),44771.0)</f>
        <v>44771</v>
      </c>
      <c r="C190" s="140" t="str">
        <f>IFERROR(__xludf.DUMMYFUNCTION("""COMPUTED_VALUE"""),"en")</f>
        <v>en</v>
      </c>
      <c r="D190">
        <f>IFERROR(__xludf.DUMMYFUNCTION("""COMPUTED_VALUE"""),3926772.0)</f>
        <v>3926772</v>
      </c>
      <c r="E190" t="str">
        <f>IFERROR(__xludf.DUMMYFUNCTION("""COMPUTED_VALUE"""),"C++ Fundamentals: Game Programming For Beginners")</f>
        <v>C++ Fundamentals: Game Programming For Beginners</v>
      </c>
      <c r="F190" t="str">
        <f>IFERROR(__xludf.DUMMYFUNCTION("""COMPUTED_VALUE"""),"C++ Fundamentals: Game Programming For Beginners")</f>
        <v>C++ Fundamentals: Game Programming For Beginners</v>
      </c>
      <c r="G190">
        <f>IFERROR(__xludf.DUMMYFUNCTION("""COMPUTED_VALUE"""),4355282.0)</f>
        <v>4355282</v>
      </c>
      <c r="H190" t="str">
        <f>IFERROR(__xludf.DUMMYFUNCTION("""COMPUTED_VALUE"""),"Ben Tristem")</f>
        <v>Ben Tristem</v>
      </c>
      <c r="I190" t="str">
        <f>IFERROR(__xludf.DUMMYFUNCTION("""COMPUTED_VALUE"""),"Instructor Request- Opted Out")</f>
        <v>Instructor Request- Opted Out</v>
      </c>
      <c r="J190" t="b">
        <f>IFERROR(__xludf.DUMMYFUNCTION("""COMPUTED_VALUE"""),FALSE)</f>
        <v>0</v>
      </c>
      <c r="K190" s="142" t="str">
        <f>IFERROR(__xludf.DUMMYFUNCTION("""COMPUTED_VALUE"""),"Development")</f>
        <v>Development</v>
      </c>
      <c r="L190" s="142" t="str">
        <f>IFERROR(__xludf.DUMMYFUNCTION("""COMPUTED_VALUE"""),"Programming Languages")</f>
        <v>Programming Languages</v>
      </c>
      <c r="N190" s="140" t="str">
        <f>IFERROR(__xludf.DUMMYFUNCTION("""COMPUTED_VALUE"""),"")</f>
        <v/>
      </c>
    </row>
    <row r="191">
      <c r="A191" s="143">
        <f>IFERROR(__xludf.DUMMYFUNCTION("""COMPUTED_VALUE"""),44594.0)</f>
        <v>44594</v>
      </c>
      <c r="B191" s="143">
        <f>IFERROR(__xludf.DUMMYFUNCTION("""COMPUTED_VALUE"""),44771.0)</f>
        <v>44771</v>
      </c>
      <c r="C191" s="140" t="str">
        <f>IFERROR(__xludf.DUMMYFUNCTION("""COMPUTED_VALUE"""),"en")</f>
        <v>en</v>
      </c>
      <c r="D191">
        <f>IFERROR(__xludf.DUMMYFUNCTION("""COMPUTED_VALUE"""),1576340.0)</f>
        <v>1576340</v>
      </c>
      <c r="E191" t="str">
        <f>IFERROR(__xludf.DUMMYFUNCTION("""COMPUTED_VALUE"""),"Unreal VR Dev: Make VR Experiences with Unreal Engine in C++")</f>
        <v>Unreal VR Dev: Make VR Experiences with Unreal Engine in C++</v>
      </c>
      <c r="F191" t="str">
        <f>IFERROR(__xludf.DUMMYFUNCTION("""COMPUTED_VALUE"""),"Unreal VR Dev: Make VR Experiences with Unreal Engine in C++")</f>
        <v>Unreal VR Dev: Make VR Experiences with Unreal Engine in C++</v>
      </c>
      <c r="G191">
        <f>IFERROR(__xludf.DUMMYFUNCTION("""COMPUTED_VALUE"""),4355282.0)</f>
        <v>4355282</v>
      </c>
      <c r="H191" t="str">
        <f>IFERROR(__xludf.DUMMYFUNCTION("""COMPUTED_VALUE"""),"Ben Tristem")</f>
        <v>Ben Tristem</v>
      </c>
      <c r="I191" t="str">
        <f>IFERROR(__xludf.DUMMYFUNCTION("""COMPUTED_VALUE"""),"Instructor Request- Opted Out")</f>
        <v>Instructor Request- Opted Out</v>
      </c>
      <c r="J191" t="b">
        <f>IFERROR(__xludf.DUMMYFUNCTION("""COMPUTED_VALUE"""),FALSE)</f>
        <v>0</v>
      </c>
      <c r="K191" s="142" t="str">
        <f>IFERROR(__xludf.DUMMYFUNCTION("""COMPUTED_VALUE"""),"Development")</f>
        <v>Development</v>
      </c>
      <c r="L191" s="142" t="str">
        <f>IFERROR(__xludf.DUMMYFUNCTION("""COMPUTED_VALUE"""),"Game Development")</f>
        <v>Game Development</v>
      </c>
      <c r="N191" s="140" t="str">
        <f>IFERROR(__xludf.DUMMYFUNCTION("""COMPUTED_VALUE"""),"")</f>
        <v/>
      </c>
    </row>
    <row r="192">
      <c r="A192" s="143">
        <f>IFERROR(__xludf.DUMMYFUNCTION("""COMPUTED_VALUE"""),44594.0)</f>
        <v>44594</v>
      </c>
      <c r="B192" s="143">
        <f>IFERROR(__xludf.DUMMYFUNCTION("""COMPUTED_VALUE"""),44771.0)</f>
        <v>44771</v>
      </c>
      <c r="C192" s="140" t="str">
        <f>IFERROR(__xludf.DUMMYFUNCTION("""COMPUTED_VALUE"""),"en")</f>
        <v>en</v>
      </c>
      <c r="D192">
        <f>IFERROR(__xludf.DUMMYFUNCTION("""COMPUTED_VALUE"""),1319066.0)</f>
        <v>1319066</v>
      </c>
      <c r="E192" t="str">
        <f>IFERROR(__xludf.DUMMYFUNCTION("""COMPUTED_VALUE"""),"Unreal C++ Multiplayer Master: Intermediate Game Development")</f>
        <v>Unreal C++ Multiplayer Master: Intermediate Game Development</v>
      </c>
      <c r="F192" t="str">
        <f>IFERROR(__xludf.DUMMYFUNCTION("""COMPUTED_VALUE"""),"Unreal C++ Multiplayer Master: Intermediate Game Development")</f>
        <v>Unreal C++ Multiplayer Master: Intermediate Game Development</v>
      </c>
      <c r="G192">
        <f>IFERROR(__xludf.DUMMYFUNCTION("""COMPUTED_VALUE"""),4355282.0)</f>
        <v>4355282</v>
      </c>
      <c r="H192" t="str">
        <f>IFERROR(__xludf.DUMMYFUNCTION("""COMPUTED_VALUE"""),"Ben Tristem")</f>
        <v>Ben Tristem</v>
      </c>
      <c r="I192" t="str">
        <f>IFERROR(__xludf.DUMMYFUNCTION("""COMPUTED_VALUE"""),"Instructor Request- Opted Out")</f>
        <v>Instructor Request- Opted Out</v>
      </c>
      <c r="J192" t="b">
        <f>IFERROR(__xludf.DUMMYFUNCTION("""COMPUTED_VALUE"""),FALSE)</f>
        <v>0</v>
      </c>
      <c r="K192" s="142" t="str">
        <f>IFERROR(__xludf.DUMMYFUNCTION("""COMPUTED_VALUE"""),"Development")</f>
        <v>Development</v>
      </c>
      <c r="L192" s="142" t="str">
        <f>IFERROR(__xludf.DUMMYFUNCTION("""COMPUTED_VALUE"""),"Mobile Development")</f>
        <v>Mobile Development</v>
      </c>
      <c r="N192" s="140" t="str">
        <f>IFERROR(__xludf.DUMMYFUNCTION("""COMPUTED_VALUE"""),"")</f>
        <v/>
      </c>
    </row>
    <row r="193">
      <c r="A193" s="143">
        <f>IFERROR(__xludf.DUMMYFUNCTION("""COMPUTED_VALUE"""),44594.0)</f>
        <v>44594</v>
      </c>
      <c r="B193" s="143">
        <f>IFERROR(__xludf.DUMMYFUNCTION("""COMPUTED_VALUE"""),44771.0)</f>
        <v>44771</v>
      </c>
      <c r="C193" s="140" t="str">
        <f>IFERROR(__xludf.DUMMYFUNCTION("""COMPUTED_VALUE"""),"en")</f>
        <v>en</v>
      </c>
      <c r="D193">
        <f>IFERROR(__xludf.DUMMYFUNCTION("""COMPUTED_VALUE"""),1946104.0)</f>
        <v>1946104</v>
      </c>
      <c r="E193" t="str">
        <f>IFERROR(__xludf.DUMMYFUNCTION("""COMPUTED_VALUE"""),"Unreal Engine Blueprint Game Developer")</f>
        <v>Unreal Engine Blueprint Game Developer</v>
      </c>
      <c r="F193" t="str">
        <f>IFERROR(__xludf.DUMMYFUNCTION("""COMPUTED_VALUE"""),"Unreal Engine Blueprint Game Developer")</f>
        <v>Unreal Engine Blueprint Game Developer</v>
      </c>
      <c r="G193">
        <f>IFERROR(__xludf.DUMMYFUNCTION("""COMPUTED_VALUE"""),4355282.0)</f>
        <v>4355282</v>
      </c>
      <c r="H193" t="str">
        <f>IFERROR(__xludf.DUMMYFUNCTION("""COMPUTED_VALUE"""),"Ben Tristem")</f>
        <v>Ben Tristem</v>
      </c>
      <c r="I193" t="str">
        <f>IFERROR(__xludf.DUMMYFUNCTION("""COMPUTED_VALUE"""),"Instructor Request- Opted Out")</f>
        <v>Instructor Request- Opted Out</v>
      </c>
      <c r="J193" t="b">
        <f>IFERROR(__xludf.DUMMYFUNCTION("""COMPUTED_VALUE"""),FALSE)</f>
        <v>0</v>
      </c>
      <c r="K193" s="142" t="str">
        <f>IFERROR(__xludf.DUMMYFUNCTION("""COMPUTED_VALUE"""),"Development")</f>
        <v>Development</v>
      </c>
      <c r="L193" s="142" t="str">
        <f>IFERROR(__xludf.DUMMYFUNCTION("""COMPUTED_VALUE"""),"Game Development")</f>
        <v>Game Development</v>
      </c>
      <c r="N193" s="140" t="str">
        <f>IFERROR(__xludf.DUMMYFUNCTION("""COMPUTED_VALUE"""),"")</f>
        <v/>
      </c>
    </row>
    <row r="194">
      <c r="A194" s="143">
        <f>IFERROR(__xludf.DUMMYFUNCTION("""COMPUTED_VALUE"""),44594.0)</f>
        <v>44594</v>
      </c>
      <c r="B194" s="143">
        <f>IFERROR(__xludf.DUMMYFUNCTION("""COMPUTED_VALUE"""),44771.0)</f>
        <v>44771</v>
      </c>
      <c r="C194" s="140" t="str">
        <f>IFERROR(__xludf.DUMMYFUNCTION("""COMPUTED_VALUE"""),"en")</f>
        <v>en</v>
      </c>
      <c r="D194">
        <f>IFERROR(__xludf.DUMMYFUNCTION("""COMPUTED_VALUE"""),3822566.0)</f>
        <v>3822566</v>
      </c>
      <c r="E194" t="str">
        <f>IFERROR(__xludf.DUMMYFUNCTION("""COMPUTED_VALUE"""),"Unity C# Mobile Game Development - Make 3 Games From Scratch")</f>
        <v>Unity C# Mobile Game Development - Make 3 Games From Scratch</v>
      </c>
      <c r="F194" t="str">
        <f>IFERROR(__xludf.DUMMYFUNCTION("""COMPUTED_VALUE"""),"Unity C# Mobile Game Development - Make 3 Games From Scratch")</f>
        <v>Unity C# Mobile Game Development - Make 3 Games From Scratch</v>
      </c>
      <c r="G194">
        <f>IFERROR(__xludf.DUMMYFUNCTION("""COMPUTED_VALUE"""),4355282.0)</f>
        <v>4355282</v>
      </c>
      <c r="H194" t="str">
        <f>IFERROR(__xludf.DUMMYFUNCTION("""COMPUTED_VALUE"""),"Ben Tristem")</f>
        <v>Ben Tristem</v>
      </c>
      <c r="I194" t="str">
        <f>IFERROR(__xludf.DUMMYFUNCTION("""COMPUTED_VALUE"""),"Instructor Request- Opted Out")</f>
        <v>Instructor Request- Opted Out</v>
      </c>
      <c r="J194" t="b">
        <f>IFERROR(__xludf.DUMMYFUNCTION("""COMPUTED_VALUE"""),FALSE)</f>
        <v>0</v>
      </c>
      <c r="K194" s="142" t="str">
        <f>IFERROR(__xludf.DUMMYFUNCTION("""COMPUTED_VALUE"""),"Development")</f>
        <v>Development</v>
      </c>
      <c r="L194" s="142" t="str">
        <f>IFERROR(__xludf.DUMMYFUNCTION("""COMPUTED_VALUE"""),"Game Development")</f>
        <v>Game Development</v>
      </c>
      <c r="N194" s="140" t="str">
        <f>IFERROR(__xludf.DUMMYFUNCTION("""COMPUTED_VALUE"""),"")</f>
        <v/>
      </c>
    </row>
    <row r="195">
      <c r="A195" s="143">
        <f>IFERROR(__xludf.DUMMYFUNCTION("""COMPUTED_VALUE"""),44594.0)</f>
        <v>44594</v>
      </c>
      <c r="B195" s="143">
        <f>IFERROR(__xludf.DUMMYFUNCTION("""COMPUTED_VALUE"""),44771.0)</f>
        <v>44771</v>
      </c>
      <c r="C195" s="140" t="str">
        <f>IFERROR(__xludf.DUMMYFUNCTION("""COMPUTED_VALUE"""),"en")</f>
        <v>en</v>
      </c>
      <c r="D195">
        <f>IFERROR(__xludf.DUMMYFUNCTION("""COMPUTED_VALUE"""),3583724.0)</f>
        <v>3583724</v>
      </c>
      <c r="E195" t="str">
        <f>IFERROR(__xludf.DUMMYFUNCTION("""COMPUTED_VALUE"""),"Unity Multiplayer: Intermediate C# Coding &amp; Networking")</f>
        <v>Unity Multiplayer: Intermediate C# Coding &amp; Networking</v>
      </c>
      <c r="F195" t="str">
        <f>IFERROR(__xludf.DUMMYFUNCTION("""COMPUTED_VALUE"""),"Unity Multiplayer: Intermediate C# Coding &amp; Networking")</f>
        <v>Unity Multiplayer: Intermediate C# Coding &amp; Networking</v>
      </c>
      <c r="G195">
        <f>IFERROR(__xludf.DUMMYFUNCTION("""COMPUTED_VALUE"""),4355282.0)</f>
        <v>4355282</v>
      </c>
      <c r="H195" t="str">
        <f>IFERROR(__xludf.DUMMYFUNCTION("""COMPUTED_VALUE"""),"Ben Tristem")</f>
        <v>Ben Tristem</v>
      </c>
      <c r="I195" t="str">
        <f>IFERROR(__xludf.DUMMYFUNCTION("""COMPUTED_VALUE"""),"Instructor Request- Opted Out")</f>
        <v>Instructor Request- Opted Out</v>
      </c>
      <c r="J195" t="b">
        <f>IFERROR(__xludf.DUMMYFUNCTION("""COMPUTED_VALUE"""),FALSE)</f>
        <v>0</v>
      </c>
      <c r="K195" s="142" t="str">
        <f>IFERROR(__xludf.DUMMYFUNCTION("""COMPUTED_VALUE"""),"Development")</f>
        <v>Development</v>
      </c>
      <c r="L195" s="142" t="str">
        <f>IFERROR(__xludf.DUMMYFUNCTION("""COMPUTED_VALUE"""),"Game Development")</f>
        <v>Game Development</v>
      </c>
      <c r="N195" s="140" t="str">
        <f>IFERROR(__xludf.DUMMYFUNCTION("""COMPUTED_VALUE"""),"")</f>
        <v/>
      </c>
    </row>
    <row r="196">
      <c r="A196" s="143">
        <f>IFERROR(__xludf.DUMMYFUNCTION("""COMPUTED_VALUE"""),44594.0)</f>
        <v>44594</v>
      </c>
      <c r="B196" s="143">
        <f>IFERROR(__xludf.DUMMYFUNCTION("""COMPUTED_VALUE"""),44771.0)</f>
        <v>44771</v>
      </c>
      <c r="C196" s="140" t="str">
        <f>IFERROR(__xludf.DUMMYFUNCTION("""COMPUTED_VALUE"""),"en")</f>
        <v>en</v>
      </c>
      <c r="D196">
        <f>IFERROR(__xludf.DUMMYFUNCTION("""COMPUTED_VALUE"""),3509798.0)</f>
        <v>3509798</v>
      </c>
      <c r="E196" t="str">
        <f>IFERROR(__xludf.DUMMYFUNCTION("""COMPUTED_VALUE"""),"Unity Dialogue &amp; Quests: Intermediate C# Game Coding")</f>
        <v>Unity Dialogue &amp; Quests: Intermediate C# Game Coding</v>
      </c>
      <c r="F196" t="str">
        <f>IFERROR(__xludf.DUMMYFUNCTION("""COMPUTED_VALUE"""),"Unity Dialogue &amp; Quests: Intermediate C# Game Coding")</f>
        <v>Unity Dialogue &amp; Quests: Intermediate C# Game Coding</v>
      </c>
      <c r="G196">
        <f>IFERROR(__xludf.DUMMYFUNCTION("""COMPUTED_VALUE"""),4355282.0)</f>
        <v>4355282</v>
      </c>
      <c r="H196" t="str">
        <f>IFERROR(__xludf.DUMMYFUNCTION("""COMPUTED_VALUE"""),"Ben Tristem")</f>
        <v>Ben Tristem</v>
      </c>
      <c r="I196" t="str">
        <f>IFERROR(__xludf.DUMMYFUNCTION("""COMPUTED_VALUE"""),"Instructor Request- Opted Out")</f>
        <v>Instructor Request- Opted Out</v>
      </c>
      <c r="J196" t="b">
        <f>IFERROR(__xludf.DUMMYFUNCTION("""COMPUTED_VALUE"""),FALSE)</f>
        <v>0</v>
      </c>
      <c r="K196" s="142" t="str">
        <f>IFERROR(__xludf.DUMMYFUNCTION("""COMPUTED_VALUE"""),"Development")</f>
        <v>Development</v>
      </c>
      <c r="L196" s="142" t="str">
        <f>IFERROR(__xludf.DUMMYFUNCTION("""COMPUTED_VALUE"""),"Game Development")</f>
        <v>Game Development</v>
      </c>
      <c r="N196" s="140" t="str">
        <f>IFERROR(__xludf.DUMMYFUNCTION("""COMPUTED_VALUE"""),"")</f>
        <v/>
      </c>
    </row>
    <row r="197">
      <c r="A197" s="143">
        <f>IFERROR(__xludf.DUMMYFUNCTION("""COMPUTED_VALUE"""),44594.0)</f>
        <v>44594</v>
      </c>
      <c r="B197" s="143">
        <f>IFERROR(__xludf.DUMMYFUNCTION("""COMPUTED_VALUE"""),44771.0)</f>
        <v>44771</v>
      </c>
      <c r="C197" s="140" t="str">
        <f>IFERROR(__xludf.DUMMYFUNCTION("""COMPUTED_VALUE"""),"en")</f>
        <v>en</v>
      </c>
      <c r="D197">
        <f>IFERROR(__xludf.DUMMYFUNCTION("""COMPUTED_VALUE"""),1110626.0)</f>
        <v>1110626</v>
      </c>
      <c r="E197" t="str">
        <f>IFERROR(__xludf.DUMMYFUNCTION("""COMPUTED_VALUE"""),"RPG Core Combat Creator: Learn Intermediate Unity C# Coding")</f>
        <v>RPG Core Combat Creator: Learn Intermediate Unity C# Coding</v>
      </c>
      <c r="F197" t="str">
        <f>IFERROR(__xludf.DUMMYFUNCTION("""COMPUTED_VALUE"""),"RPG Core Combat Creator: Learn Intermediate Unity C# Coding")</f>
        <v>RPG Core Combat Creator: Learn Intermediate Unity C# Coding</v>
      </c>
      <c r="G197">
        <f>IFERROR(__xludf.DUMMYFUNCTION("""COMPUTED_VALUE"""),4355282.0)</f>
        <v>4355282</v>
      </c>
      <c r="H197" t="str">
        <f>IFERROR(__xludf.DUMMYFUNCTION("""COMPUTED_VALUE"""),"Ben Tristem")</f>
        <v>Ben Tristem</v>
      </c>
      <c r="I197" t="str">
        <f>IFERROR(__xludf.DUMMYFUNCTION("""COMPUTED_VALUE"""),"Instructor Request- Opted Out")</f>
        <v>Instructor Request- Opted Out</v>
      </c>
      <c r="J197" t="b">
        <f>IFERROR(__xludf.DUMMYFUNCTION("""COMPUTED_VALUE"""),FALSE)</f>
        <v>0</v>
      </c>
      <c r="K197" s="142" t="str">
        <f>IFERROR(__xludf.DUMMYFUNCTION("""COMPUTED_VALUE"""),"Development")</f>
        <v>Development</v>
      </c>
      <c r="L197" s="142" t="str">
        <f>IFERROR(__xludf.DUMMYFUNCTION("""COMPUTED_VALUE"""),"Game Development")</f>
        <v>Game Development</v>
      </c>
      <c r="N197" s="140" t="str">
        <f>IFERROR(__xludf.DUMMYFUNCTION("""COMPUTED_VALUE"""),"")</f>
        <v/>
      </c>
    </row>
    <row r="198">
      <c r="A198" s="143">
        <f>IFERROR(__xludf.DUMMYFUNCTION("""COMPUTED_VALUE"""),44594.0)</f>
        <v>44594</v>
      </c>
      <c r="B198" s="143">
        <f>IFERROR(__xludf.DUMMYFUNCTION("""COMPUTED_VALUE"""),44771.0)</f>
        <v>44771</v>
      </c>
      <c r="C198" s="140" t="str">
        <f>IFERROR(__xludf.DUMMYFUNCTION("""COMPUTED_VALUE"""),"en")</f>
        <v>en</v>
      </c>
      <c r="D198">
        <f>IFERROR(__xludf.DUMMYFUNCTION("""COMPUTED_VALUE"""),3808338.0)</f>
        <v>3808338</v>
      </c>
      <c r="E198" t="str">
        <f>IFERROR(__xludf.DUMMYFUNCTION("""COMPUTED_VALUE"""),"RPG Shops &amp; Abilities:  Intermediate C# Game Coding")</f>
        <v>RPG Shops &amp; Abilities:  Intermediate C# Game Coding</v>
      </c>
      <c r="F198" t="str">
        <f>IFERROR(__xludf.DUMMYFUNCTION("""COMPUTED_VALUE"""),"RPG Shops &amp; Abilities:  Intermediate C# Game Coding")</f>
        <v>RPG Shops &amp; Abilities:  Intermediate C# Game Coding</v>
      </c>
      <c r="G198">
        <f>IFERROR(__xludf.DUMMYFUNCTION("""COMPUTED_VALUE"""),4355282.0)</f>
        <v>4355282</v>
      </c>
      <c r="H198" t="str">
        <f>IFERROR(__xludf.DUMMYFUNCTION("""COMPUTED_VALUE"""),"Ben Tristem")</f>
        <v>Ben Tristem</v>
      </c>
      <c r="I198" t="str">
        <f>IFERROR(__xludf.DUMMYFUNCTION("""COMPUTED_VALUE"""),"Instructor Request- Opted Out")</f>
        <v>Instructor Request- Opted Out</v>
      </c>
      <c r="J198" t="b">
        <f>IFERROR(__xludf.DUMMYFUNCTION("""COMPUTED_VALUE"""),FALSE)</f>
        <v>0</v>
      </c>
      <c r="K198" s="142" t="str">
        <f>IFERROR(__xludf.DUMMYFUNCTION("""COMPUTED_VALUE"""),"Development")</f>
        <v>Development</v>
      </c>
      <c r="L198" s="142" t="str">
        <f>IFERROR(__xludf.DUMMYFUNCTION("""COMPUTED_VALUE"""),"Game Development")</f>
        <v>Game Development</v>
      </c>
      <c r="N198" s="140" t="str">
        <f>IFERROR(__xludf.DUMMYFUNCTION("""COMPUTED_VALUE"""),"")</f>
        <v/>
      </c>
    </row>
    <row r="199">
      <c r="A199" s="143">
        <f>IFERROR(__xludf.DUMMYFUNCTION("""COMPUTED_VALUE"""),44594.0)</f>
        <v>44594</v>
      </c>
      <c r="B199" s="143">
        <f>IFERROR(__xludf.DUMMYFUNCTION("""COMPUTED_VALUE"""),44771.0)</f>
        <v>44771</v>
      </c>
      <c r="C199" s="140" t="str">
        <f>IFERROR(__xludf.DUMMYFUNCTION("""COMPUTED_VALUE"""),"en")</f>
        <v>en</v>
      </c>
      <c r="D199">
        <f>IFERROR(__xludf.DUMMYFUNCTION("""COMPUTED_VALUE"""),2799214.0)</f>
        <v>2799214</v>
      </c>
      <c r="E199" t="str">
        <f>IFERROR(__xludf.DUMMYFUNCTION("""COMPUTED_VALUE"""),"RPG Inventory Systems Asset Pack: Behind The Scenes")</f>
        <v>RPG Inventory Systems Asset Pack: Behind The Scenes</v>
      </c>
      <c r="F199" t="str">
        <f>IFERROR(__xludf.DUMMYFUNCTION("""COMPUTED_VALUE"""),"RPG Inventory Systems Asset Pack: Behind The Scenes")</f>
        <v>RPG Inventory Systems Asset Pack: Behind The Scenes</v>
      </c>
      <c r="G199">
        <f>IFERROR(__xludf.DUMMYFUNCTION("""COMPUTED_VALUE"""),4355282.0)</f>
        <v>4355282</v>
      </c>
      <c r="H199" t="str">
        <f>IFERROR(__xludf.DUMMYFUNCTION("""COMPUTED_VALUE"""),"Ben Tristem")</f>
        <v>Ben Tristem</v>
      </c>
      <c r="I199" t="str">
        <f>IFERROR(__xludf.DUMMYFUNCTION("""COMPUTED_VALUE"""),"Instructor Request- Opted Out")</f>
        <v>Instructor Request- Opted Out</v>
      </c>
      <c r="J199" t="b">
        <f>IFERROR(__xludf.DUMMYFUNCTION("""COMPUTED_VALUE"""),FALSE)</f>
        <v>0</v>
      </c>
      <c r="K199" s="142" t="str">
        <f>IFERROR(__xludf.DUMMYFUNCTION("""COMPUTED_VALUE"""),"Development")</f>
        <v>Development</v>
      </c>
      <c r="L199" s="142" t="str">
        <f>IFERROR(__xludf.DUMMYFUNCTION("""COMPUTED_VALUE"""),"Game Development")</f>
        <v>Game Development</v>
      </c>
      <c r="N199" s="140" t="str">
        <f>IFERROR(__xludf.DUMMYFUNCTION("""COMPUTED_VALUE"""),"")</f>
        <v/>
      </c>
    </row>
    <row r="200">
      <c r="A200" s="143">
        <f>IFERROR(__xludf.DUMMYFUNCTION("""COMPUTED_VALUE"""),44594.0)</f>
        <v>44594</v>
      </c>
      <c r="B200" s="143">
        <f>IFERROR(__xludf.DUMMYFUNCTION("""COMPUTED_VALUE"""),44771.0)</f>
        <v>44771</v>
      </c>
      <c r="C200" s="140" t="str">
        <f>IFERROR(__xludf.DUMMYFUNCTION("""COMPUTED_VALUE"""),"de")</f>
        <v>de</v>
      </c>
      <c r="D200">
        <f>IFERROR(__xludf.DUMMYFUNCTION("""COMPUTED_VALUE"""),3388964.0)</f>
        <v>3388964</v>
      </c>
      <c r="E200" t="str">
        <f>IFERROR(__xludf.DUMMYFUNCTION("""COMPUTED_VALUE"""),"Requirements Engineering")</f>
        <v>Requirements Engineering</v>
      </c>
      <c r="F200" t="str">
        <f>IFERROR(__xludf.DUMMYFUNCTION("""COMPUTED_VALUE"""),"Requirements Engineering")</f>
        <v>Requirements Engineering</v>
      </c>
      <c r="G200">
        <f>IFERROR(__xludf.DUMMYFUNCTION("""COMPUTED_VALUE"""),2.9839548E7)</f>
        <v>29839548</v>
      </c>
      <c r="H200" t="str">
        <f>IFERROR(__xludf.DUMMYFUNCTION("""COMPUTED_VALUE"""),"Peter Klausmann")</f>
        <v>Peter Klausmann</v>
      </c>
      <c r="I200" t="str">
        <f>IFERROR(__xludf.DUMMYFUNCTION("""COMPUTED_VALUE"""),"Instructor Request- Opted Out")</f>
        <v>Instructor Request- Opted Out</v>
      </c>
      <c r="J200" t="b">
        <f>IFERROR(__xludf.DUMMYFUNCTION("""COMPUTED_VALUE"""),FALSE)</f>
        <v>0</v>
      </c>
      <c r="K200" s="142" t="str">
        <f>IFERROR(__xludf.DUMMYFUNCTION("""COMPUTED_VALUE"""),"Project Management &amp; Operations")</f>
        <v>Project Management &amp; Operations</v>
      </c>
      <c r="L200" s="142" t="str">
        <f>IFERROR(__xludf.DUMMYFUNCTION("""COMPUTED_VALUE"""),"Project Management Fundamentals")</f>
        <v>Project Management Fundamentals</v>
      </c>
      <c r="N200" s="140" t="str">
        <f>IFERROR(__xludf.DUMMYFUNCTION("""COMPUTED_VALUE"""),"")</f>
        <v/>
      </c>
    </row>
    <row r="201">
      <c r="A201" s="143">
        <f>IFERROR(__xludf.DUMMYFUNCTION("""COMPUTED_VALUE"""),44594.0)</f>
        <v>44594</v>
      </c>
      <c r="B201" s="143">
        <f>IFERROR(__xludf.DUMMYFUNCTION("""COMPUTED_VALUE"""),44771.0)</f>
        <v>44771</v>
      </c>
      <c r="C201" s="140" t="str">
        <f>IFERROR(__xludf.DUMMYFUNCTION("""COMPUTED_VALUE"""),"de")</f>
        <v>de</v>
      </c>
      <c r="D201">
        <f>IFERROR(__xludf.DUMMYFUNCTION("""COMPUTED_VALUE"""),1567028.0)</f>
        <v>1567028</v>
      </c>
      <c r="E201" t="str">
        <f>IFERROR(__xludf.DUMMYFUNCTION("""COMPUTED_VALUE"""),"Agile Transformation")</f>
        <v>Agile Transformation</v>
      </c>
      <c r="F201" t="str">
        <f>IFERROR(__xludf.DUMMYFUNCTION("""COMPUTED_VALUE"""),"Agile Transformation")</f>
        <v>Agile Transformation</v>
      </c>
      <c r="G201">
        <f>IFERROR(__xludf.DUMMYFUNCTION("""COMPUTED_VALUE"""),2.9839548E7)</f>
        <v>29839548</v>
      </c>
      <c r="H201" t="str">
        <f>IFERROR(__xludf.DUMMYFUNCTION("""COMPUTED_VALUE"""),"Peter Klausmann")</f>
        <v>Peter Klausmann</v>
      </c>
      <c r="I201" t="str">
        <f>IFERROR(__xludf.DUMMYFUNCTION("""COMPUTED_VALUE"""),"Instructor Request- Opted Out")</f>
        <v>Instructor Request- Opted Out</v>
      </c>
      <c r="J201" t="b">
        <f>IFERROR(__xludf.DUMMYFUNCTION("""COMPUTED_VALUE"""),FALSE)</f>
        <v>0</v>
      </c>
      <c r="K201" s="142" t="str">
        <f>IFERROR(__xludf.DUMMYFUNCTION("""COMPUTED_VALUE"""),"Project Management &amp; Operations")</f>
        <v>Project Management &amp; Operations</v>
      </c>
      <c r="L201" s="142" t="str">
        <f>IFERROR(__xludf.DUMMYFUNCTION("""COMPUTED_VALUE"""),"Agile &amp; Scrum")</f>
        <v>Agile &amp; Scrum</v>
      </c>
      <c r="N201" s="140" t="str">
        <f>IFERROR(__xludf.DUMMYFUNCTION("""COMPUTED_VALUE"""),"")</f>
        <v/>
      </c>
    </row>
    <row r="202">
      <c r="A202" s="143">
        <f>IFERROR(__xludf.DUMMYFUNCTION("""COMPUTED_VALUE"""),44594.0)</f>
        <v>44594</v>
      </c>
      <c r="B202" s="143">
        <f>IFERROR(__xludf.DUMMYFUNCTION("""COMPUTED_VALUE"""),44771.0)</f>
        <v>44771</v>
      </c>
      <c r="C202" t="str">
        <f>IFERROR(__xludf.DUMMYFUNCTION("""COMPUTED_VALUE"""),"en")</f>
        <v>en</v>
      </c>
      <c r="D202">
        <f>IFERROR(__xludf.DUMMYFUNCTION("""COMPUTED_VALUE"""),4353258.0)</f>
        <v>4353258</v>
      </c>
      <c r="E202" t="str">
        <f>IFERROR(__xludf.DUMMYFUNCTION("""COMPUTED_VALUE"""),"Low Poly Characters - Blender Bitesize Course")</f>
        <v>Low Poly Characters - Blender Bitesize Course</v>
      </c>
      <c r="F202" t="str">
        <f>IFERROR(__xludf.DUMMYFUNCTION("""COMPUTED_VALUE"""),"Low Poly Characters - Blender Bitesize Course")</f>
        <v>Low Poly Characters - Blender Bitesize Course</v>
      </c>
      <c r="G202">
        <f>IFERROR(__xludf.DUMMYFUNCTION("""COMPUTED_VALUE"""),4355282.0)</f>
        <v>4355282</v>
      </c>
      <c r="H202" t="str">
        <f>IFERROR(__xludf.DUMMYFUNCTION("""COMPUTED_VALUE"""),"Ben Tristem")</f>
        <v>Ben Tristem</v>
      </c>
      <c r="I202" t="str">
        <f>IFERROR(__xludf.DUMMYFUNCTION("""COMPUTED_VALUE"""),"Instructor Request- Opted Out")</f>
        <v>Instructor Request- Opted Out</v>
      </c>
      <c r="J202" t="b">
        <f>IFERROR(__xludf.DUMMYFUNCTION("""COMPUTED_VALUE"""),FALSE)</f>
        <v>0</v>
      </c>
      <c r="K202" s="142" t="str">
        <f>IFERROR(__xludf.DUMMYFUNCTION("""COMPUTED_VALUE"""),"Design")</f>
        <v>Design</v>
      </c>
      <c r="L202" s="142" t="str">
        <f>IFERROR(__xludf.DUMMYFUNCTION("""COMPUTED_VALUE"""),"3D &amp; Animation")</f>
        <v>3D &amp; Animation</v>
      </c>
      <c r="N202" s="140" t="str">
        <f>IFERROR(__xludf.DUMMYFUNCTION("""COMPUTED_VALUE"""),"")</f>
        <v/>
      </c>
    </row>
    <row r="203">
      <c r="A203" s="143">
        <f>IFERROR(__xludf.DUMMYFUNCTION("""COMPUTED_VALUE"""),44594.0)</f>
        <v>44594</v>
      </c>
      <c r="B203" s="143">
        <f>IFERROR(__xludf.DUMMYFUNCTION("""COMPUTED_VALUE"""),44771.0)</f>
        <v>44771</v>
      </c>
      <c r="C203" s="140" t="str">
        <f>IFERROR(__xludf.DUMMYFUNCTION("""COMPUTED_VALUE"""),"en")</f>
        <v>en</v>
      </c>
      <c r="D203">
        <f>IFERROR(__xludf.DUMMYFUNCTION("""COMPUTED_VALUE"""),4258538.0)</f>
        <v>4258538</v>
      </c>
      <c r="E203" t="str">
        <f>IFERROR(__xludf.DUMMYFUNCTION("""COMPUTED_VALUE"""),"Low Poly Landscapes - Blender Bite Sized Course")</f>
        <v>Low Poly Landscapes - Blender Bite Sized Course</v>
      </c>
      <c r="F203" t="str">
        <f>IFERROR(__xludf.DUMMYFUNCTION("""COMPUTED_VALUE"""),"Low Poly Landscapes - Blender Bite Sized Course")</f>
        <v>Low Poly Landscapes - Blender Bite Sized Course</v>
      </c>
      <c r="G203">
        <f>IFERROR(__xludf.DUMMYFUNCTION("""COMPUTED_VALUE"""),4355282.0)</f>
        <v>4355282</v>
      </c>
      <c r="H203" t="str">
        <f>IFERROR(__xludf.DUMMYFUNCTION("""COMPUTED_VALUE"""),"Ben Tristem")</f>
        <v>Ben Tristem</v>
      </c>
      <c r="I203" t="str">
        <f>IFERROR(__xludf.DUMMYFUNCTION("""COMPUTED_VALUE"""),"Instructor Request- Opted Out")</f>
        <v>Instructor Request- Opted Out</v>
      </c>
      <c r="J203" t="b">
        <f>IFERROR(__xludf.DUMMYFUNCTION("""COMPUTED_VALUE"""),FALSE)</f>
        <v>0</v>
      </c>
      <c r="K203" s="142" t="str">
        <f>IFERROR(__xludf.DUMMYFUNCTION("""COMPUTED_VALUE"""),"Design")</f>
        <v>Design</v>
      </c>
      <c r="L203" s="142" t="str">
        <f>IFERROR(__xludf.DUMMYFUNCTION("""COMPUTED_VALUE"""),"3D &amp; Animation")</f>
        <v>3D &amp; Animation</v>
      </c>
      <c r="N203" s="140" t="str">
        <f>IFERROR(__xludf.DUMMYFUNCTION("""COMPUTED_VALUE"""),"")</f>
        <v/>
      </c>
    </row>
    <row r="204">
      <c r="A204" s="143">
        <f>IFERROR(__xludf.DUMMYFUNCTION("""COMPUTED_VALUE"""),44594.0)</f>
        <v>44594</v>
      </c>
      <c r="B204" s="143">
        <f>IFERROR(__xludf.DUMMYFUNCTION("""COMPUTED_VALUE"""),44771.0)</f>
        <v>44771</v>
      </c>
      <c r="C204" s="140" t="str">
        <f>IFERROR(__xludf.DUMMYFUNCTION("""COMPUTED_VALUE"""),"en")</f>
        <v>en</v>
      </c>
      <c r="D204">
        <f>IFERROR(__xludf.DUMMYFUNCTION("""COMPUTED_VALUE"""),1356020.0)</f>
        <v>1356020</v>
      </c>
      <c r="E204" t="str">
        <f>IFERROR(__xludf.DUMMYFUNCTION("""COMPUTED_VALUE"""),"Blender Character Creator v2.0 for Video Games Design")</f>
        <v>Blender Character Creator v2.0 for Video Games Design</v>
      </c>
      <c r="F204" t="str">
        <f>IFERROR(__xludf.DUMMYFUNCTION("""COMPUTED_VALUE"""),"Blender Character Creator v2.0 for Video Games Design")</f>
        <v>Blender Character Creator v2.0 for Video Games Design</v>
      </c>
      <c r="G204">
        <f>IFERROR(__xludf.DUMMYFUNCTION("""COMPUTED_VALUE"""),4355282.0)</f>
        <v>4355282</v>
      </c>
      <c r="H204" t="str">
        <f>IFERROR(__xludf.DUMMYFUNCTION("""COMPUTED_VALUE"""),"Ben Tristem")</f>
        <v>Ben Tristem</v>
      </c>
      <c r="I204" t="str">
        <f>IFERROR(__xludf.DUMMYFUNCTION("""COMPUTED_VALUE"""),"Instructor Request- Opted Out")</f>
        <v>Instructor Request- Opted Out</v>
      </c>
      <c r="J204" t="b">
        <f>IFERROR(__xludf.DUMMYFUNCTION("""COMPUTED_VALUE"""),FALSE)</f>
        <v>0</v>
      </c>
      <c r="K204" s="142" t="str">
        <f>IFERROR(__xludf.DUMMYFUNCTION("""COMPUTED_VALUE"""),"Design")</f>
        <v>Design</v>
      </c>
      <c r="L204" s="142" t="str">
        <f>IFERROR(__xludf.DUMMYFUNCTION("""COMPUTED_VALUE"""),"Game Design")</f>
        <v>Game Design</v>
      </c>
      <c r="N204" s="140" t="str">
        <f>IFERROR(__xludf.DUMMYFUNCTION("""COMPUTED_VALUE"""),"")</f>
        <v/>
      </c>
    </row>
    <row r="205">
      <c r="A205" s="143">
        <f>IFERROR(__xludf.DUMMYFUNCTION("""COMPUTED_VALUE"""),44594.0)</f>
        <v>44594</v>
      </c>
      <c r="B205" s="143">
        <f>IFERROR(__xludf.DUMMYFUNCTION("""COMPUTED_VALUE"""),44771.0)</f>
        <v>44771</v>
      </c>
      <c r="C205" s="140" t="str">
        <f>IFERROR(__xludf.DUMMYFUNCTION("""COMPUTED_VALUE"""),"en")</f>
        <v>en</v>
      </c>
      <c r="D205">
        <f>IFERROR(__xludf.DUMMYFUNCTION("""COMPUTED_VALUE"""),4005612.0)</f>
        <v>4005612</v>
      </c>
      <c r="E205" t="str">
        <f>IFERROR(__xludf.DUMMYFUNCTION("""COMPUTED_VALUE"""),"SelectorsHub Tutorial- A Free Next Gen XPath &amp; Locators tool")</f>
        <v>SelectorsHub Tutorial- A Free Next Gen XPath &amp; Locators tool</v>
      </c>
      <c r="F205" t="str">
        <f>IFERROR(__xludf.DUMMYFUNCTION("""COMPUTED_VALUE"""),"SelectorsHub Tutorial- A Free Next Gen XPath &amp; Locators tool")</f>
        <v>SelectorsHub Tutorial- A Free Next Gen XPath &amp; Locators tool</v>
      </c>
      <c r="G205">
        <f>IFERROR(__xludf.DUMMYFUNCTION("""COMPUTED_VALUE"""),1.4074167E8)</f>
        <v>140741670</v>
      </c>
      <c r="H205" t="str">
        <f>IFERROR(__xludf.DUMMYFUNCTION("""COMPUTED_VALUE"""),"Sanjay Kumar")</f>
        <v>Sanjay Kumar</v>
      </c>
      <c r="I205" t="str">
        <f>IFERROR(__xludf.DUMMYFUNCTION("""COMPUTED_VALUE"""),"Instructor Request- Opted Out")</f>
        <v>Instructor Request- Opted Out</v>
      </c>
      <c r="J205" t="b">
        <f>IFERROR(__xludf.DUMMYFUNCTION("""COMPUTED_VALUE"""),FALSE)</f>
        <v>0</v>
      </c>
      <c r="K205" s="142" t="str">
        <f>IFERROR(__xludf.DUMMYFUNCTION("""COMPUTED_VALUE"""),"Development")</f>
        <v>Development</v>
      </c>
      <c r="L205" s="142" t="str">
        <f>IFERROR(__xludf.DUMMYFUNCTION("""COMPUTED_VALUE"""),"Development Tools")</f>
        <v>Development Tools</v>
      </c>
      <c r="N205" s="140" t="str">
        <f>IFERROR(__xludf.DUMMYFUNCTION("""COMPUTED_VALUE"""),"")</f>
        <v/>
      </c>
    </row>
    <row r="206">
      <c r="A206" s="143">
        <f>IFERROR(__xludf.DUMMYFUNCTION("""COMPUTED_VALUE"""),44594.0)</f>
        <v>44594</v>
      </c>
      <c r="B206" s="143">
        <f>IFERROR(__xludf.DUMMYFUNCTION("""COMPUTED_VALUE"""),44771.0)</f>
        <v>44771</v>
      </c>
      <c r="C206" s="140" t="str">
        <f>IFERROR(__xludf.DUMMYFUNCTION("""COMPUTED_VALUE"""),"en")</f>
        <v>en</v>
      </c>
      <c r="D206">
        <f>IFERROR(__xludf.DUMMYFUNCTION("""COMPUTED_VALUE"""),4452642.0)</f>
        <v>4452642</v>
      </c>
      <c r="E206" t="str">
        <f>IFERROR(__xludf.DUMMYFUNCTION("""COMPUTED_VALUE"""),"XPath, CSS Selector, Web,DOM, SelectorsHub &amp; TestCase Studio")</f>
        <v>XPath, CSS Selector, Web,DOM, SelectorsHub &amp; TestCase Studio</v>
      </c>
      <c r="F206" t="str">
        <f>IFERROR(__xludf.DUMMYFUNCTION("""COMPUTED_VALUE"""),"XPath, CSS Selector, Web,DOM, SelectorsHub &amp; TestCase Studio")</f>
        <v>XPath, CSS Selector, Web,DOM, SelectorsHub &amp; TestCase Studio</v>
      </c>
      <c r="G206">
        <f>IFERROR(__xludf.DUMMYFUNCTION("""COMPUTED_VALUE"""),1.4074167E8)</f>
        <v>140741670</v>
      </c>
      <c r="H206" t="str">
        <f>IFERROR(__xludf.DUMMYFUNCTION("""COMPUTED_VALUE"""),"Sanjay Kumar")</f>
        <v>Sanjay Kumar</v>
      </c>
      <c r="I206" t="str">
        <f>IFERROR(__xludf.DUMMYFUNCTION("""COMPUTED_VALUE"""),"Instructor Request- Opted Out")</f>
        <v>Instructor Request- Opted Out</v>
      </c>
      <c r="J206" t="b">
        <f>IFERROR(__xludf.DUMMYFUNCTION("""COMPUTED_VALUE"""),FALSE)</f>
        <v>0</v>
      </c>
      <c r="K206" s="142" t="str">
        <f>IFERROR(__xludf.DUMMYFUNCTION("""COMPUTED_VALUE"""),"Development")</f>
        <v>Development</v>
      </c>
      <c r="L206" s="142" t="str">
        <f>IFERROR(__xludf.DUMMYFUNCTION("""COMPUTED_VALUE"""),"Software Testing")</f>
        <v>Software Testing</v>
      </c>
      <c r="N206" s="140" t="str">
        <f>IFERROR(__xludf.DUMMYFUNCTION("""COMPUTED_VALUE"""),"")</f>
        <v/>
      </c>
    </row>
    <row r="207">
      <c r="A207" s="143">
        <f>IFERROR(__xludf.DUMMYFUNCTION("""COMPUTED_VALUE"""),44596.0)</f>
        <v>44596</v>
      </c>
      <c r="B207" s="143">
        <f>IFERROR(__xludf.DUMMYFUNCTION("""COMPUTED_VALUE"""),44771.0)</f>
        <v>44771</v>
      </c>
      <c r="C207" s="140" t="str">
        <f>IFERROR(__xludf.DUMMYFUNCTION("""COMPUTED_VALUE"""),"pt")</f>
        <v>pt</v>
      </c>
      <c r="D207">
        <f>IFERROR(__xludf.DUMMYFUNCTION("""COMPUTED_VALUE"""),4015414.0)</f>
        <v>4015414</v>
      </c>
      <c r="E207" t="str">
        <f>IFERROR(__xludf.DUMMYFUNCTION("""COMPUTED_VALUE"""),"COBIT 2019 Foundation - Preparatório para Certificação")</f>
        <v>COBIT 2019 Foundation - Preparatório para Certificação</v>
      </c>
      <c r="F207" t="str">
        <f>IFERROR(__xludf.DUMMYFUNCTION("""COMPUTED_VALUE"""),"COBIT 2019 Foundation - Certification preparatory")</f>
        <v>COBIT 2019 Foundation - Certification preparatory</v>
      </c>
      <c r="G207">
        <f>IFERROR(__xludf.DUMMYFUNCTION("""COMPUTED_VALUE"""),1.4989866E7)</f>
        <v>14989866</v>
      </c>
      <c r="H207" t="str">
        <f>IFERROR(__xludf.DUMMYFUNCTION("""COMPUTED_VALUE"""),"Renê Chiari")</f>
        <v>Renê Chiari</v>
      </c>
      <c r="I207" t="str">
        <f>IFERROR(__xludf.DUMMYFUNCTION("""COMPUTED_VALUE"""),"Instructor Request- Opted Out")</f>
        <v>Instructor Request- Opted Out</v>
      </c>
      <c r="J207" t="b">
        <f>IFERROR(__xludf.DUMMYFUNCTION("""COMPUTED_VALUE"""),TRUE)</f>
        <v>1</v>
      </c>
      <c r="K207" s="142" t="str">
        <f>IFERROR(__xludf.DUMMYFUNCTION("""COMPUTED_VALUE"""),"IT Operations")</f>
        <v>IT Operations</v>
      </c>
      <c r="L207" s="142" t="str">
        <f>IFERROR(__xludf.DUMMYFUNCTION("""COMPUTED_VALUE"""),"IT Certifications")</f>
        <v>IT Certifications</v>
      </c>
      <c r="N207" s="140" t="str">
        <f>IFERROR(__xludf.DUMMYFUNCTION("""COMPUTED_VALUE"""),"")</f>
        <v/>
      </c>
    </row>
    <row r="208">
      <c r="A208" s="143">
        <f>IFERROR(__xludf.DUMMYFUNCTION("""COMPUTED_VALUE"""),44596.0)</f>
        <v>44596</v>
      </c>
      <c r="B208" s="143">
        <f>IFERROR(__xludf.DUMMYFUNCTION("""COMPUTED_VALUE"""),44771.0)</f>
        <v>44771</v>
      </c>
      <c r="C208" s="140" t="str">
        <f>IFERROR(__xludf.DUMMYFUNCTION("""COMPUTED_VALUE"""),"en")</f>
        <v>en</v>
      </c>
      <c r="D208">
        <f>IFERROR(__xludf.DUMMYFUNCTION("""COMPUTED_VALUE"""),2171124.0)</f>
        <v>2171124</v>
      </c>
      <c r="E208" t="str">
        <f>IFERROR(__xludf.DUMMYFUNCTION("""COMPUTED_VALUE"""),"CCA 131 - Cloudera Certified Hadoop and Spark Administrator")</f>
        <v>CCA 131 - Cloudera Certified Hadoop and Spark Administrator</v>
      </c>
      <c r="F208" t="str">
        <f>IFERROR(__xludf.DUMMYFUNCTION("""COMPUTED_VALUE"""),"CCA 131 - Cloudera Certified Hadoop and Spark Administrator")</f>
        <v>CCA 131 - Cloudera Certified Hadoop and Spark Administrator</v>
      </c>
      <c r="G208">
        <f>IFERROR(__xludf.DUMMYFUNCTION("""COMPUTED_VALUE"""),2.2663786E7)</f>
        <v>22663786</v>
      </c>
      <c r="H208" t="str">
        <f>IFERROR(__xludf.DUMMYFUNCTION("""COMPUTED_VALUE"""),"Durga Viswanatha Raju Gadiraju")</f>
        <v>Durga Viswanatha Raju Gadiraju</v>
      </c>
      <c r="I208" t="str">
        <f>IFERROR(__xludf.DUMMYFUNCTION("""COMPUTED_VALUE"""),"Instructor Request- Opted Out")</f>
        <v>Instructor Request- Opted Out</v>
      </c>
      <c r="J208" t="b">
        <f>IFERROR(__xludf.DUMMYFUNCTION("""COMPUTED_VALUE"""),FALSE)</f>
        <v>0</v>
      </c>
      <c r="K208" s="142" t="str">
        <f>IFERROR(__xludf.DUMMYFUNCTION("""COMPUTED_VALUE"""),"Cloud Computing")</f>
        <v>Cloud Computing</v>
      </c>
      <c r="L208" s="142" t="str">
        <f>IFERROR(__xludf.DUMMYFUNCTION("""COMPUTED_VALUE"""),"Cloud Certification")</f>
        <v>Cloud Certification</v>
      </c>
      <c r="N208" s="140" t="str">
        <f>IFERROR(__xludf.DUMMYFUNCTION("""COMPUTED_VALUE"""),"")</f>
        <v/>
      </c>
    </row>
    <row r="209">
      <c r="A209" s="143">
        <f>IFERROR(__xludf.DUMMYFUNCTION("""COMPUTED_VALUE"""),44596.0)</f>
        <v>44596</v>
      </c>
      <c r="B209" s="143">
        <f>IFERROR(__xludf.DUMMYFUNCTION("""COMPUTED_VALUE"""),44771.0)</f>
        <v>44771</v>
      </c>
      <c r="C209" s="140" t="str">
        <f>IFERROR(__xludf.DUMMYFUNCTION("""COMPUTED_VALUE"""),"es")</f>
        <v>es</v>
      </c>
      <c r="D209">
        <f>IFERROR(__xludf.DUMMYFUNCTION("""COMPUTED_VALUE"""),2904144.0)</f>
        <v>2904144</v>
      </c>
      <c r="E209" t="str">
        <f>IFERROR(__xludf.DUMMYFUNCTION("""COMPUTED_VALUE"""),"CCNA 200-301")</f>
        <v>CCNA 200-301</v>
      </c>
      <c r="F209" t="str">
        <f>IFERROR(__xludf.DUMMYFUNCTION("""COMPUTED_VALUE"""),"CCNA 200-301")</f>
        <v>CCNA 200-301</v>
      </c>
      <c r="G209">
        <f>IFERROR(__xludf.DUMMYFUNCTION("""COMPUTED_VALUE"""),2.9597178E7)</f>
        <v>29597178</v>
      </c>
      <c r="H209" t="str">
        <f>IFERROR(__xludf.DUMMYFUNCTION("""COMPUTED_VALUE"""),"Jesus Espinoza")</f>
        <v>Jesus Espinoza</v>
      </c>
      <c r="I209" t="str">
        <f>IFERROR(__xludf.DUMMYFUNCTION("""COMPUTED_VALUE"""),"Instructor Request- Opted Out")</f>
        <v>Instructor Request- Opted Out</v>
      </c>
      <c r="J209" t="b">
        <f>IFERROR(__xludf.DUMMYFUNCTION("""COMPUTED_VALUE"""),FALSE)</f>
        <v>0</v>
      </c>
      <c r="K209" s="142" t="str">
        <f>IFERROR(__xludf.DUMMYFUNCTION("""COMPUTED_VALUE"""),"IT Operations")</f>
        <v>IT Operations</v>
      </c>
      <c r="L209" s="142" t="str">
        <f>IFERROR(__xludf.DUMMYFUNCTION("""COMPUTED_VALUE"""),"Network &amp; Security")</f>
        <v>Network &amp; Security</v>
      </c>
      <c r="N209" s="140" t="str">
        <f>IFERROR(__xludf.DUMMYFUNCTION("""COMPUTED_VALUE"""),"")</f>
        <v/>
      </c>
    </row>
    <row r="210">
      <c r="A210" s="143">
        <f>IFERROR(__xludf.DUMMYFUNCTION("""COMPUTED_VALUE"""),44596.0)</f>
        <v>44596</v>
      </c>
      <c r="B210" s="143">
        <f>IFERROR(__xludf.DUMMYFUNCTION("""COMPUTED_VALUE"""),44771.0)</f>
        <v>44771</v>
      </c>
      <c r="C210" t="str">
        <f>IFERROR(__xludf.DUMMYFUNCTION("""COMPUTED_VALUE"""),"ar")</f>
        <v>ar</v>
      </c>
      <c r="D210">
        <f>IFERROR(__xludf.DUMMYFUNCTION("""COMPUTED_VALUE"""),3839092.0)</f>
        <v>3839092</v>
      </c>
      <c r="E210" t="str">
        <f>IFERROR(__xludf.DUMMYFUNCTION("""COMPUTED_VALUE"""),"4G RF-Optimization")</f>
        <v>4G RF-Optimization</v>
      </c>
      <c r="F210" t="str">
        <f>IFERROR(__xludf.DUMMYFUNCTION("""COMPUTED_VALUE"""),"4G RF-OPTIMIZATION")</f>
        <v>4G RF-OPTIMIZATION</v>
      </c>
      <c r="G210">
        <f>IFERROR(__xludf.DUMMYFUNCTION("""COMPUTED_VALUE"""),1.36502841E8)</f>
        <v>136502841</v>
      </c>
      <c r="H210" t="str">
        <f>IFERROR(__xludf.DUMMYFUNCTION("""COMPUTED_VALUE"""),"Mohamed Salama")</f>
        <v>Mohamed Salama</v>
      </c>
      <c r="I210" t="str">
        <f>IFERROR(__xludf.DUMMYFUNCTION("""COMPUTED_VALUE"""),"Instructor Request- Opted Out")</f>
        <v>Instructor Request- Opted Out</v>
      </c>
      <c r="J210" t="b">
        <f>IFERROR(__xludf.DUMMYFUNCTION("""COMPUTED_VALUE"""),FALSE)</f>
        <v>0</v>
      </c>
      <c r="K210" s="142" t="str">
        <f>IFERROR(__xludf.DUMMYFUNCTION("""COMPUTED_VALUE"""),"IT Operations")</f>
        <v>IT Operations</v>
      </c>
      <c r="L210" s="142" t="str">
        <f>IFERROR(__xludf.DUMMYFUNCTION("""COMPUTED_VALUE"""),"Network &amp; Security")</f>
        <v>Network &amp; Security</v>
      </c>
      <c r="N210" s="140" t="str">
        <f>IFERROR(__xludf.DUMMYFUNCTION("""COMPUTED_VALUE"""),"")</f>
        <v/>
      </c>
    </row>
    <row r="211">
      <c r="A211" s="143">
        <f>IFERROR(__xludf.DUMMYFUNCTION("""COMPUTED_VALUE"""),44596.0)</f>
        <v>44596</v>
      </c>
      <c r="B211" s="143">
        <f>IFERROR(__xludf.DUMMYFUNCTION("""COMPUTED_VALUE"""),44771.0)</f>
        <v>44771</v>
      </c>
      <c r="C211" t="str">
        <f>IFERROR(__xludf.DUMMYFUNCTION("""COMPUTED_VALUE"""),"ar")</f>
        <v>ar</v>
      </c>
      <c r="D211">
        <f>IFERROR(__xludf.DUMMYFUNCTION("""COMPUTED_VALUE"""),3575027.0)</f>
        <v>3575027</v>
      </c>
      <c r="E211" t="str">
        <f>IFERROR(__xludf.DUMMYFUNCTION("""COMPUTED_VALUE"""),"GSM2G / GPRS 2.5G / EDGE 2.7G")</f>
        <v>GSM2G / GPRS 2.5G / EDGE 2.7G</v>
      </c>
      <c r="F211" t="str">
        <f>IFERROR(__xludf.DUMMYFUNCTION("""COMPUTED_VALUE"""),"GSM2G / GPRS 2.5G / EDGE 2.7G")</f>
        <v>GSM2G / GPRS 2.5G / EDGE 2.7G</v>
      </c>
      <c r="G211">
        <f>IFERROR(__xludf.DUMMYFUNCTION("""COMPUTED_VALUE"""),1.36502841E8)</f>
        <v>136502841</v>
      </c>
      <c r="H211" t="str">
        <f>IFERROR(__xludf.DUMMYFUNCTION("""COMPUTED_VALUE"""),"Mohamed Salama")</f>
        <v>Mohamed Salama</v>
      </c>
      <c r="I211" t="str">
        <f>IFERROR(__xludf.DUMMYFUNCTION("""COMPUTED_VALUE"""),"Instructor Request- Opted Out")</f>
        <v>Instructor Request- Opted Out</v>
      </c>
      <c r="J211" t="b">
        <f>IFERROR(__xludf.DUMMYFUNCTION("""COMPUTED_VALUE"""),FALSE)</f>
        <v>0</v>
      </c>
      <c r="K211" s="142" t="str">
        <f>IFERROR(__xludf.DUMMYFUNCTION("""COMPUTED_VALUE"""),"IT Operations")</f>
        <v>IT Operations</v>
      </c>
      <c r="L211" s="142" t="str">
        <f>IFERROR(__xludf.DUMMYFUNCTION("""COMPUTED_VALUE"""),"Network &amp; Security")</f>
        <v>Network &amp; Security</v>
      </c>
      <c r="N211" s="140" t="str">
        <f>IFERROR(__xludf.DUMMYFUNCTION("""COMPUTED_VALUE"""),"")</f>
        <v/>
      </c>
    </row>
    <row r="212">
      <c r="A212" s="143">
        <f>IFERROR(__xludf.DUMMYFUNCTION("""COMPUTED_VALUE"""),44596.0)</f>
        <v>44596</v>
      </c>
      <c r="B212" s="143">
        <f>IFERROR(__xludf.DUMMYFUNCTION("""COMPUTED_VALUE"""),44771.0)</f>
        <v>44771</v>
      </c>
      <c r="C212" s="140" t="str">
        <f>IFERROR(__xludf.DUMMYFUNCTION("""COMPUTED_VALUE"""),"es")</f>
        <v>es</v>
      </c>
      <c r="D212">
        <f>IFERROR(__xludf.DUMMYFUNCTION("""COMPUTED_VALUE"""),3541506.0)</f>
        <v>3541506</v>
      </c>
      <c r="E212" t="str">
        <f>IFERROR(__xludf.DUMMYFUNCTION("""COMPUTED_VALUE"""),"Design Thinking: dispara tu creatividad para innovar - 2021")</f>
        <v>Design Thinking: dispara tu creatividad para innovar - 2021</v>
      </c>
      <c r="F212" t="str">
        <f>IFERROR(__xludf.DUMMYFUNCTION("""COMPUTED_VALUE"""),"Design Thinking: Shoot your creativity to innovate - 2021")</f>
        <v>Design Thinking: Shoot your creativity to innovate - 2021</v>
      </c>
      <c r="G212">
        <f>IFERROR(__xludf.DUMMYFUNCTION("""COMPUTED_VALUE"""),1.32392392E8)</f>
        <v>132392392</v>
      </c>
      <c r="H212" t="str">
        <f>IFERROR(__xludf.DUMMYFUNCTION("""COMPUTED_VALUE"""),"Diana Pinos")</f>
        <v>Diana Pinos</v>
      </c>
      <c r="I212" t="str">
        <f>IFERROR(__xludf.DUMMYFUNCTION("""COMPUTED_VALUE"""),"Instructor Request- Opted Out")</f>
        <v>Instructor Request- Opted Out</v>
      </c>
      <c r="J212" t="b">
        <f>IFERROR(__xludf.DUMMYFUNCTION("""COMPUTED_VALUE"""),FALSE)</f>
        <v>0</v>
      </c>
      <c r="K212" s="142" t="str">
        <f>IFERROR(__xludf.DUMMYFUNCTION("""COMPUTED_VALUE"""),"Leadership &amp; Management")</f>
        <v>Leadership &amp; Management</v>
      </c>
      <c r="L212" s="142" t="str">
        <f>IFERROR(__xludf.DUMMYFUNCTION("""COMPUTED_VALUE"""),"Strategy")</f>
        <v>Strategy</v>
      </c>
      <c r="N212" s="140" t="str">
        <f>IFERROR(__xludf.DUMMYFUNCTION("""COMPUTED_VALUE"""),"")</f>
        <v/>
      </c>
    </row>
    <row r="213">
      <c r="A213" s="143">
        <f>IFERROR(__xludf.DUMMYFUNCTION("""COMPUTED_VALUE"""),44596.0)</f>
        <v>44596</v>
      </c>
      <c r="B213" s="143">
        <f>IFERROR(__xludf.DUMMYFUNCTION("""COMPUTED_VALUE"""),44771.0)</f>
        <v>44771</v>
      </c>
      <c r="C213" t="str">
        <f>IFERROR(__xludf.DUMMYFUNCTION("""COMPUTED_VALUE"""),"en")</f>
        <v>en</v>
      </c>
      <c r="D213">
        <f>IFERROR(__xludf.DUMMYFUNCTION("""COMPUTED_VALUE"""),4532906.0)</f>
        <v>4532906</v>
      </c>
      <c r="E213" t="str">
        <f>IFERROR(__xludf.DUMMYFUNCTION("""COMPUTED_VALUE"""),"Lego Activities for Management Development Programmes")</f>
        <v>Lego Activities for Management Development Programmes</v>
      </c>
      <c r="F213" t="str">
        <f>IFERROR(__xludf.DUMMYFUNCTION("""COMPUTED_VALUE"""),"Lego Activities for Management Development Programmes")</f>
        <v>Lego Activities for Management Development Programmes</v>
      </c>
      <c r="G213">
        <f>IFERROR(__xludf.DUMMYFUNCTION("""COMPUTED_VALUE"""),5.4170876E7)</f>
        <v>54170876</v>
      </c>
      <c r="H213" t="str">
        <f>IFERROR(__xludf.DUMMYFUNCTION("""COMPUTED_VALUE"""),"Nikie Forster")</f>
        <v>Nikie Forster</v>
      </c>
      <c r="I213" t="str">
        <f>IFERROR(__xludf.DUMMYFUNCTION("""COMPUTED_VALUE"""),"Instructor Request- Opted Out")</f>
        <v>Instructor Request- Opted Out</v>
      </c>
      <c r="J213" t="b">
        <f>IFERROR(__xludf.DUMMYFUNCTION("""COMPUTED_VALUE"""),FALSE)</f>
        <v>0</v>
      </c>
      <c r="K213" s="142" t="str">
        <f>IFERROR(__xludf.DUMMYFUNCTION("""COMPUTED_VALUE"""),"#N/A")</f>
        <v>#N/A</v>
      </c>
      <c r="L213" s="142" t="str">
        <f>IFERROR(__xludf.DUMMYFUNCTION("""COMPUTED_VALUE"""),"#N/A")</f>
        <v>#N/A</v>
      </c>
      <c r="N213" s="140" t="str">
        <f>IFERROR(__xludf.DUMMYFUNCTION("""COMPUTED_VALUE"""),"")</f>
        <v/>
      </c>
    </row>
    <row r="214">
      <c r="A214" s="143">
        <f>IFERROR(__xludf.DUMMYFUNCTION("""COMPUTED_VALUE"""),44596.0)</f>
        <v>44596</v>
      </c>
      <c r="B214" s="143">
        <f>IFERROR(__xludf.DUMMYFUNCTION("""COMPUTED_VALUE"""),44771.0)</f>
        <v>44771</v>
      </c>
      <c r="C214" s="140" t="str">
        <f>IFERROR(__xludf.DUMMYFUNCTION("""COMPUTED_VALUE"""),"en")</f>
        <v>en</v>
      </c>
      <c r="D214">
        <f>IFERROR(__xludf.DUMMYFUNCTION("""COMPUTED_VALUE"""),549848.0)</f>
        <v>549848</v>
      </c>
      <c r="E214" t="str">
        <f>IFERROR(__xludf.DUMMYFUNCTION("""COMPUTED_VALUE"""),"Hotel Management Fundamentals: Kickstart Your Career Success")</f>
        <v>Hotel Management Fundamentals: Kickstart Your Career Success</v>
      </c>
      <c r="F214" t="str">
        <f>IFERROR(__xludf.DUMMYFUNCTION("""COMPUTED_VALUE"""),"Hotel Management Fundamentals: Kickstart Your Career Success")</f>
        <v>Hotel Management Fundamentals: Kickstart Your Career Success</v>
      </c>
      <c r="G214">
        <f>IFERROR(__xludf.DUMMYFUNCTION("""COMPUTED_VALUE"""),1.2431182E7)</f>
        <v>12431182</v>
      </c>
      <c r="H214" t="str">
        <f>IFERROR(__xludf.DUMMYFUNCTION("""COMPUTED_VALUE"""),"Andrea Kjellin")</f>
        <v>Andrea Kjellin</v>
      </c>
      <c r="I214" t="str">
        <f>IFERROR(__xludf.DUMMYFUNCTION("""COMPUTED_VALUE"""),"Instructor Request- Opted Out")</f>
        <v>Instructor Request- Opted Out</v>
      </c>
      <c r="J214" t="b">
        <f>IFERROR(__xludf.DUMMYFUNCTION("""COMPUTED_VALUE"""),FALSE)</f>
        <v>0</v>
      </c>
      <c r="K214" s="142" t="str">
        <f>IFERROR(__xludf.DUMMYFUNCTION("""COMPUTED_VALUE"""),"Personal Development")</f>
        <v>Personal Development</v>
      </c>
      <c r="L214" s="142" t="str">
        <f>IFERROR(__xludf.DUMMYFUNCTION("""COMPUTED_VALUE"""),"Entrepreneurship")</f>
        <v>Entrepreneurship</v>
      </c>
      <c r="N214" s="140" t="str">
        <f>IFERROR(__xludf.DUMMYFUNCTION("""COMPUTED_VALUE"""),"")</f>
        <v/>
      </c>
    </row>
    <row r="215">
      <c r="A215" s="143">
        <f>IFERROR(__xludf.DUMMYFUNCTION("""COMPUTED_VALUE"""),44564.0)</f>
        <v>44564</v>
      </c>
      <c r="B215" s="143">
        <f>IFERROR(__xludf.DUMMYFUNCTION("""COMPUTED_VALUE"""),44742.0)</f>
        <v>44742</v>
      </c>
      <c r="C215" s="140" t="str">
        <f>IFERROR(__xludf.DUMMYFUNCTION("""COMPUTED_VALUE"""),"en")</f>
        <v>en</v>
      </c>
      <c r="D215">
        <f>IFERROR(__xludf.DUMMYFUNCTION("""COMPUTED_VALUE"""),28295.0)</f>
        <v>28295</v>
      </c>
      <c r="E215" t="str">
        <f>IFERROR(__xludf.DUMMYFUNCTION("""COMPUTED_VALUE"""),"Learn Web Designing &amp; HTML5/CSS3 Essentials in 4-Hours")</f>
        <v>Learn Web Designing &amp; HTML5/CSS3 Essentials in 4-Hours</v>
      </c>
      <c r="F215" t="str">
        <f>IFERROR(__xludf.DUMMYFUNCTION("""COMPUTED_VALUE"""),"Learn Web Designing &amp; HTML5/CSS3 Essentials in 4-Hours")</f>
        <v>Learn Web Designing &amp; HTML5/CSS3 Essentials in 4-Hours</v>
      </c>
      <c r="G215">
        <f>IFERROR(__xludf.DUMMYFUNCTION("""COMPUTED_VALUE"""),422607.0)</f>
        <v>422607</v>
      </c>
      <c r="H215" t="str">
        <f>IFERROR(__xludf.DUMMYFUNCTION("""COMPUTED_VALUE"""),"Brad Hussey")</f>
        <v>Brad Hussey</v>
      </c>
      <c r="I215" t="str">
        <f>IFERROR(__xludf.DUMMYFUNCTION("""COMPUTED_VALUE"""),"Low Rating")</f>
        <v>Low Rating</v>
      </c>
      <c r="J215" t="b">
        <f>IFERROR(__xludf.DUMMYFUNCTION("""COMPUTED_VALUE"""),FALSE)</f>
        <v>0</v>
      </c>
      <c r="K215" s="142" t="str">
        <f>IFERROR(__xludf.DUMMYFUNCTION("""COMPUTED_VALUE"""),"Design")</f>
        <v>Design</v>
      </c>
      <c r="L215" s="142" t="str">
        <f>IFERROR(__xludf.DUMMYFUNCTION("""COMPUTED_VALUE"""),"Web Design")</f>
        <v>Web Design</v>
      </c>
      <c r="M215" s="140">
        <f>IFERROR(__xludf.DUMMYFUNCTION("""COMPUTED_VALUE"""),505208.0)</f>
        <v>505208</v>
      </c>
      <c r="N215" s="140" t="str">
        <f>IFERROR(__xludf.DUMMYFUNCTION("""COMPUTED_VALUE"""),"Responsive Web Design: HTML5 + CSS3 for Entrepreneurs 2018")</f>
        <v>Responsive Web Design: HTML5 + CSS3 for Entrepreneurs 2018</v>
      </c>
      <c r="P215" s="140" t="str">
        <f>IFERROR(__xludf.DUMMYFUNCTION("""COMPUTED_VALUE"""),"")</f>
        <v/>
      </c>
    </row>
    <row r="216">
      <c r="A216" s="143">
        <f>IFERROR(__xludf.DUMMYFUNCTION("""COMPUTED_VALUE"""),44564.0)</f>
        <v>44564</v>
      </c>
      <c r="B216" s="143">
        <f>IFERROR(__xludf.DUMMYFUNCTION("""COMPUTED_VALUE"""),44742.0)</f>
        <v>44742</v>
      </c>
      <c r="C216" s="140" t="str">
        <f>IFERROR(__xludf.DUMMYFUNCTION("""COMPUTED_VALUE"""),"en")</f>
        <v>en</v>
      </c>
      <c r="D216">
        <f>IFERROR(__xludf.DUMMYFUNCTION("""COMPUTED_VALUE"""),1278290.0)</f>
        <v>1278290</v>
      </c>
      <c r="E216" t="str">
        <f>IFERROR(__xludf.DUMMYFUNCTION("""COMPUTED_VALUE"""),"Yoga for Back Pain Relief &amp; Prevention-Certification Course")</f>
        <v>Yoga for Back Pain Relief &amp; Prevention-Certification Course</v>
      </c>
      <c r="F216" t="str">
        <f>IFERROR(__xludf.DUMMYFUNCTION("""COMPUTED_VALUE"""),"Yoga for Back Pain Relief &amp; Prevention-Certification Course")</f>
        <v>Yoga for Back Pain Relief &amp; Prevention-Certification Course</v>
      </c>
      <c r="G216">
        <f>IFERROR(__xludf.DUMMYFUNCTION("""COMPUTED_VALUE"""),2.0192758E7)</f>
        <v>20192758</v>
      </c>
      <c r="H216" t="str">
        <f>IFERROR(__xludf.DUMMYFUNCTION("""COMPUTED_VALUE"""),"Yoga Instructor Seva Samadhi")</f>
        <v>Yoga Instructor Seva Samadhi</v>
      </c>
      <c r="I216" t="str">
        <f>IFERROR(__xludf.DUMMYFUNCTION("""COMPUTED_VALUE"""),"Low Rating")</f>
        <v>Low Rating</v>
      </c>
      <c r="J216" t="b">
        <f>IFERROR(__xludf.DUMMYFUNCTION("""COMPUTED_VALUE"""),FALSE)</f>
        <v>0</v>
      </c>
      <c r="K216" s="142" t="str">
        <f>IFERROR(__xludf.DUMMYFUNCTION("""COMPUTED_VALUE"""),"Personal Development")</f>
        <v>Personal Development</v>
      </c>
      <c r="L216" s="142" t="str">
        <f>IFERROR(__xludf.DUMMYFUNCTION("""COMPUTED_VALUE"""),"Health &amp; Fitness")</f>
        <v>Health &amp; Fitness</v>
      </c>
      <c r="N216" s="140" t="str">
        <f>IFERROR(__xludf.DUMMYFUNCTION("""COMPUTED_VALUE"""),"")</f>
        <v/>
      </c>
      <c r="P216" s="140" t="str">
        <f>IFERROR(__xludf.DUMMYFUNCTION("""COMPUTED_VALUE"""),"")</f>
        <v/>
      </c>
    </row>
    <row r="217">
      <c r="A217" s="143">
        <f>IFERROR(__xludf.DUMMYFUNCTION("""COMPUTED_VALUE"""),44564.0)</f>
        <v>44564</v>
      </c>
      <c r="B217" s="143">
        <f>IFERROR(__xludf.DUMMYFUNCTION("""COMPUTED_VALUE"""),44742.0)</f>
        <v>44742</v>
      </c>
      <c r="C217" s="140" t="str">
        <f>IFERROR(__xludf.DUMMYFUNCTION("""COMPUTED_VALUE"""),"fr")</f>
        <v>fr</v>
      </c>
      <c r="D217">
        <f>IFERROR(__xludf.DUMMYFUNCTION("""COMPUTED_VALUE"""),1323124.0)</f>
        <v>1323124</v>
      </c>
      <c r="E217" t="str">
        <f>IFERROR(__xludf.DUMMYFUNCTION("""COMPUTED_VALUE"""),"Utiliser le marketing de contenu pour attirer des visiteurs")</f>
        <v>Utiliser le marketing de contenu pour attirer des visiteurs</v>
      </c>
      <c r="F217" t="str">
        <f>IFERROR(__xludf.DUMMYFUNCTION("""COMPUTED_VALUE"""),"Use content marketing to attract visitors")</f>
        <v>Use content marketing to attract visitors</v>
      </c>
      <c r="G217">
        <f>IFERROR(__xludf.DUMMYFUNCTION("""COMPUTED_VALUE"""),6682048.0)</f>
        <v>6682048</v>
      </c>
      <c r="H217" t="str">
        <f>IFERROR(__xludf.DUMMYFUNCTION("""COMPUTED_VALUE"""),"Jérôme Gallez")</f>
        <v>Jérôme Gallez</v>
      </c>
      <c r="I217" t="str">
        <f>IFERROR(__xludf.DUMMYFUNCTION("""COMPUTED_VALUE"""),"Low Rating")</f>
        <v>Low Rating</v>
      </c>
      <c r="J217" t="b">
        <f>IFERROR(__xludf.DUMMYFUNCTION("""COMPUTED_VALUE"""),FALSE)</f>
        <v>0</v>
      </c>
      <c r="K217" s="142" t="str">
        <f>IFERROR(__xludf.DUMMYFUNCTION("""COMPUTED_VALUE"""),"Marketing")</f>
        <v>Marketing</v>
      </c>
      <c r="L217" s="142" t="str">
        <f>IFERROR(__xludf.DUMMYFUNCTION("""COMPUTED_VALUE"""),"Content Marketing")</f>
        <v>Content Marketing</v>
      </c>
      <c r="N217" s="140" t="str">
        <f>IFERROR(__xludf.DUMMYFUNCTION("""COMPUTED_VALUE"""),"")</f>
        <v/>
      </c>
      <c r="P217" s="140" t="str">
        <f>IFERROR(__xludf.DUMMYFUNCTION("""COMPUTED_VALUE"""),"")</f>
        <v/>
      </c>
    </row>
    <row r="218">
      <c r="A218" s="143">
        <f>IFERROR(__xludf.DUMMYFUNCTION("""COMPUTED_VALUE"""),44564.0)</f>
        <v>44564</v>
      </c>
      <c r="B218" s="143">
        <f>IFERROR(__xludf.DUMMYFUNCTION("""COMPUTED_VALUE"""),44742.0)</f>
        <v>44742</v>
      </c>
      <c r="C218" s="140" t="str">
        <f>IFERROR(__xludf.DUMMYFUNCTION("""COMPUTED_VALUE"""),"es")</f>
        <v>es</v>
      </c>
      <c r="D218">
        <f>IFERROR(__xludf.DUMMYFUNCTION("""COMPUTED_VALUE"""),1361684.0)</f>
        <v>1361684</v>
      </c>
      <c r="E218" t="str">
        <f>IFERROR(__xludf.DUMMYFUNCTION("""COMPUTED_VALUE"""),"Curso Diseño Grafico Completo")</f>
        <v>Curso Diseño Grafico Completo</v>
      </c>
      <c r="F218" t="str">
        <f>IFERROR(__xludf.DUMMYFUNCTION("""COMPUTED_VALUE"""),"Course Full Graphic Design")</f>
        <v>Course Full Graphic Design</v>
      </c>
      <c r="G218">
        <f>IFERROR(__xludf.DUMMYFUNCTION("""COMPUTED_VALUE"""),3.475999E7)</f>
        <v>34759990</v>
      </c>
      <c r="H218" t="str">
        <f>IFERROR(__xludf.DUMMYFUNCTION("""COMPUTED_VALUE"""),"André Fontenelle")</f>
        <v>André Fontenelle</v>
      </c>
      <c r="I218" t="str">
        <f>IFERROR(__xludf.DUMMYFUNCTION("""COMPUTED_VALUE"""),"Low Rating")</f>
        <v>Low Rating</v>
      </c>
      <c r="J218" t="b">
        <f>IFERROR(__xludf.DUMMYFUNCTION("""COMPUTED_VALUE"""),FALSE)</f>
        <v>0</v>
      </c>
      <c r="K218" s="142" t="str">
        <f>IFERROR(__xludf.DUMMYFUNCTION("""COMPUTED_VALUE"""),"Design")</f>
        <v>Design</v>
      </c>
      <c r="L218" s="142" t="str">
        <f>IFERROR(__xludf.DUMMYFUNCTION("""COMPUTED_VALUE"""),"Graphic Design")</f>
        <v>Graphic Design</v>
      </c>
      <c r="N218" s="140" t="str">
        <f>IFERROR(__xludf.DUMMYFUNCTION("""COMPUTED_VALUE"""),"")</f>
        <v/>
      </c>
      <c r="P218" s="140" t="str">
        <f>IFERROR(__xludf.DUMMYFUNCTION("""COMPUTED_VALUE"""),"")</f>
        <v/>
      </c>
    </row>
    <row r="219">
      <c r="A219" s="143">
        <f>IFERROR(__xludf.DUMMYFUNCTION("""COMPUTED_VALUE"""),44564.0)</f>
        <v>44564</v>
      </c>
      <c r="B219" s="143">
        <f>IFERROR(__xludf.DUMMYFUNCTION("""COMPUTED_VALUE"""),44742.0)</f>
        <v>44742</v>
      </c>
      <c r="C219" s="140" t="str">
        <f>IFERROR(__xludf.DUMMYFUNCTION("""COMPUTED_VALUE"""),"ar")</f>
        <v>ar</v>
      </c>
      <c r="D219">
        <f>IFERROR(__xludf.DUMMYFUNCTION("""COMPUTED_VALUE"""),1421718.0)</f>
        <v>1421718</v>
      </c>
      <c r="E219" t="str">
        <f>IFERROR(__xludf.DUMMYFUNCTION("""COMPUTED_VALUE"""),"المرجع الشامل لبناء وبرمجه المواقع ببايثون (Python+Django)")</f>
        <v>المرجع الشامل لبناء وبرمجه المواقع ببايثون (Python+Django)</v>
      </c>
      <c r="F219" t="str">
        <f>IFERROR(__xludf.DUMMYFUNCTION("""COMPUTED_VALUE"""),"Comprehensive reference for building and programming sites in Pathon (Python + Django)")</f>
        <v>Comprehensive reference for building and programming sites in Pathon (Python + Django)</v>
      </c>
      <c r="G219">
        <f>IFERROR(__xludf.DUMMYFUNCTION("""COMPUTED_VALUE"""),1.5392798E7)</f>
        <v>15392798</v>
      </c>
      <c r="H219" t="str">
        <f>IFERROR(__xludf.DUMMYFUNCTION("""COMPUTED_VALUE"""),"Mahmoud Ahmed")</f>
        <v>Mahmoud Ahmed</v>
      </c>
      <c r="I219" t="str">
        <f>IFERROR(__xludf.DUMMYFUNCTION("""COMPUTED_VALUE"""),"Low Rating")</f>
        <v>Low Rating</v>
      </c>
      <c r="J219" t="b">
        <f>IFERROR(__xludf.DUMMYFUNCTION("""COMPUTED_VALUE"""),FALSE)</f>
        <v>0</v>
      </c>
      <c r="K219" s="142" t="str">
        <f>IFERROR(__xludf.DUMMYFUNCTION("""COMPUTED_VALUE"""),"Development")</f>
        <v>Development</v>
      </c>
      <c r="L219" s="142" t="str">
        <f>IFERROR(__xludf.DUMMYFUNCTION("""COMPUTED_VALUE"""),"Programming Languages")</f>
        <v>Programming Languages</v>
      </c>
      <c r="N219" s="140" t="str">
        <f>IFERROR(__xludf.DUMMYFUNCTION("""COMPUTED_VALUE"""),"")</f>
        <v/>
      </c>
      <c r="P219" s="140" t="str">
        <f>IFERROR(__xludf.DUMMYFUNCTION("""COMPUTED_VALUE"""),"")</f>
        <v/>
      </c>
    </row>
    <row r="220">
      <c r="A220" s="143">
        <f>IFERROR(__xludf.DUMMYFUNCTION("""COMPUTED_VALUE"""),44564.0)</f>
        <v>44564</v>
      </c>
      <c r="B220" s="143">
        <f>IFERROR(__xludf.DUMMYFUNCTION("""COMPUTED_VALUE"""),44742.0)</f>
        <v>44742</v>
      </c>
      <c r="C220" s="140" t="str">
        <f>IFERROR(__xludf.DUMMYFUNCTION("""COMPUTED_VALUE"""),"en")</f>
        <v>en</v>
      </c>
      <c r="D220">
        <f>IFERROR(__xludf.DUMMYFUNCTION("""COMPUTED_VALUE"""),1511066.0)</f>
        <v>1511066</v>
      </c>
      <c r="E220" t="str">
        <f>IFERROR(__xludf.DUMMYFUNCTION("""COMPUTED_VALUE"""),"SSH advanced usage")</f>
        <v>SSH advanced usage</v>
      </c>
      <c r="F220" t="str">
        <f>IFERROR(__xludf.DUMMYFUNCTION("""COMPUTED_VALUE"""),"SSH advanced usage")</f>
        <v>SSH advanced usage</v>
      </c>
      <c r="G220">
        <f>IFERROR(__xludf.DUMMYFUNCTION("""COMPUTED_VALUE"""),1.2613148E7)</f>
        <v>12613148</v>
      </c>
      <c r="H220" t="str">
        <f>IFERROR(__xludf.DUMMYFUNCTION("""COMPUTED_VALUE"""),"Jimmy Larsson")</f>
        <v>Jimmy Larsson</v>
      </c>
      <c r="I220" t="str">
        <f>IFERROR(__xludf.DUMMYFUNCTION("""COMPUTED_VALUE"""),"Low Rating")</f>
        <v>Low Rating</v>
      </c>
      <c r="J220" t="b">
        <f>IFERROR(__xludf.DUMMYFUNCTION("""COMPUTED_VALUE"""),FALSE)</f>
        <v>0</v>
      </c>
      <c r="K220" s="142" t="str">
        <f>IFERROR(__xludf.DUMMYFUNCTION("""COMPUTED_VALUE"""),"IT Operations")</f>
        <v>IT Operations</v>
      </c>
      <c r="L220" s="142" t="str">
        <f>IFERROR(__xludf.DUMMYFUNCTION("""COMPUTED_VALUE"""),"Network &amp; Security")</f>
        <v>Network &amp; Security</v>
      </c>
      <c r="N220" s="140" t="str">
        <f>IFERROR(__xludf.DUMMYFUNCTION("""COMPUTED_VALUE"""),"")</f>
        <v/>
      </c>
      <c r="P220" s="140" t="str">
        <f>IFERROR(__xludf.DUMMYFUNCTION("""COMPUTED_VALUE"""),"")</f>
        <v/>
      </c>
    </row>
    <row r="221">
      <c r="A221" s="143">
        <f>IFERROR(__xludf.DUMMYFUNCTION("""COMPUTED_VALUE"""),44564.0)</f>
        <v>44564</v>
      </c>
      <c r="B221" s="143">
        <f>IFERROR(__xludf.DUMMYFUNCTION("""COMPUTED_VALUE"""),44742.0)</f>
        <v>44742</v>
      </c>
      <c r="C221" s="140" t="str">
        <f>IFERROR(__xludf.DUMMYFUNCTION("""COMPUTED_VALUE"""),"en")</f>
        <v>en</v>
      </c>
      <c r="D221">
        <f>IFERROR(__xludf.DUMMYFUNCTION("""COMPUTED_VALUE"""),1568060.0)</f>
        <v>1568060</v>
      </c>
      <c r="E221" t="str">
        <f>IFERROR(__xludf.DUMMYFUNCTION("""COMPUTED_VALUE"""),"Machine Learning In The Cloud With Azure Machine Learning")</f>
        <v>Machine Learning In The Cloud With Azure Machine Learning</v>
      </c>
      <c r="F221" t="str">
        <f>IFERROR(__xludf.DUMMYFUNCTION("""COMPUTED_VALUE"""),"Machine Learning In The Cloud With Azure Machine Learning")</f>
        <v>Machine Learning In The Cloud With Azure Machine Learning</v>
      </c>
      <c r="G221">
        <f>IFERROR(__xludf.DUMMYFUNCTION("""COMPUTED_VALUE"""),2.9951918E7)</f>
        <v>29951918</v>
      </c>
      <c r="H221" t="str">
        <f>IFERROR(__xludf.DUMMYFUNCTION("""COMPUTED_VALUE"""),"TetraNoodle Team")</f>
        <v>TetraNoodle Team</v>
      </c>
      <c r="I221" t="str">
        <f>IFERROR(__xludf.DUMMYFUNCTION("""COMPUTED_VALUE"""),"Low Rating")</f>
        <v>Low Rating</v>
      </c>
      <c r="J221" t="b">
        <f>IFERROR(__xludf.DUMMYFUNCTION("""COMPUTED_VALUE"""),FALSE)</f>
        <v>0</v>
      </c>
      <c r="K221" s="142" t="str">
        <f>IFERROR(__xludf.DUMMYFUNCTION("""COMPUTED_VALUE"""),"Cloud Computing")</f>
        <v>Cloud Computing</v>
      </c>
      <c r="L221" s="142" t="str">
        <f>IFERROR(__xludf.DUMMYFUNCTION("""COMPUTED_VALUE"""),"Cloud Development")</f>
        <v>Cloud Development</v>
      </c>
      <c r="N221" s="140" t="str">
        <f>IFERROR(__xludf.DUMMYFUNCTION("""COMPUTED_VALUE"""),"")</f>
        <v/>
      </c>
      <c r="P221" s="140" t="str">
        <f>IFERROR(__xludf.DUMMYFUNCTION("""COMPUTED_VALUE"""),"")</f>
        <v/>
      </c>
    </row>
    <row r="222">
      <c r="A222" s="143">
        <f>IFERROR(__xludf.DUMMYFUNCTION("""COMPUTED_VALUE"""),44564.0)</f>
        <v>44564</v>
      </c>
      <c r="B222" s="143">
        <f>IFERROR(__xludf.DUMMYFUNCTION("""COMPUTED_VALUE"""),44742.0)</f>
        <v>44742</v>
      </c>
      <c r="C222" s="140" t="str">
        <f>IFERROR(__xludf.DUMMYFUNCTION("""COMPUTED_VALUE"""),"en")</f>
        <v>en</v>
      </c>
      <c r="D222">
        <f>IFERROR(__xludf.DUMMYFUNCTION("""COMPUTED_VALUE"""),1614454.0)</f>
        <v>1614454</v>
      </c>
      <c r="E222" t="str">
        <f>IFERROR(__xludf.DUMMYFUNCTION("""COMPUTED_VALUE"""),"Azure MasterClass: Manage Azure Cloud with ARM Templates")</f>
        <v>Azure MasterClass: Manage Azure Cloud with ARM Templates</v>
      </c>
      <c r="F222" t="str">
        <f>IFERROR(__xludf.DUMMYFUNCTION("""COMPUTED_VALUE"""),"Azure MasterClass: Manage Azure Cloud with ARM Templates")</f>
        <v>Azure MasterClass: Manage Azure Cloud with ARM Templates</v>
      </c>
      <c r="G222">
        <f>IFERROR(__xludf.DUMMYFUNCTION("""COMPUTED_VALUE"""),2.9951918E7)</f>
        <v>29951918</v>
      </c>
      <c r="H222" t="str">
        <f>IFERROR(__xludf.DUMMYFUNCTION("""COMPUTED_VALUE"""),"TetraNoodle Team")</f>
        <v>TetraNoodle Team</v>
      </c>
      <c r="I222" t="str">
        <f>IFERROR(__xludf.DUMMYFUNCTION("""COMPUTED_VALUE"""),"Low Rating")</f>
        <v>Low Rating</v>
      </c>
      <c r="J222" t="b">
        <f>IFERROR(__xludf.DUMMYFUNCTION("""COMPUTED_VALUE"""),FALSE)</f>
        <v>0</v>
      </c>
      <c r="K222" s="142" t="str">
        <f>IFERROR(__xludf.DUMMYFUNCTION("""COMPUTED_VALUE"""),"Development")</f>
        <v>Development</v>
      </c>
      <c r="L222" s="142" t="str">
        <f>IFERROR(__xludf.DUMMYFUNCTION("""COMPUTED_VALUE"""),"Development Tools")</f>
        <v>Development Tools</v>
      </c>
      <c r="N222" s="140" t="str">
        <f>IFERROR(__xludf.DUMMYFUNCTION("""COMPUTED_VALUE"""),"")</f>
        <v/>
      </c>
      <c r="P222" s="140" t="str">
        <f>IFERROR(__xludf.DUMMYFUNCTION("""COMPUTED_VALUE"""),"")</f>
        <v/>
      </c>
    </row>
    <row r="223">
      <c r="A223" s="143">
        <f>IFERROR(__xludf.DUMMYFUNCTION("""COMPUTED_VALUE"""),44564.0)</f>
        <v>44564</v>
      </c>
      <c r="B223" s="143">
        <f>IFERROR(__xludf.DUMMYFUNCTION("""COMPUTED_VALUE"""),44742.0)</f>
        <v>44742</v>
      </c>
      <c r="C223" s="140" t="str">
        <f>IFERROR(__xludf.DUMMYFUNCTION("""COMPUTED_VALUE"""),"zh")</f>
        <v>zh</v>
      </c>
      <c r="D223">
        <f>IFERROR(__xludf.DUMMYFUNCTION("""COMPUTED_VALUE"""),1804944.0)</f>
        <v>1804944</v>
      </c>
      <c r="E223" t="str">
        <f>IFERROR(__xludf.DUMMYFUNCTION("""COMPUTED_VALUE"""),"Vue.JS ：从初学者到专业人士")</f>
        <v>Vue.JS ：从初学者到专业人士</v>
      </c>
      <c r="F223" t="str">
        <f>IFERROR(__xludf.DUMMYFUNCTION("""COMPUTED_VALUE"""),"Vue.js: from beginners to professionals")</f>
        <v>Vue.js: from beginners to professionals</v>
      </c>
      <c r="G223">
        <f>IFERROR(__xludf.DUMMYFUNCTION("""COMPUTED_VALUE"""),4.9476936E7)</f>
        <v>49476936</v>
      </c>
      <c r="H223" t="str">
        <f>IFERROR(__xludf.DUMMYFUNCTION("""COMPUTED_VALUE"""),"fei ye")</f>
        <v>fei ye</v>
      </c>
      <c r="I223" t="str">
        <f>IFERROR(__xludf.DUMMYFUNCTION("""COMPUTED_VALUE"""),"Low Rating")</f>
        <v>Low Rating</v>
      </c>
      <c r="J223" t="b">
        <f>IFERROR(__xludf.DUMMYFUNCTION("""COMPUTED_VALUE"""),FALSE)</f>
        <v>0</v>
      </c>
      <c r="K223" s="142" t="str">
        <f>IFERROR(__xludf.DUMMYFUNCTION("""COMPUTED_VALUE"""),"Development")</f>
        <v>Development</v>
      </c>
      <c r="L223" s="142" t="str">
        <f>IFERROR(__xludf.DUMMYFUNCTION("""COMPUTED_VALUE"""),"Web Development")</f>
        <v>Web Development</v>
      </c>
      <c r="N223" s="140" t="str">
        <f>IFERROR(__xludf.DUMMYFUNCTION("""COMPUTED_VALUE"""),"")</f>
        <v/>
      </c>
      <c r="P223" s="140" t="str">
        <f>IFERROR(__xludf.DUMMYFUNCTION("""COMPUTED_VALUE"""),"")</f>
        <v/>
      </c>
    </row>
    <row r="224">
      <c r="A224" s="143">
        <f>IFERROR(__xludf.DUMMYFUNCTION("""COMPUTED_VALUE"""),44564.0)</f>
        <v>44564</v>
      </c>
      <c r="B224" s="143">
        <f>IFERROR(__xludf.DUMMYFUNCTION("""COMPUTED_VALUE"""),44742.0)</f>
        <v>44742</v>
      </c>
      <c r="C224" s="140" t="str">
        <f>IFERROR(__xludf.DUMMYFUNCTION("""COMPUTED_VALUE"""),"en")</f>
        <v>en</v>
      </c>
      <c r="D224">
        <f>IFERROR(__xludf.DUMMYFUNCTION("""COMPUTED_VALUE"""),1851642.0)</f>
        <v>1851642</v>
      </c>
      <c r="E224" t="str">
        <f>IFERROR(__xludf.DUMMYFUNCTION("""COMPUTED_VALUE"""),"Getting Started with .NET Core Identity Server 4")</f>
        <v>Getting Started with .NET Core Identity Server 4</v>
      </c>
      <c r="F224" t="str">
        <f>IFERROR(__xludf.DUMMYFUNCTION("""COMPUTED_VALUE"""),"Getting Started with .NET Core Identity Server 4")</f>
        <v>Getting Started with .NET Core Identity Server 4</v>
      </c>
      <c r="G224">
        <f>IFERROR(__xludf.DUMMYFUNCTION("""COMPUTED_VALUE"""),3.2624984E7)</f>
        <v>32624984</v>
      </c>
      <c r="H224" t="str">
        <f>IFERROR(__xludf.DUMMYFUNCTION("""COMPUTED_VALUE"""),"Manish Narayan")</f>
        <v>Manish Narayan</v>
      </c>
      <c r="I224" t="str">
        <f>IFERROR(__xludf.DUMMYFUNCTION("""COMPUTED_VALUE"""),"Low Rating")</f>
        <v>Low Rating</v>
      </c>
      <c r="J224" t="b">
        <f>IFERROR(__xludf.DUMMYFUNCTION("""COMPUTED_VALUE"""),FALSE)</f>
        <v>0</v>
      </c>
      <c r="K224" s="142" t="str">
        <f>IFERROR(__xludf.DUMMYFUNCTION("""COMPUTED_VALUE"""),"Development")</f>
        <v>Development</v>
      </c>
      <c r="L224" s="142" t="str">
        <f>IFERROR(__xludf.DUMMYFUNCTION("""COMPUTED_VALUE"""),"Web Development")</f>
        <v>Web Development</v>
      </c>
      <c r="N224" s="140" t="str">
        <f>IFERROR(__xludf.DUMMYFUNCTION("""COMPUTED_VALUE"""),"")</f>
        <v/>
      </c>
      <c r="P224" s="140" t="str">
        <f>IFERROR(__xludf.DUMMYFUNCTION("""COMPUTED_VALUE"""),"")</f>
        <v/>
      </c>
    </row>
    <row r="225">
      <c r="A225" s="143">
        <f>IFERROR(__xludf.DUMMYFUNCTION("""COMPUTED_VALUE"""),44564.0)</f>
        <v>44564</v>
      </c>
      <c r="B225" s="143">
        <f>IFERROR(__xludf.DUMMYFUNCTION("""COMPUTED_VALUE"""),44742.0)</f>
        <v>44742</v>
      </c>
      <c r="C225" s="140" t="str">
        <f>IFERROR(__xludf.DUMMYFUNCTION("""COMPUTED_VALUE"""),"en")</f>
        <v>en</v>
      </c>
      <c r="D225">
        <f>IFERROR(__xludf.DUMMYFUNCTION("""COMPUTED_VALUE"""),2014090.0)</f>
        <v>2014090</v>
      </c>
      <c r="E225" t="str">
        <f>IFERROR(__xludf.DUMMYFUNCTION("""COMPUTED_VALUE"""),"Mechanical engineering design : Sheet metal design")</f>
        <v>Mechanical engineering design : Sheet metal design</v>
      </c>
      <c r="F225" t="str">
        <f>IFERROR(__xludf.DUMMYFUNCTION("""COMPUTED_VALUE"""),"Mechanical engineering design : Sheet metal design")</f>
        <v>Mechanical engineering design : Sheet metal design</v>
      </c>
      <c r="G225">
        <f>IFERROR(__xludf.DUMMYFUNCTION("""COMPUTED_VALUE"""),5.5587414E7)</f>
        <v>55587414</v>
      </c>
      <c r="H225" t="str">
        <f>IFERROR(__xludf.DUMMYFUNCTION("""COMPUTED_VALUE"""),"Mufaddal Rasheed")</f>
        <v>Mufaddal Rasheed</v>
      </c>
      <c r="I225" t="str">
        <f>IFERROR(__xludf.DUMMYFUNCTION("""COMPUTED_VALUE"""),"Low Rating")</f>
        <v>Low Rating</v>
      </c>
      <c r="J225" t="b">
        <f>IFERROR(__xludf.DUMMYFUNCTION("""COMPUTED_VALUE"""),FALSE)</f>
        <v>0</v>
      </c>
      <c r="K225" s="142" t="str">
        <f>IFERROR(__xludf.DUMMYFUNCTION("""COMPUTED_VALUE"""),"Personal Development")</f>
        <v>Personal Development</v>
      </c>
      <c r="L225" s="142" t="str">
        <f>IFERROR(__xludf.DUMMYFUNCTION("""COMPUTED_VALUE"""),"Hobbies")</f>
        <v>Hobbies</v>
      </c>
      <c r="N225" s="140" t="str">
        <f>IFERROR(__xludf.DUMMYFUNCTION("""COMPUTED_VALUE"""),"")</f>
        <v/>
      </c>
      <c r="P225" s="140" t="str">
        <f>IFERROR(__xludf.DUMMYFUNCTION("""COMPUTED_VALUE"""),"")</f>
        <v/>
      </c>
    </row>
    <row r="226">
      <c r="A226" s="143">
        <f>IFERROR(__xludf.DUMMYFUNCTION("""COMPUTED_VALUE"""),44564.0)</f>
        <v>44564</v>
      </c>
      <c r="B226" s="143">
        <f>IFERROR(__xludf.DUMMYFUNCTION("""COMPUTED_VALUE"""),44742.0)</f>
        <v>44742</v>
      </c>
      <c r="C226" s="140" t="str">
        <f>IFERROR(__xludf.DUMMYFUNCTION("""COMPUTED_VALUE"""),"de")</f>
        <v>de</v>
      </c>
      <c r="D226">
        <f>IFERROR(__xludf.DUMMYFUNCTION("""COMPUTED_VALUE"""),2032114.0)</f>
        <v>2032114</v>
      </c>
      <c r="E226" t="str">
        <f>IFERROR(__xludf.DUMMYFUNCTION("""COMPUTED_VALUE"""),"Buchhaltung - Crashkurs")</f>
        <v>Buchhaltung - Crashkurs</v>
      </c>
      <c r="F226" t="str">
        <f>IFERROR(__xludf.DUMMYFUNCTION("""COMPUTED_VALUE"""),"Accounting - Crash Course")</f>
        <v>Accounting - Crash Course</v>
      </c>
      <c r="G226">
        <f>IFERROR(__xludf.DUMMYFUNCTION("""COMPUTED_VALUE"""),4.7563754E7)</f>
        <v>47563754</v>
      </c>
      <c r="H226" t="str">
        <f>IFERROR(__xludf.DUMMYFUNCTION("""COMPUTED_VALUE"""),"Samuel Reischl")</f>
        <v>Samuel Reischl</v>
      </c>
      <c r="I226" t="str">
        <f>IFERROR(__xludf.DUMMYFUNCTION("""COMPUTED_VALUE"""),"Low Rating")</f>
        <v>Low Rating</v>
      </c>
      <c r="J226" t="b">
        <f>IFERROR(__xludf.DUMMYFUNCTION("""COMPUTED_VALUE"""),FALSE)</f>
        <v>0</v>
      </c>
      <c r="K226" s="142" t="str">
        <f>IFERROR(__xludf.DUMMYFUNCTION("""COMPUTED_VALUE"""),"Finance &amp; Accounting")</f>
        <v>Finance &amp; Accounting</v>
      </c>
      <c r="L226" s="142" t="str">
        <f>IFERROR(__xludf.DUMMYFUNCTION("""COMPUTED_VALUE"""),"Finance Fundamentals")</f>
        <v>Finance Fundamentals</v>
      </c>
      <c r="N226" s="140" t="str">
        <f>IFERROR(__xludf.DUMMYFUNCTION("""COMPUTED_VALUE"""),"")</f>
        <v/>
      </c>
      <c r="P226" s="140" t="str">
        <f>IFERROR(__xludf.DUMMYFUNCTION("""COMPUTED_VALUE"""),"")</f>
        <v/>
      </c>
    </row>
    <row r="227">
      <c r="A227" s="143">
        <f>IFERROR(__xludf.DUMMYFUNCTION("""COMPUTED_VALUE"""),44564.0)</f>
        <v>44564</v>
      </c>
      <c r="B227" s="143">
        <f>IFERROR(__xludf.DUMMYFUNCTION("""COMPUTED_VALUE"""),44742.0)</f>
        <v>44742</v>
      </c>
      <c r="C227" s="140" t="str">
        <f>IFERROR(__xludf.DUMMYFUNCTION("""COMPUTED_VALUE"""),"en")</f>
        <v>en</v>
      </c>
      <c r="D227">
        <f>IFERROR(__xludf.DUMMYFUNCTION("""COMPUTED_VALUE"""),2396452.0)</f>
        <v>2396452</v>
      </c>
      <c r="E227" t="str">
        <f>IFERROR(__xludf.DUMMYFUNCTION("""COMPUTED_VALUE"""),"IT/NON-IT Recruiter Training to become a Recruiter (Junior)")</f>
        <v>IT/NON-IT Recruiter Training to become a Recruiter (Junior)</v>
      </c>
      <c r="F227" t="str">
        <f>IFERROR(__xludf.DUMMYFUNCTION("""COMPUTED_VALUE"""),"IT/NON-IT Recruiter Training to become a Recruiter (Junior)")</f>
        <v>IT/NON-IT Recruiter Training to become a Recruiter (Junior)</v>
      </c>
      <c r="G227">
        <f>IFERROR(__xludf.DUMMYFUNCTION("""COMPUTED_VALUE"""),7.3833704E7)</f>
        <v>73833704</v>
      </c>
      <c r="H227" t="str">
        <f>IFERROR(__xludf.DUMMYFUNCTION("""COMPUTED_VALUE"""),"Antony Raj")</f>
        <v>Antony Raj</v>
      </c>
      <c r="I227" t="str">
        <f>IFERROR(__xludf.DUMMYFUNCTION("""COMPUTED_VALUE"""),"Low Rating")</f>
        <v>Low Rating</v>
      </c>
      <c r="J227" t="b">
        <f>IFERROR(__xludf.DUMMYFUNCTION("""COMPUTED_VALUE"""),FALSE)</f>
        <v>0</v>
      </c>
      <c r="K227" s="142" t="str">
        <f>IFERROR(__xludf.DUMMYFUNCTION("""COMPUTED_VALUE"""),"Workplace &amp; Human Resources")</f>
        <v>Workplace &amp; Human Resources</v>
      </c>
      <c r="L227" s="142" t="str">
        <f>IFERROR(__xludf.DUMMYFUNCTION("""COMPUTED_VALUE"""),"Talent Management")</f>
        <v>Talent Management</v>
      </c>
      <c r="N227" s="140" t="str">
        <f>IFERROR(__xludf.DUMMYFUNCTION("""COMPUTED_VALUE"""),"")</f>
        <v/>
      </c>
      <c r="P227" s="140" t="str">
        <f>IFERROR(__xludf.DUMMYFUNCTION("""COMPUTED_VALUE"""),"")</f>
        <v/>
      </c>
    </row>
    <row r="228">
      <c r="A228" s="143">
        <f>IFERROR(__xludf.DUMMYFUNCTION("""COMPUTED_VALUE"""),44564.0)</f>
        <v>44564</v>
      </c>
      <c r="B228" s="143">
        <f>IFERROR(__xludf.DUMMYFUNCTION("""COMPUTED_VALUE"""),44742.0)</f>
        <v>44742</v>
      </c>
      <c r="C228" s="140" t="str">
        <f>IFERROR(__xludf.DUMMYFUNCTION("""COMPUTED_VALUE"""),"en")</f>
        <v>en</v>
      </c>
      <c r="D228">
        <f>IFERROR(__xludf.DUMMYFUNCTION("""COMPUTED_VALUE"""),2464950.0)</f>
        <v>2464950</v>
      </c>
      <c r="E228" t="str">
        <f>IFERROR(__xludf.DUMMYFUNCTION("""COMPUTED_VALUE"""),"Medical coding for U.S. healthcare industry")</f>
        <v>Medical coding for U.S. healthcare industry</v>
      </c>
      <c r="F228" t="str">
        <f>IFERROR(__xludf.DUMMYFUNCTION("""COMPUTED_VALUE"""),"Medical coding for U.S. healthcare industry")</f>
        <v>Medical coding for U.S. healthcare industry</v>
      </c>
      <c r="G228">
        <f>IFERROR(__xludf.DUMMYFUNCTION("""COMPUTED_VALUE"""),6.3864576E7)</f>
        <v>63864576</v>
      </c>
      <c r="H228" t="str">
        <f>IFERROR(__xludf.DUMMYFUNCTION("""COMPUTED_VALUE"""),"Yunikee .")</f>
        <v>Yunikee .</v>
      </c>
      <c r="I228" t="str">
        <f>IFERROR(__xludf.DUMMYFUNCTION("""COMPUTED_VALUE"""),"Low Rating")</f>
        <v>Low Rating</v>
      </c>
      <c r="J228" t="b">
        <f>IFERROR(__xludf.DUMMYFUNCTION("""COMPUTED_VALUE"""),FALSE)</f>
        <v>0</v>
      </c>
      <c r="K228" s="142" t="str">
        <f>IFERROR(__xludf.DUMMYFUNCTION("""COMPUTED_VALUE"""),"Personal Development")</f>
        <v>Personal Development</v>
      </c>
      <c r="L228" s="142" t="str">
        <f>IFERROR(__xludf.DUMMYFUNCTION("""COMPUTED_VALUE"""),"Health &amp; Fitness")</f>
        <v>Health &amp; Fitness</v>
      </c>
      <c r="N228" s="140" t="str">
        <f>IFERROR(__xludf.DUMMYFUNCTION("""COMPUTED_VALUE"""),"")</f>
        <v/>
      </c>
      <c r="P228" s="140" t="str">
        <f>IFERROR(__xludf.DUMMYFUNCTION("""COMPUTED_VALUE"""),"")</f>
        <v/>
      </c>
    </row>
    <row r="229">
      <c r="A229" s="143">
        <f>IFERROR(__xludf.DUMMYFUNCTION("""COMPUTED_VALUE"""),44564.0)</f>
        <v>44564</v>
      </c>
      <c r="B229" s="143">
        <f>IFERROR(__xludf.DUMMYFUNCTION("""COMPUTED_VALUE"""),44742.0)</f>
        <v>44742</v>
      </c>
      <c r="C229" s="140" t="str">
        <f>IFERROR(__xludf.DUMMYFUNCTION("""COMPUTED_VALUE"""),"en")</f>
        <v>en</v>
      </c>
      <c r="D229">
        <f>IFERROR(__xludf.DUMMYFUNCTION("""COMPUTED_VALUE"""),2519188.0)</f>
        <v>2519188</v>
      </c>
      <c r="E229" t="str">
        <f>IFERROR(__xludf.DUMMYFUNCTION("""COMPUTED_VALUE"""),"AZ-204 Microsoft Azure Developer Practice Tests")</f>
        <v>AZ-204 Microsoft Azure Developer Practice Tests</v>
      </c>
      <c r="F229" t="str">
        <f>IFERROR(__xludf.DUMMYFUNCTION("""COMPUTED_VALUE"""),"AZ-204 Microsoft Azure Developer Practice Tests")</f>
        <v>AZ-204 Microsoft Azure Developer Practice Tests</v>
      </c>
      <c r="G229">
        <f>IFERROR(__xludf.DUMMYFUNCTION("""COMPUTED_VALUE"""),58935.0)</f>
        <v>58935</v>
      </c>
      <c r="H229" t="str">
        <f>IFERROR(__xludf.DUMMYFUNCTION("""COMPUTED_VALUE"""),"Scott Duffy  • 600.000+ Students")</f>
        <v>Scott Duffy  • 600.000+ Students</v>
      </c>
      <c r="I229" t="str">
        <f>IFERROR(__xludf.DUMMYFUNCTION("""COMPUTED_VALUE"""),"Low Rating")</f>
        <v>Low Rating</v>
      </c>
      <c r="J229" t="b">
        <f>IFERROR(__xludf.DUMMYFUNCTION("""COMPUTED_VALUE"""),FALSE)</f>
        <v>0</v>
      </c>
      <c r="K229" s="142" t="str">
        <f>IFERROR(__xludf.DUMMYFUNCTION("""COMPUTED_VALUE"""),"Cloud Computing")</f>
        <v>Cloud Computing</v>
      </c>
      <c r="L229" s="142" t="str">
        <f>IFERROR(__xludf.DUMMYFUNCTION("""COMPUTED_VALUE"""),"Cloud Certification")</f>
        <v>Cloud Certification</v>
      </c>
      <c r="N229" s="140" t="str">
        <f>IFERROR(__xludf.DUMMYFUNCTION("""COMPUTED_VALUE"""),"")</f>
        <v/>
      </c>
      <c r="P229" s="140" t="str">
        <f>IFERROR(__xludf.DUMMYFUNCTION("""COMPUTED_VALUE"""),"")</f>
        <v/>
      </c>
    </row>
    <row r="230">
      <c r="A230" s="143">
        <f>IFERROR(__xludf.DUMMYFUNCTION("""COMPUTED_VALUE"""),44564.0)</f>
        <v>44564</v>
      </c>
      <c r="B230" s="143">
        <f>IFERROR(__xludf.DUMMYFUNCTION("""COMPUTED_VALUE"""),44742.0)</f>
        <v>44742</v>
      </c>
      <c r="C230" s="140" t="str">
        <f>IFERROR(__xludf.DUMMYFUNCTION("""COMPUTED_VALUE"""),"en")</f>
        <v>en</v>
      </c>
      <c r="D230">
        <f>IFERROR(__xludf.DUMMYFUNCTION("""COMPUTED_VALUE"""),2551689.0)</f>
        <v>2551689</v>
      </c>
      <c r="E230" t="str">
        <f>IFERROR(__xludf.DUMMYFUNCTION("""COMPUTED_VALUE"""),"Complete Backend (API) Development with Python A-Z™")</f>
        <v>Complete Backend (API) Development with Python A-Z™</v>
      </c>
      <c r="F230" t="str">
        <f>IFERROR(__xludf.DUMMYFUNCTION("""COMPUTED_VALUE"""),"Complete Backend (API) Development with Python A-Z™")</f>
        <v>Complete Backend (API) Development with Python A-Z™</v>
      </c>
      <c r="G230">
        <f>IFERROR(__xludf.DUMMYFUNCTION("""COMPUTED_VALUE"""),1879256.0)</f>
        <v>1879256</v>
      </c>
      <c r="H230" t="str">
        <f>IFERROR(__xludf.DUMMYFUNCTION("""COMPUTED_VALUE"""),"Mehmet Nuri Yumuşak")</f>
        <v>Mehmet Nuri Yumuşak</v>
      </c>
      <c r="I230" t="str">
        <f>IFERROR(__xludf.DUMMYFUNCTION("""COMPUTED_VALUE"""),"Low Rating")</f>
        <v>Low Rating</v>
      </c>
      <c r="J230" t="b">
        <f>IFERROR(__xludf.DUMMYFUNCTION("""COMPUTED_VALUE"""),FALSE)</f>
        <v>0</v>
      </c>
      <c r="K230" s="142" t="str">
        <f>IFERROR(__xludf.DUMMYFUNCTION("""COMPUTED_VALUE"""),"Development")</f>
        <v>Development</v>
      </c>
      <c r="L230" s="142" t="str">
        <f>IFERROR(__xludf.DUMMYFUNCTION("""COMPUTED_VALUE"""),"Software Testing")</f>
        <v>Software Testing</v>
      </c>
      <c r="N230" s="140" t="str">
        <f>IFERROR(__xludf.DUMMYFUNCTION("""COMPUTED_VALUE"""),"")</f>
        <v/>
      </c>
      <c r="P230" s="140" t="str">
        <f>IFERROR(__xludf.DUMMYFUNCTION("""COMPUTED_VALUE"""),"")</f>
        <v/>
      </c>
    </row>
    <row r="231">
      <c r="A231" s="143">
        <f>IFERROR(__xludf.DUMMYFUNCTION("""COMPUTED_VALUE"""),44564.0)</f>
        <v>44564</v>
      </c>
      <c r="B231" s="143">
        <f>IFERROR(__xludf.DUMMYFUNCTION("""COMPUTED_VALUE"""),44742.0)</f>
        <v>44742</v>
      </c>
      <c r="C231" s="140" t="str">
        <f>IFERROR(__xludf.DUMMYFUNCTION("""COMPUTED_VALUE"""),"pt")</f>
        <v>pt</v>
      </c>
      <c r="D231">
        <f>IFERROR(__xludf.DUMMYFUNCTION("""COMPUTED_VALUE"""),2596032.0)</f>
        <v>2596032</v>
      </c>
      <c r="E231" t="str">
        <f>IFERROR(__xludf.DUMMYFUNCTION("""COMPUTED_VALUE"""),"Curso de Espanhol para pessoas que falam português: 1 de 2")</f>
        <v>Curso de Espanhol para pessoas que falam português: 1 de 2</v>
      </c>
      <c r="F231" t="str">
        <f>IFERROR(__xludf.DUMMYFUNCTION("""COMPUTED_VALUE"""),"Spanish course for people who speak Portuguese: 1 of 2")</f>
        <v>Spanish course for people who speak Portuguese: 1 of 2</v>
      </c>
      <c r="G231">
        <f>IFERROR(__xludf.DUMMYFUNCTION("""COMPUTED_VALUE"""),8.3489182E7)</f>
        <v>83489182</v>
      </c>
      <c r="H231" t="str">
        <f>IFERROR(__xludf.DUMMYFUNCTION("""COMPUTED_VALUE"""),"Juan Pablo Rodríguez")</f>
        <v>Juan Pablo Rodríguez</v>
      </c>
      <c r="I231" t="str">
        <f>IFERROR(__xludf.DUMMYFUNCTION("""COMPUTED_VALUE"""),"Low Rating")</f>
        <v>Low Rating</v>
      </c>
      <c r="J231" t="b">
        <f>IFERROR(__xludf.DUMMYFUNCTION("""COMPUTED_VALUE"""),FALSE)</f>
        <v>0</v>
      </c>
      <c r="K231" s="142" t="str">
        <f>IFERROR(__xludf.DUMMYFUNCTION("""COMPUTED_VALUE"""),"Personal Development")</f>
        <v>Personal Development</v>
      </c>
      <c r="L231" s="142" t="str">
        <f>IFERROR(__xludf.DUMMYFUNCTION("""COMPUTED_VALUE"""),"Language Learning")</f>
        <v>Language Learning</v>
      </c>
      <c r="N231" s="140" t="str">
        <f>IFERROR(__xludf.DUMMYFUNCTION("""COMPUTED_VALUE"""),"")</f>
        <v/>
      </c>
      <c r="P231" s="140" t="str">
        <f>IFERROR(__xludf.DUMMYFUNCTION("""COMPUTED_VALUE"""),"")</f>
        <v/>
      </c>
    </row>
    <row r="232">
      <c r="A232" s="143">
        <f>IFERROR(__xludf.DUMMYFUNCTION("""COMPUTED_VALUE"""),44564.0)</f>
        <v>44564</v>
      </c>
      <c r="B232" s="143">
        <f>IFERROR(__xludf.DUMMYFUNCTION("""COMPUTED_VALUE"""),44742.0)</f>
        <v>44742</v>
      </c>
      <c r="C232" s="140" t="str">
        <f>IFERROR(__xludf.DUMMYFUNCTION("""COMPUTED_VALUE"""),"en")</f>
        <v>en</v>
      </c>
      <c r="D232">
        <f>IFERROR(__xludf.DUMMYFUNCTION("""COMPUTED_VALUE"""),2649938.0)</f>
        <v>2649938</v>
      </c>
      <c r="E232" t="str">
        <f>IFERROR(__xludf.DUMMYFUNCTION("""COMPUTED_VALUE"""),"IBM App Connect Enterprise &amp; IBM Integration Bus &amp; Broker")</f>
        <v>IBM App Connect Enterprise &amp; IBM Integration Bus &amp; Broker</v>
      </c>
      <c r="F232" t="str">
        <f>IFERROR(__xludf.DUMMYFUNCTION("""COMPUTED_VALUE"""),"IBM App Connect Enterprise &amp; IBM Integration Bus &amp; Broker")</f>
        <v>IBM App Connect Enterprise &amp; IBM Integration Bus &amp; Broker</v>
      </c>
      <c r="G232">
        <f>IFERROR(__xludf.DUMMYFUNCTION("""COMPUTED_VALUE"""),8.1866704E7)</f>
        <v>81866704</v>
      </c>
      <c r="H232" t="str">
        <f>IFERROR(__xludf.DUMMYFUNCTION("""COMPUTED_VALUE"""),"Carlos Medger")</f>
        <v>Carlos Medger</v>
      </c>
      <c r="I232" t="str">
        <f>IFERROR(__xludf.DUMMYFUNCTION("""COMPUTED_VALUE"""),"Low Rating")</f>
        <v>Low Rating</v>
      </c>
      <c r="J232" t="b">
        <f>IFERROR(__xludf.DUMMYFUNCTION("""COMPUTED_VALUE"""),FALSE)</f>
        <v>0</v>
      </c>
      <c r="K232" s="142" t="str">
        <f>IFERROR(__xludf.DUMMYFUNCTION("""COMPUTED_VALUE"""),"Development")</f>
        <v>Development</v>
      </c>
      <c r="L232" s="142" t="str">
        <f>IFERROR(__xludf.DUMMYFUNCTION("""COMPUTED_VALUE"""),"Software Engineering")</f>
        <v>Software Engineering</v>
      </c>
      <c r="N232" s="140" t="str">
        <f>IFERROR(__xludf.DUMMYFUNCTION("""COMPUTED_VALUE"""),"")</f>
        <v/>
      </c>
      <c r="P232" s="140" t="str">
        <f>IFERROR(__xludf.DUMMYFUNCTION("""COMPUTED_VALUE"""),"")</f>
        <v/>
      </c>
    </row>
    <row r="233">
      <c r="A233" s="143">
        <f>IFERROR(__xludf.DUMMYFUNCTION("""COMPUTED_VALUE"""),44564.0)</f>
        <v>44564</v>
      </c>
      <c r="B233" s="143">
        <f>IFERROR(__xludf.DUMMYFUNCTION("""COMPUTED_VALUE"""),44742.0)</f>
        <v>44742</v>
      </c>
      <c r="C233" s="140" t="str">
        <f>IFERROR(__xludf.DUMMYFUNCTION("""COMPUTED_VALUE"""),"en")</f>
        <v>en</v>
      </c>
      <c r="D233">
        <f>IFERROR(__xludf.DUMMYFUNCTION("""COMPUTED_VALUE"""),2759122.0)</f>
        <v>2759122</v>
      </c>
      <c r="E233" t="str">
        <f>IFERROR(__xludf.DUMMYFUNCTION("""COMPUTED_VALUE"""),"Salesforce Certified Platform Developer 1 Exam Questions")</f>
        <v>Salesforce Certified Platform Developer 1 Exam Questions</v>
      </c>
      <c r="F233" t="str">
        <f>IFERROR(__xludf.DUMMYFUNCTION("""COMPUTED_VALUE"""),"Salesforce Certified Platform Developer 1 Exam Questions")</f>
        <v>Salesforce Certified Platform Developer 1 Exam Questions</v>
      </c>
      <c r="G233">
        <f>IFERROR(__xludf.DUMMYFUNCTION("""COMPUTED_VALUE"""),6501452.0)</f>
        <v>6501452</v>
      </c>
      <c r="H233" t="str">
        <f>IFERROR(__xludf.DUMMYFUNCTION("""COMPUTED_VALUE"""),"Deepika Khanna")</f>
        <v>Deepika Khanna</v>
      </c>
      <c r="I233" t="str">
        <f>IFERROR(__xludf.DUMMYFUNCTION("""COMPUTED_VALUE"""),"Low Rating")</f>
        <v>Low Rating</v>
      </c>
      <c r="J233" t="b">
        <f>IFERROR(__xludf.DUMMYFUNCTION("""COMPUTED_VALUE"""),FALSE)</f>
        <v>0</v>
      </c>
      <c r="K233" s="142" t="str">
        <f>IFERROR(__xludf.DUMMYFUNCTION("""COMPUTED_VALUE"""),"IT Operations")</f>
        <v>IT Operations</v>
      </c>
      <c r="L233" s="142" t="str">
        <f>IFERROR(__xludf.DUMMYFUNCTION("""COMPUTED_VALUE"""),"IT Certifications")</f>
        <v>IT Certifications</v>
      </c>
      <c r="N233" s="140" t="str">
        <f>IFERROR(__xludf.DUMMYFUNCTION("""COMPUTED_VALUE"""),"")</f>
        <v/>
      </c>
      <c r="P233" s="140" t="str">
        <f>IFERROR(__xludf.DUMMYFUNCTION("""COMPUTED_VALUE"""),"")</f>
        <v/>
      </c>
    </row>
    <row r="234">
      <c r="A234" s="143">
        <f>IFERROR(__xludf.DUMMYFUNCTION("""COMPUTED_VALUE"""),44564.0)</f>
        <v>44564</v>
      </c>
      <c r="B234" s="143">
        <f>IFERROR(__xludf.DUMMYFUNCTION("""COMPUTED_VALUE"""),44742.0)</f>
        <v>44742</v>
      </c>
      <c r="C234" s="140" t="str">
        <f>IFERROR(__xludf.DUMMYFUNCTION("""COMPUTED_VALUE"""),"en")</f>
        <v>en</v>
      </c>
      <c r="D234">
        <f>IFERROR(__xludf.DUMMYFUNCTION("""COMPUTED_VALUE"""),2927502.0)</f>
        <v>2927502</v>
      </c>
      <c r="E234" t="str">
        <f>IFERROR(__xludf.DUMMYFUNCTION("""COMPUTED_VALUE"""),"JBOSS EAP Basics-Administration,configuration &amp; development")</f>
        <v>JBOSS EAP Basics-Administration,configuration &amp; development</v>
      </c>
      <c r="F234" t="str">
        <f>IFERROR(__xludf.DUMMYFUNCTION("""COMPUTED_VALUE"""),"JBOSS EAP Basics-Administration,configuration &amp; development")</f>
        <v>JBOSS EAP Basics-Administration,configuration &amp; development</v>
      </c>
      <c r="G234">
        <f>IFERROR(__xludf.DUMMYFUNCTION("""COMPUTED_VALUE"""),1.04160516E8)</f>
        <v>104160516</v>
      </c>
      <c r="H234" t="str">
        <f>IFERROR(__xludf.DUMMYFUNCTION("""COMPUTED_VALUE"""),"Karthikeyan Dharmaraj")</f>
        <v>Karthikeyan Dharmaraj</v>
      </c>
      <c r="I234" t="str">
        <f>IFERROR(__xludf.DUMMYFUNCTION("""COMPUTED_VALUE"""),"Low Rating")</f>
        <v>Low Rating</v>
      </c>
      <c r="J234" t="b">
        <f>IFERROR(__xludf.DUMMYFUNCTION("""COMPUTED_VALUE"""),FALSE)</f>
        <v>0</v>
      </c>
      <c r="K234" s="142" t="str">
        <f>IFERROR(__xludf.DUMMYFUNCTION("""COMPUTED_VALUE"""),"Development")</f>
        <v>Development</v>
      </c>
      <c r="L234" s="142" t="str">
        <f>IFERROR(__xludf.DUMMYFUNCTION("""COMPUTED_VALUE"""),"Development Tools")</f>
        <v>Development Tools</v>
      </c>
      <c r="N234" s="140" t="str">
        <f>IFERROR(__xludf.DUMMYFUNCTION("""COMPUTED_VALUE"""),"")</f>
        <v/>
      </c>
      <c r="P234" s="140" t="str">
        <f>IFERROR(__xludf.DUMMYFUNCTION("""COMPUTED_VALUE"""),"")</f>
        <v/>
      </c>
    </row>
    <row r="235">
      <c r="A235" s="143">
        <f>IFERROR(__xludf.DUMMYFUNCTION("""COMPUTED_VALUE"""),44564.0)</f>
        <v>44564</v>
      </c>
      <c r="B235" s="143">
        <f>IFERROR(__xludf.DUMMYFUNCTION("""COMPUTED_VALUE"""),44742.0)</f>
        <v>44742</v>
      </c>
      <c r="C235" s="140" t="str">
        <f>IFERROR(__xludf.DUMMYFUNCTION("""COMPUTED_VALUE"""),"ja")</f>
        <v>ja</v>
      </c>
      <c r="D235">
        <f>IFERROR(__xludf.DUMMYFUNCTION("""COMPUTED_VALUE"""),2931610.0)</f>
        <v>2931610</v>
      </c>
      <c r="E235" t="str">
        <f>IFERROR(__xludf.DUMMYFUNCTION("""COMPUTED_VALUE"""),"■ LPI Linux Essentials （エッセンシャル） 資格取得コース （LPI公認）")</f>
        <v>■ LPI Linux Essentials （エッセンシャル） 資格取得コース （LPI公認）</v>
      </c>
      <c r="F235" t="str">
        <f>IFERROR(__xludf.DUMMYFUNCTION("""COMPUTED_VALUE"""),"■ LPI Linux Essentials (Essential) Qualification Course (LPI Certified)")</f>
        <v>■ LPI Linux Essentials (Essential) Qualification Course (LPI Certified)</v>
      </c>
      <c r="G235">
        <f>IFERROR(__xludf.DUMMYFUNCTION("""COMPUTED_VALUE"""),1.0903775E8)</f>
        <v>109037750</v>
      </c>
      <c r="H235" t="str">
        <f>IFERROR(__xludf.DUMMYFUNCTION("""COMPUTED_VALUE"""),"海堂 正裕")</f>
        <v>海堂 正裕</v>
      </c>
      <c r="I235" t="str">
        <f>IFERROR(__xludf.DUMMYFUNCTION("""COMPUTED_VALUE"""),"Low Rating")</f>
        <v>Low Rating</v>
      </c>
      <c r="J235" t="b">
        <f>IFERROR(__xludf.DUMMYFUNCTION("""COMPUTED_VALUE"""),FALSE)</f>
        <v>0</v>
      </c>
      <c r="K235" s="142" t="str">
        <f>IFERROR(__xludf.DUMMYFUNCTION("""COMPUTED_VALUE"""),"IT Operations")</f>
        <v>IT Operations</v>
      </c>
      <c r="L235" s="142" t="str">
        <f>IFERROR(__xludf.DUMMYFUNCTION("""COMPUTED_VALUE"""),"IT Certifications")</f>
        <v>IT Certifications</v>
      </c>
      <c r="N235" s="140" t="str">
        <f>IFERROR(__xludf.DUMMYFUNCTION("""COMPUTED_VALUE"""),"")</f>
        <v/>
      </c>
      <c r="P235" s="140" t="str">
        <f>IFERROR(__xludf.DUMMYFUNCTION("""COMPUTED_VALUE"""),"")</f>
        <v/>
      </c>
    </row>
    <row r="236">
      <c r="A236" s="143">
        <f>IFERROR(__xludf.DUMMYFUNCTION("""COMPUTED_VALUE"""),44564.0)</f>
        <v>44564</v>
      </c>
      <c r="B236" s="143">
        <f>IFERROR(__xludf.DUMMYFUNCTION("""COMPUTED_VALUE"""),44742.0)</f>
        <v>44742</v>
      </c>
      <c r="C236" s="140" t="str">
        <f>IFERROR(__xludf.DUMMYFUNCTION("""COMPUTED_VALUE"""),"en")</f>
        <v>en</v>
      </c>
      <c r="D236">
        <f>IFERROR(__xludf.DUMMYFUNCTION("""COMPUTED_VALUE"""),3311638.0)</f>
        <v>3311638</v>
      </c>
      <c r="E236" t="str">
        <f>IFERROR(__xludf.DUMMYFUNCTION("""COMPUTED_VALUE"""),"UiPath RPA Associate Certification Exam Practice Questions")</f>
        <v>UiPath RPA Associate Certification Exam Practice Questions</v>
      </c>
      <c r="F236" t="str">
        <f>IFERROR(__xludf.DUMMYFUNCTION("""COMPUTED_VALUE"""),"UiPath RPA Associate Certification Exam Practice Questions")</f>
        <v>UiPath RPA Associate Certification Exam Practice Questions</v>
      </c>
      <c r="G236">
        <f>IFERROR(__xludf.DUMMYFUNCTION("""COMPUTED_VALUE"""),1.25523958E8)</f>
        <v>125523958</v>
      </c>
      <c r="H236" t="str">
        <f>IFERROR(__xludf.DUMMYFUNCTION("""COMPUTED_VALUE"""),"Eleonora Manukian")</f>
        <v>Eleonora Manukian</v>
      </c>
      <c r="I236" t="str">
        <f>IFERROR(__xludf.DUMMYFUNCTION("""COMPUTED_VALUE"""),"Low Rating")</f>
        <v>Low Rating</v>
      </c>
      <c r="J236" t="b">
        <f>IFERROR(__xludf.DUMMYFUNCTION("""COMPUTED_VALUE"""),FALSE)</f>
        <v>0</v>
      </c>
      <c r="K236" s="142" t="str">
        <f>IFERROR(__xludf.DUMMYFUNCTION("""COMPUTED_VALUE"""),"IT Operations")</f>
        <v>IT Operations</v>
      </c>
      <c r="L236" s="142" t="str">
        <f>IFERROR(__xludf.DUMMYFUNCTION("""COMPUTED_VALUE"""),"IT Certifications")</f>
        <v>IT Certifications</v>
      </c>
      <c r="N236" s="140" t="str">
        <f>IFERROR(__xludf.DUMMYFUNCTION("""COMPUTED_VALUE"""),"")</f>
        <v/>
      </c>
      <c r="P236" s="140" t="str">
        <f>IFERROR(__xludf.DUMMYFUNCTION("""COMPUTED_VALUE"""),"")</f>
        <v/>
      </c>
    </row>
    <row r="237">
      <c r="A237" s="143">
        <f>IFERROR(__xludf.DUMMYFUNCTION("""COMPUTED_VALUE"""),44564.0)</f>
        <v>44564</v>
      </c>
      <c r="B237" s="143">
        <f>IFERROR(__xludf.DUMMYFUNCTION("""COMPUTED_VALUE"""),44742.0)</f>
        <v>44742</v>
      </c>
      <c r="C237" s="140" t="str">
        <f>IFERROR(__xludf.DUMMYFUNCTION("""COMPUTED_VALUE"""),"pt")</f>
        <v>pt</v>
      </c>
      <c r="D237">
        <f>IFERROR(__xludf.DUMMYFUNCTION("""COMPUTED_VALUE"""),3313750.0)</f>
        <v>3313750</v>
      </c>
      <c r="E237" t="str">
        <f>IFERROR(__xludf.DUMMYFUNCTION("""COMPUTED_VALUE"""),"Microsoft Azure: Simulado para prova AZ900 - Atualizado 2021")</f>
        <v>Microsoft Azure: Simulado para prova AZ900 - Atualizado 2021</v>
      </c>
      <c r="F237" t="str">
        <f>IFERROR(__xludf.DUMMYFUNCTION("""COMPUTED_VALUE"""),"Microsoft Azure: Simulated for AZ900 Proof - Updated 2021")</f>
        <v>Microsoft Azure: Simulated for AZ900 Proof - Updated 2021</v>
      </c>
      <c r="G237">
        <f>IFERROR(__xludf.DUMMYFUNCTION("""COMPUTED_VALUE"""),1.25608478E8)</f>
        <v>125608478</v>
      </c>
      <c r="H237" t="str">
        <f>IFERROR(__xludf.DUMMYFUNCTION("""COMPUTED_VALUE"""),"Gustavo Alves Angelo")</f>
        <v>Gustavo Alves Angelo</v>
      </c>
      <c r="I237" t="str">
        <f>IFERROR(__xludf.DUMMYFUNCTION("""COMPUTED_VALUE"""),"Low Rating")</f>
        <v>Low Rating</v>
      </c>
      <c r="J237" t="b">
        <f>IFERROR(__xludf.DUMMYFUNCTION("""COMPUTED_VALUE"""),FALSE)</f>
        <v>0</v>
      </c>
      <c r="K237" s="142" t="str">
        <f>IFERROR(__xludf.DUMMYFUNCTION("""COMPUTED_VALUE"""),"Cloud Computing")</f>
        <v>Cloud Computing</v>
      </c>
      <c r="L237" s="142" t="str">
        <f>IFERROR(__xludf.DUMMYFUNCTION("""COMPUTED_VALUE"""),"Cloud Certification")</f>
        <v>Cloud Certification</v>
      </c>
      <c r="N237" s="140" t="str">
        <f>IFERROR(__xludf.DUMMYFUNCTION("""COMPUTED_VALUE"""),"")</f>
        <v/>
      </c>
      <c r="P237" s="140" t="str">
        <f>IFERROR(__xludf.DUMMYFUNCTION("""COMPUTED_VALUE"""),"")</f>
        <v/>
      </c>
    </row>
    <row r="238">
      <c r="A238" s="143">
        <f>IFERROR(__xludf.DUMMYFUNCTION("""COMPUTED_VALUE"""),44564.0)</f>
        <v>44564</v>
      </c>
      <c r="B238" s="143">
        <f>IFERROR(__xludf.DUMMYFUNCTION("""COMPUTED_VALUE"""),44742.0)</f>
        <v>44742</v>
      </c>
      <c r="C238" s="140" t="str">
        <f>IFERROR(__xludf.DUMMYFUNCTION("""COMPUTED_VALUE"""),"en")</f>
        <v>en</v>
      </c>
      <c r="D238">
        <f>IFERROR(__xludf.DUMMYFUNCTION("""COMPUTED_VALUE"""),3711436.0)</f>
        <v>3711436</v>
      </c>
      <c r="E238" t="str">
        <f>IFERROR(__xludf.DUMMYFUNCTION("""COMPUTED_VALUE"""),"Export Import Logistics with Global Incoterms ® 2020 Rules")</f>
        <v>Export Import Logistics with Global Incoterms ® 2020 Rules</v>
      </c>
      <c r="F238" t="str">
        <f>IFERROR(__xludf.DUMMYFUNCTION("""COMPUTED_VALUE"""),"Export Import Logistics with Global Incoterms ® 2020 Rules")</f>
        <v>Export Import Logistics with Global Incoterms ® 2020 Rules</v>
      </c>
      <c r="G238">
        <f>IFERROR(__xludf.DUMMYFUNCTION("""COMPUTED_VALUE"""),1.26314552E8)</f>
        <v>126314552</v>
      </c>
      <c r="H238" t="str">
        <f>IFERROR(__xludf.DUMMYFUNCTION("""COMPUTED_VALUE"""),"Adarsh Amal")</f>
        <v>Adarsh Amal</v>
      </c>
      <c r="I238" t="str">
        <f>IFERROR(__xludf.DUMMYFUNCTION("""COMPUTED_VALUE"""),"Low Rating")</f>
        <v>Low Rating</v>
      </c>
      <c r="J238" t="b">
        <f>IFERROR(__xludf.DUMMYFUNCTION("""COMPUTED_VALUE"""),FALSE)</f>
        <v>0</v>
      </c>
      <c r="K238" s="142" t="str">
        <f>IFERROR(__xludf.DUMMYFUNCTION("""COMPUTED_VALUE"""),"Project Management &amp; Operations")</f>
        <v>Project Management &amp; Operations</v>
      </c>
      <c r="L238" s="142" t="str">
        <f>IFERROR(__xludf.DUMMYFUNCTION("""COMPUTED_VALUE"""),"Operations Management")</f>
        <v>Operations Management</v>
      </c>
      <c r="N238" s="140" t="str">
        <f>IFERROR(__xludf.DUMMYFUNCTION("""COMPUTED_VALUE"""),"")</f>
        <v/>
      </c>
      <c r="P238" s="140" t="str">
        <f>IFERROR(__xludf.DUMMYFUNCTION("""COMPUTED_VALUE"""),"")</f>
        <v/>
      </c>
    </row>
    <row r="239">
      <c r="A239" s="143">
        <f>IFERROR(__xludf.DUMMYFUNCTION("""COMPUTED_VALUE"""),44564.0)</f>
        <v>44564</v>
      </c>
      <c r="B239" s="143">
        <f>IFERROR(__xludf.DUMMYFUNCTION("""COMPUTED_VALUE"""),44742.0)</f>
        <v>44742</v>
      </c>
      <c r="C239" s="140" t="str">
        <f>IFERROR(__xludf.DUMMYFUNCTION("""COMPUTED_VALUE"""),"en")</f>
        <v>en</v>
      </c>
      <c r="D239">
        <f>IFERROR(__xludf.DUMMYFUNCTION("""COMPUTED_VALUE"""),4200930.0)</f>
        <v>4200930</v>
      </c>
      <c r="E239" t="str">
        <f>IFERROR(__xludf.DUMMYFUNCTION("""COMPUTED_VALUE"""),"SAP for Retail Essentials: Learn SAP Retail Overview 2021")</f>
        <v>SAP for Retail Essentials: Learn SAP Retail Overview 2021</v>
      </c>
      <c r="F239" t="str">
        <f>IFERROR(__xludf.DUMMYFUNCTION("""COMPUTED_VALUE"""),"SAP for Retail Essentials: Learn SAP Retail Overview 2021")</f>
        <v>SAP for Retail Essentials: Learn SAP Retail Overview 2021</v>
      </c>
      <c r="G239">
        <f>IFERROR(__xludf.DUMMYFUNCTION("""COMPUTED_VALUE"""),1.64622912E8)</f>
        <v>164622912</v>
      </c>
      <c r="H239" t="str">
        <f>IFERROR(__xludf.DUMMYFUNCTION("""COMPUTED_VALUE"""),"Hello SCM Inc")</f>
        <v>Hello SCM Inc</v>
      </c>
      <c r="I239" t="str">
        <f>IFERROR(__xludf.DUMMYFUNCTION("""COMPUTED_VALUE"""),"Low Rating")</f>
        <v>Low Rating</v>
      </c>
      <c r="J239" t="b">
        <f>IFERROR(__xludf.DUMMYFUNCTION("""COMPUTED_VALUE"""),FALSE)</f>
        <v>0</v>
      </c>
      <c r="K239" s="142" t="str">
        <f>IFERROR(__xludf.DUMMYFUNCTION("""COMPUTED_VALUE"""),"Sales")</f>
        <v>Sales</v>
      </c>
      <c r="L239" s="142" t="str">
        <f>IFERROR(__xludf.DUMMYFUNCTION("""COMPUTED_VALUE"""),"Sales Skills &amp; Tools")</f>
        <v>Sales Skills &amp; Tools</v>
      </c>
      <c r="N239" s="140" t="str">
        <f>IFERROR(__xludf.DUMMYFUNCTION("""COMPUTED_VALUE"""),"")</f>
        <v/>
      </c>
      <c r="P239" s="140" t="str">
        <f>IFERROR(__xludf.DUMMYFUNCTION("""COMPUTED_VALUE"""),"")</f>
        <v/>
      </c>
    </row>
    <row r="240">
      <c r="A240" s="143">
        <f>IFERROR(__xludf.DUMMYFUNCTION("""COMPUTED_VALUE"""),44564.0)</f>
        <v>44564</v>
      </c>
      <c r="B240" s="143">
        <f>IFERROR(__xludf.DUMMYFUNCTION("""COMPUTED_VALUE"""),44742.0)</f>
        <v>44742</v>
      </c>
      <c r="C240" s="140" t="str">
        <f>IFERROR(__xludf.DUMMYFUNCTION("""COMPUTED_VALUE"""),"en")</f>
        <v>en</v>
      </c>
      <c r="D240">
        <f>IFERROR(__xludf.DUMMYFUNCTION("""COMPUTED_VALUE"""),274574.0)</f>
        <v>274574</v>
      </c>
      <c r="E240" t="str">
        <f>IFERROR(__xludf.DUMMYFUNCTION("""COMPUTED_VALUE"""),"Cardiopulmonary Resuscitation (CPR), AED and First Aid")</f>
        <v>Cardiopulmonary Resuscitation (CPR), AED and First Aid</v>
      </c>
      <c r="F240" t="str">
        <f>IFERROR(__xludf.DUMMYFUNCTION("""COMPUTED_VALUE"""),"Cardiopulmonary Resuscitation (CPR), AED and First Aid")</f>
        <v>Cardiopulmonary Resuscitation (CPR), AED and First Aid</v>
      </c>
      <c r="G240">
        <f>IFERROR(__xludf.DUMMYFUNCTION("""COMPUTED_VALUE"""),5141498.0)</f>
        <v>5141498</v>
      </c>
      <c r="H240" t="str">
        <f>IFERROR(__xludf.DUMMYFUNCTION("""COMPUTED_VALUE"""),"Save a Life Certifications by NHCPS")</f>
        <v>Save a Life Certifications by NHCPS</v>
      </c>
      <c r="I240" t="str">
        <f>IFERROR(__xludf.DUMMYFUNCTION("""COMPUTED_VALUE"""),"Low Rating")</f>
        <v>Low Rating</v>
      </c>
      <c r="J240" t="b">
        <f>IFERROR(__xludf.DUMMYFUNCTION("""COMPUTED_VALUE"""),FALSE)</f>
        <v>0</v>
      </c>
      <c r="K240" s="142" t="str">
        <f>IFERROR(__xludf.DUMMYFUNCTION("""COMPUTED_VALUE"""),"Workplace &amp; Human Resources")</f>
        <v>Workplace &amp; Human Resources</v>
      </c>
      <c r="L240" s="142" t="str">
        <f>IFERROR(__xludf.DUMMYFUNCTION("""COMPUTED_VALUE"""),"Compliance")</f>
        <v>Compliance</v>
      </c>
      <c r="N240" s="140" t="str">
        <f>IFERROR(__xludf.DUMMYFUNCTION("""COMPUTED_VALUE"""),"")</f>
        <v/>
      </c>
      <c r="P240" s="140" t="str">
        <f>IFERROR(__xludf.DUMMYFUNCTION("""COMPUTED_VALUE"""),"")</f>
        <v/>
      </c>
    </row>
    <row r="241">
      <c r="A241" s="143">
        <f>IFERROR(__xludf.DUMMYFUNCTION("""COMPUTED_VALUE"""),44564.0)</f>
        <v>44564</v>
      </c>
      <c r="B241" s="143">
        <f>IFERROR(__xludf.DUMMYFUNCTION("""COMPUTED_VALUE"""),44742.0)</f>
        <v>44742</v>
      </c>
      <c r="C241" s="140" t="str">
        <f>IFERROR(__xludf.DUMMYFUNCTION("""COMPUTED_VALUE"""),"es")</f>
        <v>es</v>
      </c>
      <c r="D241">
        <f>IFERROR(__xludf.DUMMYFUNCTION("""COMPUTED_VALUE"""),781696.0)</f>
        <v>781696</v>
      </c>
      <c r="E241" t="str">
        <f>IFERROR(__xludf.DUMMYFUNCTION("""COMPUTED_VALUE"""),"Curso Java SE, Java EE con MySQL - De básico hasta avanzado")</f>
        <v>Curso Java SE, Java EE con MySQL - De básico hasta avanzado</v>
      </c>
      <c r="F241" t="str">
        <f>IFERROR(__xludf.DUMMYFUNCTION("""COMPUTED_VALUE"""),"Java course, Java EE with MySQL - Basic up to Advanced")</f>
        <v>Java course, Java EE with MySQL - Basic up to Advanced</v>
      </c>
      <c r="G241">
        <f>IFERROR(__xludf.DUMMYFUNCTION("""COMPUTED_VALUE"""),1.1649634E7)</f>
        <v>11649634</v>
      </c>
      <c r="H241" t="str">
        <f>IFERROR(__xludf.DUMMYFUNCTION("""COMPUTED_VALUE"""),"IVAN ELISEO TINAJERO DIAZ")</f>
        <v>IVAN ELISEO TINAJERO DIAZ</v>
      </c>
      <c r="I241" t="str">
        <f>IFERROR(__xludf.DUMMYFUNCTION("""COMPUTED_VALUE"""),"Low Rating")</f>
        <v>Low Rating</v>
      </c>
      <c r="J241" t="b">
        <f>IFERROR(__xludf.DUMMYFUNCTION("""COMPUTED_VALUE"""),FALSE)</f>
        <v>0</v>
      </c>
      <c r="K241" s="142" t="str">
        <f>IFERROR(__xludf.DUMMYFUNCTION("""COMPUTED_VALUE"""),"Development")</f>
        <v>Development</v>
      </c>
      <c r="L241" s="142" t="str">
        <f>IFERROR(__xludf.DUMMYFUNCTION("""COMPUTED_VALUE"""),"Web Development")</f>
        <v>Web Development</v>
      </c>
      <c r="N241" s="140" t="str">
        <f>IFERROR(__xludf.DUMMYFUNCTION("""COMPUTED_VALUE"""),"")</f>
        <v/>
      </c>
      <c r="P241" s="140" t="str">
        <f>IFERROR(__xludf.DUMMYFUNCTION("""COMPUTED_VALUE"""),"")</f>
        <v/>
      </c>
    </row>
    <row r="242">
      <c r="A242" s="143">
        <f>IFERROR(__xludf.DUMMYFUNCTION("""COMPUTED_VALUE"""),44564.0)</f>
        <v>44564</v>
      </c>
      <c r="B242" s="143">
        <f>IFERROR(__xludf.DUMMYFUNCTION("""COMPUTED_VALUE"""),44742.0)</f>
        <v>44742</v>
      </c>
      <c r="C242" s="140" t="str">
        <f>IFERROR(__xludf.DUMMYFUNCTION("""COMPUTED_VALUE"""),"en")</f>
        <v>en</v>
      </c>
      <c r="D242">
        <f>IFERROR(__xludf.DUMMYFUNCTION("""COMPUTED_VALUE"""),923290.0)</f>
        <v>923290</v>
      </c>
      <c r="E242" t="str">
        <f>IFERROR(__xludf.DUMMYFUNCTION("""COMPUTED_VALUE"""),"Learn AWS The Hard Way")</f>
        <v>Learn AWS The Hard Way</v>
      </c>
      <c r="F242" t="str">
        <f>IFERROR(__xludf.DUMMYFUNCTION("""COMPUTED_VALUE"""),"Learn AWS The Hard Way")</f>
        <v>Learn AWS The Hard Way</v>
      </c>
      <c r="G242">
        <f>IFERROR(__xludf.DUMMYFUNCTION("""COMPUTED_VALUE"""),8934324.0)</f>
        <v>8934324</v>
      </c>
      <c r="H242" t="str">
        <f>IFERROR(__xludf.DUMMYFUNCTION("""COMPUTED_VALUE"""),"Rohan Arora")</f>
        <v>Rohan Arora</v>
      </c>
      <c r="I242" t="str">
        <f>IFERROR(__xludf.DUMMYFUNCTION("""COMPUTED_VALUE"""),"Low Rating")</f>
        <v>Low Rating</v>
      </c>
      <c r="J242" t="b">
        <f>IFERROR(__xludf.DUMMYFUNCTION("""COMPUTED_VALUE"""),FALSE)</f>
        <v>0</v>
      </c>
      <c r="K242" s="142" t="str">
        <f>IFERROR(__xludf.DUMMYFUNCTION("""COMPUTED_VALUE"""),"Cloud Computing")</f>
        <v>Cloud Computing</v>
      </c>
      <c r="L242" s="142" t="str">
        <f>IFERROR(__xludf.DUMMYFUNCTION("""COMPUTED_VALUE"""),"Cloud Development")</f>
        <v>Cloud Development</v>
      </c>
      <c r="N242" s="140" t="str">
        <f>IFERROR(__xludf.DUMMYFUNCTION("""COMPUTED_VALUE"""),"")</f>
        <v/>
      </c>
      <c r="P242" s="140" t="str">
        <f>IFERROR(__xludf.DUMMYFUNCTION("""COMPUTED_VALUE"""),"")</f>
        <v/>
      </c>
    </row>
    <row r="243">
      <c r="A243" s="143">
        <f>IFERROR(__xludf.DUMMYFUNCTION("""COMPUTED_VALUE"""),44564.0)</f>
        <v>44564</v>
      </c>
      <c r="B243" s="143">
        <f>IFERROR(__xludf.DUMMYFUNCTION("""COMPUTED_VALUE"""),44742.0)</f>
        <v>44742</v>
      </c>
      <c r="C243" s="140" t="str">
        <f>IFERROR(__xludf.DUMMYFUNCTION("""COMPUTED_VALUE"""),"es")</f>
        <v>es</v>
      </c>
      <c r="D243">
        <f>IFERROR(__xludf.DUMMYFUNCTION("""COMPUTED_VALUE"""),1018788.0)</f>
        <v>1018788</v>
      </c>
      <c r="E243" t="str">
        <f>IFERROR(__xludf.DUMMYFUNCTION("""COMPUTED_VALUE"""),"Maestría en Diseño Web Responsive (para no programadores)")</f>
        <v>Maestría en Diseño Web Responsive (para no programadores)</v>
      </c>
      <c r="F243" t="str">
        <f>IFERROR(__xludf.DUMMYFUNCTION("""COMPUTED_VALUE"""),"Master's Degree in Responsive Web Design (for non-programmers)")</f>
        <v>Master's Degree in Responsive Web Design (for non-programmers)</v>
      </c>
      <c r="G243">
        <f>IFERROR(__xludf.DUMMYFUNCTION("""COMPUTED_VALUE"""),2542988.0)</f>
        <v>2542988</v>
      </c>
      <c r="H243" t="str">
        <f>IFERROR(__xludf.DUMMYFUNCTION("""COMPUTED_VALUE"""),"Erick Mines")</f>
        <v>Erick Mines</v>
      </c>
      <c r="I243" t="str">
        <f>IFERROR(__xludf.DUMMYFUNCTION("""COMPUTED_VALUE"""),"Low Rating")</f>
        <v>Low Rating</v>
      </c>
      <c r="J243" t="b">
        <f>IFERROR(__xludf.DUMMYFUNCTION("""COMPUTED_VALUE"""),FALSE)</f>
        <v>0</v>
      </c>
      <c r="K243" s="142" t="str">
        <f>IFERROR(__xludf.DUMMYFUNCTION("""COMPUTED_VALUE"""),"Design")</f>
        <v>Design</v>
      </c>
      <c r="L243" s="142" t="str">
        <f>IFERROR(__xludf.DUMMYFUNCTION("""COMPUTED_VALUE"""),"Web Design")</f>
        <v>Web Design</v>
      </c>
      <c r="N243" s="140" t="str">
        <f>IFERROR(__xludf.DUMMYFUNCTION("""COMPUTED_VALUE"""),"")</f>
        <v/>
      </c>
      <c r="P243" s="140" t="str">
        <f>IFERROR(__xludf.DUMMYFUNCTION("""COMPUTED_VALUE"""),"")</f>
        <v/>
      </c>
    </row>
    <row r="244">
      <c r="A244" s="143">
        <f>IFERROR(__xludf.DUMMYFUNCTION("""COMPUTED_VALUE"""),44564.0)</f>
        <v>44564</v>
      </c>
      <c r="B244" s="143">
        <f>IFERROR(__xludf.DUMMYFUNCTION("""COMPUTED_VALUE"""),44742.0)</f>
        <v>44742</v>
      </c>
      <c r="C244" s="140" t="str">
        <f>IFERROR(__xludf.DUMMYFUNCTION("""COMPUTED_VALUE"""),"en")</f>
        <v>en</v>
      </c>
      <c r="D244">
        <f>IFERROR(__xludf.DUMMYFUNCTION("""COMPUTED_VALUE"""),1089734.0)</f>
        <v>1089734</v>
      </c>
      <c r="E244" t="str">
        <f>IFERROR(__xludf.DUMMYFUNCTION("""COMPUTED_VALUE"""),"Mind Maps/ Mind Mapping for Teachers, Trainers, &amp; Presenters")</f>
        <v>Mind Maps/ Mind Mapping for Teachers, Trainers, &amp; Presenters</v>
      </c>
      <c r="F244" t="str">
        <f>IFERROR(__xludf.DUMMYFUNCTION("""COMPUTED_VALUE"""),"Mind Maps/ Mind Mapping for Teachers, Trainers, &amp; Presenters")</f>
        <v>Mind Maps/ Mind Mapping for Teachers, Trainers, &amp; Presenters</v>
      </c>
      <c r="G244">
        <f>IFERROR(__xludf.DUMMYFUNCTION("""COMPUTED_VALUE"""),671137.0)</f>
        <v>671137</v>
      </c>
      <c r="H244" t="str">
        <f>IFERROR(__xludf.DUMMYFUNCTION("""COMPUTED_VALUE"""),"Barry Mapp")</f>
        <v>Barry Mapp</v>
      </c>
      <c r="I244" t="str">
        <f>IFERROR(__xludf.DUMMYFUNCTION("""COMPUTED_VALUE"""),"Low Rating")</f>
        <v>Low Rating</v>
      </c>
      <c r="J244" t="b">
        <f>IFERROR(__xludf.DUMMYFUNCTION("""COMPUTED_VALUE"""),FALSE)</f>
        <v>0</v>
      </c>
      <c r="K244" s="142" t="str">
        <f>IFERROR(__xludf.DUMMYFUNCTION("""COMPUTED_VALUE"""),"Workplace &amp; Human Resources")</f>
        <v>Workplace &amp; Human Resources</v>
      </c>
      <c r="L244" s="142" t="str">
        <f>IFERROR(__xludf.DUMMYFUNCTION("""COMPUTED_VALUE"""),"Learning &amp; Development")</f>
        <v>Learning &amp; Development</v>
      </c>
      <c r="N244" s="140" t="str">
        <f>IFERROR(__xludf.DUMMYFUNCTION("""COMPUTED_VALUE"""),"")</f>
        <v/>
      </c>
      <c r="P244" s="140" t="str">
        <f>IFERROR(__xludf.DUMMYFUNCTION("""COMPUTED_VALUE"""),"")</f>
        <v/>
      </c>
    </row>
    <row r="245">
      <c r="A245" s="143">
        <f>IFERROR(__xludf.DUMMYFUNCTION("""COMPUTED_VALUE"""),44564.0)</f>
        <v>44564</v>
      </c>
      <c r="B245" s="143">
        <f>IFERROR(__xludf.DUMMYFUNCTION("""COMPUTED_VALUE"""),44742.0)</f>
        <v>44742</v>
      </c>
      <c r="C245" s="140" t="str">
        <f>IFERROR(__xludf.DUMMYFUNCTION("""COMPUTED_VALUE"""),"es")</f>
        <v>es</v>
      </c>
      <c r="D245">
        <f>IFERROR(__xludf.DUMMYFUNCTION("""COMPUTED_VALUE"""),1113090.0)</f>
        <v>1113090</v>
      </c>
      <c r="E245" t="str">
        <f>IFERROR(__xludf.DUMMYFUNCTION("""COMPUTED_VALUE"""),"Curso de programación C# SQL SERVER para principiantes")</f>
        <v>Curso de programación C# SQL SERVER para principiantes</v>
      </c>
      <c r="F245" t="str">
        <f>IFERROR(__xludf.DUMMYFUNCTION("""COMPUTED_VALUE"""),"C # SQL Server programming course for beginners")</f>
        <v>C # SQL Server programming course for beginners</v>
      </c>
      <c r="G245">
        <f>IFERROR(__xludf.DUMMYFUNCTION("""COMPUTED_VALUE"""),2.9636324E7)</f>
        <v>29636324</v>
      </c>
      <c r="H245" t="str">
        <f>IFERROR(__xludf.DUMMYFUNCTION("""COMPUTED_VALUE"""),"Lcdo.Eddy Quintero")</f>
        <v>Lcdo.Eddy Quintero</v>
      </c>
      <c r="I245" t="str">
        <f>IFERROR(__xludf.DUMMYFUNCTION("""COMPUTED_VALUE"""),"Low Rating")</f>
        <v>Low Rating</v>
      </c>
      <c r="J245" t="b">
        <f>IFERROR(__xludf.DUMMYFUNCTION("""COMPUTED_VALUE"""),FALSE)</f>
        <v>0</v>
      </c>
      <c r="K245" s="142" t="str">
        <f>IFERROR(__xludf.DUMMYFUNCTION("""COMPUTED_VALUE"""),"IT Operations")</f>
        <v>IT Operations</v>
      </c>
      <c r="L245" s="142" t="str">
        <f>IFERROR(__xludf.DUMMYFUNCTION("""COMPUTED_VALUE"""),"Operating Systems &amp; Servers")</f>
        <v>Operating Systems &amp; Servers</v>
      </c>
      <c r="N245" s="140" t="str">
        <f>IFERROR(__xludf.DUMMYFUNCTION("""COMPUTED_VALUE"""),"")</f>
        <v/>
      </c>
      <c r="P245" s="140" t="str">
        <f>IFERROR(__xludf.DUMMYFUNCTION("""COMPUTED_VALUE"""),"")</f>
        <v/>
      </c>
    </row>
    <row r="246">
      <c r="A246" s="143">
        <f>IFERROR(__xludf.DUMMYFUNCTION("""COMPUTED_VALUE"""),44564.0)</f>
        <v>44564</v>
      </c>
      <c r="B246" s="143">
        <f>IFERROR(__xludf.DUMMYFUNCTION("""COMPUTED_VALUE"""),44742.0)</f>
        <v>44742</v>
      </c>
      <c r="C246" s="140" t="str">
        <f>IFERROR(__xludf.DUMMYFUNCTION("""COMPUTED_VALUE"""),"de")</f>
        <v>de</v>
      </c>
      <c r="D246">
        <f>IFERROR(__xludf.DUMMYFUNCTION("""COMPUTED_VALUE"""),1158546.0)</f>
        <v>1158546</v>
      </c>
      <c r="E246" t="str">
        <f>IFERROR(__xludf.DUMMYFUNCTION("""COMPUTED_VALUE"""),"HTML in 1 Stunde vollständig lernen - HTML5 Online Kurs")</f>
        <v>HTML in 1 Stunde vollständig lernen - HTML5 Online Kurs</v>
      </c>
      <c r="F246" t="str">
        <f>IFERROR(__xludf.DUMMYFUNCTION("""COMPUTED_VALUE"""),"Learn HTML in 1 hour completely - HTML5 online course")</f>
        <v>Learn HTML in 1 hour completely - HTML5 online course</v>
      </c>
      <c r="G246">
        <f>IFERROR(__xludf.DUMMYFUNCTION("""COMPUTED_VALUE"""),3.0741768E7)</f>
        <v>30741768</v>
      </c>
      <c r="H246" t="str">
        <f>IFERROR(__xludf.DUMMYFUNCTION("""COMPUTED_VALUE"""),"Leon Hoffmann")</f>
        <v>Leon Hoffmann</v>
      </c>
      <c r="I246" t="str">
        <f>IFERROR(__xludf.DUMMYFUNCTION("""COMPUTED_VALUE"""),"Low Rating")</f>
        <v>Low Rating</v>
      </c>
      <c r="J246" t="b">
        <f>IFERROR(__xludf.DUMMYFUNCTION("""COMPUTED_VALUE"""),FALSE)</f>
        <v>0</v>
      </c>
      <c r="K246" s="142" t="str">
        <f>IFERROR(__xludf.DUMMYFUNCTION("""COMPUTED_VALUE"""),"Development")</f>
        <v>Development</v>
      </c>
      <c r="L246" s="142" t="str">
        <f>IFERROR(__xludf.DUMMYFUNCTION("""COMPUTED_VALUE"""),"Web Development")</f>
        <v>Web Development</v>
      </c>
      <c r="N246" s="140" t="str">
        <f>IFERROR(__xludf.DUMMYFUNCTION("""COMPUTED_VALUE"""),"")</f>
        <v/>
      </c>
      <c r="P246" s="140" t="str">
        <f>IFERROR(__xludf.DUMMYFUNCTION("""COMPUTED_VALUE"""),"")</f>
        <v/>
      </c>
    </row>
    <row r="247">
      <c r="A247" s="143">
        <f>IFERROR(__xludf.DUMMYFUNCTION("""COMPUTED_VALUE"""),44564.0)</f>
        <v>44564</v>
      </c>
      <c r="B247" s="143">
        <f>IFERROR(__xludf.DUMMYFUNCTION("""COMPUTED_VALUE"""),44742.0)</f>
        <v>44742</v>
      </c>
      <c r="C247" s="140" t="str">
        <f>IFERROR(__xludf.DUMMYFUNCTION("""COMPUTED_VALUE"""),"de")</f>
        <v>de</v>
      </c>
      <c r="D247">
        <f>IFERROR(__xludf.DUMMYFUNCTION("""COMPUTED_VALUE"""),1230976.0)</f>
        <v>1230976</v>
      </c>
      <c r="E247" t="str">
        <f>IFERROR(__xludf.DUMMYFUNCTION("""COMPUTED_VALUE"""),"Project Leadership - Führungskompetenz im Projekt")</f>
        <v>Project Leadership - Führungskompetenz im Projekt</v>
      </c>
      <c r="F247" t="str">
        <f>IFERROR(__xludf.DUMMYFUNCTION("""COMPUTED_VALUE"""),"Project Leadership - Leadership Competence in the project")</f>
        <v>Project Leadership - Leadership Competence in the project</v>
      </c>
      <c r="G247">
        <f>IFERROR(__xludf.DUMMYFUNCTION("""COMPUTED_VALUE"""),2.3544436E7)</f>
        <v>23544436</v>
      </c>
      <c r="H247" t="str">
        <f>IFERROR(__xludf.DUMMYFUNCTION("""COMPUTED_VALUE"""),"Nicolas Scheel")</f>
        <v>Nicolas Scheel</v>
      </c>
      <c r="I247" t="str">
        <f>IFERROR(__xludf.DUMMYFUNCTION("""COMPUTED_VALUE"""),"Low Rating")</f>
        <v>Low Rating</v>
      </c>
      <c r="J247" t="b">
        <f>IFERROR(__xludf.DUMMYFUNCTION("""COMPUTED_VALUE"""),FALSE)</f>
        <v>0</v>
      </c>
      <c r="K247" s="142" t="str">
        <f>IFERROR(__xludf.DUMMYFUNCTION("""COMPUTED_VALUE"""),"Leadership &amp; Management")</f>
        <v>Leadership &amp; Management</v>
      </c>
      <c r="L247" s="142" t="str">
        <f>IFERROR(__xludf.DUMMYFUNCTION("""COMPUTED_VALUE"""),"Leadership")</f>
        <v>Leadership</v>
      </c>
      <c r="N247" s="140" t="str">
        <f>IFERROR(__xludf.DUMMYFUNCTION("""COMPUTED_VALUE"""),"")</f>
        <v/>
      </c>
      <c r="P247" s="140" t="str">
        <f>IFERROR(__xludf.DUMMYFUNCTION("""COMPUTED_VALUE"""),"")</f>
        <v/>
      </c>
    </row>
    <row r="248">
      <c r="A248" s="143">
        <f>IFERROR(__xludf.DUMMYFUNCTION("""COMPUTED_VALUE"""),44564.0)</f>
        <v>44564</v>
      </c>
      <c r="B248" s="143">
        <f>IFERROR(__xludf.DUMMYFUNCTION("""COMPUTED_VALUE"""),44742.0)</f>
        <v>44742</v>
      </c>
      <c r="C248" s="140" t="str">
        <f>IFERROR(__xludf.DUMMYFUNCTION("""COMPUTED_VALUE"""),"pt")</f>
        <v>pt</v>
      </c>
      <c r="D248">
        <f>IFERROR(__xludf.DUMMYFUNCTION("""COMPUTED_VALUE"""),1235914.0)</f>
        <v>1235914</v>
      </c>
      <c r="E248" t="str">
        <f>IFERROR(__xludf.DUMMYFUNCTION("""COMPUTED_VALUE"""),"Empresas Familiares - desafios e oportunidades")</f>
        <v>Empresas Familiares - desafios e oportunidades</v>
      </c>
      <c r="F248" t="str">
        <f>IFERROR(__xludf.DUMMYFUNCTION("""COMPUTED_VALUE"""),"Family Companies - Challenges and Opportunities")</f>
        <v>Family Companies - Challenges and Opportunities</v>
      </c>
      <c r="G248">
        <f>IFERROR(__xludf.DUMMYFUNCTION("""COMPUTED_VALUE"""),2.8197058E7)</f>
        <v>28197058</v>
      </c>
      <c r="H248" t="str">
        <f>IFERROR(__xludf.DUMMYFUNCTION("""COMPUTED_VALUE"""),"Rodrigo Miranda")</f>
        <v>Rodrigo Miranda</v>
      </c>
      <c r="I248" t="str">
        <f>IFERROR(__xludf.DUMMYFUNCTION("""COMPUTED_VALUE"""),"Low Rating")</f>
        <v>Low Rating</v>
      </c>
      <c r="J248" t="b">
        <f>IFERROR(__xludf.DUMMYFUNCTION("""COMPUTED_VALUE"""),TRUE)</f>
        <v>1</v>
      </c>
      <c r="K248" s="142" t="str">
        <f>IFERROR(__xludf.DUMMYFUNCTION("""COMPUTED_VALUE"""),"Leadership &amp; Management")</f>
        <v>Leadership &amp; Management</v>
      </c>
      <c r="L248" s="142" t="str">
        <f>IFERROR(__xludf.DUMMYFUNCTION("""COMPUTED_VALUE"""),"Leadership")</f>
        <v>Leadership</v>
      </c>
      <c r="N248" s="140" t="str">
        <f>IFERROR(__xludf.DUMMYFUNCTION("""COMPUTED_VALUE"""),"")</f>
        <v/>
      </c>
      <c r="P248" s="140" t="str">
        <f>IFERROR(__xludf.DUMMYFUNCTION("""COMPUTED_VALUE"""),"")</f>
        <v/>
      </c>
    </row>
    <row r="249">
      <c r="A249" s="143">
        <f>IFERROR(__xludf.DUMMYFUNCTION("""COMPUTED_VALUE"""),44564.0)</f>
        <v>44564</v>
      </c>
      <c r="B249" s="143">
        <f>IFERROR(__xludf.DUMMYFUNCTION("""COMPUTED_VALUE"""),44742.0)</f>
        <v>44742</v>
      </c>
      <c r="C249" s="140" t="str">
        <f>IFERROR(__xludf.DUMMYFUNCTION("""COMPUTED_VALUE"""),"es")</f>
        <v>es</v>
      </c>
      <c r="D249">
        <f>IFERROR(__xludf.DUMMYFUNCTION("""COMPUTED_VALUE"""),1304386.0)</f>
        <v>1304386</v>
      </c>
      <c r="E249" t="str">
        <f>IFERROR(__xludf.DUMMYFUNCTION("""COMPUTED_VALUE"""),"Diseño Web y Móvil con Sketch")</f>
        <v>Diseño Web y Móvil con Sketch</v>
      </c>
      <c r="F249" t="str">
        <f>IFERROR(__xludf.DUMMYFUNCTION("""COMPUTED_VALUE"""),"Web and mobile design with Sketch")</f>
        <v>Web and mobile design with Sketch</v>
      </c>
      <c r="G249">
        <f>IFERROR(__xludf.DUMMYFUNCTION("""COMPUTED_VALUE"""),2.7345394E7)</f>
        <v>27345394</v>
      </c>
      <c r="H249" t="str">
        <f>IFERROR(__xludf.DUMMYFUNCTION("""COMPUTED_VALUE"""),"Eugenia Jongewaard")</f>
        <v>Eugenia Jongewaard</v>
      </c>
      <c r="I249" t="str">
        <f>IFERROR(__xludf.DUMMYFUNCTION("""COMPUTED_VALUE"""),"Low Rating")</f>
        <v>Low Rating</v>
      </c>
      <c r="J249" t="b">
        <f>IFERROR(__xludf.DUMMYFUNCTION("""COMPUTED_VALUE"""),FALSE)</f>
        <v>0</v>
      </c>
      <c r="K249" s="142" t="str">
        <f>IFERROR(__xludf.DUMMYFUNCTION("""COMPUTED_VALUE"""),"Design")</f>
        <v>Design</v>
      </c>
      <c r="L249" s="142" t="str">
        <f>IFERROR(__xludf.DUMMYFUNCTION("""COMPUTED_VALUE"""),"Graphic Design")</f>
        <v>Graphic Design</v>
      </c>
      <c r="N249" s="140" t="str">
        <f>IFERROR(__xludf.DUMMYFUNCTION("""COMPUTED_VALUE"""),"")</f>
        <v/>
      </c>
      <c r="P249" s="140" t="str">
        <f>IFERROR(__xludf.DUMMYFUNCTION("""COMPUTED_VALUE"""),"")</f>
        <v/>
      </c>
    </row>
    <row r="250">
      <c r="A250" s="143">
        <f>IFERROR(__xludf.DUMMYFUNCTION("""COMPUTED_VALUE"""),44564.0)</f>
        <v>44564</v>
      </c>
      <c r="B250" s="143">
        <f>IFERROR(__xludf.DUMMYFUNCTION("""COMPUTED_VALUE"""),44742.0)</f>
        <v>44742</v>
      </c>
      <c r="C250" s="140" t="str">
        <f>IFERROR(__xludf.DUMMYFUNCTION("""COMPUTED_VALUE"""),"en")</f>
        <v>en</v>
      </c>
      <c r="D250">
        <f>IFERROR(__xludf.DUMMYFUNCTION("""COMPUTED_VALUE"""),2025430.0)</f>
        <v>2025430</v>
      </c>
      <c r="E250" t="str">
        <f>IFERROR(__xludf.DUMMYFUNCTION("""COMPUTED_VALUE"""),"Building Blockchains with Hyperledger Fabric using Composer")</f>
        <v>Building Blockchains with Hyperledger Fabric using Composer</v>
      </c>
      <c r="F250" t="str">
        <f>IFERROR(__xludf.DUMMYFUNCTION("""COMPUTED_VALUE"""),"Building Blockchains with Hyperledger Fabric using Composer")</f>
        <v>Building Blockchains with Hyperledger Fabric using Composer</v>
      </c>
      <c r="G250">
        <f>IFERROR(__xludf.DUMMYFUNCTION("""COMPUTED_VALUE"""),5.6165388E7)</f>
        <v>56165388</v>
      </c>
      <c r="H250" t="str">
        <f>IFERROR(__xludf.DUMMYFUNCTION("""COMPUTED_VALUE"""),"Qasim Shah")</f>
        <v>Qasim Shah</v>
      </c>
      <c r="I250" t="str">
        <f>IFERROR(__xludf.DUMMYFUNCTION("""COMPUTED_VALUE"""),"Low Rating")</f>
        <v>Low Rating</v>
      </c>
      <c r="J250" t="b">
        <f>IFERROR(__xludf.DUMMYFUNCTION("""COMPUTED_VALUE"""),FALSE)</f>
        <v>0</v>
      </c>
      <c r="K250" s="142" t="str">
        <f>IFERROR(__xludf.DUMMYFUNCTION("""COMPUTED_VALUE"""),"Development")</f>
        <v>Development</v>
      </c>
      <c r="L250" s="142" t="str">
        <f>IFERROR(__xludf.DUMMYFUNCTION("""COMPUTED_VALUE"""),"Database Design &amp; Development")</f>
        <v>Database Design &amp; Development</v>
      </c>
      <c r="N250" s="140" t="str">
        <f>IFERROR(__xludf.DUMMYFUNCTION("""COMPUTED_VALUE"""),"")</f>
        <v/>
      </c>
      <c r="P250" s="140" t="str">
        <f>IFERROR(__xludf.DUMMYFUNCTION("""COMPUTED_VALUE"""),"")</f>
        <v/>
      </c>
    </row>
    <row r="251">
      <c r="A251" s="143">
        <f>IFERROR(__xludf.DUMMYFUNCTION("""COMPUTED_VALUE"""),44564.0)</f>
        <v>44564</v>
      </c>
      <c r="B251" s="143">
        <f>IFERROR(__xludf.DUMMYFUNCTION("""COMPUTED_VALUE"""),44742.0)</f>
        <v>44742</v>
      </c>
      <c r="C251" s="140" t="str">
        <f>IFERROR(__xludf.DUMMYFUNCTION("""COMPUTED_VALUE"""),"en")</f>
        <v>en</v>
      </c>
      <c r="D251">
        <f>IFERROR(__xludf.DUMMYFUNCTION("""COMPUTED_VALUE"""),2155366.0)</f>
        <v>2155366</v>
      </c>
      <c r="E251" t="str">
        <f>IFERROR(__xludf.DUMMYFUNCTION("""COMPUTED_VALUE"""),"Salesforce Apex Trigger and Trigger Design Pattern")</f>
        <v>Salesforce Apex Trigger and Trigger Design Pattern</v>
      </c>
      <c r="F251" t="str">
        <f>IFERROR(__xludf.DUMMYFUNCTION("""COMPUTED_VALUE"""),"Salesforce Apex Trigger and Trigger Design Pattern")</f>
        <v>Salesforce Apex Trigger and Trigger Design Pattern</v>
      </c>
      <c r="G251">
        <f>IFERROR(__xludf.DUMMYFUNCTION("""COMPUTED_VALUE"""),2.3832452E7)</f>
        <v>23832452</v>
      </c>
      <c r="H251" t="str">
        <f>IFERROR(__xludf.DUMMYFUNCTION("""COMPUTED_VALUE"""),"Debasis Jena")</f>
        <v>Debasis Jena</v>
      </c>
      <c r="I251" t="str">
        <f>IFERROR(__xludf.DUMMYFUNCTION("""COMPUTED_VALUE"""),"Low Rating")</f>
        <v>Low Rating</v>
      </c>
      <c r="J251" t="b">
        <f>IFERROR(__xludf.DUMMYFUNCTION("""COMPUTED_VALUE"""),FALSE)</f>
        <v>0</v>
      </c>
      <c r="K251" s="142" t="str">
        <f>IFERROR(__xludf.DUMMYFUNCTION("""COMPUTED_VALUE"""),"Development")</f>
        <v>Development</v>
      </c>
      <c r="L251" s="142" t="str">
        <f>IFERROR(__xludf.DUMMYFUNCTION("""COMPUTED_VALUE"""),"Programming Languages")</f>
        <v>Programming Languages</v>
      </c>
      <c r="N251" s="140" t="str">
        <f>IFERROR(__xludf.DUMMYFUNCTION("""COMPUTED_VALUE"""),"")</f>
        <v/>
      </c>
      <c r="P251" s="140" t="str">
        <f>IFERROR(__xludf.DUMMYFUNCTION("""COMPUTED_VALUE"""),"")</f>
        <v/>
      </c>
    </row>
    <row r="252">
      <c r="A252" s="143">
        <f>IFERROR(__xludf.DUMMYFUNCTION("""COMPUTED_VALUE"""),44564.0)</f>
        <v>44564</v>
      </c>
      <c r="B252" s="143">
        <f>IFERROR(__xludf.DUMMYFUNCTION("""COMPUTED_VALUE"""),44742.0)</f>
        <v>44742</v>
      </c>
      <c r="C252" s="140" t="str">
        <f>IFERROR(__xludf.DUMMYFUNCTION("""COMPUTED_VALUE"""),"de")</f>
        <v>de</v>
      </c>
      <c r="D252">
        <f>IFERROR(__xludf.DUMMYFUNCTION("""COMPUTED_VALUE"""),2541474.0)</f>
        <v>2541474</v>
      </c>
      <c r="E252" t="str">
        <f>IFERROR(__xludf.DUMMYFUNCTION("""COMPUTED_VALUE"""),"Adobe Illustrator CC – Illustrator Werkzeuge &amp; Logodesign")</f>
        <v>Adobe Illustrator CC – Illustrator Werkzeuge &amp; Logodesign</v>
      </c>
      <c r="F252" t="str">
        <f>IFERROR(__xludf.DUMMYFUNCTION("""COMPUTED_VALUE"""),"Adobe Illustrator CC - Illustrator Werkzeuge &amp; Logodesign")</f>
        <v>Adobe Illustrator CC - Illustrator Werkzeuge &amp; Logodesign</v>
      </c>
      <c r="G252">
        <f>IFERROR(__xludf.DUMMYFUNCTION("""COMPUTED_VALUE"""),6.8929776E7)</f>
        <v>68929776</v>
      </c>
      <c r="H252" t="str">
        <f>IFERROR(__xludf.DUMMYFUNCTION("""COMPUTED_VALUE"""),"Malin Liv Günther")</f>
        <v>Malin Liv Günther</v>
      </c>
      <c r="I252" t="str">
        <f>IFERROR(__xludf.DUMMYFUNCTION("""COMPUTED_VALUE"""),"Low Rating")</f>
        <v>Low Rating</v>
      </c>
      <c r="J252" t="b">
        <f>IFERROR(__xludf.DUMMYFUNCTION("""COMPUTED_VALUE"""),FALSE)</f>
        <v>0</v>
      </c>
      <c r="K252" s="142" t="str">
        <f>IFERROR(__xludf.DUMMYFUNCTION("""COMPUTED_VALUE"""),"Personal Development")</f>
        <v>Personal Development</v>
      </c>
      <c r="L252" s="142" t="str">
        <f>IFERROR(__xludf.DUMMYFUNCTION("""COMPUTED_VALUE"""),"Personal Growth")</f>
        <v>Personal Growth</v>
      </c>
      <c r="N252" s="140" t="str">
        <f>IFERROR(__xludf.DUMMYFUNCTION("""COMPUTED_VALUE"""),"")</f>
        <v/>
      </c>
      <c r="P252" s="140" t="str">
        <f>IFERROR(__xludf.DUMMYFUNCTION("""COMPUTED_VALUE"""),"")</f>
        <v/>
      </c>
    </row>
    <row r="253">
      <c r="A253" s="143">
        <f>IFERROR(__xludf.DUMMYFUNCTION("""COMPUTED_VALUE"""),44564.0)</f>
        <v>44564</v>
      </c>
      <c r="B253" s="143">
        <f>IFERROR(__xludf.DUMMYFUNCTION("""COMPUTED_VALUE"""),44742.0)</f>
        <v>44742</v>
      </c>
      <c r="C253" s="140" t="str">
        <f>IFERROR(__xludf.DUMMYFUNCTION("""COMPUTED_VALUE"""),"es")</f>
        <v>es</v>
      </c>
      <c r="D253">
        <f>IFERROR(__xludf.DUMMYFUNCTION("""COMPUTED_VALUE"""),2585152.0)</f>
        <v>2585152</v>
      </c>
      <c r="E253" t="str">
        <f>IFERROR(__xludf.DUMMYFUNCTION("""COMPUTED_VALUE"""),"[2021] Fundamentos de Scrum: Simulador de Examen")</f>
        <v>[2021] Fundamentos de Scrum: Simulador de Examen</v>
      </c>
      <c r="F253" t="str">
        <f>IFERROR(__xludf.DUMMYFUNCTION("""COMPUTED_VALUE"""),"[2021] Fundamentals of Scrum: Exam Simulator")</f>
        <v>[2021] Fundamentals of Scrum: Exam Simulator</v>
      </c>
      <c r="G253">
        <f>IFERROR(__xludf.DUMMYFUNCTION("""COMPUTED_VALUE"""),7.8922112E7)</f>
        <v>78922112</v>
      </c>
      <c r="H253" t="str">
        <f>IFERROR(__xludf.DUMMYFUNCTION("""COMPUTED_VALUE"""),"IT Cert")</f>
        <v>IT Cert</v>
      </c>
      <c r="I253" t="str">
        <f>IFERROR(__xludf.DUMMYFUNCTION("""COMPUTED_VALUE"""),"Low Rating")</f>
        <v>Low Rating</v>
      </c>
      <c r="J253" t="b">
        <f>IFERROR(__xludf.DUMMYFUNCTION("""COMPUTED_VALUE"""),FALSE)</f>
        <v>0</v>
      </c>
      <c r="K253" s="142" t="str">
        <f>IFERROR(__xludf.DUMMYFUNCTION("""COMPUTED_VALUE"""),"Project Management &amp; Operations")</f>
        <v>Project Management &amp; Operations</v>
      </c>
      <c r="L253" s="142" t="str">
        <f>IFERROR(__xludf.DUMMYFUNCTION("""COMPUTED_VALUE"""),"Agile &amp; Scrum")</f>
        <v>Agile &amp; Scrum</v>
      </c>
      <c r="N253" s="140" t="str">
        <f>IFERROR(__xludf.DUMMYFUNCTION("""COMPUTED_VALUE"""),"")</f>
        <v/>
      </c>
      <c r="P253" s="140" t="str">
        <f>IFERROR(__xludf.DUMMYFUNCTION("""COMPUTED_VALUE"""),"")</f>
        <v/>
      </c>
    </row>
    <row r="254">
      <c r="A254" s="143">
        <f>IFERROR(__xludf.DUMMYFUNCTION("""COMPUTED_VALUE"""),44564.0)</f>
        <v>44564</v>
      </c>
      <c r="B254" s="143">
        <f>IFERROR(__xludf.DUMMYFUNCTION("""COMPUTED_VALUE"""),44742.0)</f>
        <v>44742</v>
      </c>
      <c r="C254" s="140" t="str">
        <f>IFERROR(__xludf.DUMMYFUNCTION("""COMPUTED_VALUE"""),"en")</f>
        <v>en</v>
      </c>
      <c r="D254">
        <f>IFERROR(__xludf.DUMMYFUNCTION("""COMPUTED_VALUE"""),2725112.0)</f>
        <v>2725112</v>
      </c>
      <c r="E254" t="str">
        <f>IFERROR(__xludf.DUMMYFUNCTION("""COMPUTED_VALUE"""),"React, TypeScript, Redux, StyledComponents: Build Sudoku App")</f>
        <v>React, TypeScript, Redux, StyledComponents: Build Sudoku App</v>
      </c>
      <c r="F254" t="str">
        <f>IFERROR(__xludf.DUMMYFUNCTION("""COMPUTED_VALUE"""),"React, TypeScript, Redux, StyledComponents: Build Sudoku App")</f>
        <v>React, TypeScript, Redux, StyledComponents: Build Sudoku App</v>
      </c>
      <c r="G254">
        <f>IFERROR(__xludf.DUMMYFUNCTION("""COMPUTED_VALUE"""),2.748707E7)</f>
        <v>27487070</v>
      </c>
      <c r="H254" t="str">
        <f>IFERROR(__xludf.DUMMYFUNCTION("""COMPUTED_VALUE"""),"Barry Michael Doyle")</f>
        <v>Barry Michael Doyle</v>
      </c>
      <c r="I254" t="str">
        <f>IFERROR(__xludf.DUMMYFUNCTION("""COMPUTED_VALUE"""),"Low Rating")</f>
        <v>Low Rating</v>
      </c>
      <c r="J254" t="b">
        <f>IFERROR(__xludf.DUMMYFUNCTION("""COMPUTED_VALUE"""),FALSE)</f>
        <v>0</v>
      </c>
      <c r="K254" s="142" t="str">
        <f>IFERROR(__xludf.DUMMYFUNCTION("""COMPUTED_VALUE"""),"Development")</f>
        <v>Development</v>
      </c>
      <c r="L254" s="142" t="str">
        <f>IFERROR(__xludf.DUMMYFUNCTION("""COMPUTED_VALUE"""),"Web Development")</f>
        <v>Web Development</v>
      </c>
      <c r="N254" s="140" t="str">
        <f>IFERROR(__xludf.DUMMYFUNCTION("""COMPUTED_VALUE"""),"")</f>
        <v/>
      </c>
      <c r="P254" s="140" t="str">
        <f>IFERROR(__xludf.DUMMYFUNCTION("""COMPUTED_VALUE"""),"")</f>
        <v/>
      </c>
    </row>
    <row r="255">
      <c r="A255" s="143">
        <f>IFERROR(__xludf.DUMMYFUNCTION("""COMPUTED_VALUE"""),44564.0)</f>
        <v>44564</v>
      </c>
      <c r="B255" s="143">
        <f>IFERROR(__xludf.DUMMYFUNCTION("""COMPUTED_VALUE"""),44742.0)</f>
        <v>44742</v>
      </c>
      <c r="C255" t="str">
        <f>IFERROR(__xludf.DUMMYFUNCTION("""COMPUTED_VALUE"""),"en")</f>
        <v>en</v>
      </c>
      <c r="D255">
        <f>IFERROR(__xludf.DUMMYFUNCTION("""COMPUTED_VALUE"""),2771132.0)</f>
        <v>2771132</v>
      </c>
      <c r="E255" t="str">
        <f>IFERROR(__xludf.DUMMYFUNCTION("""COMPUTED_VALUE"""),"Spark Project on Cloudera Hadoop(CDH) and GCP for Beginners")</f>
        <v>Spark Project on Cloudera Hadoop(CDH) and GCP for Beginners</v>
      </c>
      <c r="F255" t="str">
        <f>IFERROR(__xludf.DUMMYFUNCTION("""COMPUTED_VALUE"""),"Spark Project on Cloudera Hadoop(CDH) and GCP for Beginners")</f>
        <v>Spark Project on Cloudera Hadoop(CDH) and GCP for Beginners</v>
      </c>
      <c r="G255">
        <f>IFERROR(__xludf.DUMMYFUNCTION("""COMPUTED_VALUE"""),9.9042196E7)</f>
        <v>99042196</v>
      </c>
      <c r="H255" t="str">
        <f>IFERROR(__xludf.DUMMYFUNCTION("""COMPUTED_VALUE"""),"PARI MARGU")</f>
        <v>PARI MARGU</v>
      </c>
      <c r="I255" t="str">
        <f>IFERROR(__xludf.DUMMYFUNCTION("""COMPUTED_VALUE"""),"Low Rating")</f>
        <v>Low Rating</v>
      </c>
      <c r="J255" t="b">
        <f>IFERROR(__xludf.DUMMYFUNCTION("""COMPUTED_VALUE"""),FALSE)</f>
        <v>0</v>
      </c>
      <c r="K255" s="142" t="str">
        <f>IFERROR(__xludf.DUMMYFUNCTION("""COMPUTED_VALUE"""),"IT Operations")</f>
        <v>IT Operations</v>
      </c>
      <c r="L255" s="142" t="str">
        <f>IFERROR(__xludf.DUMMYFUNCTION("""COMPUTED_VALUE"""),"Operating Systems &amp; Servers")</f>
        <v>Operating Systems &amp; Servers</v>
      </c>
      <c r="N255" s="140" t="str">
        <f>IFERROR(__xludf.DUMMYFUNCTION("""COMPUTED_VALUE"""),"")</f>
        <v/>
      </c>
      <c r="P255" s="140" t="str">
        <f>IFERROR(__xludf.DUMMYFUNCTION("""COMPUTED_VALUE"""),"")</f>
        <v/>
      </c>
    </row>
    <row r="256">
      <c r="A256" s="143">
        <f>IFERROR(__xludf.DUMMYFUNCTION("""COMPUTED_VALUE"""),44564.0)</f>
        <v>44564</v>
      </c>
      <c r="B256" s="143">
        <f>IFERROR(__xludf.DUMMYFUNCTION("""COMPUTED_VALUE"""),44742.0)</f>
        <v>44742</v>
      </c>
      <c r="C256" s="140" t="str">
        <f>IFERROR(__xludf.DUMMYFUNCTION("""COMPUTED_VALUE"""),"en")</f>
        <v>en</v>
      </c>
      <c r="D256">
        <f>IFERROR(__xludf.DUMMYFUNCTION("""COMPUTED_VALUE"""),2868014.0)</f>
        <v>2868014</v>
      </c>
      <c r="E256" t="str">
        <f>IFERROR(__xludf.DUMMYFUNCTION("""COMPUTED_VALUE"""),"The Ultimate Spring Batch Developer Course")</f>
        <v>The Ultimate Spring Batch Developer Course</v>
      </c>
      <c r="F256" t="str">
        <f>IFERROR(__xludf.DUMMYFUNCTION("""COMPUTED_VALUE"""),"The Ultimate Spring Batch Developer Course")</f>
        <v>The Ultimate Spring Batch Developer Course</v>
      </c>
      <c r="G256">
        <f>IFERROR(__xludf.DUMMYFUNCTION("""COMPUTED_VALUE"""),1.05346454E8)</f>
        <v>105346454</v>
      </c>
      <c r="H256" t="str">
        <f>IFERROR(__xludf.DUMMYFUNCTION("""COMPUTED_VALUE"""),"Spring Batch")</f>
        <v>Spring Batch</v>
      </c>
      <c r="I256" t="str">
        <f>IFERROR(__xludf.DUMMYFUNCTION("""COMPUTED_VALUE"""),"Low Rating")</f>
        <v>Low Rating</v>
      </c>
      <c r="J256" t="b">
        <f>IFERROR(__xludf.DUMMYFUNCTION("""COMPUTED_VALUE"""),FALSE)</f>
        <v>0</v>
      </c>
      <c r="K256" s="142" t="str">
        <f>IFERROR(__xludf.DUMMYFUNCTION("""COMPUTED_VALUE"""),"Development")</f>
        <v>Development</v>
      </c>
      <c r="L256" s="142" t="str">
        <f>IFERROR(__xludf.DUMMYFUNCTION("""COMPUTED_VALUE"""),"Web Development")</f>
        <v>Web Development</v>
      </c>
      <c r="N256" s="140" t="str">
        <f>IFERROR(__xludf.DUMMYFUNCTION("""COMPUTED_VALUE"""),"")</f>
        <v/>
      </c>
      <c r="P256" s="140" t="str">
        <f>IFERROR(__xludf.DUMMYFUNCTION("""COMPUTED_VALUE"""),"")</f>
        <v/>
      </c>
    </row>
    <row r="257">
      <c r="A257" s="143">
        <f>IFERROR(__xludf.DUMMYFUNCTION("""COMPUTED_VALUE"""),44564.0)</f>
        <v>44564</v>
      </c>
      <c r="B257" s="143">
        <f>IFERROR(__xludf.DUMMYFUNCTION("""COMPUTED_VALUE"""),44742.0)</f>
        <v>44742</v>
      </c>
      <c r="C257" s="140" t="str">
        <f>IFERROR(__xludf.DUMMYFUNCTION("""COMPUTED_VALUE"""),"en")</f>
        <v>en</v>
      </c>
      <c r="D257">
        <f>IFERROR(__xludf.DUMMYFUNCTION("""COMPUTED_VALUE"""),3308996.0)</f>
        <v>3308996</v>
      </c>
      <c r="E257" t="str">
        <f>IFERROR(__xludf.DUMMYFUNCTION("""COMPUTED_VALUE"""),"Reverse Engineering 6: Reversing .NET with dnSpy")</f>
        <v>Reverse Engineering 6: Reversing .NET with dnSpy</v>
      </c>
      <c r="F257" t="str">
        <f>IFERROR(__xludf.DUMMYFUNCTION("""COMPUTED_VALUE"""),"Reverse Engineering 6: Reversing .NET with dnSpy")</f>
        <v>Reverse Engineering 6: Reversing .NET with dnSpy</v>
      </c>
      <c r="G257">
        <f>IFERROR(__xludf.DUMMYFUNCTION("""COMPUTED_VALUE"""),9399740.0)</f>
        <v>9399740</v>
      </c>
      <c r="H257" t="str">
        <f>IFERROR(__xludf.DUMMYFUNCTION("""COMPUTED_VALUE"""),"Paul Chin")</f>
        <v>Paul Chin</v>
      </c>
      <c r="I257" t="str">
        <f>IFERROR(__xludf.DUMMYFUNCTION("""COMPUTED_VALUE"""),"Low Rating")</f>
        <v>Low Rating</v>
      </c>
      <c r="J257" t="b">
        <f>IFERROR(__xludf.DUMMYFUNCTION("""COMPUTED_VALUE"""),FALSE)</f>
        <v>0</v>
      </c>
      <c r="K257" s="142" t="str">
        <f>IFERROR(__xludf.DUMMYFUNCTION("""COMPUTED_VALUE"""),"IT Operations")</f>
        <v>IT Operations</v>
      </c>
      <c r="L257" s="142" t="str">
        <f>IFERROR(__xludf.DUMMYFUNCTION("""COMPUTED_VALUE"""),"Network &amp; Security")</f>
        <v>Network &amp; Security</v>
      </c>
      <c r="N257" s="140" t="str">
        <f>IFERROR(__xludf.DUMMYFUNCTION("""COMPUTED_VALUE"""),"")</f>
        <v/>
      </c>
      <c r="P257" s="140" t="str">
        <f>IFERROR(__xludf.DUMMYFUNCTION("""COMPUTED_VALUE"""),"")</f>
        <v/>
      </c>
    </row>
    <row r="258">
      <c r="A258" s="143">
        <f>IFERROR(__xludf.DUMMYFUNCTION("""COMPUTED_VALUE"""),44564.0)</f>
        <v>44564</v>
      </c>
      <c r="B258" s="143">
        <f>IFERROR(__xludf.DUMMYFUNCTION("""COMPUTED_VALUE"""),44742.0)</f>
        <v>44742</v>
      </c>
      <c r="C258" s="140" t="str">
        <f>IFERROR(__xludf.DUMMYFUNCTION("""COMPUTED_VALUE"""),"de")</f>
        <v>de</v>
      </c>
      <c r="D258">
        <f>IFERROR(__xludf.DUMMYFUNCTION("""COMPUTED_VALUE"""),3649974.0)</f>
        <v>3649974</v>
      </c>
      <c r="E258" t="str">
        <f>IFERROR(__xludf.DUMMYFUNCTION("""COMPUTED_VALUE"""),"Authentisch und charismatisch führen")</f>
        <v>Authentisch und charismatisch führen</v>
      </c>
      <c r="F258" t="str">
        <f>IFERROR(__xludf.DUMMYFUNCTION("""COMPUTED_VALUE"""),"Lead authentic and charismatic")</f>
        <v>Lead authentic and charismatic</v>
      </c>
      <c r="G258">
        <f>IFERROR(__xludf.DUMMYFUNCTION("""COMPUTED_VALUE"""),1.41829806E8)</f>
        <v>141829806</v>
      </c>
      <c r="H258" t="str">
        <f>IFERROR(__xludf.DUMMYFUNCTION("""COMPUTED_VALUE"""),"Rebecca Paul")</f>
        <v>Rebecca Paul</v>
      </c>
      <c r="I258" t="str">
        <f>IFERROR(__xludf.DUMMYFUNCTION("""COMPUTED_VALUE"""),"Low Rating")</f>
        <v>Low Rating</v>
      </c>
      <c r="J258" t="b">
        <f>IFERROR(__xludf.DUMMYFUNCTION("""COMPUTED_VALUE"""),FALSE)</f>
        <v>0</v>
      </c>
      <c r="K258" s="142" t="str">
        <f>IFERROR(__xludf.DUMMYFUNCTION("""COMPUTED_VALUE"""),"Personal Development")</f>
        <v>Personal Development</v>
      </c>
      <c r="L258" s="142" t="str">
        <f>IFERROR(__xludf.DUMMYFUNCTION("""COMPUTED_VALUE"""),"Personal Growth")</f>
        <v>Personal Growth</v>
      </c>
      <c r="N258" s="140" t="str">
        <f>IFERROR(__xludf.DUMMYFUNCTION("""COMPUTED_VALUE"""),"")</f>
        <v/>
      </c>
      <c r="P258" s="140" t="str">
        <f>IFERROR(__xludf.DUMMYFUNCTION("""COMPUTED_VALUE"""),"")</f>
        <v/>
      </c>
    </row>
    <row r="259">
      <c r="A259" s="143">
        <f>IFERROR(__xludf.DUMMYFUNCTION("""COMPUTED_VALUE"""),44564.0)</f>
        <v>44564</v>
      </c>
      <c r="B259" s="143">
        <f>IFERROR(__xludf.DUMMYFUNCTION("""COMPUTED_VALUE"""),44742.0)</f>
        <v>44742</v>
      </c>
      <c r="C259" t="str">
        <f>IFERROR(__xludf.DUMMYFUNCTION("""COMPUTED_VALUE"""),"en")</f>
        <v>en</v>
      </c>
      <c r="D259">
        <f>IFERROR(__xludf.DUMMYFUNCTION("""COMPUTED_VALUE"""),3652198.0)</f>
        <v>3652198</v>
      </c>
      <c r="E259" t="str">
        <f>IFERROR(__xludf.DUMMYFUNCTION("""COMPUTED_VALUE"""),"Strongly Typed Next.js")</f>
        <v>Strongly Typed Next.js</v>
      </c>
      <c r="F259" t="str">
        <f>IFERROR(__xludf.DUMMYFUNCTION("""COMPUTED_VALUE"""),"Strongly Typed Next.js")</f>
        <v>Strongly Typed Next.js</v>
      </c>
      <c r="G259">
        <f>IFERROR(__xludf.DUMMYFUNCTION("""COMPUTED_VALUE"""),7750310.0)</f>
        <v>7750310</v>
      </c>
      <c r="H259" t="str">
        <f>IFERROR(__xludf.DUMMYFUNCTION("""COMPUTED_VALUE"""),"Michael Stromer")</f>
        <v>Michael Stromer</v>
      </c>
      <c r="I259" t="str">
        <f>IFERROR(__xludf.DUMMYFUNCTION("""COMPUTED_VALUE"""),"Low Rating")</f>
        <v>Low Rating</v>
      </c>
      <c r="J259" t="b">
        <f>IFERROR(__xludf.DUMMYFUNCTION("""COMPUTED_VALUE"""),FALSE)</f>
        <v>0</v>
      </c>
      <c r="K259" s="142" t="str">
        <f>IFERROR(__xludf.DUMMYFUNCTION("""COMPUTED_VALUE"""),"#N/A")</f>
        <v>#N/A</v>
      </c>
      <c r="L259" s="142" t="str">
        <f>IFERROR(__xludf.DUMMYFUNCTION("""COMPUTED_VALUE"""),"#N/A")</f>
        <v>#N/A</v>
      </c>
      <c r="N259" s="140" t="str">
        <f>IFERROR(__xludf.DUMMYFUNCTION("""COMPUTED_VALUE"""),"")</f>
        <v/>
      </c>
      <c r="P259" s="140" t="str">
        <f>IFERROR(__xludf.DUMMYFUNCTION("""COMPUTED_VALUE"""),"")</f>
        <v/>
      </c>
    </row>
    <row r="260">
      <c r="A260" s="143">
        <f>IFERROR(__xludf.DUMMYFUNCTION("""COMPUTED_VALUE"""),44564.0)</f>
        <v>44564</v>
      </c>
      <c r="B260" s="143">
        <f>IFERROR(__xludf.DUMMYFUNCTION("""COMPUTED_VALUE"""),44742.0)</f>
        <v>44742</v>
      </c>
      <c r="C260" s="140" t="str">
        <f>IFERROR(__xludf.DUMMYFUNCTION("""COMPUTED_VALUE"""),"en")</f>
        <v>en</v>
      </c>
      <c r="D260">
        <f>IFERROR(__xludf.DUMMYFUNCTION("""COMPUTED_VALUE"""),3694846.0)</f>
        <v>3694846</v>
      </c>
      <c r="E260" t="str">
        <f>IFERROR(__xludf.DUMMYFUNCTION("""COMPUTED_VALUE"""),"Project Implementation on Salesforce Einstein Analytics")</f>
        <v>Project Implementation on Salesforce Einstein Analytics</v>
      </c>
      <c r="F260" t="str">
        <f>IFERROR(__xludf.DUMMYFUNCTION("""COMPUTED_VALUE"""),"Project Implementation on Salesforce Einstein Analytics")</f>
        <v>Project Implementation on Salesforce Einstein Analytics</v>
      </c>
      <c r="G260">
        <f>IFERROR(__xludf.DUMMYFUNCTION("""COMPUTED_VALUE"""),2.3832452E7)</f>
        <v>23832452</v>
      </c>
      <c r="H260" t="str">
        <f>IFERROR(__xludf.DUMMYFUNCTION("""COMPUTED_VALUE"""),"Debasis Jena")</f>
        <v>Debasis Jena</v>
      </c>
      <c r="I260" t="str">
        <f>IFERROR(__xludf.DUMMYFUNCTION("""COMPUTED_VALUE"""),"Low Rating")</f>
        <v>Low Rating</v>
      </c>
      <c r="J260" t="b">
        <f>IFERROR(__xludf.DUMMYFUNCTION("""COMPUTED_VALUE"""),FALSE)</f>
        <v>0</v>
      </c>
      <c r="K260" s="142" t="str">
        <f>IFERROR(__xludf.DUMMYFUNCTION("""COMPUTED_VALUE"""),"Development")</f>
        <v>Development</v>
      </c>
      <c r="L260" s="142" t="str">
        <f>IFERROR(__xludf.DUMMYFUNCTION("""COMPUTED_VALUE"""),"Software Engineering")</f>
        <v>Software Engineering</v>
      </c>
      <c r="N260" s="140" t="str">
        <f>IFERROR(__xludf.DUMMYFUNCTION("""COMPUTED_VALUE"""),"")</f>
        <v/>
      </c>
      <c r="P260" s="140" t="str">
        <f>IFERROR(__xludf.DUMMYFUNCTION("""COMPUTED_VALUE"""),"")</f>
        <v/>
      </c>
    </row>
    <row r="261">
      <c r="A261" s="143">
        <f>IFERROR(__xludf.DUMMYFUNCTION("""COMPUTED_VALUE"""),44564.0)</f>
        <v>44564</v>
      </c>
      <c r="B261" s="143">
        <f>IFERROR(__xludf.DUMMYFUNCTION("""COMPUTED_VALUE"""),44742.0)</f>
        <v>44742</v>
      </c>
      <c r="C261" s="140" t="str">
        <f>IFERROR(__xludf.DUMMYFUNCTION("""COMPUTED_VALUE"""),"en")</f>
        <v>en</v>
      </c>
      <c r="D261">
        <f>IFERROR(__xludf.DUMMYFUNCTION("""COMPUTED_VALUE"""),3782122.0)</f>
        <v>3782122</v>
      </c>
      <c r="E261" t="str">
        <f>IFERROR(__xludf.DUMMYFUNCTION("""COMPUTED_VALUE"""),"End to End React with Prisma 2")</f>
        <v>End to End React with Prisma 2</v>
      </c>
      <c r="F261" t="str">
        <f>IFERROR(__xludf.DUMMYFUNCTION("""COMPUTED_VALUE"""),"End to End React with Prisma 2")</f>
        <v>End to End React with Prisma 2</v>
      </c>
      <c r="G261">
        <f>IFERROR(__xludf.DUMMYFUNCTION("""COMPUTED_VALUE"""),4606640.0)</f>
        <v>4606640</v>
      </c>
      <c r="H261" t="str">
        <f>IFERROR(__xludf.DUMMYFUNCTION("""COMPUTED_VALUE"""),"Stephen Jensen")</f>
        <v>Stephen Jensen</v>
      </c>
      <c r="I261" t="str">
        <f>IFERROR(__xludf.DUMMYFUNCTION("""COMPUTED_VALUE"""),"Low Rating")</f>
        <v>Low Rating</v>
      </c>
      <c r="J261" t="b">
        <f>IFERROR(__xludf.DUMMYFUNCTION("""COMPUTED_VALUE"""),FALSE)</f>
        <v>0</v>
      </c>
      <c r="K261" s="142" t="str">
        <f>IFERROR(__xludf.DUMMYFUNCTION("""COMPUTED_VALUE"""),"Development")</f>
        <v>Development</v>
      </c>
      <c r="L261" s="142" t="str">
        <f>IFERROR(__xludf.DUMMYFUNCTION("""COMPUTED_VALUE"""),"Web Development")</f>
        <v>Web Development</v>
      </c>
      <c r="N261" s="140" t="str">
        <f>IFERROR(__xludf.DUMMYFUNCTION("""COMPUTED_VALUE"""),"")</f>
        <v/>
      </c>
      <c r="P261" s="140" t="str">
        <f>IFERROR(__xludf.DUMMYFUNCTION("""COMPUTED_VALUE"""),"")</f>
        <v/>
      </c>
    </row>
    <row r="262">
      <c r="A262" s="143">
        <f>IFERROR(__xludf.DUMMYFUNCTION("""COMPUTED_VALUE"""),44535.0)</f>
        <v>44535</v>
      </c>
      <c r="B262" s="143">
        <f>IFERROR(__xludf.DUMMYFUNCTION("""COMPUTED_VALUE"""),44742.0)</f>
        <v>44742</v>
      </c>
      <c r="C262" s="140" t="str">
        <f>IFERROR(__xludf.DUMMYFUNCTION("""COMPUTED_VALUE"""),"en")</f>
        <v>en</v>
      </c>
      <c r="D262">
        <f>IFERROR(__xludf.DUMMYFUNCTION("""COMPUTED_VALUE"""),126684.0)</f>
        <v>126684</v>
      </c>
      <c r="E262" t="str">
        <f>IFERROR(__xludf.DUMMYFUNCTION("""COMPUTED_VALUE"""),"How to Build Habit-Forming Products")</f>
        <v>How to Build Habit-Forming Products</v>
      </c>
      <c r="F262" t="str">
        <f>IFERROR(__xludf.DUMMYFUNCTION("""COMPUTED_VALUE"""),"How to Build Habit-Forming Products")</f>
        <v>How to Build Habit-Forming Products</v>
      </c>
      <c r="G262">
        <f>IFERROR(__xludf.DUMMYFUNCTION("""COMPUTED_VALUE"""),47096.0)</f>
        <v>47096</v>
      </c>
      <c r="H262" t="str">
        <f>IFERROR(__xludf.DUMMYFUNCTION("""COMPUTED_VALUE"""),"Nir Eyal")</f>
        <v>Nir Eyal</v>
      </c>
      <c r="I262" t="str">
        <f>IFERROR(__xludf.DUMMYFUNCTION("""COMPUTED_VALUE"""),"Instructor Request- Opted Out")</f>
        <v>Instructor Request- Opted Out</v>
      </c>
      <c r="J262" t="b">
        <f>IFERROR(__xludf.DUMMYFUNCTION("""COMPUTED_VALUE"""),FALSE)</f>
        <v>0</v>
      </c>
      <c r="K262" s="142" t="str">
        <f>IFERROR(__xludf.DUMMYFUNCTION("""COMPUTED_VALUE"""),"Design")</f>
        <v>Design</v>
      </c>
      <c r="L262" s="142" t="str">
        <f>IFERROR(__xludf.DUMMYFUNCTION("""COMPUTED_VALUE"""),"User Experience Design")</f>
        <v>User Experience Design</v>
      </c>
      <c r="N262" s="140" t="str">
        <f>IFERROR(__xludf.DUMMYFUNCTION("""COMPUTED_VALUE"""),"")</f>
        <v/>
      </c>
      <c r="P262" s="140" t="str">
        <f>IFERROR(__xludf.DUMMYFUNCTION("""COMPUTED_VALUE"""),"")</f>
        <v/>
      </c>
    </row>
    <row r="263">
      <c r="A263" s="143">
        <f>IFERROR(__xludf.DUMMYFUNCTION("""COMPUTED_VALUE"""),44535.0)</f>
        <v>44535</v>
      </c>
      <c r="B263" s="143">
        <f>IFERROR(__xludf.DUMMYFUNCTION("""COMPUTED_VALUE"""),44742.0)</f>
        <v>44742</v>
      </c>
      <c r="C263" s="140" t="str">
        <f>IFERROR(__xludf.DUMMYFUNCTION("""COMPUTED_VALUE"""),"en")</f>
        <v>en</v>
      </c>
      <c r="D263">
        <f>IFERROR(__xludf.DUMMYFUNCTION("""COMPUTED_VALUE"""),746302.0)</f>
        <v>746302</v>
      </c>
      <c r="E263" t="str">
        <f>IFERROR(__xludf.DUMMYFUNCTION("""COMPUTED_VALUE"""),"Sustainable living made simple")</f>
        <v>Sustainable living made simple</v>
      </c>
      <c r="F263" t="str">
        <f>IFERROR(__xludf.DUMMYFUNCTION("""COMPUTED_VALUE"""),"Sustainable living made simple")</f>
        <v>Sustainable living made simple</v>
      </c>
      <c r="G263">
        <f>IFERROR(__xludf.DUMMYFUNCTION("""COMPUTED_VALUE"""),1.9927362E7)</f>
        <v>19927362</v>
      </c>
      <c r="H263" t="str">
        <f>IFERROR(__xludf.DUMMYFUNCTION("""COMPUTED_VALUE"""),"Brian Newhouse")</f>
        <v>Brian Newhouse</v>
      </c>
      <c r="I263" t="str">
        <f>IFERROR(__xludf.DUMMYFUNCTION("""COMPUTED_VALUE"""),"Instructor Request- Opted Out")</f>
        <v>Instructor Request- Opted Out</v>
      </c>
      <c r="J263" t="b">
        <f>IFERROR(__xludf.DUMMYFUNCTION("""COMPUTED_VALUE"""),FALSE)</f>
        <v>0</v>
      </c>
      <c r="K263" s="142" t="str">
        <f>IFERROR(__xludf.DUMMYFUNCTION("""COMPUTED_VALUE"""),"Personal Development")</f>
        <v>Personal Development</v>
      </c>
      <c r="L263" s="142" t="str">
        <f>IFERROR(__xludf.DUMMYFUNCTION("""COMPUTED_VALUE"""),"Hobbies")</f>
        <v>Hobbies</v>
      </c>
      <c r="N263" s="140" t="str">
        <f>IFERROR(__xludf.DUMMYFUNCTION("""COMPUTED_VALUE"""),"")</f>
        <v/>
      </c>
      <c r="P263" s="140" t="str">
        <f>IFERROR(__xludf.DUMMYFUNCTION("""COMPUTED_VALUE"""),"")</f>
        <v/>
      </c>
    </row>
    <row r="264">
      <c r="A264" s="143">
        <f>IFERROR(__xludf.DUMMYFUNCTION("""COMPUTED_VALUE"""),44546.0)</f>
        <v>44546</v>
      </c>
      <c r="B264" s="143">
        <f>IFERROR(__xludf.DUMMYFUNCTION("""COMPUTED_VALUE"""),44742.0)</f>
        <v>44742</v>
      </c>
      <c r="C264" t="str">
        <f>IFERROR(__xludf.DUMMYFUNCTION("""COMPUTED_VALUE"""),"de")</f>
        <v>de</v>
      </c>
      <c r="D264">
        <f>IFERROR(__xludf.DUMMYFUNCTION("""COMPUTED_VALUE"""),3212337.0)</f>
        <v>3212337</v>
      </c>
      <c r="E264" t="str">
        <f>IFERROR(__xludf.DUMMYFUNCTION("""COMPUTED_VALUE"""),"Microsoft Power Automate - Erste Schritte")</f>
        <v>Microsoft Power Automate - Erste Schritte</v>
      </c>
      <c r="F264" t="str">
        <f>IFERROR(__xludf.DUMMYFUNCTION("""COMPUTED_VALUE"""),"Microsoft Power Automate - First Steps")</f>
        <v>Microsoft Power Automate - First Steps</v>
      </c>
      <c r="G264">
        <f>IFERROR(__xludf.DUMMYFUNCTION("""COMPUTED_VALUE"""),6.1133956E7)</f>
        <v>61133956</v>
      </c>
      <c r="H264" t="str">
        <f>IFERROR(__xludf.DUMMYFUNCTION("""COMPUTED_VALUE"""),"Gabriela Bergantini")</f>
        <v>Gabriela Bergantini</v>
      </c>
      <c r="I264" t="str">
        <f>IFERROR(__xludf.DUMMYFUNCTION("""COMPUTED_VALUE"""),"Instructor Request- Opted Out")</f>
        <v>Instructor Request- Opted Out</v>
      </c>
      <c r="J264" t="b">
        <f>IFERROR(__xludf.DUMMYFUNCTION("""COMPUTED_VALUE"""),FALSE)</f>
        <v>0</v>
      </c>
      <c r="K264" s="142" t="str">
        <f>IFERROR(__xludf.DUMMYFUNCTION("""COMPUTED_VALUE"""),"IT Operations")</f>
        <v>IT Operations</v>
      </c>
      <c r="N264" s="140" t="str">
        <f>IFERROR(__xludf.DUMMYFUNCTION("""COMPUTED_VALUE"""),"")</f>
        <v/>
      </c>
      <c r="P264" s="140" t="str">
        <f>IFERROR(__xludf.DUMMYFUNCTION("""COMPUTED_VALUE"""),"")</f>
        <v/>
      </c>
    </row>
    <row r="265">
      <c r="A265" s="143">
        <f>IFERROR(__xludf.DUMMYFUNCTION("""COMPUTED_VALUE"""),44546.0)</f>
        <v>44546</v>
      </c>
      <c r="B265" s="143">
        <f>IFERROR(__xludf.DUMMYFUNCTION("""COMPUTED_VALUE"""),44742.0)</f>
        <v>44742</v>
      </c>
      <c r="C265" s="140" t="str">
        <f>IFERROR(__xludf.DUMMYFUNCTION("""COMPUTED_VALUE"""),"en")</f>
        <v>en</v>
      </c>
      <c r="D265">
        <f>IFERROR(__xludf.DUMMYFUNCTION("""COMPUTED_VALUE"""),3797264.0)</f>
        <v>3797264</v>
      </c>
      <c r="E265" t="str">
        <f>IFERROR(__xludf.DUMMYFUNCTION("""COMPUTED_VALUE"""),"Criteria Cognitive Aptitude Test (CCAT) Practice Bundle 2021")</f>
        <v>Criteria Cognitive Aptitude Test (CCAT) Practice Bundle 2021</v>
      </c>
      <c r="F265" t="str">
        <f>IFERROR(__xludf.DUMMYFUNCTION("""COMPUTED_VALUE"""),"Criteria Cognitive Aptitude Test (CCAT) Practice Bundle 2021")</f>
        <v>Criteria Cognitive Aptitude Test (CCAT) Practice Bundle 2021</v>
      </c>
      <c r="G265">
        <f>IFERROR(__xludf.DUMMYFUNCTION("""COMPUTED_VALUE"""),2.1743602E7)</f>
        <v>21743602</v>
      </c>
      <c r="H265" t="str">
        <f>IFERROR(__xludf.DUMMYFUNCTION("""COMPUTED_VALUE"""),"Test Wizard")</f>
        <v>Test Wizard</v>
      </c>
      <c r="I265" t="str">
        <f>IFERROR(__xludf.DUMMYFUNCTION("""COMPUTED_VALUE"""),"Instructor Request- Opted Out")</f>
        <v>Instructor Request- Opted Out</v>
      </c>
      <c r="J265" t="b">
        <f>IFERROR(__xludf.DUMMYFUNCTION("""COMPUTED_VALUE"""),FALSE)</f>
        <v>0</v>
      </c>
      <c r="K265" s="142" t="str">
        <f>IFERROR(__xludf.DUMMYFUNCTION("""COMPUTED_VALUE"""),"Workplace &amp; Human Resources")</f>
        <v>Workplace &amp; Human Resources</v>
      </c>
      <c r="L265" s="142" t="str">
        <f>IFERROR(__xludf.DUMMYFUNCTION("""COMPUTED_VALUE"""),"Human Resources Fundamentals")</f>
        <v>Human Resources Fundamentals</v>
      </c>
      <c r="N265" s="140" t="str">
        <f>IFERROR(__xludf.DUMMYFUNCTION("""COMPUTED_VALUE"""),"")</f>
        <v/>
      </c>
      <c r="P265" s="140" t="str">
        <f>IFERROR(__xludf.DUMMYFUNCTION("""COMPUTED_VALUE"""),"")</f>
        <v/>
      </c>
    </row>
    <row r="266">
      <c r="A266" s="143">
        <f>IFERROR(__xludf.DUMMYFUNCTION("""COMPUTED_VALUE"""),44548.0)</f>
        <v>44548</v>
      </c>
      <c r="B266" s="143">
        <f>IFERROR(__xludf.DUMMYFUNCTION("""COMPUTED_VALUE"""),44742.0)</f>
        <v>44742</v>
      </c>
      <c r="C266" s="140" t="str">
        <f>IFERROR(__xludf.DUMMYFUNCTION("""COMPUTED_VALUE"""),"en")</f>
        <v>en</v>
      </c>
      <c r="D266">
        <f>IFERROR(__xludf.DUMMYFUNCTION("""COMPUTED_VALUE"""),1236580.0)</f>
        <v>1236580</v>
      </c>
      <c r="E266" t="str">
        <f>IFERROR(__xludf.DUMMYFUNCTION("""COMPUTED_VALUE"""),"Application security on AWS with Amazon Cognito (June 2017)")</f>
        <v>Application security on AWS with Amazon Cognito (June 2017)</v>
      </c>
      <c r="F266" t="str">
        <f>IFERROR(__xludf.DUMMYFUNCTION("""COMPUTED_VALUE"""),"Application security on AWS with Amazon Cognito (June 2017)")</f>
        <v>Application security on AWS with Amazon Cognito (June 2017)</v>
      </c>
      <c r="G266">
        <f>IFERROR(__xludf.DUMMYFUNCTION("""COMPUTED_VALUE"""),2.1421666E7)</f>
        <v>21421666</v>
      </c>
      <c r="H266" t="str">
        <f>IFERROR(__xludf.DUMMYFUNCTION("""COMPUTED_VALUE"""),"Mahmoud Matouk")</f>
        <v>Mahmoud Matouk</v>
      </c>
      <c r="I266" t="str">
        <f>IFERROR(__xludf.DUMMYFUNCTION("""COMPUTED_VALUE"""),"Instructor Request- Opted Out")</f>
        <v>Instructor Request- Opted Out</v>
      </c>
      <c r="J266" t="b">
        <f>IFERROR(__xludf.DUMMYFUNCTION("""COMPUTED_VALUE"""),FALSE)</f>
        <v>0</v>
      </c>
      <c r="K266" s="142" t="str">
        <f>IFERROR(__xludf.DUMMYFUNCTION("""COMPUTED_VALUE"""),"Cloud Computing")</f>
        <v>Cloud Computing</v>
      </c>
      <c r="L266" s="142" t="str">
        <f>IFERROR(__xludf.DUMMYFUNCTION("""COMPUTED_VALUE"""),"Cloud Development")</f>
        <v>Cloud Development</v>
      </c>
      <c r="N266" s="140" t="str">
        <f>IFERROR(__xludf.DUMMYFUNCTION("""COMPUTED_VALUE"""),"")</f>
        <v/>
      </c>
      <c r="P266" s="140" t="str">
        <f>IFERROR(__xludf.DUMMYFUNCTION("""COMPUTED_VALUE"""),"")</f>
        <v/>
      </c>
    </row>
    <row r="267">
      <c r="A267" s="143">
        <f>IFERROR(__xludf.DUMMYFUNCTION("""COMPUTED_VALUE"""),44548.0)</f>
        <v>44548</v>
      </c>
      <c r="B267" s="143">
        <f>IFERROR(__xludf.DUMMYFUNCTION("""COMPUTED_VALUE"""),44742.0)</f>
        <v>44742</v>
      </c>
      <c r="C267" s="140" t="str">
        <f>IFERROR(__xludf.DUMMYFUNCTION("""COMPUTED_VALUE"""),"en")</f>
        <v>en</v>
      </c>
      <c r="D267">
        <f>IFERROR(__xludf.DUMMYFUNCTION("""COMPUTED_VALUE"""),1124968.0)</f>
        <v>1124968</v>
      </c>
      <c r="E267" t="str">
        <f>IFERROR(__xludf.DUMMYFUNCTION("""COMPUTED_VALUE"""),"Continuous Delivery on Amazon Web Services (April 2017)")</f>
        <v>Continuous Delivery on Amazon Web Services (April 2017)</v>
      </c>
      <c r="F267" t="str">
        <f>IFERROR(__xludf.DUMMYFUNCTION("""COMPUTED_VALUE"""),"Continuous Delivery on Amazon Web Services (April 2017)")</f>
        <v>Continuous Delivery on Amazon Web Services (April 2017)</v>
      </c>
      <c r="G267">
        <f>IFERROR(__xludf.DUMMYFUNCTION("""COMPUTED_VALUE"""),2.1421666E7)</f>
        <v>21421666</v>
      </c>
      <c r="H267" t="str">
        <f>IFERROR(__xludf.DUMMYFUNCTION("""COMPUTED_VALUE"""),"Mahmoud Matouk")</f>
        <v>Mahmoud Matouk</v>
      </c>
      <c r="I267" t="str">
        <f>IFERROR(__xludf.DUMMYFUNCTION("""COMPUTED_VALUE"""),"Instructor Request- Opted Out")</f>
        <v>Instructor Request- Opted Out</v>
      </c>
      <c r="J267" t="b">
        <f>IFERROR(__xludf.DUMMYFUNCTION("""COMPUTED_VALUE"""),FALSE)</f>
        <v>0</v>
      </c>
      <c r="K267" s="142" t="str">
        <f>IFERROR(__xludf.DUMMYFUNCTION("""COMPUTED_VALUE"""),"Cloud Computing")</f>
        <v>Cloud Computing</v>
      </c>
      <c r="L267" s="142" t="str">
        <f>IFERROR(__xludf.DUMMYFUNCTION("""COMPUTED_VALUE"""),"Cloud Development")</f>
        <v>Cloud Development</v>
      </c>
      <c r="N267" s="140" t="str">
        <f>IFERROR(__xludf.DUMMYFUNCTION("""COMPUTED_VALUE"""),"")</f>
        <v/>
      </c>
      <c r="P267" s="140" t="str">
        <f>IFERROR(__xludf.DUMMYFUNCTION("""COMPUTED_VALUE"""),"")</f>
        <v/>
      </c>
    </row>
    <row r="268">
      <c r="A268" s="143">
        <f>IFERROR(__xludf.DUMMYFUNCTION("""COMPUTED_VALUE"""),44560.0)</f>
        <v>44560</v>
      </c>
      <c r="B268" s="143">
        <f>IFERROR(__xludf.DUMMYFUNCTION("""COMPUTED_VALUE"""),44742.0)</f>
        <v>44742</v>
      </c>
      <c r="C268" s="140" t="str">
        <f>IFERROR(__xludf.DUMMYFUNCTION("""COMPUTED_VALUE"""),"en")</f>
        <v>en</v>
      </c>
      <c r="D268">
        <f>IFERROR(__xludf.DUMMYFUNCTION("""COMPUTED_VALUE"""),2159160.0)</f>
        <v>2159160</v>
      </c>
      <c r="E268" t="str">
        <f>IFERROR(__xludf.DUMMYFUNCTION("""COMPUTED_VALUE"""),"The Gatsby Masterclass")</f>
        <v>The Gatsby Masterclass</v>
      </c>
      <c r="F268" t="str">
        <f>IFERROR(__xludf.DUMMYFUNCTION("""COMPUTED_VALUE"""),"The Gatsby Masterclass")</f>
        <v>The Gatsby Masterclass</v>
      </c>
      <c r="G268">
        <f>IFERROR(__xludf.DUMMYFUNCTION("""COMPUTED_VALUE"""),4.8943274E7)</f>
        <v>48943274</v>
      </c>
      <c r="H268" t="str">
        <f>IFERROR(__xludf.DUMMYFUNCTION("""COMPUTED_VALUE"""),"Reed Barger")</f>
        <v>Reed Barger</v>
      </c>
      <c r="I268" t="str">
        <f>IFERROR(__xludf.DUMMYFUNCTION("""COMPUTED_VALUE"""),"Instructor Request- Opted Out")</f>
        <v>Instructor Request- Opted Out</v>
      </c>
      <c r="J268" t="b">
        <f>IFERROR(__xludf.DUMMYFUNCTION("""COMPUTED_VALUE"""),FALSE)</f>
        <v>0</v>
      </c>
      <c r="K268" s="142" t="str">
        <f>IFERROR(__xludf.DUMMYFUNCTION("""COMPUTED_VALUE"""),"Development")</f>
        <v>Development</v>
      </c>
      <c r="L268" s="142" t="str">
        <f>IFERROR(__xludf.DUMMYFUNCTION("""COMPUTED_VALUE"""),"Web Development")</f>
        <v>Web Development</v>
      </c>
      <c r="N268" s="140" t="str">
        <f>IFERROR(__xludf.DUMMYFUNCTION("""COMPUTED_VALUE"""),"")</f>
        <v/>
      </c>
      <c r="P268" s="140" t="str">
        <f>IFERROR(__xludf.DUMMYFUNCTION("""COMPUTED_VALUE"""),"")</f>
        <v/>
      </c>
    </row>
    <row r="269">
      <c r="A269" s="143">
        <f>IFERROR(__xludf.DUMMYFUNCTION("""COMPUTED_VALUE"""),44560.0)</f>
        <v>44560</v>
      </c>
      <c r="B269" s="143">
        <f>IFERROR(__xludf.DUMMYFUNCTION("""COMPUTED_VALUE"""),44742.0)</f>
        <v>44742</v>
      </c>
      <c r="C269" s="140" t="str">
        <f>IFERROR(__xludf.DUMMYFUNCTION("""COMPUTED_VALUE"""),"en")</f>
        <v>en</v>
      </c>
      <c r="D269">
        <f>IFERROR(__xludf.DUMMYFUNCTION("""COMPUTED_VALUE"""),2051705.0)</f>
        <v>2051705</v>
      </c>
      <c r="E269" t="str">
        <f>IFERROR(__xludf.DUMMYFUNCTION("""COMPUTED_VALUE"""),"React Hooks")</f>
        <v>React Hooks</v>
      </c>
      <c r="F269" t="str">
        <f>IFERROR(__xludf.DUMMYFUNCTION("""COMPUTED_VALUE"""),"React Hooks")</f>
        <v>React Hooks</v>
      </c>
      <c r="G269">
        <f>IFERROR(__xludf.DUMMYFUNCTION("""COMPUTED_VALUE"""),4.8943274E7)</f>
        <v>48943274</v>
      </c>
      <c r="H269" t="str">
        <f>IFERROR(__xludf.DUMMYFUNCTION("""COMPUTED_VALUE"""),"Reed Barger")</f>
        <v>Reed Barger</v>
      </c>
      <c r="I269" t="str">
        <f>IFERROR(__xludf.DUMMYFUNCTION("""COMPUTED_VALUE"""),"Instructor Request- Opted Out")</f>
        <v>Instructor Request- Opted Out</v>
      </c>
      <c r="J269" t="b">
        <f>IFERROR(__xludf.DUMMYFUNCTION("""COMPUTED_VALUE"""),FALSE)</f>
        <v>0</v>
      </c>
      <c r="K269" s="142" t="str">
        <f>IFERROR(__xludf.DUMMYFUNCTION("""COMPUTED_VALUE"""),"Development")</f>
        <v>Development</v>
      </c>
      <c r="L269" s="142" t="str">
        <f>IFERROR(__xludf.DUMMYFUNCTION("""COMPUTED_VALUE"""),"Web Development")</f>
        <v>Web Development</v>
      </c>
      <c r="N269" s="140" t="str">
        <f>IFERROR(__xludf.DUMMYFUNCTION("""COMPUTED_VALUE"""),"")</f>
        <v/>
      </c>
      <c r="P269" s="140" t="str">
        <f>IFERROR(__xludf.DUMMYFUNCTION("""COMPUTED_VALUE"""),"")</f>
        <v/>
      </c>
    </row>
    <row r="270">
      <c r="A270" s="143">
        <f>IFERROR(__xludf.DUMMYFUNCTION("""COMPUTED_VALUE"""),44560.0)</f>
        <v>44560</v>
      </c>
      <c r="B270" s="143">
        <f>IFERROR(__xludf.DUMMYFUNCTION("""COMPUTED_VALUE"""),44742.0)</f>
        <v>44742</v>
      </c>
      <c r="C270" s="140" t="str">
        <f>IFERROR(__xludf.DUMMYFUNCTION("""COMPUTED_VALUE"""),"en")</f>
        <v>en</v>
      </c>
      <c r="D270">
        <f>IFERROR(__xludf.DUMMYFUNCTION("""COMPUTED_VALUE"""),2564962.0)</f>
        <v>2564962</v>
      </c>
      <c r="E270" t="str">
        <f>IFERROR(__xludf.DUMMYFUNCTION("""COMPUTED_VALUE"""),"MERN Stack - The Complete Guide")</f>
        <v>MERN Stack - The Complete Guide</v>
      </c>
      <c r="F270" t="str">
        <f>IFERROR(__xludf.DUMMYFUNCTION("""COMPUTED_VALUE"""),"MERN Stack - The Complete Guide")</f>
        <v>MERN Stack - The Complete Guide</v>
      </c>
      <c r="G270">
        <f>IFERROR(__xludf.DUMMYFUNCTION("""COMPUTED_VALUE"""),4.8943274E7)</f>
        <v>48943274</v>
      </c>
      <c r="H270" t="str">
        <f>IFERROR(__xludf.DUMMYFUNCTION("""COMPUTED_VALUE"""),"Reed Barger")</f>
        <v>Reed Barger</v>
      </c>
      <c r="I270" t="str">
        <f>IFERROR(__xludf.DUMMYFUNCTION("""COMPUTED_VALUE"""),"Instructor Request- Opted Out")</f>
        <v>Instructor Request- Opted Out</v>
      </c>
      <c r="J270" t="b">
        <f>IFERROR(__xludf.DUMMYFUNCTION("""COMPUTED_VALUE"""),FALSE)</f>
        <v>0</v>
      </c>
      <c r="K270" s="142" t="str">
        <f>IFERROR(__xludf.DUMMYFUNCTION("""COMPUTED_VALUE"""),"Development")</f>
        <v>Development</v>
      </c>
      <c r="L270" s="142" t="str">
        <f>IFERROR(__xludf.DUMMYFUNCTION("""COMPUTED_VALUE"""),"Web Development")</f>
        <v>Web Development</v>
      </c>
      <c r="N270" s="140" t="str">
        <f>IFERROR(__xludf.DUMMYFUNCTION("""COMPUTED_VALUE"""),"")</f>
        <v/>
      </c>
      <c r="P270" s="140" t="str">
        <f>IFERROR(__xludf.DUMMYFUNCTION("""COMPUTED_VALUE"""),"")</f>
        <v/>
      </c>
    </row>
    <row r="271">
      <c r="A271" s="143">
        <f>IFERROR(__xludf.DUMMYFUNCTION("""COMPUTED_VALUE"""),44560.0)</f>
        <v>44560</v>
      </c>
      <c r="B271" s="143">
        <f>IFERROR(__xludf.DUMMYFUNCTION("""COMPUTED_VALUE"""),44742.0)</f>
        <v>44742</v>
      </c>
      <c r="C271" s="140" t="str">
        <f>IFERROR(__xludf.DUMMYFUNCTION("""COMPUTED_VALUE"""),"en")</f>
        <v>en</v>
      </c>
      <c r="D271">
        <f>IFERROR(__xludf.DUMMYFUNCTION("""COMPUTED_VALUE"""),2444444.0)</f>
        <v>2444444</v>
      </c>
      <c r="E271" t="str">
        <f>IFERROR(__xludf.DUMMYFUNCTION("""COMPUTED_VALUE"""),"Build a Social Network with Flutter and Firebase")</f>
        <v>Build a Social Network with Flutter and Firebase</v>
      </c>
      <c r="F271" t="str">
        <f>IFERROR(__xludf.DUMMYFUNCTION("""COMPUTED_VALUE"""),"Build a Social Network with Flutter and Firebase")</f>
        <v>Build a Social Network with Flutter and Firebase</v>
      </c>
      <c r="G271">
        <f>IFERROR(__xludf.DUMMYFUNCTION("""COMPUTED_VALUE"""),4.8943274E7)</f>
        <v>48943274</v>
      </c>
      <c r="H271" t="str">
        <f>IFERROR(__xludf.DUMMYFUNCTION("""COMPUTED_VALUE"""),"Reed Barger")</f>
        <v>Reed Barger</v>
      </c>
      <c r="I271" t="str">
        <f>IFERROR(__xludf.DUMMYFUNCTION("""COMPUTED_VALUE"""),"Instructor Request- Opted Out")</f>
        <v>Instructor Request- Opted Out</v>
      </c>
      <c r="J271" t="b">
        <f>IFERROR(__xludf.DUMMYFUNCTION("""COMPUTED_VALUE"""),FALSE)</f>
        <v>0</v>
      </c>
      <c r="K271" s="142" t="str">
        <f>IFERROR(__xludf.DUMMYFUNCTION("""COMPUTED_VALUE"""),"Development")</f>
        <v>Development</v>
      </c>
      <c r="L271" s="142" t="str">
        <f>IFERROR(__xludf.DUMMYFUNCTION("""COMPUTED_VALUE"""),"Mobile Development")</f>
        <v>Mobile Development</v>
      </c>
      <c r="N271" s="140" t="str">
        <f>IFERROR(__xludf.DUMMYFUNCTION("""COMPUTED_VALUE"""),"")</f>
        <v/>
      </c>
      <c r="P271" s="140" t="str">
        <f>IFERROR(__xludf.DUMMYFUNCTION("""COMPUTED_VALUE"""),"")</f>
        <v/>
      </c>
    </row>
    <row r="272">
      <c r="A272" s="143">
        <f>IFERROR(__xludf.DUMMYFUNCTION("""COMPUTED_VALUE"""),44560.0)</f>
        <v>44560</v>
      </c>
      <c r="B272" s="143">
        <f>IFERROR(__xludf.DUMMYFUNCTION("""COMPUTED_VALUE"""),44742.0)</f>
        <v>44742</v>
      </c>
      <c r="C272" s="140" t="str">
        <f>IFERROR(__xludf.DUMMYFUNCTION("""COMPUTED_VALUE"""),"en")</f>
        <v>en</v>
      </c>
      <c r="D272">
        <f>IFERROR(__xludf.DUMMYFUNCTION("""COMPUTED_VALUE"""),2102800.0)</f>
        <v>2102800</v>
      </c>
      <c r="E272" t="str">
        <f>IFERROR(__xludf.DUMMYFUNCTION("""COMPUTED_VALUE"""),"Serverless React with AWS Amplify - The Complete Guide")</f>
        <v>Serverless React with AWS Amplify - The Complete Guide</v>
      </c>
      <c r="F272" t="str">
        <f>IFERROR(__xludf.DUMMYFUNCTION("""COMPUTED_VALUE"""),"Serverless React with AWS Amplify - The Complete Guide")</f>
        <v>Serverless React with AWS Amplify - The Complete Guide</v>
      </c>
      <c r="G272">
        <f>IFERROR(__xludf.DUMMYFUNCTION("""COMPUTED_VALUE"""),4.8943274E7)</f>
        <v>48943274</v>
      </c>
      <c r="H272" t="str">
        <f>IFERROR(__xludf.DUMMYFUNCTION("""COMPUTED_VALUE"""),"Reed Barger")</f>
        <v>Reed Barger</v>
      </c>
      <c r="I272" t="str">
        <f>IFERROR(__xludf.DUMMYFUNCTION("""COMPUTED_VALUE"""),"Instructor Request- Opted Out")</f>
        <v>Instructor Request- Opted Out</v>
      </c>
      <c r="J272" t="b">
        <f>IFERROR(__xludf.DUMMYFUNCTION("""COMPUTED_VALUE"""),FALSE)</f>
        <v>0</v>
      </c>
      <c r="K272" s="142" t="str">
        <f>IFERROR(__xludf.DUMMYFUNCTION("""COMPUTED_VALUE"""),"Development")</f>
        <v>Development</v>
      </c>
      <c r="L272" s="142" t="str">
        <f>IFERROR(__xludf.DUMMYFUNCTION("""COMPUTED_VALUE"""),"Web Development")</f>
        <v>Web Development</v>
      </c>
      <c r="N272" s="140" t="str">
        <f>IFERROR(__xludf.DUMMYFUNCTION("""COMPUTED_VALUE"""),"")</f>
        <v/>
      </c>
      <c r="P272" s="140" t="str">
        <f>IFERROR(__xludf.DUMMYFUNCTION("""COMPUTED_VALUE"""),"")</f>
        <v/>
      </c>
    </row>
    <row r="273">
      <c r="A273" s="143">
        <f>IFERROR(__xludf.DUMMYFUNCTION("""COMPUTED_VALUE"""),44560.0)</f>
        <v>44560</v>
      </c>
      <c r="B273" s="143">
        <f>IFERROR(__xludf.DUMMYFUNCTION("""COMPUTED_VALUE"""),44742.0)</f>
        <v>44742</v>
      </c>
      <c r="C273" s="140" t="str">
        <f>IFERROR(__xludf.DUMMYFUNCTION("""COMPUTED_VALUE"""),"en")</f>
        <v>en</v>
      </c>
      <c r="D273">
        <f>IFERROR(__xludf.DUMMYFUNCTION("""COMPUTED_VALUE"""),2019358.0)</f>
        <v>2019358</v>
      </c>
      <c r="E273" t="str">
        <f>IFERROR(__xludf.DUMMYFUNCTION("""COMPUTED_VALUE"""),"Universal React with Next.js - The Ultimate Guide")</f>
        <v>Universal React with Next.js - The Ultimate Guide</v>
      </c>
      <c r="F273" t="str">
        <f>IFERROR(__xludf.DUMMYFUNCTION("""COMPUTED_VALUE"""),"Universal React with Next.js - The Ultimate Guide")</f>
        <v>Universal React with Next.js - The Ultimate Guide</v>
      </c>
      <c r="G273">
        <f>IFERROR(__xludf.DUMMYFUNCTION("""COMPUTED_VALUE"""),4.8943274E7)</f>
        <v>48943274</v>
      </c>
      <c r="H273" t="str">
        <f>IFERROR(__xludf.DUMMYFUNCTION("""COMPUTED_VALUE"""),"Reed Barger")</f>
        <v>Reed Barger</v>
      </c>
      <c r="I273" t="str">
        <f>IFERROR(__xludf.DUMMYFUNCTION("""COMPUTED_VALUE"""),"Instructor Request- Opted Out")</f>
        <v>Instructor Request- Opted Out</v>
      </c>
      <c r="J273" t="b">
        <f>IFERROR(__xludf.DUMMYFUNCTION("""COMPUTED_VALUE"""),FALSE)</f>
        <v>0</v>
      </c>
      <c r="K273" s="142" t="str">
        <f>IFERROR(__xludf.DUMMYFUNCTION("""COMPUTED_VALUE"""),"Development")</f>
        <v>Development</v>
      </c>
      <c r="L273" s="142" t="str">
        <f>IFERROR(__xludf.DUMMYFUNCTION("""COMPUTED_VALUE"""),"Web Development")</f>
        <v>Web Development</v>
      </c>
      <c r="N273" s="140" t="str">
        <f>IFERROR(__xludf.DUMMYFUNCTION("""COMPUTED_VALUE"""),"")</f>
        <v/>
      </c>
      <c r="P273" s="140" t="str">
        <f>IFERROR(__xludf.DUMMYFUNCTION("""COMPUTED_VALUE"""),"")</f>
        <v/>
      </c>
    </row>
    <row r="274">
      <c r="A274" s="143">
        <f>IFERROR(__xludf.DUMMYFUNCTION("""COMPUTED_VALUE"""),44560.0)</f>
        <v>44560</v>
      </c>
      <c r="B274" s="143">
        <f>IFERROR(__xludf.DUMMYFUNCTION("""COMPUTED_VALUE"""),44742.0)</f>
        <v>44742</v>
      </c>
      <c r="C274" s="140" t="str">
        <f>IFERROR(__xludf.DUMMYFUNCTION("""COMPUTED_VALUE"""),"en")</f>
        <v>en</v>
      </c>
      <c r="D274">
        <f>IFERROR(__xludf.DUMMYFUNCTION("""COMPUTED_VALUE"""),1806572.0)</f>
        <v>1806572</v>
      </c>
      <c r="E274" t="str">
        <f>IFERROR(__xludf.DUMMYFUNCTION("""COMPUTED_VALUE"""),"Build a Slack Chat App with React, Redux, and Firebase")</f>
        <v>Build a Slack Chat App with React, Redux, and Firebase</v>
      </c>
      <c r="F274" t="str">
        <f>IFERROR(__xludf.DUMMYFUNCTION("""COMPUTED_VALUE"""),"Build a Slack Chat App with React, Redux, and Firebase")</f>
        <v>Build a Slack Chat App with React, Redux, and Firebase</v>
      </c>
      <c r="G274">
        <f>IFERROR(__xludf.DUMMYFUNCTION("""COMPUTED_VALUE"""),4.8943274E7)</f>
        <v>48943274</v>
      </c>
      <c r="H274" t="str">
        <f>IFERROR(__xludf.DUMMYFUNCTION("""COMPUTED_VALUE"""),"Reed Barger")</f>
        <v>Reed Barger</v>
      </c>
      <c r="I274" t="str">
        <f>IFERROR(__xludf.DUMMYFUNCTION("""COMPUTED_VALUE"""),"Instructor Request- Opted Out")</f>
        <v>Instructor Request- Opted Out</v>
      </c>
      <c r="J274" t="b">
        <f>IFERROR(__xludf.DUMMYFUNCTION("""COMPUTED_VALUE"""),FALSE)</f>
        <v>0</v>
      </c>
      <c r="K274" s="142" t="str">
        <f>IFERROR(__xludf.DUMMYFUNCTION("""COMPUTED_VALUE"""),"Development")</f>
        <v>Development</v>
      </c>
      <c r="L274" s="142" t="str">
        <f>IFERROR(__xludf.DUMMYFUNCTION("""COMPUTED_VALUE"""),"Web Development")</f>
        <v>Web Development</v>
      </c>
      <c r="N274" s="140" t="str">
        <f>IFERROR(__xludf.DUMMYFUNCTION("""COMPUTED_VALUE"""),"")</f>
        <v/>
      </c>
      <c r="P274" s="140" t="str">
        <f>IFERROR(__xludf.DUMMYFUNCTION("""COMPUTED_VALUE"""),"")</f>
        <v/>
      </c>
    </row>
    <row r="275">
      <c r="A275" s="143">
        <f>IFERROR(__xludf.DUMMYFUNCTION("""COMPUTED_VALUE"""),44560.0)</f>
        <v>44560</v>
      </c>
      <c r="B275" s="143">
        <f>IFERROR(__xludf.DUMMYFUNCTION("""COMPUTED_VALUE"""),44742.0)</f>
        <v>44742</v>
      </c>
      <c r="C275" s="140" t="str">
        <f>IFERROR(__xludf.DUMMYFUNCTION("""COMPUTED_VALUE"""),"en")</f>
        <v>en</v>
      </c>
      <c r="D275">
        <f>IFERROR(__xludf.DUMMYFUNCTION("""COMPUTED_VALUE"""),1796660.0)</f>
        <v>1796660</v>
      </c>
      <c r="E275" t="str">
        <f>IFERROR(__xludf.DUMMYFUNCTION("""COMPUTED_VALUE"""),"Build an Online Store with React and GraphQL in 90 Minutes")</f>
        <v>Build an Online Store with React and GraphQL in 90 Minutes</v>
      </c>
      <c r="F275" t="str">
        <f>IFERROR(__xludf.DUMMYFUNCTION("""COMPUTED_VALUE"""),"Build an Online Store with React and GraphQL in 90 Minutes")</f>
        <v>Build an Online Store with React and GraphQL in 90 Minutes</v>
      </c>
      <c r="G275">
        <f>IFERROR(__xludf.DUMMYFUNCTION("""COMPUTED_VALUE"""),4.8943274E7)</f>
        <v>48943274</v>
      </c>
      <c r="H275" t="str">
        <f>IFERROR(__xludf.DUMMYFUNCTION("""COMPUTED_VALUE"""),"Reed Barger")</f>
        <v>Reed Barger</v>
      </c>
      <c r="I275" t="str">
        <f>IFERROR(__xludf.DUMMYFUNCTION("""COMPUTED_VALUE"""),"Instructor Request- Opted Out")</f>
        <v>Instructor Request- Opted Out</v>
      </c>
      <c r="J275" t="b">
        <f>IFERROR(__xludf.DUMMYFUNCTION("""COMPUTED_VALUE"""),FALSE)</f>
        <v>0</v>
      </c>
      <c r="K275" s="142" t="str">
        <f>IFERROR(__xludf.DUMMYFUNCTION("""COMPUTED_VALUE"""),"Development")</f>
        <v>Development</v>
      </c>
      <c r="L275" s="142" t="str">
        <f>IFERROR(__xludf.DUMMYFUNCTION("""COMPUTED_VALUE"""),"Web Development")</f>
        <v>Web Development</v>
      </c>
      <c r="N275" s="140" t="str">
        <f>IFERROR(__xludf.DUMMYFUNCTION("""COMPUTED_VALUE"""),"")</f>
        <v/>
      </c>
      <c r="P275" s="140" t="str">
        <f>IFERROR(__xludf.DUMMYFUNCTION("""COMPUTED_VALUE"""),"")</f>
        <v/>
      </c>
    </row>
    <row r="276">
      <c r="A276" s="143">
        <f>IFERROR(__xludf.DUMMYFUNCTION("""COMPUTED_VALUE"""),44560.0)</f>
        <v>44560</v>
      </c>
      <c r="B276" s="143">
        <f>IFERROR(__xludf.DUMMYFUNCTION("""COMPUTED_VALUE"""),44742.0)</f>
        <v>44742</v>
      </c>
      <c r="C276" s="140" t="str">
        <f>IFERROR(__xludf.DUMMYFUNCTION("""COMPUTED_VALUE"""),"en")</f>
        <v>en</v>
      </c>
      <c r="D276">
        <f>IFERROR(__xludf.DUMMYFUNCTION("""COMPUTED_VALUE"""),1715894.0)</f>
        <v>1715894</v>
      </c>
      <c r="E276" t="str">
        <f>IFERROR(__xludf.DUMMYFUNCTION("""COMPUTED_VALUE"""),"Full-Stack React with GraphQL and Apollo Boost")</f>
        <v>Full-Stack React with GraphQL and Apollo Boost</v>
      </c>
      <c r="F276" t="str">
        <f>IFERROR(__xludf.DUMMYFUNCTION("""COMPUTED_VALUE"""),"Full-Stack React with GraphQL and Apollo Boost")</f>
        <v>Full-Stack React with GraphQL and Apollo Boost</v>
      </c>
      <c r="G276">
        <f>IFERROR(__xludf.DUMMYFUNCTION("""COMPUTED_VALUE"""),4.8943274E7)</f>
        <v>48943274</v>
      </c>
      <c r="H276" t="str">
        <f>IFERROR(__xludf.DUMMYFUNCTION("""COMPUTED_VALUE"""),"Reed Barger")</f>
        <v>Reed Barger</v>
      </c>
      <c r="I276" t="str">
        <f>IFERROR(__xludf.DUMMYFUNCTION("""COMPUTED_VALUE"""),"Instructor Request- Opted Out")</f>
        <v>Instructor Request- Opted Out</v>
      </c>
      <c r="J276" t="b">
        <f>IFERROR(__xludf.DUMMYFUNCTION("""COMPUTED_VALUE"""),FALSE)</f>
        <v>0</v>
      </c>
      <c r="K276" s="142" t="str">
        <f>IFERROR(__xludf.DUMMYFUNCTION("""COMPUTED_VALUE"""),"Development")</f>
        <v>Development</v>
      </c>
      <c r="L276" s="142" t="str">
        <f>IFERROR(__xludf.DUMMYFUNCTION("""COMPUTED_VALUE"""),"Web Development")</f>
        <v>Web Development</v>
      </c>
      <c r="N276" s="140" t="str">
        <f>IFERROR(__xludf.DUMMYFUNCTION("""COMPUTED_VALUE"""),"")</f>
        <v/>
      </c>
      <c r="P276" s="140" t="str">
        <f>IFERROR(__xludf.DUMMYFUNCTION("""COMPUTED_VALUE"""),"")</f>
        <v/>
      </c>
    </row>
    <row r="277">
      <c r="A277" s="143">
        <f>IFERROR(__xludf.DUMMYFUNCTION("""COMPUTED_VALUE"""),44563.0)</f>
        <v>44563</v>
      </c>
      <c r="B277" s="143">
        <f>IFERROR(__xludf.DUMMYFUNCTION("""COMPUTED_VALUE"""),44742.0)</f>
        <v>44742</v>
      </c>
      <c r="C277" s="140" t="str">
        <f>IFERROR(__xludf.DUMMYFUNCTION("""COMPUTED_VALUE"""),"en")</f>
        <v>en</v>
      </c>
      <c r="D277">
        <f>IFERROR(__xludf.DUMMYFUNCTION("""COMPUTED_VALUE"""),2246386.0)</f>
        <v>2246386</v>
      </c>
      <c r="E277" t="str">
        <f>IFERROR(__xludf.DUMMYFUNCTION("""COMPUTED_VALUE"""),"IELTS Speaking Success - Get a Band 7+")</f>
        <v>IELTS Speaking Success - Get a Band 7+</v>
      </c>
      <c r="F277" t="str">
        <f>IFERROR(__xludf.DUMMYFUNCTION("""COMPUTED_VALUE"""),"IELTS Speaking Success - Get a Band 7+")</f>
        <v>IELTS Speaking Success - Get a Band 7+</v>
      </c>
      <c r="G277">
        <f>IFERROR(__xludf.DUMMYFUNCTION("""COMPUTED_VALUE"""),6.6330514E7)</f>
        <v>66330514</v>
      </c>
      <c r="H277" t="str">
        <f>IFERROR(__xludf.DUMMYFUNCTION("""COMPUTED_VALUE"""),"Keith O'Hare, Dip TESOL, MSc.")</f>
        <v>Keith O'Hare, Dip TESOL, MSc.</v>
      </c>
      <c r="I277" t="str">
        <f>IFERROR(__xludf.DUMMYFUNCTION("""COMPUTED_VALUE"""),"Instructor Request- Opted Out")</f>
        <v>Instructor Request- Opted Out</v>
      </c>
      <c r="J277" t="b">
        <f>IFERROR(__xludf.DUMMYFUNCTION("""COMPUTED_VALUE"""),FALSE)</f>
        <v>0</v>
      </c>
      <c r="K277" s="142" t="str">
        <f>IFERROR(__xludf.DUMMYFUNCTION("""COMPUTED_VALUE"""),"Personal Development")</f>
        <v>Personal Development</v>
      </c>
      <c r="L277" s="142" t="str">
        <f>IFERROR(__xludf.DUMMYFUNCTION("""COMPUTED_VALUE"""),"Language Learning")</f>
        <v>Language Learning</v>
      </c>
      <c r="N277" s="140" t="str">
        <f>IFERROR(__xludf.DUMMYFUNCTION("""COMPUTED_VALUE"""),"")</f>
        <v/>
      </c>
      <c r="P277" s="140" t="str">
        <f>IFERROR(__xludf.DUMMYFUNCTION("""COMPUTED_VALUE"""),"")</f>
        <v/>
      </c>
    </row>
    <row r="278">
      <c r="A278" s="143">
        <f>IFERROR(__xludf.DUMMYFUNCTION("""COMPUTED_VALUE"""),44563.0)</f>
        <v>44563</v>
      </c>
      <c r="B278" s="143">
        <f>IFERROR(__xludf.DUMMYFUNCTION("""COMPUTED_VALUE"""),44742.0)</f>
        <v>44742</v>
      </c>
      <c r="C278" s="140" t="str">
        <f>IFERROR(__xludf.DUMMYFUNCTION("""COMPUTED_VALUE"""),"en")</f>
        <v>en</v>
      </c>
      <c r="D278">
        <f>IFERROR(__xludf.DUMMYFUNCTION("""COMPUTED_VALUE"""),4215764.0)</f>
        <v>4215764</v>
      </c>
      <c r="E278" t="str">
        <f>IFERROR(__xludf.DUMMYFUNCTION("""COMPUTED_VALUE"""),"Effective UI Test Automation With Serenity BDD And Selenium")</f>
        <v>Effective UI Test Automation With Serenity BDD And Selenium</v>
      </c>
      <c r="F278" t="str">
        <f>IFERROR(__xludf.DUMMYFUNCTION("""COMPUTED_VALUE"""),"Effective UI Test Automation With Serenity BDD And Selenium")</f>
        <v>Effective UI Test Automation With Serenity BDD And Selenium</v>
      </c>
      <c r="G278">
        <f>IFERROR(__xludf.DUMMYFUNCTION("""COMPUTED_VALUE"""),1.68581508E8)</f>
        <v>168581508</v>
      </c>
      <c r="H278" t="str">
        <f>IFERROR(__xludf.DUMMYFUNCTION("""COMPUTED_VALUE"""),"John Ferguson Smart")</f>
        <v>John Ferguson Smart</v>
      </c>
      <c r="I278" t="str">
        <f>IFERROR(__xludf.DUMMYFUNCTION("""COMPUTED_VALUE"""),"Instructor Request- Opted Out")</f>
        <v>Instructor Request- Opted Out</v>
      </c>
      <c r="J278" t="b">
        <f>IFERROR(__xludf.DUMMYFUNCTION("""COMPUTED_VALUE"""),FALSE)</f>
        <v>0</v>
      </c>
      <c r="K278" s="142" t="str">
        <f>IFERROR(__xludf.DUMMYFUNCTION("""COMPUTED_VALUE"""),"Development")</f>
        <v>Development</v>
      </c>
      <c r="L278" s="142" t="str">
        <f>IFERROR(__xludf.DUMMYFUNCTION("""COMPUTED_VALUE"""),"Software Testing")</f>
        <v>Software Testing</v>
      </c>
      <c r="N278" s="140" t="str">
        <f>IFERROR(__xludf.DUMMYFUNCTION("""COMPUTED_VALUE"""),"")</f>
        <v/>
      </c>
      <c r="P278" s="140" t="str">
        <f>IFERROR(__xludf.DUMMYFUNCTION("""COMPUTED_VALUE"""),"")</f>
        <v/>
      </c>
    </row>
    <row r="279">
      <c r="A279" s="143">
        <f>IFERROR(__xludf.DUMMYFUNCTION("""COMPUTED_VALUE"""),44566.0)</f>
        <v>44566</v>
      </c>
      <c r="B279" s="143">
        <f>IFERROR(__xludf.DUMMYFUNCTION("""COMPUTED_VALUE"""),44742.0)</f>
        <v>44742</v>
      </c>
      <c r="C279" s="140" t="str">
        <f>IFERROR(__xludf.DUMMYFUNCTION("""COMPUTED_VALUE"""),"de")</f>
        <v>de</v>
      </c>
      <c r="D279">
        <f>IFERROR(__xludf.DUMMYFUNCTION("""COMPUTED_VALUE"""),1144840.0)</f>
        <v>1144840</v>
      </c>
      <c r="E279" t="str">
        <f>IFERROR(__xludf.DUMMYFUNCTION("""COMPUTED_VALUE"""),"Dein Einstieg in React JS &amp; Redux")</f>
        <v>Dein Einstieg in React JS &amp; Redux</v>
      </c>
      <c r="F279" t="str">
        <f>IFERROR(__xludf.DUMMYFUNCTION("""COMPUTED_VALUE"""),"Your entry into React JS &amp; Redux")</f>
        <v>Your entry into React JS &amp; Redux</v>
      </c>
      <c r="G279">
        <f>IFERROR(__xludf.DUMMYFUNCTION("""COMPUTED_VALUE"""),3.9081598E7)</f>
        <v>39081598</v>
      </c>
      <c r="H279" t="str">
        <f>IFERROR(__xludf.DUMMYFUNCTION("""COMPUTED_VALUE"""),"Jannis Seemann")</f>
        <v>Jannis Seemann</v>
      </c>
      <c r="I279" t="str">
        <f>IFERROR(__xludf.DUMMYFUNCTION("""COMPUTED_VALUE"""),"Instructor Request- Opted Out")</f>
        <v>Instructor Request- Opted Out</v>
      </c>
      <c r="J279" t="b">
        <f>IFERROR(__xludf.DUMMYFUNCTION("""COMPUTED_VALUE"""),FALSE)</f>
        <v>0</v>
      </c>
      <c r="K279" s="142" t="str">
        <f>IFERROR(__xludf.DUMMYFUNCTION("""COMPUTED_VALUE"""),"Development")</f>
        <v>Development</v>
      </c>
      <c r="L279" s="142" t="str">
        <f>IFERROR(__xludf.DUMMYFUNCTION("""COMPUTED_VALUE"""),"Web Development")</f>
        <v>Web Development</v>
      </c>
      <c r="N279" s="140" t="str">
        <f>IFERROR(__xludf.DUMMYFUNCTION("""COMPUTED_VALUE"""),"")</f>
        <v/>
      </c>
      <c r="P279" s="140" t="str">
        <f>IFERROR(__xludf.DUMMYFUNCTION("""COMPUTED_VALUE"""),"")</f>
        <v/>
      </c>
    </row>
    <row r="280">
      <c r="A280" s="143">
        <f>IFERROR(__xludf.DUMMYFUNCTION("""COMPUTED_VALUE"""),44566.0)</f>
        <v>44566</v>
      </c>
      <c r="B280" s="143">
        <f>IFERROR(__xludf.DUMMYFUNCTION("""COMPUTED_VALUE"""),44742.0)</f>
        <v>44742</v>
      </c>
      <c r="C280" t="str">
        <f>IFERROR(__xludf.DUMMYFUNCTION("""COMPUTED_VALUE"""),"de")</f>
        <v>de</v>
      </c>
      <c r="D280">
        <f>IFERROR(__xludf.DUMMYFUNCTION("""COMPUTED_VALUE"""),688196.0)</f>
        <v>688196</v>
      </c>
      <c r="E280" t="str">
        <f>IFERROR(__xludf.DUMMYFUNCTION("""COMPUTED_VALUE"""),"Der komplette NodeJS Kurs - Vom Anfänger zum Profi")</f>
        <v>Der komplette NodeJS Kurs - Vom Anfänger zum Profi</v>
      </c>
      <c r="F280" t="str">
        <f>IFERROR(__xludf.DUMMYFUNCTION("""COMPUTED_VALUE"""),"The complete nodejs course - from beginner to the professional")</f>
        <v>The complete nodejs course - from beginner to the professional</v>
      </c>
      <c r="G280">
        <f>IFERROR(__xludf.DUMMYFUNCTION("""COMPUTED_VALUE"""),3.9081598E7)</f>
        <v>39081598</v>
      </c>
      <c r="H280" t="str">
        <f>IFERROR(__xludf.DUMMYFUNCTION("""COMPUTED_VALUE"""),"#N/A")</f>
        <v>#N/A</v>
      </c>
      <c r="I280" t="str">
        <f>IFERROR(__xludf.DUMMYFUNCTION("""COMPUTED_VALUE"""),"Instructor Request- Opted Out")</f>
        <v>Instructor Request- Opted Out</v>
      </c>
      <c r="J280" t="str">
        <f>IFERROR(__xludf.DUMMYFUNCTION("""COMPUTED_VALUE"""),"#N/A")</f>
        <v>#N/A</v>
      </c>
      <c r="K280" s="142" t="str">
        <f>IFERROR(__xludf.DUMMYFUNCTION("""COMPUTED_VALUE"""),"Development")</f>
        <v>Development</v>
      </c>
      <c r="L280" s="142" t="str">
        <f>IFERROR(__xludf.DUMMYFUNCTION("""COMPUTED_VALUE"""),"Web Development")</f>
        <v>Web Development</v>
      </c>
      <c r="N280" s="140" t="str">
        <f>IFERROR(__xludf.DUMMYFUNCTION("""COMPUTED_VALUE"""),"")</f>
        <v/>
      </c>
      <c r="P280" s="140" t="str">
        <f>IFERROR(__xludf.DUMMYFUNCTION("""COMPUTED_VALUE"""),"")</f>
        <v/>
      </c>
    </row>
    <row r="281">
      <c r="A281" s="143">
        <f>IFERROR(__xludf.DUMMYFUNCTION("""COMPUTED_VALUE"""),44581.0)</f>
        <v>44581</v>
      </c>
      <c r="B281" s="143">
        <f>IFERROR(__xludf.DUMMYFUNCTION("""COMPUTED_VALUE"""),44742.0)</f>
        <v>44742</v>
      </c>
      <c r="C281" s="140" t="str">
        <f>IFERROR(__xludf.DUMMYFUNCTION("""COMPUTED_VALUE"""),"ko")</f>
        <v>ko</v>
      </c>
      <c r="D281">
        <f>IFERROR(__xludf.DUMMYFUNCTION("""COMPUTED_VALUE"""),4115896.0)</f>
        <v>4115896</v>
      </c>
      <c r="E281" t="str">
        <f>IFERROR(__xludf.DUMMYFUNCTION("""COMPUTED_VALUE"""),"데이터 분석이 쉬워지는 R 프로그래밍의 모든 것")</f>
        <v>데이터 분석이 쉬워지는 R 프로그래밍의 모든 것</v>
      </c>
      <c r="F281" t="str">
        <f>IFERROR(__xludf.DUMMYFUNCTION("""COMPUTED_VALUE"""),"Everything in R programming where data analysis is easy")</f>
        <v>Everything in R programming where data analysis is easy</v>
      </c>
      <c r="G281">
        <f>IFERROR(__xludf.DUMMYFUNCTION("""COMPUTED_VALUE"""),1.62125556E8)</f>
        <v>162125556</v>
      </c>
      <c r="H281" t="str">
        <f>IFERROR(__xludf.DUMMYFUNCTION("""COMPUTED_VALUE"""),"클룸 (CLOOM)")</f>
        <v>클룸 (CLOOM)</v>
      </c>
      <c r="I281" t="str">
        <f>IFERROR(__xludf.DUMMYFUNCTION("""COMPUTED_VALUE"""),"Instructor Request- Opted Out")</f>
        <v>Instructor Request- Opted Out</v>
      </c>
      <c r="J281" t="b">
        <f>IFERROR(__xludf.DUMMYFUNCTION("""COMPUTED_VALUE"""),FALSE)</f>
        <v>0</v>
      </c>
      <c r="K281" s="142" t="str">
        <f>IFERROR(__xludf.DUMMYFUNCTION("""COMPUTED_VALUE"""),"Development")</f>
        <v>Development</v>
      </c>
      <c r="L281" s="142" t="str">
        <f>IFERROR(__xludf.DUMMYFUNCTION("""COMPUTED_VALUE"""),"Programming Languages")</f>
        <v>Programming Languages</v>
      </c>
      <c r="N281" s="140" t="str">
        <f>IFERROR(__xludf.DUMMYFUNCTION("""COMPUTED_VALUE"""),"")</f>
        <v/>
      </c>
      <c r="P281" s="140" t="str">
        <f>IFERROR(__xludf.DUMMYFUNCTION("""COMPUTED_VALUE"""),"")</f>
        <v/>
      </c>
    </row>
    <row r="282">
      <c r="A282" s="143">
        <f>IFERROR(__xludf.DUMMYFUNCTION("""COMPUTED_VALUE"""),44581.0)</f>
        <v>44581</v>
      </c>
      <c r="B282" s="143">
        <f>IFERROR(__xludf.DUMMYFUNCTION("""COMPUTED_VALUE"""),44742.0)</f>
        <v>44742</v>
      </c>
      <c r="C282" s="140" t="str">
        <f>IFERROR(__xludf.DUMMYFUNCTION("""COMPUTED_VALUE"""),"ko")</f>
        <v>ko</v>
      </c>
      <c r="D282">
        <f>IFERROR(__xludf.DUMMYFUNCTION("""COMPUTED_VALUE"""),4094572.0)</f>
        <v>4094572</v>
      </c>
      <c r="E282" t="str">
        <f>IFERROR(__xludf.DUMMYFUNCTION("""COMPUTED_VALUE"""),"데이터 분석 고민하지 마세요! 하루 딱 2시간만에 배우는 파이썬 입문")</f>
        <v>데이터 분석 고민하지 마세요! 하루 딱 2시간만에 배우는 파이썬 입문</v>
      </c>
      <c r="F282" t="str">
        <f>IFERROR(__xludf.DUMMYFUNCTION("""COMPUTED_VALUE"""),"Do not worry about data analysis! Introduction to Python to learn in just two hours a day")</f>
        <v>Do not worry about data analysis! Introduction to Python to learn in just two hours a day</v>
      </c>
      <c r="G282">
        <f>IFERROR(__xludf.DUMMYFUNCTION("""COMPUTED_VALUE"""),1.62125556E8)</f>
        <v>162125556</v>
      </c>
      <c r="H282" t="str">
        <f>IFERROR(__xludf.DUMMYFUNCTION("""COMPUTED_VALUE"""),"클룸 (CLOOM)")</f>
        <v>클룸 (CLOOM)</v>
      </c>
      <c r="I282" t="str">
        <f>IFERROR(__xludf.DUMMYFUNCTION("""COMPUTED_VALUE"""),"Instructor Request- Opted Out")</f>
        <v>Instructor Request- Opted Out</v>
      </c>
      <c r="J282" t="b">
        <f>IFERROR(__xludf.DUMMYFUNCTION("""COMPUTED_VALUE"""),FALSE)</f>
        <v>0</v>
      </c>
      <c r="K282" s="142" t="str">
        <f>IFERROR(__xludf.DUMMYFUNCTION("""COMPUTED_VALUE"""),"Development")</f>
        <v>Development</v>
      </c>
      <c r="L282" s="142" t="str">
        <f>IFERROR(__xludf.DUMMYFUNCTION("""COMPUTED_VALUE"""),"Programming Languages")</f>
        <v>Programming Languages</v>
      </c>
      <c r="N282" s="140" t="str">
        <f>IFERROR(__xludf.DUMMYFUNCTION("""COMPUTED_VALUE"""),"")</f>
        <v/>
      </c>
      <c r="P282" s="140" t="str">
        <f>IFERROR(__xludf.DUMMYFUNCTION("""COMPUTED_VALUE"""),"")</f>
        <v/>
      </c>
    </row>
    <row r="283">
      <c r="A283" s="143">
        <f>IFERROR(__xludf.DUMMYFUNCTION("""COMPUTED_VALUE"""),44581.0)</f>
        <v>44581</v>
      </c>
      <c r="B283" s="143">
        <f>IFERROR(__xludf.DUMMYFUNCTION("""COMPUTED_VALUE"""),44742.0)</f>
        <v>44742</v>
      </c>
      <c r="C283" s="140" t="str">
        <f>IFERROR(__xludf.DUMMYFUNCTION("""COMPUTED_VALUE"""),"fr")</f>
        <v>fr</v>
      </c>
      <c r="D283">
        <f>IFERROR(__xludf.DUMMYFUNCTION("""COMPUTED_VALUE"""),2713640.0)</f>
        <v>2713640</v>
      </c>
      <c r="E283" t="str">
        <f>IFERROR(__xludf.DUMMYFUNCTION("""COMPUTED_VALUE"""),"Créez votre site web comme un pro du marketing")</f>
        <v>Créez votre site web comme un pro du marketing</v>
      </c>
      <c r="F283" t="str">
        <f>IFERROR(__xludf.DUMMYFUNCTION("""COMPUTED_VALUE"""),"Create your website as a pro marketing pro")</f>
        <v>Create your website as a pro marketing pro</v>
      </c>
      <c r="G283">
        <f>IFERROR(__xludf.DUMMYFUNCTION("""COMPUTED_VALUE"""),6.0290288E7)</f>
        <v>60290288</v>
      </c>
      <c r="H283" t="str">
        <f>IFERROR(__xludf.DUMMYFUNCTION("""COMPUTED_VALUE"""),"David Gos")</f>
        <v>David Gos</v>
      </c>
      <c r="I283" t="str">
        <f>IFERROR(__xludf.DUMMYFUNCTION("""COMPUTED_VALUE"""),"Instructor Request- Opted Out")</f>
        <v>Instructor Request- Opted Out</v>
      </c>
      <c r="J283" t="b">
        <f>IFERROR(__xludf.DUMMYFUNCTION("""COMPUTED_VALUE"""),FALSE)</f>
        <v>0</v>
      </c>
      <c r="K283" s="142" t="str">
        <f>IFERROR(__xludf.DUMMYFUNCTION("""COMPUTED_VALUE"""),"Marketing")</f>
        <v>Marketing</v>
      </c>
      <c r="L283" s="142" t="str">
        <f>IFERROR(__xludf.DUMMYFUNCTION("""COMPUTED_VALUE"""),"Digital Marketing")</f>
        <v>Digital Marketing</v>
      </c>
      <c r="N283" s="140" t="str">
        <f>IFERROR(__xludf.DUMMYFUNCTION("""COMPUTED_VALUE"""),"")</f>
        <v/>
      </c>
      <c r="P283" s="140" t="str">
        <f>IFERROR(__xludf.DUMMYFUNCTION("""COMPUTED_VALUE"""),"")</f>
        <v/>
      </c>
    </row>
    <row r="284">
      <c r="A284" s="143">
        <f>IFERROR(__xludf.DUMMYFUNCTION("""COMPUTED_VALUE"""),44581.0)</f>
        <v>44581</v>
      </c>
      <c r="B284" s="143">
        <f>IFERROR(__xludf.DUMMYFUNCTION("""COMPUTED_VALUE"""),44742.0)</f>
        <v>44742</v>
      </c>
      <c r="C284" s="140" t="str">
        <f>IFERROR(__xludf.DUMMYFUNCTION("""COMPUTED_VALUE"""),"en")</f>
        <v>en</v>
      </c>
      <c r="D284">
        <f>IFERROR(__xludf.DUMMYFUNCTION("""COMPUTED_VALUE"""),2771350.0)</f>
        <v>2771350</v>
      </c>
      <c r="E284" t="str">
        <f>IFERROR(__xludf.DUMMYFUNCTION("""COMPUTED_VALUE"""),"Learning to Learn [Efficient Learning]: Zero to Mastery")</f>
        <v>Learning to Learn [Efficient Learning]: Zero to Mastery</v>
      </c>
      <c r="F284" t="str">
        <f>IFERROR(__xludf.DUMMYFUNCTION("""COMPUTED_VALUE"""),"Learning to Learn [Efficient Learning]: Zero to Mastery")</f>
        <v>Learning to Learn [Efficient Learning]: Zero to Mastery</v>
      </c>
      <c r="G284">
        <f>IFERROR(__xludf.DUMMYFUNCTION("""COMPUTED_VALUE"""),3.8516954E7)</f>
        <v>38516954</v>
      </c>
      <c r="H284" t="str">
        <f>IFERROR(__xludf.DUMMYFUNCTION("""COMPUTED_VALUE"""),"Andrei Neagoie")</f>
        <v>Andrei Neagoie</v>
      </c>
      <c r="I284" t="str">
        <f>IFERROR(__xludf.DUMMYFUNCTION("""COMPUTED_VALUE"""),"Instructor Request- Opted Out")</f>
        <v>Instructor Request- Opted Out</v>
      </c>
      <c r="J284" t="b">
        <f>IFERROR(__xludf.DUMMYFUNCTION("""COMPUTED_VALUE"""),FALSE)</f>
        <v>0</v>
      </c>
      <c r="K284" s="142" t="str">
        <f>IFERROR(__xludf.DUMMYFUNCTION("""COMPUTED_VALUE"""),"Personal Development")</f>
        <v>Personal Development</v>
      </c>
      <c r="L284" s="142" t="str">
        <f>IFERROR(__xludf.DUMMYFUNCTION("""COMPUTED_VALUE"""),"Personal Growth")</f>
        <v>Personal Growth</v>
      </c>
      <c r="N284" s="140" t="str">
        <f>IFERROR(__xludf.DUMMYFUNCTION("""COMPUTED_VALUE"""),"")</f>
        <v/>
      </c>
      <c r="P284" s="140" t="str">
        <f>IFERROR(__xludf.DUMMYFUNCTION("""COMPUTED_VALUE"""),"")</f>
        <v/>
      </c>
    </row>
    <row r="285">
      <c r="A285" s="143">
        <f>IFERROR(__xludf.DUMMYFUNCTION("""COMPUTED_VALUE"""),44581.0)</f>
        <v>44581</v>
      </c>
      <c r="B285" s="143">
        <f>IFERROR(__xludf.DUMMYFUNCTION("""COMPUTED_VALUE"""),44742.0)</f>
        <v>44742</v>
      </c>
      <c r="C285" s="140" t="str">
        <f>IFERROR(__xludf.DUMMYFUNCTION("""COMPUTED_VALUE"""),"en")</f>
        <v>en</v>
      </c>
      <c r="D285">
        <f>IFERROR(__xludf.DUMMYFUNCTION("""COMPUTED_VALUE"""),3622040.0)</f>
        <v>3622040</v>
      </c>
      <c r="E285" t="str">
        <f>IFERROR(__xludf.DUMMYFUNCTION("""COMPUTED_VALUE"""),"TigerGraph Bootcamp")</f>
        <v>TigerGraph Bootcamp</v>
      </c>
      <c r="F285" t="str">
        <f>IFERROR(__xludf.DUMMYFUNCTION("""COMPUTED_VALUE"""),"Tigergraph Bootcamp")</f>
        <v>Tigergraph Bootcamp</v>
      </c>
      <c r="G285">
        <f>IFERROR(__xludf.DUMMYFUNCTION("""COMPUTED_VALUE"""),2.2088672E7)</f>
        <v>22088672</v>
      </c>
      <c r="H285" t="str">
        <f>IFERROR(__xludf.DUMMYFUNCTION("""COMPUTED_VALUE"""),"Hendrik Kleine")</f>
        <v>Hendrik Kleine</v>
      </c>
      <c r="I285" t="str">
        <f>IFERROR(__xludf.DUMMYFUNCTION("""COMPUTED_VALUE"""),"Instructor Request- Opted Out")</f>
        <v>Instructor Request- Opted Out</v>
      </c>
      <c r="J285" t="b">
        <f>IFERROR(__xludf.DUMMYFUNCTION("""COMPUTED_VALUE"""),FALSE)</f>
        <v>0</v>
      </c>
      <c r="K285" s="142" t="str">
        <f>IFERROR(__xludf.DUMMYFUNCTION("""COMPUTED_VALUE"""),"Data Science")</f>
        <v>Data Science</v>
      </c>
      <c r="L285" s="142" t="str">
        <f>IFERROR(__xludf.DUMMYFUNCTION("""COMPUTED_VALUE"""),"Statistical Analysis")</f>
        <v>Statistical Analysis</v>
      </c>
      <c r="N285" s="140" t="str">
        <f>IFERROR(__xludf.DUMMYFUNCTION("""COMPUTED_VALUE"""),"")</f>
        <v/>
      </c>
      <c r="P285" s="140" t="str">
        <f>IFERROR(__xludf.DUMMYFUNCTION("""COMPUTED_VALUE"""),"")</f>
        <v/>
      </c>
    </row>
    <row r="286">
      <c r="A286" s="143">
        <f>IFERROR(__xludf.DUMMYFUNCTION("""COMPUTED_VALUE"""),44581.0)</f>
        <v>44581</v>
      </c>
      <c r="B286" s="143">
        <f>IFERROR(__xludf.DUMMYFUNCTION("""COMPUTED_VALUE"""),44742.0)</f>
        <v>44742</v>
      </c>
      <c r="C286" s="140" t="str">
        <f>IFERROR(__xludf.DUMMYFUNCTION("""COMPUTED_VALUE"""),"en")</f>
        <v>en</v>
      </c>
      <c r="D286">
        <f>IFERROR(__xludf.DUMMYFUNCTION("""COMPUTED_VALUE"""),3936930.0)</f>
        <v>3936930</v>
      </c>
      <c r="E286" t="str">
        <f>IFERROR(__xludf.DUMMYFUNCTION("""COMPUTED_VALUE"""),"Spring RSocket")</f>
        <v>Spring RSocket</v>
      </c>
      <c r="F286" t="str">
        <f>IFERROR(__xludf.DUMMYFUNCTION("""COMPUTED_VALUE"""),"Spring rsocket")</f>
        <v>Spring rsocket</v>
      </c>
      <c r="G286">
        <f>IFERROR(__xludf.DUMMYFUNCTION("""COMPUTED_VALUE"""),1.7964862E7)</f>
        <v>17964862</v>
      </c>
      <c r="H286" t="str">
        <f>IFERROR(__xludf.DUMMYFUNCTION("""COMPUTED_VALUE"""),"Vinoth Selvaraj")</f>
        <v>Vinoth Selvaraj</v>
      </c>
      <c r="I286" t="str">
        <f>IFERROR(__xludf.DUMMYFUNCTION("""COMPUTED_VALUE"""),"Instructor Request- Opted Out")</f>
        <v>Instructor Request- Opted Out</v>
      </c>
      <c r="J286" t="b">
        <f>IFERROR(__xludf.DUMMYFUNCTION("""COMPUTED_VALUE"""),FALSE)</f>
        <v>0</v>
      </c>
      <c r="K286" s="142" t="str">
        <f>IFERROR(__xludf.DUMMYFUNCTION("""COMPUTED_VALUE"""),"Development")</f>
        <v>Development</v>
      </c>
      <c r="L286" s="142" t="str">
        <f>IFERROR(__xludf.DUMMYFUNCTION("""COMPUTED_VALUE"""),"Software Engineering")</f>
        <v>Software Engineering</v>
      </c>
      <c r="N286" s="140" t="str">
        <f>IFERROR(__xludf.DUMMYFUNCTION("""COMPUTED_VALUE"""),"")</f>
        <v/>
      </c>
      <c r="P286" s="140" t="str">
        <f>IFERROR(__xludf.DUMMYFUNCTION("""COMPUTED_VALUE"""),"")</f>
        <v/>
      </c>
    </row>
    <row r="287">
      <c r="A287" s="143">
        <f>IFERROR(__xludf.DUMMYFUNCTION("""COMPUTED_VALUE"""),44581.0)</f>
        <v>44581</v>
      </c>
      <c r="B287" s="143">
        <f>IFERROR(__xludf.DUMMYFUNCTION("""COMPUTED_VALUE"""),44742.0)</f>
        <v>44742</v>
      </c>
      <c r="C287" s="140" t="str">
        <f>IFERROR(__xludf.DUMMYFUNCTION("""COMPUTED_VALUE"""),"en")</f>
        <v>en</v>
      </c>
      <c r="D287">
        <f>IFERROR(__xludf.DUMMYFUNCTION("""COMPUTED_VALUE"""),963324.0)</f>
        <v>963324</v>
      </c>
      <c r="E287" t="str">
        <f>IFERROR(__xludf.DUMMYFUNCTION("""COMPUTED_VALUE"""),"Use SAP BRFplus Like a Pro!")</f>
        <v>Use SAP BRFplus Like a Pro!</v>
      </c>
      <c r="F287" t="str">
        <f>IFERROR(__xludf.DUMMYFUNCTION("""COMPUTED_VALUE"""),"Use SAP BRFplus Like a Pro!")</f>
        <v>Use SAP BRFplus Like a Pro!</v>
      </c>
      <c r="G287">
        <f>IFERROR(__xludf.DUMMYFUNCTION("""COMPUTED_VALUE"""),7890310.0)</f>
        <v>7890310</v>
      </c>
      <c r="H287" t="str">
        <f>IFERROR(__xludf.DUMMYFUNCTION("""COMPUTED_VALUE"""),"Tom Zamir")</f>
        <v>Tom Zamir</v>
      </c>
      <c r="I287" t="str">
        <f>IFERROR(__xludf.DUMMYFUNCTION("""COMPUTED_VALUE"""),"Instructor Request- Opted Out")</f>
        <v>Instructor Request- Opted Out</v>
      </c>
      <c r="J287" t="b">
        <f>IFERROR(__xludf.DUMMYFUNCTION("""COMPUTED_VALUE"""),FALSE)</f>
        <v>0</v>
      </c>
      <c r="K287" s="142" t="str">
        <f>IFERROR(__xludf.DUMMYFUNCTION("""COMPUTED_VALUE"""),"IT Operations")</f>
        <v>IT Operations</v>
      </c>
      <c r="L287" s="142" t="str">
        <f>IFERROR(__xludf.DUMMYFUNCTION("""COMPUTED_VALUE"""),"Operating Systems &amp; Servers")</f>
        <v>Operating Systems &amp; Servers</v>
      </c>
      <c r="N287" s="140" t="str">
        <f>IFERROR(__xludf.DUMMYFUNCTION("""COMPUTED_VALUE"""),"")</f>
        <v/>
      </c>
      <c r="P287" s="140" t="str">
        <f>IFERROR(__xludf.DUMMYFUNCTION("""COMPUTED_VALUE"""),"")</f>
        <v/>
      </c>
    </row>
    <row r="288">
      <c r="A288" s="143">
        <f>IFERROR(__xludf.DUMMYFUNCTION("""COMPUTED_VALUE"""),44531.0)</f>
        <v>44531</v>
      </c>
      <c r="B288" s="143">
        <f>IFERROR(__xludf.DUMMYFUNCTION("""COMPUTED_VALUE"""),44742.0)</f>
        <v>44742</v>
      </c>
      <c r="C288" s="140" t="str">
        <f>IFERROR(__xludf.DUMMYFUNCTION("""COMPUTED_VALUE"""),"en")</f>
        <v>en</v>
      </c>
      <c r="D288">
        <f>IFERROR(__xludf.DUMMYFUNCTION("""COMPUTED_VALUE"""),2126948.0)</f>
        <v>2126948</v>
      </c>
      <c r="E288" t="str">
        <f>IFERROR(__xludf.DUMMYFUNCTION("""COMPUTED_VALUE"""),"NativeScript + Angular: Build Native iOS, Android &amp; Web Apps")</f>
        <v>NativeScript + Angular: Build Native iOS, Android &amp; Web Apps</v>
      </c>
      <c r="F288" t="str">
        <f>IFERROR(__xludf.DUMMYFUNCTION("""COMPUTED_VALUE"""),"NativeScript + Angular: Build Native iOS, Android &amp; Web Apps")</f>
        <v>NativeScript + Angular: Build Native iOS, Android &amp; Web Apps</v>
      </c>
      <c r="G288">
        <f>IFERROR(__xludf.DUMMYFUNCTION("""COMPUTED_VALUE"""),3.1926668E7)</f>
        <v>31926668</v>
      </c>
      <c r="H288" t="str">
        <f>IFERROR(__xludf.DUMMYFUNCTION("""COMPUTED_VALUE"""),"Academind by Maximilian Schwarzmüller")</f>
        <v>Academind by Maximilian Schwarzmüller</v>
      </c>
      <c r="I288" t="str">
        <f>IFERROR(__xludf.DUMMYFUNCTION("""COMPUTED_VALUE"""),"Instructor Request- Opted Out")</f>
        <v>Instructor Request- Opted Out</v>
      </c>
      <c r="J288" t="b">
        <f>IFERROR(__xludf.DUMMYFUNCTION("""COMPUTED_VALUE"""),TRUE)</f>
        <v>1</v>
      </c>
      <c r="K288" s="142" t="str">
        <f>IFERROR(__xludf.DUMMYFUNCTION("""COMPUTED_VALUE"""),"Development")</f>
        <v>Development</v>
      </c>
      <c r="L288" s="142" t="str">
        <f>IFERROR(__xludf.DUMMYFUNCTION("""COMPUTED_VALUE"""),"Mobile Development")</f>
        <v>Mobile Development</v>
      </c>
      <c r="N288" s="140" t="str">
        <f>IFERROR(__xludf.DUMMYFUNCTION("""COMPUTED_VALUE"""),"")</f>
        <v/>
      </c>
      <c r="P288" s="140" t="str">
        <f>IFERROR(__xludf.DUMMYFUNCTION("""COMPUTED_VALUE"""),"")</f>
        <v/>
      </c>
    </row>
    <row r="289">
      <c r="A289" s="143">
        <f>IFERROR(__xludf.DUMMYFUNCTION("""COMPUTED_VALUE"""),44533.0)</f>
        <v>44533</v>
      </c>
      <c r="B289" s="143">
        <f>IFERROR(__xludf.DUMMYFUNCTION("""COMPUTED_VALUE"""),44742.0)</f>
        <v>44742</v>
      </c>
      <c r="C289" s="140" t="str">
        <f>IFERROR(__xludf.DUMMYFUNCTION("""COMPUTED_VALUE"""),"en")</f>
        <v>en</v>
      </c>
      <c r="D289">
        <f>IFERROR(__xludf.DUMMYFUNCTION("""COMPUTED_VALUE"""),2395488.0)</f>
        <v>2395488</v>
      </c>
      <c r="E289" t="str">
        <f>IFERROR(__xludf.DUMMYFUNCTION("""COMPUTED_VALUE"""),"React Front To Back")</f>
        <v>React Front To Back</v>
      </c>
      <c r="F289" t="str">
        <f>IFERROR(__xludf.DUMMYFUNCTION("""COMPUTED_VALUE"""),"React Front To Back")</f>
        <v>React Front To Back</v>
      </c>
      <c r="G289">
        <f>IFERROR(__xludf.DUMMYFUNCTION("""COMPUTED_VALUE"""),2.1681922E7)</f>
        <v>21681922</v>
      </c>
      <c r="H289" t="str">
        <f>IFERROR(__xludf.DUMMYFUNCTION("""COMPUTED_VALUE"""),"Brad Traversy")</f>
        <v>Brad Traversy</v>
      </c>
      <c r="I289" t="str">
        <f>IFERROR(__xludf.DUMMYFUNCTION("""COMPUTED_VALUE"""),"Instructor Request- Opted Out")</f>
        <v>Instructor Request- Opted Out</v>
      </c>
      <c r="J289" t="b">
        <f>IFERROR(__xludf.DUMMYFUNCTION("""COMPUTED_VALUE"""),FALSE)</f>
        <v>0</v>
      </c>
      <c r="K289" s="142" t="str">
        <f>IFERROR(__xludf.DUMMYFUNCTION("""COMPUTED_VALUE"""),"Development")</f>
        <v>Development</v>
      </c>
      <c r="L289" s="142" t="str">
        <f>IFERROR(__xludf.DUMMYFUNCTION("""COMPUTED_VALUE"""),"Web Development")</f>
        <v>Web Development</v>
      </c>
      <c r="N289" s="140" t="str">
        <f>IFERROR(__xludf.DUMMYFUNCTION("""COMPUTED_VALUE"""),"")</f>
        <v/>
      </c>
      <c r="P289" s="140" t="str">
        <f>IFERROR(__xludf.DUMMYFUNCTION("""COMPUTED_VALUE"""),"")</f>
        <v/>
      </c>
    </row>
    <row r="290">
      <c r="A290" s="141">
        <f>IFERROR(__xludf.DUMMYFUNCTION("""COMPUTED_VALUE"""),44501.0)</f>
        <v>44501</v>
      </c>
      <c r="B290" s="141">
        <f>IFERROR(__xludf.DUMMYFUNCTION("""COMPUTED_VALUE"""),44712.0)</f>
        <v>44712</v>
      </c>
      <c r="C290" t="str">
        <f>IFERROR(__xludf.DUMMYFUNCTION("""COMPUTED_VALUE"""),"en")</f>
        <v>en</v>
      </c>
      <c r="D290">
        <f>IFERROR(__xludf.DUMMYFUNCTION("""COMPUTED_VALUE"""),344224.0)</f>
        <v>344224</v>
      </c>
      <c r="E290" t="str">
        <f>IFERROR(__xludf.DUMMYFUNCTION("""COMPUTED_VALUE"""),"Java Spring Security")</f>
        <v>Java Spring Security</v>
      </c>
      <c r="F290" t="str">
        <f>IFERROR(__xludf.DUMMYFUNCTION("""COMPUTED_VALUE"""),"Java Spring Security")</f>
        <v>Java Spring Security</v>
      </c>
      <c r="G290">
        <f>IFERROR(__xludf.DUMMYFUNCTION("""COMPUTED_VALUE"""),532105.0)</f>
        <v>532105</v>
      </c>
      <c r="H290" t="str">
        <f>IFERROR(__xludf.DUMMYFUNCTION("""COMPUTED_VALUE"""),"Trevor Page")</f>
        <v>Trevor Page</v>
      </c>
      <c r="I290" t="str">
        <f>IFERROR(__xludf.DUMMYFUNCTION("""COMPUTED_VALUE"""),"Low Rating")</f>
        <v>Low Rating</v>
      </c>
      <c r="J290" t="b">
        <f>IFERROR(__xludf.DUMMYFUNCTION("""COMPUTED_VALUE"""),FALSE)</f>
        <v>0</v>
      </c>
      <c r="K290" s="142" t="str">
        <f>IFERROR(__xludf.DUMMYFUNCTION("""COMPUTED_VALUE"""),"IT Operations")</f>
        <v>IT Operations</v>
      </c>
      <c r="L290" s="142" t="str">
        <f>IFERROR(__xludf.DUMMYFUNCTION("""COMPUTED_VALUE"""),"Network &amp; Security")</f>
        <v>Network &amp; Security</v>
      </c>
      <c r="N290" s="140" t="str">
        <f>IFERROR(__xludf.DUMMYFUNCTION("""COMPUTED_VALUE"""),"")</f>
        <v/>
      </c>
      <c r="P290" s="140" t="str">
        <f>IFERROR(__xludf.DUMMYFUNCTION("""COMPUTED_VALUE"""),"")</f>
        <v/>
      </c>
    </row>
    <row r="291">
      <c r="A291" s="141">
        <f>IFERROR(__xludf.DUMMYFUNCTION("""COMPUTED_VALUE"""),44501.0)</f>
        <v>44501</v>
      </c>
      <c r="B291" s="141">
        <f>IFERROR(__xludf.DUMMYFUNCTION("""COMPUTED_VALUE"""),44712.0)</f>
        <v>44712</v>
      </c>
      <c r="C291" t="str">
        <f>IFERROR(__xludf.DUMMYFUNCTION("""COMPUTED_VALUE"""),"en")</f>
        <v>en</v>
      </c>
      <c r="D291">
        <f>IFERROR(__xludf.DUMMYFUNCTION("""COMPUTED_VALUE"""),442896.0)</f>
        <v>442896</v>
      </c>
      <c r="E291" t="str">
        <f>IFERROR(__xludf.DUMMYFUNCTION("""COMPUTED_VALUE"""),"Learn SCADA from Scratch - Design, Program and Interface")</f>
        <v>Learn SCADA from Scratch - Design, Program and Interface</v>
      </c>
      <c r="F291" t="str">
        <f>IFERROR(__xludf.DUMMYFUNCTION("""COMPUTED_VALUE"""),"Learn SCADA from Scratch - Design, Program and Interface")</f>
        <v>Learn SCADA from Scratch - Design, Program and Interface</v>
      </c>
      <c r="G291">
        <f>IFERROR(__xludf.DUMMYFUNCTION("""COMPUTED_VALUE"""),1216474.0)</f>
        <v>1216474</v>
      </c>
      <c r="H291" t="str">
        <f>IFERROR(__xludf.DUMMYFUNCTION("""COMPUTED_VALUE"""),"Rajvir Singh")</f>
        <v>Rajvir Singh</v>
      </c>
      <c r="I291" t="str">
        <f>IFERROR(__xludf.DUMMYFUNCTION("""COMPUTED_VALUE"""),"Low Rating")</f>
        <v>Low Rating</v>
      </c>
      <c r="J291" t="b">
        <f>IFERROR(__xludf.DUMMYFUNCTION("""COMPUTED_VALUE"""),FALSE)</f>
        <v>0</v>
      </c>
      <c r="K291" s="142" t="str">
        <f>IFERROR(__xludf.DUMMYFUNCTION("""COMPUTED_VALUE"""),"IT Operations")</f>
        <v>IT Operations</v>
      </c>
      <c r="L291" s="142" t="str">
        <f>IFERROR(__xludf.DUMMYFUNCTION("""COMPUTED_VALUE"""),"Hardware")</f>
        <v>Hardware</v>
      </c>
      <c r="M291" s="140">
        <f>IFERROR(__xludf.DUMMYFUNCTION("""COMPUTED_VALUE"""),2560544.0)</f>
        <v>2560544</v>
      </c>
      <c r="N291" s="140" t="str">
        <f>IFERROR(__xludf.DUMMYFUNCTION("""COMPUTED_VALUE"""),"Learn SCADA from Scratch to Hero ( Indusoft &amp; TIA portal )")</f>
        <v>Learn SCADA from Scratch to Hero ( Indusoft &amp; TIA portal )</v>
      </c>
      <c r="P291" s="140" t="str">
        <f>IFERROR(__xludf.DUMMYFUNCTION("""COMPUTED_VALUE"""),"")</f>
        <v/>
      </c>
    </row>
    <row r="292">
      <c r="A292" s="141">
        <f>IFERROR(__xludf.DUMMYFUNCTION("""COMPUTED_VALUE"""),44501.0)</f>
        <v>44501</v>
      </c>
      <c r="B292" s="141">
        <f>IFERROR(__xludf.DUMMYFUNCTION("""COMPUTED_VALUE"""),44712.0)</f>
        <v>44712</v>
      </c>
      <c r="C292" t="str">
        <f>IFERROR(__xludf.DUMMYFUNCTION("""COMPUTED_VALUE"""),"en")</f>
        <v>en</v>
      </c>
      <c r="D292">
        <f>IFERROR(__xludf.DUMMYFUNCTION("""COMPUTED_VALUE"""),526534.0)</f>
        <v>526534</v>
      </c>
      <c r="E292" t="str">
        <f>IFERROR(__xludf.DUMMYFUNCTION("""COMPUTED_VALUE"""),"Become a Game Designer the Complete Series Coding to Design")</f>
        <v>Become a Game Designer the Complete Series Coding to Design</v>
      </c>
      <c r="F292" t="str">
        <f>IFERROR(__xludf.DUMMYFUNCTION("""COMPUTED_VALUE"""),"Become a Game Designer the Complete Series Coding to Design")</f>
        <v>Become a Game Designer the Complete Series Coding to Design</v>
      </c>
      <c r="G292">
        <f>IFERROR(__xludf.DUMMYFUNCTION("""COMPUTED_VALUE"""),1090084.0)</f>
        <v>1090084</v>
      </c>
      <c r="H292" t="str">
        <f>IFERROR(__xludf.DUMMYFUNCTION("""COMPUTED_VALUE"""),"[ School of Game Design ]")</f>
        <v>[ School of Game Design ]</v>
      </c>
      <c r="I292" t="str">
        <f>IFERROR(__xludf.DUMMYFUNCTION("""COMPUTED_VALUE"""),"Low Rating")</f>
        <v>Low Rating</v>
      </c>
      <c r="J292" t="b">
        <f>IFERROR(__xludf.DUMMYFUNCTION("""COMPUTED_VALUE"""),FALSE)</f>
        <v>0</v>
      </c>
      <c r="K292" s="142" t="str">
        <f>IFERROR(__xludf.DUMMYFUNCTION("""COMPUTED_VALUE"""),"Design")</f>
        <v>Design</v>
      </c>
      <c r="L292" s="142" t="str">
        <f>IFERROR(__xludf.DUMMYFUNCTION("""COMPUTED_VALUE"""),"3D &amp; Animation")</f>
        <v>3D &amp; Animation</v>
      </c>
      <c r="N292" s="140" t="str">
        <f>IFERROR(__xludf.DUMMYFUNCTION("""COMPUTED_VALUE"""),"")</f>
        <v/>
      </c>
      <c r="P292" s="140" t="str">
        <f>IFERROR(__xludf.DUMMYFUNCTION("""COMPUTED_VALUE"""),"")</f>
        <v/>
      </c>
    </row>
    <row r="293">
      <c r="A293" s="141">
        <f>IFERROR(__xludf.DUMMYFUNCTION("""COMPUTED_VALUE"""),44501.0)</f>
        <v>44501</v>
      </c>
      <c r="B293" s="141">
        <f>IFERROR(__xludf.DUMMYFUNCTION("""COMPUTED_VALUE"""),44712.0)</f>
        <v>44712</v>
      </c>
      <c r="C293" t="str">
        <f>IFERROR(__xludf.DUMMYFUNCTION("""COMPUTED_VALUE"""),"en")</f>
        <v>en</v>
      </c>
      <c r="D293">
        <f>IFERROR(__xludf.DUMMYFUNCTION("""COMPUTED_VALUE"""),617118.0)</f>
        <v>617118</v>
      </c>
      <c r="E293" t="str">
        <f>IFERROR(__xludf.DUMMYFUNCTION("""COMPUTED_VALUE"""),"Effective Business English for Logistics")</f>
        <v>Effective Business English for Logistics</v>
      </c>
      <c r="F293" t="str">
        <f>IFERROR(__xludf.DUMMYFUNCTION("""COMPUTED_VALUE"""),"Effective Business English for Logistics")</f>
        <v>Effective Business English for Logistics</v>
      </c>
      <c r="G293">
        <f>IFERROR(__xludf.DUMMYFUNCTION("""COMPUTED_VALUE"""),7476312.0)</f>
        <v>7476312</v>
      </c>
      <c r="H293" t="str">
        <f>IFERROR(__xludf.DUMMYFUNCTION("""COMPUTED_VALUE"""),"Jacqueline Seidel")</f>
        <v>Jacqueline Seidel</v>
      </c>
      <c r="I293" t="str">
        <f>IFERROR(__xludf.DUMMYFUNCTION("""COMPUTED_VALUE"""),"Low Rating")</f>
        <v>Low Rating</v>
      </c>
      <c r="J293" t="b">
        <f>IFERROR(__xludf.DUMMYFUNCTION("""COMPUTED_VALUE"""),FALSE)</f>
        <v>0</v>
      </c>
      <c r="K293" s="142" t="str">
        <f>IFERROR(__xludf.DUMMYFUNCTION("""COMPUTED_VALUE"""),"Personal Development")</f>
        <v>Personal Development</v>
      </c>
      <c r="L293" s="142" t="str">
        <f>IFERROR(__xludf.DUMMYFUNCTION("""COMPUTED_VALUE"""),"Language Learning")</f>
        <v>Language Learning</v>
      </c>
      <c r="N293" s="140" t="str">
        <f>IFERROR(__xludf.DUMMYFUNCTION("""COMPUTED_VALUE"""),"")</f>
        <v/>
      </c>
      <c r="P293" s="140" t="str">
        <f>IFERROR(__xludf.DUMMYFUNCTION("""COMPUTED_VALUE"""),"")</f>
        <v/>
      </c>
    </row>
    <row r="294">
      <c r="A294" s="141">
        <f>IFERROR(__xludf.DUMMYFUNCTION("""COMPUTED_VALUE"""),44501.0)</f>
        <v>44501</v>
      </c>
      <c r="B294" s="141">
        <f>IFERROR(__xludf.DUMMYFUNCTION("""COMPUTED_VALUE"""),44712.0)</f>
        <v>44712</v>
      </c>
      <c r="C294" t="str">
        <f>IFERROR(__xludf.DUMMYFUNCTION("""COMPUTED_VALUE"""),"en")</f>
        <v>en</v>
      </c>
      <c r="D294">
        <f>IFERROR(__xludf.DUMMYFUNCTION("""COMPUTED_VALUE"""),637932.0)</f>
        <v>637932</v>
      </c>
      <c r="E294" t="str">
        <f>IFERROR(__xludf.DUMMYFUNCTION("""COMPUTED_VALUE"""),"101 Crucial Lessons They Don't Teach You In Business School")</f>
        <v>101 Crucial Lessons They Don't Teach You In Business School</v>
      </c>
      <c r="F294" t="str">
        <f>IFERROR(__xludf.DUMMYFUNCTION("""COMPUTED_VALUE"""),"101 Crucial Lessons They Don't Teach You In Business School")</f>
        <v>101 Crucial Lessons They Don't Teach You In Business School</v>
      </c>
      <c r="G294">
        <f>IFERROR(__xludf.DUMMYFUNCTION("""COMPUTED_VALUE"""),1.4942868E7)</f>
        <v>14942868</v>
      </c>
      <c r="H294" t="str">
        <f>IFERROR(__xludf.DUMMYFUNCTION("""COMPUTED_VALUE"""),"Chris Haroun")</f>
        <v>Chris Haroun</v>
      </c>
      <c r="I294" t="str">
        <f>IFERROR(__xludf.DUMMYFUNCTION("""COMPUTED_VALUE"""),"Low Rating")</f>
        <v>Low Rating</v>
      </c>
      <c r="J294" t="b">
        <f>IFERROR(__xludf.DUMMYFUNCTION("""COMPUTED_VALUE"""),FALSE)</f>
        <v>0</v>
      </c>
      <c r="K294" s="142" t="str">
        <f>IFERROR(__xludf.DUMMYFUNCTION("""COMPUTED_VALUE"""),"Leadership &amp; Management")</f>
        <v>Leadership &amp; Management</v>
      </c>
      <c r="L294" s="142" t="str">
        <f>IFERROR(__xludf.DUMMYFUNCTION("""COMPUTED_VALUE"""),"Leadership")</f>
        <v>Leadership</v>
      </c>
      <c r="N294" s="140" t="str">
        <f>IFERROR(__xludf.DUMMYFUNCTION("""COMPUTED_VALUE"""),"")</f>
        <v/>
      </c>
      <c r="P294" s="140" t="str">
        <f>IFERROR(__xludf.DUMMYFUNCTION("""COMPUTED_VALUE"""),"")</f>
        <v/>
      </c>
    </row>
    <row r="295">
      <c r="A295" s="141">
        <f>IFERROR(__xludf.DUMMYFUNCTION("""COMPUTED_VALUE"""),44501.0)</f>
        <v>44501</v>
      </c>
      <c r="B295" s="141">
        <f>IFERROR(__xludf.DUMMYFUNCTION("""COMPUTED_VALUE"""),44712.0)</f>
        <v>44712</v>
      </c>
      <c r="C295" t="str">
        <f>IFERROR(__xludf.DUMMYFUNCTION("""COMPUTED_VALUE"""),"ja")</f>
        <v>ja</v>
      </c>
      <c r="D295">
        <f>IFERROR(__xludf.DUMMYFUNCTION("""COMPUTED_VALUE"""),785690.0)</f>
        <v>785690</v>
      </c>
      <c r="E295" t="str">
        <f>IFERROR(__xludf.DUMMYFUNCTION("""COMPUTED_VALUE"""),"レスポンシブル・スマートフォンサイト制作講座　70以上の充実レッスンで作れるようになる！")</f>
        <v>レスポンシブル・スマートフォンサイト制作講座　70以上の充実レッスンで作れるようになる！</v>
      </c>
      <c r="F295" t="str">
        <f>IFERROR(__xludf.DUMMYFUNCTION("""COMPUTED_VALUE"""),"Responsible Smartphone Site Production Course A more than 70 fulfilling lessons will be made!")</f>
        <v>Responsible Smartphone Site Production Course A more than 70 fulfilling lessons will be made!</v>
      </c>
      <c r="G295">
        <f>IFERROR(__xludf.DUMMYFUNCTION("""COMPUTED_VALUE"""),4332006.0)</f>
        <v>4332006</v>
      </c>
      <c r="H295" t="str">
        <f>IFERROR(__xludf.DUMMYFUNCTION("""COMPUTED_VALUE"""),"NEST online")</f>
        <v>NEST online</v>
      </c>
      <c r="I295" t="str">
        <f>IFERROR(__xludf.DUMMYFUNCTION("""COMPUTED_VALUE"""),"Low Rating")</f>
        <v>Low Rating</v>
      </c>
      <c r="J295" t="b">
        <f>IFERROR(__xludf.DUMMYFUNCTION("""COMPUTED_VALUE"""),FALSE)</f>
        <v>0</v>
      </c>
      <c r="K295" s="142" t="str">
        <f>IFERROR(__xludf.DUMMYFUNCTION("""COMPUTED_VALUE"""),"Design")</f>
        <v>Design</v>
      </c>
      <c r="L295" s="142" t="str">
        <f>IFERROR(__xludf.DUMMYFUNCTION("""COMPUTED_VALUE"""),"Mobile Design")</f>
        <v>Mobile Design</v>
      </c>
      <c r="N295" s="140" t="str">
        <f>IFERROR(__xludf.DUMMYFUNCTION("""COMPUTED_VALUE"""),"")</f>
        <v/>
      </c>
      <c r="P295" s="140" t="str">
        <f>IFERROR(__xludf.DUMMYFUNCTION("""COMPUTED_VALUE"""),"")</f>
        <v/>
      </c>
    </row>
    <row r="296">
      <c r="A296" s="141">
        <f>IFERROR(__xludf.DUMMYFUNCTION("""COMPUTED_VALUE"""),44501.0)</f>
        <v>44501</v>
      </c>
      <c r="B296" s="141">
        <f>IFERROR(__xludf.DUMMYFUNCTION("""COMPUTED_VALUE"""),44712.0)</f>
        <v>44712</v>
      </c>
      <c r="C296" t="str">
        <f>IFERROR(__xludf.DUMMYFUNCTION("""COMPUTED_VALUE"""),"es")</f>
        <v>es</v>
      </c>
      <c r="D296">
        <f>IFERROR(__xludf.DUMMYFUNCTION("""COMPUTED_VALUE"""),957106.0)</f>
        <v>957106</v>
      </c>
      <c r="E296" t="str">
        <f>IFERROR(__xludf.DUMMYFUNCTION("""COMPUTED_VALUE"""),"Programación de Android desde cero con Java +40 horas")</f>
        <v>Programación de Android desde cero con Java +40 horas</v>
      </c>
      <c r="F296" t="str">
        <f>IFERROR(__xludf.DUMMYFUNCTION("""COMPUTED_VALUE"""),"Android programming from scratch with Java +40 hours")</f>
        <v>Android programming from scratch with Java +40 hours</v>
      </c>
      <c r="G296">
        <f>IFERROR(__xludf.DUMMYFUNCTION("""COMPUTED_VALUE"""),5862882.0)</f>
        <v>5862882</v>
      </c>
      <c r="H296" t="str">
        <f>IFERROR(__xludf.DUMMYFUNCTION("""COMPUTED_VALUE"""),"Jose Javier Villena")</f>
        <v>Jose Javier Villena</v>
      </c>
      <c r="I296" t="str">
        <f>IFERROR(__xludf.DUMMYFUNCTION("""COMPUTED_VALUE"""),"Low Rating")</f>
        <v>Low Rating</v>
      </c>
      <c r="J296" t="b">
        <f>IFERROR(__xludf.DUMMYFUNCTION("""COMPUTED_VALUE"""),FALSE)</f>
        <v>0</v>
      </c>
      <c r="K296" s="142" t="str">
        <f>IFERROR(__xludf.DUMMYFUNCTION("""COMPUTED_VALUE"""),"Development")</f>
        <v>Development</v>
      </c>
      <c r="L296" s="142" t="str">
        <f>IFERROR(__xludf.DUMMYFUNCTION("""COMPUTED_VALUE"""),"Mobile Development")</f>
        <v>Mobile Development</v>
      </c>
      <c r="N296" s="140" t="str">
        <f>IFERROR(__xludf.DUMMYFUNCTION("""COMPUTED_VALUE"""),"")</f>
        <v/>
      </c>
      <c r="P296" s="140" t="str">
        <f>IFERROR(__xludf.DUMMYFUNCTION("""COMPUTED_VALUE"""),"")</f>
        <v/>
      </c>
    </row>
    <row r="297">
      <c r="A297" s="141">
        <f>IFERROR(__xludf.DUMMYFUNCTION("""COMPUTED_VALUE"""),44501.0)</f>
        <v>44501</v>
      </c>
      <c r="B297" s="141">
        <f>IFERROR(__xludf.DUMMYFUNCTION("""COMPUTED_VALUE"""),44712.0)</f>
        <v>44712</v>
      </c>
      <c r="C297" t="str">
        <f>IFERROR(__xludf.DUMMYFUNCTION("""COMPUTED_VALUE"""),"en")</f>
        <v>en</v>
      </c>
      <c r="D297">
        <f>IFERROR(__xludf.DUMMYFUNCTION("""COMPUTED_VALUE"""),1162868.0)</f>
        <v>1162868</v>
      </c>
      <c r="E297" t="str">
        <f>IFERROR(__xludf.DUMMYFUNCTION("""COMPUTED_VALUE"""),"Build Insightful Dashboards with Google Data Studio")</f>
        <v>Build Insightful Dashboards with Google Data Studio</v>
      </c>
      <c r="F297" t="str">
        <f>IFERROR(__xludf.DUMMYFUNCTION("""COMPUTED_VALUE"""),"Build Insightful Dashboards with Google Data Studio")</f>
        <v>Build Insightful Dashboards with Google Data Studio</v>
      </c>
      <c r="G297">
        <f>IFERROR(__xludf.DUMMYFUNCTION("""COMPUTED_VALUE"""),8770460.0)</f>
        <v>8770460</v>
      </c>
      <c r="H297" t="str">
        <f>IFERROR(__xludf.DUMMYFUNCTION("""COMPUTED_VALUE"""),"Annabel Lyle")</f>
        <v>Annabel Lyle</v>
      </c>
      <c r="I297" t="str">
        <f>IFERROR(__xludf.DUMMYFUNCTION("""COMPUTED_VALUE"""),"Low Rating")</f>
        <v>Low Rating</v>
      </c>
      <c r="J297" t="b">
        <f>IFERROR(__xludf.DUMMYFUNCTION("""COMPUTED_VALUE"""),FALSE)</f>
        <v>0</v>
      </c>
      <c r="K297" s="142" t="str">
        <f>IFERROR(__xludf.DUMMYFUNCTION("""COMPUTED_VALUE"""),"Data Science")</f>
        <v>Data Science</v>
      </c>
      <c r="L297" s="142" t="str">
        <f>IFERROR(__xludf.DUMMYFUNCTION("""COMPUTED_VALUE"""),"Data Visualization")</f>
        <v>Data Visualization</v>
      </c>
      <c r="M297" s="140">
        <f>IFERROR(__xludf.DUMMYFUNCTION("""COMPUTED_VALUE"""),1213560.0)</f>
        <v>1213560</v>
      </c>
      <c r="N297" s="140" t="str">
        <f>IFERROR(__xludf.DUMMYFUNCTION("""COMPUTED_VALUE"""),"Complete Introduction to Google Data Studio 2021 Edition")</f>
        <v>Complete Introduction to Google Data Studio 2021 Edition</v>
      </c>
      <c r="P297" s="140" t="str">
        <f>IFERROR(__xludf.DUMMYFUNCTION("""COMPUTED_VALUE"""),"")</f>
        <v/>
      </c>
    </row>
    <row r="298">
      <c r="A298" s="143">
        <f>IFERROR(__xludf.DUMMYFUNCTION("""COMPUTED_VALUE"""),44564.0)</f>
        <v>44564</v>
      </c>
      <c r="B298" s="143">
        <f>IFERROR(__xludf.DUMMYFUNCTION("""COMPUTED_VALUE"""),44742.0)</f>
        <v>44742</v>
      </c>
      <c r="C298" s="140" t="str">
        <f>IFERROR(__xludf.DUMMYFUNCTION("""COMPUTED_VALUE"""),"de")</f>
        <v>de</v>
      </c>
      <c r="D298">
        <f>IFERROR(__xludf.DUMMYFUNCTION("""COMPUTED_VALUE"""),1240084.0)</f>
        <v>1240084</v>
      </c>
      <c r="E298" t="str">
        <f>IFERROR(__xludf.DUMMYFUNCTION("""COMPUTED_VALUE"""),"Die Swift &amp; iOS 12 Masterclass - App Entwicklung von A-Z")</f>
        <v>Die Swift &amp; iOS 12 Masterclass - App Entwicklung von A-Z</v>
      </c>
      <c r="F298" t="str">
        <f>IFERROR(__xludf.DUMMYFUNCTION("""COMPUTED_VALUE"""),"The Swift &amp; iOS 12 Masterclass - App Development of A-Z")</f>
        <v>The Swift &amp; iOS 12 Masterclass - App Development of A-Z</v>
      </c>
      <c r="G298">
        <f>IFERROR(__xludf.DUMMYFUNCTION("""COMPUTED_VALUE"""),7207480.0)</f>
        <v>7207480</v>
      </c>
      <c r="H298" t="str">
        <f>IFERROR(__xludf.DUMMYFUNCTION("""COMPUTED_VALUE"""),"Johannes Ruof")</f>
        <v>Johannes Ruof</v>
      </c>
      <c r="I298" t="str">
        <f>IFERROR(__xludf.DUMMYFUNCTION("""COMPUTED_VALUE"""),"Low Rating")</f>
        <v>Low Rating</v>
      </c>
      <c r="J298" t="b">
        <f>IFERROR(__xludf.DUMMYFUNCTION("""COMPUTED_VALUE"""),FALSE)</f>
        <v>0</v>
      </c>
      <c r="K298" s="142" t="str">
        <f>IFERROR(__xludf.DUMMYFUNCTION("""COMPUTED_VALUE"""),"Development")</f>
        <v>Development</v>
      </c>
      <c r="L298" s="142" t="str">
        <f>IFERROR(__xludf.DUMMYFUNCTION("""COMPUTED_VALUE"""),"Mobile Development")</f>
        <v>Mobile Development</v>
      </c>
      <c r="N298" s="140" t="str">
        <f>IFERROR(__xludf.DUMMYFUNCTION("""COMPUTED_VALUE"""),"")</f>
        <v/>
      </c>
      <c r="P298" s="140" t="str">
        <f>IFERROR(__xludf.DUMMYFUNCTION("""COMPUTED_VALUE"""),"")</f>
        <v/>
      </c>
    </row>
    <row r="299">
      <c r="A299" s="141">
        <f>IFERROR(__xludf.DUMMYFUNCTION("""COMPUTED_VALUE"""),44501.0)</f>
        <v>44501</v>
      </c>
      <c r="B299" s="141">
        <f>IFERROR(__xludf.DUMMYFUNCTION("""COMPUTED_VALUE"""),44712.0)</f>
        <v>44712</v>
      </c>
      <c r="C299" t="str">
        <f>IFERROR(__xludf.DUMMYFUNCTION("""COMPUTED_VALUE"""),"es")</f>
        <v>es</v>
      </c>
      <c r="D299">
        <f>IFERROR(__xludf.DUMMYFUNCTION("""COMPUTED_VALUE"""),1506872.0)</f>
        <v>1506872</v>
      </c>
      <c r="E299" t="str">
        <f>IFERROR(__xludf.DUMMYFUNCTION("""COMPUTED_VALUE"""),"Aprende RPA (Robotic Process Automation) con UIPath")</f>
        <v>Aprende RPA (Robotic Process Automation) con UIPath</v>
      </c>
      <c r="F299" t="str">
        <f>IFERROR(__xludf.DUMMYFUNCTION("""COMPUTED_VALUE"""),"Aprende RPA (Robotic Process Automation) con UIPath")</f>
        <v>Aprende RPA (Robotic Process Automation) con UIPath</v>
      </c>
      <c r="G299">
        <f>IFERROR(__xludf.DUMMYFUNCTION("""COMPUTED_VALUE"""),599769.0)</f>
        <v>599769</v>
      </c>
      <c r="H299" t="str">
        <f>IFERROR(__xludf.DUMMYFUNCTION("""COMPUTED_VALUE"""),"Juan Carlos Salazar Mesa")</f>
        <v>Juan Carlos Salazar Mesa</v>
      </c>
      <c r="I299" t="str">
        <f>IFERROR(__xludf.DUMMYFUNCTION("""COMPUTED_VALUE"""),"Low Rating")</f>
        <v>Low Rating</v>
      </c>
      <c r="J299" t="b">
        <f>IFERROR(__xludf.DUMMYFUNCTION("""COMPUTED_VALUE"""),FALSE)</f>
        <v>0</v>
      </c>
      <c r="K299" s="142" t="str">
        <f>IFERROR(__xludf.DUMMYFUNCTION("""COMPUTED_VALUE"""),"Data Science")</f>
        <v>Data Science</v>
      </c>
      <c r="L299" s="142" t="str">
        <f>IFERROR(__xludf.DUMMYFUNCTION("""COMPUTED_VALUE"""),"Machine Learning")</f>
        <v>Machine Learning</v>
      </c>
      <c r="M299" s="140">
        <f>IFERROR(__xludf.DUMMYFUNCTION("""COMPUTED_VALUE"""),3764216.0)</f>
        <v>3764216</v>
      </c>
      <c r="N299" s="140" t="str">
        <f>IFERROR(__xludf.DUMMYFUNCTION("""COMPUTED_VALUE"""),"RPA – Máster Automatización de Procesos con UiPath [2021]")</f>
        <v>RPA – Máster Automatización de Procesos con UiPath [2021]</v>
      </c>
      <c r="P299" s="140" t="str">
        <f>IFERROR(__xludf.DUMMYFUNCTION("""COMPUTED_VALUE"""),"")</f>
        <v/>
      </c>
    </row>
    <row r="300">
      <c r="A300" s="141">
        <f>IFERROR(__xludf.DUMMYFUNCTION("""COMPUTED_VALUE"""),44501.0)</f>
        <v>44501</v>
      </c>
      <c r="B300" s="141">
        <f>IFERROR(__xludf.DUMMYFUNCTION("""COMPUTED_VALUE"""),44712.0)</f>
        <v>44712</v>
      </c>
      <c r="C300" t="str">
        <f>IFERROR(__xludf.DUMMYFUNCTION("""COMPUTED_VALUE"""),"en")</f>
        <v>en</v>
      </c>
      <c r="D300">
        <f>IFERROR(__xludf.DUMMYFUNCTION("""COMPUTED_VALUE"""),1520666.0)</f>
        <v>1520666</v>
      </c>
      <c r="E300" t="str">
        <f>IFERROR(__xludf.DUMMYFUNCTION("""COMPUTED_VALUE"""),"Atlassian Bamboo from Beginner to Advanced!")</f>
        <v>Atlassian Bamboo from Beginner to Advanced!</v>
      </c>
      <c r="F300" t="str">
        <f>IFERROR(__xludf.DUMMYFUNCTION("""COMPUTED_VALUE"""),"Atlassian Bamboo from Beginner to Advanced!")</f>
        <v>Atlassian Bamboo from Beginner to Advanced!</v>
      </c>
      <c r="G300">
        <f>IFERROR(__xludf.DUMMYFUNCTION("""COMPUTED_VALUE"""),1.8350228E7)</f>
        <v>18350228</v>
      </c>
      <c r="H300" t="str">
        <f>IFERROR(__xludf.DUMMYFUNCTION("""COMPUTED_VALUE"""),"Aref K.")</f>
        <v>Aref K.</v>
      </c>
      <c r="I300" t="str">
        <f>IFERROR(__xludf.DUMMYFUNCTION("""COMPUTED_VALUE"""),"Low Rating")</f>
        <v>Low Rating</v>
      </c>
      <c r="J300" t="b">
        <f>IFERROR(__xludf.DUMMYFUNCTION("""COMPUTED_VALUE"""),FALSE)</f>
        <v>0</v>
      </c>
      <c r="K300" s="142" t="str">
        <f>IFERROR(__xludf.DUMMYFUNCTION("""COMPUTED_VALUE"""),"Development")</f>
        <v>Development</v>
      </c>
      <c r="L300" s="142" t="str">
        <f>IFERROR(__xludf.DUMMYFUNCTION("""COMPUTED_VALUE"""),"Development Tools")</f>
        <v>Development Tools</v>
      </c>
      <c r="N300" s="140" t="str">
        <f>IFERROR(__xludf.DUMMYFUNCTION("""COMPUTED_VALUE"""),"")</f>
        <v/>
      </c>
      <c r="P300" s="140" t="str">
        <f>IFERROR(__xludf.DUMMYFUNCTION("""COMPUTED_VALUE"""),"")</f>
        <v/>
      </c>
    </row>
    <row r="301">
      <c r="A301" s="141">
        <f>IFERROR(__xludf.DUMMYFUNCTION("""COMPUTED_VALUE"""),44501.0)</f>
        <v>44501</v>
      </c>
      <c r="B301" s="141">
        <f>IFERROR(__xludf.DUMMYFUNCTION("""COMPUTED_VALUE"""),44712.0)</f>
        <v>44712</v>
      </c>
      <c r="C301" t="str">
        <f>IFERROR(__xludf.DUMMYFUNCTION("""COMPUTED_VALUE"""),"ar")</f>
        <v>ar</v>
      </c>
      <c r="D301">
        <f>IFERROR(__xludf.DUMMYFUNCTION("""COMPUTED_VALUE"""),1552376.0)</f>
        <v>1552376</v>
      </c>
      <c r="E301" t="str">
        <f>IFERROR(__xludf.DUMMYFUNCTION("""COMPUTED_VALUE"""),"PMP Preparation Course 6th Edition includes 42 PDUs - Arabic")</f>
        <v>PMP Preparation Course 6th Edition includes 42 PDUs - Arabic</v>
      </c>
      <c r="F301" t="str">
        <f>IFERROR(__xludf.DUMMYFUNCTION("""COMPUTED_VALUE"""),"PMP Preparation Course 6th Edition includes 42 PDUs - Arabic")</f>
        <v>PMP Preparation Course 6th Edition includes 42 PDUs - Arabic</v>
      </c>
      <c r="G301">
        <f>IFERROR(__xludf.DUMMYFUNCTION("""COMPUTED_VALUE"""),1.2927506E7)</f>
        <v>12927506</v>
      </c>
      <c r="H301" t="str">
        <f>IFERROR(__xludf.DUMMYFUNCTION("""COMPUTED_VALUE"""),"Waleed Elbasyouni")</f>
        <v>Waleed Elbasyouni</v>
      </c>
      <c r="I301" t="str">
        <f>IFERROR(__xludf.DUMMYFUNCTION("""COMPUTED_VALUE"""),"Low Rating")</f>
        <v>Low Rating</v>
      </c>
      <c r="J301" t="b">
        <f>IFERROR(__xludf.DUMMYFUNCTION("""COMPUTED_VALUE"""),FALSE)</f>
        <v>0</v>
      </c>
      <c r="K301" s="142" t="str">
        <f>IFERROR(__xludf.DUMMYFUNCTION("""COMPUTED_VALUE"""),"Project Management &amp; Operations")</f>
        <v>Project Management &amp; Operations</v>
      </c>
      <c r="L301" s="142" t="str">
        <f>IFERROR(__xludf.DUMMYFUNCTION("""COMPUTED_VALUE"""),"Project Management Certifications")</f>
        <v>Project Management Certifications</v>
      </c>
      <c r="N301" s="140" t="str">
        <f>IFERROR(__xludf.DUMMYFUNCTION("""COMPUTED_VALUE"""),"")</f>
        <v/>
      </c>
      <c r="P301" s="140" t="str">
        <f>IFERROR(__xludf.DUMMYFUNCTION("""COMPUTED_VALUE"""),"")</f>
        <v/>
      </c>
    </row>
    <row r="302">
      <c r="A302" s="141">
        <f>IFERROR(__xludf.DUMMYFUNCTION("""COMPUTED_VALUE"""),44501.0)</f>
        <v>44501</v>
      </c>
      <c r="B302" s="141">
        <f>IFERROR(__xludf.DUMMYFUNCTION("""COMPUTED_VALUE"""),44712.0)</f>
        <v>44712</v>
      </c>
      <c r="C302" t="str">
        <f>IFERROR(__xludf.DUMMYFUNCTION("""COMPUTED_VALUE"""),"en")</f>
        <v>en</v>
      </c>
      <c r="D302">
        <f>IFERROR(__xludf.DUMMYFUNCTION("""COMPUTED_VALUE"""),1640530.0)</f>
        <v>1640530</v>
      </c>
      <c r="E302" t="str">
        <f>IFERROR(__xludf.DUMMYFUNCTION("""COMPUTED_VALUE"""),"Accounting101: Learn Accounts Receivable From A to Z")</f>
        <v>Accounting101: Learn Accounts Receivable From A to Z</v>
      </c>
      <c r="F302" t="str">
        <f>IFERROR(__xludf.DUMMYFUNCTION("""COMPUTED_VALUE"""),"Accounting101: Learn Accounts Receivable From A to Z")</f>
        <v>Accounting101: Learn Accounts Receivable From A to Z</v>
      </c>
      <c r="G302">
        <f>IFERROR(__xludf.DUMMYFUNCTION("""COMPUTED_VALUE"""),498252.0)</f>
        <v>498252</v>
      </c>
      <c r="H302" t="str">
        <f>IFERROR(__xludf.DUMMYFUNCTION("""COMPUTED_VALUE"""),"Chris Benjamin, MBA &amp; CFO")</f>
        <v>Chris Benjamin, MBA &amp; CFO</v>
      </c>
      <c r="I302" t="str">
        <f>IFERROR(__xludf.DUMMYFUNCTION("""COMPUTED_VALUE"""),"Low Rating")</f>
        <v>Low Rating</v>
      </c>
      <c r="J302" t="b">
        <f>IFERROR(__xludf.DUMMYFUNCTION("""COMPUTED_VALUE"""),FALSE)</f>
        <v>0</v>
      </c>
      <c r="K302" s="142" t="str">
        <f>IFERROR(__xludf.DUMMYFUNCTION("""COMPUTED_VALUE"""),"Finance &amp; Accounting")</f>
        <v>Finance &amp; Accounting</v>
      </c>
      <c r="L302" s="142" t="str">
        <f>IFERROR(__xludf.DUMMYFUNCTION("""COMPUTED_VALUE"""),"Accounting")</f>
        <v>Accounting</v>
      </c>
      <c r="N302" s="140" t="str">
        <f>IFERROR(__xludf.DUMMYFUNCTION("""COMPUTED_VALUE"""),"")</f>
        <v/>
      </c>
      <c r="P302" s="140" t="str">
        <f>IFERROR(__xludf.DUMMYFUNCTION("""COMPUTED_VALUE"""),"")</f>
        <v/>
      </c>
    </row>
    <row r="303">
      <c r="A303" s="141">
        <f>IFERROR(__xludf.DUMMYFUNCTION("""COMPUTED_VALUE"""),44501.0)</f>
        <v>44501</v>
      </c>
      <c r="B303" s="141">
        <f>IFERROR(__xludf.DUMMYFUNCTION("""COMPUTED_VALUE"""),44712.0)</f>
        <v>44712</v>
      </c>
      <c r="C303" t="str">
        <f>IFERROR(__xludf.DUMMYFUNCTION("""COMPUTED_VALUE"""),"en")</f>
        <v>en</v>
      </c>
      <c r="D303">
        <f>IFERROR(__xludf.DUMMYFUNCTION("""COMPUTED_VALUE"""),1814516.0)</f>
        <v>1814516</v>
      </c>
      <c r="E303" t="str">
        <f>IFERROR(__xludf.DUMMYFUNCTION("""COMPUTED_VALUE"""),"Trends of the Future for Business &amp; Technology (2020 Update)")</f>
        <v>Trends of the Future for Business &amp; Technology (2020 Update)</v>
      </c>
      <c r="F303" t="str">
        <f>IFERROR(__xludf.DUMMYFUNCTION("""COMPUTED_VALUE"""),"Trends of the Future for Business &amp; Technology (2020 Update)")</f>
        <v>Trends of the Future for Business &amp; Technology (2020 Update)</v>
      </c>
      <c r="G303">
        <f>IFERROR(__xludf.DUMMYFUNCTION("""COMPUTED_VALUE"""),1.0812834E7)</f>
        <v>10812834</v>
      </c>
      <c r="H303" t="str">
        <f>IFERROR(__xludf.DUMMYFUNCTION("""COMPUTED_VALUE"""),"Alex Glod")</f>
        <v>Alex Glod</v>
      </c>
      <c r="I303" t="str">
        <f>IFERROR(__xludf.DUMMYFUNCTION("""COMPUTED_VALUE"""),"Low Rating")</f>
        <v>Low Rating</v>
      </c>
      <c r="J303" t="b">
        <f>IFERROR(__xludf.DUMMYFUNCTION("""COMPUTED_VALUE"""),FALSE)</f>
        <v>0</v>
      </c>
      <c r="K303" s="142" t="str">
        <f>IFERROR(__xludf.DUMMYFUNCTION("""COMPUTED_VALUE"""),"Leadership &amp; Management")</f>
        <v>Leadership &amp; Management</v>
      </c>
      <c r="L303" s="142" t="str">
        <f>IFERROR(__xludf.DUMMYFUNCTION("""COMPUTED_VALUE"""),"Strategy")</f>
        <v>Strategy</v>
      </c>
      <c r="N303" s="140" t="str">
        <f>IFERROR(__xludf.DUMMYFUNCTION("""COMPUTED_VALUE"""),"")</f>
        <v/>
      </c>
      <c r="P303" s="140" t="str">
        <f>IFERROR(__xludf.DUMMYFUNCTION("""COMPUTED_VALUE"""),"")</f>
        <v/>
      </c>
    </row>
    <row r="304">
      <c r="A304" s="141">
        <f>IFERROR(__xludf.DUMMYFUNCTION("""COMPUTED_VALUE"""),44501.0)</f>
        <v>44501</v>
      </c>
      <c r="B304" s="141">
        <f>IFERROR(__xludf.DUMMYFUNCTION("""COMPUTED_VALUE"""),44712.0)</f>
        <v>44712</v>
      </c>
      <c r="C304" t="str">
        <f>IFERROR(__xludf.DUMMYFUNCTION("""COMPUTED_VALUE"""),"en")</f>
        <v>en</v>
      </c>
      <c r="D304">
        <f>IFERROR(__xludf.DUMMYFUNCTION("""COMPUTED_VALUE"""),1843628.0)</f>
        <v>1843628</v>
      </c>
      <c r="E304" t="str">
        <f>IFERROR(__xludf.DUMMYFUNCTION("""COMPUTED_VALUE"""),"Ultimate Openshift (2021)  Bootcamp by School of Devops®")</f>
        <v>Ultimate Openshift (2021)  Bootcamp by School of Devops®</v>
      </c>
      <c r="F304" t="str">
        <f>IFERROR(__xludf.DUMMYFUNCTION("""COMPUTED_VALUE"""),"Ultimate Openshift (2021)  Bootcamp by School of Devops®")</f>
        <v>Ultimate Openshift (2021)  Bootcamp by School of Devops®</v>
      </c>
      <c r="G304">
        <f>IFERROR(__xludf.DUMMYFUNCTION("""COMPUTED_VALUE"""),3.2910742E7)</f>
        <v>32910742</v>
      </c>
      <c r="H304" t="str">
        <f>IFERROR(__xludf.DUMMYFUNCTION("""COMPUTED_VALUE"""),"Gourav Shah")</f>
        <v>Gourav Shah</v>
      </c>
      <c r="I304" t="str">
        <f>IFERROR(__xludf.DUMMYFUNCTION("""COMPUTED_VALUE"""),"Low Rating")</f>
        <v>Low Rating</v>
      </c>
      <c r="J304" t="b">
        <f>IFERROR(__xludf.DUMMYFUNCTION("""COMPUTED_VALUE"""),FALSE)</f>
        <v>0</v>
      </c>
      <c r="K304" s="142" t="str">
        <f>IFERROR(__xludf.DUMMYFUNCTION("""COMPUTED_VALUE"""),"IT Operations")</f>
        <v>IT Operations</v>
      </c>
      <c r="L304" s="142" t="str">
        <f>IFERROR(__xludf.DUMMYFUNCTION("""COMPUTED_VALUE"""),"Network &amp; Security")</f>
        <v>Network &amp; Security</v>
      </c>
      <c r="N304" s="140" t="str">
        <f>IFERROR(__xludf.DUMMYFUNCTION("""COMPUTED_VALUE"""),"")</f>
        <v/>
      </c>
      <c r="P304" s="140" t="str">
        <f>IFERROR(__xludf.DUMMYFUNCTION("""COMPUTED_VALUE"""),"")</f>
        <v/>
      </c>
    </row>
    <row r="305">
      <c r="A305" s="141">
        <f>IFERROR(__xludf.DUMMYFUNCTION("""COMPUTED_VALUE"""),44501.0)</f>
        <v>44501</v>
      </c>
      <c r="B305" s="141">
        <f>IFERROR(__xludf.DUMMYFUNCTION("""COMPUTED_VALUE"""),44712.0)</f>
        <v>44712</v>
      </c>
      <c r="C305" t="str">
        <f>IFERROR(__xludf.DUMMYFUNCTION("""COMPUTED_VALUE"""),"en")</f>
        <v>en</v>
      </c>
      <c r="D305">
        <f>IFERROR(__xludf.DUMMYFUNCTION("""COMPUTED_VALUE"""),1845824.0)</f>
        <v>1845824</v>
      </c>
      <c r="E305" t="str">
        <f>IFERROR(__xludf.DUMMYFUNCTION("""COMPUTED_VALUE"""),"AWS Certified Solutions Architect - Associate")</f>
        <v>AWS Certified Solutions Architect - Associate</v>
      </c>
      <c r="F305" t="str">
        <f>IFERROR(__xludf.DUMMYFUNCTION("""COMPUTED_VALUE"""),"AWS Certified Solutions Architect - Associate")</f>
        <v>AWS Certified Solutions Architect - Associate</v>
      </c>
      <c r="G305">
        <f>IFERROR(__xludf.DUMMYFUNCTION("""COMPUTED_VALUE"""),2.5995118E7)</f>
        <v>25995118</v>
      </c>
      <c r="H305" t="str">
        <f>IFERROR(__xludf.DUMMYFUNCTION("""COMPUTED_VALUE"""),"Linux Academy")</f>
        <v>Linux Academy</v>
      </c>
      <c r="I305" t="str">
        <f>IFERROR(__xludf.DUMMYFUNCTION("""COMPUTED_VALUE"""),"Low Rating")</f>
        <v>Low Rating</v>
      </c>
      <c r="J305" t="b">
        <f>IFERROR(__xludf.DUMMYFUNCTION("""COMPUTED_VALUE"""),FALSE)</f>
        <v>0</v>
      </c>
      <c r="K305" s="142" t="str">
        <f>IFERROR(__xludf.DUMMYFUNCTION("""COMPUTED_VALUE"""),"IT Operations")</f>
        <v>IT Operations</v>
      </c>
      <c r="L305" s="142" t="str">
        <f>IFERROR(__xludf.DUMMYFUNCTION("""COMPUTED_VALUE"""),"IT Certifications")</f>
        <v>IT Certifications</v>
      </c>
      <c r="M305" s="140">
        <f>IFERROR(__xludf.DUMMYFUNCTION("""COMPUTED_VALUE"""),1328072.0)</f>
        <v>1328072</v>
      </c>
      <c r="N305" s="140" t="str">
        <f>IFERROR(__xludf.DUMMYFUNCTION("""COMPUTED_VALUE"""),"AWS Certified Solutions Architect - Associate  2021")</f>
        <v>AWS Certified Solutions Architect - Associate  2021</v>
      </c>
      <c r="P305" s="140" t="str">
        <f>IFERROR(__xludf.DUMMYFUNCTION("""COMPUTED_VALUE"""),"")</f>
        <v/>
      </c>
    </row>
    <row r="306">
      <c r="A306" s="141">
        <f>IFERROR(__xludf.DUMMYFUNCTION("""COMPUTED_VALUE"""),44501.0)</f>
        <v>44501</v>
      </c>
      <c r="B306" s="141">
        <f>IFERROR(__xludf.DUMMYFUNCTION("""COMPUTED_VALUE"""),44712.0)</f>
        <v>44712</v>
      </c>
      <c r="C306" t="str">
        <f>IFERROR(__xludf.DUMMYFUNCTION("""COMPUTED_VALUE"""),"en")</f>
        <v>en</v>
      </c>
      <c r="D306">
        <f>IFERROR(__xludf.DUMMYFUNCTION("""COMPUTED_VALUE"""),1897918.0)</f>
        <v>1897918</v>
      </c>
      <c r="E306" t="str">
        <f>IFERROR(__xludf.DUMMYFUNCTION("""COMPUTED_VALUE"""),"Renewable Energy")</f>
        <v>Renewable Energy</v>
      </c>
      <c r="F306" t="str">
        <f>IFERROR(__xludf.DUMMYFUNCTION("""COMPUTED_VALUE"""),"Renewable Energy")</f>
        <v>Renewable Energy</v>
      </c>
      <c r="G306">
        <f>IFERROR(__xludf.DUMMYFUNCTION("""COMPUTED_VALUE"""),2474920.0)</f>
        <v>2474920</v>
      </c>
      <c r="H306" t="str">
        <f>IFERROR(__xludf.DUMMYFUNCTION("""COMPUTED_VALUE"""),"Deepa Parekh")</f>
        <v>Deepa Parekh</v>
      </c>
      <c r="I306" t="str">
        <f>IFERROR(__xludf.DUMMYFUNCTION("""COMPUTED_VALUE"""),"Low Rating")</f>
        <v>Low Rating</v>
      </c>
      <c r="J306" t="b">
        <f>IFERROR(__xludf.DUMMYFUNCTION("""COMPUTED_VALUE"""),FALSE)</f>
        <v>0</v>
      </c>
      <c r="K306" s="142" t="str">
        <f>IFERROR(__xludf.DUMMYFUNCTION("""COMPUTED_VALUE"""),"Personal Development")</f>
        <v>Personal Development</v>
      </c>
      <c r="L306" s="142" t="str">
        <f>IFERROR(__xludf.DUMMYFUNCTION("""COMPUTED_VALUE"""),"Hobbies")</f>
        <v>Hobbies</v>
      </c>
      <c r="N306" s="140" t="str">
        <f>IFERROR(__xludf.DUMMYFUNCTION("""COMPUTED_VALUE"""),"")</f>
        <v/>
      </c>
      <c r="P306" s="140" t="str">
        <f>IFERROR(__xludf.DUMMYFUNCTION("""COMPUTED_VALUE"""),"")</f>
        <v/>
      </c>
    </row>
    <row r="307">
      <c r="A307" s="141">
        <f>IFERROR(__xludf.DUMMYFUNCTION("""COMPUTED_VALUE"""),44501.0)</f>
        <v>44501</v>
      </c>
      <c r="B307" s="141">
        <f>IFERROR(__xludf.DUMMYFUNCTION("""COMPUTED_VALUE"""),44712.0)</f>
        <v>44712</v>
      </c>
      <c r="C307" t="str">
        <f>IFERROR(__xludf.DUMMYFUNCTION("""COMPUTED_VALUE"""),"zh")</f>
        <v>zh</v>
      </c>
      <c r="D307">
        <f>IFERROR(__xludf.DUMMYFUNCTION("""COMPUTED_VALUE"""),2144246.0)</f>
        <v>2144246</v>
      </c>
      <c r="E307" t="str">
        <f>IFERROR(__xludf.DUMMYFUNCTION("""COMPUTED_VALUE"""),"Java Web从入门到实战：老程序员手把手带您完成一个【网上商城】Web项目")</f>
        <v>Java Web从入门到实战：老程序员手把手带您完成一个【网上商城】Web项目</v>
      </c>
      <c r="F307" t="str">
        <f>IFERROR(__xludf.DUMMYFUNCTION("""COMPUTED_VALUE"""),"Java Web from the entrance to actual combat: the old programmer handle with you to complete an [online mall] web project")</f>
        <v>Java Web from the entrance to actual combat: the old programmer handle with you to complete an [online mall] web project</v>
      </c>
      <c r="G307">
        <f>IFERROR(__xludf.DUMMYFUNCTION("""COMPUTED_VALUE"""),5.503335E7)</f>
        <v>55033350</v>
      </c>
      <c r="H307" t="str">
        <f>IFERROR(__xludf.DUMMYFUNCTION("""COMPUTED_VALUE"""),"東升 関")</f>
        <v>東升 関</v>
      </c>
      <c r="I307" t="str">
        <f>IFERROR(__xludf.DUMMYFUNCTION("""COMPUTED_VALUE"""),"Low Rating")</f>
        <v>Low Rating</v>
      </c>
      <c r="J307" t="b">
        <f>IFERROR(__xludf.DUMMYFUNCTION("""COMPUTED_VALUE"""),FALSE)</f>
        <v>0</v>
      </c>
      <c r="K307" s="142" t="str">
        <f>IFERROR(__xludf.DUMMYFUNCTION("""COMPUTED_VALUE"""),"Development")</f>
        <v>Development</v>
      </c>
      <c r="L307" s="142" t="str">
        <f>IFERROR(__xludf.DUMMYFUNCTION("""COMPUTED_VALUE"""),"Programming Languages")</f>
        <v>Programming Languages</v>
      </c>
      <c r="N307" s="140" t="str">
        <f>IFERROR(__xludf.DUMMYFUNCTION("""COMPUTED_VALUE"""),"")</f>
        <v/>
      </c>
      <c r="P307" s="140" t="str">
        <f>IFERROR(__xludf.DUMMYFUNCTION("""COMPUTED_VALUE"""),"")</f>
        <v/>
      </c>
    </row>
    <row r="308">
      <c r="A308" s="141">
        <f>IFERROR(__xludf.DUMMYFUNCTION("""COMPUTED_VALUE"""),44501.0)</f>
        <v>44501</v>
      </c>
      <c r="B308" s="141">
        <f>IFERROR(__xludf.DUMMYFUNCTION("""COMPUTED_VALUE"""),44712.0)</f>
        <v>44712</v>
      </c>
      <c r="C308" t="str">
        <f>IFERROR(__xludf.DUMMYFUNCTION("""COMPUTED_VALUE"""),"fr")</f>
        <v>fr</v>
      </c>
      <c r="D308">
        <f>IFERROR(__xludf.DUMMYFUNCTION("""COMPUTED_VALUE"""),2329320.0)</f>
        <v>2329320</v>
      </c>
      <c r="E308" t="str">
        <f>IFERROR(__xludf.DUMMYFUNCTION("""COMPUTED_VALUE"""),"Design de présentation - Évitez la mort par PowerPoint")</f>
        <v>Design de présentation - Évitez la mort par PowerPoint</v>
      </c>
      <c r="F308" t="str">
        <f>IFERROR(__xludf.DUMMYFUNCTION("""COMPUTED_VALUE"""),"Presentation Design - Avoid Death by PowerPoint")</f>
        <v>Presentation Design - Avoid Death by PowerPoint</v>
      </c>
      <c r="G308">
        <f>IFERROR(__xludf.DUMMYFUNCTION("""COMPUTED_VALUE"""),6.0893858E7)</f>
        <v>60893858</v>
      </c>
      <c r="H308" t="str">
        <f>IFERROR(__xludf.DUMMYFUNCTION("""COMPUTED_VALUE"""),"Laurène Castor")</f>
        <v>Laurène Castor</v>
      </c>
      <c r="I308" t="str">
        <f>IFERROR(__xludf.DUMMYFUNCTION("""COMPUTED_VALUE"""),"Low Rating")</f>
        <v>Low Rating</v>
      </c>
      <c r="J308" t="b">
        <f>IFERROR(__xludf.DUMMYFUNCTION("""COMPUTED_VALUE"""),FALSE)</f>
        <v>0</v>
      </c>
      <c r="K308" s="142" t="str">
        <f>IFERROR(__xludf.DUMMYFUNCTION("""COMPUTED_VALUE"""),"Leadership &amp; Management")</f>
        <v>Leadership &amp; Management</v>
      </c>
      <c r="L308" s="142" t="str">
        <f>IFERROR(__xludf.DUMMYFUNCTION("""COMPUTED_VALUE"""),"Communication")</f>
        <v>Communication</v>
      </c>
      <c r="N308" s="140" t="str">
        <f>IFERROR(__xludf.DUMMYFUNCTION("""COMPUTED_VALUE"""),"")</f>
        <v/>
      </c>
      <c r="P308" s="140" t="str">
        <f>IFERROR(__xludf.DUMMYFUNCTION("""COMPUTED_VALUE"""),"")</f>
        <v/>
      </c>
    </row>
    <row r="309">
      <c r="A309" s="141">
        <f>IFERROR(__xludf.DUMMYFUNCTION("""COMPUTED_VALUE"""),44501.0)</f>
        <v>44501</v>
      </c>
      <c r="B309" s="141">
        <f>IFERROR(__xludf.DUMMYFUNCTION("""COMPUTED_VALUE"""),44712.0)</f>
        <v>44712</v>
      </c>
      <c r="C309" t="str">
        <f>IFERROR(__xludf.DUMMYFUNCTION("""COMPUTED_VALUE"""),"en")</f>
        <v>en</v>
      </c>
      <c r="D309">
        <f>IFERROR(__xludf.DUMMYFUNCTION("""COMPUTED_VALUE"""),2807003.0)</f>
        <v>2807003</v>
      </c>
      <c r="E309" t="str">
        <f>IFERROR(__xludf.DUMMYFUNCTION("""COMPUTED_VALUE"""),"5G NR - Radio Link Control (RLC) Protocol - RAN Layer 2")</f>
        <v>5G NR - Radio Link Control (RLC) Protocol - RAN Layer 2</v>
      </c>
      <c r="F309" t="str">
        <f>IFERROR(__xludf.DUMMYFUNCTION("""COMPUTED_VALUE"""),"5G NR - Radio Link Control (RLC) Protocol - RAN Layer 2")</f>
        <v>5G NR - Radio Link Control (RLC) Protocol - RAN Layer 2</v>
      </c>
      <c r="G309">
        <f>IFERROR(__xludf.DUMMYFUNCTION("""COMPUTED_VALUE"""),2.1019654E7)</f>
        <v>21019654</v>
      </c>
      <c r="H309" t="str">
        <f>IFERROR(__xludf.DUMMYFUNCTION("""COMPUTED_VALUE"""),"Ryan Fernandes")</f>
        <v>Ryan Fernandes</v>
      </c>
      <c r="I309" t="str">
        <f>IFERROR(__xludf.DUMMYFUNCTION("""COMPUTED_VALUE"""),"Low Rating")</f>
        <v>Low Rating</v>
      </c>
      <c r="J309" t="b">
        <f>IFERROR(__xludf.DUMMYFUNCTION("""COMPUTED_VALUE"""),FALSE)</f>
        <v>0</v>
      </c>
      <c r="K309" s="142" t="str">
        <f>IFERROR(__xludf.DUMMYFUNCTION("""COMPUTED_VALUE"""),"IT Operations")</f>
        <v>IT Operations</v>
      </c>
      <c r="L309" s="142" t="str">
        <f>IFERROR(__xludf.DUMMYFUNCTION("""COMPUTED_VALUE"""),"Network &amp; Security")</f>
        <v>Network &amp; Security</v>
      </c>
      <c r="N309" s="140" t="str">
        <f>IFERROR(__xludf.DUMMYFUNCTION("""COMPUTED_VALUE"""),"")</f>
        <v/>
      </c>
      <c r="P309" s="140" t="str">
        <f>IFERROR(__xludf.DUMMYFUNCTION("""COMPUTED_VALUE"""),"")</f>
        <v/>
      </c>
    </row>
    <row r="310">
      <c r="A310" s="141">
        <f>IFERROR(__xludf.DUMMYFUNCTION("""COMPUTED_VALUE"""),44501.0)</f>
        <v>44501</v>
      </c>
      <c r="B310" s="141">
        <f>IFERROR(__xludf.DUMMYFUNCTION("""COMPUTED_VALUE"""),44712.0)</f>
        <v>44712</v>
      </c>
      <c r="C310" t="str">
        <f>IFERROR(__xludf.DUMMYFUNCTION("""COMPUTED_VALUE"""),"ja")</f>
        <v>ja</v>
      </c>
      <c r="D310">
        <f>IFERROR(__xludf.DUMMYFUNCTION("""COMPUTED_VALUE"""),2897780.0)</f>
        <v>2897780</v>
      </c>
      <c r="E310" t="str">
        <f>IFERROR(__xludf.DUMMYFUNCTION("""COMPUTED_VALUE"""),"【SOA-C02版】AWS 認定SysOpsアドミニストレーター アソシエイト模擬試験問題集（全4回分294問）")</f>
        <v>【SOA-C02版】AWS 認定SysOpsアドミニストレーター アソシエイト模擬試験問題集（全4回分294問）</v>
      </c>
      <c r="F310" t="str">
        <f>IFERROR(__xludf.DUMMYFUNCTION("""COMPUTED_VALUE"""),"[SOA-C02 version] AWS Certified Sysops Administrator Associate Mock Test Problem Collection (all 4 times 294 questions)")</f>
        <v>[SOA-C02 version] AWS Certified Sysops Administrator Associate Mock Test Problem Collection (all 4 times 294 questions)</v>
      </c>
      <c r="G310">
        <f>IFERROR(__xludf.DUMMYFUNCTION("""COMPUTED_VALUE"""),3.4483228E7)</f>
        <v>34483228</v>
      </c>
      <c r="H310" t="str">
        <f>IFERROR(__xludf.DUMMYFUNCTION("""COMPUTED_VALUE"""),"Taichi Takahashi")</f>
        <v>Taichi Takahashi</v>
      </c>
      <c r="I310" t="str">
        <f>IFERROR(__xludf.DUMMYFUNCTION("""COMPUTED_VALUE"""),"Low Rating")</f>
        <v>Low Rating</v>
      </c>
      <c r="J310" t="b">
        <f>IFERROR(__xludf.DUMMYFUNCTION("""COMPUTED_VALUE"""),FALSE)</f>
        <v>0</v>
      </c>
      <c r="K310" s="142" t="str">
        <f>IFERROR(__xludf.DUMMYFUNCTION("""COMPUTED_VALUE"""),"IT Operations")</f>
        <v>IT Operations</v>
      </c>
      <c r="L310" s="142" t="str">
        <f>IFERROR(__xludf.DUMMYFUNCTION("""COMPUTED_VALUE"""),"IT Certifications")</f>
        <v>IT Certifications</v>
      </c>
      <c r="N310" s="140" t="str">
        <f>IFERROR(__xludf.DUMMYFUNCTION("""COMPUTED_VALUE"""),"")</f>
        <v/>
      </c>
      <c r="P310" s="140" t="str">
        <f>IFERROR(__xludf.DUMMYFUNCTION("""COMPUTED_VALUE"""),"")</f>
        <v/>
      </c>
    </row>
    <row r="311">
      <c r="A311" s="141">
        <f>IFERROR(__xludf.DUMMYFUNCTION("""COMPUTED_VALUE"""),44501.0)</f>
        <v>44501</v>
      </c>
      <c r="B311" s="141">
        <f>IFERROR(__xludf.DUMMYFUNCTION("""COMPUTED_VALUE"""),44712.0)</f>
        <v>44712</v>
      </c>
      <c r="C311" t="str">
        <f>IFERROR(__xludf.DUMMYFUNCTION("""COMPUTED_VALUE"""),"en")</f>
        <v>en</v>
      </c>
      <c r="D311">
        <f>IFERROR(__xludf.DUMMYFUNCTION("""COMPUTED_VALUE"""),2898416.0)</f>
        <v>2898416</v>
      </c>
      <c r="E311" t="str">
        <f>IFERROR(__xludf.DUMMYFUNCTION("""COMPUTED_VALUE"""),"Practical Google BigQuery for those who already know SQL")</f>
        <v>Practical Google BigQuery for those who already know SQL</v>
      </c>
      <c r="F311" t="str">
        <f>IFERROR(__xludf.DUMMYFUNCTION("""COMPUTED_VALUE"""),"Practical Google BigQuery for those who already know SQL")</f>
        <v>Practical Google BigQuery for those who already know SQL</v>
      </c>
      <c r="G311">
        <f>IFERROR(__xludf.DUMMYFUNCTION("""COMPUTED_VALUE"""),6.140055E7)</f>
        <v>61400550</v>
      </c>
      <c r="H311" t="str">
        <f>IFERROR(__xludf.DUMMYFUNCTION("""COMPUTED_VALUE"""),"Jerzy Balcerzak")</f>
        <v>Jerzy Balcerzak</v>
      </c>
      <c r="I311" t="str">
        <f>IFERROR(__xludf.DUMMYFUNCTION("""COMPUTED_VALUE"""),"Low Rating")</f>
        <v>Low Rating</v>
      </c>
      <c r="J311" t="b">
        <f>IFERROR(__xludf.DUMMYFUNCTION("""COMPUTED_VALUE"""),FALSE)</f>
        <v>0</v>
      </c>
      <c r="K311" s="142" t="str">
        <f>IFERROR(__xludf.DUMMYFUNCTION("""COMPUTED_VALUE"""),"Data Science")</f>
        <v>Data Science</v>
      </c>
      <c r="L311" s="142" t="str">
        <f>IFERROR(__xludf.DUMMYFUNCTION("""COMPUTED_VALUE"""),"Analytics")</f>
        <v>Analytics</v>
      </c>
      <c r="M311" s="140">
        <f>IFERROR(__xludf.DUMMYFUNCTION("""COMPUTED_VALUE"""),3658828.0)</f>
        <v>3658828</v>
      </c>
      <c r="N311" s="140" t="str">
        <f>IFERROR(__xludf.DUMMYFUNCTION("""COMPUTED_VALUE"""),"")</f>
        <v/>
      </c>
      <c r="P311" s="140" t="str">
        <f>IFERROR(__xludf.DUMMYFUNCTION("""COMPUTED_VALUE"""),"")</f>
        <v/>
      </c>
    </row>
    <row r="312">
      <c r="A312" s="141">
        <f>IFERROR(__xludf.DUMMYFUNCTION("""COMPUTED_VALUE"""),44501.0)</f>
        <v>44501</v>
      </c>
      <c r="B312" s="141">
        <f>IFERROR(__xludf.DUMMYFUNCTION("""COMPUTED_VALUE"""),44712.0)</f>
        <v>44712</v>
      </c>
      <c r="C312" t="str">
        <f>IFERROR(__xludf.DUMMYFUNCTION("""COMPUTED_VALUE"""),"ar")</f>
        <v>ar</v>
      </c>
      <c r="D312">
        <f>IFERROR(__xludf.DUMMYFUNCTION("""COMPUTED_VALUE"""),3091858.0)</f>
        <v>3091858</v>
      </c>
      <c r="E312" t="str">
        <f>IFERROR(__xludf.DUMMYFUNCTION("""COMPUTED_VALUE"""),"تعلم React Native")</f>
        <v>تعلم React Native</v>
      </c>
      <c r="F312" t="str">
        <f>IFERROR(__xludf.DUMMYFUNCTION("""COMPUTED_VALUE"""),"Learn to react native")</f>
        <v>Learn to react native</v>
      </c>
      <c r="G312">
        <f>IFERROR(__xludf.DUMMYFUNCTION("""COMPUTED_VALUE"""),1.16523782E8)</f>
        <v>116523782</v>
      </c>
      <c r="H312" t="str">
        <f>IFERROR(__xludf.DUMMYFUNCTION("""COMPUTED_VALUE"""),"Hossam Abdelnaser")</f>
        <v>Hossam Abdelnaser</v>
      </c>
      <c r="I312" t="str">
        <f>IFERROR(__xludf.DUMMYFUNCTION("""COMPUTED_VALUE"""),"Low Rating")</f>
        <v>Low Rating</v>
      </c>
      <c r="J312" t="b">
        <f>IFERROR(__xludf.DUMMYFUNCTION("""COMPUTED_VALUE"""),FALSE)</f>
        <v>0</v>
      </c>
      <c r="K312" s="142" t="str">
        <f>IFERROR(__xludf.DUMMYFUNCTION("""COMPUTED_VALUE"""),"Development")</f>
        <v>Development</v>
      </c>
      <c r="L312" s="142" t="str">
        <f>IFERROR(__xludf.DUMMYFUNCTION("""COMPUTED_VALUE"""),"Web Development")</f>
        <v>Web Development</v>
      </c>
      <c r="M312" s="140">
        <f>IFERROR(__xludf.DUMMYFUNCTION("""COMPUTED_VALUE"""),1436092.0)</f>
        <v>1436092</v>
      </c>
      <c r="N312" s="140" t="str">
        <f>IFERROR(__xludf.DUMMYFUNCTION("""COMPUTED_VALUE"""),"React Native - The Practical Guide [2022 Edition]")</f>
        <v>React Native - The Practical Guide [2022 Edition]</v>
      </c>
      <c r="P312" s="140" t="str">
        <f>IFERROR(__xludf.DUMMYFUNCTION("""COMPUTED_VALUE"""),"")</f>
        <v/>
      </c>
    </row>
    <row r="313">
      <c r="A313" s="141">
        <f>IFERROR(__xludf.DUMMYFUNCTION("""COMPUTED_VALUE"""),44501.0)</f>
        <v>44501</v>
      </c>
      <c r="B313" s="141">
        <f>IFERROR(__xludf.DUMMYFUNCTION("""COMPUTED_VALUE"""),44712.0)</f>
        <v>44712</v>
      </c>
      <c r="C313" t="str">
        <f>IFERROR(__xludf.DUMMYFUNCTION("""COMPUTED_VALUE"""),"en")</f>
        <v>en</v>
      </c>
      <c r="D313">
        <f>IFERROR(__xludf.DUMMYFUNCTION("""COMPUTED_VALUE"""),3166512.0)</f>
        <v>3166512</v>
      </c>
      <c r="E313" t="str">
        <f>IFERROR(__xludf.DUMMYFUNCTION("""COMPUTED_VALUE"""),"CAN and LIN Communication Protocols")</f>
        <v>CAN and LIN Communication Protocols</v>
      </c>
      <c r="F313" t="str">
        <f>IFERROR(__xludf.DUMMYFUNCTION("""COMPUTED_VALUE"""),"CAN and LIN Communication Protocols")</f>
        <v>CAN and LIN Communication Protocols</v>
      </c>
      <c r="G313">
        <f>IFERROR(__xludf.DUMMYFUNCTION("""COMPUTED_VALUE"""),5.6659636E7)</f>
        <v>56659636</v>
      </c>
      <c r="H313" t="str">
        <f>IFERROR(__xludf.DUMMYFUNCTION("""COMPUTED_VALUE"""),"Venkatesh Mane")</f>
        <v>Venkatesh Mane</v>
      </c>
      <c r="I313" t="str">
        <f>IFERROR(__xludf.DUMMYFUNCTION("""COMPUTED_VALUE"""),"Low Rating")</f>
        <v>Low Rating</v>
      </c>
      <c r="J313" t="b">
        <f>IFERROR(__xludf.DUMMYFUNCTION("""COMPUTED_VALUE"""),FALSE)</f>
        <v>0</v>
      </c>
      <c r="K313" s="142" t="str">
        <f>IFERROR(__xludf.DUMMYFUNCTION("""COMPUTED_VALUE"""),"IT Operations")</f>
        <v>IT Operations</v>
      </c>
      <c r="L313" s="142" t="str">
        <f>IFERROR(__xludf.DUMMYFUNCTION("""COMPUTED_VALUE"""),"Network &amp; Security")</f>
        <v>Network &amp; Security</v>
      </c>
      <c r="N313" s="140" t="str">
        <f>IFERROR(__xludf.DUMMYFUNCTION("""COMPUTED_VALUE"""),"")</f>
        <v/>
      </c>
      <c r="P313" s="140" t="str">
        <f>IFERROR(__xludf.DUMMYFUNCTION("""COMPUTED_VALUE"""),"")</f>
        <v/>
      </c>
    </row>
    <row r="314">
      <c r="A314" s="141">
        <f>IFERROR(__xludf.DUMMYFUNCTION("""COMPUTED_VALUE"""),44501.0)</f>
        <v>44501</v>
      </c>
      <c r="B314" s="141">
        <f>IFERROR(__xludf.DUMMYFUNCTION("""COMPUTED_VALUE"""),44712.0)</f>
        <v>44712</v>
      </c>
      <c r="C314" t="str">
        <f>IFERROR(__xludf.DUMMYFUNCTION("""COMPUTED_VALUE"""),"en")</f>
        <v>en</v>
      </c>
      <c r="D314">
        <f>IFERROR(__xludf.DUMMYFUNCTION("""COMPUTED_VALUE"""),3315948.0)</f>
        <v>3315948</v>
      </c>
      <c r="E314" t="str">
        <f>IFERROR(__xludf.DUMMYFUNCTION("""COMPUTED_VALUE"""),"AI-100: Designing and Implementing an Azure AI Solutions")</f>
        <v>AI-100: Designing and Implementing an Azure AI Solutions</v>
      </c>
      <c r="F314" t="str">
        <f>IFERROR(__xludf.DUMMYFUNCTION("""COMPUTED_VALUE"""),"AI-100: Designing and Implementing an Azure AI Solutions")</f>
        <v>AI-100: Designing and Implementing an Azure AI Solutions</v>
      </c>
      <c r="G314">
        <f>IFERROR(__xludf.DUMMYFUNCTION("""COMPUTED_VALUE"""),1.8134838E7)</f>
        <v>18134838</v>
      </c>
      <c r="H314" t="str">
        <f>IFERROR(__xludf.DUMMYFUNCTION("""COMPUTED_VALUE"""),"Anand Rao Nednur")</f>
        <v>Anand Rao Nednur</v>
      </c>
      <c r="I314" t="str">
        <f>IFERROR(__xludf.DUMMYFUNCTION("""COMPUTED_VALUE"""),"Low Rating")</f>
        <v>Low Rating</v>
      </c>
      <c r="J314" t="b">
        <f>IFERROR(__xludf.DUMMYFUNCTION("""COMPUTED_VALUE"""),FALSE)</f>
        <v>0</v>
      </c>
      <c r="K314" s="142" t="str">
        <f>IFERROR(__xludf.DUMMYFUNCTION("""COMPUTED_VALUE"""),"IT Operations")</f>
        <v>IT Operations</v>
      </c>
      <c r="L314" s="142" t="str">
        <f>IFERROR(__xludf.DUMMYFUNCTION("""COMPUTED_VALUE"""),"IT Certifications")</f>
        <v>IT Certifications</v>
      </c>
      <c r="N314" s="140" t="str">
        <f>IFERROR(__xludf.DUMMYFUNCTION("""COMPUTED_VALUE"""),"")</f>
        <v/>
      </c>
      <c r="P314" s="140" t="str">
        <f>IFERROR(__xludf.DUMMYFUNCTION("""COMPUTED_VALUE"""),"")</f>
        <v/>
      </c>
    </row>
    <row r="315">
      <c r="A315" s="141">
        <f>IFERROR(__xludf.DUMMYFUNCTION("""COMPUTED_VALUE"""),44501.0)</f>
        <v>44501</v>
      </c>
      <c r="B315" s="141">
        <f>IFERROR(__xludf.DUMMYFUNCTION("""COMPUTED_VALUE"""),44712.0)</f>
        <v>44712</v>
      </c>
      <c r="C315" t="str">
        <f>IFERROR(__xludf.DUMMYFUNCTION("""COMPUTED_VALUE"""),"ar")</f>
        <v>ar</v>
      </c>
      <c r="D315">
        <f>IFERROR(__xludf.DUMMYFUNCTION("""COMPUTED_VALUE"""),3886214.0)</f>
        <v>3886214</v>
      </c>
      <c r="E315" t="str">
        <f>IFERROR(__xludf.DUMMYFUNCTION("""COMPUTED_VALUE"""),"Information Technology Fundamentals")</f>
        <v>Information Technology Fundamentals</v>
      </c>
      <c r="F315" t="str">
        <f>IFERROR(__xludf.DUMMYFUNCTION("""COMPUTED_VALUE"""),"Information Technology Fundamentals")</f>
        <v>Information Technology Fundamentals</v>
      </c>
      <c r="G315">
        <f>IFERROR(__xludf.DUMMYFUNCTION("""COMPUTED_VALUE"""),1.2587459E8)</f>
        <v>125874590</v>
      </c>
      <c r="H315" t="str">
        <f>IFERROR(__xludf.DUMMYFUNCTION("""COMPUTED_VALUE"""),"Mohammed Alsaady")</f>
        <v>Mohammed Alsaady</v>
      </c>
      <c r="I315" t="str">
        <f>IFERROR(__xludf.DUMMYFUNCTION("""COMPUTED_VALUE"""),"Low Rating")</f>
        <v>Low Rating</v>
      </c>
      <c r="J315" t="b">
        <f>IFERROR(__xludf.DUMMYFUNCTION("""COMPUTED_VALUE"""),FALSE)</f>
        <v>0</v>
      </c>
      <c r="K315" s="142" t="str">
        <f>IFERROR(__xludf.DUMMYFUNCTION("""COMPUTED_VALUE"""),"IT Operations")</f>
        <v>IT Operations</v>
      </c>
      <c r="L315" s="142" t="str">
        <f>IFERROR(__xludf.DUMMYFUNCTION("""COMPUTED_VALUE"""),"IT Certifications")</f>
        <v>IT Certifications</v>
      </c>
      <c r="M315" s="140">
        <f>IFERROR(__xludf.DUMMYFUNCTION("""COMPUTED_VALUE"""),3627542.0)</f>
        <v>3627542</v>
      </c>
      <c r="N315" s="140" t="str">
        <f>IFERROR(__xludf.DUMMYFUNCTION("""COMPUTED_VALUE"""),"IT Fundamentals - Everything you need to know about IT")</f>
        <v>IT Fundamentals - Everything you need to know about IT</v>
      </c>
      <c r="P315" s="140" t="str">
        <f>IFERROR(__xludf.DUMMYFUNCTION("""COMPUTED_VALUE"""),"")</f>
        <v/>
      </c>
    </row>
    <row r="316">
      <c r="A316" s="141">
        <f>IFERROR(__xludf.DUMMYFUNCTION("""COMPUTED_VALUE"""),44501.0)</f>
        <v>44501</v>
      </c>
      <c r="B316" s="141">
        <f>IFERROR(__xludf.DUMMYFUNCTION("""COMPUTED_VALUE"""),44712.0)</f>
        <v>44712</v>
      </c>
      <c r="C316" t="str">
        <f>IFERROR(__xludf.DUMMYFUNCTION("""COMPUTED_VALUE"""),"en")</f>
        <v>en</v>
      </c>
      <c r="D316">
        <f>IFERROR(__xludf.DUMMYFUNCTION("""COMPUTED_VALUE"""),4035162.0)</f>
        <v>4035162</v>
      </c>
      <c r="E316" t="str">
        <f>IFERROR(__xludf.DUMMYFUNCTION("""COMPUTED_VALUE"""),"Complete Google Hacking Practical Course C|GHPC")</f>
        <v>Complete Google Hacking Practical Course C|GHPC</v>
      </c>
      <c r="F316" t="str">
        <f>IFERROR(__xludf.DUMMYFUNCTION("""COMPUTED_VALUE"""),"Complete Google Hacking Practical Course C|GHPC")</f>
        <v>Complete Google Hacking Practical Course C|GHPC</v>
      </c>
      <c r="G316">
        <f>IFERROR(__xludf.DUMMYFUNCTION("""COMPUTED_VALUE"""),3.353668E7)</f>
        <v>33536680</v>
      </c>
      <c r="H316" t="str">
        <f>IFERROR(__xludf.DUMMYFUNCTION("""COMPUTED_VALUE"""),"Debayan Dey")</f>
        <v>Debayan Dey</v>
      </c>
      <c r="I316" t="str">
        <f>IFERROR(__xludf.DUMMYFUNCTION("""COMPUTED_VALUE"""),"Low Rating")</f>
        <v>Low Rating</v>
      </c>
      <c r="J316" t="b">
        <f>IFERROR(__xludf.DUMMYFUNCTION("""COMPUTED_VALUE"""),FALSE)</f>
        <v>0</v>
      </c>
      <c r="K316" s="142" t="str">
        <f>IFERROR(__xludf.DUMMYFUNCTION("""COMPUTED_VALUE"""),"IT Operations")</f>
        <v>IT Operations</v>
      </c>
      <c r="L316" s="142" t="str">
        <f>IFERROR(__xludf.DUMMYFUNCTION("""COMPUTED_VALUE"""),"Network &amp; Security")</f>
        <v>Network &amp; Security</v>
      </c>
      <c r="N316" s="140" t="str">
        <f>IFERROR(__xludf.DUMMYFUNCTION("""COMPUTED_VALUE"""),"")</f>
        <v/>
      </c>
      <c r="P316" s="140" t="str">
        <f>IFERROR(__xludf.DUMMYFUNCTION("""COMPUTED_VALUE"""),"")</f>
        <v/>
      </c>
    </row>
    <row r="317">
      <c r="A317" s="141">
        <f>IFERROR(__xludf.DUMMYFUNCTION("""COMPUTED_VALUE"""),44501.0)</f>
        <v>44501</v>
      </c>
      <c r="B317" s="141">
        <f>IFERROR(__xludf.DUMMYFUNCTION("""COMPUTED_VALUE"""),44712.0)</f>
        <v>44712</v>
      </c>
      <c r="C317" t="str">
        <f>IFERROR(__xludf.DUMMYFUNCTION("""COMPUTED_VALUE"""),"en")</f>
        <v>en</v>
      </c>
      <c r="D317">
        <f>IFERROR(__xludf.DUMMYFUNCTION("""COMPUTED_VALUE"""),50134.0)</f>
        <v>50134</v>
      </c>
      <c r="E317" t="str">
        <f>IFERROR(__xludf.DUMMYFUNCTION("""COMPUTED_VALUE"""),"Learn Avid Media Composer")</f>
        <v>Learn Avid Media Composer</v>
      </c>
      <c r="F317" t="str">
        <f>IFERROR(__xludf.DUMMYFUNCTION("""COMPUTED_VALUE"""),"Learn Avid Media Composer")</f>
        <v>Learn Avid Media Composer</v>
      </c>
      <c r="G317">
        <f>IFERROR(__xludf.DUMMYFUNCTION("""COMPUTED_VALUE"""),181096.0)</f>
        <v>181096</v>
      </c>
      <c r="H317" t="str">
        <f>IFERROR(__xludf.DUMMYFUNCTION("""COMPUTED_VALUE"""),"John Lynn")</f>
        <v>John Lynn</v>
      </c>
      <c r="I317" t="str">
        <f>IFERROR(__xludf.DUMMYFUNCTION("""COMPUTED_VALUE"""),"3 Flags")</f>
        <v>3 Flags</v>
      </c>
      <c r="J317" t="b">
        <f>IFERROR(__xludf.DUMMYFUNCTION("""COMPUTED_VALUE"""),FALSE)</f>
        <v>0</v>
      </c>
      <c r="K317" s="142" t="str">
        <f>IFERROR(__xludf.DUMMYFUNCTION("""COMPUTED_VALUE"""),"Design")</f>
        <v>Design</v>
      </c>
      <c r="L317" s="142" t="str">
        <f>IFERROR(__xludf.DUMMYFUNCTION("""COMPUTED_VALUE"""),"Design Tools")</f>
        <v>Design Tools</v>
      </c>
      <c r="N317" s="140" t="str">
        <f>IFERROR(__xludf.DUMMYFUNCTION("""COMPUTED_VALUE"""),"")</f>
        <v/>
      </c>
      <c r="P317" s="140" t="str">
        <f>IFERROR(__xludf.DUMMYFUNCTION("""COMPUTED_VALUE"""),"")</f>
        <v/>
      </c>
    </row>
    <row r="318">
      <c r="A318" s="141">
        <f>IFERROR(__xludf.DUMMYFUNCTION("""COMPUTED_VALUE"""),44501.0)</f>
        <v>44501</v>
      </c>
      <c r="B318" s="141">
        <f>IFERROR(__xludf.DUMMYFUNCTION("""COMPUTED_VALUE"""),44712.0)</f>
        <v>44712</v>
      </c>
      <c r="C318" t="str">
        <f>IFERROR(__xludf.DUMMYFUNCTION("""COMPUTED_VALUE"""),"es")</f>
        <v>es</v>
      </c>
      <c r="D318">
        <f>IFERROR(__xludf.DUMMYFUNCTION("""COMPUTED_VALUE"""),684114.0)</f>
        <v>684114</v>
      </c>
      <c r="E318" t="str">
        <f>IFERROR(__xludf.DUMMYFUNCTION("""COMPUTED_VALUE"""),"Crear un API RESTful con Slim PHP y usarla con AJAX")</f>
        <v>Crear un API RESTful con Slim PHP y usarla con AJAX</v>
      </c>
      <c r="F318" t="str">
        <f>IFERROR(__xludf.DUMMYFUNCTION("""COMPUTED_VALUE"""),"Create a RESTFUL API with SLIM PHP and use it with AJAX")</f>
        <v>Create a RESTFUL API with SLIM PHP and use it with AJAX</v>
      </c>
      <c r="G318">
        <f>IFERROR(__xludf.DUMMYFUNCTION("""COMPUTED_VALUE"""),1.6661812E7)</f>
        <v>16661812</v>
      </c>
      <c r="H318" t="str">
        <f>IFERROR(__xludf.DUMMYFUNCTION("""COMPUTED_VALUE"""),"Víctor Robles")</f>
        <v>Víctor Robles</v>
      </c>
      <c r="I318" t="str">
        <f>IFERROR(__xludf.DUMMYFUNCTION("""COMPUTED_VALUE"""),"3 Flags")</f>
        <v>3 Flags</v>
      </c>
      <c r="J318" t="b">
        <f>IFERROR(__xludf.DUMMYFUNCTION("""COMPUTED_VALUE"""),FALSE)</f>
        <v>0</v>
      </c>
      <c r="K318" s="142" t="str">
        <f>IFERROR(__xludf.DUMMYFUNCTION("""COMPUTED_VALUE"""),"Development")</f>
        <v>Development</v>
      </c>
      <c r="L318" s="142" t="str">
        <f>IFERROR(__xludf.DUMMYFUNCTION("""COMPUTED_VALUE"""),"Web Development")</f>
        <v>Web Development</v>
      </c>
      <c r="N318" s="140" t="str">
        <f>IFERROR(__xludf.DUMMYFUNCTION("""COMPUTED_VALUE"""),"")</f>
        <v/>
      </c>
      <c r="P318" s="140" t="str">
        <f>IFERROR(__xludf.DUMMYFUNCTION("""COMPUTED_VALUE"""),"")</f>
        <v/>
      </c>
    </row>
    <row r="319">
      <c r="A319" s="141">
        <f>IFERROR(__xludf.DUMMYFUNCTION("""COMPUTED_VALUE"""),44501.0)</f>
        <v>44501</v>
      </c>
      <c r="B319" s="141">
        <f>IFERROR(__xludf.DUMMYFUNCTION("""COMPUTED_VALUE"""),44712.0)</f>
        <v>44712</v>
      </c>
      <c r="C319" t="str">
        <f>IFERROR(__xludf.DUMMYFUNCTION("""COMPUTED_VALUE"""),"en")</f>
        <v>en</v>
      </c>
      <c r="D319">
        <f>IFERROR(__xludf.DUMMYFUNCTION("""COMPUTED_VALUE"""),715444.0)</f>
        <v>715444</v>
      </c>
      <c r="E319" t="str">
        <f>IFERROR(__xludf.DUMMYFUNCTION("""COMPUTED_VALUE"""),"2D Composition in Photoshop &amp; Animation in After Effects")</f>
        <v>2D Composition in Photoshop &amp; Animation in After Effects</v>
      </c>
      <c r="F319" t="str">
        <f>IFERROR(__xludf.DUMMYFUNCTION("""COMPUTED_VALUE"""),"2D Composition in Photoshop &amp; Animation in After Effects")</f>
        <v>2D Composition in Photoshop &amp; Animation in After Effects</v>
      </c>
      <c r="G319">
        <f>IFERROR(__xludf.DUMMYFUNCTION("""COMPUTED_VALUE"""),2673278.0)</f>
        <v>2673278</v>
      </c>
      <c r="H319" t="str">
        <f>IFERROR(__xludf.DUMMYFUNCTION("""COMPUTED_VALUE"""),"Soli Art")</f>
        <v>Soli Art</v>
      </c>
      <c r="I319" t="str">
        <f>IFERROR(__xludf.DUMMYFUNCTION("""COMPUTED_VALUE"""),"3 Flags")</f>
        <v>3 Flags</v>
      </c>
      <c r="J319" t="b">
        <f>IFERROR(__xludf.DUMMYFUNCTION("""COMPUTED_VALUE"""),FALSE)</f>
        <v>0</v>
      </c>
      <c r="K319" s="142" t="str">
        <f>IFERROR(__xludf.DUMMYFUNCTION("""COMPUTED_VALUE"""),"Design")</f>
        <v>Design</v>
      </c>
      <c r="L319" s="142" t="str">
        <f>IFERROR(__xludf.DUMMYFUNCTION("""COMPUTED_VALUE"""),"Design Tools")</f>
        <v>Design Tools</v>
      </c>
      <c r="N319" s="140" t="str">
        <f>IFERROR(__xludf.DUMMYFUNCTION("""COMPUTED_VALUE"""),"")</f>
        <v/>
      </c>
      <c r="P319" s="140" t="str">
        <f>IFERROR(__xludf.DUMMYFUNCTION("""COMPUTED_VALUE"""),"")</f>
        <v/>
      </c>
    </row>
    <row r="320">
      <c r="A320" s="141">
        <f>IFERROR(__xludf.DUMMYFUNCTION("""COMPUTED_VALUE"""),44501.0)</f>
        <v>44501</v>
      </c>
      <c r="B320" s="141">
        <f>IFERROR(__xludf.DUMMYFUNCTION("""COMPUTED_VALUE"""),44712.0)</f>
        <v>44712</v>
      </c>
      <c r="C320" t="str">
        <f>IFERROR(__xludf.DUMMYFUNCTION("""COMPUTED_VALUE"""),"ja")</f>
        <v>ja</v>
      </c>
      <c r="D320">
        <f>IFERROR(__xludf.DUMMYFUNCTION("""COMPUTED_VALUE"""),720490.0)</f>
        <v>720490</v>
      </c>
      <c r="E320" t="str">
        <f>IFERROR(__xludf.DUMMYFUNCTION("""COMPUTED_VALUE"""),"【3日でできる】はじめての Ruby on Rails 4 入門（Rubyから学べる）")</f>
        <v>【3日でできる】はじめての Ruby on Rails 4 入門（Rubyから学べる）</v>
      </c>
      <c r="F320" t="str">
        <f>IFERROR(__xludf.DUMMYFUNCTION("""COMPUTED_VALUE"""),"[Can be 3 days] First Ruby on Rails 4 introductory (learn from Ruby)")</f>
        <v>[Can be 3 days] First Ruby on Rails 4 introductory (learn from Ruby)</v>
      </c>
      <c r="G320">
        <f>IFERROR(__xludf.DUMMYFUNCTION("""COMPUTED_VALUE"""),654126.0)</f>
        <v>654126</v>
      </c>
      <c r="H320" t="str">
        <f>IFERROR(__xludf.DUMMYFUNCTION("""COMPUTED_VALUE"""),"井上 博樹 (Hiroki Inoue)")</f>
        <v>井上 博樹 (Hiroki Inoue)</v>
      </c>
      <c r="I320" t="str">
        <f>IFERROR(__xludf.DUMMYFUNCTION("""COMPUTED_VALUE"""),"3 Flags")</f>
        <v>3 Flags</v>
      </c>
      <c r="J320" t="b">
        <f>IFERROR(__xludf.DUMMYFUNCTION("""COMPUTED_VALUE"""),FALSE)</f>
        <v>0</v>
      </c>
      <c r="K320" s="142" t="str">
        <f>IFERROR(__xludf.DUMMYFUNCTION("""COMPUTED_VALUE"""),"Development")</f>
        <v>Development</v>
      </c>
      <c r="L320" s="142" t="str">
        <f>IFERROR(__xludf.DUMMYFUNCTION("""COMPUTED_VALUE"""),"Programming Languages")</f>
        <v>Programming Languages</v>
      </c>
      <c r="N320" s="140" t="str">
        <f>IFERROR(__xludf.DUMMYFUNCTION("""COMPUTED_VALUE"""),"")</f>
        <v/>
      </c>
      <c r="P320" s="140" t="str">
        <f>IFERROR(__xludf.DUMMYFUNCTION("""COMPUTED_VALUE"""),"")</f>
        <v/>
      </c>
    </row>
    <row r="321">
      <c r="A321" s="141">
        <f>IFERROR(__xludf.DUMMYFUNCTION("""COMPUTED_VALUE"""),44501.0)</f>
        <v>44501</v>
      </c>
      <c r="B321" s="141">
        <f>IFERROR(__xludf.DUMMYFUNCTION("""COMPUTED_VALUE"""),44712.0)</f>
        <v>44712</v>
      </c>
      <c r="C321" t="str">
        <f>IFERROR(__xludf.DUMMYFUNCTION("""COMPUTED_VALUE"""),"de")</f>
        <v>de</v>
      </c>
      <c r="D321">
        <f>IFERROR(__xludf.DUMMYFUNCTION("""COMPUTED_VALUE"""),929120.0)</f>
        <v>929120</v>
      </c>
      <c r="E321" t="str">
        <f>IFERROR(__xludf.DUMMYFUNCTION("""COMPUTED_VALUE"""),"Strategisches, operatives und taktisches Management")</f>
        <v>Strategisches, operatives und taktisches Management</v>
      </c>
      <c r="F321" t="str">
        <f>IFERROR(__xludf.DUMMYFUNCTION("""COMPUTED_VALUE"""),"Strategic, operational and tactical management")</f>
        <v>Strategic, operational and tactical management</v>
      </c>
      <c r="G321">
        <f>IFERROR(__xludf.DUMMYFUNCTION("""COMPUTED_VALUE"""),9606416.0)</f>
        <v>9606416</v>
      </c>
      <c r="H321" t="str">
        <f>IFERROR(__xludf.DUMMYFUNCTION("""COMPUTED_VALUE"""),"Eugen Profeta")</f>
        <v>Eugen Profeta</v>
      </c>
      <c r="I321" t="str">
        <f>IFERROR(__xludf.DUMMYFUNCTION("""COMPUTED_VALUE"""),"3 Flags")</f>
        <v>3 Flags</v>
      </c>
      <c r="J321" t="b">
        <f>IFERROR(__xludf.DUMMYFUNCTION("""COMPUTED_VALUE"""),FALSE)</f>
        <v>0</v>
      </c>
      <c r="K321" s="142" t="str">
        <f>IFERROR(__xludf.DUMMYFUNCTION("""COMPUTED_VALUE"""),"Marketing")</f>
        <v>Marketing</v>
      </c>
      <c r="L321" s="142" t="str">
        <f>IFERROR(__xludf.DUMMYFUNCTION("""COMPUTED_VALUE"""),"Marketing Strategy")</f>
        <v>Marketing Strategy</v>
      </c>
      <c r="N321" s="140" t="str">
        <f>IFERROR(__xludf.DUMMYFUNCTION("""COMPUTED_VALUE"""),"")</f>
        <v/>
      </c>
      <c r="P321" s="140" t="str">
        <f>IFERROR(__xludf.DUMMYFUNCTION("""COMPUTED_VALUE"""),"")</f>
        <v/>
      </c>
    </row>
    <row r="322">
      <c r="A322" s="141">
        <f>IFERROR(__xludf.DUMMYFUNCTION("""COMPUTED_VALUE"""),44501.0)</f>
        <v>44501</v>
      </c>
      <c r="B322" s="141">
        <f>IFERROR(__xludf.DUMMYFUNCTION("""COMPUTED_VALUE"""),44712.0)</f>
        <v>44712</v>
      </c>
      <c r="C322" t="str">
        <f>IFERROR(__xludf.DUMMYFUNCTION("""COMPUTED_VALUE"""),"en")</f>
        <v>en</v>
      </c>
      <c r="D322">
        <f>IFERROR(__xludf.DUMMYFUNCTION("""COMPUTED_VALUE"""),1005550.0)</f>
        <v>1005550</v>
      </c>
      <c r="E322" t="str">
        <f>IFERROR(__xludf.DUMMYFUNCTION("""COMPUTED_VALUE"""),"Quick Start Guide to Oracle SOA 12c")</f>
        <v>Quick Start Guide to Oracle SOA 12c</v>
      </c>
      <c r="F322" t="str">
        <f>IFERROR(__xludf.DUMMYFUNCTION("""COMPUTED_VALUE"""),"Quick Start Guide to Oracle SOA 12c")</f>
        <v>Quick Start Guide to Oracle SOA 12c</v>
      </c>
      <c r="G322">
        <f>IFERROR(__xludf.DUMMYFUNCTION("""COMPUTED_VALUE"""),1.2044842E7)</f>
        <v>12044842</v>
      </c>
      <c r="H322" t="str">
        <f>IFERROR(__xludf.DUMMYFUNCTION("""COMPUTED_VALUE"""),"Chris Parent")</f>
        <v>Chris Parent</v>
      </c>
      <c r="I322" t="str">
        <f>IFERROR(__xludf.DUMMYFUNCTION("""COMPUTED_VALUE"""),"3 Flags")</f>
        <v>3 Flags</v>
      </c>
      <c r="J322" t="b">
        <f>IFERROR(__xludf.DUMMYFUNCTION("""COMPUTED_VALUE"""),FALSE)</f>
        <v>0</v>
      </c>
      <c r="K322" s="142" t="str">
        <f>IFERROR(__xludf.DUMMYFUNCTION("""COMPUTED_VALUE"""),"Development")</f>
        <v>Development</v>
      </c>
      <c r="L322" s="142" t="str">
        <f>IFERROR(__xludf.DUMMYFUNCTION("""COMPUTED_VALUE"""),"Software Engineering")</f>
        <v>Software Engineering</v>
      </c>
      <c r="N322" s="140" t="str">
        <f>IFERROR(__xludf.DUMMYFUNCTION("""COMPUTED_VALUE"""),"")</f>
        <v/>
      </c>
      <c r="P322" s="140" t="str">
        <f>IFERROR(__xludf.DUMMYFUNCTION("""COMPUTED_VALUE"""),"")</f>
        <v/>
      </c>
    </row>
    <row r="323">
      <c r="A323" s="141">
        <f>IFERROR(__xludf.DUMMYFUNCTION("""COMPUTED_VALUE"""),44501.0)</f>
        <v>44501</v>
      </c>
      <c r="B323" s="141">
        <f>IFERROR(__xludf.DUMMYFUNCTION("""COMPUTED_VALUE"""),44712.0)</f>
        <v>44712</v>
      </c>
      <c r="C323" t="str">
        <f>IFERROR(__xludf.DUMMYFUNCTION("""COMPUTED_VALUE"""),"de")</f>
        <v>de</v>
      </c>
      <c r="D323">
        <f>IFERROR(__xludf.DUMMYFUNCTION("""COMPUTED_VALUE"""),1182864.0)</f>
        <v>1182864</v>
      </c>
      <c r="E323" t="str">
        <f>IFERROR(__xludf.DUMMYFUNCTION("""COMPUTED_VALUE"""),"Instagram Marketing - Die perfekte Werbung auf Instagram")</f>
        <v>Instagram Marketing - Die perfekte Werbung auf Instagram</v>
      </c>
      <c r="F323" t="str">
        <f>IFERROR(__xludf.DUMMYFUNCTION("""COMPUTED_VALUE"""),"Instagram Marketing - The Perfect Advertising on Instagram")</f>
        <v>Instagram Marketing - The Perfect Advertising on Instagram</v>
      </c>
      <c r="G323">
        <f>IFERROR(__xludf.DUMMYFUNCTION("""COMPUTED_VALUE"""),1.9127348E7)</f>
        <v>19127348</v>
      </c>
      <c r="H323" t="str">
        <f>IFERROR(__xludf.DUMMYFUNCTION("""COMPUTED_VALUE"""),"André Thöne")</f>
        <v>André Thöne</v>
      </c>
      <c r="I323" t="str">
        <f>IFERROR(__xludf.DUMMYFUNCTION("""COMPUTED_VALUE"""),"3 Flags")</f>
        <v>3 Flags</v>
      </c>
      <c r="J323" t="b">
        <f>IFERROR(__xludf.DUMMYFUNCTION("""COMPUTED_VALUE"""),FALSE)</f>
        <v>0</v>
      </c>
      <c r="K323" s="142" t="str">
        <f>IFERROR(__xludf.DUMMYFUNCTION("""COMPUTED_VALUE"""),"Marketing")</f>
        <v>Marketing</v>
      </c>
      <c r="L323" s="142" t="str">
        <f>IFERROR(__xludf.DUMMYFUNCTION("""COMPUTED_VALUE"""),"Social Media Marketing")</f>
        <v>Social Media Marketing</v>
      </c>
      <c r="N323" s="140" t="str">
        <f>IFERROR(__xludf.DUMMYFUNCTION("""COMPUTED_VALUE"""),"")</f>
        <v/>
      </c>
      <c r="P323" s="140" t="str">
        <f>IFERROR(__xludf.DUMMYFUNCTION("""COMPUTED_VALUE"""),"")</f>
        <v/>
      </c>
    </row>
    <row r="324">
      <c r="A324" s="141">
        <f>IFERROR(__xludf.DUMMYFUNCTION("""COMPUTED_VALUE"""),44501.0)</f>
        <v>44501</v>
      </c>
      <c r="B324" s="141">
        <f>IFERROR(__xludf.DUMMYFUNCTION("""COMPUTED_VALUE"""),44712.0)</f>
        <v>44712</v>
      </c>
      <c r="C324" t="str">
        <f>IFERROR(__xludf.DUMMYFUNCTION("""COMPUTED_VALUE"""),"de")</f>
        <v>de</v>
      </c>
      <c r="D324">
        <f>IFERROR(__xludf.DUMMYFUNCTION("""COMPUTED_VALUE"""),1256794.0)</f>
        <v>1256794</v>
      </c>
      <c r="E324" t="str">
        <f>IFERROR(__xludf.DUMMYFUNCTION("""COMPUTED_VALUE"""),"Umstieg auf Mac - macOS für Einsteiger")</f>
        <v>Umstieg auf Mac - macOS für Einsteiger</v>
      </c>
      <c r="F324" t="str">
        <f>IFERROR(__xludf.DUMMYFUNCTION("""COMPUTED_VALUE"""),"Switch to Mac - Macos for beginners")</f>
        <v>Switch to Mac - Macos for beginners</v>
      </c>
      <c r="G324">
        <f>IFERROR(__xludf.DUMMYFUNCTION("""COMPUTED_VALUE"""),2.17338E7)</f>
        <v>21733800</v>
      </c>
      <c r="H324" t="str">
        <f>IFERROR(__xludf.DUMMYFUNCTION("""COMPUTED_VALUE"""),"Axel Mammitzsch")</f>
        <v>Axel Mammitzsch</v>
      </c>
      <c r="I324" t="str">
        <f>IFERROR(__xludf.DUMMYFUNCTION("""COMPUTED_VALUE"""),"3 Flags")</f>
        <v>3 Flags</v>
      </c>
      <c r="J324" t="b">
        <f>IFERROR(__xludf.DUMMYFUNCTION("""COMPUTED_VALUE"""),FALSE)</f>
        <v>0</v>
      </c>
      <c r="K324" s="142" t="str">
        <f>IFERROR(__xludf.DUMMYFUNCTION("""COMPUTED_VALUE"""),"Office Productivity")</f>
        <v>Office Productivity</v>
      </c>
      <c r="L324" s="142" t="str">
        <f>IFERROR(__xludf.DUMMYFUNCTION("""COMPUTED_VALUE"""),"Operating Systems")</f>
        <v>Operating Systems</v>
      </c>
      <c r="M324" s="140">
        <f>IFERROR(__xludf.DUMMYFUNCTION("""COMPUTED_VALUE"""),1428694.0)</f>
        <v>1428694</v>
      </c>
      <c r="N324" s="140" t="str">
        <f>IFERROR(__xludf.DUMMYFUNCTION("""COMPUTED_VALUE"""),"Apple Mac Basics - The Complete Course for beginners")</f>
        <v>Apple Mac Basics - The Complete Course for beginners</v>
      </c>
      <c r="P324" s="140" t="str">
        <f>IFERROR(__xludf.DUMMYFUNCTION("""COMPUTED_VALUE"""),"")</f>
        <v/>
      </c>
    </row>
    <row r="325">
      <c r="A325" s="141">
        <f>IFERROR(__xludf.DUMMYFUNCTION("""COMPUTED_VALUE"""),44501.0)</f>
        <v>44501</v>
      </c>
      <c r="B325" s="141">
        <f>IFERROR(__xludf.DUMMYFUNCTION("""COMPUTED_VALUE"""),44712.0)</f>
        <v>44712</v>
      </c>
      <c r="C325" t="str">
        <f>IFERROR(__xludf.DUMMYFUNCTION("""COMPUTED_VALUE"""),"es")</f>
        <v>es</v>
      </c>
      <c r="D325">
        <f>IFERROR(__xludf.DUMMYFUNCTION("""COMPUTED_VALUE"""),1325930.0)</f>
        <v>1325930</v>
      </c>
      <c r="E325" t="str">
        <f>IFERROR(__xludf.DUMMYFUNCTION("""COMPUTED_VALUE"""),"Aprende a programar Android con Kotlin + Firebase + Google")</f>
        <v>Aprende a programar Android con Kotlin + Firebase + Google</v>
      </c>
      <c r="F325" t="str">
        <f>IFERROR(__xludf.DUMMYFUNCTION("""COMPUTED_VALUE"""),"Learn to program Android with Kotlin + Firebase + Google")</f>
        <v>Learn to program Android with Kotlin + Firebase + Google</v>
      </c>
      <c r="G325">
        <f>IFERROR(__xludf.DUMMYFUNCTION("""COMPUTED_VALUE"""),1600758.0)</f>
        <v>1600758</v>
      </c>
      <c r="H325" t="str">
        <f>IFERROR(__xludf.DUMMYFUNCTION("""COMPUTED_VALUE"""),"Alejandro Lora")</f>
        <v>Alejandro Lora</v>
      </c>
      <c r="I325" t="str">
        <f>IFERROR(__xludf.DUMMYFUNCTION("""COMPUTED_VALUE"""),"3 Flags")</f>
        <v>3 Flags</v>
      </c>
      <c r="J325" t="b">
        <f>IFERROR(__xludf.DUMMYFUNCTION("""COMPUTED_VALUE"""),FALSE)</f>
        <v>0</v>
      </c>
      <c r="K325" s="142" t="str">
        <f>IFERROR(__xludf.DUMMYFUNCTION("""COMPUTED_VALUE"""),"Development")</f>
        <v>Development</v>
      </c>
      <c r="L325" s="142" t="str">
        <f>IFERROR(__xludf.DUMMYFUNCTION("""COMPUTED_VALUE"""),"Mobile Development")</f>
        <v>Mobile Development</v>
      </c>
      <c r="N325" s="140" t="str">
        <f>IFERROR(__xludf.DUMMYFUNCTION("""COMPUTED_VALUE"""),"")</f>
        <v/>
      </c>
      <c r="P325" s="140" t="str">
        <f>IFERROR(__xludf.DUMMYFUNCTION("""COMPUTED_VALUE"""),"")</f>
        <v/>
      </c>
    </row>
    <row r="326">
      <c r="A326" s="141">
        <f>IFERROR(__xludf.DUMMYFUNCTION("""COMPUTED_VALUE"""),44501.0)</f>
        <v>44501</v>
      </c>
      <c r="B326" s="141">
        <f>IFERROR(__xludf.DUMMYFUNCTION("""COMPUTED_VALUE"""),44712.0)</f>
        <v>44712</v>
      </c>
      <c r="C326" t="str">
        <f>IFERROR(__xludf.DUMMYFUNCTION("""COMPUTED_VALUE"""),"ja")</f>
        <v>ja</v>
      </c>
      <c r="D326">
        <f>IFERROR(__xludf.DUMMYFUNCTION("""COMPUTED_VALUE"""),1448908.0)</f>
        <v>1448908</v>
      </c>
      <c r="E326" t="str">
        <f>IFERROR(__xludf.DUMMYFUNCTION("""COMPUTED_VALUE"""),"【IoT体験ガイド】JavaScriptとArduinoを使ってIoTハンズオンに挑戦しよう！")</f>
        <v>【IoT体験ガイド】JavaScriptとArduinoを使ってIoTハンズオンに挑戦しよう！</v>
      </c>
      <c r="F326" t="str">
        <f>IFERROR(__xludf.DUMMYFUNCTION("""COMPUTED_VALUE"""),"[IoT Experience Guide] Let's challenge IoT hands-on using JavaScript and Arduino!")</f>
        <v>[IoT Experience Guide] Let's challenge IoT hands-on using JavaScript and Arduino!</v>
      </c>
      <c r="G326">
        <f>IFERROR(__xludf.DUMMYFUNCTION("""COMPUTED_VALUE"""),3.3699174E7)</f>
        <v>33699174</v>
      </c>
      <c r="H326" t="str">
        <f>IFERROR(__xludf.DUMMYFUNCTION("""COMPUTED_VALUE"""),"Tanaka Seigo")</f>
        <v>Tanaka Seigo</v>
      </c>
      <c r="I326" t="str">
        <f>IFERROR(__xludf.DUMMYFUNCTION("""COMPUTED_VALUE"""),"3 Flags")</f>
        <v>3 Flags</v>
      </c>
      <c r="J326" t="b">
        <f>IFERROR(__xludf.DUMMYFUNCTION("""COMPUTED_VALUE"""),FALSE)</f>
        <v>0</v>
      </c>
      <c r="K326" s="142" t="str">
        <f>IFERROR(__xludf.DUMMYFUNCTION("""COMPUTED_VALUE"""),"Development")</f>
        <v>Development</v>
      </c>
      <c r="L326" s="142" t="str">
        <f>IFERROR(__xludf.DUMMYFUNCTION("""COMPUTED_VALUE"""),"Development Tools")</f>
        <v>Development Tools</v>
      </c>
      <c r="N326" s="140" t="str">
        <f>IFERROR(__xludf.DUMMYFUNCTION("""COMPUTED_VALUE"""),"")</f>
        <v/>
      </c>
      <c r="P326" s="140" t="str">
        <f>IFERROR(__xludf.DUMMYFUNCTION("""COMPUTED_VALUE"""),"")</f>
        <v/>
      </c>
    </row>
    <row r="327">
      <c r="A327" s="141">
        <f>IFERROR(__xludf.DUMMYFUNCTION("""COMPUTED_VALUE"""),44501.0)</f>
        <v>44501</v>
      </c>
      <c r="B327" s="141">
        <f>IFERROR(__xludf.DUMMYFUNCTION("""COMPUTED_VALUE"""),44712.0)</f>
        <v>44712</v>
      </c>
      <c r="C327" t="str">
        <f>IFERROR(__xludf.DUMMYFUNCTION("""COMPUTED_VALUE"""),"de")</f>
        <v>de</v>
      </c>
      <c r="D327">
        <f>IFERROR(__xludf.DUMMYFUNCTION("""COMPUTED_VALUE"""),1457162.0)</f>
        <v>1457162</v>
      </c>
      <c r="E327" t="str">
        <f>IFERROR(__xludf.DUMMYFUNCTION("""COMPUTED_VALUE"""),"Logic Pro X einfach lernen")</f>
        <v>Logic Pro X einfach lernen</v>
      </c>
      <c r="F327" t="str">
        <f>IFERROR(__xludf.DUMMYFUNCTION("""COMPUTED_VALUE"""),"Logic Pro X just learn")</f>
        <v>Logic Pro X just learn</v>
      </c>
      <c r="G327">
        <f>IFERROR(__xludf.DUMMYFUNCTION("""COMPUTED_VALUE"""),3.9118806E7)</f>
        <v>39118806</v>
      </c>
      <c r="H327" t="str">
        <f>IFERROR(__xludf.DUMMYFUNCTION("""COMPUTED_VALUE"""),"Wolfram Groh")</f>
        <v>Wolfram Groh</v>
      </c>
      <c r="I327" t="str">
        <f>IFERROR(__xludf.DUMMYFUNCTION("""COMPUTED_VALUE"""),"3 Flags")</f>
        <v>3 Flags</v>
      </c>
      <c r="J327" t="b">
        <f>IFERROR(__xludf.DUMMYFUNCTION("""COMPUTED_VALUE"""),FALSE)</f>
        <v>0</v>
      </c>
      <c r="K327" s="142" t="str">
        <f>IFERROR(__xludf.DUMMYFUNCTION("""COMPUTED_VALUE"""),"Personal Development")</f>
        <v>Personal Development</v>
      </c>
      <c r="L327" s="142" t="str">
        <f>IFERROR(__xludf.DUMMYFUNCTION("""COMPUTED_VALUE"""),"Arts &amp; Creativity")</f>
        <v>Arts &amp; Creativity</v>
      </c>
      <c r="M327" s="140">
        <f>IFERROR(__xludf.DUMMYFUNCTION("""COMPUTED_VALUE"""),826876.0)</f>
        <v>826876</v>
      </c>
      <c r="N327" s="140" t="str">
        <f>IFERROR(__xludf.DUMMYFUNCTION("""COMPUTED_VALUE"""),"Music + Audio Production in Logic Pro X - The Complete Guide")</f>
        <v>Music + Audio Production in Logic Pro X - The Complete Guide</v>
      </c>
      <c r="P327" s="140" t="str">
        <f>IFERROR(__xludf.DUMMYFUNCTION("""COMPUTED_VALUE"""),"")</f>
        <v/>
      </c>
    </row>
    <row r="328">
      <c r="A328" s="141">
        <f>IFERROR(__xludf.DUMMYFUNCTION("""COMPUTED_VALUE"""),44501.0)</f>
        <v>44501</v>
      </c>
      <c r="B328" s="141">
        <f>IFERROR(__xludf.DUMMYFUNCTION("""COMPUTED_VALUE"""),44712.0)</f>
        <v>44712</v>
      </c>
      <c r="C328" t="str">
        <f>IFERROR(__xludf.DUMMYFUNCTION("""COMPUTED_VALUE"""),"pt")</f>
        <v>pt</v>
      </c>
      <c r="D328">
        <f>IFERROR(__xludf.DUMMYFUNCTION("""COMPUTED_VALUE"""),1650782.0)</f>
        <v>1650782</v>
      </c>
      <c r="E328" t="str">
        <f>IFERROR(__xludf.DUMMYFUNCTION("""COMPUTED_VALUE"""),"Introdução à Estatística para Data Science em R -Casos Reais")</f>
        <v>Introdução à Estatística para Data Science em R -Casos Reais</v>
      </c>
      <c r="F328" t="str">
        <f>IFERROR(__xludf.DUMMYFUNCTION("""COMPUTED_VALUE"""),"Introduction to Statistics for Data Science in R-Reais")</f>
        <v>Introduction to Statistics for Data Science in R-Reais</v>
      </c>
      <c r="G328">
        <f>IFERROR(__xludf.DUMMYFUNCTION("""COMPUTED_VALUE"""),7480860.0)</f>
        <v>7480860</v>
      </c>
      <c r="H328" t="str">
        <f>IFERROR(__xludf.DUMMYFUNCTION("""COMPUTED_VALUE"""),"Isaías Lira")</f>
        <v>Isaías Lira</v>
      </c>
      <c r="I328" t="str">
        <f>IFERROR(__xludf.DUMMYFUNCTION("""COMPUTED_VALUE"""),"3 Flags")</f>
        <v>3 Flags</v>
      </c>
      <c r="J328" t="b">
        <f>IFERROR(__xludf.DUMMYFUNCTION("""COMPUTED_VALUE"""),FALSE)</f>
        <v>0</v>
      </c>
      <c r="K328" s="142" t="str">
        <f>IFERROR(__xludf.DUMMYFUNCTION("""COMPUTED_VALUE"""),"Data Science")</f>
        <v>Data Science</v>
      </c>
      <c r="L328" s="142" t="str">
        <f>IFERROR(__xludf.DUMMYFUNCTION("""COMPUTED_VALUE"""),"Statistical Analysis")</f>
        <v>Statistical Analysis</v>
      </c>
      <c r="N328" s="140" t="str">
        <f>IFERROR(__xludf.DUMMYFUNCTION("""COMPUTED_VALUE"""),"")</f>
        <v/>
      </c>
      <c r="P328" s="140" t="str">
        <f>IFERROR(__xludf.DUMMYFUNCTION("""COMPUTED_VALUE"""),"")</f>
        <v/>
      </c>
    </row>
    <row r="329">
      <c r="A329" s="141">
        <f>IFERROR(__xludf.DUMMYFUNCTION("""COMPUTED_VALUE"""),44501.0)</f>
        <v>44501</v>
      </c>
      <c r="B329" s="141">
        <f>IFERROR(__xludf.DUMMYFUNCTION("""COMPUTED_VALUE"""),44712.0)</f>
        <v>44712</v>
      </c>
      <c r="C329" t="str">
        <f>IFERROR(__xludf.DUMMYFUNCTION("""COMPUTED_VALUE"""),"es")</f>
        <v>es</v>
      </c>
      <c r="D329">
        <f>IFERROR(__xludf.DUMMYFUNCTION("""COMPUTED_VALUE"""),1658542.0)</f>
        <v>1658542</v>
      </c>
      <c r="E329" t="str">
        <f>IFERROR(__xludf.DUMMYFUNCTION("""COMPUTED_VALUE"""),"Django y Flask - Desarrollo Web Profesional con Python")</f>
        <v>Django y Flask - Desarrollo Web Profesional con Python</v>
      </c>
      <c r="F329" t="str">
        <f>IFERROR(__xludf.DUMMYFUNCTION("""COMPUTED_VALUE"""),"Django and Flask - Professional Web Development with Python")</f>
        <v>Django and Flask - Professional Web Development with Python</v>
      </c>
      <c r="G329">
        <f>IFERROR(__xludf.DUMMYFUNCTION("""COMPUTED_VALUE"""),1.671266E7)</f>
        <v>16712660</v>
      </c>
      <c r="H329" t="str">
        <f>IFERROR(__xludf.DUMMYFUNCTION("""COMPUTED_VALUE"""),"Aldo Olivares")</f>
        <v>Aldo Olivares</v>
      </c>
      <c r="I329" t="str">
        <f>IFERROR(__xludf.DUMMYFUNCTION("""COMPUTED_VALUE"""),"3 Flags")</f>
        <v>3 Flags</v>
      </c>
      <c r="J329" t="b">
        <f>IFERROR(__xludf.DUMMYFUNCTION("""COMPUTED_VALUE"""),FALSE)</f>
        <v>0</v>
      </c>
      <c r="K329" s="142" t="str">
        <f>IFERROR(__xludf.DUMMYFUNCTION("""COMPUTED_VALUE"""),"Development")</f>
        <v>Development</v>
      </c>
      <c r="L329" s="142" t="str">
        <f>IFERROR(__xludf.DUMMYFUNCTION("""COMPUTED_VALUE"""),"Web Development")</f>
        <v>Web Development</v>
      </c>
      <c r="N329" s="140" t="str">
        <f>IFERROR(__xludf.DUMMYFUNCTION("""COMPUTED_VALUE"""),"")</f>
        <v/>
      </c>
      <c r="P329" s="140" t="str">
        <f>IFERROR(__xludf.DUMMYFUNCTION("""COMPUTED_VALUE"""),"")</f>
        <v/>
      </c>
    </row>
    <row r="330">
      <c r="A330" s="141">
        <f>IFERROR(__xludf.DUMMYFUNCTION("""COMPUTED_VALUE"""),44501.0)</f>
        <v>44501</v>
      </c>
      <c r="B330" s="141">
        <f>IFERROR(__xludf.DUMMYFUNCTION("""COMPUTED_VALUE"""),44712.0)</f>
        <v>44712</v>
      </c>
      <c r="C330" t="str">
        <f>IFERROR(__xludf.DUMMYFUNCTION("""COMPUTED_VALUE"""),"en")</f>
        <v>en</v>
      </c>
      <c r="D330">
        <f>IFERROR(__xludf.DUMMYFUNCTION("""COMPUTED_VALUE"""),1874592.0)</f>
        <v>1874592</v>
      </c>
      <c r="E330" t="str">
        <f>IFERROR(__xludf.DUMMYFUNCTION("""COMPUTED_VALUE"""),"SSAS Training MultiDimensional Model - Part 3")</f>
        <v>SSAS Training MultiDimensional Model - Part 3</v>
      </c>
      <c r="F330" t="str">
        <f>IFERROR(__xludf.DUMMYFUNCTION("""COMPUTED_VALUE"""),"SSAS Training MultiDimensional Model - Part 3")</f>
        <v>SSAS Training MultiDimensional Model - Part 3</v>
      </c>
      <c r="G330">
        <f>IFERROR(__xludf.DUMMYFUNCTION("""COMPUTED_VALUE"""),1.2977158E7)</f>
        <v>12977158</v>
      </c>
      <c r="H330" t="str">
        <f>IFERROR(__xludf.DUMMYFUNCTION("""COMPUTED_VALUE"""),"Vikas Munjal")</f>
        <v>Vikas Munjal</v>
      </c>
      <c r="I330" t="str">
        <f>IFERROR(__xludf.DUMMYFUNCTION("""COMPUTED_VALUE"""),"3 Flags")</f>
        <v>3 Flags</v>
      </c>
      <c r="J330" t="b">
        <f>IFERROR(__xludf.DUMMYFUNCTION("""COMPUTED_VALUE"""),FALSE)</f>
        <v>0</v>
      </c>
      <c r="K330" s="142" t="str">
        <f>IFERROR(__xludf.DUMMYFUNCTION("""COMPUTED_VALUE"""),"Development")</f>
        <v>Development</v>
      </c>
      <c r="L330" s="142" t="str">
        <f>IFERROR(__xludf.DUMMYFUNCTION("""COMPUTED_VALUE"""),"Database Design &amp; Development")</f>
        <v>Database Design &amp; Development</v>
      </c>
      <c r="N330" s="140" t="str">
        <f>IFERROR(__xludf.DUMMYFUNCTION("""COMPUTED_VALUE"""),"")</f>
        <v/>
      </c>
      <c r="P330" s="140" t="str">
        <f>IFERROR(__xludf.DUMMYFUNCTION("""COMPUTED_VALUE"""),"")</f>
        <v/>
      </c>
    </row>
    <row r="331">
      <c r="A331" s="141">
        <f>IFERROR(__xludf.DUMMYFUNCTION("""COMPUTED_VALUE"""),44501.0)</f>
        <v>44501</v>
      </c>
      <c r="B331" s="141">
        <f>IFERROR(__xludf.DUMMYFUNCTION("""COMPUTED_VALUE"""),44712.0)</f>
        <v>44712</v>
      </c>
      <c r="C331" t="str">
        <f>IFERROR(__xludf.DUMMYFUNCTION("""COMPUTED_VALUE"""),"es")</f>
        <v>es</v>
      </c>
      <c r="D331">
        <f>IFERROR(__xludf.DUMMYFUNCTION("""COMPUTED_VALUE"""),1902716.0)</f>
        <v>1902716</v>
      </c>
      <c r="E331" t="str">
        <f>IFERROR(__xludf.DUMMYFUNCTION("""COMPUTED_VALUE"""),"Desarrollo Web con Python usando Django  para Principiantes")</f>
        <v>Desarrollo Web con Python usando Django  para Principiantes</v>
      </c>
      <c r="F331" t="str">
        <f>IFERROR(__xludf.DUMMYFUNCTION("""COMPUTED_VALUE"""),"Web development with Python using Django for beginners")</f>
        <v>Web development with Python using Django for beginners</v>
      </c>
      <c r="G331">
        <f>IFERROR(__xludf.DUMMYFUNCTION("""COMPUTED_VALUE"""),1.0225842E7)</f>
        <v>10225842</v>
      </c>
      <c r="H331" t="str">
        <f>IFERROR(__xludf.DUMMYFUNCTION("""COMPUTED_VALUE"""),"Daniel Ernesto Bojorge Sequeira")</f>
        <v>Daniel Ernesto Bojorge Sequeira</v>
      </c>
      <c r="I331" t="str">
        <f>IFERROR(__xludf.DUMMYFUNCTION("""COMPUTED_VALUE"""),"3 Flags")</f>
        <v>3 Flags</v>
      </c>
      <c r="J331" t="b">
        <f>IFERROR(__xludf.DUMMYFUNCTION("""COMPUTED_VALUE"""),FALSE)</f>
        <v>0</v>
      </c>
      <c r="K331" s="142" t="str">
        <f>IFERROR(__xludf.DUMMYFUNCTION("""COMPUTED_VALUE"""),"Development")</f>
        <v>Development</v>
      </c>
      <c r="L331" s="142" t="str">
        <f>IFERROR(__xludf.DUMMYFUNCTION("""COMPUTED_VALUE"""),"Web Development")</f>
        <v>Web Development</v>
      </c>
      <c r="N331" s="140" t="str">
        <f>IFERROR(__xludf.DUMMYFUNCTION("""COMPUTED_VALUE"""),"")</f>
        <v/>
      </c>
      <c r="P331" s="140" t="str">
        <f>IFERROR(__xludf.DUMMYFUNCTION("""COMPUTED_VALUE"""),"")</f>
        <v/>
      </c>
    </row>
    <row r="332">
      <c r="A332" s="141">
        <f>IFERROR(__xludf.DUMMYFUNCTION("""COMPUTED_VALUE"""),44501.0)</f>
        <v>44501</v>
      </c>
      <c r="B332" s="141">
        <f>IFERROR(__xludf.DUMMYFUNCTION("""COMPUTED_VALUE"""),44712.0)</f>
        <v>44712</v>
      </c>
      <c r="C332" t="str">
        <f>IFERROR(__xludf.DUMMYFUNCTION("""COMPUTED_VALUE"""),"de")</f>
        <v>de</v>
      </c>
      <c r="D332">
        <f>IFERROR(__xludf.DUMMYFUNCTION("""COMPUTED_VALUE"""),2102888.0)</f>
        <v>2102888</v>
      </c>
      <c r="E332" t="str">
        <f>IFERROR(__xludf.DUMMYFUNCTION("""COMPUTED_VALUE"""),"Die Speedreading-Formel - 2x schneller lesen in 2 Wochen")</f>
        <v>Die Speedreading-Formel - 2x schneller lesen in 2 Wochen</v>
      </c>
      <c r="F332" t="str">
        <f>IFERROR(__xludf.DUMMYFUNCTION("""COMPUTED_VALUE"""),"The SpeedRading formula - 2x read faster in 2 weeks")</f>
        <v>The SpeedRading formula - 2x read faster in 2 weeks</v>
      </c>
      <c r="G332">
        <f>IFERROR(__xludf.DUMMYFUNCTION("""COMPUTED_VALUE"""),6.1075756E7)</f>
        <v>61075756</v>
      </c>
      <c r="H332" t="str">
        <f>IFERROR(__xludf.DUMMYFUNCTION("""COMPUTED_VALUE"""),"Wichard Lüdje")</f>
        <v>Wichard Lüdje</v>
      </c>
      <c r="I332" t="str">
        <f>IFERROR(__xludf.DUMMYFUNCTION("""COMPUTED_VALUE"""),"3 Flags")</f>
        <v>3 Flags</v>
      </c>
      <c r="J332" t="b">
        <f>IFERROR(__xludf.DUMMYFUNCTION("""COMPUTED_VALUE"""),FALSE)</f>
        <v>0</v>
      </c>
      <c r="K332" s="142" t="str">
        <f>IFERROR(__xludf.DUMMYFUNCTION("""COMPUTED_VALUE"""),"Office Productivity")</f>
        <v>Office Productivity</v>
      </c>
      <c r="L332" s="142" t="str">
        <f>IFERROR(__xludf.DUMMYFUNCTION("""COMPUTED_VALUE"""),"Email &amp; Productivity")</f>
        <v>Email &amp; Productivity</v>
      </c>
      <c r="N332" s="140" t="str">
        <f>IFERROR(__xludf.DUMMYFUNCTION("""COMPUTED_VALUE"""),"")</f>
        <v/>
      </c>
      <c r="P332" s="140" t="str">
        <f>IFERROR(__xludf.DUMMYFUNCTION("""COMPUTED_VALUE"""),"")</f>
        <v/>
      </c>
    </row>
    <row r="333">
      <c r="A333" s="141">
        <f>IFERROR(__xludf.DUMMYFUNCTION("""COMPUTED_VALUE"""),44501.0)</f>
        <v>44501</v>
      </c>
      <c r="B333" s="141">
        <f>IFERROR(__xludf.DUMMYFUNCTION("""COMPUTED_VALUE"""),44712.0)</f>
        <v>44712</v>
      </c>
      <c r="C333" t="str">
        <f>IFERROR(__xludf.DUMMYFUNCTION("""COMPUTED_VALUE"""),"en")</f>
        <v>en</v>
      </c>
      <c r="D333">
        <f>IFERROR(__xludf.DUMMYFUNCTION("""COMPUTED_VALUE"""),2265298.0)</f>
        <v>2265298</v>
      </c>
      <c r="E333" t="str">
        <f>IFERROR(__xludf.DUMMYFUNCTION("""COMPUTED_VALUE"""),"Reverse Engineering with Radare 2")</f>
        <v>Reverse Engineering with Radare 2</v>
      </c>
      <c r="F333" t="str">
        <f>IFERROR(__xludf.DUMMYFUNCTION("""COMPUTED_VALUE"""),"Reverse Engineering with Radare 2")</f>
        <v>Reverse Engineering with Radare 2</v>
      </c>
      <c r="G333">
        <f>IFERROR(__xludf.DUMMYFUNCTION("""COMPUTED_VALUE"""),9113786.0)</f>
        <v>9113786</v>
      </c>
      <c r="H333" t="str">
        <f>IFERROR(__xludf.DUMMYFUNCTION("""COMPUTED_VALUE"""),"Geri Revay")</f>
        <v>Geri Revay</v>
      </c>
      <c r="I333" t="str">
        <f>IFERROR(__xludf.DUMMYFUNCTION("""COMPUTED_VALUE"""),"3 Flags")</f>
        <v>3 Flags</v>
      </c>
      <c r="J333" t="b">
        <f>IFERROR(__xludf.DUMMYFUNCTION("""COMPUTED_VALUE"""),FALSE)</f>
        <v>0</v>
      </c>
      <c r="K333" s="142" t="str">
        <f>IFERROR(__xludf.DUMMYFUNCTION("""COMPUTED_VALUE"""),"IT Operations")</f>
        <v>IT Operations</v>
      </c>
      <c r="L333" s="142" t="str">
        <f>IFERROR(__xludf.DUMMYFUNCTION("""COMPUTED_VALUE"""),"Network &amp; Security")</f>
        <v>Network &amp; Security</v>
      </c>
      <c r="N333" s="140" t="str">
        <f>IFERROR(__xludf.DUMMYFUNCTION("""COMPUTED_VALUE"""),"")</f>
        <v/>
      </c>
      <c r="P333" s="140" t="str">
        <f>IFERROR(__xludf.DUMMYFUNCTION("""COMPUTED_VALUE"""),"")</f>
        <v/>
      </c>
    </row>
    <row r="334">
      <c r="A334" s="141">
        <f>IFERROR(__xludf.DUMMYFUNCTION("""COMPUTED_VALUE"""),44501.0)</f>
        <v>44501</v>
      </c>
      <c r="B334" s="141">
        <f>IFERROR(__xludf.DUMMYFUNCTION("""COMPUTED_VALUE"""),44712.0)</f>
        <v>44712</v>
      </c>
      <c r="C334" t="str">
        <f>IFERROR(__xludf.DUMMYFUNCTION("""COMPUTED_VALUE"""),"es")</f>
        <v>es</v>
      </c>
      <c r="D334">
        <f>IFERROR(__xludf.DUMMYFUNCTION("""COMPUTED_VALUE"""),2337088.0)</f>
        <v>2337088</v>
      </c>
      <c r="E334" t="str">
        <f>IFERROR(__xludf.DUMMYFUNCTION("""COMPUTED_VALUE"""),"Curso Completo de Growth Hacking &amp; Growth Marketing")</f>
        <v>Curso Completo de Growth Hacking &amp; Growth Marketing</v>
      </c>
      <c r="F334" t="str">
        <f>IFERROR(__xludf.DUMMYFUNCTION("""COMPUTED_VALUE"""),"Curso Completo de Growth Hacking &amp; Growth Marketing")</f>
        <v>Curso Completo de Growth Hacking &amp; Growth Marketing</v>
      </c>
      <c r="G334">
        <f>IFERROR(__xludf.DUMMYFUNCTION("""COMPUTED_VALUE"""),801404.0)</f>
        <v>801404</v>
      </c>
      <c r="H334" t="str">
        <f>IFERROR(__xludf.DUMMYFUNCTION("""COMPUTED_VALUE"""),"Diego Davila")</f>
        <v>Diego Davila</v>
      </c>
      <c r="I334" t="str">
        <f>IFERROR(__xludf.DUMMYFUNCTION("""COMPUTED_VALUE"""),"3 Flags")</f>
        <v>3 Flags</v>
      </c>
      <c r="J334" t="b">
        <f>IFERROR(__xludf.DUMMYFUNCTION("""COMPUTED_VALUE"""),FALSE)</f>
        <v>0</v>
      </c>
      <c r="K334" s="142" t="str">
        <f>IFERROR(__xludf.DUMMYFUNCTION("""COMPUTED_VALUE"""),"Marketing")</f>
        <v>Marketing</v>
      </c>
      <c r="L334" s="142" t="str">
        <f>IFERROR(__xludf.DUMMYFUNCTION("""COMPUTED_VALUE"""),"Digital Marketing")</f>
        <v>Digital Marketing</v>
      </c>
      <c r="N334" s="140" t="str">
        <f>IFERROR(__xludf.DUMMYFUNCTION("""COMPUTED_VALUE"""),"")</f>
        <v/>
      </c>
      <c r="P334" s="140" t="str">
        <f>IFERROR(__xludf.DUMMYFUNCTION("""COMPUTED_VALUE"""),"")</f>
        <v/>
      </c>
    </row>
    <row r="335">
      <c r="A335" s="141">
        <f>IFERROR(__xludf.DUMMYFUNCTION("""COMPUTED_VALUE"""),44501.0)</f>
        <v>44501</v>
      </c>
      <c r="B335" s="141">
        <f>IFERROR(__xludf.DUMMYFUNCTION("""COMPUTED_VALUE"""),44712.0)</f>
        <v>44712</v>
      </c>
      <c r="C335" t="str">
        <f>IFERROR(__xludf.DUMMYFUNCTION("""COMPUTED_VALUE"""),"en")</f>
        <v>en</v>
      </c>
      <c r="D335">
        <f>IFERROR(__xludf.DUMMYFUNCTION("""COMPUTED_VALUE"""),2558916.0)</f>
        <v>2558916</v>
      </c>
      <c r="E335" t="str">
        <f>IFERROR(__xludf.DUMMYFUNCTION("""COMPUTED_VALUE"""),"A New Method For Product Development &amp; Design: SIMPSIS-Model")</f>
        <v>A New Method For Product Development &amp; Design: SIMPSIS-Model</v>
      </c>
      <c r="F335" t="str">
        <f>IFERROR(__xludf.DUMMYFUNCTION("""COMPUTED_VALUE"""),"A New Method For Product Development &amp; Design: SIMPSIS-Model")</f>
        <v>A New Method For Product Development &amp; Design: SIMPSIS-Model</v>
      </c>
      <c r="G335">
        <f>IFERROR(__xludf.DUMMYFUNCTION("""COMPUTED_VALUE"""),1.1064756E7)</f>
        <v>11064756</v>
      </c>
      <c r="H335" t="str">
        <f>IFERROR(__xludf.DUMMYFUNCTION("""COMPUTED_VALUE"""),"Maxim &amp; Olivier Leirman")</f>
        <v>Maxim &amp; Olivier Leirman</v>
      </c>
      <c r="I335" t="str">
        <f>IFERROR(__xludf.DUMMYFUNCTION("""COMPUTED_VALUE"""),"3 Flags")</f>
        <v>3 Flags</v>
      </c>
      <c r="J335" t="b">
        <f>IFERROR(__xludf.DUMMYFUNCTION("""COMPUTED_VALUE"""),FALSE)</f>
        <v>0</v>
      </c>
      <c r="K335" s="142" t="str">
        <f>IFERROR(__xludf.DUMMYFUNCTION("""COMPUTED_VALUE"""),"Marketing")</f>
        <v>Marketing</v>
      </c>
      <c r="L335" s="142" t="str">
        <f>IFERROR(__xludf.DUMMYFUNCTION("""COMPUTED_VALUE"""),"Marketing Strategy")</f>
        <v>Marketing Strategy</v>
      </c>
      <c r="N335" s="140" t="str">
        <f>IFERROR(__xludf.DUMMYFUNCTION("""COMPUTED_VALUE"""),"")</f>
        <v/>
      </c>
      <c r="P335" s="140" t="str">
        <f>IFERROR(__xludf.DUMMYFUNCTION("""COMPUTED_VALUE"""),"")</f>
        <v/>
      </c>
    </row>
    <row r="336">
      <c r="A336" s="141">
        <f>IFERROR(__xludf.DUMMYFUNCTION("""COMPUTED_VALUE"""),44501.0)</f>
        <v>44501</v>
      </c>
      <c r="B336" s="141">
        <f>IFERROR(__xludf.DUMMYFUNCTION("""COMPUTED_VALUE"""),44712.0)</f>
        <v>44712</v>
      </c>
      <c r="C336" t="str">
        <f>IFERROR(__xludf.DUMMYFUNCTION("""COMPUTED_VALUE"""),"fr")</f>
        <v>fr</v>
      </c>
      <c r="D336">
        <f>IFERROR(__xludf.DUMMYFUNCTION("""COMPUTED_VALUE"""),2616454.0)</f>
        <v>2616454</v>
      </c>
      <c r="E336" t="str">
        <f>IFERROR(__xludf.DUMMYFUNCTION("""COMPUTED_VALUE"""),"Spring Batch par la pratique")</f>
        <v>Spring Batch par la pratique</v>
      </c>
      <c r="F336" t="str">
        <f>IFERROR(__xludf.DUMMYFUNCTION("""COMPUTED_VALUE"""),"Spring batch by practice")</f>
        <v>Spring batch by practice</v>
      </c>
      <c r="G336">
        <f>IFERROR(__xludf.DUMMYFUNCTION("""COMPUTED_VALUE"""),4.2482022E7)</f>
        <v>42482022</v>
      </c>
      <c r="H336" t="str">
        <f>IFERROR(__xludf.DUMMYFUNCTION("""COMPUTED_VALUE"""),"Mohamed ZAROUAL")</f>
        <v>Mohamed ZAROUAL</v>
      </c>
      <c r="I336" t="str">
        <f>IFERROR(__xludf.DUMMYFUNCTION("""COMPUTED_VALUE"""),"3 Flags")</f>
        <v>3 Flags</v>
      </c>
      <c r="J336" t="b">
        <f>IFERROR(__xludf.DUMMYFUNCTION("""COMPUTED_VALUE"""),FALSE)</f>
        <v>0</v>
      </c>
      <c r="K336" s="142" t="str">
        <f>IFERROR(__xludf.DUMMYFUNCTION("""COMPUTED_VALUE"""),"Development")</f>
        <v>Development</v>
      </c>
      <c r="L336" s="142" t="str">
        <f>IFERROR(__xludf.DUMMYFUNCTION("""COMPUTED_VALUE"""),"Programming Languages")</f>
        <v>Programming Languages</v>
      </c>
      <c r="N336" s="140" t="str">
        <f>IFERROR(__xludf.DUMMYFUNCTION("""COMPUTED_VALUE"""),"")</f>
        <v/>
      </c>
      <c r="P336" s="140" t="str">
        <f>IFERROR(__xludf.DUMMYFUNCTION("""COMPUTED_VALUE"""),"")</f>
        <v/>
      </c>
    </row>
    <row r="337">
      <c r="A337" s="141">
        <f>IFERROR(__xludf.DUMMYFUNCTION("""COMPUTED_VALUE"""),44501.0)</f>
        <v>44501</v>
      </c>
      <c r="B337" s="141">
        <f>IFERROR(__xludf.DUMMYFUNCTION("""COMPUTED_VALUE"""),44712.0)</f>
        <v>44712</v>
      </c>
      <c r="C337" t="str">
        <f>IFERROR(__xludf.DUMMYFUNCTION("""COMPUTED_VALUE"""),"de")</f>
        <v>de</v>
      </c>
      <c r="D337">
        <f>IFERROR(__xludf.DUMMYFUNCTION("""COMPUTED_VALUE"""),2789434.0)</f>
        <v>2789434</v>
      </c>
      <c r="E337" t="str">
        <f>IFERROR(__xludf.DUMMYFUNCTION("""COMPUTED_VALUE"""),"Apache Kafka: Real-Time Streaming für Big Data")</f>
        <v>Apache Kafka: Real-Time Streaming für Big Data</v>
      </c>
      <c r="F337" t="str">
        <f>IFERROR(__xludf.DUMMYFUNCTION("""COMPUTED_VALUE"""),"Apache Kafka: Real-Time Streaming for Big Data")</f>
        <v>Apache Kafka: Real-Time Streaming for Big Data</v>
      </c>
      <c r="G337">
        <f>IFERROR(__xludf.DUMMYFUNCTION("""COMPUTED_VALUE"""),3.019069E7)</f>
        <v>30190690</v>
      </c>
      <c r="H337" t="str">
        <f>IFERROR(__xludf.DUMMYFUNCTION("""COMPUTED_VALUE"""),"Dr. René Brunner")</f>
        <v>Dr. René Brunner</v>
      </c>
      <c r="I337" t="str">
        <f>IFERROR(__xludf.DUMMYFUNCTION("""COMPUTED_VALUE"""),"3 Flags")</f>
        <v>3 Flags</v>
      </c>
      <c r="J337" t="b">
        <f>IFERROR(__xludf.DUMMYFUNCTION("""COMPUTED_VALUE"""),FALSE)</f>
        <v>0</v>
      </c>
      <c r="K337" s="142" t="str">
        <f>IFERROR(__xludf.DUMMYFUNCTION("""COMPUTED_VALUE"""),"Data Science")</f>
        <v>Data Science</v>
      </c>
      <c r="L337" s="142" t="str">
        <f>IFERROR(__xludf.DUMMYFUNCTION("""COMPUTED_VALUE"""),"Big Data")</f>
        <v>Big Data</v>
      </c>
      <c r="M337" s="140">
        <f>IFERROR(__xludf.DUMMYFUNCTION("""COMPUTED_VALUE"""),2299870.0)</f>
        <v>2299870</v>
      </c>
      <c r="N337" s="140" t="str">
        <f>IFERROR(__xludf.DUMMYFUNCTION("""COMPUTED_VALUE"""),"Apache Kafka - Real-time Stream Processing (Master Class)")</f>
        <v>Apache Kafka - Real-time Stream Processing (Master Class)</v>
      </c>
      <c r="P337" s="140" t="str">
        <f>IFERROR(__xludf.DUMMYFUNCTION("""COMPUTED_VALUE"""),"")</f>
        <v/>
      </c>
    </row>
    <row r="338">
      <c r="A338" s="141">
        <f>IFERROR(__xludf.DUMMYFUNCTION("""COMPUTED_VALUE"""),44501.0)</f>
        <v>44501</v>
      </c>
      <c r="B338" s="141">
        <f>IFERROR(__xludf.DUMMYFUNCTION("""COMPUTED_VALUE"""),44712.0)</f>
        <v>44712</v>
      </c>
      <c r="C338" t="str">
        <f>IFERROR(__xludf.DUMMYFUNCTION("""COMPUTED_VALUE"""),"en")</f>
        <v>en</v>
      </c>
      <c r="D338">
        <f>IFERROR(__xludf.DUMMYFUNCTION("""COMPUTED_VALUE"""),3328870.0)</f>
        <v>3328870</v>
      </c>
      <c r="E338" t="str">
        <f>IFERROR(__xludf.DUMMYFUNCTION("""COMPUTED_VALUE"""),"React practice course. Build React app from scratch.")</f>
        <v>React practice course. Build React app from scratch.</v>
      </c>
      <c r="F338" t="str">
        <f>IFERROR(__xludf.DUMMYFUNCTION("""COMPUTED_VALUE"""),"React practice course. Build React app from scratch.")</f>
        <v>React practice course. Build React app from scratch.</v>
      </c>
      <c r="G338">
        <f>IFERROR(__xludf.DUMMYFUNCTION("""COMPUTED_VALUE"""),6.0854758E7)</f>
        <v>60854758</v>
      </c>
      <c r="H338" t="str">
        <f>IFERROR(__xludf.DUMMYFUNCTION("""COMPUTED_VALUE"""),"Maksym Rudnyi")</f>
        <v>Maksym Rudnyi</v>
      </c>
      <c r="I338" t="str">
        <f>IFERROR(__xludf.DUMMYFUNCTION("""COMPUTED_VALUE"""),"3 Flags")</f>
        <v>3 Flags</v>
      </c>
      <c r="J338" t="b">
        <f>IFERROR(__xludf.DUMMYFUNCTION("""COMPUTED_VALUE"""),FALSE)</f>
        <v>0</v>
      </c>
      <c r="K338" s="142" t="str">
        <f>IFERROR(__xludf.DUMMYFUNCTION("""COMPUTED_VALUE"""),"Development")</f>
        <v>Development</v>
      </c>
      <c r="L338" s="142" t="str">
        <f>IFERROR(__xludf.DUMMYFUNCTION("""COMPUTED_VALUE"""),"Web Development")</f>
        <v>Web Development</v>
      </c>
      <c r="M338" s="140">
        <f>IFERROR(__xludf.DUMMYFUNCTION("""COMPUTED_VALUE"""),1362070.0)</f>
        <v>1362070</v>
      </c>
      <c r="N338" s="140" t="str">
        <f>IFERROR(__xludf.DUMMYFUNCTION("""COMPUTED_VALUE"""),"React - The Complete Guide (incl Hooks, React Router, Redux)")</f>
        <v>React - The Complete Guide (incl Hooks, React Router, Redux)</v>
      </c>
      <c r="O338" s="140">
        <f>IFERROR(__xludf.DUMMYFUNCTION("""COMPUTED_VALUE"""),1436092.0)</f>
        <v>1436092</v>
      </c>
      <c r="P338" s="140" t="str">
        <f>IFERROR(__xludf.DUMMYFUNCTION("""COMPUTED_VALUE"""),"React Native - The Practical Guide [2022 Edition]")</f>
        <v>React Native - The Practical Guide [2022 Edition]</v>
      </c>
    </row>
    <row r="339">
      <c r="A339" s="141">
        <f>IFERROR(__xludf.DUMMYFUNCTION("""COMPUTED_VALUE"""),44501.0)</f>
        <v>44501</v>
      </c>
      <c r="B339" s="141">
        <f>IFERROR(__xludf.DUMMYFUNCTION("""COMPUTED_VALUE"""),44712.0)</f>
        <v>44712</v>
      </c>
      <c r="C339" t="str">
        <f>IFERROR(__xludf.DUMMYFUNCTION("""COMPUTED_VALUE"""),"en")</f>
        <v>en</v>
      </c>
      <c r="D339">
        <f>IFERROR(__xludf.DUMMYFUNCTION("""COMPUTED_VALUE"""),3368010.0)</f>
        <v>3368010</v>
      </c>
      <c r="E339" t="str">
        <f>IFERROR(__xludf.DUMMYFUNCTION("""COMPUTED_VALUE"""),"Introduction to Supermetrics for Data Studio and BigQuery")</f>
        <v>Introduction to Supermetrics for Data Studio and BigQuery</v>
      </c>
      <c r="F339" t="str">
        <f>IFERROR(__xludf.DUMMYFUNCTION("""COMPUTED_VALUE"""),"Introduction to Supermetrics for Data Studio and BigQuery")</f>
        <v>Introduction to Supermetrics for Data Studio and BigQuery</v>
      </c>
      <c r="G339">
        <f>IFERROR(__xludf.DUMMYFUNCTION("""COMPUTED_VALUE"""),1.5414892E7)</f>
        <v>15414892</v>
      </c>
      <c r="H339" t="str">
        <f>IFERROR(__xludf.DUMMYFUNCTION("""COMPUTED_VALUE"""),"Lachezar Arabadzhiev")</f>
        <v>Lachezar Arabadzhiev</v>
      </c>
      <c r="I339" t="str">
        <f>IFERROR(__xludf.DUMMYFUNCTION("""COMPUTED_VALUE"""),"3 Flags")</f>
        <v>3 Flags</v>
      </c>
      <c r="J339" t="b">
        <f>IFERROR(__xludf.DUMMYFUNCTION("""COMPUTED_VALUE"""),FALSE)</f>
        <v>0</v>
      </c>
      <c r="K339" s="142" t="str">
        <f>IFERROR(__xludf.DUMMYFUNCTION("""COMPUTED_VALUE"""),"Data Science")</f>
        <v>Data Science</v>
      </c>
      <c r="L339" s="142" t="str">
        <f>IFERROR(__xludf.DUMMYFUNCTION("""COMPUTED_VALUE"""),"Analytics")</f>
        <v>Analytics</v>
      </c>
      <c r="M339" s="140">
        <f>IFERROR(__xludf.DUMMYFUNCTION("""COMPUTED_VALUE"""),1213560.0)</f>
        <v>1213560</v>
      </c>
      <c r="N339" s="140" t="str">
        <f>IFERROR(__xludf.DUMMYFUNCTION("""COMPUTED_VALUE"""),"Complete Introduction to Google Data Studio 2021 Edition")</f>
        <v>Complete Introduction to Google Data Studio 2021 Edition</v>
      </c>
      <c r="P339" s="140" t="str">
        <f>IFERROR(__xludf.DUMMYFUNCTION("""COMPUTED_VALUE"""),"")</f>
        <v/>
      </c>
    </row>
    <row r="340">
      <c r="A340" s="141">
        <f>IFERROR(__xludf.DUMMYFUNCTION("""COMPUTED_VALUE"""),44501.0)</f>
        <v>44501</v>
      </c>
      <c r="B340" s="141">
        <f>IFERROR(__xludf.DUMMYFUNCTION("""COMPUTED_VALUE"""),44712.0)</f>
        <v>44712</v>
      </c>
      <c r="C340" t="str">
        <f>IFERROR(__xludf.DUMMYFUNCTION("""COMPUTED_VALUE"""),"ja")</f>
        <v>ja</v>
      </c>
      <c r="D340">
        <f>IFERROR(__xludf.DUMMYFUNCTION("""COMPUTED_VALUE"""),3522706.0)</f>
        <v>3522706</v>
      </c>
      <c r="E340" t="str">
        <f>IFERROR(__xludf.DUMMYFUNCTION("""COMPUTED_VALUE"""),"最短・最速で作る ビデオチャットアプリケーション NodeJS + WebRTC編")</f>
        <v>最短・最速で作る ビデオチャットアプリケーション NodeJS + WebRTC編</v>
      </c>
      <c r="F340" t="str">
        <f>IFERROR(__xludf.DUMMYFUNCTION("""COMPUTED_VALUE"""),"Best and fastest video chat application NodeJS + WebRTC")</f>
        <v>Best and fastest video chat application NodeJS + WebRTC</v>
      </c>
      <c r="G340">
        <f>IFERROR(__xludf.DUMMYFUNCTION("""COMPUTED_VALUE"""),2.8654246E7)</f>
        <v>28654246</v>
      </c>
      <c r="H340" t="str">
        <f>IFERROR(__xludf.DUMMYFUNCTION("""COMPUTED_VALUE"""),"@Daiz Academy")</f>
        <v>@Daiz Academy</v>
      </c>
      <c r="I340" t="str">
        <f>IFERROR(__xludf.DUMMYFUNCTION("""COMPUTED_VALUE"""),"3 Flags")</f>
        <v>3 Flags</v>
      </c>
      <c r="J340" t="b">
        <f>IFERROR(__xludf.DUMMYFUNCTION("""COMPUTED_VALUE"""),FALSE)</f>
        <v>0</v>
      </c>
      <c r="K340" s="142" t="str">
        <f>IFERROR(__xludf.DUMMYFUNCTION("""COMPUTED_VALUE"""),"Development")</f>
        <v>Development</v>
      </c>
      <c r="L340" s="142" t="str">
        <f>IFERROR(__xludf.DUMMYFUNCTION("""COMPUTED_VALUE"""),"Web Development")</f>
        <v>Web Development</v>
      </c>
      <c r="M340" s="140">
        <f>IFERROR(__xludf.DUMMYFUNCTION("""COMPUTED_VALUE"""),1909904.0)</f>
        <v>1909904</v>
      </c>
      <c r="N340" s="140" t="str">
        <f>IFERROR(__xludf.DUMMYFUNCTION("""COMPUTED_VALUE"""),"Node.js 入門 ー演習しながら学ぶ基本クラスの使い方ー")</f>
        <v>Node.js 入門 ー演習しながら学ぶ基本クラスの使い方ー</v>
      </c>
      <c r="O340" s="140">
        <f>IFERROR(__xludf.DUMMYFUNCTION("""COMPUTED_VALUE"""),2723450.0)</f>
        <v>2723450</v>
      </c>
      <c r="P340" s="140" t="str">
        <f>IFERROR(__xludf.DUMMYFUNCTION("""COMPUTED_VALUE"""),"はじめてのNode.js入門。Expressフレームワークを用いた本格Webサーバー構築やJSONなどを学ぼう！")</f>
        <v>はじめてのNode.js入門。Expressフレームワークを用いた本格Webサーバー構築やJSONなどを学ぼう！</v>
      </c>
    </row>
    <row r="341">
      <c r="A341" s="141">
        <f>IFERROR(__xludf.DUMMYFUNCTION("""COMPUTED_VALUE"""),44501.0)</f>
        <v>44501</v>
      </c>
      <c r="B341" s="141">
        <f>IFERROR(__xludf.DUMMYFUNCTION("""COMPUTED_VALUE"""),44712.0)</f>
        <v>44712</v>
      </c>
      <c r="C341" t="str">
        <f>IFERROR(__xludf.DUMMYFUNCTION("""COMPUTED_VALUE"""),"es")</f>
        <v>es</v>
      </c>
      <c r="D341">
        <f>IFERROR(__xludf.DUMMYFUNCTION("""COMPUTED_VALUE"""),3538444.0)</f>
        <v>3538444</v>
      </c>
      <c r="E341" t="str">
        <f>IFERROR(__xludf.DUMMYFUNCTION("""COMPUTED_VALUE"""),"Diseño Creativo para Reclutamiento de RRHH")</f>
        <v>Diseño Creativo para Reclutamiento de RRHH</v>
      </c>
      <c r="F341" t="str">
        <f>IFERROR(__xludf.DUMMYFUNCTION("""COMPUTED_VALUE"""),"Creative design for RRHH recruitment")</f>
        <v>Creative design for RRHH recruitment</v>
      </c>
      <c r="G341">
        <f>IFERROR(__xludf.DUMMYFUNCTION("""COMPUTED_VALUE"""),1.34914662E8)</f>
        <v>134914662</v>
      </c>
      <c r="H341" t="str">
        <f>IFERROR(__xludf.DUMMYFUNCTION("""COMPUTED_VALUE"""),"Jonathan Sánchez")</f>
        <v>Jonathan Sánchez</v>
      </c>
      <c r="I341" t="str">
        <f>IFERROR(__xludf.DUMMYFUNCTION("""COMPUTED_VALUE"""),"3 Flags")</f>
        <v>3 Flags</v>
      </c>
      <c r="J341" t="b">
        <f>IFERROR(__xludf.DUMMYFUNCTION("""COMPUTED_VALUE"""),FALSE)</f>
        <v>0</v>
      </c>
      <c r="K341" s="142" t="str">
        <f>IFERROR(__xludf.DUMMYFUNCTION("""COMPUTED_VALUE"""),"Workplace &amp; Human Resources")</f>
        <v>Workplace &amp; Human Resources</v>
      </c>
      <c r="L341" s="142" t="str">
        <f>IFERROR(__xludf.DUMMYFUNCTION("""COMPUTED_VALUE"""),"Human Resources Fundamentals")</f>
        <v>Human Resources Fundamentals</v>
      </c>
      <c r="N341" s="140" t="str">
        <f>IFERROR(__xludf.DUMMYFUNCTION("""COMPUTED_VALUE"""),"")</f>
        <v/>
      </c>
      <c r="P341" s="140" t="str">
        <f>IFERROR(__xludf.DUMMYFUNCTION("""COMPUTED_VALUE"""),"")</f>
        <v/>
      </c>
    </row>
    <row r="342">
      <c r="A342" s="141">
        <f>IFERROR(__xludf.DUMMYFUNCTION("""COMPUTED_VALUE"""),44501.0)</f>
        <v>44501</v>
      </c>
      <c r="B342" s="141">
        <f>IFERROR(__xludf.DUMMYFUNCTION("""COMPUTED_VALUE"""),44712.0)</f>
        <v>44712</v>
      </c>
      <c r="C342" t="str">
        <f>IFERROR(__xludf.DUMMYFUNCTION("""COMPUTED_VALUE"""),"de")</f>
        <v>de</v>
      </c>
      <c r="D342">
        <f>IFERROR(__xludf.DUMMYFUNCTION("""COMPUTED_VALUE"""),3864872.0)</f>
        <v>3864872</v>
      </c>
      <c r="E342" t="str">
        <f>IFERROR(__xludf.DUMMYFUNCTION("""COMPUTED_VALUE"""),"NLP Crashkurs, Einstieg in Neurolinguistisches Programmieren")</f>
        <v>NLP Crashkurs, Einstieg in Neurolinguistisches Programmieren</v>
      </c>
      <c r="F342" t="str">
        <f>IFERROR(__xludf.DUMMYFUNCTION("""COMPUTED_VALUE"""),"NLP crash course, entry into neurolinguistic programming")</f>
        <v>NLP crash course, entry into neurolinguistic programming</v>
      </c>
      <c r="G342">
        <f>IFERROR(__xludf.DUMMYFUNCTION("""COMPUTED_VALUE"""),1.5146218E8)</f>
        <v>151462180</v>
      </c>
      <c r="H342" t="str">
        <f>IFERROR(__xludf.DUMMYFUNCTION("""COMPUTED_VALUE"""),"Dr. Felix Claus")</f>
        <v>Dr. Felix Claus</v>
      </c>
      <c r="I342" t="str">
        <f>IFERROR(__xludf.DUMMYFUNCTION("""COMPUTED_VALUE"""),"3 Flags")</f>
        <v>3 Flags</v>
      </c>
      <c r="J342" t="b">
        <f>IFERROR(__xludf.DUMMYFUNCTION("""COMPUTED_VALUE"""),FALSE)</f>
        <v>0</v>
      </c>
      <c r="K342" s="142" t="str">
        <f>IFERROR(__xludf.DUMMYFUNCTION("""COMPUTED_VALUE"""),"Personal Development")</f>
        <v>Personal Development</v>
      </c>
      <c r="L342" s="142" t="str">
        <f>IFERROR(__xludf.DUMMYFUNCTION("""COMPUTED_VALUE"""),"Personal Growth")</f>
        <v>Personal Growth</v>
      </c>
      <c r="M342" s="140">
        <f>IFERROR(__xludf.DUMMYFUNCTION("""COMPUTED_VALUE"""),3641368.0)</f>
        <v>3641368</v>
      </c>
      <c r="N342" s="140" t="str">
        <f>IFERROR(__xludf.DUMMYFUNCTION("""COMPUTED_VALUE"""),"Die Gewinner-Formel - Erreiche 2022 deine Ziele mit NLP")</f>
        <v>Die Gewinner-Formel - Erreiche 2022 deine Ziele mit NLP</v>
      </c>
      <c r="O342" s="140">
        <f>IFERROR(__xludf.DUMMYFUNCTION("""COMPUTED_VALUE"""),3373002.0)</f>
        <v>3373002</v>
      </c>
      <c r="P342" s="140" t="str">
        <f>IFERROR(__xludf.DUMMYFUNCTION("""COMPUTED_VALUE"""),"NLP Practitioner: Ankern, Chaining, Collapsing Anchors, etc.")</f>
        <v>NLP Practitioner: Ankern, Chaining, Collapsing Anchors, etc.</v>
      </c>
    </row>
    <row r="343">
      <c r="A343" s="141">
        <f>IFERROR(__xludf.DUMMYFUNCTION("""COMPUTED_VALUE"""),44530.0)</f>
        <v>44530</v>
      </c>
      <c r="B343" s="141">
        <f>IFERROR(__xludf.DUMMYFUNCTION("""COMPUTED_VALUE"""),44712.0)</f>
        <v>44712</v>
      </c>
      <c r="C343" s="140" t="str">
        <f>IFERROR(__xludf.DUMMYFUNCTION("""COMPUTED_VALUE"""),"en")</f>
        <v>en</v>
      </c>
      <c r="D343">
        <f>IFERROR(__xludf.DUMMYFUNCTION("""COMPUTED_VALUE"""),189086.0)</f>
        <v>189086</v>
      </c>
      <c r="E343" t="str">
        <f>IFERROR(__xludf.DUMMYFUNCTION("""COMPUTED_VALUE"""),"Productivity Hacks: Free Up Your Time &amp; Live Better")</f>
        <v>Productivity Hacks: Free Up Your Time &amp; Live Better</v>
      </c>
      <c r="F343" t="str">
        <f>IFERROR(__xludf.DUMMYFUNCTION("""COMPUTED_VALUE"""),"Productivity Hacks: Free Up Your Time &amp; Live Better")</f>
        <v>Productivity Hacks: Free Up Your Time &amp; Live Better</v>
      </c>
      <c r="G343">
        <f>IFERROR(__xludf.DUMMYFUNCTION("""COMPUTED_VALUE"""),705965.0)</f>
        <v>705965</v>
      </c>
      <c r="H343" t="str">
        <f>IFERROR(__xludf.DUMMYFUNCTION("""COMPUTED_VALUE"""),"Joel Widmer")</f>
        <v>Joel Widmer</v>
      </c>
      <c r="I343" t="str">
        <f>IFERROR(__xludf.DUMMYFUNCTION("""COMPUTED_VALUE"""),"Low Rating")</f>
        <v>Low Rating</v>
      </c>
      <c r="J343" t="b">
        <f>IFERROR(__xludf.DUMMYFUNCTION("""COMPUTED_VALUE"""),FALSE)</f>
        <v>0</v>
      </c>
      <c r="K343" s="142" t="str">
        <f>IFERROR(__xludf.DUMMYFUNCTION("""COMPUTED_VALUE"""),"Personal Development")</f>
        <v>Personal Development</v>
      </c>
      <c r="L343" s="142" t="str">
        <f>IFERROR(__xludf.DUMMYFUNCTION("""COMPUTED_VALUE"""),"Personal Growth")</f>
        <v>Personal Growth</v>
      </c>
      <c r="N343" s="140" t="str">
        <f>IFERROR(__xludf.DUMMYFUNCTION("""COMPUTED_VALUE"""),"")</f>
        <v/>
      </c>
      <c r="P343" s="140" t="str">
        <f>IFERROR(__xludf.DUMMYFUNCTION("""COMPUTED_VALUE"""),"")</f>
        <v/>
      </c>
    </row>
    <row r="344">
      <c r="A344" s="141">
        <f>IFERROR(__xludf.DUMMYFUNCTION("""COMPUTED_VALUE"""),44530.0)</f>
        <v>44530</v>
      </c>
      <c r="B344" s="141">
        <f>IFERROR(__xludf.DUMMYFUNCTION("""COMPUTED_VALUE"""),44712.0)</f>
        <v>44712</v>
      </c>
      <c r="C344" s="140" t="str">
        <f>IFERROR(__xludf.DUMMYFUNCTION("""COMPUTED_VALUE"""),"en")</f>
        <v>en</v>
      </c>
      <c r="D344">
        <f>IFERROR(__xludf.DUMMYFUNCTION("""COMPUTED_VALUE"""),234558.0)</f>
        <v>234558</v>
      </c>
      <c r="E344" t="str">
        <f>IFERROR(__xludf.DUMMYFUNCTION("""COMPUTED_VALUE"""),"Virtual Private Networks for beginners - VPN, Cisco training")</f>
        <v>Virtual Private Networks for beginners - VPN, Cisco training</v>
      </c>
      <c r="F344" t="str">
        <f>IFERROR(__xludf.DUMMYFUNCTION("""COMPUTED_VALUE"""),"Virtual Private Networks for beginners - VPN, Cisco training")</f>
        <v>Virtual Private Networks for beginners - VPN, Cisco training</v>
      </c>
      <c r="G344">
        <f>IFERROR(__xludf.DUMMYFUNCTION("""COMPUTED_VALUE"""),3951632.0)</f>
        <v>3951632</v>
      </c>
      <c r="H344" t="str">
        <f>IFERROR(__xludf.DUMMYFUNCTION("""COMPUTED_VALUE"""),"Marious Kuriata")</f>
        <v>Marious Kuriata</v>
      </c>
      <c r="I344" t="str">
        <f>IFERROR(__xludf.DUMMYFUNCTION("""COMPUTED_VALUE"""),"Low Rating")</f>
        <v>Low Rating</v>
      </c>
      <c r="J344" t="b">
        <f>IFERROR(__xludf.DUMMYFUNCTION("""COMPUTED_VALUE"""),FALSE)</f>
        <v>0</v>
      </c>
      <c r="K344" s="142" t="str">
        <f>IFERROR(__xludf.DUMMYFUNCTION("""COMPUTED_VALUE"""),"IT Operations")</f>
        <v>IT Operations</v>
      </c>
      <c r="L344" s="142" t="str">
        <f>IFERROR(__xludf.DUMMYFUNCTION("""COMPUTED_VALUE"""),"Network &amp; Security")</f>
        <v>Network &amp; Security</v>
      </c>
      <c r="M344" s="140">
        <f>IFERROR(__xludf.DUMMYFUNCTION("""COMPUTED_VALUE"""),2463014.0)</f>
        <v>2463014</v>
      </c>
      <c r="N344" s="140" t="str">
        <f>IFERROR(__xludf.DUMMYFUNCTION("""COMPUTED_VALUE"""),"Virtual Private Networks - Zero to Hero (VPN)")</f>
        <v>Virtual Private Networks - Zero to Hero (VPN)</v>
      </c>
      <c r="P344" s="140" t="str">
        <f>IFERROR(__xludf.DUMMYFUNCTION("""COMPUTED_VALUE"""),"")</f>
        <v/>
      </c>
    </row>
    <row r="345">
      <c r="A345" s="141">
        <f>IFERROR(__xludf.DUMMYFUNCTION("""COMPUTED_VALUE"""),44530.0)</f>
        <v>44530</v>
      </c>
      <c r="B345" s="141">
        <f>IFERROR(__xludf.DUMMYFUNCTION("""COMPUTED_VALUE"""),44712.0)</f>
        <v>44712</v>
      </c>
      <c r="C345" s="140" t="str">
        <f>IFERROR(__xludf.DUMMYFUNCTION("""COMPUTED_VALUE"""),"ja")</f>
        <v>ja</v>
      </c>
      <c r="D345">
        <f>IFERROR(__xludf.DUMMYFUNCTION("""COMPUTED_VALUE"""),801618.0)</f>
        <v>801618</v>
      </c>
      <c r="E345" t="str">
        <f>IFERROR(__xludf.DUMMYFUNCTION("""COMPUTED_VALUE"""),"【プログラミング不要！】2日でできるWordPress超入門")</f>
        <v>【プログラミング不要！】2日でできるWordPress超入門</v>
      </c>
      <c r="F345" t="str">
        <f>IFERROR(__xludf.DUMMYFUNCTION("""COMPUTED_VALUE"""),"[No programming! ] WordPress super introduction that can be done in 2 days")</f>
        <v>[No programming! ] WordPress super introduction that can be done in 2 days</v>
      </c>
      <c r="G345">
        <f>IFERROR(__xludf.DUMMYFUNCTION("""COMPUTED_VALUE"""),654126.0)</f>
        <v>654126</v>
      </c>
      <c r="H345" t="str">
        <f>IFERROR(__xludf.DUMMYFUNCTION("""COMPUTED_VALUE"""),"井上 博樹 (Hiroki Inoue)")</f>
        <v>井上 博樹 (Hiroki Inoue)</v>
      </c>
      <c r="I345" t="str">
        <f>IFERROR(__xludf.DUMMYFUNCTION("""COMPUTED_VALUE"""),"Low Rating")</f>
        <v>Low Rating</v>
      </c>
      <c r="J345" t="b">
        <f>IFERROR(__xludf.DUMMYFUNCTION("""COMPUTED_VALUE"""),FALSE)</f>
        <v>0</v>
      </c>
      <c r="K345" s="142" t="str">
        <f>IFERROR(__xludf.DUMMYFUNCTION("""COMPUTED_VALUE"""),"Design")</f>
        <v>Design</v>
      </c>
      <c r="L345" s="142" t="str">
        <f>IFERROR(__xludf.DUMMYFUNCTION("""COMPUTED_VALUE"""),"Web Design")</f>
        <v>Web Design</v>
      </c>
      <c r="M345" s="140">
        <f>IFERROR(__xludf.DUMMYFUNCTION("""COMPUTED_VALUE"""),3548106.0)</f>
        <v>3548106</v>
      </c>
      <c r="N345" s="140" t="str">
        <f>IFERROR(__xludf.DUMMYFUNCTION("""COMPUTED_VALUE"""),"WordPress開発マスター講座")</f>
        <v>WordPress開発マスター講座</v>
      </c>
      <c r="O345" s="140">
        <f>IFERROR(__xludf.DUMMYFUNCTION("""COMPUTED_VALUE"""),2029252.0)</f>
        <v>2029252</v>
      </c>
      <c r="P345" s="140" t="str">
        <f>IFERROR(__xludf.DUMMYFUNCTION("""COMPUTED_VALUE"""),"【iroha】理屈は抜き！パソコンが苦手な超初心者さん向け WordPressブログの作り方")</f>
        <v>【iroha】理屈は抜き！パソコンが苦手な超初心者さん向け WordPressブログの作り方</v>
      </c>
    </row>
    <row r="346">
      <c r="A346" s="141">
        <f>IFERROR(__xludf.DUMMYFUNCTION("""COMPUTED_VALUE"""),44530.0)</f>
        <v>44530</v>
      </c>
      <c r="B346" s="141">
        <f>IFERROR(__xludf.DUMMYFUNCTION("""COMPUTED_VALUE"""),44712.0)</f>
        <v>44712</v>
      </c>
      <c r="C346" s="140" t="str">
        <f>IFERROR(__xludf.DUMMYFUNCTION("""COMPUTED_VALUE"""),"de")</f>
        <v>de</v>
      </c>
      <c r="D346">
        <f>IFERROR(__xludf.DUMMYFUNCTION("""COMPUTED_VALUE"""),846406.0)</f>
        <v>846406</v>
      </c>
      <c r="E346" t="str">
        <f>IFERROR(__xludf.DUMMYFUNCTION("""COMPUTED_VALUE"""),"Objektorientierte Entwicklung mit PHP 7")</f>
        <v>Objektorientierte Entwicklung mit PHP 7</v>
      </c>
      <c r="F346" t="str">
        <f>IFERROR(__xludf.DUMMYFUNCTION("""COMPUTED_VALUE"""),"Object-oriented development with PHP 7")</f>
        <v>Object-oriented development with PHP 7</v>
      </c>
      <c r="G346">
        <f>IFERROR(__xludf.DUMMYFUNCTION("""COMPUTED_VALUE"""),84163.0)</f>
        <v>84163</v>
      </c>
      <c r="H346" t="str">
        <f>IFERROR(__xludf.DUMMYFUNCTION("""COMPUTED_VALUE"""),"Jan Brinkmann")</f>
        <v>Jan Brinkmann</v>
      </c>
      <c r="I346" t="str">
        <f>IFERROR(__xludf.DUMMYFUNCTION("""COMPUTED_VALUE"""),"Low Rating")</f>
        <v>Low Rating</v>
      </c>
      <c r="J346" t="b">
        <f>IFERROR(__xludf.DUMMYFUNCTION("""COMPUTED_VALUE"""),FALSE)</f>
        <v>0</v>
      </c>
      <c r="K346" s="142" t="str">
        <f>IFERROR(__xludf.DUMMYFUNCTION("""COMPUTED_VALUE"""),"Development")</f>
        <v>Development</v>
      </c>
      <c r="L346" s="142" t="str">
        <f>IFERROR(__xludf.DUMMYFUNCTION("""COMPUTED_VALUE"""),"Web Development")</f>
        <v>Web Development</v>
      </c>
      <c r="N346" s="140" t="str">
        <f>IFERROR(__xludf.DUMMYFUNCTION("""COMPUTED_VALUE"""),"")</f>
        <v/>
      </c>
      <c r="P346" s="140" t="str">
        <f>IFERROR(__xludf.DUMMYFUNCTION("""COMPUTED_VALUE"""),"")</f>
        <v/>
      </c>
    </row>
    <row r="347">
      <c r="A347" s="141">
        <f>IFERROR(__xludf.DUMMYFUNCTION("""COMPUTED_VALUE"""),44530.0)</f>
        <v>44530</v>
      </c>
      <c r="B347" s="141">
        <f>IFERROR(__xludf.DUMMYFUNCTION("""COMPUTED_VALUE"""),44712.0)</f>
        <v>44712</v>
      </c>
      <c r="C347" s="140" t="str">
        <f>IFERROR(__xludf.DUMMYFUNCTION("""COMPUTED_VALUE"""),"de")</f>
        <v>de</v>
      </c>
      <c r="D347">
        <f>IFERROR(__xludf.DUMMYFUNCTION("""COMPUTED_VALUE"""),1517150.0)</f>
        <v>1517150</v>
      </c>
      <c r="E347" t="str">
        <f>IFERROR(__xludf.DUMMYFUNCTION("""COMPUTED_VALUE"""),"Der Komplette Android 8 Entwickler Kurs - Erstelle 20+ Apps")</f>
        <v>Der Komplette Android 8 Entwickler Kurs - Erstelle 20+ Apps</v>
      </c>
      <c r="F347" t="str">
        <f>IFERROR(__xludf.DUMMYFUNCTION("""COMPUTED_VALUE"""),"Complete Android 8 Developer Course - Create 20+ Apps")</f>
        <v>Complete Android 8 Developer Course - Create 20+ Apps</v>
      </c>
      <c r="G347">
        <f>IFERROR(__xludf.DUMMYFUNCTION("""COMPUTED_VALUE"""),4573650.0)</f>
        <v>4573650</v>
      </c>
      <c r="H347" t="str">
        <f>IFERROR(__xludf.DUMMYFUNCTION("""COMPUTED_VALUE"""),"Denis Panjuta")</f>
        <v>Denis Panjuta</v>
      </c>
      <c r="I347" t="str">
        <f>IFERROR(__xludf.DUMMYFUNCTION("""COMPUTED_VALUE"""),"Low Rating")</f>
        <v>Low Rating</v>
      </c>
      <c r="J347" t="b">
        <f>IFERROR(__xludf.DUMMYFUNCTION("""COMPUTED_VALUE"""),FALSE)</f>
        <v>0</v>
      </c>
      <c r="K347" s="142" t="str">
        <f>IFERROR(__xludf.DUMMYFUNCTION("""COMPUTED_VALUE"""),"Development")</f>
        <v>Development</v>
      </c>
      <c r="L347" s="142" t="str">
        <f>IFERROR(__xludf.DUMMYFUNCTION("""COMPUTED_VALUE"""),"Mobile Development")</f>
        <v>Mobile Development</v>
      </c>
      <c r="M347" s="140">
        <f>IFERROR(__xludf.DUMMYFUNCTION("""COMPUTED_VALUE"""),3621304.0)</f>
        <v>3621304</v>
      </c>
      <c r="N347" s="140" t="str">
        <f>IFERROR(__xludf.DUMMYFUNCTION("""COMPUTED_VALUE"""),"Ultimativer Android Java Kurs für Beginner")</f>
        <v>Ultimativer Android Java Kurs für Beginner</v>
      </c>
      <c r="O347" s="140">
        <f>IFERROR(__xludf.DUMMYFUNCTION("""COMPUTED_VALUE"""),1772150.0)</f>
        <v>1772150</v>
      </c>
      <c r="P347" s="140" t="str">
        <f>IFERROR(__xludf.DUMMYFUNCTION("""COMPUTED_VALUE"""),"Flutter Anfänger Tutorial - Baue Apps für Android &amp; IOS")</f>
        <v>Flutter Anfänger Tutorial - Baue Apps für Android &amp; IOS</v>
      </c>
    </row>
    <row r="348">
      <c r="A348" s="141">
        <f>IFERROR(__xludf.DUMMYFUNCTION("""COMPUTED_VALUE"""),44530.0)</f>
        <v>44530</v>
      </c>
      <c r="B348" s="141">
        <f>IFERROR(__xludf.DUMMYFUNCTION("""COMPUTED_VALUE"""),44712.0)</f>
        <v>44712</v>
      </c>
      <c r="C348" s="140" t="str">
        <f>IFERROR(__xludf.DUMMYFUNCTION("""COMPUTED_VALUE"""),"ar")</f>
        <v>ar</v>
      </c>
      <c r="D348">
        <f>IFERROR(__xludf.DUMMYFUNCTION("""COMPUTED_VALUE"""),1670200.0)</f>
        <v>1670200</v>
      </c>
      <c r="E348" t="str">
        <f>IFERROR(__xludf.DUMMYFUNCTION("""COMPUTED_VALUE"""),"PMI-ACP (Agile Certified Practitioner) Full Exam Preparation")</f>
        <v>PMI-ACP (Agile Certified Practitioner) Full Exam Preparation</v>
      </c>
      <c r="F348" t="str">
        <f>IFERROR(__xludf.DUMMYFUNCTION("""COMPUTED_VALUE"""),"PMI-ACP (Agile Certified Practitioner) Full Exam Preparation")</f>
        <v>PMI-ACP (Agile Certified Practitioner) Full Exam Preparation</v>
      </c>
      <c r="G348">
        <f>IFERROR(__xludf.DUMMYFUNCTION("""COMPUTED_VALUE"""),1926052.0)</f>
        <v>1926052</v>
      </c>
      <c r="H348" t="str">
        <f>IFERROR(__xludf.DUMMYFUNCTION("""COMPUTED_VALUE"""),"Sami Qasim")</f>
        <v>Sami Qasim</v>
      </c>
      <c r="I348" t="str">
        <f>IFERROR(__xludf.DUMMYFUNCTION("""COMPUTED_VALUE"""),"Low Rating")</f>
        <v>Low Rating</v>
      </c>
      <c r="J348" t="b">
        <f>IFERROR(__xludf.DUMMYFUNCTION("""COMPUTED_VALUE"""),FALSE)</f>
        <v>0</v>
      </c>
      <c r="K348" s="142" t="str">
        <f>IFERROR(__xludf.DUMMYFUNCTION("""COMPUTED_VALUE"""),"Project Management &amp; Operations")</f>
        <v>Project Management &amp; Operations</v>
      </c>
      <c r="L348" s="142" t="str">
        <f>IFERROR(__xludf.DUMMYFUNCTION("""COMPUTED_VALUE"""),"Project Management Certifications")</f>
        <v>Project Management Certifications</v>
      </c>
      <c r="M348" s="140">
        <f>IFERROR(__xludf.DUMMYFUNCTION("""COMPUTED_VALUE"""),1150516.0)</f>
        <v>1150516</v>
      </c>
      <c r="N348" s="140" t="str">
        <f>IFERROR(__xludf.DUMMYFUNCTION("""COMPUTED_VALUE"""),"PMI-ACP إدارة المشاريع الرشيقة بكل سهولة")</f>
        <v>PMI-ACP إدارة المشاريع الرشيقة بكل سهولة</v>
      </c>
      <c r="P348" s="140" t="str">
        <f>IFERROR(__xludf.DUMMYFUNCTION("""COMPUTED_VALUE"""),"")</f>
        <v/>
      </c>
    </row>
    <row r="349">
      <c r="A349" s="141">
        <f>IFERROR(__xludf.DUMMYFUNCTION("""COMPUTED_VALUE"""),44530.0)</f>
        <v>44530</v>
      </c>
      <c r="B349" s="141">
        <f>IFERROR(__xludf.DUMMYFUNCTION("""COMPUTED_VALUE"""),44712.0)</f>
        <v>44712</v>
      </c>
      <c r="C349" s="140" t="str">
        <f>IFERROR(__xludf.DUMMYFUNCTION("""COMPUTED_VALUE"""),"de")</f>
        <v>de</v>
      </c>
      <c r="D349">
        <f>IFERROR(__xludf.DUMMYFUNCTION("""COMPUTED_VALUE"""),1711186.0)</f>
        <v>1711186</v>
      </c>
      <c r="E349" t="str">
        <f>IFERROR(__xludf.DUMMYFUNCTION("""COMPUTED_VALUE"""),"Design Thinking Crashkurs | Der Mensch im Innovationsprozess")</f>
        <v>Design Thinking Crashkurs | Der Mensch im Innovationsprozess</v>
      </c>
      <c r="F349" t="str">
        <f>IFERROR(__xludf.DUMMYFUNCTION("""COMPUTED_VALUE"""),"Design Thinking Crash Course | Man in the innovation process")</f>
        <v>Design Thinking Crash Course | Man in the innovation process</v>
      </c>
      <c r="G349">
        <f>IFERROR(__xludf.DUMMYFUNCTION("""COMPUTED_VALUE"""),3.383609E7)</f>
        <v>33836090</v>
      </c>
      <c r="H349" t="str">
        <f>IFERROR(__xludf.DUMMYFUNCTION("""COMPUTED_VALUE"""),"Anastasiya Broytman")</f>
        <v>Anastasiya Broytman</v>
      </c>
      <c r="I349" t="str">
        <f>IFERROR(__xludf.DUMMYFUNCTION("""COMPUTED_VALUE"""),"Low Rating")</f>
        <v>Low Rating</v>
      </c>
      <c r="J349" t="b">
        <f>IFERROR(__xludf.DUMMYFUNCTION("""COMPUTED_VALUE"""),FALSE)</f>
        <v>0</v>
      </c>
      <c r="K349" s="142" t="str">
        <f>IFERROR(__xludf.DUMMYFUNCTION("""COMPUTED_VALUE"""),"Leadership &amp; Management")</f>
        <v>Leadership &amp; Management</v>
      </c>
      <c r="L349" s="142" t="str">
        <f>IFERROR(__xludf.DUMMYFUNCTION("""COMPUTED_VALUE"""),"Strategy")</f>
        <v>Strategy</v>
      </c>
      <c r="M349" s="140">
        <f>IFERROR(__xludf.DUMMYFUNCTION("""COMPUTED_VALUE"""),2039244.0)</f>
        <v>2039244</v>
      </c>
      <c r="N349" s="140" t="str">
        <f>IFERROR(__xludf.DUMMYFUNCTION("""COMPUTED_VALUE"""),"Design Thinking Crashkurs | Vom Einsteiger zum Anwender")</f>
        <v>Design Thinking Crashkurs | Vom Einsteiger zum Anwender</v>
      </c>
      <c r="O349" s="140">
        <f>IFERROR(__xludf.DUMMYFUNCTION("""COMPUTED_VALUE"""),3844082.0)</f>
        <v>3844082</v>
      </c>
      <c r="P349" s="140" t="str">
        <f>IFERROR(__xludf.DUMMYFUNCTION("""COMPUTED_VALUE"""),"Design Thinking Methodenkoffer | 50+ Methoden, 25+ Templates")</f>
        <v>Design Thinking Methodenkoffer | 50+ Methoden, 25+ Templates</v>
      </c>
    </row>
    <row r="350">
      <c r="A350" s="141">
        <f>IFERROR(__xludf.DUMMYFUNCTION("""COMPUTED_VALUE"""),44530.0)</f>
        <v>44530</v>
      </c>
      <c r="B350" s="141">
        <f>IFERROR(__xludf.DUMMYFUNCTION("""COMPUTED_VALUE"""),44712.0)</f>
        <v>44712</v>
      </c>
      <c r="C350" s="140" t="str">
        <f>IFERROR(__xludf.DUMMYFUNCTION("""COMPUTED_VALUE"""),"en")</f>
        <v>en</v>
      </c>
      <c r="D350">
        <f>IFERROR(__xludf.DUMMYFUNCTION("""COMPUTED_VALUE"""),1746910.0)</f>
        <v>1746910</v>
      </c>
      <c r="E350" t="str">
        <f>IFERROR(__xludf.DUMMYFUNCTION("""COMPUTED_VALUE"""),"Systems Thinking: Essential Concepts")</f>
        <v>Systems Thinking: Essential Concepts</v>
      </c>
      <c r="F350" t="str">
        <f>IFERROR(__xludf.DUMMYFUNCTION("""COMPUTED_VALUE"""),"Systems Thinking: Essential Concepts")</f>
        <v>Systems Thinking: Essential Concepts</v>
      </c>
      <c r="G350">
        <f>IFERROR(__xludf.DUMMYFUNCTION("""COMPUTED_VALUE"""),5504154.0)</f>
        <v>5504154</v>
      </c>
      <c r="H350" t="str">
        <f>IFERROR(__xludf.DUMMYFUNCTION("""COMPUTED_VALUE"""),"Systems Innovation")</f>
        <v>Systems Innovation</v>
      </c>
      <c r="I350" t="str">
        <f>IFERROR(__xludf.DUMMYFUNCTION("""COMPUTED_VALUE"""),"Low Rating")</f>
        <v>Low Rating</v>
      </c>
      <c r="J350" t="b">
        <f>IFERROR(__xludf.DUMMYFUNCTION("""COMPUTED_VALUE"""),FALSE)</f>
        <v>0</v>
      </c>
      <c r="K350" s="142" t="str">
        <f>IFERROR(__xludf.DUMMYFUNCTION("""COMPUTED_VALUE"""),"Personal Development")</f>
        <v>Personal Development</v>
      </c>
      <c r="L350" s="142" t="str">
        <f>IFERROR(__xludf.DUMMYFUNCTION("""COMPUTED_VALUE"""),"Personal Growth")</f>
        <v>Personal Growth</v>
      </c>
      <c r="M350" s="140">
        <f>IFERROR(__xludf.DUMMYFUNCTION("""COMPUTED_VALUE"""),3144412.0)</f>
        <v>3144412</v>
      </c>
      <c r="N350" s="140" t="str">
        <f>IFERROR(__xludf.DUMMYFUNCTION("""COMPUTED_VALUE"""),"The Ultimate Guide to Thinking Skills")</f>
        <v>The Ultimate Guide to Thinking Skills</v>
      </c>
      <c r="P350" s="140" t="str">
        <f>IFERROR(__xludf.DUMMYFUNCTION("""COMPUTED_VALUE"""),"")</f>
        <v/>
      </c>
    </row>
    <row r="351">
      <c r="A351" s="141">
        <f>IFERROR(__xludf.DUMMYFUNCTION("""COMPUTED_VALUE"""),44530.0)</f>
        <v>44530</v>
      </c>
      <c r="B351" s="141">
        <f>IFERROR(__xludf.DUMMYFUNCTION("""COMPUTED_VALUE"""),44712.0)</f>
        <v>44712</v>
      </c>
      <c r="C351" s="140" t="str">
        <f>IFERROR(__xludf.DUMMYFUNCTION("""COMPUTED_VALUE"""),"en")</f>
        <v>en</v>
      </c>
      <c r="D351">
        <f>IFERROR(__xludf.DUMMYFUNCTION("""COMPUTED_VALUE"""),1768792.0)</f>
        <v>1768792</v>
      </c>
      <c r="E351" t="str">
        <f>IFERROR(__xludf.DUMMYFUNCTION("""COMPUTED_VALUE"""),"The Complete iOS 12 &amp; Swift Developer Course - Build 28 Apps")</f>
        <v>The Complete iOS 12 &amp; Swift Developer Course - Build 28 Apps</v>
      </c>
      <c r="F351" t="str">
        <f>IFERROR(__xludf.DUMMYFUNCTION("""COMPUTED_VALUE"""),"The Complete iOS 12 &amp; Swift Developer Course - Build 28 Apps")</f>
        <v>The Complete iOS 12 &amp; Swift Developer Course - Build 28 Apps</v>
      </c>
      <c r="G351">
        <f>IFERROR(__xludf.DUMMYFUNCTION("""COMPUTED_VALUE"""),4387876.0)</f>
        <v>4387876</v>
      </c>
      <c r="H351" t="str">
        <f>IFERROR(__xludf.DUMMYFUNCTION("""COMPUTED_VALUE"""),"Rob Percival")</f>
        <v>Rob Percival</v>
      </c>
      <c r="I351" t="str">
        <f>IFERROR(__xludf.DUMMYFUNCTION("""COMPUTED_VALUE"""),"Low Rating")</f>
        <v>Low Rating</v>
      </c>
      <c r="J351" t="b">
        <f>IFERROR(__xludf.DUMMYFUNCTION("""COMPUTED_VALUE"""),FALSE)</f>
        <v>0</v>
      </c>
      <c r="K351" s="142" t="str">
        <f>IFERROR(__xludf.DUMMYFUNCTION("""COMPUTED_VALUE"""),"Development")</f>
        <v>Development</v>
      </c>
      <c r="L351" s="142" t="str">
        <f>IFERROR(__xludf.DUMMYFUNCTION("""COMPUTED_VALUE"""),"Mobile Development")</f>
        <v>Mobile Development</v>
      </c>
      <c r="M351" s="140">
        <f>IFERROR(__xludf.DUMMYFUNCTION("""COMPUTED_VALUE"""),2551847.0)</f>
        <v>2551847</v>
      </c>
      <c r="N351" s="140" t="str">
        <f>IFERROR(__xludf.DUMMYFUNCTION("""COMPUTED_VALUE"""),"iOS 12 Swift 4.2 - The Complete iOS App Development Bootcamp")</f>
        <v>iOS 12 Swift 4.2 - The Complete iOS App Development Bootcamp</v>
      </c>
      <c r="O351" s="140">
        <f>IFERROR(__xludf.DUMMYFUNCTION("""COMPUTED_VALUE"""),1862802.0)</f>
        <v>1862802</v>
      </c>
      <c r="P351" s="140" t="str">
        <f>IFERROR(__xludf.DUMMYFUNCTION("""COMPUTED_VALUE"""),"iOS 12: Learn to Code &amp; Build Real iOS 12 Apps in Swift 4.2")</f>
        <v>iOS 12: Learn to Code &amp; Build Real iOS 12 Apps in Swift 4.2</v>
      </c>
    </row>
    <row r="352">
      <c r="A352" s="141">
        <f>IFERROR(__xludf.DUMMYFUNCTION("""COMPUTED_VALUE"""),44530.0)</f>
        <v>44530</v>
      </c>
      <c r="B352" s="141">
        <f>IFERROR(__xludf.DUMMYFUNCTION("""COMPUTED_VALUE"""),44712.0)</f>
        <v>44712</v>
      </c>
      <c r="C352" s="140" t="str">
        <f>IFERROR(__xludf.DUMMYFUNCTION("""COMPUTED_VALUE"""),"en")</f>
        <v>en</v>
      </c>
      <c r="D352">
        <f>IFERROR(__xludf.DUMMYFUNCTION("""COMPUTED_VALUE"""),1786976.0)</f>
        <v>1786976</v>
      </c>
      <c r="E352" t="str">
        <f>IFERROR(__xludf.DUMMYFUNCTION("""COMPUTED_VALUE"""),"A Beginners Guide to Exadata Patching for Oracle DBA's")</f>
        <v>A Beginners Guide to Exadata Patching for Oracle DBA's</v>
      </c>
      <c r="F352" t="str">
        <f>IFERROR(__xludf.DUMMYFUNCTION("""COMPUTED_VALUE"""),"A Beginners Guide to Exadata Patching for Oracle DBA's")</f>
        <v>A Beginners Guide to Exadata Patching for Oracle DBA's</v>
      </c>
      <c r="G352">
        <f>IFERROR(__xludf.DUMMYFUNCTION("""COMPUTED_VALUE"""),3.9117872E7)</f>
        <v>39117872</v>
      </c>
      <c r="H352" t="str">
        <f>IFERROR(__xludf.DUMMYFUNCTION("""COMPUTED_VALUE"""),"Kshitij (DB Alchemist Academy)")</f>
        <v>Kshitij (DB Alchemist Academy)</v>
      </c>
      <c r="I352" t="str">
        <f>IFERROR(__xludf.DUMMYFUNCTION("""COMPUTED_VALUE"""),"Low Rating")</f>
        <v>Low Rating</v>
      </c>
      <c r="J352" t="b">
        <f>IFERROR(__xludf.DUMMYFUNCTION("""COMPUTED_VALUE"""),FALSE)</f>
        <v>0</v>
      </c>
      <c r="K352" s="142" t="str">
        <f>IFERROR(__xludf.DUMMYFUNCTION("""COMPUTED_VALUE"""),"IT Operations")</f>
        <v>IT Operations</v>
      </c>
      <c r="L352" s="142" t="str">
        <f>IFERROR(__xludf.DUMMYFUNCTION("""COMPUTED_VALUE"""),"Database Administration")</f>
        <v>Database Administration</v>
      </c>
      <c r="M352" s="140">
        <f>IFERROR(__xludf.DUMMYFUNCTION("""COMPUTED_VALUE"""),2296045.0)</f>
        <v>2296045</v>
      </c>
      <c r="N352" s="140" t="str">
        <f>IFERROR(__xludf.DUMMYFUNCTION("""COMPUTED_VALUE"""),"Oracle Database Administrator DBA")</f>
        <v>Oracle Database Administrator DBA</v>
      </c>
      <c r="P352" s="140" t="str">
        <f>IFERROR(__xludf.DUMMYFUNCTION("""COMPUTED_VALUE"""),"")</f>
        <v/>
      </c>
    </row>
    <row r="353">
      <c r="A353" s="141">
        <f>IFERROR(__xludf.DUMMYFUNCTION("""COMPUTED_VALUE"""),44530.0)</f>
        <v>44530</v>
      </c>
      <c r="B353" s="141">
        <f>IFERROR(__xludf.DUMMYFUNCTION("""COMPUTED_VALUE"""),44712.0)</f>
        <v>44712</v>
      </c>
      <c r="C353" s="140" t="str">
        <f>IFERROR(__xludf.DUMMYFUNCTION("""COMPUTED_VALUE"""),"ar")</f>
        <v>ar</v>
      </c>
      <c r="D353">
        <f>IFERROR(__xludf.DUMMYFUNCTION("""COMPUTED_VALUE"""),1941202.0)</f>
        <v>1941202</v>
      </c>
      <c r="E353" t="str">
        <f>IFERROR(__xludf.DUMMYFUNCTION("""COMPUTED_VALUE"""),"(HR) إدارة الموارد البشرية")</f>
        <v>(HR) إدارة الموارد البشرية</v>
      </c>
      <c r="F353" t="str">
        <f>IFERROR(__xludf.DUMMYFUNCTION("""COMPUTED_VALUE"""),"(HR) Human Resources Management")</f>
        <v>(HR) Human Resources Management</v>
      </c>
      <c r="G353">
        <f>IFERROR(__xludf.DUMMYFUNCTION("""COMPUTED_VALUE"""),3396626.0)</f>
        <v>3396626</v>
      </c>
      <c r="H353" t="str">
        <f>IFERROR(__xludf.DUMMYFUNCTION("""COMPUTED_VALUE"""),"Et3alem By Innovito")</f>
        <v>Et3alem By Innovito</v>
      </c>
      <c r="I353" t="str">
        <f>IFERROR(__xludf.DUMMYFUNCTION("""COMPUTED_VALUE"""),"Low Rating")</f>
        <v>Low Rating</v>
      </c>
      <c r="J353" t="b">
        <f>IFERROR(__xludf.DUMMYFUNCTION("""COMPUTED_VALUE"""),FALSE)</f>
        <v>0</v>
      </c>
      <c r="K353" s="142" t="str">
        <f>IFERROR(__xludf.DUMMYFUNCTION("""COMPUTED_VALUE"""),"Workplace &amp; Human Resources")</f>
        <v>Workplace &amp; Human Resources</v>
      </c>
      <c r="L353" s="142" t="str">
        <f>IFERROR(__xludf.DUMMYFUNCTION("""COMPUTED_VALUE"""),"Human Resources Fundamentals")</f>
        <v>Human Resources Fundamentals</v>
      </c>
      <c r="M353" s="140">
        <f>IFERROR(__xludf.DUMMYFUNCTION("""COMPUTED_VALUE"""),2328688.0)</f>
        <v>2328688</v>
      </c>
      <c r="N353" s="140" t="str">
        <f>IFERROR(__xludf.DUMMYFUNCTION("""COMPUTED_VALUE"""),"HR Management Diploma - دبلوم إدارة الموارد البشرية")</f>
        <v>HR Management Diploma - دبلوم إدارة الموارد البشرية</v>
      </c>
      <c r="O353" s="140">
        <f>IFERROR(__xludf.DUMMYFUNCTION("""COMPUTED_VALUE"""),2713854.0)</f>
        <v>2713854</v>
      </c>
      <c r="P353" s="140" t="str">
        <f>IFERROR(__xludf.DUMMYFUNCTION("""COMPUTED_VALUE"""),"Human Resources إدارة الموارد البشرية للمديرين ورجال الأعمال")</f>
        <v>Human Resources إدارة الموارد البشرية للمديرين ورجال الأعمال</v>
      </c>
    </row>
    <row r="354">
      <c r="A354" s="141">
        <f>IFERROR(__xludf.DUMMYFUNCTION("""COMPUTED_VALUE"""),44530.0)</f>
        <v>44530</v>
      </c>
      <c r="B354" s="141">
        <f>IFERROR(__xludf.DUMMYFUNCTION("""COMPUTED_VALUE"""),44712.0)</f>
        <v>44712</v>
      </c>
      <c r="C354" s="140" t="str">
        <f>IFERROR(__xludf.DUMMYFUNCTION("""COMPUTED_VALUE"""),"ja")</f>
        <v>ja</v>
      </c>
      <c r="D354">
        <f>IFERROR(__xludf.DUMMYFUNCTION("""COMPUTED_VALUE"""),1961628.0)</f>
        <v>1961628</v>
      </c>
      <c r="E354" t="str">
        <f>IFERROR(__xludf.DUMMYFUNCTION("""COMPUTED_VALUE"""),"Git入門： ノンプログラマーのための Git")</f>
        <v>Git入門： ノンプログラマーのための Git</v>
      </c>
      <c r="F354" t="str">
        <f>IFERROR(__xludf.DUMMYFUNCTION("""COMPUTED_VALUE"""),"Get GIT: Git for Non Programmer")</f>
        <v>Get GIT: Git for Non Programmer</v>
      </c>
      <c r="G354">
        <f>IFERROR(__xludf.DUMMYFUNCTION("""COMPUTED_VALUE"""),1.559243E7)</f>
        <v>15592430</v>
      </c>
      <c r="H354" t="str">
        <f>IFERROR(__xludf.DUMMYFUNCTION("""COMPUTED_VALUE"""),"たにぐち まこと（ともすた）")</f>
        <v>たにぐち まこと（ともすた）</v>
      </c>
      <c r="I354" t="str">
        <f>IFERROR(__xludf.DUMMYFUNCTION("""COMPUTED_VALUE"""),"Low Rating")</f>
        <v>Low Rating</v>
      </c>
      <c r="J354" t="b">
        <f>IFERROR(__xludf.DUMMYFUNCTION("""COMPUTED_VALUE"""),FALSE)</f>
        <v>0</v>
      </c>
      <c r="K354" s="142" t="str">
        <f>IFERROR(__xludf.DUMMYFUNCTION("""COMPUTED_VALUE"""),"Development")</f>
        <v>Development</v>
      </c>
      <c r="L354" s="142" t="str">
        <f>IFERROR(__xludf.DUMMYFUNCTION("""COMPUTED_VALUE"""),"Development Tools")</f>
        <v>Development Tools</v>
      </c>
      <c r="M354" s="140">
        <f>IFERROR(__xludf.DUMMYFUNCTION("""COMPUTED_VALUE"""),1081802.0)</f>
        <v>1081802</v>
      </c>
      <c r="N354" s="140" t="str">
        <f>IFERROR(__xludf.DUMMYFUNCTION("""COMPUTED_VALUE"""),"Git：はじめてのGitとGitHub")</f>
        <v>Git：はじめてのGitとGitHub</v>
      </c>
      <c r="O354" s="140">
        <f>IFERROR(__xludf.DUMMYFUNCTION("""COMPUTED_VALUE"""),1142464.0)</f>
        <v>1142464</v>
      </c>
      <c r="P354" s="140" t="str">
        <f>IFERROR(__xludf.DUMMYFUNCTION("""COMPUTED_VALUE"""),"Git： もう怖くないGit！チーム開発で必要なGitを完全マスター")</f>
        <v>Git： もう怖くないGit！チーム開発で必要なGitを完全マスター</v>
      </c>
    </row>
    <row r="355">
      <c r="A355" s="141">
        <f>IFERROR(__xludf.DUMMYFUNCTION("""COMPUTED_VALUE"""),44530.0)</f>
        <v>44530</v>
      </c>
      <c r="B355" s="141">
        <f>IFERROR(__xludf.DUMMYFUNCTION("""COMPUTED_VALUE"""),44712.0)</f>
        <v>44712</v>
      </c>
      <c r="C355" s="140" t="str">
        <f>IFERROR(__xludf.DUMMYFUNCTION("""COMPUTED_VALUE"""),"zh")</f>
        <v>zh</v>
      </c>
      <c r="D355">
        <f>IFERROR(__xludf.DUMMYFUNCTION("""COMPUTED_VALUE"""),2068465.0)</f>
        <v>2068465</v>
      </c>
      <c r="E355" t="str">
        <f>IFERROR(__xludf.DUMMYFUNCTION("""COMPUTED_VALUE"""),"Azure管理员认证考试AZ-103 之 管理 Azure 订阅和资源")</f>
        <v>Azure管理员认证考试AZ-103 之 管理 Azure 订阅和资源</v>
      </c>
      <c r="F355" t="str">
        <f>IFERROR(__xludf.DUMMYFUNCTION("""COMPUTED_VALUE"""),"Azure Administrator Certification Exam AZ-103 Management Azure Subscriptions and Resources")</f>
        <v>Azure Administrator Certification Exam AZ-103 Management Azure Subscriptions and Resources</v>
      </c>
      <c r="G355">
        <f>IFERROR(__xludf.DUMMYFUNCTION("""COMPUTED_VALUE"""),5.9965895E7)</f>
        <v>59965895</v>
      </c>
      <c r="H355" t="str">
        <f>IFERROR(__xludf.DUMMYFUNCTION("""COMPUTED_VALUE"""),"强哥云计算 QG")</f>
        <v>强哥云计算 QG</v>
      </c>
      <c r="I355" t="str">
        <f>IFERROR(__xludf.DUMMYFUNCTION("""COMPUTED_VALUE"""),"Low Rating")</f>
        <v>Low Rating</v>
      </c>
      <c r="J355" t="b">
        <f>IFERROR(__xludf.DUMMYFUNCTION("""COMPUTED_VALUE"""),FALSE)</f>
        <v>0</v>
      </c>
      <c r="K355" s="142" t="str">
        <f>IFERROR(__xludf.DUMMYFUNCTION("""COMPUTED_VALUE"""),"Cloud Computing")</f>
        <v>Cloud Computing</v>
      </c>
      <c r="L355" s="142" t="str">
        <f>IFERROR(__xludf.DUMMYFUNCTION("""COMPUTED_VALUE"""),"Cloud Certification")</f>
        <v>Cloud Certification</v>
      </c>
      <c r="N355" s="140" t="str">
        <f>IFERROR(__xludf.DUMMYFUNCTION("""COMPUTED_VALUE"""),"")</f>
        <v/>
      </c>
      <c r="P355" s="140" t="str">
        <f>IFERROR(__xludf.DUMMYFUNCTION("""COMPUTED_VALUE"""),"")</f>
        <v/>
      </c>
    </row>
    <row r="356">
      <c r="A356" s="141">
        <f>IFERROR(__xludf.DUMMYFUNCTION("""COMPUTED_VALUE"""),44530.0)</f>
        <v>44530</v>
      </c>
      <c r="B356" s="141">
        <f>IFERROR(__xludf.DUMMYFUNCTION("""COMPUTED_VALUE"""),44712.0)</f>
        <v>44712</v>
      </c>
      <c r="C356" s="140" t="str">
        <f>IFERROR(__xludf.DUMMYFUNCTION("""COMPUTED_VALUE"""),"es")</f>
        <v>es</v>
      </c>
      <c r="D356">
        <f>IFERROR(__xludf.DUMMYFUNCTION("""COMPUTED_VALUE"""),2182970.0)</f>
        <v>2182970</v>
      </c>
      <c r="E356" t="str">
        <f>IFERROR(__xludf.DUMMYFUNCTION("""COMPUTED_VALUE"""),"Inteligencia de Negocios  Con Power BI y Sql Server 2019")</f>
        <v>Inteligencia de Negocios  Con Power BI y Sql Server 2019</v>
      </c>
      <c r="F356" t="str">
        <f>IFERROR(__xludf.DUMMYFUNCTION("""COMPUTED_VALUE"""),"Business Intelligence with Power Bi and SQL Server 2019")</f>
        <v>Business Intelligence with Power Bi and SQL Server 2019</v>
      </c>
      <c r="G356">
        <f>IFERROR(__xludf.DUMMYFUNCTION("""COMPUTED_VALUE"""),1.4810954E7)</f>
        <v>14810954</v>
      </c>
      <c r="H356" t="str">
        <f>IFERROR(__xludf.DUMMYFUNCTION("""COMPUTED_VALUE"""),"Denis Enrique Guido Rodríguez")</f>
        <v>Denis Enrique Guido Rodríguez</v>
      </c>
      <c r="I356" t="str">
        <f>IFERROR(__xludf.DUMMYFUNCTION("""COMPUTED_VALUE"""),"Low Rating")</f>
        <v>Low Rating</v>
      </c>
      <c r="J356" t="b">
        <f>IFERROR(__xludf.DUMMYFUNCTION("""COMPUTED_VALUE"""),FALSE)</f>
        <v>0</v>
      </c>
      <c r="K356" s="142" t="str">
        <f>IFERROR(__xludf.DUMMYFUNCTION("""COMPUTED_VALUE"""),"Data Science")</f>
        <v>Data Science</v>
      </c>
      <c r="L356" s="142" t="str">
        <f>IFERROR(__xludf.DUMMYFUNCTION("""COMPUTED_VALUE"""),"Analytics")</f>
        <v>Analytics</v>
      </c>
      <c r="N356" s="140" t="str">
        <f>IFERROR(__xludf.DUMMYFUNCTION("""COMPUTED_VALUE"""),"")</f>
        <v/>
      </c>
      <c r="P356" s="140" t="str">
        <f>IFERROR(__xludf.DUMMYFUNCTION("""COMPUTED_VALUE"""),"")</f>
        <v/>
      </c>
    </row>
    <row r="357">
      <c r="A357" s="141">
        <f>IFERROR(__xludf.DUMMYFUNCTION("""COMPUTED_VALUE"""),44530.0)</f>
        <v>44530</v>
      </c>
      <c r="B357" s="141">
        <f>IFERROR(__xludf.DUMMYFUNCTION("""COMPUTED_VALUE"""),44712.0)</f>
        <v>44712</v>
      </c>
      <c r="C357" s="140" t="str">
        <f>IFERROR(__xludf.DUMMYFUNCTION("""COMPUTED_VALUE"""),"ar")</f>
        <v>ar</v>
      </c>
      <c r="D357">
        <f>IFERROR(__xludf.DUMMYFUNCTION("""COMPUTED_VALUE"""),2252896.0)</f>
        <v>2252896</v>
      </c>
      <c r="E357" t="str">
        <f>IFERROR(__xludf.DUMMYFUNCTION("""COMPUTED_VALUE"""),"اسرار السيو : كيف تصبح رقم #1 وتحقق ارباح كبيرة عبر الانترنت")</f>
        <v>اسرار السيو : كيف تصبح رقم #1 وتحقق ارباح كبيرة عبر الانترنت</v>
      </c>
      <c r="F357" t="str">
        <f>IFERROR(__xludf.DUMMYFUNCTION("""COMPUTED_VALUE"""),"Secrets of SEO: How to Become # 1 and check great profits online")</f>
        <v>Secrets of SEO: How to Become # 1 and check great profits online</v>
      </c>
      <c r="G357">
        <f>IFERROR(__xludf.DUMMYFUNCTION("""COMPUTED_VALUE"""),9349542.0)</f>
        <v>9349542</v>
      </c>
      <c r="H357" t="str">
        <f>IFERROR(__xludf.DUMMYFUNCTION("""COMPUTED_VALUE"""),"Faycel ben abess")</f>
        <v>Faycel ben abess</v>
      </c>
      <c r="I357" t="str">
        <f>IFERROR(__xludf.DUMMYFUNCTION("""COMPUTED_VALUE"""),"Low Rating")</f>
        <v>Low Rating</v>
      </c>
      <c r="J357" t="b">
        <f>IFERROR(__xludf.DUMMYFUNCTION("""COMPUTED_VALUE"""),FALSE)</f>
        <v>0</v>
      </c>
      <c r="K357" s="142" t="str">
        <f>IFERROR(__xludf.DUMMYFUNCTION("""COMPUTED_VALUE"""),"Marketing")</f>
        <v>Marketing</v>
      </c>
      <c r="L357" s="142" t="str">
        <f>IFERROR(__xludf.DUMMYFUNCTION("""COMPUTED_VALUE"""),"Search Engine Optimization")</f>
        <v>Search Engine Optimization</v>
      </c>
      <c r="N357" s="140" t="str">
        <f>IFERROR(__xludf.DUMMYFUNCTION("""COMPUTED_VALUE"""),"")</f>
        <v/>
      </c>
      <c r="P357" s="140" t="str">
        <f>IFERROR(__xludf.DUMMYFUNCTION("""COMPUTED_VALUE"""),"")</f>
        <v/>
      </c>
    </row>
    <row r="358">
      <c r="A358" s="141">
        <f>IFERROR(__xludf.DUMMYFUNCTION("""COMPUTED_VALUE"""),44530.0)</f>
        <v>44530</v>
      </c>
      <c r="B358" s="141">
        <f>IFERROR(__xludf.DUMMYFUNCTION("""COMPUTED_VALUE"""),44712.0)</f>
        <v>44712</v>
      </c>
      <c r="C358" s="140" t="str">
        <f>IFERROR(__xludf.DUMMYFUNCTION("""COMPUTED_VALUE"""),"en")</f>
        <v>en</v>
      </c>
      <c r="D358">
        <f>IFERROR(__xludf.DUMMYFUNCTION("""COMPUTED_VALUE"""),2260646.0)</f>
        <v>2260646</v>
      </c>
      <c r="E358" t="str">
        <f>IFERROR(__xludf.DUMMYFUNCTION("""COMPUTED_VALUE"""),"API testing with RestSharp and Specflow in C#")</f>
        <v>API testing with RestSharp and Specflow in C#</v>
      </c>
      <c r="F358" t="str">
        <f>IFERROR(__xludf.DUMMYFUNCTION("""COMPUTED_VALUE"""),"API testing with RestSharp and Specflow in C#")</f>
        <v>API testing with RestSharp and Specflow in C#</v>
      </c>
      <c r="G358">
        <f>IFERROR(__xludf.DUMMYFUNCTION("""COMPUTED_VALUE"""),1.785701E7)</f>
        <v>17857010</v>
      </c>
      <c r="H358" t="str">
        <f>IFERROR(__xludf.DUMMYFUNCTION("""COMPUTED_VALUE"""),"Karthik KK")</f>
        <v>Karthik KK</v>
      </c>
      <c r="I358" t="str">
        <f>IFERROR(__xludf.DUMMYFUNCTION("""COMPUTED_VALUE"""),"Low Rating")</f>
        <v>Low Rating</v>
      </c>
      <c r="J358" t="b">
        <f>IFERROR(__xludf.DUMMYFUNCTION("""COMPUTED_VALUE"""),FALSE)</f>
        <v>0</v>
      </c>
      <c r="K358" s="142" t="str">
        <f>IFERROR(__xludf.DUMMYFUNCTION("""COMPUTED_VALUE"""),"Development")</f>
        <v>Development</v>
      </c>
      <c r="L358" s="142" t="str">
        <f>IFERROR(__xludf.DUMMYFUNCTION("""COMPUTED_VALUE"""),"Software Testing")</f>
        <v>Software Testing</v>
      </c>
      <c r="N358" s="140" t="str">
        <f>IFERROR(__xludf.DUMMYFUNCTION("""COMPUTED_VALUE"""),"")</f>
        <v/>
      </c>
      <c r="P358" s="140" t="str">
        <f>IFERROR(__xludf.DUMMYFUNCTION("""COMPUTED_VALUE"""),"")</f>
        <v/>
      </c>
    </row>
    <row r="359">
      <c r="A359" s="141">
        <f>IFERROR(__xludf.DUMMYFUNCTION("""COMPUTED_VALUE"""),44530.0)</f>
        <v>44530</v>
      </c>
      <c r="B359" s="141">
        <f>IFERROR(__xludf.DUMMYFUNCTION("""COMPUTED_VALUE"""),44712.0)</f>
        <v>44712</v>
      </c>
      <c r="C359" s="140" t="str">
        <f>IFERROR(__xludf.DUMMYFUNCTION("""COMPUTED_VALUE"""),"en")</f>
        <v>en</v>
      </c>
      <c r="D359">
        <f>IFERROR(__xludf.DUMMYFUNCTION("""COMPUTED_VALUE"""),2324132.0)</f>
        <v>2324132</v>
      </c>
      <c r="E359" t="str">
        <f>IFERROR(__xludf.DUMMYFUNCTION("""COMPUTED_VALUE"""),"OpenFOAM Intermediate")</f>
        <v>OpenFOAM Intermediate</v>
      </c>
      <c r="F359" t="str">
        <f>IFERROR(__xludf.DUMMYFUNCTION("""COMPUTED_VALUE"""),"OpenFOAM Intermediate")</f>
        <v>OpenFOAM Intermediate</v>
      </c>
      <c r="G359">
        <f>IFERROR(__xludf.DUMMYFUNCTION("""COMPUTED_VALUE"""),2.8769422E7)</f>
        <v>28769422</v>
      </c>
      <c r="H359" t="str">
        <f>IFERROR(__xludf.DUMMYFUNCTION("""COMPUTED_VALUE"""),"Philip Baldock")</f>
        <v>Philip Baldock</v>
      </c>
      <c r="I359" t="str">
        <f>IFERROR(__xludf.DUMMYFUNCTION("""COMPUTED_VALUE"""),"Low Rating")</f>
        <v>Low Rating</v>
      </c>
      <c r="J359" t="b">
        <f>IFERROR(__xludf.DUMMYFUNCTION("""COMPUTED_VALUE"""),FALSE)</f>
        <v>0</v>
      </c>
      <c r="K359" s="142" t="str">
        <f>IFERROR(__xludf.DUMMYFUNCTION("""COMPUTED_VALUE"""),"Development")</f>
        <v>Development</v>
      </c>
      <c r="L359" s="142" t="str">
        <f>IFERROR(__xludf.DUMMYFUNCTION("""COMPUTED_VALUE"""),"Development Tools")</f>
        <v>Development Tools</v>
      </c>
      <c r="M359" s="140">
        <f>IFERROR(__xludf.DUMMYFUNCTION("""COMPUTED_VALUE"""),1833254.0)</f>
        <v>1833254</v>
      </c>
      <c r="N359" s="140" t="str">
        <f>IFERROR(__xludf.DUMMYFUNCTION("""COMPUTED_VALUE"""),"The Complete Introduction to OpenFOAM")</f>
        <v>The Complete Introduction to OpenFOAM</v>
      </c>
      <c r="P359" s="140" t="str">
        <f>IFERROR(__xludf.DUMMYFUNCTION("""COMPUTED_VALUE"""),"")</f>
        <v/>
      </c>
    </row>
    <row r="360">
      <c r="A360" s="141">
        <f>IFERROR(__xludf.DUMMYFUNCTION("""COMPUTED_VALUE"""),44530.0)</f>
        <v>44530</v>
      </c>
      <c r="B360" s="141">
        <f>IFERROR(__xludf.DUMMYFUNCTION("""COMPUTED_VALUE"""),44712.0)</f>
        <v>44712</v>
      </c>
      <c r="C360" s="140" t="str">
        <f>IFERROR(__xludf.DUMMYFUNCTION("""COMPUTED_VALUE"""),"ar")</f>
        <v>ar</v>
      </c>
      <c r="D360">
        <f>IFERROR(__xludf.DUMMYFUNCTION("""COMPUTED_VALUE"""),2474414.0)</f>
        <v>2474414</v>
      </c>
      <c r="E360" t="str">
        <f>IFERROR(__xludf.DUMMYFUNCTION("""COMPUTED_VALUE"""),"تصميم الخرائط الاحترافية")</f>
        <v>تصميم الخرائط الاحترافية</v>
      </c>
      <c r="F360" t="str">
        <f>IFERROR(__xludf.DUMMYFUNCTION("""COMPUTED_VALUE"""),"Professional map design")</f>
        <v>Professional map design</v>
      </c>
      <c r="G360">
        <f>IFERROR(__xludf.DUMMYFUNCTION("""COMPUTED_VALUE"""),6.9106408E7)</f>
        <v>69106408</v>
      </c>
      <c r="H360" t="str">
        <f>IFERROR(__xludf.DUMMYFUNCTION("""COMPUTED_VALUE"""),"Omar Elhadi")</f>
        <v>Omar Elhadi</v>
      </c>
      <c r="I360" t="str">
        <f>IFERROR(__xludf.DUMMYFUNCTION("""COMPUTED_VALUE"""),"Low Rating")</f>
        <v>Low Rating</v>
      </c>
      <c r="J360" t="b">
        <f>IFERROR(__xludf.DUMMYFUNCTION("""COMPUTED_VALUE"""),FALSE)</f>
        <v>0</v>
      </c>
      <c r="K360" s="142" t="str">
        <f>IFERROR(__xludf.DUMMYFUNCTION("""COMPUTED_VALUE"""),"Data Science")</f>
        <v>Data Science</v>
      </c>
      <c r="L360" s="142" t="str">
        <f>IFERROR(__xludf.DUMMYFUNCTION("""COMPUTED_VALUE"""),"Big Data")</f>
        <v>Big Data</v>
      </c>
      <c r="N360" s="140" t="str">
        <f>IFERROR(__xludf.DUMMYFUNCTION("""COMPUTED_VALUE"""),"")</f>
        <v/>
      </c>
      <c r="P360" s="140" t="str">
        <f>IFERROR(__xludf.DUMMYFUNCTION("""COMPUTED_VALUE"""),"")</f>
        <v/>
      </c>
    </row>
    <row r="361">
      <c r="A361" s="141">
        <f>IFERROR(__xludf.DUMMYFUNCTION("""COMPUTED_VALUE"""),44530.0)</f>
        <v>44530</v>
      </c>
      <c r="B361" s="141">
        <f>IFERROR(__xludf.DUMMYFUNCTION("""COMPUTED_VALUE"""),44712.0)</f>
        <v>44712</v>
      </c>
      <c r="C361" s="140" t="str">
        <f>IFERROR(__xludf.DUMMYFUNCTION("""COMPUTED_VALUE"""),"es")</f>
        <v>es</v>
      </c>
      <c r="D361">
        <f>IFERROR(__xludf.DUMMYFUNCTION("""COMPUTED_VALUE"""),2547345.0)</f>
        <v>2547345</v>
      </c>
      <c r="E361" t="str">
        <f>IFERROR(__xludf.DUMMYFUNCTION("""COMPUTED_VALUE"""),"Terraform - Automatizar Infraestructuras AWS")</f>
        <v>Terraform - Automatizar Infraestructuras AWS</v>
      </c>
      <c r="F361" t="str">
        <f>IFERROR(__xludf.DUMMYFUNCTION("""COMPUTED_VALUE"""),"Terraform - Automate Infrastructures AWS")</f>
        <v>Terraform - Automate Infrastructures AWS</v>
      </c>
      <c r="G361">
        <f>IFERROR(__xludf.DUMMYFUNCTION("""COMPUTED_VALUE"""),3.5973838E7)</f>
        <v>35973838</v>
      </c>
      <c r="H361" t="str">
        <f>IFERROR(__xludf.DUMMYFUNCTION("""COMPUTED_VALUE"""),"Fidel DominguezValero")</f>
        <v>Fidel DominguezValero</v>
      </c>
      <c r="I361" t="str">
        <f>IFERROR(__xludf.DUMMYFUNCTION("""COMPUTED_VALUE"""),"Low Rating")</f>
        <v>Low Rating</v>
      </c>
      <c r="J361" t="b">
        <f>IFERROR(__xludf.DUMMYFUNCTION("""COMPUTED_VALUE"""),FALSE)</f>
        <v>0</v>
      </c>
      <c r="K361" s="142" t="str">
        <f>IFERROR(__xludf.DUMMYFUNCTION("""COMPUTED_VALUE"""),"Cloud Computing")</f>
        <v>Cloud Computing</v>
      </c>
      <c r="L361" s="142" t="str">
        <f>IFERROR(__xludf.DUMMYFUNCTION("""COMPUTED_VALUE"""),"Cloud Development")</f>
        <v>Cloud Development</v>
      </c>
      <c r="M361" s="140">
        <f>IFERROR(__xludf.DUMMYFUNCTION("""COMPUTED_VALUE"""),3579271.0)</f>
        <v>3579271</v>
      </c>
      <c r="N361" s="140" t="str">
        <f>IFERROR(__xludf.DUMMYFUNCTION("""COMPUTED_VALUE"""),"Terraform: Infraestructura como Código")</f>
        <v>Terraform: Infraestructura como Código</v>
      </c>
      <c r="O361" s="140">
        <f>IFERROR(__xludf.DUMMYFUNCTION("""COMPUTED_VALUE"""),4206538.0)</f>
        <v>4206538</v>
      </c>
      <c r="P361" s="140" t="str">
        <f>IFERROR(__xludf.DUMMYFUNCTION("""COMPUTED_VALUE"""),"Curso de Terraform en Español | Infraestructura como código")</f>
        <v>Curso de Terraform en Español | Infraestructura como código</v>
      </c>
    </row>
    <row r="362">
      <c r="A362" s="141">
        <f>IFERROR(__xludf.DUMMYFUNCTION("""COMPUTED_VALUE"""),44530.0)</f>
        <v>44530</v>
      </c>
      <c r="B362" s="141">
        <f>IFERROR(__xludf.DUMMYFUNCTION("""COMPUTED_VALUE"""),44712.0)</f>
        <v>44712</v>
      </c>
      <c r="C362" s="140" t="str">
        <f>IFERROR(__xludf.DUMMYFUNCTION("""COMPUTED_VALUE"""),"en")</f>
        <v>en</v>
      </c>
      <c r="D362">
        <f>IFERROR(__xludf.DUMMYFUNCTION("""COMPUTED_VALUE"""),2593180.0)</f>
        <v>2593180</v>
      </c>
      <c r="E362" t="str">
        <f>IFERROR(__xludf.DUMMYFUNCTION("""COMPUTED_VALUE"""),"The Complete SharePoint 2019 Advanced Technical Course")</f>
        <v>The Complete SharePoint 2019 Advanced Technical Course</v>
      </c>
      <c r="F362" t="str">
        <f>IFERROR(__xludf.DUMMYFUNCTION("""COMPUTED_VALUE"""),"The Complete SharePoint 2019 Advanced Technical Course")</f>
        <v>The Complete SharePoint 2019 Advanced Technical Course</v>
      </c>
      <c r="G362">
        <f>IFERROR(__xludf.DUMMYFUNCTION("""COMPUTED_VALUE"""),3.6742874E7)</f>
        <v>36742874</v>
      </c>
      <c r="H362" t="str">
        <f>IFERROR(__xludf.DUMMYFUNCTION("""COMPUTED_VALUE"""),"NPM Global Technologies")</f>
        <v>NPM Global Technologies</v>
      </c>
      <c r="I362" t="str">
        <f>IFERROR(__xludf.DUMMYFUNCTION("""COMPUTED_VALUE"""),"Low Rating")</f>
        <v>Low Rating</v>
      </c>
      <c r="J362" t="b">
        <f>IFERROR(__xludf.DUMMYFUNCTION("""COMPUTED_VALUE"""),FALSE)</f>
        <v>0</v>
      </c>
      <c r="K362" s="142" t="str">
        <f>IFERROR(__xludf.DUMMYFUNCTION("""COMPUTED_VALUE"""),"Office Productivity")</f>
        <v>Office Productivity</v>
      </c>
      <c r="L362" s="142" t="str">
        <f>IFERROR(__xludf.DUMMYFUNCTION("""COMPUTED_VALUE"""),"Collaboration")</f>
        <v>Collaboration</v>
      </c>
      <c r="M362" s="140">
        <f>IFERROR(__xludf.DUMMYFUNCTION("""COMPUTED_VALUE"""),1427616.0)</f>
        <v>1427616</v>
      </c>
      <c r="N362" s="140" t="str">
        <f>IFERROR(__xludf.DUMMYFUNCTION("""COMPUTED_VALUE"""),"Mastering SharePoint 2021 A-Z Complete Boot Camp 5-1(16hrs)")</f>
        <v>Mastering SharePoint 2021 A-Z Complete Boot Camp 5-1(16hrs)</v>
      </c>
      <c r="P362" s="140" t="str">
        <f>IFERROR(__xludf.DUMMYFUNCTION("""COMPUTED_VALUE"""),"")</f>
        <v/>
      </c>
    </row>
    <row r="363">
      <c r="A363" s="141">
        <f>IFERROR(__xludf.DUMMYFUNCTION("""COMPUTED_VALUE"""),44530.0)</f>
        <v>44530</v>
      </c>
      <c r="B363" s="141">
        <f>IFERROR(__xludf.DUMMYFUNCTION("""COMPUTED_VALUE"""),44712.0)</f>
        <v>44712</v>
      </c>
      <c r="C363" s="140" t="str">
        <f>IFERROR(__xludf.DUMMYFUNCTION("""COMPUTED_VALUE"""),"es")</f>
        <v>es</v>
      </c>
      <c r="D363">
        <f>IFERROR(__xludf.DUMMYFUNCTION("""COMPUTED_VALUE"""),2755348.0)</f>
        <v>2755348</v>
      </c>
      <c r="E363" t="str">
        <f>IFERROR(__xludf.DUMMYFUNCTION("""COMPUTED_VALUE"""),"Selección IT y Marketing para Reclutamiento")</f>
        <v>Selección IT y Marketing para Reclutamiento</v>
      </c>
      <c r="F363" t="str">
        <f>IFERROR(__xludf.DUMMYFUNCTION("""COMPUTED_VALUE"""),"IT selection and marketing for recruitment")</f>
        <v>IT selection and marketing for recruitment</v>
      </c>
      <c r="G363">
        <f>IFERROR(__xludf.DUMMYFUNCTION("""COMPUTED_VALUE"""),1.00020762E8)</f>
        <v>100020762</v>
      </c>
      <c r="H363" t="str">
        <f>IFERROR(__xludf.DUMMYFUNCTION("""COMPUTED_VALUE"""),"ADVISE Consultores")</f>
        <v>ADVISE Consultores</v>
      </c>
      <c r="I363" t="str">
        <f>IFERROR(__xludf.DUMMYFUNCTION("""COMPUTED_VALUE"""),"Low Rating")</f>
        <v>Low Rating</v>
      </c>
      <c r="J363" t="b">
        <f>IFERROR(__xludf.DUMMYFUNCTION("""COMPUTED_VALUE"""),FALSE)</f>
        <v>0</v>
      </c>
      <c r="K363" s="142" t="str">
        <f>IFERROR(__xludf.DUMMYFUNCTION("""COMPUTED_VALUE"""),"Workplace &amp; Human Resources")</f>
        <v>Workplace &amp; Human Resources</v>
      </c>
      <c r="L363" s="142" t="str">
        <f>IFERROR(__xludf.DUMMYFUNCTION("""COMPUTED_VALUE"""),"Talent Management")</f>
        <v>Talent Management</v>
      </c>
      <c r="N363" s="140" t="str">
        <f>IFERROR(__xludf.DUMMYFUNCTION("""COMPUTED_VALUE"""),"")</f>
        <v/>
      </c>
      <c r="P363" s="140" t="str">
        <f>IFERROR(__xludf.DUMMYFUNCTION("""COMPUTED_VALUE"""),"")</f>
        <v/>
      </c>
    </row>
    <row r="364">
      <c r="A364" s="141">
        <f>IFERROR(__xludf.DUMMYFUNCTION("""COMPUTED_VALUE"""),44530.0)</f>
        <v>44530</v>
      </c>
      <c r="B364" s="141">
        <f>IFERROR(__xludf.DUMMYFUNCTION("""COMPUTED_VALUE"""),44712.0)</f>
        <v>44712</v>
      </c>
      <c r="C364" s="140" t="str">
        <f>IFERROR(__xludf.DUMMYFUNCTION("""COMPUTED_VALUE"""),"en")</f>
        <v>en</v>
      </c>
      <c r="D364">
        <f>IFERROR(__xludf.DUMMYFUNCTION("""COMPUTED_VALUE"""),2811999.0)</f>
        <v>2811999</v>
      </c>
      <c r="E364" t="str">
        <f>IFERROR(__xludf.DUMMYFUNCTION("""COMPUTED_VALUE"""),"Differential Gene Expression Analysis - Your Complete A to Z")</f>
        <v>Differential Gene Expression Analysis - Your Complete A to Z</v>
      </c>
      <c r="F364" t="str">
        <f>IFERROR(__xludf.DUMMYFUNCTION("""COMPUTED_VALUE"""),"Differential Gene Expression Analysis - Your Complete A to Z")</f>
        <v>Differential Gene Expression Analysis - Your Complete A to Z</v>
      </c>
      <c r="G364">
        <f>IFERROR(__xludf.DUMMYFUNCTION("""COMPUTED_VALUE"""),4.212626E7)</f>
        <v>42126260</v>
      </c>
      <c r="H364" t="str">
        <f>IFERROR(__xludf.DUMMYFUNCTION("""COMPUTED_VALUE"""),"Alexander Abdulkader Kheirallah, PhD")</f>
        <v>Alexander Abdulkader Kheirallah, PhD</v>
      </c>
      <c r="I364" t="str">
        <f>IFERROR(__xludf.DUMMYFUNCTION("""COMPUTED_VALUE"""),"Low Rating")</f>
        <v>Low Rating</v>
      </c>
      <c r="J364" t="b">
        <f>IFERROR(__xludf.DUMMYFUNCTION("""COMPUTED_VALUE"""),FALSE)</f>
        <v>0</v>
      </c>
      <c r="K364" s="142" t="str">
        <f>IFERROR(__xludf.DUMMYFUNCTION("""COMPUTED_VALUE"""),"Personal Development")</f>
        <v>Personal Development</v>
      </c>
      <c r="L364" s="142" t="str">
        <f>IFERROR(__xludf.DUMMYFUNCTION("""COMPUTED_VALUE"""),"Personal Growth")</f>
        <v>Personal Growth</v>
      </c>
      <c r="M364" s="140">
        <f>IFERROR(__xludf.DUMMYFUNCTION("""COMPUTED_VALUE"""),1774628.0)</f>
        <v>1774628</v>
      </c>
      <c r="N364" s="140" t="str">
        <f>IFERROR(__xludf.DUMMYFUNCTION("""COMPUTED_VALUE"""),"Genetics and Next Generation Sequencing for Bioinformatics")</f>
        <v>Genetics and Next Generation Sequencing for Bioinformatics</v>
      </c>
      <c r="P364" s="140" t="str">
        <f>IFERROR(__xludf.DUMMYFUNCTION("""COMPUTED_VALUE"""),"")</f>
        <v/>
      </c>
    </row>
    <row r="365">
      <c r="A365" s="141">
        <f>IFERROR(__xludf.DUMMYFUNCTION("""COMPUTED_VALUE"""),44530.0)</f>
        <v>44530</v>
      </c>
      <c r="B365" s="141">
        <f>IFERROR(__xludf.DUMMYFUNCTION("""COMPUTED_VALUE"""),44712.0)</f>
        <v>44712</v>
      </c>
      <c r="C365" s="140" t="str">
        <f>IFERROR(__xludf.DUMMYFUNCTION("""COMPUTED_VALUE"""),"en")</f>
        <v>en</v>
      </c>
      <c r="D365">
        <f>IFERROR(__xludf.DUMMYFUNCTION("""COMPUTED_VALUE"""),2916422.0)</f>
        <v>2916422</v>
      </c>
      <c r="E365" t="str">
        <f>IFERROR(__xludf.DUMMYFUNCTION("""COMPUTED_VALUE"""),"Data Science/MachineLearning Project Deployment Mastery 2022")</f>
        <v>Data Science/MachineLearning Project Deployment Mastery 2022</v>
      </c>
      <c r="F365" t="str">
        <f>IFERROR(__xludf.DUMMYFUNCTION("""COMPUTED_VALUE"""),"Data Science/MachineLearning Project Deployment Mastery 2022")</f>
        <v>Data Science/MachineLearning Project Deployment Mastery 2022</v>
      </c>
      <c r="G365">
        <f>IFERROR(__xludf.DUMMYFUNCTION("""COMPUTED_VALUE"""),5.9856157E7)</f>
        <v>59856157</v>
      </c>
      <c r="H365" t="str">
        <f>IFERROR(__xludf.DUMMYFUNCTION("""COMPUTED_VALUE"""),"MrBriit .")</f>
        <v>MrBriit .</v>
      </c>
      <c r="I365" t="str">
        <f>IFERROR(__xludf.DUMMYFUNCTION("""COMPUTED_VALUE"""),"Low Rating")</f>
        <v>Low Rating</v>
      </c>
      <c r="J365" t="b">
        <f>IFERROR(__xludf.DUMMYFUNCTION("""COMPUTED_VALUE"""),FALSE)</f>
        <v>0</v>
      </c>
      <c r="K365" s="142" t="str">
        <f>IFERROR(__xludf.DUMMYFUNCTION("""COMPUTED_VALUE"""),"Data Science")</f>
        <v>Data Science</v>
      </c>
      <c r="L365" s="142" t="str">
        <f>IFERROR(__xludf.DUMMYFUNCTION("""COMPUTED_VALUE"""),"Machine Learning")</f>
        <v>Machine Learning</v>
      </c>
      <c r="M365" s="140">
        <f>IFERROR(__xludf.DUMMYFUNCTION("""COMPUTED_VALUE"""),2769460.0)</f>
        <v>2769460</v>
      </c>
      <c r="N365" s="140" t="str">
        <f>IFERROR(__xludf.DUMMYFUNCTION("""COMPUTED_VALUE"""),"2021 Python for Machine Learning &amp; Data Science Masterclass")</f>
        <v>2021 Python for Machine Learning &amp; Data Science Masterclass</v>
      </c>
      <c r="O365" s="140">
        <f>IFERROR(__xludf.DUMMYFUNCTION("""COMPUTED_VALUE"""),2511476.0)</f>
        <v>2511476</v>
      </c>
      <c r="P365" s="140" t="str">
        <f>IFERROR(__xludf.DUMMYFUNCTION("""COMPUTED_VALUE"""),"Complete Machine Learning &amp; Data Science Bootcamp 2022")</f>
        <v>Complete Machine Learning &amp; Data Science Bootcamp 2022</v>
      </c>
    </row>
    <row r="366">
      <c r="A366" s="141">
        <f>IFERROR(__xludf.DUMMYFUNCTION("""COMPUTED_VALUE"""),44530.0)</f>
        <v>44530</v>
      </c>
      <c r="B366" s="141">
        <f>IFERROR(__xludf.DUMMYFUNCTION("""COMPUTED_VALUE"""),44712.0)</f>
        <v>44712</v>
      </c>
      <c r="C366" s="140" t="str">
        <f>IFERROR(__xludf.DUMMYFUNCTION("""COMPUTED_VALUE"""),"fr")</f>
        <v>fr</v>
      </c>
      <c r="D366">
        <f>IFERROR(__xludf.DUMMYFUNCTION("""COMPUTED_VALUE"""),2983204.0)</f>
        <v>2983204</v>
      </c>
      <c r="E366" t="str">
        <f>IFERROR(__xludf.DUMMYFUNCTION("""COMPUTED_VALUE"""),"Python — Le Cours Ultime pour passer de Zéro à Pro")</f>
        <v>Python — Le Cours Ultime pour passer de Zéro à Pro</v>
      </c>
      <c r="F366" t="str">
        <f>IFERROR(__xludf.DUMMYFUNCTION("""COMPUTED_VALUE"""),"Python - the ultimate course to go from zero to Pro")</f>
        <v>Python - the ultimate course to go from zero to Pro</v>
      </c>
      <c r="G366">
        <f>IFERROR(__xludf.DUMMYFUNCTION("""COMPUTED_VALUE"""),8077688.0)</f>
        <v>8077688</v>
      </c>
      <c r="H366" t="str">
        <f>IFERROR(__xludf.DUMMYFUNCTION("""COMPUTED_VALUE"""),"Rémi Connesson | Python - Data Science - Machine Learning - Deep Learning")</f>
        <v>Rémi Connesson | Python - Data Science - Machine Learning - Deep Learning</v>
      </c>
      <c r="I366" t="str">
        <f>IFERROR(__xludf.DUMMYFUNCTION("""COMPUTED_VALUE"""),"Low Rating")</f>
        <v>Low Rating</v>
      </c>
      <c r="J366" t="b">
        <f>IFERROR(__xludf.DUMMYFUNCTION("""COMPUTED_VALUE"""),FALSE)</f>
        <v>0</v>
      </c>
      <c r="K366" s="142" t="str">
        <f>IFERROR(__xludf.DUMMYFUNCTION("""COMPUTED_VALUE"""),"Development")</f>
        <v>Development</v>
      </c>
      <c r="L366" s="142" t="str">
        <f>IFERROR(__xludf.DUMMYFUNCTION("""COMPUTED_VALUE"""),"Programming Languages")</f>
        <v>Programming Languages</v>
      </c>
      <c r="M366" s="140">
        <f>IFERROR(__xludf.DUMMYFUNCTION("""COMPUTED_VALUE"""),2923266.0)</f>
        <v>2923266</v>
      </c>
      <c r="N366" s="140" t="str">
        <f>IFERROR(__xludf.DUMMYFUNCTION("""COMPUTED_VALUE"""),"Développeur Python | Formation Complète 2022")</f>
        <v>Développeur Python | Formation Complète 2022</v>
      </c>
      <c r="O366" s="140">
        <f>IFERROR(__xludf.DUMMYFUNCTION("""COMPUTED_VALUE"""),1180708.0)</f>
        <v>1180708</v>
      </c>
      <c r="P366" s="140" t="str">
        <f>IFERROR(__xludf.DUMMYFUNCTION("""COMPUTED_VALUE"""),"Python : Cours complet pour débutant (Manipulation de Data)")</f>
        <v>Python : Cours complet pour débutant (Manipulation de Data)</v>
      </c>
    </row>
    <row r="367">
      <c r="A367" s="141">
        <f>IFERROR(__xludf.DUMMYFUNCTION("""COMPUTED_VALUE"""),44530.0)</f>
        <v>44530</v>
      </c>
      <c r="B367" s="141">
        <f>IFERROR(__xludf.DUMMYFUNCTION("""COMPUTED_VALUE"""),44712.0)</f>
        <v>44712</v>
      </c>
      <c r="C367" s="140" t="str">
        <f>IFERROR(__xludf.DUMMYFUNCTION("""COMPUTED_VALUE"""),"en")</f>
        <v>en</v>
      </c>
      <c r="D367">
        <f>IFERROR(__xludf.DUMMYFUNCTION("""COMPUTED_VALUE"""),3014266.0)</f>
        <v>3014266</v>
      </c>
      <c r="E367" t="str">
        <f>IFERROR(__xludf.DUMMYFUNCTION("""COMPUTED_VALUE"""),"Build UBER Clone App Using Flutter and Firebase (2020)")</f>
        <v>Build UBER Clone App Using Flutter and Firebase (2020)</v>
      </c>
      <c r="F367" t="str">
        <f>IFERROR(__xludf.DUMMYFUNCTION("""COMPUTED_VALUE"""),"Build UBER Clone App Using Flutter and Firebase (2020)")</f>
        <v>Build UBER Clone App Using Flutter and Firebase (2020)</v>
      </c>
      <c r="G367">
        <f>IFERROR(__xludf.DUMMYFUNCTION("""COMPUTED_VALUE"""),5.9725489E7)</f>
        <v>59725489</v>
      </c>
      <c r="H367" t="str">
        <f>IFERROR(__xludf.DUMMYFUNCTION("""COMPUTED_VALUE"""),"Ufinix Academy")</f>
        <v>Ufinix Academy</v>
      </c>
      <c r="I367" t="str">
        <f>IFERROR(__xludf.DUMMYFUNCTION("""COMPUTED_VALUE"""),"Low Rating")</f>
        <v>Low Rating</v>
      </c>
      <c r="J367" t="b">
        <f>IFERROR(__xludf.DUMMYFUNCTION("""COMPUTED_VALUE"""),FALSE)</f>
        <v>0</v>
      </c>
      <c r="K367" s="142" t="str">
        <f>IFERROR(__xludf.DUMMYFUNCTION("""COMPUTED_VALUE"""),"Development")</f>
        <v>Development</v>
      </c>
      <c r="L367" s="142" t="str">
        <f>IFERROR(__xludf.DUMMYFUNCTION("""COMPUTED_VALUE"""),"Mobile Development")</f>
        <v>Mobile Development</v>
      </c>
      <c r="M367" s="140">
        <f>IFERROR(__xludf.DUMMYFUNCTION("""COMPUTED_VALUE"""),4410596.0)</f>
        <v>4410596</v>
      </c>
      <c r="N367" s="140" t="str">
        <f>IFERROR(__xludf.DUMMYFUNCTION("""COMPUTED_VALUE"""),"Build FoodPanda &amp; Uber Eats Clone App with Admin WEB Portal")</f>
        <v>Build FoodPanda &amp; Uber Eats Clone App with Admin WEB Portal</v>
      </c>
      <c r="O367" s="140">
        <f>IFERROR(__xludf.DUMMYFUNCTION("""COMPUTED_VALUE"""),4493066.0)</f>
        <v>4493066</v>
      </c>
      <c r="P367" s="140" t="str">
        <f>IFERROR(__xludf.DUMMYFUNCTION("""COMPUTED_VALUE"""),"")</f>
        <v/>
      </c>
    </row>
    <row r="368">
      <c r="A368" s="141">
        <f>IFERROR(__xludf.DUMMYFUNCTION("""COMPUTED_VALUE"""),44530.0)</f>
        <v>44530</v>
      </c>
      <c r="B368" s="141">
        <f>IFERROR(__xludf.DUMMYFUNCTION("""COMPUTED_VALUE"""),44712.0)</f>
        <v>44712</v>
      </c>
      <c r="C368" s="140" t="str">
        <f>IFERROR(__xludf.DUMMYFUNCTION("""COMPUTED_VALUE"""),"en")</f>
        <v>en</v>
      </c>
      <c r="D368">
        <f>IFERROR(__xludf.DUMMYFUNCTION("""COMPUTED_VALUE"""),3053168.0)</f>
        <v>3053168</v>
      </c>
      <c r="E368" t="str">
        <f>IFERROR(__xludf.DUMMYFUNCTION("""COMPUTED_VALUE"""),"OWASP Top 10 2017: Exploit and Mitigation")</f>
        <v>OWASP Top 10 2017: Exploit and Mitigation</v>
      </c>
      <c r="F368" t="str">
        <f>IFERROR(__xludf.DUMMYFUNCTION("""COMPUTED_VALUE"""),"OWASP Top 10 2017: Exploit and Mitigation")</f>
        <v>OWASP Top 10 2017: Exploit and Mitigation</v>
      </c>
      <c r="G368">
        <f>IFERROR(__xludf.DUMMYFUNCTION("""COMPUTED_VALUE"""),1.09698778E8)</f>
        <v>109698778</v>
      </c>
      <c r="H368" t="str">
        <f>IFERROR(__xludf.DUMMYFUNCTION("""COMPUTED_VALUE"""),"Nayan Das")</f>
        <v>Nayan Das</v>
      </c>
      <c r="I368" t="str">
        <f>IFERROR(__xludf.DUMMYFUNCTION("""COMPUTED_VALUE"""),"Low Rating")</f>
        <v>Low Rating</v>
      </c>
      <c r="J368" t="b">
        <f>IFERROR(__xludf.DUMMYFUNCTION("""COMPUTED_VALUE"""),FALSE)</f>
        <v>0</v>
      </c>
      <c r="K368" s="142" t="str">
        <f>IFERROR(__xludf.DUMMYFUNCTION("""COMPUTED_VALUE"""),"IT Operations")</f>
        <v>IT Operations</v>
      </c>
      <c r="L368" s="142" t="str">
        <f>IFERROR(__xludf.DUMMYFUNCTION("""COMPUTED_VALUE"""),"Network &amp; Security")</f>
        <v>Network &amp; Security</v>
      </c>
      <c r="M368" s="140">
        <f>IFERROR(__xludf.DUMMYFUNCTION("""COMPUTED_VALUE"""),1331472.0)</f>
        <v>1331472</v>
      </c>
      <c r="N368" s="140" t="str">
        <f>IFERROR(__xludf.DUMMYFUNCTION("""COMPUTED_VALUE"""),"OWASP top 10: Web Application Security (no coding!)")</f>
        <v>OWASP top 10: Web Application Security (no coding!)</v>
      </c>
      <c r="P368" s="140" t="str">
        <f>IFERROR(__xludf.DUMMYFUNCTION("""COMPUTED_VALUE"""),"")</f>
        <v/>
      </c>
    </row>
    <row r="369">
      <c r="A369" s="141">
        <f>IFERROR(__xludf.DUMMYFUNCTION("""COMPUTED_VALUE"""),44530.0)</f>
        <v>44530</v>
      </c>
      <c r="B369" s="141">
        <f>IFERROR(__xludf.DUMMYFUNCTION("""COMPUTED_VALUE"""),44712.0)</f>
        <v>44712</v>
      </c>
      <c r="C369" s="140" t="str">
        <f>IFERROR(__xludf.DUMMYFUNCTION("""COMPUTED_VALUE"""),"es")</f>
        <v>es</v>
      </c>
      <c r="D369">
        <f>IFERROR(__xludf.DUMMYFUNCTION("""COMPUTED_VALUE"""),3116520.0)</f>
        <v>3116520</v>
      </c>
      <c r="E369" t="str">
        <f>IFERROR(__xludf.DUMMYFUNCTION("""COMPUTED_VALUE"""),"Cómo Escribir Un Plan De Negocios Y Una Estrategia Comercial")</f>
        <v>Cómo Escribir Un Plan De Negocios Y Una Estrategia Comercial</v>
      </c>
      <c r="F369" t="str">
        <f>IFERROR(__xludf.DUMMYFUNCTION("""COMPUTED_VALUE"""),"How to write a business plan and a commercial strategy")</f>
        <v>How to write a business plan and a commercial strategy</v>
      </c>
      <c r="G369">
        <f>IFERROR(__xludf.DUMMYFUNCTION("""COMPUTED_VALUE"""),4116740.0)</f>
        <v>4116740</v>
      </c>
      <c r="H369" t="str">
        <f>IFERROR(__xludf.DUMMYFUNCTION("""COMPUTED_VALUE"""),"Alex Genadinik")</f>
        <v>Alex Genadinik</v>
      </c>
      <c r="I369" t="str">
        <f>IFERROR(__xludf.DUMMYFUNCTION("""COMPUTED_VALUE"""),"Low Rating")</f>
        <v>Low Rating</v>
      </c>
      <c r="J369" t="b">
        <f>IFERROR(__xludf.DUMMYFUNCTION("""COMPUTED_VALUE"""),FALSE)</f>
        <v>0</v>
      </c>
      <c r="K369" s="142" t="str">
        <f>IFERROR(__xludf.DUMMYFUNCTION("""COMPUTED_VALUE"""),"Leadership &amp; Management")</f>
        <v>Leadership &amp; Management</v>
      </c>
      <c r="L369" s="142" t="str">
        <f>IFERROR(__xludf.DUMMYFUNCTION("""COMPUTED_VALUE"""),"Strategy")</f>
        <v>Strategy</v>
      </c>
      <c r="M369" s="140">
        <f>IFERROR(__xludf.DUMMYFUNCTION("""COMPUTED_VALUE"""),2067063.0)</f>
        <v>2067063</v>
      </c>
      <c r="N369" s="140" t="str">
        <f>IFERROR(__xludf.DUMMYFUNCTION("""COMPUTED_VALUE"""),"Branding y Neuromarketing digital, la ciencia de vender")</f>
        <v>Branding y Neuromarketing digital, la ciencia de vender</v>
      </c>
      <c r="P369" s="140" t="str">
        <f>IFERROR(__xludf.DUMMYFUNCTION("""COMPUTED_VALUE"""),"")</f>
        <v/>
      </c>
    </row>
    <row r="370">
      <c r="A370" s="141">
        <f>IFERROR(__xludf.DUMMYFUNCTION("""COMPUTED_VALUE"""),44530.0)</f>
        <v>44530</v>
      </c>
      <c r="B370" s="141">
        <f>IFERROR(__xludf.DUMMYFUNCTION("""COMPUTED_VALUE"""),44712.0)</f>
        <v>44712</v>
      </c>
      <c r="C370" s="140" t="str">
        <f>IFERROR(__xludf.DUMMYFUNCTION("""COMPUTED_VALUE"""),"ar")</f>
        <v>ar</v>
      </c>
      <c r="D370">
        <f>IFERROR(__xludf.DUMMYFUNCTION("""COMPUTED_VALUE"""),3118344.0)</f>
        <v>3118344</v>
      </c>
      <c r="E370" t="str">
        <f>IFERROR(__xludf.DUMMYFUNCTION("""COMPUTED_VALUE"""),"Learn Node.JS from Beginning to Mastery 2020 [بالعربية]")</f>
        <v>Learn Node.JS from Beginning to Mastery 2020 [بالعربية]</v>
      </c>
      <c r="F370" t="str">
        <f>IFERROR(__xludf.DUMMYFUNCTION("""COMPUTED_VALUE"""),"Learn Node.js from Beginning to Mastery 2020 [Arabic]")</f>
        <v>Learn Node.js from Beginning to Mastery 2020 [Arabic]</v>
      </c>
      <c r="G370">
        <f>IFERROR(__xludf.DUMMYFUNCTION("""COMPUTED_VALUE"""),1.17683134E8)</f>
        <v>117683134</v>
      </c>
      <c r="H370" t="str">
        <f>IFERROR(__xludf.DUMMYFUNCTION("""COMPUTED_VALUE"""),"Anas Saber")</f>
        <v>Anas Saber</v>
      </c>
      <c r="I370" t="str">
        <f>IFERROR(__xludf.DUMMYFUNCTION("""COMPUTED_VALUE"""),"Low Rating")</f>
        <v>Low Rating</v>
      </c>
      <c r="J370" t="b">
        <f>IFERROR(__xludf.DUMMYFUNCTION("""COMPUTED_VALUE"""),FALSE)</f>
        <v>0</v>
      </c>
      <c r="K370" s="142" t="str">
        <f>IFERROR(__xludf.DUMMYFUNCTION("""COMPUTED_VALUE"""),"Development")</f>
        <v>Development</v>
      </c>
      <c r="L370" s="142" t="str">
        <f>IFERROR(__xludf.DUMMYFUNCTION("""COMPUTED_VALUE"""),"Web Development")</f>
        <v>Web Development</v>
      </c>
      <c r="N370" s="140" t="str">
        <f>IFERROR(__xludf.DUMMYFUNCTION("""COMPUTED_VALUE"""),"")</f>
        <v/>
      </c>
      <c r="P370" s="140" t="str">
        <f>IFERROR(__xludf.DUMMYFUNCTION("""COMPUTED_VALUE"""),"")</f>
        <v/>
      </c>
    </row>
    <row r="371">
      <c r="A371" s="141">
        <f>IFERROR(__xludf.DUMMYFUNCTION("""COMPUTED_VALUE"""),44530.0)</f>
        <v>44530</v>
      </c>
      <c r="B371" s="141">
        <f>IFERROR(__xludf.DUMMYFUNCTION("""COMPUTED_VALUE"""),44712.0)</f>
        <v>44712</v>
      </c>
      <c r="C371" s="140" t="str">
        <f>IFERROR(__xludf.DUMMYFUNCTION("""COMPUTED_VALUE"""),"ar")</f>
        <v>ar</v>
      </c>
      <c r="D371">
        <f>IFERROR(__xludf.DUMMYFUNCTION("""COMPUTED_VALUE"""),3129162.0)</f>
        <v>3129162</v>
      </c>
      <c r="E371" t="str">
        <f>IFERROR(__xludf.DUMMYFUNCTION("""COMPUTED_VALUE"""),"Ultimate Adobe Photoshop CC 2019 Course (كورس بالعربية)")</f>
        <v>Ultimate Adobe Photoshop CC 2019 Course (كورس بالعربية)</v>
      </c>
      <c r="F371" t="str">
        <f>IFERROR(__xludf.DUMMYFUNCTION("""COMPUTED_VALUE"""),"Ultimate Adobe Photoshop CC 2019 Course (Arabic Course)")</f>
        <v>Ultimate Adobe Photoshop CC 2019 Course (Arabic Course)</v>
      </c>
      <c r="G371">
        <f>IFERROR(__xludf.DUMMYFUNCTION("""COMPUTED_VALUE"""),7.902759E7)</f>
        <v>79027590</v>
      </c>
      <c r="H371" t="str">
        <f>IFERROR(__xludf.DUMMYFUNCTION("""COMPUTED_VALUE"""),"Mohammed Abdel-Aal")</f>
        <v>Mohammed Abdel-Aal</v>
      </c>
      <c r="I371" t="str">
        <f>IFERROR(__xludf.DUMMYFUNCTION("""COMPUTED_VALUE"""),"Low Rating")</f>
        <v>Low Rating</v>
      </c>
      <c r="J371" t="b">
        <f>IFERROR(__xludf.DUMMYFUNCTION("""COMPUTED_VALUE"""),FALSE)</f>
        <v>0</v>
      </c>
      <c r="K371" s="142" t="str">
        <f>IFERROR(__xludf.DUMMYFUNCTION("""COMPUTED_VALUE"""),"Design")</f>
        <v>Design</v>
      </c>
      <c r="L371" s="142" t="str">
        <f>IFERROR(__xludf.DUMMYFUNCTION("""COMPUTED_VALUE"""),"Design Tools")</f>
        <v>Design Tools</v>
      </c>
      <c r="N371" s="140" t="str">
        <f>IFERROR(__xludf.DUMMYFUNCTION("""COMPUTED_VALUE"""),"")</f>
        <v/>
      </c>
      <c r="P371" s="140" t="str">
        <f>IFERROR(__xludf.DUMMYFUNCTION("""COMPUTED_VALUE"""),"")</f>
        <v/>
      </c>
    </row>
    <row r="372">
      <c r="A372" s="141">
        <f>IFERROR(__xludf.DUMMYFUNCTION("""COMPUTED_VALUE"""),44530.0)</f>
        <v>44530</v>
      </c>
      <c r="B372" s="141">
        <f>IFERROR(__xludf.DUMMYFUNCTION("""COMPUTED_VALUE"""),44712.0)</f>
        <v>44712</v>
      </c>
      <c r="C372" s="140" t="str">
        <f>IFERROR(__xludf.DUMMYFUNCTION("""COMPUTED_VALUE"""),"en")</f>
        <v>en</v>
      </c>
      <c r="D372">
        <f>IFERROR(__xludf.DUMMYFUNCTION("""COMPUTED_VALUE"""),3351220.0)</f>
        <v>3351220</v>
      </c>
      <c r="E372" t="str">
        <f>IFERROR(__xludf.DUMMYFUNCTION("""COMPUTED_VALUE"""),"Certified Risk and Information System Control  (CRISC-ISACA)")</f>
        <v>Certified Risk and Information System Control  (CRISC-ISACA)</v>
      </c>
      <c r="F372" t="str">
        <f>IFERROR(__xludf.DUMMYFUNCTION("""COMPUTED_VALUE"""),"Certified Risk and Information System Control  (CRISC-ISACA)")</f>
        <v>Certified Risk and Information System Control  (CRISC-ISACA)</v>
      </c>
      <c r="G372">
        <f>IFERROR(__xludf.DUMMYFUNCTION("""COMPUTED_VALUE"""),2.7865876E7)</f>
        <v>27865876</v>
      </c>
      <c r="H372" t="str">
        <f>IFERROR(__xludf.DUMMYFUNCTION("""COMPUTED_VALUE"""),"Hemang Doshi")</f>
        <v>Hemang Doshi</v>
      </c>
      <c r="I372" t="str">
        <f>IFERROR(__xludf.DUMMYFUNCTION("""COMPUTED_VALUE"""),"Low Rating")</f>
        <v>Low Rating</v>
      </c>
      <c r="J372" t="b">
        <f>IFERROR(__xludf.DUMMYFUNCTION("""COMPUTED_VALUE"""),FALSE)</f>
        <v>0</v>
      </c>
      <c r="K372" s="142" t="str">
        <f>IFERROR(__xludf.DUMMYFUNCTION("""COMPUTED_VALUE"""),"IT Operations")</f>
        <v>IT Operations</v>
      </c>
      <c r="L372" s="142" t="str">
        <f>IFERROR(__xludf.DUMMYFUNCTION("""COMPUTED_VALUE"""),"Network &amp; Security")</f>
        <v>Network &amp; Security</v>
      </c>
      <c r="N372" s="140" t="str">
        <f>IFERROR(__xludf.DUMMYFUNCTION("""COMPUTED_VALUE"""),"")</f>
        <v/>
      </c>
      <c r="P372" s="140" t="str">
        <f>IFERROR(__xludf.DUMMYFUNCTION("""COMPUTED_VALUE"""),"")</f>
        <v/>
      </c>
    </row>
    <row r="373">
      <c r="A373" s="141">
        <f>IFERROR(__xludf.DUMMYFUNCTION("""COMPUTED_VALUE"""),44530.0)</f>
        <v>44530</v>
      </c>
      <c r="B373" s="141">
        <f>IFERROR(__xludf.DUMMYFUNCTION("""COMPUTED_VALUE"""),44712.0)</f>
        <v>44712</v>
      </c>
      <c r="C373" s="140" t="str">
        <f>IFERROR(__xludf.DUMMYFUNCTION("""COMPUTED_VALUE"""),"en")</f>
        <v>en</v>
      </c>
      <c r="D373">
        <f>IFERROR(__xludf.DUMMYFUNCTION("""COMPUTED_VALUE"""),3451330.0)</f>
        <v>3451330</v>
      </c>
      <c r="E373" t="str">
        <f>IFERROR(__xludf.DUMMYFUNCTION("""COMPUTED_VALUE"""),"Getting Started with Power Portals")</f>
        <v>Getting Started with Power Portals</v>
      </c>
      <c r="F373" t="str">
        <f>IFERROR(__xludf.DUMMYFUNCTION("""COMPUTED_VALUE"""),"Getting Started with Power Portals")</f>
        <v>Getting Started with Power Portals</v>
      </c>
      <c r="G373">
        <f>IFERROR(__xludf.DUMMYFUNCTION("""COMPUTED_VALUE"""),2.6322376E7)</f>
        <v>26322376</v>
      </c>
      <c r="H373" t="str">
        <f>IFERROR(__xludf.DUMMYFUNCTION("""COMPUTED_VALUE"""),"David Soden")</f>
        <v>David Soden</v>
      </c>
      <c r="I373" t="str">
        <f>IFERROR(__xludf.DUMMYFUNCTION("""COMPUTED_VALUE"""),"Low Rating")</f>
        <v>Low Rating</v>
      </c>
      <c r="J373" t="b">
        <f>IFERROR(__xludf.DUMMYFUNCTION("""COMPUTED_VALUE"""),FALSE)</f>
        <v>0</v>
      </c>
      <c r="K373" s="142" t="str">
        <f>IFERROR(__xludf.DUMMYFUNCTION("""COMPUTED_VALUE"""),"Office Productivity")</f>
        <v>Office Productivity</v>
      </c>
      <c r="L373" s="142" t="str">
        <f>IFERROR(__xludf.DUMMYFUNCTION("""COMPUTED_VALUE"""),"Collaboration")</f>
        <v>Collaboration</v>
      </c>
      <c r="N373" s="140" t="str">
        <f>IFERROR(__xludf.DUMMYFUNCTION("""COMPUTED_VALUE"""),"")</f>
        <v/>
      </c>
      <c r="P373" s="140" t="str">
        <f>IFERROR(__xludf.DUMMYFUNCTION("""COMPUTED_VALUE"""),"")</f>
        <v/>
      </c>
    </row>
    <row r="374">
      <c r="A374" s="141">
        <f>IFERROR(__xludf.DUMMYFUNCTION("""COMPUTED_VALUE"""),44530.0)</f>
        <v>44530</v>
      </c>
      <c r="B374" s="141">
        <f>IFERROR(__xludf.DUMMYFUNCTION("""COMPUTED_VALUE"""),44712.0)</f>
        <v>44712</v>
      </c>
      <c r="C374" s="140" t="str">
        <f>IFERROR(__xludf.DUMMYFUNCTION("""COMPUTED_VALUE"""),"en")</f>
        <v>en</v>
      </c>
      <c r="D374">
        <f>IFERROR(__xludf.DUMMYFUNCTION("""COMPUTED_VALUE"""),3526120.0)</f>
        <v>3526120</v>
      </c>
      <c r="E374" t="str">
        <f>IFERROR(__xludf.DUMMYFUNCTION("""COMPUTED_VALUE"""),"Hyper-V and Clustering on Microsoft Windows Server 2019")</f>
        <v>Hyper-V and Clustering on Microsoft Windows Server 2019</v>
      </c>
      <c r="F374" t="str">
        <f>IFERROR(__xludf.DUMMYFUNCTION("""COMPUTED_VALUE"""),"Hyper-V and Clustering on Microsoft Windows Server 2019")</f>
        <v>Hyper-V and Clustering on Microsoft Windows Server 2019</v>
      </c>
      <c r="G374">
        <f>IFERROR(__xludf.DUMMYFUNCTION("""COMPUTED_VALUE"""),8.532311E7)</f>
        <v>85323110</v>
      </c>
      <c r="H374" t="str">
        <f>IFERROR(__xludf.DUMMYFUNCTION("""COMPUTED_VALUE"""),"ILANCHEZHIAN K / 56,115+ Students Technical Consultant")</f>
        <v>ILANCHEZHIAN K / 56,115+ Students Technical Consultant</v>
      </c>
      <c r="I374" t="str">
        <f>IFERROR(__xludf.DUMMYFUNCTION("""COMPUTED_VALUE"""),"Low Rating")</f>
        <v>Low Rating</v>
      </c>
      <c r="J374" t="b">
        <f>IFERROR(__xludf.DUMMYFUNCTION("""COMPUTED_VALUE"""),FALSE)</f>
        <v>0</v>
      </c>
      <c r="K374" s="142" t="str">
        <f>IFERROR(__xludf.DUMMYFUNCTION("""COMPUTED_VALUE"""),"IT Operations")</f>
        <v>IT Operations</v>
      </c>
      <c r="L374" s="142" t="str">
        <f>IFERROR(__xludf.DUMMYFUNCTION("""COMPUTED_VALUE"""),"Operating Systems &amp; Servers")</f>
        <v>Operating Systems &amp; Servers</v>
      </c>
      <c r="N374" s="140" t="str">
        <f>IFERROR(__xludf.DUMMYFUNCTION("""COMPUTED_VALUE"""),"")</f>
        <v/>
      </c>
      <c r="P374" s="140" t="str">
        <f>IFERROR(__xludf.DUMMYFUNCTION("""COMPUTED_VALUE"""),"")</f>
        <v/>
      </c>
    </row>
    <row r="375">
      <c r="A375" s="141">
        <f>IFERROR(__xludf.DUMMYFUNCTION("""COMPUTED_VALUE"""),44530.0)</f>
        <v>44530</v>
      </c>
      <c r="B375" s="141">
        <f>IFERROR(__xludf.DUMMYFUNCTION("""COMPUTED_VALUE"""),44712.0)</f>
        <v>44712</v>
      </c>
      <c r="C375" s="140" t="str">
        <f>IFERROR(__xludf.DUMMYFUNCTION("""COMPUTED_VALUE"""),"es")</f>
        <v>es</v>
      </c>
      <c r="D375">
        <f>IFERROR(__xludf.DUMMYFUNCTION("""COMPUTED_VALUE"""),3706696.0)</f>
        <v>3706696</v>
      </c>
      <c r="E375" t="str">
        <f>IFERROR(__xludf.DUMMYFUNCTION("""COMPUTED_VALUE"""),"Finanzas para No Financieros")</f>
        <v>Finanzas para No Financieros</v>
      </c>
      <c r="F375" t="str">
        <f>IFERROR(__xludf.DUMMYFUNCTION("""COMPUTED_VALUE"""),"Finance for Non-Financial")</f>
        <v>Finance for Non-Financial</v>
      </c>
      <c r="G375">
        <f>IFERROR(__xludf.DUMMYFUNCTION("""COMPUTED_VALUE"""),5.2245124E7)</f>
        <v>52245124</v>
      </c>
      <c r="H375" t="str">
        <f>IFERROR(__xludf.DUMMYFUNCTION("""COMPUTED_VALUE"""),"Eduardo Aponte R.")</f>
        <v>Eduardo Aponte R.</v>
      </c>
      <c r="I375" t="str">
        <f>IFERROR(__xludf.DUMMYFUNCTION("""COMPUTED_VALUE"""),"Low Rating")</f>
        <v>Low Rating</v>
      </c>
      <c r="J375" t="b">
        <f>IFERROR(__xludf.DUMMYFUNCTION("""COMPUTED_VALUE"""),FALSE)</f>
        <v>0</v>
      </c>
      <c r="K375" s="142" t="str">
        <f>IFERROR(__xludf.DUMMYFUNCTION("""COMPUTED_VALUE"""),"Finance &amp; Accounting")</f>
        <v>Finance &amp; Accounting</v>
      </c>
      <c r="L375" s="142" t="str">
        <f>IFERROR(__xludf.DUMMYFUNCTION("""COMPUTED_VALUE"""),"Finance Fundamentals")</f>
        <v>Finance Fundamentals</v>
      </c>
      <c r="N375" s="140" t="str">
        <f>IFERROR(__xludf.DUMMYFUNCTION("""COMPUTED_VALUE"""),"")</f>
        <v/>
      </c>
      <c r="P375" s="140" t="str">
        <f>IFERROR(__xludf.DUMMYFUNCTION("""COMPUTED_VALUE"""),"")</f>
        <v/>
      </c>
    </row>
    <row r="376">
      <c r="A376" s="141">
        <f>IFERROR(__xludf.DUMMYFUNCTION("""COMPUTED_VALUE"""),44530.0)</f>
        <v>44530</v>
      </c>
      <c r="B376" s="141">
        <f>IFERROR(__xludf.DUMMYFUNCTION("""COMPUTED_VALUE"""),44712.0)</f>
        <v>44712</v>
      </c>
      <c r="C376" s="140" t="str">
        <f>IFERROR(__xludf.DUMMYFUNCTION("""COMPUTED_VALUE"""),"es")</f>
        <v>es</v>
      </c>
      <c r="D376">
        <f>IFERROR(__xludf.DUMMYFUNCTION("""COMPUTED_VALUE"""),336628.0)</f>
        <v>336628</v>
      </c>
      <c r="E376" t="str">
        <f>IFERROR(__xludf.DUMMYFUNCTION("""COMPUTED_VALUE"""),"Aprende a ser Community Manager")</f>
        <v>Aprende a ser Community Manager</v>
      </c>
      <c r="F376" t="str">
        <f>IFERROR(__xludf.DUMMYFUNCTION("""COMPUTED_VALUE"""),"Learn to be Community Manager")</f>
        <v>Learn to be Community Manager</v>
      </c>
      <c r="G376">
        <f>IFERROR(__xludf.DUMMYFUNCTION("""COMPUTED_VALUE"""),3851.0)</f>
        <v>3851</v>
      </c>
      <c r="H376" t="str">
        <f>IFERROR(__xludf.DUMMYFUNCTION("""COMPUTED_VALUE"""),"Juan Jose Ramos")</f>
        <v>Juan Jose Ramos</v>
      </c>
      <c r="I376" t="str">
        <f>IFERROR(__xludf.DUMMYFUNCTION("""COMPUTED_VALUE"""),"3 Flags")</f>
        <v>3 Flags</v>
      </c>
      <c r="J376" t="b">
        <f>IFERROR(__xludf.DUMMYFUNCTION("""COMPUTED_VALUE"""),FALSE)</f>
        <v>0</v>
      </c>
      <c r="K376" s="142" t="str">
        <f>IFERROR(__xludf.DUMMYFUNCTION("""COMPUTED_VALUE"""),"Marketing")</f>
        <v>Marketing</v>
      </c>
      <c r="L376" s="142" t="str">
        <f>IFERROR(__xludf.DUMMYFUNCTION("""COMPUTED_VALUE"""),"Social Media Marketing")</f>
        <v>Social Media Marketing</v>
      </c>
      <c r="M376" s="140">
        <f>IFERROR(__xludf.DUMMYFUNCTION("""COMPUTED_VALUE"""),3887308.0)</f>
        <v>3887308</v>
      </c>
      <c r="N376" s="140" t="str">
        <f>IFERROR(__xludf.DUMMYFUNCTION("""COMPUTED_VALUE"""),"✅ COMMUNITY MANAGER + MARKETING DIGITAL para PRINCIPIANTES")</f>
        <v>✅ COMMUNITY MANAGER + MARKETING DIGITAL para PRINCIPIANTES</v>
      </c>
      <c r="O376" s="140">
        <f>IFERROR(__xludf.DUMMYFUNCTION("""COMPUTED_VALUE"""),405272.0)</f>
        <v>405272</v>
      </c>
      <c r="P376" s="140" t="str">
        <f>IFERROR(__xludf.DUMMYFUNCTION("""COMPUTED_VALUE"""),"Triunfa en Social Media y conviértete en Community Manager")</f>
        <v>Triunfa en Social Media y conviértete en Community Manager</v>
      </c>
    </row>
    <row r="377">
      <c r="A377" s="141">
        <f>IFERROR(__xludf.DUMMYFUNCTION("""COMPUTED_VALUE"""),44530.0)</f>
        <v>44530</v>
      </c>
      <c r="B377" s="141">
        <f>IFERROR(__xludf.DUMMYFUNCTION("""COMPUTED_VALUE"""),44712.0)</f>
        <v>44712</v>
      </c>
      <c r="C377" s="140" t="str">
        <f>IFERROR(__xludf.DUMMYFUNCTION("""COMPUTED_VALUE"""),"es")</f>
        <v>es</v>
      </c>
      <c r="D377">
        <f>IFERROR(__xludf.DUMMYFUNCTION("""COMPUTED_VALUE"""),481712.0)</f>
        <v>481712</v>
      </c>
      <c r="E377" t="str">
        <f>IFERROR(__xludf.DUMMYFUNCTION("""COMPUTED_VALUE"""),"Desarrollo de Videojuegos 2D en Unity 3D 5")</f>
        <v>Desarrollo de Videojuegos 2D en Unity 3D 5</v>
      </c>
      <c r="F377" t="str">
        <f>IFERROR(__xludf.DUMMYFUNCTION("""COMPUTED_VALUE"""),"Development of 2D video games in Unity 3D 5")</f>
        <v>Development of 2D video games in Unity 3D 5</v>
      </c>
      <c r="G377">
        <f>IFERROR(__xludf.DUMMYFUNCTION("""COMPUTED_VALUE"""),202877.0)</f>
        <v>202877</v>
      </c>
      <c r="H377" t="str">
        <f>IFERROR(__xludf.DUMMYFUNCTION("""COMPUTED_VALUE"""),"Alexis Jeansalle")</f>
        <v>Alexis Jeansalle</v>
      </c>
      <c r="I377" t="str">
        <f>IFERROR(__xludf.DUMMYFUNCTION("""COMPUTED_VALUE"""),"3 Flags")</f>
        <v>3 Flags</v>
      </c>
      <c r="J377" t="b">
        <f>IFERROR(__xludf.DUMMYFUNCTION("""COMPUTED_VALUE"""),FALSE)</f>
        <v>0</v>
      </c>
      <c r="K377" s="142" t="str">
        <f>IFERROR(__xludf.DUMMYFUNCTION("""COMPUTED_VALUE"""),"Development")</f>
        <v>Development</v>
      </c>
      <c r="L377" s="142" t="str">
        <f>IFERROR(__xludf.DUMMYFUNCTION("""COMPUTED_VALUE"""),"Game Development")</f>
        <v>Game Development</v>
      </c>
      <c r="N377" s="140" t="str">
        <f>IFERROR(__xludf.DUMMYFUNCTION("""COMPUTED_VALUE"""),"")</f>
        <v/>
      </c>
      <c r="P377" s="140" t="str">
        <f>IFERROR(__xludf.DUMMYFUNCTION("""COMPUTED_VALUE"""),"")</f>
        <v/>
      </c>
    </row>
    <row r="378">
      <c r="A378" s="141">
        <f>IFERROR(__xludf.DUMMYFUNCTION("""COMPUTED_VALUE"""),44530.0)</f>
        <v>44530</v>
      </c>
      <c r="B378" s="141">
        <f>IFERROR(__xludf.DUMMYFUNCTION("""COMPUTED_VALUE"""),44712.0)</f>
        <v>44712</v>
      </c>
      <c r="C378" s="140" t="str">
        <f>IFERROR(__xludf.DUMMYFUNCTION("""COMPUTED_VALUE"""),"en")</f>
        <v>en</v>
      </c>
      <c r="D378">
        <f>IFERROR(__xludf.DUMMYFUNCTION("""COMPUTED_VALUE"""),507078.0)</f>
        <v>507078</v>
      </c>
      <c r="E378" t="str">
        <f>IFERROR(__xludf.DUMMYFUNCTION("""COMPUTED_VALUE"""),"MDX Training Part 2")</f>
        <v>MDX Training Part 2</v>
      </c>
      <c r="F378" t="str">
        <f>IFERROR(__xludf.DUMMYFUNCTION("""COMPUTED_VALUE"""),"MDX Training Part 2")</f>
        <v>MDX Training Part 2</v>
      </c>
      <c r="G378">
        <f>IFERROR(__xludf.DUMMYFUNCTION("""COMPUTED_VALUE"""),1.2977158E7)</f>
        <v>12977158</v>
      </c>
      <c r="H378" t="str">
        <f>IFERROR(__xludf.DUMMYFUNCTION("""COMPUTED_VALUE"""),"Vikas Munjal")</f>
        <v>Vikas Munjal</v>
      </c>
      <c r="I378" t="str">
        <f>IFERROR(__xludf.DUMMYFUNCTION("""COMPUTED_VALUE"""),"3 Flags")</f>
        <v>3 Flags</v>
      </c>
      <c r="J378" t="b">
        <f>IFERROR(__xludf.DUMMYFUNCTION("""COMPUTED_VALUE"""),FALSE)</f>
        <v>0</v>
      </c>
      <c r="K378" s="142" t="str">
        <f>IFERROR(__xludf.DUMMYFUNCTION("""COMPUTED_VALUE"""),"Data Science")</f>
        <v>Data Science</v>
      </c>
      <c r="L378" s="142" t="str">
        <f>IFERROR(__xludf.DUMMYFUNCTION("""COMPUTED_VALUE"""),"Big Data")</f>
        <v>Big Data</v>
      </c>
      <c r="N378" s="140" t="str">
        <f>IFERROR(__xludf.DUMMYFUNCTION("""COMPUTED_VALUE"""),"")</f>
        <v/>
      </c>
      <c r="P378" s="140" t="str">
        <f>IFERROR(__xludf.DUMMYFUNCTION("""COMPUTED_VALUE"""),"")</f>
        <v/>
      </c>
    </row>
    <row r="379">
      <c r="A379" s="141">
        <f>IFERROR(__xludf.DUMMYFUNCTION("""COMPUTED_VALUE"""),44530.0)</f>
        <v>44530</v>
      </c>
      <c r="B379" s="141">
        <f>IFERROR(__xludf.DUMMYFUNCTION("""COMPUTED_VALUE"""),44712.0)</f>
        <v>44712</v>
      </c>
      <c r="C379" s="140" t="str">
        <f>IFERROR(__xludf.DUMMYFUNCTION("""COMPUTED_VALUE"""),"en")</f>
        <v>en</v>
      </c>
      <c r="D379">
        <f>IFERROR(__xludf.DUMMYFUNCTION("""COMPUTED_VALUE"""),714978.0)</f>
        <v>714978</v>
      </c>
      <c r="E379" t="str">
        <f>IFERROR(__xludf.DUMMYFUNCTION("""COMPUTED_VALUE"""),"Artificial Intelligence II - Hands-On Neural Networks (Java)")</f>
        <v>Artificial Intelligence II - Hands-On Neural Networks (Java)</v>
      </c>
      <c r="F379" t="str">
        <f>IFERROR(__xludf.DUMMYFUNCTION("""COMPUTED_VALUE"""),"Artificial Intelligence II - Hands-On Neural Networks (Java)")</f>
        <v>Artificial Intelligence II - Hands-On Neural Networks (Java)</v>
      </c>
      <c r="G379">
        <f>IFERROR(__xludf.DUMMYFUNCTION("""COMPUTED_VALUE"""),837576.0)</f>
        <v>837576</v>
      </c>
      <c r="H379" t="str">
        <f>IFERROR(__xludf.DUMMYFUNCTION("""COMPUTED_VALUE"""),"Holczer Balazs")</f>
        <v>Holczer Balazs</v>
      </c>
      <c r="I379" t="str">
        <f>IFERROR(__xludf.DUMMYFUNCTION("""COMPUTED_VALUE"""),"3 Flags")</f>
        <v>3 Flags</v>
      </c>
      <c r="J379" t="b">
        <f>IFERROR(__xludf.DUMMYFUNCTION("""COMPUTED_VALUE"""),FALSE)</f>
        <v>0</v>
      </c>
      <c r="K379" s="142" t="str">
        <f>IFERROR(__xludf.DUMMYFUNCTION("""COMPUTED_VALUE"""),"Data Science")</f>
        <v>Data Science</v>
      </c>
      <c r="L379" s="142" t="str">
        <f>IFERROR(__xludf.DUMMYFUNCTION("""COMPUTED_VALUE"""),"Machine Learning")</f>
        <v>Machine Learning</v>
      </c>
      <c r="M379" s="140">
        <f>IFERROR(__xludf.DUMMYFUNCTION("""COMPUTED_VALUE"""),1151632.0)</f>
        <v>1151632</v>
      </c>
      <c r="N379" s="140" t="str">
        <f>IFERROR(__xludf.DUMMYFUNCTION("""COMPUTED_VALUE"""),"Deep Learning A-Z™: Hands-On Artificial Neural Networks")</f>
        <v>Deep Learning A-Z™: Hands-On Artificial Neural Networks</v>
      </c>
      <c r="P379" s="140" t="str">
        <f>IFERROR(__xludf.DUMMYFUNCTION("""COMPUTED_VALUE"""),"")</f>
        <v/>
      </c>
    </row>
    <row r="380">
      <c r="A380" s="141">
        <f>IFERROR(__xludf.DUMMYFUNCTION("""COMPUTED_VALUE"""),44530.0)</f>
        <v>44530</v>
      </c>
      <c r="B380" s="141">
        <f>IFERROR(__xludf.DUMMYFUNCTION("""COMPUTED_VALUE"""),44712.0)</f>
        <v>44712</v>
      </c>
      <c r="C380" s="140" t="str">
        <f>IFERROR(__xludf.DUMMYFUNCTION("""COMPUTED_VALUE"""),"ja")</f>
        <v>ja</v>
      </c>
      <c r="D380">
        <f>IFERROR(__xludf.DUMMYFUNCTION("""COMPUTED_VALUE"""),1015438.0)</f>
        <v>1015438</v>
      </c>
      <c r="E380" t="str">
        <f>IFERROR(__xludf.DUMMYFUNCTION("""COMPUTED_VALUE"""),"アプリケーション開発者のための機械学習実践講座")</f>
        <v>アプリケーション開発者のための機械学習実践講座</v>
      </c>
      <c r="F380" t="str">
        <f>IFERROR(__xludf.DUMMYFUNCTION("""COMPUTED_VALUE"""),"Machine Learning Practice Course for Application Developer")</f>
        <v>Machine Learning Practice Course for Application Developer</v>
      </c>
      <c r="G380">
        <f>IFERROR(__xludf.DUMMYFUNCTION("""COMPUTED_VALUE"""),2.7245304E7)</f>
        <v>27245304</v>
      </c>
      <c r="H380" t="str">
        <f>IFERROR(__xludf.DUMMYFUNCTION("""COMPUTED_VALUE"""),"Takahiro Kubo")</f>
        <v>Takahiro Kubo</v>
      </c>
      <c r="I380" t="str">
        <f>IFERROR(__xludf.DUMMYFUNCTION("""COMPUTED_VALUE"""),"3 Flags")</f>
        <v>3 Flags</v>
      </c>
      <c r="J380" t="b">
        <f>IFERROR(__xludf.DUMMYFUNCTION("""COMPUTED_VALUE"""),FALSE)</f>
        <v>0</v>
      </c>
      <c r="K380" s="142" t="str">
        <f>IFERROR(__xludf.DUMMYFUNCTION("""COMPUTED_VALUE"""),"Data Science")</f>
        <v>Data Science</v>
      </c>
      <c r="L380" s="142" t="str">
        <f>IFERROR(__xludf.DUMMYFUNCTION("""COMPUTED_VALUE"""),"Machine Learning")</f>
        <v>Machine Learning</v>
      </c>
      <c r="N380" s="140" t="str">
        <f>IFERROR(__xludf.DUMMYFUNCTION("""COMPUTED_VALUE"""),"")</f>
        <v/>
      </c>
      <c r="P380" s="140" t="str">
        <f>IFERROR(__xludf.DUMMYFUNCTION("""COMPUTED_VALUE"""),"")</f>
        <v/>
      </c>
    </row>
    <row r="381">
      <c r="A381" s="141">
        <f>IFERROR(__xludf.DUMMYFUNCTION("""COMPUTED_VALUE"""),44530.0)</f>
        <v>44530</v>
      </c>
      <c r="B381" s="141">
        <f>IFERROR(__xludf.DUMMYFUNCTION("""COMPUTED_VALUE"""),44712.0)</f>
        <v>44712</v>
      </c>
      <c r="C381" s="140" t="str">
        <f>IFERROR(__xludf.DUMMYFUNCTION("""COMPUTED_VALUE"""),"de")</f>
        <v>de</v>
      </c>
      <c r="D381">
        <f>IFERROR(__xludf.DUMMYFUNCTION("""COMPUTED_VALUE"""),1019086.0)</f>
        <v>1019086</v>
      </c>
      <c r="E381" t="str">
        <f>IFERROR(__xludf.DUMMYFUNCTION("""COMPUTED_VALUE"""),"Video-Produktion mit jeder Kamera und Editing in Final Cut")</f>
        <v>Video-Produktion mit jeder Kamera und Editing in Final Cut</v>
      </c>
      <c r="F381" t="str">
        <f>IFERROR(__xludf.DUMMYFUNCTION("""COMPUTED_VALUE"""),"Video production with any camera and editing in Final Cut")</f>
        <v>Video production with any camera and editing in Final Cut</v>
      </c>
      <c r="G381">
        <f>IFERROR(__xludf.DUMMYFUNCTION("""COMPUTED_VALUE"""),2.7380472E7)</f>
        <v>27380472</v>
      </c>
      <c r="H381" t="str">
        <f>IFERROR(__xludf.DUMMYFUNCTION("""COMPUTED_VALUE"""),"Jannis Riebschläger")</f>
        <v>Jannis Riebschläger</v>
      </c>
      <c r="I381" t="str">
        <f>IFERROR(__xludf.DUMMYFUNCTION("""COMPUTED_VALUE"""),"3 Flags")</f>
        <v>3 Flags</v>
      </c>
      <c r="J381" t="b">
        <f>IFERROR(__xludf.DUMMYFUNCTION("""COMPUTED_VALUE"""),FALSE)</f>
        <v>0</v>
      </c>
      <c r="K381" s="142" t="str">
        <f>IFERROR(__xludf.DUMMYFUNCTION("""COMPUTED_VALUE"""),"Personal Development")</f>
        <v>Personal Development</v>
      </c>
      <c r="L381" s="142" t="str">
        <f>IFERROR(__xludf.DUMMYFUNCTION("""COMPUTED_VALUE"""),"Arts &amp; Creativity")</f>
        <v>Arts &amp; Creativity</v>
      </c>
      <c r="N381" s="140" t="str">
        <f>IFERROR(__xludf.DUMMYFUNCTION("""COMPUTED_VALUE"""),"")</f>
        <v/>
      </c>
      <c r="P381" s="140" t="str">
        <f>IFERROR(__xludf.DUMMYFUNCTION("""COMPUTED_VALUE"""),"")</f>
        <v/>
      </c>
    </row>
    <row r="382">
      <c r="A382" s="141">
        <f>IFERROR(__xludf.DUMMYFUNCTION("""COMPUTED_VALUE"""),44530.0)</f>
        <v>44530</v>
      </c>
      <c r="B382" s="141">
        <f>IFERROR(__xludf.DUMMYFUNCTION("""COMPUTED_VALUE"""),44712.0)</f>
        <v>44712</v>
      </c>
      <c r="C382" s="140" t="str">
        <f>IFERROR(__xludf.DUMMYFUNCTION("""COMPUTED_VALUE"""),"ja")</f>
        <v>ja</v>
      </c>
      <c r="D382">
        <f>IFERROR(__xludf.DUMMYFUNCTION("""COMPUTED_VALUE"""),1227216.0)</f>
        <v>1227216</v>
      </c>
      <c r="E382" t="str">
        <f>IFERROR(__xludf.DUMMYFUNCTION("""COMPUTED_VALUE"""),"初心者でも最速でシゴトに使えるC#！")</f>
        <v>初心者でも最速でシゴトに使えるC#！</v>
      </c>
      <c r="F382" t="str">
        <f>IFERROR(__xludf.DUMMYFUNCTION("""COMPUTED_VALUE"""),"Even beginners can use C # that can be used in the fastest and shigoto!")</f>
        <v>Even beginners can use C # that can be used in the fastest and shigoto!</v>
      </c>
      <c r="G382">
        <f>IFERROR(__xludf.DUMMYFUNCTION("""COMPUTED_VALUE"""),2.859886E7)</f>
        <v>28598860</v>
      </c>
      <c r="H382" t="str">
        <f>IFERROR(__xludf.DUMMYFUNCTION("""COMPUTED_VALUE"""),"Suzuki Satoshi")</f>
        <v>Suzuki Satoshi</v>
      </c>
      <c r="I382" t="str">
        <f>IFERROR(__xludf.DUMMYFUNCTION("""COMPUTED_VALUE"""),"3 Flags")</f>
        <v>3 Flags</v>
      </c>
      <c r="J382" t="b">
        <f>IFERROR(__xludf.DUMMYFUNCTION("""COMPUTED_VALUE"""),FALSE)</f>
        <v>0</v>
      </c>
      <c r="K382" s="142" t="str">
        <f>IFERROR(__xludf.DUMMYFUNCTION("""COMPUTED_VALUE"""),"Development")</f>
        <v>Development</v>
      </c>
      <c r="L382" s="142" t="str">
        <f>IFERROR(__xludf.DUMMYFUNCTION("""COMPUTED_VALUE"""),"Programming Languages")</f>
        <v>Programming Languages</v>
      </c>
      <c r="N382" s="140" t="str">
        <f>IFERROR(__xludf.DUMMYFUNCTION("""COMPUTED_VALUE"""),"")</f>
        <v/>
      </c>
      <c r="P382" s="140" t="str">
        <f>IFERROR(__xludf.DUMMYFUNCTION("""COMPUTED_VALUE"""),"")</f>
        <v/>
      </c>
    </row>
    <row r="383">
      <c r="A383" s="141">
        <f>IFERROR(__xludf.DUMMYFUNCTION("""COMPUTED_VALUE"""),44530.0)</f>
        <v>44530</v>
      </c>
      <c r="B383" s="141">
        <f>IFERROR(__xludf.DUMMYFUNCTION("""COMPUTED_VALUE"""),44712.0)</f>
        <v>44712</v>
      </c>
      <c r="C383" s="140" t="str">
        <f>IFERROR(__xludf.DUMMYFUNCTION("""COMPUTED_VALUE"""),"fr")</f>
        <v>fr</v>
      </c>
      <c r="D383">
        <f>IFERROR(__xludf.DUMMYFUNCTION("""COMPUTED_VALUE"""),1262988.0)</f>
        <v>1262988</v>
      </c>
      <c r="E383" t="str">
        <f>IFERROR(__xludf.DUMMYFUNCTION("""COMPUTED_VALUE"""),"Introduction au Web Design")</f>
        <v>Introduction au Web Design</v>
      </c>
      <c r="F383" t="str">
        <f>IFERROR(__xludf.DUMMYFUNCTION("""COMPUTED_VALUE"""),"Introduction to the web design")</f>
        <v>Introduction to the web design</v>
      </c>
      <c r="G383">
        <f>IFERROR(__xludf.DUMMYFUNCTION("""COMPUTED_VALUE"""),2.6683816E7)</f>
        <v>26683816</v>
      </c>
      <c r="H383" t="str">
        <f>IFERROR(__xludf.DUMMYFUNCTION("""COMPUTED_VALUE"""),"Axel Paris Adobe XD | UI/UX design | Web Design | PHP")</f>
        <v>Axel Paris Adobe XD | UI/UX design | Web Design | PHP</v>
      </c>
      <c r="I383" t="str">
        <f>IFERROR(__xludf.DUMMYFUNCTION("""COMPUTED_VALUE"""),"3 Flags")</f>
        <v>3 Flags</v>
      </c>
      <c r="J383" t="b">
        <f>IFERROR(__xludf.DUMMYFUNCTION("""COMPUTED_VALUE"""),FALSE)</f>
        <v>0</v>
      </c>
      <c r="K383" s="142" t="str">
        <f>IFERROR(__xludf.DUMMYFUNCTION("""COMPUTED_VALUE"""),"Design")</f>
        <v>Design</v>
      </c>
      <c r="L383" s="142" t="str">
        <f>IFERROR(__xludf.DUMMYFUNCTION("""COMPUTED_VALUE"""),"Web Design")</f>
        <v>Web Design</v>
      </c>
      <c r="N383" s="140" t="str">
        <f>IFERROR(__xludf.DUMMYFUNCTION("""COMPUTED_VALUE"""),"")</f>
        <v/>
      </c>
      <c r="P383" s="140" t="str">
        <f>IFERROR(__xludf.DUMMYFUNCTION("""COMPUTED_VALUE"""),"")</f>
        <v/>
      </c>
    </row>
    <row r="384">
      <c r="A384" s="141">
        <f>IFERROR(__xludf.DUMMYFUNCTION("""COMPUTED_VALUE"""),44530.0)</f>
        <v>44530</v>
      </c>
      <c r="B384" s="141">
        <f>IFERROR(__xludf.DUMMYFUNCTION("""COMPUTED_VALUE"""),44712.0)</f>
        <v>44712</v>
      </c>
      <c r="C384" s="140" t="str">
        <f>IFERROR(__xludf.DUMMYFUNCTION("""COMPUTED_VALUE"""),"de")</f>
        <v>de</v>
      </c>
      <c r="D384">
        <f>IFERROR(__xludf.DUMMYFUNCTION("""COMPUTED_VALUE"""),1321492.0)</f>
        <v>1321492</v>
      </c>
      <c r="E384" t="str">
        <f>IFERROR(__xludf.DUMMYFUNCTION("""COMPUTED_VALUE"""),"Bing Ads Masterclass: Werde zum Bing Ads Profi")</f>
        <v>Bing Ads Masterclass: Werde zum Bing Ads Profi</v>
      </c>
      <c r="F384" t="str">
        <f>IFERROR(__xludf.DUMMYFUNCTION("""COMPUTED_VALUE"""),"Bing Ads Masterclass: Become a Bing Ads Profi")</f>
        <v>Bing Ads Masterclass: Become a Bing Ads Profi</v>
      </c>
      <c r="G384">
        <f>IFERROR(__xludf.DUMMYFUNCTION("""COMPUTED_VALUE"""),3.2780662E7)</f>
        <v>32780662</v>
      </c>
      <c r="H384" t="str">
        <f>IFERROR(__xludf.DUMMYFUNCTION("""COMPUTED_VALUE"""),"Jonas Klaholz")</f>
        <v>Jonas Klaholz</v>
      </c>
      <c r="I384" t="str">
        <f>IFERROR(__xludf.DUMMYFUNCTION("""COMPUTED_VALUE"""),"3 Flags")</f>
        <v>3 Flags</v>
      </c>
      <c r="J384" t="b">
        <f>IFERROR(__xludf.DUMMYFUNCTION("""COMPUTED_VALUE"""),FALSE)</f>
        <v>0</v>
      </c>
      <c r="K384" s="142" t="str">
        <f>IFERROR(__xludf.DUMMYFUNCTION("""COMPUTED_VALUE"""),"Marketing")</f>
        <v>Marketing</v>
      </c>
      <c r="L384" s="142" t="str">
        <f>IFERROR(__xludf.DUMMYFUNCTION("""COMPUTED_VALUE"""),"Search Engine Optimization")</f>
        <v>Search Engine Optimization</v>
      </c>
      <c r="N384" s="140" t="str">
        <f>IFERROR(__xludf.DUMMYFUNCTION("""COMPUTED_VALUE"""),"")</f>
        <v/>
      </c>
      <c r="P384" s="140" t="str">
        <f>IFERROR(__xludf.DUMMYFUNCTION("""COMPUTED_VALUE"""),"")</f>
        <v/>
      </c>
    </row>
    <row r="385">
      <c r="A385" s="141">
        <f>IFERROR(__xludf.DUMMYFUNCTION("""COMPUTED_VALUE"""),44530.0)</f>
        <v>44530</v>
      </c>
      <c r="B385" s="141">
        <f>IFERROR(__xludf.DUMMYFUNCTION("""COMPUTED_VALUE"""),44712.0)</f>
        <v>44712</v>
      </c>
      <c r="C385" s="140" t="str">
        <f>IFERROR(__xludf.DUMMYFUNCTION("""COMPUTED_VALUE"""),"fr")</f>
        <v>fr</v>
      </c>
      <c r="D385">
        <f>IFERROR(__xludf.DUMMYFUNCTION("""COMPUTED_VALUE"""),1436102.0)</f>
        <v>1436102</v>
      </c>
      <c r="E385" t="str">
        <f>IFERROR(__xludf.DUMMYFUNCTION("""COMPUTED_VALUE"""),"Guide complet ManyChat: créer un chatbot Facebook Messenger")</f>
        <v>Guide complet ManyChat: créer un chatbot Facebook Messenger</v>
      </c>
      <c r="F385" t="str">
        <f>IFERROR(__xludf.DUMMYFUNCTION("""COMPUTED_VALUE"""),"Complete Guide ManyChat: Create a ChatBot Facebook Messenger")</f>
        <v>Complete Guide ManyChat: Create a ChatBot Facebook Messenger</v>
      </c>
      <c r="G385">
        <f>IFERROR(__xludf.DUMMYFUNCTION("""COMPUTED_VALUE"""),1.054621E7)</f>
        <v>10546210</v>
      </c>
      <c r="H385" t="str">
        <f>IFERROR(__xludf.DUMMYFUNCTION("""COMPUTED_VALUE"""),"Tony M")</f>
        <v>Tony M</v>
      </c>
      <c r="I385" t="str">
        <f>IFERROR(__xludf.DUMMYFUNCTION("""COMPUTED_VALUE"""),"3 Flags")</f>
        <v>3 Flags</v>
      </c>
      <c r="J385" t="b">
        <f>IFERROR(__xludf.DUMMYFUNCTION("""COMPUTED_VALUE"""),FALSE)</f>
        <v>0</v>
      </c>
      <c r="K385" s="142" t="str">
        <f>IFERROR(__xludf.DUMMYFUNCTION("""COMPUTED_VALUE"""),"Marketing")</f>
        <v>Marketing</v>
      </c>
      <c r="L385" s="142" t="str">
        <f>IFERROR(__xludf.DUMMYFUNCTION("""COMPUTED_VALUE"""),"Social Media Marketing")</f>
        <v>Social Media Marketing</v>
      </c>
      <c r="N385" s="140" t="str">
        <f>IFERROR(__xludf.DUMMYFUNCTION("""COMPUTED_VALUE"""),"")</f>
        <v/>
      </c>
      <c r="P385" s="140" t="str">
        <f>IFERROR(__xludf.DUMMYFUNCTION("""COMPUTED_VALUE"""),"")</f>
        <v/>
      </c>
    </row>
    <row r="386">
      <c r="A386" s="141">
        <f>IFERROR(__xludf.DUMMYFUNCTION("""COMPUTED_VALUE"""),44530.0)</f>
        <v>44530</v>
      </c>
      <c r="B386" s="141">
        <f>IFERROR(__xludf.DUMMYFUNCTION("""COMPUTED_VALUE"""),44712.0)</f>
        <v>44712</v>
      </c>
      <c r="C386" s="140" t="str">
        <f>IFERROR(__xludf.DUMMYFUNCTION("""COMPUTED_VALUE"""),"es")</f>
        <v>es</v>
      </c>
      <c r="D386">
        <f>IFERROR(__xludf.DUMMYFUNCTION("""COMPUTED_VALUE"""),1550366.0)</f>
        <v>1550366</v>
      </c>
      <c r="E386" t="str">
        <f>IFERROR(__xludf.DUMMYFUNCTION("""COMPUTED_VALUE"""),"CRUD ASP.NET MVC")</f>
        <v>CRUD ASP.NET MVC</v>
      </c>
      <c r="F386" t="str">
        <f>IFERROR(__xludf.DUMMYFUNCTION("""COMPUTED_VALUE"""),"CRUD ASP.NET MVC")</f>
        <v>CRUD ASP.NET MVC</v>
      </c>
      <c r="G386">
        <f>IFERROR(__xludf.DUMMYFUNCTION("""COMPUTED_VALUE"""),3.7459044E7)</f>
        <v>37459044</v>
      </c>
      <c r="H386" t="str">
        <f>IFERROR(__xludf.DUMMYFUNCTION("""COMPUTED_VALUE"""),"Kenlly Acosta")</f>
        <v>Kenlly Acosta</v>
      </c>
      <c r="I386" t="str">
        <f>IFERROR(__xludf.DUMMYFUNCTION("""COMPUTED_VALUE"""),"3 Flags")</f>
        <v>3 Flags</v>
      </c>
      <c r="J386" t="b">
        <f>IFERROR(__xludf.DUMMYFUNCTION("""COMPUTED_VALUE"""),FALSE)</f>
        <v>0</v>
      </c>
      <c r="K386" s="142" t="str">
        <f>IFERROR(__xludf.DUMMYFUNCTION("""COMPUTED_VALUE"""),"IT Operations")</f>
        <v>IT Operations</v>
      </c>
      <c r="L386" s="142" t="str">
        <f>IFERROR(__xludf.DUMMYFUNCTION("""COMPUTED_VALUE"""),"Operating Systems &amp; Servers")</f>
        <v>Operating Systems &amp; Servers</v>
      </c>
      <c r="M386" s="140">
        <f>IFERROR(__xludf.DUMMYFUNCTION("""COMPUTED_VALUE"""),1209326.0)</f>
        <v>1209326</v>
      </c>
      <c r="N386" s="140" t="str">
        <f>IFERROR(__xludf.DUMMYFUNCTION("""COMPUTED_VALUE"""),"Curso Completo de Desarrollo ASP.NET MVC")</f>
        <v>Curso Completo de Desarrollo ASP.NET MVC</v>
      </c>
      <c r="P386" s="140" t="str">
        <f>IFERROR(__xludf.DUMMYFUNCTION("""COMPUTED_VALUE"""),"")</f>
        <v/>
      </c>
    </row>
    <row r="387">
      <c r="A387" s="141">
        <f>IFERROR(__xludf.DUMMYFUNCTION("""COMPUTED_VALUE"""),44530.0)</f>
        <v>44530</v>
      </c>
      <c r="B387" s="141">
        <f>IFERROR(__xludf.DUMMYFUNCTION("""COMPUTED_VALUE"""),44712.0)</f>
        <v>44712</v>
      </c>
      <c r="C387" s="140" t="str">
        <f>IFERROR(__xludf.DUMMYFUNCTION("""COMPUTED_VALUE"""),"en")</f>
        <v>en</v>
      </c>
      <c r="D387">
        <f>IFERROR(__xludf.DUMMYFUNCTION("""COMPUTED_VALUE"""),1605180.0)</f>
        <v>1605180</v>
      </c>
      <c r="E387" t="str">
        <f>IFERROR(__xludf.DUMMYFUNCTION("""COMPUTED_VALUE"""),"Starting an ISP with MikroTik")</f>
        <v>Starting an ISP with MikroTik</v>
      </c>
      <c r="F387" t="str">
        <f>IFERROR(__xludf.DUMMYFUNCTION("""COMPUTED_VALUE"""),"Starting an ISP with MikroTik")</f>
        <v>Starting an ISP with MikroTik</v>
      </c>
      <c r="G387">
        <f>IFERROR(__xludf.DUMMYFUNCTION("""COMPUTED_VALUE"""),424712.0)</f>
        <v>424712</v>
      </c>
      <c r="H387" t="str">
        <f>IFERROR(__xludf.DUMMYFUNCTION("""COMPUTED_VALUE"""),"Maher Haddad")</f>
        <v>Maher Haddad</v>
      </c>
      <c r="I387" t="str">
        <f>IFERROR(__xludf.DUMMYFUNCTION("""COMPUTED_VALUE"""),"3 Flags")</f>
        <v>3 Flags</v>
      </c>
      <c r="J387" t="b">
        <f>IFERROR(__xludf.DUMMYFUNCTION("""COMPUTED_VALUE"""),FALSE)</f>
        <v>0</v>
      </c>
      <c r="K387" s="142" t="str">
        <f>IFERROR(__xludf.DUMMYFUNCTION("""COMPUTED_VALUE"""),"IT Operations")</f>
        <v>IT Operations</v>
      </c>
      <c r="L387" s="142" t="str">
        <f>IFERROR(__xludf.DUMMYFUNCTION("""COMPUTED_VALUE"""),"Network &amp; Security")</f>
        <v>Network &amp; Security</v>
      </c>
      <c r="N387" s="140" t="str">
        <f>IFERROR(__xludf.DUMMYFUNCTION("""COMPUTED_VALUE"""),"")</f>
        <v/>
      </c>
      <c r="P387" s="140" t="str">
        <f>IFERROR(__xludf.DUMMYFUNCTION("""COMPUTED_VALUE"""),"")</f>
        <v/>
      </c>
    </row>
    <row r="388">
      <c r="A388" s="141">
        <f>IFERROR(__xludf.DUMMYFUNCTION("""COMPUTED_VALUE"""),44530.0)</f>
        <v>44530</v>
      </c>
      <c r="B388" s="141">
        <f>IFERROR(__xludf.DUMMYFUNCTION("""COMPUTED_VALUE"""),44712.0)</f>
        <v>44712</v>
      </c>
      <c r="C388" s="140" t="str">
        <f>IFERROR(__xludf.DUMMYFUNCTION("""COMPUTED_VALUE"""),"en")</f>
        <v>en</v>
      </c>
      <c r="D388">
        <f>IFERROR(__xludf.DUMMYFUNCTION("""COMPUTED_VALUE"""),1691572.0)</f>
        <v>1691572</v>
      </c>
      <c r="E388" t="str">
        <f>IFERROR(__xludf.DUMMYFUNCTION("""COMPUTED_VALUE"""),"Ionic Apps with Firebase")</f>
        <v>Ionic Apps with Firebase</v>
      </c>
      <c r="F388" t="str">
        <f>IFERROR(__xludf.DUMMYFUNCTION("""COMPUTED_VALUE"""),"Ionic Apps with Firebase")</f>
        <v>Ionic Apps with Firebase</v>
      </c>
      <c r="G388">
        <f>IFERROR(__xludf.DUMMYFUNCTION("""COMPUTED_VALUE"""),1.2736918E7)</f>
        <v>12736918</v>
      </c>
      <c r="H388" t="str">
        <f>IFERROR(__xludf.DUMMYFUNCTION("""COMPUTED_VALUE"""),"Samarth Agarwal")</f>
        <v>Samarth Agarwal</v>
      </c>
      <c r="I388" t="str">
        <f>IFERROR(__xludf.DUMMYFUNCTION("""COMPUTED_VALUE"""),"3 Flags")</f>
        <v>3 Flags</v>
      </c>
      <c r="J388" t="b">
        <f>IFERROR(__xludf.DUMMYFUNCTION("""COMPUTED_VALUE"""),FALSE)</f>
        <v>0</v>
      </c>
      <c r="K388" s="142" t="str">
        <f>IFERROR(__xludf.DUMMYFUNCTION("""COMPUTED_VALUE"""),"Development")</f>
        <v>Development</v>
      </c>
      <c r="L388" s="142" t="str">
        <f>IFERROR(__xludf.DUMMYFUNCTION("""COMPUTED_VALUE"""),"Mobile Development")</f>
        <v>Mobile Development</v>
      </c>
      <c r="N388" s="140" t="str">
        <f>IFERROR(__xludf.DUMMYFUNCTION("""COMPUTED_VALUE"""),"")</f>
        <v/>
      </c>
      <c r="P388" s="140" t="str">
        <f>IFERROR(__xludf.DUMMYFUNCTION("""COMPUTED_VALUE"""),"")</f>
        <v/>
      </c>
    </row>
    <row r="389">
      <c r="A389" s="141">
        <f>IFERROR(__xludf.DUMMYFUNCTION("""COMPUTED_VALUE"""),44530.0)</f>
        <v>44530</v>
      </c>
      <c r="B389" s="141">
        <f>IFERROR(__xludf.DUMMYFUNCTION("""COMPUTED_VALUE"""),44712.0)</f>
        <v>44712</v>
      </c>
      <c r="C389" s="140" t="str">
        <f>IFERROR(__xludf.DUMMYFUNCTION("""COMPUTED_VALUE"""),"de")</f>
        <v>de</v>
      </c>
      <c r="D389">
        <f>IFERROR(__xludf.DUMMYFUNCTION("""COMPUTED_VALUE"""),1833306.0)</f>
        <v>1833306</v>
      </c>
      <c r="E389" t="str">
        <f>IFERROR(__xludf.DUMMYFUNCTION("""COMPUTED_VALUE"""),"Lerne Blockchain Entwicklung: Ethereum, Solidity und Truffle")</f>
        <v>Lerne Blockchain Entwicklung: Ethereum, Solidity und Truffle</v>
      </c>
      <c r="F389" t="str">
        <f>IFERROR(__xludf.DUMMYFUNCTION("""COMPUTED_VALUE"""),"Learn Blockchain Development: Etherum, Solidity and Truffle")</f>
        <v>Learn Blockchain Development: Etherum, Solidity and Truffle</v>
      </c>
      <c r="G389">
        <f>IFERROR(__xludf.DUMMYFUNCTION("""COMPUTED_VALUE"""),5.2418096E7)</f>
        <v>52418096</v>
      </c>
      <c r="H389" t="str">
        <f>IFERROR(__xludf.DUMMYFUNCTION("""COMPUTED_VALUE"""),"Toms Blockchain Kurse")</f>
        <v>Toms Blockchain Kurse</v>
      </c>
      <c r="I389" t="str">
        <f>IFERROR(__xludf.DUMMYFUNCTION("""COMPUTED_VALUE"""),"3 Flags")</f>
        <v>3 Flags</v>
      </c>
      <c r="J389" t="b">
        <f>IFERROR(__xludf.DUMMYFUNCTION("""COMPUTED_VALUE"""),FALSE)</f>
        <v>0</v>
      </c>
      <c r="K389" s="142" t="str">
        <f>IFERROR(__xludf.DUMMYFUNCTION("""COMPUTED_VALUE"""),"Development")</f>
        <v>Development</v>
      </c>
      <c r="L389" s="142" t="str">
        <f>IFERROR(__xludf.DUMMYFUNCTION("""COMPUTED_VALUE"""),"Database Design &amp; Development")</f>
        <v>Database Design &amp; Development</v>
      </c>
      <c r="N389" s="140" t="str">
        <f>IFERROR(__xludf.DUMMYFUNCTION("""COMPUTED_VALUE"""),"")</f>
        <v/>
      </c>
      <c r="P389" s="140" t="str">
        <f>IFERROR(__xludf.DUMMYFUNCTION("""COMPUTED_VALUE"""),"")</f>
        <v/>
      </c>
    </row>
    <row r="390">
      <c r="A390" s="141">
        <f>IFERROR(__xludf.DUMMYFUNCTION("""COMPUTED_VALUE"""),44530.0)</f>
        <v>44530</v>
      </c>
      <c r="B390" s="141">
        <f>IFERROR(__xludf.DUMMYFUNCTION("""COMPUTED_VALUE"""),44712.0)</f>
        <v>44712</v>
      </c>
      <c r="C390" s="140" t="str">
        <f>IFERROR(__xludf.DUMMYFUNCTION("""COMPUTED_VALUE"""),"es")</f>
        <v>es</v>
      </c>
      <c r="D390">
        <f>IFERROR(__xludf.DUMMYFUNCTION("""COMPUTED_VALUE"""),2111190.0)</f>
        <v>2111190</v>
      </c>
      <c r="E390" t="str">
        <f>IFERROR(__xludf.DUMMYFUNCTION("""COMPUTED_VALUE"""),"Máster en CodeIgniter 3 con Bootstrap 4 y Vue - Desde Cero")</f>
        <v>Máster en CodeIgniter 3 con Bootstrap 4 y Vue - Desde Cero</v>
      </c>
      <c r="F390" t="str">
        <f>IFERROR(__xludf.DUMMYFUNCTION("""COMPUTED_VALUE"""),"Master in Codeigniter 3 with Bootstrap 4 and Vue - from scratch")</f>
        <v>Master in Codeigniter 3 with Bootstrap 4 and Vue - from scratch</v>
      </c>
      <c r="G390">
        <f>IFERROR(__xludf.DUMMYFUNCTION("""COMPUTED_VALUE"""),1.053022E7)</f>
        <v>10530220</v>
      </c>
      <c r="H390" t="str">
        <f>IFERROR(__xludf.DUMMYFUNCTION("""COMPUTED_VALUE"""),"Andrés Cruz Yoris")</f>
        <v>Andrés Cruz Yoris</v>
      </c>
      <c r="I390" t="str">
        <f>IFERROR(__xludf.DUMMYFUNCTION("""COMPUTED_VALUE"""),"3 Flags")</f>
        <v>3 Flags</v>
      </c>
      <c r="J390" t="b">
        <f>IFERROR(__xludf.DUMMYFUNCTION("""COMPUTED_VALUE"""),FALSE)</f>
        <v>0</v>
      </c>
      <c r="K390" s="142" t="str">
        <f>IFERROR(__xludf.DUMMYFUNCTION("""COMPUTED_VALUE"""),"Development")</f>
        <v>Development</v>
      </c>
      <c r="L390" s="142" t="str">
        <f>IFERROR(__xludf.DUMMYFUNCTION("""COMPUTED_VALUE"""),"Web Development")</f>
        <v>Web Development</v>
      </c>
      <c r="N390" s="140" t="str">
        <f>IFERROR(__xludf.DUMMYFUNCTION("""COMPUTED_VALUE"""),"")</f>
        <v/>
      </c>
      <c r="P390" s="140" t="str">
        <f>IFERROR(__xludf.DUMMYFUNCTION("""COMPUTED_VALUE"""),"")</f>
        <v/>
      </c>
    </row>
    <row r="391">
      <c r="A391" s="141">
        <f>IFERROR(__xludf.DUMMYFUNCTION("""COMPUTED_VALUE"""),44530.0)</f>
        <v>44530</v>
      </c>
      <c r="B391" s="141">
        <f>IFERROR(__xludf.DUMMYFUNCTION("""COMPUTED_VALUE"""),44712.0)</f>
        <v>44712</v>
      </c>
      <c r="C391" s="140" t="str">
        <f>IFERROR(__xludf.DUMMYFUNCTION("""COMPUTED_VALUE"""),"en")</f>
        <v>en</v>
      </c>
      <c r="D391">
        <f>IFERROR(__xludf.DUMMYFUNCTION("""COMPUTED_VALUE"""),2278183.0)</f>
        <v>2278183</v>
      </c>
      <c r="E391" t="str">
        <f>IFERROR(__xludf.DUMMYFUNCTION("""COMPUTED_VALUE"""),"Certified Information Systems Security Professional (CISSP)")</f>
        <v>Certified Information Systems Security Professional (CISSP)</v>
      </c>
      <c r="F391" t="str">
        <f>IFERROR(__xludf.DUMMYFUNCTION("""COMPUTED_VALUE"""),"Certified Information Systems Security Professional (CISSP)")</f>
        <v>Certified Information Systems Security Professional (CISSP)</v>
      </c>
      <c r="G391">
        <f>IFERROR(__xludf.DUMMYFUNCTION("""COMPUTED_VALUE"""),4.3284762E7)</f>
        <v>43284762</v>
      </c>
      <c r="H391" t="str">
        <f>IFERROR(__xludf.DUMMYFUNCTION("""COMPUTED_VALUE"""),"Integrity Training")</f>
        <v>Integrity Training</v>
      </c>
      <c r="I391" t="str">
        <f>IFERROR(__xludf.DUMMYFUNCTION("""COMPUTED_VALUE"""),"3 Flags")</f>
        <v>3 Flags</v>
      </c>
      <c r="J391" t="b">
        <f>IFERROR(__xludf.DUMMYFUNCTION("""COMPUTED_VALUE"""),FALSE)</f>
        <v>0</v>
      </c>
      <c r="K391" s="142" t="str">
        <f>IFERROR(__xludf.DUMMYFUNCTION("""COMPUTED_VALUE"""),"IT Operations")</f>
        <v>IT Operations</v>
      </c>
      <c r="L391" s="142" t="str">
        <f>IFERROR(__xludf.DUMMYFUNCTION("""COMPUTED_VALUE"""),"IT Certifications")</f>
        <v>IT Certifications</v>
      </c>
      <c r="M391" s="140">
        <f>IFERROR(__xludf.DUMMYFUNCTION("""COMPUTED_VALUE"""),497492.0)</f>
        <v>497492</v>
      </c>
      <c r="N391" s="140" t="str">
        <f>IFERROR(__xludf.DUMMYFUNCTION("""COMPUTED_VALUE"""),"Information Systems Security for Professionals: CISSP")</f>
        <v>Information Systems Security for Professionals: CISSP</v>
      </c>
      <c r="O391" s="140">
        <f>IFERROR(__xludf.DUMMYFUNCTION("""COMPUTED_VALUE"""),2427428.0)</f>
        <v>2427428</v>
      </c>
      <c r="P391" s="140" t="str">
        <f>IFERROR(__xludf.DUMMYFUNCTION("""COMPUTED_VALUE"""),"CISSP Certification: Domains 1, 2, 3 &amp; 4 Video Training-2020")</f>
        <v>CISSP Certification: Domains 1, 2, 3 &amp; 4 Video Training-2020</v>
      </c>
    </row>
    <row r="392">
      <c r="A392" s="141">
        <f>IFERROR(__xludf.DUMMYFUNCTION("""COMPUTED_VALUE"""),44530.0)</f>
        <v>44530</v>
      </c>
      <c r="B392" s="141">
        <f>IFERROR(__xludf.DUMMYFUNCTION("""COMPUTED_VALUE"""),44712.0)</f>
        <v>44712</v>
      </c>
      <c r="C392" s="140" t="str">
        <f>IFERROR(__xludf.DUMMYFUNCTION("""COMPUTED_VALUE"""),"pt")</f>
        <v>pt</v>
      </c>
      <c r="D392">
        <f>IFERROR(__xludf.DUMMYFUNCTION("""COMPUTED_VALUE"""),2335338.0)</f>
        <v>2335338</v>
      </c>
      <c r="E392" t="str">
        <f>IFERROR(__xludf.DUMMYFUNCTION("""COMPUTED_VALUE"""),"Marketing Essencial: o que de fato funciona em Marketing!")</f>
        <v>Marketing Essencial: o que de fato funciona em Marketing!</v>
      </c>
      <c r="F392" t="str">
        <f>IFERROR(__xludf.DUMMYFUNCTION("""COMPUTED_VALUE"""),"Essential Marketing: What in fact works in Marketing!")</f>
        <v>Essential Marketing: What in fact works in Marketing!</v>
      </c>
      <c r="G392">
        <f>IFERROR(__xludf.DUMMYFUNCTION("""COMPUTED_VALUE"""),6.959913E7)</f>
        <v>69599130</v>
      </c>
      <c r="H392" t="str">
        <f>IFERROR(__xludf.DUMMYFUNCTION("""COMPUTED_VALUE"""),"Igdal Parnes")</f>
        <v>Igdal Parnes</v>
      </c>
      <c r="I392" t="str">
        <f>IFERROR(__xludf.DUMMYFUNCTION("""COMPUTED_VALUE"""),"3 Flags")</f>
        <v>3 Flags</v>
      </c>
      <c r="J392" t="b">
        <f>IFERROR(__xludf.DUMMYFUNCTION("""COMPUTED_VALUE"""),FALSE)</f>
        <v>0</v>
      </c>
      <c r="K392" s="142" t="str">
        <f>IFERROR(__xludf.DUMMYFUNCTION("""COMPUTED_VALUE"""),"Marketing")</f>
        <v>Marketing</v>
      </c>
      <c r="L392" s="142" t="str">
        <f>IFERROR(__xludf.DUMMYFUNCTION("""COMPUTED_VALUE"""),"Marketing Strategy")</f>
        <v>Marketing Strategy</v>
      </c>
      <c r="N392" s="140" t="str">
        <f>IFERROR(__xludf.DUMMYFUNCTION("""COMPUTED_VALUE"""),"")</f>
        <v/>
      </c>
      <c r="P392" s="140" t="str">
        <f>IFERROR(__xludf.DUMMYFUNCTION("""COMPUTED_VALUE"""),"")</f>
        <v/>
      </c>
    </row>
    <row r="393">
      <c r="A393" s="141">
        <f>IFERROR(__xludf.DUMMYFUNCTION("""COMPUTED_VALUE"""),44530.0)</f>
        <v>44530</v>
      </c>
      <c r="B393" s="141">
        <f>IFERROR(__xludf.DUMMYFUNCTION("""COMPUTED_VALUE"""),44712.0)</f>
        <v>44712</v>
      </c>
      <c r="C393" s="140" t="str">
        <f>IFERROR(__xludf.DUMMYFUNCTION("""COMPUTED_VALUE"""),"en")</f>
        <v>en</v>
      </c>
      <c r="D393">
        <f>IFERROR(__xludf.DUMMYFUNCTION("""COMPUTED_VALUE"""),2463454.0)</f>
        <v>2463454</v>
      </c>
      <c r="E393" t="str">
        <f>IFERROR(__xludf.DUMMYFUNCTION("""COMPUTED_VALUE"""),"Spring Cloud Data Flow - Cloud Native Data Stream Processing")</f>
        <v>Spring Cloud Data Flow - Cloud Native Data Stream Processing</v>
      </c>
      <c r="F393" t="str">
        <f>IFERROR(__xludf.DUMMYFUNCTION("""COMPUTED_VALUE"""),"Spring Cloud Data Flow - Cloud Native Data Stream Processing")</f>
        <v>Spring Cloud Data Flow - Cloud Native Data Stream Processing</v>
      </c>
      <c r="G393">
        <f>IFERROR(__xludf.DUMMYFUNCTION("""COMPUTED_VALUE"""),3.1480234E7)</f>
        <v>31480234</v>
      </c>
      <c r="H393" t="str">
        <f>IFERROR(__xludf.DUMMYFUNCTION("""COMPUTED_VALUE"""),"MUTHUKUMAR Subramanian")</f>
        <v>MUTHUKUMAR Subramanian</v>
      </c>
      <c r="I393" t="str">
        <f>IFERROR(__xludf.DUMMYFUNCTION("""COMPUTED_VALUE"""),"3 Flags")</f>
        <v>3 Flags</v>
      </c>
      <c r="J393" t="b">
        <f>IFERROR(__xludf.DUMMYFUNCTION("""COMPUTED_VALUE"""),FALSE)</f>
        <v>0</v>
      </c>
      <c r="K393" s="142" t="str">
        <f>IFERROR(__xludf.DUMMYFUNCTION("""COMPUTED_VALUE"""),"Development")</f>
        <v>Development</v>
      </c>
      <c r="L393" s="142" t="str">
        <f>IFERROR(__xludf.DUMMYFUNCTION("""COMPUTED_VALUE"""),"Web Development")</f>
        <v>Web Development</v>
      </c>
      <c r="N393" s="140" t="str">
        <f>IFERROR(__xludf.DUMMYFUNCTION("""COMPUTED_VALUE"""),"")</f>
        <v/>
      </c>
      <c r="P393" s="140" t="str">
        <f>IFERROR(__xludf.DUMMYFUNCTION("""COMPUTED_VALUE"""),"")</f>
        <v/>
      </c>
    </row>
    <row r="394">
      <c r="A394" s="141">
        <f>IFERROR(__xludf.DUMMYFUNCTION("""COMPUTED_VALUE"""),44530.0)</f>
        <v>44530</v>
      </c>
      <c r="B394" s="141">
        <f>IFERROR(__xludf.DUMMYFUNCTION("""COMPUTED_VALUE"""),44712.0)</f>
        <v>44712</v>
      </c>
      <c r="C394" s="140" t="str">
        <f>IFERROR(__xludf.DUMMYFUNCTION("""COMPUTED_VALUE"""),"en")</f>
        <v>en</v>
      </c>
      <c r="D394">
        <f>IFERROR(__xludf.DUMMYFUNCTION("""COMPUTED_VALUE"""),2774302.0)</f>
        <v>2774302</v>
      </c>
      <c r="E394" t="str">
        <f>IFERROR(__xludf.DUMMYFUNCTION("""COMPUTED_VALUE"""),"Create a Simple Landing Page with Flutter Web and Firebase")</f>
        <v>Create a Simple Landing Page with Flutter Web and Firebase</v>
      </c>
      <c r="F394" t="str">
        <f>IFERROR(__xludf.DUMMYFUNCTION("""COMPUTED_VALUE"""),"Create a Simple Landing Page with Flutter Web and Firebase")</f>
        <v>Create a Simple Landing Page with Flutter Web and Firebase</v>
      </c>
      <c r="G394">
        <f>IFERROR(__xludf.DUMMYFUNCTION("""COMPUTED_VALUE"""),4.4531858E7)</f>
        <v>44531858</v>
      </c>
      <c r="H394" t="str">
        <f>IFERROR(__xludf.DUMMYFUNCTION("""COMPUTED_VALUE"""),"Haris Samingan")</f>
        <v>Haris Samingan</v>
      </c>
      <c r="I394" t="str">
        <f>IFERROR(__xludf.DUMMYFUNCTION("""COMPUTED_VALUE"""),"3 Flags")</f>
        <v>3 Flags</v>
      </c>
      <c r="J394" t="b">
        <f>IFERROR(__xludf.DUMMYFUNCTION("""COMPUTED_VALUE"""),FALSE)</f>
        <v>0</v>
      </c>
      <c r="K394" s="142" t="str">
        <f>IFERROR(__xludf.DUMMYFUNCTION("""COMPUTED_VALUE"""),"Development")</f>
        <v>Development</v>
      </c>
      <c r="L394" s="142" t="str">
        <f>IFERROR(__xludf.DUMMYFUNCTION("""COMPUTED_VALUE"""),"Web Development")</f>
        <v>Web Development</v>
      </c>
      <c r="N394" s="140" t="str">
        <f>IFERROR(__xludf.DUMMYFUNCTION("""COMPUTED_VALUE"""),"")</f>
        <v/>
      </c>
      <c r="P394" s="140" t="str">
        <f>IFERROR(__xludf.DUMMYFUNCTION("""COMPUTED_VALUE"""),"")</f>
        <v/>
      </c>
    </row>
    <row r="395">
      <c r="A395" s="141">
        <f>IFERROR(__xludf.DUMMYFUNCTION("""COMPUTED_VALUE"""),44530.0)</f>
        <v>44530</v>
      </c>
      <c r="B395" s="141">
        <f>IFERROR(__xludf.DUMMYFUNCTION("""COMPUTED_VALUE"""),44712.0)</f>
        <v>44712</v>
      </c>
      <c r="C395" s="140" t="str">
        <f>IFERROR(__xludf.DUMMYFUNCTION("""COMPUTED_VALUE"""),"de")</f>
        <v>de</v>
      </c>
      <c r="D395">
        <f>IFERROR(__xludf.DUMMYFUNCTION("""COMPUTED_VALUE"""),2975316.0)</f>
        <v>2975316</v>
      </c>
      <c r="E395" t="str">
        <f>IFERROR(__xludf.DUMMYFUNCTION("""COMPUTED_VALUE"""),"Quantum Computing und Programmierung mit Q#: Eine Einführung")</f>
        <v>Quantum Computing und Programmierung mit Q#: Eine Einführung</v>
      </c>
      <c r="F395" t="str">
        <f>IFERROR(__xludf.DUMMYFUNCTION("""COMPUTED_VALUE"""),"Quantum computing and programming with q #: an introduction")</f>
        <v>Quantum computing and programming with q #: an introduction</v>
      </c>
      <c r="G395">
        <f>IFERROR(__xludf.DUMMYFUNCTION("""COMPUTED_VALUE"""),3.3250852E7)</f>
        <v>33250852</v>
      </c>
      <c r="H395" t="str">
        <f>IFERROR(__xludf.DUMMYFUNCTION("""COMPUTED_VALUE"""),"Cedric Mössner")</f>
        <v>Cedric Mössner</v>
      </c>
      <c r="I395" t="str">
        <f>IFERROR(__xludf.DUMMYFUNCTION("""COMPUTED_VALUE"""),"3 Flags")</f>
        <v>3 Flags</v>
      </c>
      <c r="J395" t="b">
        <f>IFERROR(__xludf.DUMMYFUNCTION("""COMPUTED_VALUE"""),FALSE)</f>
        <v>0</v>
      </c>
      <c r="K395" s="142" t="str">
        <f>IFERROR(__xludf.DUMMYFUNCTION("""COMPUTED_VALUE"""),"Development")</f>
        <v>Development</v>
      </c>
      <c r="L395" s="142" t="str">
        <f>IFERROR(__xludf.DUMMYFUNCTION("""COMPUTED_VALUE"""),"Software Engineering")</f>
        <v>Software Engineering</v>
      </c>
      <c r="N395" s="140" t="str">
        <f>IFERROR(__xludf.DUMMYFUNCTION("""COMPUTED_VALUE"""),"")</f>
        <v/>
      </c>
      <c r="P395" s="140" t="str">
        <f>IFERROR(__xludf.DUMMYFUNCTION("""COMPUTED_VALUE"""),"")</f>
        <v/>
      </c>
    </row>
    <row r="396">
      <c r="A396" s="141">
        <f>IFERROR(__xludf.DUMMYFUNCTION("""COMPUTED_VALUE"""),44530.0)</f>
        <v>44530</v>
      </c>
      <c r="B396" s="141">
        <f>IFERROR(__xludf.DUMMYFUNCTION("""COMPUTED_VALUE"""),44712.0)</f>
        <v>44712</v>
      </c>
      <c r="C396" s="140" t="str">
        <f>IFERROR(__xludf.DUMMYFUNCTION("""COMPUTED_VALUE"""),"de")</f>
        <v>de</v>
      </c>
      <c r="D396">
        <f>IFERROR(__xludf.DUMMYFUNCTION("""COMPUTED_VALUE"""),3083514.0)</f>
        <v>3083514</v>
      </c>
      <c r="E396" t="str">
        <f>IFERROR(__xludf.DUMMYFUNCTION("""COMPUTED_VALUE"""),"Change Prozesse erfolgreich managen")</f>
        <v>Change Prozesse erfolgreich managen</v>
      </c>
      <c r="F396" t="str">
        <f>IFERROR(__xludf.DUMMYFUNCTION("""COMPUTED_VALUE"""),"Change processes successfully manage")</f>
        <v>Change processes successfully manage</v>
      </c>
      <c r="G396">
        <f>IFERROR(__xludf.DUMMYFUNCTION("""COMPUTED_VALUE"""),5.226966E7)</f>
        <v>52269660</v>
      </c>
      <c r="H396" t="str">
        <f>IFERROR(__xludf.DUMMYFUNCTION("""COMPUTED_VALUE"""),"Nicole Zieger")</f>
        <v>Nicole Zieger</v>
      </c>
      <c r="I396" t="str">
        <f>IFERROR(__xludf.DUMMYFUNCTION("""COMPUTED_VALUE"""),"3 Flags")</f>
        <v>3 Flags</v>
      </c>
      <c r="J396" t="b">
        <f>IFERROR(__xludf.DUMMYFUNCTION("""COMPUTED_VALUE"""),FALSE)</f>
        <v>0</v>
      </c>
      <c r="K396" s="142" t="str">
        <f>IFERROR(__xludf.DUMMYFUNCTION("""COMPUTED_VALUE"""),"Leadership &amp; Management")</f>
        <v>Leadership &amp; Management</v>
      </c>
      <c r="L396" s="142" t="str">
        <f>IFERROR(__xludf.DUMMYFUNCTION("""COMPUTED_VALUE"""),"Leadership")</f>
        <v>Leadership</v>
      </c>
      <c r="M396" s="140">
        <f>IFERROR(__xludf.DUMMYFUNCTION("""COMPUTED_VALUE"""),671208.0)</f>
        <v>671208</v>
      </c>
      <c r="N396" s="140" t="str">
        <f>IFERROR(__xludf.DUMMYFUNCTION("""COMPUTED_VALUE"""),"Change Management Training: Master the Change Process!")</f>
        <v>Change Management Training: Master the Change Process!</v>
      </c>
      <c r="P396" s="140" t="str">
        <f>IFERROR(__xludf.DUMMYFUNCTION("""COMPUTED_VALUE"""),"")</f>
        <v/>
      </c>
    </row>
    <row r="397">
      <c r="A397" s="141">
        <f>IFERROR(__xludf.DUMMYFUNCTION("""COMPUTED_VALUE"""),44530.0)</f>
        <v>44530</v>
      </c>
      <c r="B397" s="141">
        <f>IFERROR(__xludf.DUMMYFUNCTION("""COMPUTED_VALUE"""),44712.0)</f>
        <v>44712</v>
      </c>
      <c r="C397" t="str">
        <f>IFERROR(__xludf.DUMMYFUNCTION("""COMPUTED_VALUE"""),"en")</f>
        <v>en</v>
      </c>
      <c r="D397">
        <f>IFERROR(__xludf.DUMMYFUNCTION("""COMPUTED_VALUE"""),3101698.0)</f>
        <v>3101698</v>
      </c>
      <c r="E397" t="str">
        <f>IFERROR(__xludf.DUMMYFUNCTION("""COMPUTED_VALUE"""),"SFTP Client/Server Deep Dive - With OpenSSH Server &amp; WinSCP")</f>
        <v>SFTP Client/Server Deep Dive - With OpenSSH Server &amp; WinSCP</v>
      </c>
      <c r="F397" t="str">
        <f>IFERROR(__xludf.DUMMYFUNCTION("""COMPUTED_VALUE"""),"SFTP Client/Server Deep Dive - With OpenSSH Server &amp; WinSCP")</f>
        <v>SFTP Client/Server Deep Dive - With OpenSSH Server &amp; WinSCP</v>
      </c>
      <c r="G397">
        <f>IFERROR(__xludf.DUMMYFUNCTION("""COMPUTED_VALUE"""),23696.0)</f>
        <v>23696</v>
      </c>
      <c r="H397" t="str">
        <f>IFERROR(__xludf.DUMMYFUNCTION("""COMPUTED_VALUE"""),"Neal Walters")</f>
        <v>Neal Walters</v>
      </c>
      <c r="I397" t="str">
        <f>IFERROR(__xludf.DUMMYFUNCTION("""COMPUTED_VALUE"""),"3 Flags")</f>
        <v>3 Flags</v>
      </c>
      <c r="J397" t="b">
        <f>IFERROR(__xludf.DUMMYFUNCTION("""COMPUTED_VALUE"""),FALSE)</f>
        <v>0</v>
      </c>
      <c r="K397" s="142" t="str">
        <f>IFERROR(__xludf.DUMMYFUNCTION("""COMPUTED_VALUE"""),"#N/A")</f>
        <v>#N/A</v>
      </c>
      <c r="L397" s="142" t="str">
        <f>IFERROR(__xludf.DUMMYFUNCTION("""COMPUTED_VALUE"""),"#N/A")</f>
        <v>#N/A</v>
      </c>
      <c r="N397" s="140" t="str">
        <f>IFERROR(__xludf.DUMMYFUNCTION("""COMPUTED_VALUE"""),"")</f>
        <v/>
      </c>
      <c r="P397" s="140" t="str">
        <f>IFERROR(__xludf.DUMMYFUNCTION("""COMPUTED_VALUE"""),"")</f>
        <v/>
      </c>
    </row>
    <row r="398">
      <c r="A398" s="141">
        <f>IFERROR(__xludf.DUMMYFUNCTION("""COMPUTED_VALUE"""),44530.0)</f>
        <v>44530</v>
      </c>
      <c r="B398" s="141">
        <f>IFERROR(__xludf.DUMMYFUNCTION("""COMPUTED_VALUE"""),44712.0)</f>
        <v>44712</v>
      </c>
      <c r="C398" s="140" t="str">
        <f>IFERROR(__xludf.DUMMYFUNCTION("""COMPUTED_VALUE"""),"pt")</f>
        <v>pt</v>
      </c>
      <c r="D398">
        <f>IFERROR(__xludf.DUMMYFUNCTION("""COMPUTED_VALUE"""),3208413.0)</f>
        <v>3208413</v>
      </c>
      <c r="E398" t="str">
        <f>IFERROR(__xludf.DUMMYFUNCTION("""COMPUTED_VALUE"""),"NR-10 - Básico (Extensão)")</f>
        <v>NR-10 - Básico (Extensão)</v>
      </c>
      <c r="F398" t="str">
        <f>IFERROR(__xludf.DUMMYFUNCTION("""COMPUTED_VALUE"""),"NR-10 - Basic (extension)")</f>
        <v>NR-10 - Basic (extension)</v>
      </c>
      <c r="G398">
        <f>IFERROR(__xludf.DUMMYFUNCTION("""COMPUTED_VALUE"""),1.2090264E8)</f>
        <v>120902640</v>
      </c>
      <c r="H398" t="str">
        <f>IFERROR(__xludf.DUMMYFUNCTION("""COMPUTED_VALUE"""),"Doutor Automação")</f>
        <v>Doutor Automação</v>
      </c>
      <c r="I398" t="str">
        <f>IFERROR(__xludf.DUMMYFUNCTION("""COMPUTED_VALUE"""),"3 Flags")</f>
        <v>3 Flags</v>
      </c>
      <c r="J398" t="b">
        <f>IFERROR(__xludf.DUMMYFUNCTION("""COMPUTED_VALUE"""),FALSE)</f>
        <v>0</v>
      </c>
      <c r="K398" s="142" t="str">
        <f>IFERROR(__xludf.DUMMYFUNCTION("""COMPUTED_VALUE"""),"Workplace &amp; Human Resources")</f>
        <v>Workplace &amp; Human Resources</v>
      </c>
      <c r="L398" s="142" t="str">
        <f>IFERROR(__xludf.DUMMYFUNCTION("""COMPUTED_VALUE"""),"Work Safety")</f>
        <v>Work Safety</v>
      </c>
      <c r="N398" s="140" t="str">
        <f>IFERROR(__xludf.DUMMYFUNCTION("""COMPUTED_VALUE"""),"")</f>
        <v/>
      </c>
      <c r="P398" s="140" t="str">
        <f>IFERROR(__xludf.DUMMYFUNCTION("""COMPUTED_VALUE"""),"")</f>
        <v/>
      </c>
    </row>
    <row r="399">
      <c r="A399" s="141">
        <f>IFERROR(__xludf.DUMMYFUNCTION("""COMPUTED_VALUE"""),44530.0)</f>
        <v>44530</v>
      </c>
      <c r="B399" s="141">
        <f>IFERROR(__xludf.DUMMYFUNCTION("""COMPUTED_VALUE"""),44712.0)</f>
        <v>44712</v>
      </c>
      <c r="C399" s="140" t="str">
        <f>IFERROR(__xludf.DUMMYFUNCTION("""COMPUTED_VALUE"""),"en")</f>
        <v>en</v>
      </c>
      <c r="D399">
        <f>IFERROR(__xludf.DUMMYFUNCTION("""COMPUTED_VALUE"""),3296310.0)</f>
        <v>3296310</v>
      </c>
      <c r="E399" t="str">
        <f>IFERROR(__xludf.DUMMYFUNCTION("""COMPUTED_VALUE"""),"The Complete 2021 LEED Green Associate Training")</f>
        <v>The Complete 2021 LEED Green Associate Training</v>
      </c>
      <c r="F399" t="str">
        <f>IFERROR(__xludf.DUMMYFUNCTION("""COMPUTED_VALUE"""),"The Complete 2021 LEED Green Associate Training")</f>
        <v>The Complete 2021 LEED Green Associate Training</v>
      </c>
      <c r="G399">
        <f>IFERROR(__xludf.DUMMYFUNCTION("""COMPUTED_VALUE"""),1.24982972E8)</f>
        <v>124982972</v>
      </c>
      <c r="H399" t="str">
        <f>IFERROR(__xludf.DUMMYFUNCTION("""COMPUTED_VALUE"""),"Shadi Abou Samra")</f>
        <v>Shadi Abou Samra</v>
      </c>
      <c r="I399" t="str">
        <f>IFERROR(__xludf.DUMMYFUNCTION("""COMPUTED_VALUE"""),"3 Flags")</f>
        <v>3 Flags</v>
      </c>
      <c r="J399" t="b">
        <f>IFERROR(__xludf.DUMMYFUNCTION("""COMPUTED_VALUE"""),FALSE)</f>
        <v>0</v>
      </c>
      <c r="K399" s="142" t="str">
        <f>IFERROR(__xludf.DUMMYFUNCTION("""COMPUTED_VALUE"""),"Personal Development")</f>
        <v>Personal Development</v>
      </c>
      <c r="L399" s="142" t="str">
        <f>IFERROR(__xludf.DUMMYFUNCTION("""COMPUTED_VALUE"""),"Entrepreneurship")</f>
        <v>Entrepreneurship</v>
      </c>
      <c r="M399" s="140">
        <f>IFERROR(__xludf.DUMMYFUNCTION("""COMPUTED_VALUE"""),692418.0)</f>
        <v>692418</v>
      </c>
      <c r="N399" s="140" t="str">
        <f>IFERROR(__xludf.DUMMYFUNCTION("""COMPUTED_VALUE"""),"Professional Life Coach Certification PCELC Coach Training")</f>
        <v>Professional Life Coach Certification PCELC Coach Training</v>
      </c>
    </row>
    <row r="400">
      <c r="A400" s="143">
        <f>IFERROR(__xludf.DUMMYFUNCTION("""COMPUTED_VALUE"""),44523.0)</f>
        <v>44523</v>
      </c>
      <c r="B400" s="141">
        <f>IFERROR(__xludf.DUMMYFUNCTION("""COMPUTED_VALUE"""),44712.0)</f>
        <v>44712</v>
      </c>
      <c r="C400" s="140" t="str">
        <f>IFERROR(__xludf.DUMMYFUNCTION("""COMPUTED_VALUE"""),"ru")</f>
        <v>ru</v>
      </c>
      <c r="D400">
        <f>IFERROR(__xludf.DUMMYFUNCTION("""COMPUTED_VALUE"""),3156084.0)</f>
        <v>3156084</v>
      </c>
      <c r="E400" t="str">
        <f>IFERROR(__xludf.DUMMYFUNCTION("""COMPUTED_VALUE"""),"Пробные тесты к экзамену PMP")</f>
        <v>Пробные тесты к экзамену PMP</v>
      </c>
      <c r="F400" t="str">
        <f>IFERROR(__xludf.DUMMYFUNCTION("""COMPUTED_VALUE"""),"PMP test test tests")</f>
        <v>PMP test test tests</v>
      </c>
      <c r="G400">
        <f>IFERROR(__xludf.DUMMYFUNCTION("""COMPUTED_VALUE"""),5.3732988E7)</f>
        <v>53732988</v>
      </c>
      <c r="H400" t="str">
        <f>IFERROR(__xludf.DUMMYFUNCTION("""COMPUTED_VALUE"""),"Daulen Zhangabylov")</f>
        <v>Daulen Zhangabylov</v>
      </c>
      <c r="I400" t="str">
        <f>IFERROR(__xludf.DUMMYFUNCTION("""COMPUTED_VALUE"""),"Instructor Request- Opted Out")</f>
        <v>Instructor Request- Opted Out</v>
      </c>
      <c r="J400" t="b">
        <f>IFERROR(__xludf.DUMMYFUNCTION("""COMPUTED_VALUE"""),FALSE)</f>
        <v>0</v>
      </c>
      <c r="K400" s="142" t="str">
        <f>IFERROR(__xludf.DUMMYFUNCTION("""COMPUTED_VALUE"""),"Project Management &amp; Operations")</f>
        <v>Project Management &amp; Operations</v>
      </c>
      <c r="L400" s="142" t="str">
        <f>IFERROR(__xludf.DUMMYFUNCTION("""COMPUTED_VALUE"""),"Project Management Certifications")</f>
        <v>Project Management Certifications</v>
      </c>
      <c r="M400" s="140">
        <f>IFERROR(__xludf.DUMMYFUNCTION("""COMPUTED_VALUE"""),1279990.0)</f>
        <v>1279990</v>
      </c>
      <c r="N400" s="140" t="str">
        <f>IFERROR(__xludf.DUMMYFUNCTION("""COMPUTED_VALUE"""),"PMP Certification Practice Test Exam-High Quality Questions")</f>
        <v>PMP Certification Practice Test Exam-High Quality Questions</v>
      </c>
      <c r="P400" s="140" t="str">
        <f>IFERROR(__xludf.DUMMYFUNCTION("""COMPUTED_VALUE"""),"")</f>
        <v/>
      </c>
    </row>
    <row r="401">
      <c r="A401" s="143">
        <f>IFERROR(__xludf.DUMMYFUNCTION("""COMPUTED_VALUE"""),44538.0)</f>
        <v>44538</v>
      </c>
      <c r="B401" s="143">
        <f>IFERROR(__xludf.DUMMYFUNCTION("""COMPUTED_VALUE"""),44712.0)</f>
        <v>44712</v>
      </c>
      <c r="C401" s="140" t="str">
        <f>IFERROR(__xludf.DUMMYFUNCTION("""COMPUTED_VALUE"""),"es")</f>
        <v>es</v>
      </c>
      <c r="D401">
        <f>IFERROR(__xludf.DUMMYFUNCTION("""COMPUTED_VALUE"""),2950882.0)</f>
        <v>2950882</v>
      </c>
      <c r="E401" t="str">
        <f>IFERROR(__xludf.DUMMYFUNCTION("""COMPUTED_VALUE"""),"Curso Completo Consultor SAP SD desde Cero")</f>
        <v>Curso Completo Consultor SAP SD desde Cero</v>
      </c>
      <c r="F401" t="str">
        <f>IFERROR(__xludf.DUMMYFUNCTION("""COMPUTED_VALUE"""),"Full course SAP SD consultant from scratch")</f>
        <v>Full course SAP SD consultant from scratch</v>
      </c>
      <c r="G401">
        <f>IFERROR(__xludf.DUMMYFUNCTION("""COMPUTED_VALUE"""),4153214.0)</f>
        <v>4153214</v>
      </c>
      <c r="H401" t="str">
        <f>IFERROR(__xludf.DUMMYFUNCTION("""COMPUTED_VALUE"""),"Pedro Jiménez")</f>
        <v>Pedro Jiménez</v>
      </c>
      <c r="I401" t="str">
        <f>IFERROR(__xludf.DUMMYFUNCTION("""COMPUTED_VALUE"""),"Instructor Request- Opted Out")</f>
        <v>Instructor Request- Opted Out</v>
      </c>
      <c r="J401" t="b">
        <f>IFERROR(__xludf.DUMMYFUNCTION("""COMPUTED_VALUE"""),FALSE)</f>
        <v>0</v>
      </c>
      <c r="K401" s="142" t="str">
        <f>IFERROR(__xludf.DUMMYFUNCTION("""COMPUTED_VALUE"""),"Sales")</f>
        <v>Sales</v>
      </c>
      <c r="L401" s="142" t="str">
        <f>IFERROR(__xludf.DUMMYFUNCTION("""COMPUTED_VALUE"""),"Sales Skills &amp; Tools")</f>
        <v>Sales Skills &amp; Tools</v>
      </c>
      <c r="N401" s="140" t="str">
        <f>IFERROR(__xludf.DUMMYFUNCTION("""COMPUTED_VALUE"""),"")</f>
        <v/>
      </c>
      <c r="P401" s="140" t="str">
        <f>IFERROR(__xludf.DUMMYFUNCTION("""COMPUTED_VALUE"""),"")</f>
        <v/>
      </c>
    </row>
    <row r="402">
      <c r="A402" s="143">
        <f>IFERROR(__xludf.DUMMYFUNCTION("""COMPUTED_VALUE"""),44538.0)</f>
        <v>44538</v>
      </c>
      <c r="B402" s="143">
        <f>IFERROR(__xludf.DUMMYFUNCTION("""COMPUTED_VALUE"""),44712.0)</f>
        <v>44712</v>
      </c>
      <c r="C402" s="140" t="str">
        <f>IFERROR(__xludf.DUMMYFUNCTION("""COMPUTED_VALUE"""),"es")</f>
        <v>es</v>
      </c>
      <c r="D402">
        <f>IFERROR(__xludf.DUMMYFUNCTION("""COMPUTED_VALUE"""),177906.0)</f>
        <v>177906</v>
      </c>
      <c r="E402" t="str">
        <f>IFERROR(__xludf.DUMMYFUNCTION("""COMPUTED_VALUE"""),"Curso Completo Consultor SAP MM desde Cero")</f>
        <v>Curso Completo Consultor SAP MM desde Cero</v>
      </c>
      <c r="F402" t="str">
        <f>IFERROR(__xludf.DUMMYFUNCTION("""COMPUTED_VALUE"""),"Full Course SAP MM Consultant Since Cero")</f>
        <v>Full Course SAP MM Consultant Since Cero</v>
      </c>
      <c r="G402">
        <f>IFERROR(__xludf.DUMMYFUNCTION("""COMPUTED_VALUE"""),4153214.0)</f>
        <v>4153214</v>
      </c>
      <c r="H402" t="str">
        <f>IFERROR(__xludf.DUMMYFUNCTION("""COMPUTED_VALUE"""),"Pedro Jiménez")</f>
        <v>Pedro Jiménez</v>
      </c>
      <c r="I402" t="str">
        <f>IFERROR(__xludf.DUMMYFUNCTION("""COMPUTED_VALUE"""),"Instructor Request- Opted Out")</f>
        <v>Instructor Request- Opted Out</v>
      </c>
      <c r="J402" t="b">
        <f>IFERROR(__xludf.DUMMYFUNCTION("""COMPUTED_VALUE"""),FALSE)</f>
        <v>0</v>
      </c>
      <c r="K402" s="142" t="str">
        <f>IFERROR(__xludf.DUMMYFUNCTION("""COMPUTED_VALUE"""),"Sales")</f>
        <v>Sales</v>
      </c>
      <c r="L402" s="142" t="str">
        <f>IFERROR(__xludf.DUMMYFUNCTION("""COMPUTED_VALUE"""),"Customer Success &amp; Service")</f>
        <v>Customer Success &amp; Service</v>
      </c>
      <c r="N402" s="140" t="str">
        <f>IFERROR(__xludf.DUMMYFUNCTION("""COMPUTED_VALUE"""),"")</f>
        <v/>
      </c>
      <c r="P402" s="140" t="str">
        <f>IFERROR(__xludf.DUMMYFUNCTION("""COMPUTED_VALUE"""),"")</f>
        <v/>
      </c>
    </row>
    <row r="403">
      <c r="A403" s="143">
        <f>IFERROR(__xludf.DUMMYFUNCTION("""COMPUTED_VALUE"""),44539.0)</f>
        <v>44539</v>
      </c>
      <c r="B403" s="143">
        <f>IFERROR(__xludf.DUMMYFUNCTION("""COMPUTED_VALUE"""),44712.0)</f>
        <v>44712</v>
      </c>
      <c r="C403" s="140" t="str">
        <f>IFERROR(__xludf.DUMMYFUNCTION("""COMPUTED_VALUE"""),"de")</f>
        <v>de</v>
      </c>
      <c r="D403">
        <f>IFERROR(__xludf.DUMMYFUNCTION("""COMPUTED_VALUE"""),2858842.0)</f>
        <v>2858842</v>
      </c>
      <c r="E403" t="str">
        <f>IFERROR(__xludf.DUMMYFUNCTION("""COMPUTED_VALUE"""),"Mehr Verkäufe über Social Media: Marketing für Anfänger")</f>
        <v>Mehr Verkäufe über Social Media: Marketing für Anfänger</v>
      </c>
      <c r="F403" t="str">
        <f>IFERROR(__xludf.DUMMYFUNCTION("""COMPUTED_VALUE"""),"More sales about social media: marketing for beginners")</f>
        <v>More sales about social media: marketing for beginners</v>
      </c>
      <c r="G403">
        <f>IFERROR(__xludf.DUMMYFUNCTION("""COMPUTED_VALUE"""),2.8301536E7)</f>
        <v>28301536</v>
      </c>
      <c r="H403" t="str">
        <f>IFERROR(__xludf.DUMMYFUNCTION("""COMPUTED_VALUE"""),"Mareike Schamberger")</f>
        <v>Mareike Schamberger</v>
      </c>
      <c r="I403" t="str">
        <f>IFERROR(__xludf.DUMMYFUNCTION("""COMPUTED_VALUE"""),"Instructor Request- Opted Out")</f>
        <v>Instructor Request- Opted Out</v>
      </c>
      <c r="J403" t="b">
        <f>IFERROR(__xludf.DUMMYFUNCTION("""COMPUTED_VALUE"""),FALSE)</f>
        <v>0</v>
      </c>
      <c r="K403" s="142" t="str">
        <f>IFERROR(__xludf.DUMMYFUNCTION("""COMPUTED_VALUE"""),"Marketing")</f>
        <v>Marketing</v>
      </c>
      <c r="L403" s="142" t="str">
        <f>IFERROR(__xludf.DUMMYFUNCTION("""COMPUTED_VALUE"""),"Marketing Strategy")</f>
        <v>Marketing Strategy</v>
      </c>
      <c r="N403" s="140" t="str">
        <f>IFERROR(__xludf.DUMMYFUNCTION("""COMPUTED_VALUE"""),"")</f>
        <v/>
      </c>
      <c r="P403" s="140" t="str">
        <f>IFERROR(__xludf.DUMMYFUNCTION("""COMPUTED_VALUE"""),"")</f>
        <v/>
      </c>
    </row>
    <row r="404">
      <c r="A404" s="143">
        <f>IFERROR(__xludf.DUMMYFUNCTION("""COMPUTED_VALUE"""),44516.0)</f>
        <v>44516</v>
      </c>
      <c r="B404" s="143">
        <f>IFERROR(__xludf.DUMMYFUNCTION("""COMPUTED_VALUE"""),44712.0)</f>
        <v>44712</v>
      </c>
      <c r="C404" t="str">
        <f>IFERROR(__xludf.DUMMYFUNCTION("""COMPUTED_VALUE"""),"ru")</f>
        <v>ru</v>
      </c>
      <c r="D404">
        <f>IFERROR(__xludf.DUMMYFUNCTION("""COMPUTED_VALUE"""),2915390.0)</f>
        <v>2915390</v>
      </c>
      <c r="E404" t="str">
        <f>IFERROR(__xludf.DUMMYFUNCTION("""COMPUTED_VALUE"""),"Основы Управления Проектами по PMBOK")</f>
        <v>Основы Управления Проектами по PMBOK</v>
      </c>
      <c r="F404" t="str">
        <f>IFERROR(__xludf.DUMMYFUNCTION("""COMPUTED_VALUE"""),"PMBOK Project Management Basics")</f>
        <v>PMBOK Project Management Basics</v>
      </c>
      <c r="G404">
        <f>IFERROR(__xludf.DUMMYFUNCTION("""COMPUTED_VALUE"""),5.3732988E7)</f>
        <v>53732988</v>
      </c>
      <c r="H404" t="str">
        <f>IFERROR(__xludf.DUMMYFUNCTION("""COMPUTED_VALUE"""),"Daulen Zhangabylov")</f>
        <v>Daulen Zhangabylov</v>
      </c>
      <c r="I404" t="str">
        <f>IFERROR(__xludf.DUMMYFUNCTION("""COMPUTED_VALUE"""),"Instructor Request- Opted Out")</f>
        <v>Instructor Request- Opted Out</v>
      </c>
      <c r="J404" t="b">
        <f>IFERROR(__xludf.DUMMYFUNCTION("""COMPUTED_VALUE"""),FALSE)</f>
        <v>0</v>
      </c>
      <c r="K404" s="142" t="str">
        <f>IFERROR(__xludf.DUMMYFUNCTION("""COMPUTED_VALUE"""),"Leadership &amp; Management")</f>
        <v>Leadership &amp; Management</v>
      </c>
      <c r="L404" s="142" t="str">
        <f>IFERROR(__xludf.DUMMYFUNCTION("""COMPUTED_VALUE"""),"Leadership")</f>
        <v>Leadership</v>
      </c>
      <c r="N404" s="140" t="str">
        <f>IFERROR(__xludf.DUMMYFUNCTION("""COMPUTED_VALUE"""),"")</f>
        <v/>
      </c>
      <c r="P404" s="140" t="str">
        <f>IFERROR(__xludf.DUMMYFUNCTION("""COMPUTED_VALUE"""),"")</f>
        <v/>
      </c>
    </row>
    <row r="405">
      <c r="A405" s="143">
        <f>IFERROR(__xludf.DUMMYFUNCTION("""COMPUTED_VALUE"""),44525.0)</f>
        <v>44525</v>
      </c>
      <c r="B405" s="143">
        <f>IFERROR(__xludf.DUMMYFUNCTION("""COMPUTED_VALUE"""),44712.0)</f>
        <v>44712</v>
      </c>
      <c r="C405" s="140" t="str">
        <f>IFERROR(__xludf.DUMMYFUNCTION("""COMPUTED_VALUE"""),"ru")</f>
        <v>ru</v>
      </c>
      <c r="D405">
        <f>IFERROR(__xludf.DUMMYFUNCTION("""COMPUTED_VALUE"""),2864648.0)</f>
        <v>2864648</v>
      </c>
      <c r="E405" t="str">
        <f>IFERROR(__xludf.DUMMYFUNCTION("""COMPUTED_VALUE"""),"Node JS. Практический курс. (Mongo, GraphQL, MySQL, Express)")</f>
        <v>Node JS. Практический курс. (Mongo, GraphQL, MySQL, Express)</v>
      </c>
      <c r="F405" t="str">
        <f>IFERROR(__xludf.DUMMYFUNCTION("""COMPUTED_VALUE"""),"Node JS. Practical course. (MONGO, Graphql, MySQL, Express)")</f>
        <v>Node JS. Practical course. (MONGO, Graphql, MySQL, Express)</v>
      </c>
      <c r="G405">
        <f>IFERROR(__xludf.DUMMYFUNCTION("""COMPUTED_VALUE"""),2.6838796E7)</f>
        <v>26838796</v>
      </c>
      <c r="H405" t="str">
        <f>IFERROR(__xludf.DUMMYFUNCTION("""COMPUTED_VALUE"""),"Владилен Минин")</f>
        <v>Владилен Минин</v>
      </c>
      <c r="I405" t="str">
        <f>IFERROR(__xludf.DUMMYFUNCTION("""COMPUTED_VALUE"""),"Instructor Request- Opted Out")</f>
        <v>Instructor Request- Opted Out</v>
      </c>
      <c r="J405" t="b">
        <f>IFERROR(__xludf.DUMMYFUNCTION("""COMPUTED_VALUE"""),FALSE)</f>
        <v>0</v>
      </c>
      <c r="K405" s="142" t="str">
        <f>IFERROR(__xludf.DUMMYFUNCTION("""COMPUTED_VALUE"""),"Development")</f>
        <v>Development</v>
      </c>
      <c r="L405" s="142" t="str">
        <f>IFERROR(__xludf.DUMMYFUNCTION("""COMPUTED_VALUE"""),"Web Development")</f>
        <v>Web Development</v>
      </c>
      <c r="N405" s="140" t="str">
        <f>IFERROR(__xludf.DUMMYFUNCTION("""COMPUTED_VALUE"""),"")</f>
        <v/>
      </c>
      <c r="P405" s="140" t="str">
        <f>IFERROR(__xludf.DUMMYFUNCTION("""COMPUTED_VALUE"""),"")</f>
        <v/>
      </c>
    </row>
    <row r="406">
      <c r="A406" s="143">
        <f>IFERROR(__xludf.DUMMYFUNCTION("""COMPUTED_VALUE"""),44525.0)</f>
        <v>44525</v>
      </c>
      <c r="B406" s="143">
        <f>IFERROR(__xludf.DUMMYFUNCTION("""COMPUTED_VALUE"""),44712.0)</f>
        <v>44712</v>
      </c>
      <c r="C406" s="140" t="str">
        <f>IFERROR(__xludf.DUMMYFUNCTION("""COMPUTED_VALUE"""),"ru")</f>
        <v>ru</v>
      </c>
      <c r="D406">
        <f>IFERROR(__xludf.DUMMYFUNCTION("""COMPUTED_VALUE"""),2486704.0)</f>
        <v>2486704</v>
      </c>
      <c r="E406" t="str">
        <f>IFERROR(__xludf.DUMMYFUNCTION("""COMPUTED_VALUE"""),"Angular 9. Теория и Практика 2020. Все включено + Бонусы")</f>
        <v>Angular 9. Теория и Практика 2020. Все включено + Бонусы</v>
      </c>
      <c r="F406" t="str">
        <f>IFERROR(__xludf.DUMMYFUNCTION("""COMPUTED_VALUE"""),"Angular 9. Theory and Practice 2020. All Inclusive + Bonuses")</f>
        <v>Angular 9. Theory and Practice 2020. All Inclusive + Bonuses</v>
      </c>
      <c r="G406">
        <f>IFERROR(__xludf.DUMMYFUNCTION("""COMPUTED_VALUE"""),2.6838796E7)</f>
        <v>26838796</v>
      </c>
      <c r="H406" t="str">
        <f>IFERROR(__xludf.DUMMYFUNCTION("""COMPUTED_VALUE"""),"Владилен Минин")</f>
        <v>Владилен Минин</v>
      </c>
      <c r="I406" t="str">
        <f>IFERROR(__xludf.DUMMYFUNCTION("""COMPUTED_VALUE"""),"Instructor Request- Opted Out")</f>
        <v>Instructor Request- Opted Out</v>
      </c>
      <c r="J406" t="b">
        <f>IFERROR(__xludf.DUMMYFUNCTION("""COMPUTED_VALUE"""),FALSE)</f>
        <v>0</v>
      </c>
      <c r="K406" s="142" t="str">
        <f>IFERROR(__xludf.DUMMYFUNCTION("""COMPUTED_VALUE"""),"Development")</f>
        <v>Development</v>
      </c>
      <c r="L406" s="142" t="str">
        <f>IFERROR(__xludf.DUMMYFUNCTION("""COMPUTED_VALUE"""),"Web Development")</f>
        <v>Web Development</v>
      </c>
      <c r="N406" s="140" t="str">
        <f>IFERROR(__xludf.DUMMYFUNCTION("""COMPUTED_VALUE"""),"")</f>
        <v/>
      </c>
      <c r="P406" s="140" t="str">
        <f>IFERROR(__xludf.DUMMYFUNCTION("""COMPUTED_VALUE"""),"")</f>
        <v/>
      </c>
    </row>
    <row r="407">
      <c r="A407" s="143">
        <f>IFERROR(__xludf.DUMMYFUNCTION("""COMPUTED_VALUE"""),44525.0)</f>
        <v>44525</v>
      </c>
      <c r="B407" s="143">
        <f>IFERROR(__xludf.DUMMYFUNCTION("""COMPUTED_VALUE"""),44712.0)</f>
        <v>44712</v>
      </c>
      <c r="C407" s="140" t="str">
        <f>IFERROR(__xludf.DUMMYFUNCTION("""COMPUTED_VALUE"""),"ru")</f>
        <v>ru</v>
      </c>
      <c r="D407">
        <f>IFERROR(__xludf.DUMMYFUNCTION("""COMPUTED_VALUE"""),2650970.0)</f>
        <v>2650970</v>
      </c>
      <c r="E407" t="str">
        <f>IFERROR(__xludf.DUMMYFUNCTION("""COMPUTED_VALUE"""),"React Native 2020. Мобильные приложения на JavaScript")</f>
        <v>React Native 2020. Мобильные приложения на JavaScript</v>
      </c>
      <c r="F407" t="str">
        <f>IFERROR(__xludf.DUMMYFUNCTION("""COMPUTED_VALUE"""),"REACT Native 2020. Mobile applications on JavaScript")</f>
        <v>REACT Native 2020. Mobile applications on JavaScript</v>
      </c>
      <c r="G407">
        <f>IFERROR(__xludf.DUMMYFUNCTION("""COMPUTED_VALUE"""),2.6838796E7)</f>
        <v>26838796</v>
      </c>
      <c r="H407" t="str">
        <f>IFERROR(__xludf.DUMMYFUNCTION("""COMPUTED_VALUE"""),"Владилен Минин")</f>
        <v>Владилен Минин</v>
      </c>
      <c r="I407" t="str">
        <f>IFERROR(__xludf.DUMMYFUNCTION("""COMPUTED_VALUE"""),"Instructor Request- Opted Out")</f>
        <v>Instructor Request- Opted Out</v>
      </c>
      <c r="J407" t="b">
        <f>IFERROR(__xludf.DUMMYFUNCTION("""COMPUTED_VALUE"""),FALSE)</f>
        <v>0</v>
      </c>
      <c r="K407" s="142" t="str">
        <f>IFERROR(__xludf.DUMMYFUNCTION("""COMPUTED_VALUE"""),"Development")</f>
        <v>Development</v>
      </c>
      <c r="L407" s="142" t="str">
        <f>IFERROR(__xludf.DUMMYFUNCTION("""COMPUTED_VALUE"""),"Mobile Development")</f>
        <v>Mobile Development</v>
      </c>
      <c r="M407" s="140">
        <f>IFERROR(__xludf.DUMMYFUNCTION("""COMPUTED_VALUE"""),1436092.0)</f>
        <v>1436092</v>
      </c>
      <c r="N407" s="140" t="str">
        <f>IFERROR(__xludf.DUMMYFUNCTION("""COMPUTED_VALUE"""),"React Native - The Practical Guide [2022 Edition]")</f>
        <v>React Native - The Practical Guide [2022 Edition]</v>
      </c>
      <c r="O407" s="140">
        <f>IFERROR(__xludf.DUMMYFUNCTION("""COMPUTED_VALUE"""),2994426.0)</f>
        <v>2994426</v>
      </c>
      <c r="P407" s="140" t="str">
        <f>IFERROR(__xludf.DUMMYFUNCTION("""COMPUTED_VALUE"""),"Complete React Native in 2022: Zero to Mastery (with Hooks)")</f>
        <v>Complete React Native in 2022: Zero to Mastery (with Hooks)</v>
      </c>
    </row>
    <row r="408">
      <c r="A408" s="143">
        <f>IFERROR(__xludf.DUMMYFUNCTION("""COMPUTED_VALUE"""),44525.0)</f>
        <v>44525</v>
      </c>
      <c r="B408" s="143">
        <f>IFERROR(__xludf.DUMMYFUNCTION("""COMPUTED_VALUE"""),44712.0)</f>
        <v>44712</v>
      </c>
      <c r="C408" s="140" t="str">
        <f>IFERROR(__xludf.DUMMYFUNCTION("""COMPUTED_VALUE"""),"ru")</f>
        <v>ru</v>
      </c>
      <c r="D408">
        <f>IFERROR(__xludf.DUMMYFUNCTION("""COMPUTED_VALUE"""),3699478.0)</f>
        <v>3699478</v>
      </c>
      <c r="E408" t="str">
        <f>IFERROR(__xludf.DUMMYFUNCTION("""COMPUTED_VALUE"""),"JavaScript 2021 - Полное Руководство с Нуля до Профи")</f>
        <v>JavaScript 2021 - Полное Руководство с Нуля до Профи</v>
      </c>
      <c r="F408" t="str">
        <f>IFERROR(__xludf.DUMMYFUNCTION("""COMPUTED_VALUE"""),"JavaScript 2021 - Full Guide from Scratch to Profi")</f>
        <v>JavaScript 2021 - Full Guide from Scratch to Profi</v>
      </c>
      <c r="G408">
        <f>IFERROR(__xludf.DUMMYFUNCTION("""COMPUTED_VALUE"""),2.6838796E7)</f>
        <v>26838796</v>
      </c>
      <c r="H408" t="str">
        <f>IFERROR(__xludf.DUMMYFUNCTION("""COMPUTED_VALUE"""),"Владилен Минин")</f>
        <v>Владилен Минин</v>
      </c>
      <c r="I408" t="str">
        <f>IFERROR(__xludf.DUMMYFUNCTION("""COMPUTED_VALUE"""),"Instructor Request- Opted Out")</f>
        <v>Instructor Request- Opted Out</v>
      </c>
      <c r="J408" t="b">
        <f>IFERROR(__xludf.DUMMYFUNCTION("""COMPUTED_VALUE"""),FALSE)</f>
        <v>0</v>
      </c>
      <c r="K408" s="142" t="str">
        <f>IFERROR(__xludf.DUMMYFUNCTION("""COMPUTED_VALUE"""),"Development")</f>
        <v>Development</v>
      </c>
      <c r="L408" s="142" t="str">
        <f>IFERROR(__xludf.DUMMYFUNCTION("""COMPUTED_VALUE"""),"Programming Languages")</f>
        <v>Programming Languages</v>
      </c>
      <c r="M408" s="140">
        <f>IFERROR(__xludf.DUMMYFUNCTION("""COMPUTED_VALUE"""),2508942.0)</f>
        <v>2508942</v>
      </c>
      <c r="N408" s="140" t="str">
        <f>IFERROR(__xludf.DUMMYFUNCTION("""COMPUTED_VALUE"""),"JavaScript - The Complete Guide 2022 (Beginner + Advanced)")</f>
        <v>JavaScript - The Complete Guide 2022 (Beginner + Advanced)</v>
      </c>
      <c r="P408" s="140" t="str">
        <f>IFERROR(__xludf.DUMMYFUNCTION("""COMPUTED_VALUE"""),"")</f>
        <v/>
      </c>
    </row>
    <row r="409">
      <c r="A409" s="143">
        <f>IFERROR(__xludf.DUMMYFUNCTION("""COMPUTED_VALUE"""),44525.0)</f>
        <v>44525</v>
      </c>
      <c r="B409" s="143">
        <f>IFERROR(__xludf.DUMMYFUNCTION("""COMPUTED_VALUE"""),44712.0)</f>
        <v>44712</v>
      </c>
      <c r="C409" s="140" t="str">
        <f>IFERROR(__xludf.DUMMYFUNCTION("""COMPUTED_VALUE"""),"ru")</f>
        <v>ru</v>
      </c>
      <c r="D409">
        <f>IFERROR(__xludf.DUMMYFUNCTION("""COMPUTED_VALUE"""),2708348.0)</f>
        <v>2708348</v>
      </c>
      <c r="E409" t="str">
        <f>IFERROR(__xludf.DUMMYFUNCTION("""COMPUTED_VALUE"""),"React JS. Практический Курс 2020 (вкл. Хуки, Классы, Redux)")</f>
        <v>React JS. Практический Курс 2020 (вкл. Хуки, Классы, Redux)</v>
      </c>
      <c r="F409" t="str">
        <f>IFERROR(__xludf.DUMMYFUNCTION("""COMPUTED_VALUE"""),"REACT JS. Practical course 2020 (incl. Hooks, classes, REDUX)")</f>
        <v>REACT JS. Practical course 2020 (incl. Hooks, classes, REDUX)</v>
      </c>
      <c r="G409">
        <f>IFERROR(__xludf.DUMMYFUNCTION("""COMPUTED_VALUE"""),2.6838796E7)</f>
        <v>26838796</v>
      </c>
      <c r="H409" t="str">
        <f>IFERROR(__xludf.DUMMYFUNCTION("""COMPUTED_VALUE"""),"Владилен Минин")</f>
        <v>Владилен Минин</v>
      </c>
      <c r="I409" t="str">
        <f>IFERROR(__xludf.DUMMYFUNCTION("""COMPUTED_VALUE"""),"Instructor Request- Opted Out")</f>
        <v>Instructor Request- Opted Out</v>
      </c>
      <c r="J409" t="b">
        <f>IFERROR(__xludf.DUMMYFUNCTION("""COMPUTED_VALUE"""),FALSE)</f>
        <v>0</v>
      </c>
      <c r="K409" s="142" t="str">
        <f>IFERROR(__xludf.DUMMYFUNCTION("""COMPUTED_VALUE"""),"Development")</f>
        <v>Development</v>
      </c>
      <c r="L409" s="142" t="str">
        <f>IFERROR(__xludf.DUMMYFUNCTION("""COMPUTED_VALUE"""),"Web Development")</f>
        <v>Web Development</v>
      </c>
      <c r="M409" s="140">
        <f>IFERROR(__xludf.DUMMYFUNCTION("""COMPUTED_VALUE"""),1362070.0)</f>
        <v>1362070</v>
      </c>
      <c r="N409" s="140" t="str">
        <f>IFERROR(__xludf.DUMMYFUNCTION("""COMPUTED_VALUE"""),"React - The Complete Guide (incl Hooks, React Router, Redux)")</f>
        <v>React - The Complete Guide (incl Hooks, React Router, Redux)</v>
      </c>
      <c r="P409" s="140" t="str">
        <f>IFERROR(__xludf.DUMMYFUNCTION("""COMPUTED_VALUE"""),"")</f>
        <v/>
      </c>
    </row>
    <row r="410">
      <c r="A410" s="143">
        <f>IFERROR(__xludf.DUMMYFUNCTION("""COMPUTED_VALUE"""),44525.0)</f>
        <v>44525</v>
      </c>
      <c r="B410" s="143">
        <f>IFERROR(__xludf.DUMMYFUNCTION("""COMPUTED_VALUE"""),44712.0)</f>
        <v>44712</v>
      </c>
      <c r="C410" s="140" t="str">
        <f>IFERROR(__xludf.DUMMYFUNCTION("""COMPUTED_VALUE"""),"ru")</f>
        <v>ru</v>
      </c>
      <c r="D410">
        <f>IFERROR(__xludf.DUMMYFUNCTION("""COMPUTED_VALUE"""),2940352.0)</f>
        <v>2940352</v>
      </c>
      <c r="E410" t="str">
        <f>IFERROR(__xludf.DUMMYFUNCTION("""COMPUTED_VALUE"""),"MEAN. Angular, Node, Express, Mongo. Создание Сервиса с Нуля")</f>
        <v>MEAN. Angular, Node, Express, Mongo. Создание Сервиса с Нуля</v>
      </c>
      <c r="F410" t="str">
        <f>IFERROR(__xludf.DUMMYFUNCTION("""COMPUTED_VALUE"""),"Mean. Angular, Node, Express, Mongo. Creating a service from scratch")</f>
        <v>Mean. Angular, Node, Express, Mongo. Creating a service from scratch</v>
      </c>
      <c r="G410">
        <f>IFERROR(__xludf.DUMMYFUNCTION("""COMPUTED_VALUE"""),2.6838796E7)</f>
        <v>26838796</v>
      </c>
      <c r="H410" t="str">
        <f>IFERROR(__xludf.DUMMYFUNCTION("""COMPUTED_VALUE"""),"Владилен Минин")</f>
        <v>Владилен Минин</v>
      </c>
      <c r="I410" t="str">
        <f>IFERROR(__xludf.DUMMYFUNCTION("""COMPUTED_VALUE"""),"Instructor Request- Opted Out")</f>
        <v>Instructor Request- Opted Out</v>
      </c>
      <c r="J410" t="b">
        <f>IFERROR(__xludf.DUMMYFUNCTION("""COMPUTED_VALUE"""),FALSE)</f>
        <v>0</v>
      </c>
      <c r="K410" s="142" t="str">
        <f>IFERROR(__xludf.DUMMYFUNCTION("""COMPUTED_VALUE"""),"Development")</f>
        <v>Development</v>
      </c>
      <c r="L410" s="142" t="str">
        <f>IFERROR(__xludf.DUMMYFUNCTION("""COMPUTED_VALUE"""),"Web Development")</f>
        <v>Web Development</v>
      </c>
      <c r="M410" s="140">
        <f>IFERROR(__xludf.DUMMYFUNCTION("""COMPUTED_VALUE"""),833442.0)</f>
        <v>833442</v>
      </c>
      <c r="N410" s="140" t="str">
        <f>IFERROR(__xludf.DUMMYFUNCTION("""COMPUTED_VALUE"""),"Angular &amp; NodeJS - The MEAN Stack Guide [2022 Edition]")</f>
        <v>Angular &amp; NodeJS - The MEAN Stack Guide [2022 Edition]</v>
      </c>
      <c r="P410" s="140" t="str">
        <f>IFERROR(__xludf.DUMMYFUNCTION("""COMPUTED_VALUE"""),"")</f>
        <v/>
      </c>
    </row>
    <row r="411">
      <c r="A411" s="143">
        <f>IFERROR(__xludf.DUMMYFUNCTION("""COMPUTED_VALUE"""),44528.0)</f>
        <v>44528</v>
      </c>
      <c r="B411" s="143">
        <f>IFERROR(__xludf.DUMMYFUNCTION("""COMPUTED_VALUE"""),44712.0)</f>
        <v>44712</v>
      </c>
      <c r="C411" s="140" t="str">
        <f>IFERROR(__xludf.DUMMYFUNCTION("""COMPUTED_VALUE"""),"es")</f>
        <v>es</v>
      </c>
      <c r="D411">
        <f>IFERROR(__xludf.DUMMYFUNCTION("""COMPUTED_VALUE"""),3072474.0)</f>
        <v>3072474</v>
      </c>
      <c r="E411" t="str">
        <f>IFERROR(__xludf.DUMMYFUNCTION("""COMPUTED_VALUE"""),"Email Marketing y Marketing Automation con ActiveCampaign")</f>
        <v>Email Marketing y Marketing Automation con ActiveCampaign</v>
      </c>
      <c r="F411" t="str">
        <f>IFERROR(__xludf.DUMMYFUNCTION("""COMPUTED_VALUE"""),"Email Marketing y Marketing Automation con ActiveCampaign")</f>
        <v>Email Marketing y Marketing Automation con ActiveCampaign</v>
      </c>
      <c r="G411">
        <f>IFERROR(__xludf.DUMMYFUNCTION("""COMPUTED_VALUE"""),1.08568494E8)</f>
        <v>108568494</v>
      </c>
      <c r="H411" t="str">
        <f>IFERROR(__xludf.DUMMYFUNCTION("""COMPUTED_VALUE"""),"Raquel Nieto")</f>
        <v>Raquel Nieto</v>
      </c>
      <c r="I411" t="str">
        <f>IFERROR(__xludf.DUMMYFUNCTION("""COMPUTED_VALUE"""),"Instructor Request- Opted Out")</f>
        <v>Instructor Request- Opted Out</v>
      </c>
      <c r="J411" t="b">
        <f>IFERROR(__xludf.DUMMYFUNCTION("""COMPUTED_VALUE"""),FALSE)</f>
        <v>0</v>
      </c>
      <c r="K411" s="142" t="str">
        <f>IFERROR(__xludf.DUMMYFUNCTION("""COMPUTED_VALUE"""),"Marketing")</f>
        <v>Marketing</v>
      </c>
      <c r="L411" s="142" t="str">
        <f>IFERROR(__xludf.DUMMYFUNCTION("""COMPUTED_VALUE"""),"Marketing Analytics &amp; Automation")</f>
        <v>Marketing Analytics &amp; Automation</v>
      </c>
      <c r="N411" s="140" t="str">
        <f>IFERROR(__xludf.DUMMYFUNCTION("""COMPUTED_VALUE"""),"")</f>
        <v/>
      </c>
      <c r="P411" s="140" t="str">
        <f>IFERROR(__xludf.DUMMYFUNCTION("""COMPUTED_VALUE"""),"")</f>
        <v/>
      </c>
    </row>
    <row r="412">
      <c r="A412" s="143">
        <f>IFERROR(__xludf.DUMMYFUNCTION("""COMPUTED_VALUE"""),44529.0)</f>
        <v>44529</v>
      </c>
      <c r="B412" s="143">
        <f>IFERROR(__xludf.DUMMYFUNCTION("""COMPUTED_VALUE"""),44712.0)</f>
        <v>44712</v>
      </c>
      <c r="C412" s="140" t="str">
        <f>IFERROR(__xludf.DUMMYFUNCTION("""COMPUTED_VALUE"""),"es")</f>
        <v>es</v>
      </c>
      <c r="D412">
        <f>IFERROR(__xludf.DUMMYFUNCTION("""COMPUTED_VALUE"""),1852524.0)</f>
        <v>1852524</v>
      </c>
      <c r="E412" t="str">
        <f>IFERROR(__xludf.DUMMYFUNCTION("""COMPUTED_VALUE"""),"Diseño gráfico para SUPER NOVATOS")</f>
        <v>Diseño gráfico para SUPER NOVATOS</v>
      </c>
      <c r="F412" t="str">
        <f>IFERROR(__xludf.DUMMYFUNCTION("""COMPUTED_VALUE"""),"Graphic design for super novices")</f>
        <v>Graphic design for super novices</v>
      </c>
      <c r="G412">
        <f>IFERROR(__xludf.DUMMYFUNCTION("""COMPUTED_VALUE"""),5.1754848E7)</f>
        <v>51754848</v>
      </c>
      <c r="H412" t="str">
        <f>IFERROR(__xludf.DUMMYFUNCTION("""COMPUTED_VALUE"""),"Aida Carrillo")</f>
        <v>Aida Carrillo</v>
      </c>
      <c r="I412" t="str">
        <f>IFERROR(__xludf.DUMMYFUNCTION("""COMPUTED_VALUE"""),"Instructor Request- Opted Out")</f>
        <v>Instructor Request- Opted Out</v>
      </c>
      <c r="J412" t="b">
        <f>IFERROR(__xludf.DUMMYFUNCTION("""COMPUTED_VALUE"""),FALSE)</f>
        <v>0</v>
      </c>
      <c r="K412" s="142" t="str">
        <f>IFERROR(__xludf.DUMMYFUNCTION("""COMPUTED_VALUE"""),"Design")</f>
        <v>Design</v>
      </c>
      <c r="L412" s="142" t="str">
        <f>IFERROR(__xludf.DUMMYFUNCTION("""COMPUTED_VALUE"""),"Graphic Design")</f>
        <v>Graphic Design</v>
      </c>
      <c r="N412" s="140" t="str">
        <f>IFERROR(__xludf.DUMMYFUNCTION("""COMPUTED_VALUE"""),"")</f>
        <v/>
      </c>
      <c r="P412" s="140" t="str">
        <f>IFERROR(__xludf.DUMMYFUNCTION("""COMPUTED_VALUE"""),"")</f>
        <v/>
      </c>
    </row>
    <row r="413">
      <c r="A413" s="143">
        <f>IFERROR(__xludf.DUMMYFUNCTION("""COMPUTED_VALUE"""),44529.0)</f>
        <v>44529</v>
      </c>
      <c r="B413" s="143">
        <f>IFERROR(__xludf.DUMMYFUNCTION("""COMPUTED_VALUE"""),44712.0)</f>
        <v>44712</v>
      </c>
      <c r="C413" s="140" t="str">
        <f>IFERROR(__xludf.DUMMYFUNCTION("""COMPUTED_VALUE"""),"en")</f>
        <v>en</v>
      </c>
      <c r="D413">
        <f>IFERROR(__xludf.DUMMYFUNCTION("""COMPUTED_VALUE"""),3573079.0)</f>
        <v>3573079</v>
      </c>
      <c r="E413" t="str">
        <f>IFERROR(__xludf.DUMMYFUNCTION("""COMPUTED_VALUE"""),"Kubernetes CKS 2021 Complete Course - Theory - Practice")</f>
        <v>Kubernetes CKS 2021 Complete Course - Theory - Practice</v>
      </c>
      <c r="F413" t="str">
        <f>IFERROR(__xludf.DUMMYFUNCTION("""COMPUTED_VALUE"""),"Kubernetes CKS 2021 Complete Course - Theory - Practice")</f>
        <v>Kubernetes CKS 2021 Complete Course - Theory - Practice</v>
      </c>
      <c r="G413">
        <f>IFERROR(__xludf.DUMMYFUNCTION("""COMPUTED_VALUE"""),1.36893163E8)</f>
        <v>136893163</v>
      </c>
      <c r="H413" t="str">
        <f>IFERROR(__xludf.DUMMYFUNCTION("""COMPUTED_VALUE"""),"Kim Wüstkamp")</f>
        <v>Kim Wüstkamp</v>
      </c>
      <c r="I413" t="str">
        <f>IFERROR(__xludf.DUMMYFUNCTION("""COMPUTED_VALUE"""),"Instructor Request- Opted Out")</f>
        <v>Instructor Request- Opted Out</v>
      </c>
      <c r="J413" t="b">
        <f>IFERROR(__xludf.DUMMYFUNCTION("""COMPUTED_VALUE"""),FALSE)</f>
        <v>0</v>
      </c>
      <c r="K413" s="142" t="str">
        <f>IFERROR(__xludf.DUMMYFUNCTION("""COMPUTED_VALUE"""),"IT Operations")</f>
        <v>IT Operations</v>
      </c>
      <c r="L413" s="142" t="str">
        <f>IFERROR(__xludf.DUMMYFUNCTION("""COMPUTED_VALUE"""),"IT Certifications")</f>
        <v>IT Certifications</v>
      </c>
      <c r="M413" s="140">
        <f>IFERROR(__xludf.DUMMYFUNCTION("""COMPUTED_VALUE"""),4119872.0)</f>
        <v>4119872</v>
      </c>
      <c r="N413" s="140" t="str">
        <f>IFERROR(__xludf.DUMMYFUNCTION("""COMPUTED_VALUE"""),"CKS : Certified Kubernetes Security Specialist Practice 2021")</f>
        <v>CKS : Certified Kubernetes Security Specialist Practice 2021</v>
      </c>
      <c r="P413" s="140" t="str">
        <f>IFERROR(__xludf.DUMMYFUNCTION("""COMPUTED_VALUE"""),"")</f>
        <v/>
      </c>
    </row>
    <row r="414">
      <c r="A414" s="143">
        <f>IFERROR(__xludf.DUMMYFUNCTION("""COMPUTED_VALUE"""),44530.0)</f>
        <v>44530</v>
      </c>
      <c r="B414" s="143">
        <f>IFERROR(__xludf.DUMMYFUNCTION("""COMPUTED_VALUE"""),44712.0)</f>
        <v>44712</v>
      </c>
      <c r="C414" s="140" t="str">
        <f>IFERROR(__xludf.DUMMYFUNCTION("""COMPUTED_VALUE"""),"fr")</f>
        <v>fr</v>
      </c>
      <c r="D414">
        <f>IFERROR(__xludf.DUMMYFUNCTION("""COMPUTED_VALUE"""),2556876.0)</f>
        <v>2556876</v>
      </c>
      <c r="E414" t="str">
        <f>IFERROR(__xludf.DUMMYFUNCTION("""COMPUTED_VALUE"""),"Créer 5 applications de bureau avec Qt for Python (PySide2)")</f>
        <v>Créer 5 applications de bureau avec Qt for Python (PySide2)</v>
      </c>
      <c r="F414" t="str">
        <f>IFERROR(__xludf.DUMMYFUNCTION("""COMPUTED_VALUE"""),"Create 5 desktop applications with QT for Python (Pyside2)")</f>
        <v>Create 5 desktop applications with QT for Python (Pyside2)</v>
      </c>
      <c r="G414">
        <f>IFERROR(__xludf.DUMMYFUNCTION("""COMPUTED_VALUE"""),9804122.0)</f>
        <v>9804122</v>
      </c>
      <c r="H414" t="str">
        <f>IFERROR(__xludf.DUMMYFUNCTION("""COMPUTED_VALUE"""),"Thibault Houdon | Formateur et développeur Python")</f>
        <v>Thibault Houdon | Formateur et développeur Python</v>
      </c>
      <c r="I414" t="str">
        <f>IFERROR(__xludf.DUMMYFUNCTION("""COMPUTED_VALUE"""),"Instructor Request- Opted Out")</f>
        <v>Instructor Request- Opted Out</v>
      </c>
      <c r="J414" t="b">
        <f>IFERROR(__xludf.DUMMYFUNCTION("""COMPUTED_VALUE"""),TRUE)</f>
        <v>1</v>
      </c>
      <c r="K414" s="142" t="str">
        <f>IFERROR(__xludf.DUMMYFUNCTION("""COMPUTED_VALUE"""),"Development")</f>
        <v>Development</v>
      </c>
      <c r="L414" s="142" t="str">
        <f>IFERROR(__xludf.DUMMYFUNCTION("""COMPUTED_VALUE"""),"Programming Languages")</f>
        <v>Programming Languages</v>
      </c>
      <c r="N414" s="140" t="str">
        <f>IFERROR(__xludf.DUMMYFUNCTION("""COMPUTED_VALUE"""),"")</f>
        <v/>
      </c>
      <c r="P414" s="140" t="str">
        <f>IFERROR(__xludf.DUMMYFUNCTION("""COMPUTED_VALUE"""),"")</f>
        <v/>
      </c>
    </row>
    <row r="415">
      <c r="A415" s="143">
        <f>IFERROR(__xludf.DUMMYFUNCTION("""COMPUTED_VALUE"""),44530.0)</f>
        <v>44530</v>
      </c>
      <c r="B415" s="143">
        <f>IFERROR(__xludf.DUMMYFUNCTION("""COMPUTED_VALUE"""),44712.0)</f>
        <v>44712</v>
      </c>
      <c r="C415" s="140" t="str">
        <f>IFERROR(__xludf.DUMMYFUNCTION("""COMPUTED_VALUE"""),"fr")</f>
        <v>fr</v>
      </c>
      <c r="D415">
        <f>IFERROR(__xludf.DUMMYFUNCTION("""COMPUTED_VALUE"""),2071361.0)</f>
        <v>2071361</v>
      </c>
      <c r="E415" t="str">
        <f>IFERROR(__xludf.DUMMYFUNCTION("""COMPUTED_VALUE"""),"Le traitement d'images avec Python")</f>
        <v>Le traitement d'images avec Python</v>
      </c>
      <c r="F415" t="str">
        <f>IFERROR(__xludf.DUMMYFUNCTION("""COMPUTED_VALUE"""),"The image processing with Python")</f>
        <v>The image processing with Python</v>
      </c>
      <c r="G415">
        <f>IFERROR(__xludf.DUMMYFUNCTION("""COMPUTED_VALUE"""),9804122.0)</f>
        <v>9804122</v>
      </c>
      <c r="H415" t="str">
        <f>IFERROR(__xludf.DUMMYFUNCTION("""COMPUTED_VALUE"""),"Thibault Houdon | Formateur et développeur Python")</f>
        <v>Thibault Houdon | Formateur et développeur Python</v>
      </c>
      <c r="I415" t="str">
        <f>IFERROR(__xludf.DUMMYFUNCTION("""COMPUTED_VALUE"""),"Instructor Request- Opted Out")</f>
        <v>Instructor Request- Opted Out</v>
      </c>
      <c r="J415" t="b">
        <f>IFERROR(__xludf.DUMMYFUNCTION("""COMPUTED_VALUE"""),TRUE)</f>
        <v>1</v>
      </c>
      <c r="K415" s="142" t="str">
        <f>IFERROR(__xludf.DUMMYFUNCTION("""COMPUTED_VALUE"""),"Development")</f>
        <v>Development</v>
      </c>
      <c r="L415" s="142" t="str">
        <f>IFERROR(__xludf.DUMMYFUNCTION("""COMPUTED_VALUE"""),"Web Development")</f>
        <v>Web Development</v>
      </c>
      <c r="N415" s="140" t="str">
        <f>IFERROR(__xludf.DUMMYFUNCTION("""COMPUTED_VALUE"""),"")</f>
        <v/>
      </c>
      <c r="P415" s="140" t="str">
        <f>IFERROR(__xludf.DUMMYFUNCTION("""COMPUTED_VALUE"""),"")</f>
        <v/>
      </c>
    </row>
    <row r="416">
      <c r="A416" s="143">
        <f>IFERROR(__xludf.DUMMYFUNCTION("""COMPUTED_VALUE"""),44530.0)</f>
        <v>44530</v>
      </c>
      <c r="B416" s="143">
        <f>IFERROR(__xludf.DUMMYFUNCTION("""COMPUTED_VALUE"""),44712.0)</f>
        <v>44712</v>
      </c>
      <c r="C416" s="140" t="str">
        <f>IFERROR(__xludf.DUMMYFUNCTION("""COMPUTED_VALUE"""),"fr")</f>
        <v>fr</v>
      </c>
      <c r="D416">
        <f>IFERROR(__xludf.DUMMYFUNCTION("""COMPUTED_VALUE"""),1484660.0)</f>
        <v>1484660</v>
      </c>
      <c r="E416" t="str">
        <f>IFERROR(__xludf.DUMMYFUNCTION("""COMPUTED_VALUE"""),"Les bases de Python par la pratique")</f>
        <v>Les bases de Python par la pratique</v>
      </c>
      <c r="F416" t="str">
        <f>IFERROR(__xludf.DUMMYFUNCTION("""COMPUTED_VALUE"""),"The basics of Python by practice")</f>
        <v>The basics of Python by practice</v>
      </c>
      <c r="G416">
        <f>IFERROR(__xludf.DUMMYFUNCTION("""COMPUTED_VALUE"""),9804122.0)</f>
        <v>9804122</v>
      </c>
      <c r="H416" t="str">
        <f>IFERROR(__xludf.DUMMYFUNCTION("""COMPUTED_VALUE"""),"Thibault Houdon | Formateur et développeur Python")</f>
        <v>Thibault Houdon | Formateur et développeur Python</v>
      </c>
      <c r="I416" t="str">
        <f>IFERROR(__xludf.DUMMYFUNCTION("""COMPUTED_VALUE"""),"Instructor Request- Opted Out")</f>
        <v>Instructor Request- Opted Out</v>
      </c>
      <c r="J416" t="b">
        <f>IFERROR(__xludf.DUMMYFUNCTION("""COMPUTED_VALUE"""),TRUE)</f>
        <v>1</v>
      </c>
      <c r="K416" s="142" t="str">
        <f>IFERROR(__xludf.DUMMYFUNCTION("""COMPUTED_VALUE"""),"Development")</f>
        <v>Development</v>
      </c>
      <c r="L416" s="142" t="str">
        <f>IFERROR(__xludf.DUMMYFUNCTION("""COMPUTED_VALUE"""),"Web Development")</f>
        <v>Web Development</v>
      </c>
      <c r="N416" s="140" t="str">
        <f>IFERROR(__xludf.DUMMYFUNCTION("""COMPUTED_VALUE"""),"")</f>
        <v/>
      </c>
      <c r="P416" s="140" t="str">
        <f>IFERROR(__xludf.DUMMYFUNCTION("""COMPUTED_VALUE"""),"")</f>
        <v/>
      </c>
    </row>
    <row r="417">
      <c r="A417" s="143">
        <f>IFERROR(__xludf.DUMMYFUNCTION("""COMPUTED_VALUE"""),44530.0)</f>
        <v>44530</v>
      </c>
      <c r="B417" s="143">
        <f>IFERROR(__xludf.DUMMYFUNCTION("""COMPUTED_VALUE"""),44712.0)</f>
        <v>44712</v>
      </c>
      <c r="C417" s="140" t="str">
        <f>IFERROR(__xludf.DUMMYFUNCTION("""COMPUTED_VALUE"""),"fr")</f>
        <v>fr</v>
      </c>
      <c r="D417">
        <f>IFERROR(__xludf.DUMMYFUNCTION("""COMPUTED_VALUE"""),1347140.0)</f>
        <v>1347140</v>
      </c>
      <c r="E417" t="str">
        <f>IFERROR(__xludf.DUMMYFUNCTION("""COMPUTED_VALUE"""),"Python : les interfaces graphiques avec PySide")</f>
        <v>Python : les interfaces graphiques avec PySide</v>
      </c>
      <c r="F417" t="str">
        <f>IFERROR(__xludf.DUMMYFUNCTION("""COMPUTED_VALUE"""),"Python: Graphical interfaces with Pyside")</f>
        <v>Python: Graphical interfaces with Pyside</v>
      </c>
      <c r="G417">
        <f>IFERROR(__xludf.DUMMYFUNCTION("""COMPUTED_VALUE"""),9804122.0)</f>
        <v>9804122</v>
      </c>
      <c r="H417" t="str">
        <f>IFERROR(__xludf.DUMMYFUNCTION("""COMPUTED_VALUE"""),"Thibault Houdon | Formateur et développeur Python")</f>
        <v>Thibault Houdon | Formateur et développeur Python</v>
      </c>
      <c r="I417" t="str">
        <f>IFERROR(__xludf.DUMMYFUNCTION("""COMPUTED_VALUE"""),"Instructor Request- Opted Out")</f>
        <v>Instructor Request- Opted Out</v>
      </c>
      <c r="J417" t="b">
        <f>IFERROR(__xludf.DUMMYFUNCTION("""COMPUTED_VALUE"""),TRUE)</f>
        <v>1</v>
      </c>
      <c r="K417" s="142" t="str">
        <f>IFERROR(__xludf.DUMMYFUNCTION("""COMPUTED_VALUE"""),"Development")</f>
        <v>Development</v>
      </c>
      <c r="L417" s="142" t="str">
        <f>IFERROR(__xludf.DUMMYFUNCTION("""COMPUTED_VALUE"""),"Programming Languages")</f>
        <v>Programming Languages</v>
      </c>
      <c r="N417" s="140" t="str">
        <f>IFERROR(__xludf.DUMMYFUNCTION("""COMPUTED_VALUE"""),"")</f>
        <v/>
      </c>
      <c r="P417" s="140" t="str">
        <f>IFERROR(__xludf.DUMMYFUNCTION("""COMPUTED_VALUE"""),"")</f>
        <v/>
      </c>
    </row>
    <row r="418">
      <c r="A418" s="143">
        <f>IFERROR(__xludf.DUMMYFUNCTION("""COMPUTED_VALUE"""),44530.0)</f>
        <v>44530</v>
      </c>
      <c r="B418" s="143">
        <f>IFERROR(__xludf.DUMMYFUNCTION("""COMPUTED_VALUE"""),44712.0)</f>
        <v>44712</v>
      </c>
      <c r="C418" s="140" t="str">
        <f>IFERROR(__xludf.DUMMYFUNCTION("""COMPUTED_VALUE"""),"fr")</f>
        <v>fr</v>
      </c>
      <c r="D418">
        <f>IFERROR(__xludf.DUMMYFUNCTION("""COMPUTED_VALUE"""),3057822.0)</f>
        <v>3057822</v>
      </c>
      <c r="E418" t="str">
        <f>IFERROR(__xludf.DUMMYFUNCTION("""COMPUTED_VALUE"""),"Créer une application web avec Django")</f>
        <v>Créer une application web avec Django</v>
      </c>
      <c r="F418" t="str">
        <f>IFERROR(__xludf.DUMMYFUNCTION("""COMPUTED_VALUE"""),"Create a web application with Django")</f>
        <v>Create a web application with Django</v>
      </c>
      <c r="G418">
        <f>IFERROR(__xludf.DUMMYFUNCTION("""COMPUTED_VALUE"""),9804122.0)</f>
        <v>9804122</v>
      </c>
      <c r="H418" t="str">
        <f>IFERROR(__xludf.DUMMYFUNCTION("""COMPUTED_VALUE"""),"Thibault Houdon | Formateur et développeur Python")</f>
        <v>Thibault Houdon | Formateur et développeur Python</v>
      </c>
      <c r="I418" t="str">
        <f>IFERROR(__xludf.DUMMYFUNCTION("""COMPUTED_VALUE"""),"Instructor Request- Opted Out")</f>
        <v>Instructor Request- Opted Out</v>
      </c>
      <c r="J418" t="b">
        <f>IFERROR(__xludf.DUMMYFUNCTION("""COMPUTED_VALUE"""),TRUE)</f>
        <v>1</v>
      </c>
      <c r="K418" s="142" t="str">
        <f>IFERROR(__xludf.DUMMYFUNCTION("""COMPUTED_VALUE"""),"Development")</f>
        <v>Development</v>
      </c>
      <c r="L418" s="142" t="str">
        <f>IFERROR(__xludf.DUMMYFUNCTION("""COMPUTED_VALUE"""),"Web Development")</f>
        <v>Web Development</v>
      </c>
      <c r="N418" s="140" t="str">
        <f>IFERROR(__xludf.DUMMYFUNCTION("""COMPUTED_VALUE"""),"")</f>
        <v/>
      </c>
      <c r="P418" s="140" t="str">
        <f>IFERROR(__xludf.DUMMYFUNCTION("""COMPUTED_VALUE"""),"")</f>
        <v/>
      </c>
    </row>
    <row r="419">
      <c r="A419" s="143">
        <f>IFERROR(__xludf.DUMMYFUNCTION("""COMPUTED_VALUE"""),44530.0)</f>
        <v>44530</v>
      </c>
      <c r="B419" s="143">
        <f>IFERROR(__xludf.DUMMYFUNCTION("""COMPUTED_VALUE"""),44712.0)</f>
        <v>44712</v>
      </c>
      <c r="C419" s="140" t="str">
        <f>IFERROR(__xludf.DUMMYFUNCTION("""COMPUTED_VALUE"""),"fr")</f>
        <v>fr</v>
      </c>
      <c r="D419">
        <f>IFERROR(__xludf.DUMMYFUNCTION("""COMPUTED_VALUE"""),3225647.0)</f>
        <v>3225647</v>
      </c>
      <c r="E419" t="str">
        <f>IFERROR(__xludf.DUMMYFUNCTION("""COMPUTED_VALUE"""),"La Formation Complète PyCharm")</f>
        <v>La Formation Complète PyCharm</v>
      </c>
      <c r="F419" t="str">
        <f>IFERROR(__xludf.DUMMYFUNCTION("""COMPUTED_VALUE"""),"FULL TRAINING PYCHARM")</f>
        <v>FULL TRAINING PYCHARM</v>
      </c>
      <c r="G419">
        <f>IFERROR(__xludf.DUMMYFUNCTION("""COMPUTED_VALUE"""),9804122.0)</f>
        <v>9804122</v>
      </c>
      <c r="H419" t="str">
        <f>IFERROR(__xludf.DUMMYFUNCTION("""COMPUTED_VALUE"""),"Thibault Houdon | Formateur et développeur Python")</f>
        <v>Thibault Houdon | Formateur et développeur Python</v>
      </c>
      <c r="I419" t="str">
        <f>IFERROR(__xludf.DUMMYFUNCTION("""COMPUTED_VALUE"""),"Instructor Request- Opted Out")</f>
        <v>Instructor Request- Opted Out</v>
      </c>
      <c r="J419" t="b">
        <f>IFERROR(__xludf.DUMMYFUNCTION("""COMPUTED_VALUE"""),TRUE)</f>
        <v>1</v>
      </c>
      <c r="K419" s="142" t="str">
        <f>IFERROR(__xludf.DUMMYFUNCTION("""COMPUTED_VALUE"""),"Development")</f>
        <v>Development</v>
      </c>
      <c r="L419" s="142" t="str">
        <f>IFERROR(__xludf.DUMMYFUNCTION("""COMPUTED_VALUE"""),"Development Tools")</f>
        <v>Development Tools</v>
      </c>
      <c r="N419" s="140" t="str">
        <f>IFERROR(__xludf.DUMMYFUNCTION("""COMPUTED_VALUE"""),"")</f>
        <v/>
      </c>
      <c r="P419" s="140" t="str">
        <f>IFERROR(__xludf.DUMMYFUNCTION("""COMPUTED_VALUE"""),"")</f>
        <v/>
      </c>
    </row>
    <row r="420">
      <c r="A420" s="143">
        <f>IFERROR(__xludf.DUMMYFUNCTION("""COMPUTED_VALUE"""),44540.0)</f>
        <v>44540</v>
      </c>
      <c r="B420" s="143">
        <f>IFERROR(__xludf.DUMMYFUNCTION("""COMPUTED_VALUE"""),44712.0)</f>
        <v>44712</v>
      </c>
      <c r="C420" s="140" t="str">
        <f>IFERROR(__xludf.DUMMYFUNCTION("""COMPUTED_VALUE"""),"es")</f>
        <v>es</v>
      </c>
      <c r="D420">
        <f>IFERROR(__xludf.DUMMYFUNCTION("""COMPUTED_VALUE"""),2972612.0)</f>
        <v>2972612</v>
      </c>
      <c r="E420" t="str">
        <f>IFERROR(__xludf.DUMMYFUNCTION("""COMPUTED_VALUE"""),"Mapas Mentales: usos prácticos")</f>
        <v>Mapas Mentales: usos prácticos</v>
      </c>
      <c r="F420" t="str">
        <f>IFERROR(__xludf.DUMMYFUNCTION("""COMPUTED_VALUE"""),"Mental maps: Practical uses")</f>
        <v>Mental maps: Practical uses</v>
      </c>
      <c r="G420">
        <f>IFERROR(__xludf.DUMMYFUNCTION("""COMPUTED_VALUE"""),1.10967798E8)</f>
        <v>110967798</v>
      </c>
      <c r="H420" t="str">
        <f>IFERROR(__xludf.DUMMYFUNCTION("""COMPUTED_VALUE"""),"Victor Luis Cervantes")</f>
        <v>Victor Luis Cervantes</v>
      </c>
      <c r="I420" t="str">
        <f>IFERROR(__xludf.DUMMYFUNCTION("""COMPUTED_VALUE"""),"Instructor Request- Opted Out")</f>
        <v>Instructor Request- Opted Out</v>
      </c>
      <c r="J420" t="b">
        <f>IFERROR(__xludf.DUMMYFUNCTION("""COMPUTED_VALUE"""),FALSE)</f>
        <v>0</v>
      </c>
      <c r="K420" s="142" t="str">
        <f>IFERROR(__xludf.DUMMYFUNCTION("""COMPUTED_VALUE"""),"Personal Development")</f>
        <v>Personal Development</v>
      </c>
      <c r="L420" s="142" t="str">
        <f>IFERROR(__xludf.DUMMYFUNCTION("""COMPUTED_VALUE"""),"Life Skills")</f>
        <v>Life Skills</v>
      </c>
      <c r="N420" s="140" t="str">
        <f>IFERROR(__xludf.DUMMYFUNCTION("""COMPUTED_VALUE"""),"")</f>
        <v/>
      </c>
      <c r="P420" s="140" t="str">
        <f>IFERROR(__xludf.DUMMYFUNCTION("""COMPUTED_VALUE"""),"")</f>
        <v/>
      </c>
    </row>
    <row r="421">
      <c r="A421" s="143">
        <f>IFERROR(__xludf.DUMMYFUNCTION("""COMPUTED_VALUE"""),44506.0)</f>
        <v>44506</v>
      </c>
      <c r="B421" s="143">
        <f>IFERROR(__xludf.DUMMYFUNCTION("""COMPUTED_VALUE"""),44711.0)</f>
        <v>44711</v>
      </c>
      <c r="C421" t="str">
        <f>IFERROR(__xludf.DUMMYFUNCTION("""COMPUTED_VALUE"""),"tr")</f>
        <v>tr</v>
      </c>
      <c r="D421">
        <f>IFERROR(__xludf.DUMMYFUNCTION("""COMPUTED_VALUE"""),2815477.0)</f>
        <v>2815477</v>
      </c>
      <c r="E421" t="str">
        <f>IFERROR(__xludf.DUMMYFUNCTION("""COMPUTED_VALUE"""),"Stratejik Dijital Pazarlama Kursu - Uygulamalı")</f>
        <v>Stratejik Dijital Pazarlama Kursu - Uygulamalı</v>
      </c>
      <c r="F421" t="str">
        <f>IFERROR(__xludf.DUMMYFUNCTION("""COMPUTED_VALUE"""),"Strategic Digital Marketing Course - Applied")</f>
        <v>Strategic Digital Marketing Course - Applied</v>
      </c>
      <c r="G421">
        <f>IFERROR(__xludf.DUMMYFUNCTION("""COMPUTED_VALUE"""),1.080268E7)</f>
        <v>10802680</v>
      </c>
      <c r="H421" t="str">
        <f>IFERROR(__xludf.DUMMYFUNCTION("""COMPUTED_VALUE"""),"Coşkun Ermehan")</f>
        <v>Coşkun Ermehan</v>
      </c>
      <c r="I421" t="str">
        <f>IFERROR(__xludf.DUMMYFUNCTION("""COMPUTED_VALUE"""),"Instructor Request- Opted Out")</f>
        <v>Instructor Request- Opted Out</v>
      </c>
      <c r="J421" t="b">
        <f>IFERROR(__xludf.DUMMYFUNCTION("""COMPUTED_VALUE"""),FALSE)</f>
        <v>0</v>
      </c>
      <c r="K421" s="142" t="str">
        <f>IFERROR(__xludf.DUMMYFUNCTION("""COMPUTED_VALUE"""),"Marketing")</f>
        <v>Marketing</v>
      </c>
      <c r="L421" s="142" t="str">
        <f>IFERROR(__xludf.DUMMYFUNCTION("""COMPUTED_VALUE"""),"Digital Marketing")</f>
        <v>Digital Marketing</v>
      </c>
      <c r="N421" s="140" t="str">
        <f>IFERROR(__xludf.DUMMYFUNCTION("""COMPUTED_VALUE"""),"")</f>
        <v/>
      </c>
      <c r="P421" s="140" t="str">
        <f>IFERROR(__xludf.DUMMYFUNCTION("""COMPUTED_VALUE"""),"")</f>
        <v/>
      </c>
    </row>
    <row r="422">
      <c r="A422" s="143">
        <f>IFERROR(__xludf.DUMMYFUNCTION("""COMPUTED_VALUE"""),44508.0)</f>
        <v>44508</v>
      </c>
      <c r="B422" s="143">
        <f>IFERROR(__xludf.DUMMYFUNCTION("""COMPUTED_VALUE"""),44711.0)</f>
        <v>44711</v>
      </c>
      <c r="C422" s="140" t="str">
        <f>IFERROR(__xludf.DUMMYFUNCTION("""COMPUTED_VALUE"""),"en")</f>
        <v>en</v>
      </c>
      <c r="D422">
        <f>IFERROR(__xludf.DUMMYFUNCTION("""COMPUTED_VALUE"""),1547104.0)</f>
        <v>1547104</v>
      </c>
      <c r="E422" t="str">
        <f>IFERROR(__xludf.DUMMYFUNCTION("""COMPUTED_VALUE"""),"How to create a Slack bot to automate tasks for you")</f>
        <v>How to create a Slack bot to automate tasks for you</v>
      </c>
      <c r="F422" t="str">
        <f>IFERROR(__xludf.DUMMYFUNCTION("""COMPUTED_VALUE"""),"How to create a Slack bot to automate tasks for you")</f>
        <v>How to create a Slack bot to automate tasks for you</v>
      </c>
      <c r="G422">
        <f>IFERROR(__xludf.DUMMYFUNCTION("""COMPUTED_VALUE"""),2.0784136E7)</f>
        <v>20784136</v>
      </c>
      <c r="H422" t="str">
        <f>IFERROR(__xludf.DUMMYFUNCTION("""COMPUTED_VALUE"""),"Andrew Golightly")</f>
        <v>Andrew Golightly</v>
      </c>
      <c r="I422" t="str">
        <f>IFERROR(__xludf.DUMMYFUNCTION("""COMPUTED_VALUE"""),"Instructor Request- Opted Out")</f>
        <v>Instructor Request- Opted Out</v>
      </c>
      <c r="J422" t="b">
        <f>IFERROR(__xludf.DUMMYFUNCTION("""COMPUTED_VALUE"""),FALSE)</f>
        <v>0</v>
      </c>
      <c r="K422" s="142" t="str">
        <f>IFERROR(__xludf.DUMMYFUNCTION("""COMPUTED_VALUE"""),"Office Productivity")</f>
        <v>Office Productivity</v>
      </c>
      <c r="L422" s="142" t="str">
        <f>IFERROR(__xludf.DUMMYFUNCTION("""COMPUTED_VALUE"""),"Email &amp; Productivity")</f>
        <v>Email &amp; Productivity</v>
      </c>
      <c r="M422" s="140">
        <f>IFERROR(__xludf.DUMMYFUNCTION("""COMPUTED_VALUE"""),1460764.0)</f>
        <v>1460764</v>
      </c>
      <c r="N422" s="140" t="str">
        <f>IFERROR(__xludf.DUMMYFUNCTION("""COMPUTED_VALUE"""),"Deep Learning and NLP A-Z™: How to create a ChatBot")</f>
        <v>Deep Learning and NLP A-Z™: How to create a ChatBot</v>
      </c>
      <c r="P422" s="140" t="str">
        <f>IFERROR(__xludf.DUMMYFUNCTION("""COMPUTED_VALUE"""),"")</f>
        <v/>
      </c>
    </row>
    <row r="423">
      <c r="A423" s="143">
        <f>IFERROR(__xludf.DUMMYFUNCTION("""COMPUTED_VALUE"""),44508.0)</f>
        <v>44508</v>
      </c>
      <c r="B423" s="143">
        <f>IFERROR(__xludf.DUMMYFUNCTION("""COMPUTED_VALUE"""),44711.0)</f>
        <v>44711</v>
      </c>
      <c r="C423" s="140" t="str">
        <f>IFERROR(__xludf.DUMMYFUNCTION("""COMPUTED_VALUE"""),"en")</f>
        <v>en</v>
      </c>
      <c r="D423">
        <f>IFERROR(__xludf.DUMMYFUNCTION("""COMPUTED_VALUE"""),3150584.0)</f>
        <v>3150584</v>
      </c>
      <c r="E423" t="str">
        <f>IFERROR(__xludf.DUMMYFUNCTION("""COMPUTED_VALUE"""),"Machine Learning No-Code Approach: Using Azure ML Studio")</f>
        <v>Machine Learning No-Code Approach: Using Azure ML Studio</v>
      </c>
      <c r="F423" t="str">
        <f>IFERROR(__xludf.DUMMYFUNCTION("""COMPUTED_VALUE"""),"Machine Learning No-Code Approach: Using Azure ML Studio")</f>
        <v>Machine Learning No-Code Approach: Using Azure ML Studio</v>
      </c>
      <c r="G423">
        <f>IFERROR(__xludf.DUMMYFUNCTION("""COMPUTED_VALUE"""),870115.0)</f>
        <v>870115</v>
      </c>
      <c r="H423" t="str">
        <f>IFERROR(__xludf.DUMMYFUNCTION("""COMPUTED_VALUE"""),"Aderson Oliveira")</f>
        <v>Aderson Oliveira</v>
      </c>
      <c r="I423" t="str">
        <f>IFERROR(__xludf.DUMMYFUNCTION("""COMPUTED_VALUE"""),"Instructor Request- Opted Out")</f>
        <v>Instructor Request- Opted Out</v>
      </c>
      <c r="J423" t="b">
        <f>IFERROR(__xludf.DUMMYFUNCTION("""COMPUTED_VALUE"""),TRUE)</f>
        <v>1</v>
      </c>
      <c r="K423" s="142" t="str">
        <f>IFERROR(__xludf.DUMMYFUNCTION("""COMPUTED_VALUE"""),"Data Science")</f>
        <v>Data Science</v>
      </c>
      <c r="L423" s="142" t="str">
        <f>IFERROR(__xludf.DUMMYFUNCTION("""COMPUTED_VALUE"""),"Machine Learning")</f>
        <v>Machine Learning</v>
      </c>
      <c r="N423" s="140" t="str">
        <f>IFERROR(__xludf.DUMMYFUNCTION("""COMPUTED_VALUE"""),"")</f>
        <v/>
      </c>
      <c r="P423" s="140" t="str">
        <f>IFERROR(__xludf.DUMMYFUNCTION("""COMPUTED_VALUE"""),"")</f>
        <v/>
      </c>
    </row>
    <row r="424">
      <c r="A424" s="143">
        <f>IFERROR(__xludf.DUMMYFUNCTION("""COMPUTED_VALUE"""),44474.0)</f>
        <v>44474</v>
      </c>
      <c r="B424" s="141">
        <f>IFERROR(__xludf.DUMMYFUNCTION("""COMPUTED_VALUE"""),44681.0)</f>
        <v>44681</v>
      </c>
      <c r="C424" s="140" t="str">
        <f>IFERROR(__xludf.DUMMYFUNCTION("""COMPUTED_VALUE"""),"es")</f>
        <v>es</v>
      </c>
      <c r="D424">
        <f>IFERROR(__xludf.DUMMYFUNCTION("""COMPUTED_VALUE"""),3877216.0)</f>
        <v>3877216</v>
      </c>
      <c r="E424" t="str">
        <f>IFERROR(__xludf.DUMMYFUNCTION("""COMPUTED_VALUE"""),"Digital y Remoto más fácil y más agradable")</f>
        <v>Digital y Remoto más fácil y más agradable</v>
      </c>
      <c r="F424" t="str">
        <f>IFERROR(__xludf.DUMMYFUNCTION("""COMPUTED_VALUE"""),"Digital and remote easier and more enjoyable")</f>
        <v>Digital and remote easier and more enjoyable</v>
      </c>
      <c r="G424">
        <f>IFERROR(__xludf.DUMMYFUNCTION("""COMPUTED_VALUE"""),4.2832248E7)</f>
        <v>42832248</v>
      </c>
      <c r="H424" t="str">
        <f>IFERROR(__xludf.DUMMYFUNCTION("""COMPUTED_VALUE"""),"Lorena Diaz")</f>
        <v>Lorena Diaz</v>
      </c>
      <c r="I424" t="str">
        <f>IFERROR(__xludf.DUMMYFUNCTION("""COMPUTED_VALUE"""),"Instructor Request- Opted Out")</f>
        <v>Instructor Request- Opted Out</v>
      </c>
      <c r="J424" t="b">
        <f>IFERROR(__xludf.DUMMYFUNCTION("""COMPUTED_VALUE"""),FALSE)</f>
        <v>0</v>
      </c>
      <c r="K424" s="142" t="str">
        <f>IFERROR(__xludf.DUMMYFUNCTION("""COMPUTED_VALUE"""),"Personal Development")</f>
        <v>Personal Development</v>
      </c>
      <c r="L424" s="142" t="str">
        <f>IFERROR(__xludf.DUMMYFUNCTION("""COMPUTED_VALUE"""),"Health &amp; Fitness")</f>
        <v>Health &amp; Fitness</v>
      </c>
      <c r="N424" s="140" t="str">
        <f>IFERROR(__xludf.DUMMYFUNCTION("""COMPUTED_VALUE"""),"")</f>
        <v/>
      </c>
      <c r="P424" s="140" t="str">
        <f>IFERROR(__xludf.DUMMYFUNCTION("""COMPUTED_VALUE"""),"")</f>
        <v/>
      </c>
    </row>
    <row r="425">
      <c r="A425" s="143">
        <f>IFERROR(__xludf.DUMMYFUNCTION("""COMPUTED_VALUE"""),44475.0)</f>
        <v>44475</v>
      </c>
      <c r="B425" s="141">
        <f>IFERROR(__xludf.DUMMYFUNCTION("""COMPUTED_VALUE"""),44681.0)</f>
        <v>44681</v>
      </c>
      <c r="C425" s="140" t="str">
        <f>IFERROR(__xludf.DUMMYFUNCTION("""COMPUTED_VALUE"""),"es")</f>
        <v>es</v>
      </c>
      <c r="D425">
        <f>IFERROR(__xludf.DUMMYFUNCTION("""COMPUTED_VALUE"""),883398.0)</f>
        <v>883398</v>
      </c>
      <c r="E425" t="str">
        <f>IFERROR(__xludf.DUMMYFUNCTION("""COMPUTED_VALUE"""),"Introducción a Oracle APEX 5.0")</f>
        <v>Introducción a Oracle APEX 5.0</v>
      </c>
      <c r="F425" t="str">
        <f>IFERROR(__xludf.DUMMYFUNCTION("""COMPUTED_VALUE"""),"Introduction to Oracle Apex 5.0")</f>
        <v>Introduction to Oracle Apex 5.0</v>
      </c>
      <c r="G425">
        <f>IFERROR(__xludf.DUMMYFUNCTION("""COMPUTED_VALUE"""),664078.0)</f>
        <v>664078</v>
      </c>
      <c r="H425" t="str">
        <f>IFERROR(__xludf.DUMMYFUNCTION("""COMPUTED_VALUE"""),"Clarisa Maman Orfali Kolodoczka")</f>
        <v>Clarisa Maman Orfali Kolodoczka</v>
      </c>
      <c r="I425" t="str">
        <f>IFERROR(__xludf.DUMMYFUNCTION("""COMPUTED_VALUE"""),"Instructor Request- Opted Out")</f>
        <v>Instructor Request- Opted Out</v>
      </c>
      <c r="J425" t="b">
        <f>IFERROR(__xludf.DUMMYFUNCTION("""COMPUTED_VALUE"""),FALSE)</f>
        <v>0</v>
      </c>
      <c r="K425" s="142" t="str">
        <f>IFERROR(__xludf.DUMMYFUNCTION("""COMPUTED_VALUE"""),"Development")</f>
        <v>Development</v>
      </c>
      <c r="L425" s="142" t="str">
        <f>IFERROR(__xludf.DUMMYFUNCTION("""COMPUTED_VALUE"""),"Web Development")</f>
        <v>Web Development</v>
      </c>
      <c r="N425" s="140" t="str">
        <f>IFERROR(__xludf.DUMMYFUNCTION("""COMPUTED_VALUE"""),"")</f>
        <v/>
      </c>
      <c r="P425" s="140" t="str">
        <f>IFERROR(__xludf.DUMMYFUNCTION("""COMPUTED_VALUE"""),"")</f>
        <v/>
      </c>
    </row>
    <row r="426">
      <c r="A426" s="143">
        <f>IFERROR(__xludf.DUMMYFUNCTION("""COMPUTED_VALUE"""),44479.0)</f>
        <v>44479</v>
      </c>
      <c r="B426" s="141">
        <f>IFERROR(__xludf.DUMMYFUNCTION("""COMPUTED_VALUE"""),44681.0)</f>
        <v>44681</v>
      </c>
      <c r="C426" s="140" t="str">
        <f>IFERROR(__xludf.DUMMYFUNCTION("""COMPUTED_VALUE"""),"es")</f>
        <v>es</v>
      </c>
      <c r="D426">
        <f>IFERROR(__xludf.DUMMYFUNCTION("""COMPUTED_VALUE"""),3128814.0)</f>
        <v>3128814</v>
      </c>
      <c r="E426" t="str">
        <f>IFERROR(__xludf.DUMMYFUNCTION("""COMPUTED_VALUE"""),"MARKETING Digital para EMPRENDEDORES | PRINCIPIANTE - 2021")</f>
        <v>MARKETING Digital para EMPRENDEDORES | PRINCIPIANTE - 2021</v>
      </c>
      <c r="F426" t="str">
        <f>IFERROR(__xludf.DUMMYFUNCTION("""COMPUTED_VALUE"""),"Digital Marketing for Entrepreneurs | Beginner - 2021.")</f>
        <v>Digital Marketing for Entrepreneurs | Beginner - 2021.</v>
      </c>
      <c r="G426">
        <f>IFERROR(__xludf.DUMMYFUNCTION("""COMPUTED_VALUE"""),1.1434795E8)</f>
        <v>114347950</v>
      </c>
      <c r="H426" t="str">
        <f>IFERROR(__xludf.DUMMYFUNCTION("""COMPUTED_VALUE"""),"Maria Leticia Ditrani")</f>
        <v>Maria Leticia Ditrani</v>
      </c>
      <c r="I426" t="str">
        <f>IFERROR(__xludf.DUMMYFUNCTION("""COMPUTED_VALUE"""),"Instructor Request- Opted Out")</f>
        <v>Instructor Request- Opted Out</v>
      </c>
      <c r="J426" t="b">
        <f>IFERROR(__xludf.DUMMYFUNCTION("""COMPUTED_VALUE"""),FALSE)</f>
        <v>0</v>
      </c>
      <c r="K426" s="142" t="str">
        <f>IFERROR(__xludf.DUMMYFUNCTION("""COMPUTED_VALUE"""),"Marketing")</f>
        <v>Marketing</v>
      </c>
      <c r="L426" s="142" t="str">
        <f>IFERROR(__xludf.DUMMYFUNCTION("""COMPUTED_VALUE"""),"Digital Marketing")</f>
        <v>Digital Marketing</v>
      </c>
      <c r="M426" s="140">
        <f>IFERROR(__xludf.DUMMYFUNCTION("""COMPUTED_VALUE"""),2217998.0)</f>
        <v>2217998</v>
      </c>
      <c r="N426" s="140" t="str">
        <f>IFERROR(__xludf.DUMMYFUNCTION("""COMPUTED_VALUE"""),"Curso Completo de Marketing Digital - 23 Cursos en 1")</f>
        <v>Curso Completo de Marketing Digital - 23 Cursos en 1</v>
      </c>
      <c r="P426" s="140" t="str">
        <f>IFERROR(__xludf.DUMMYFUNCTION("""COMPUTED_VALUE"""),"")</f>
        <v/>
      </c>
    </row>
    <row r="427">
      <c r="A427" s="143">
        <f>IFERROR(__xludf.DUMMYFUNCTION("""COMPUTED_VALUE"""),44483.0)</f>
        <v>44483</v>
      </c>
      <c r="B427" s="141">
        <f>IFERROR(__xludf.DUMMYFUNCTION("""COMPUTED_VALUE"""),44681.0)</f>
        <v>44681</v>
      </c>
      <c r="C427" s="140" t="str">
        <f>IFERROR(__xludf.DUMMYFUNCTION("""COMPUTED_VALUE"""),"ja")</f>
        <v>ja</v>
      </c>
      <c r="D427">
        <f>IFERROR(__xludf.DUMMYFUNCTION("""COMPUTED_VALUE"""),3543620.0)</f>
        <v>3543620</v>
      </c>
      <c r="E427" t="str">
        <f>IFERROR(__xludf.DUMMYFUNCTION("""COMPUTED_VALUE"""),"【Unityゲーム開発】プログラミングいらずのBoltで本格2Dシューティングゲーム開発講座！")</f>
        <v>【Unityゲーム開発】プログラミングいらずのBoltで本格2Dシューティングゲーム開発講座！</v>
      </c>
      <c r="F427" t="str">
        <f>IFERROR(__xludf.DUMMYFUNCTION("""COMPUTED_VALUE"""),"[UNITY Game Development] Full-scale 2D Shooting Game Development Course with BOLT without programming!")</f>
        <v>[UNITY Game Development] Full-scale 2D Shooting Game Development Course with BOLT without programming!</v>
      </c>
      <c r="G427">
        <f>IFERROR(__xludf.DUMMYFUNCTION("""COMPUTED_VALUE"""),1.08144988E8)</f>
        <v>108144988</v>
      </c>
      <c r="H427" t="str">
        <f>IFERROR(__xludf.DUMMYFUNCTION("""COMPUTED_VALUE"""),"内山 直哉")</f>
        <v>内山 直哉</v>
      </c>
      <c r="I427" t="str">
        <f>IFERROR(__xludf.DUMMYFUNCTION("""COMPUTED_VALUE"""),"Instructor Request- Opted Out")</f>
        <v>Instructor Request- Opted Out</v>
      </c>
      <c r="J427" t="b">
        <f>IFERROR(__xludf.DUMMYFUNCTION("""COMPUTED_VALUE"""),TRUE)</f>
        <v>1</v>
      </c>
      <c r="K427" s="142" t="str">
        <f>IFERROR(__xludf.DUMMYFUNCTION("""COMPUTED_VALUE"""),"Development")</f>
        <v>Development</v>
      </c>
      <c r="L427" s="142" t="str">
        <f>IFERROR(__xludf.DUMMYFUNCTION("""COMPUTED_VALUE"""),"Game Development")</f>
        <v>Game Development</v>
      </c>
      <c r="N427" s="140" t="str">
        <f>IFERROR(__xludf.DUMMYFUNCTION("""COMPUTED_VALUE"""),"")</f>
        <v/>
      </c>
      <c r="P427" s="140" t="str">
        <f>IFERROR(__xludf.DUMMYFUNCTION("""COMPUTED_VALUE"""),"")</f>
        <v/>
      </c>
    </row>
    <row r="428">
      <c r="A428" s="143">
        <f>IFERROR(__xludf.DUMMYFUNCTION("""COMPUTED_VALUE"""),44483.0)</f>
        <v>44483</v>
      </c>
      <c r="B428" s="141">
        <f>IFERROR(__xludf.DUMMYFUNCTION("""COMPUTED_VALUE"""),44681.0)</f>
        <v>44681</v>
      </c>
      <c r="C428" s="140" t="str">
        <f>IFERROR(__xludf.DUMMYFUNCTION("""COMPUTED_VALUE"""),"ja")</f>
        <v>ja</v>
      </c>
      <c r="D428">
        <f>IFERROR(__xludf.DUMMYFUNCTION("""COMPUTED_VALUE"""),3626008.0)</f>
        <v>3626008</v>
      </c>
      <c r="E428" t="str">
        <f>IFERROR(__xludf.DUMMYFUNCTION("""COMPUTED_VALUE"""),"【Unityゲーム開発】初歩から学べる、本格ローグライクゲーム開発講座!!")</f>
        <v>【Unityゲーム開発】初歩から学べる、本格ローグライクゲーム開発講座!!</v>
      </c>
      <c r="F428" t="str">
        <f>IFERROR(__xludf.DUMMYFUNCTION("""COMPUTED_VALUE"""),"[UNITY game development] Learning from a stage, a full-fledged Log Like game development course !!")</f>
        <v>[UNITY game development] Learning from a stage, a full-fledged Log Like game development course !!</v>
      </c>
      <c r="G428">
        <f>IFERROR(__xludf.DUMMYFUNCTION("""COMPUTED_VALUE"""),1.08144988E8)</f>
        <v>108144988</v>
      </c>
      <c r="H428" t="str">
        <f>IFERROR(__xludf.DUMMYFUNCTION("""COMPUTED_VALUE"""),"内山 直哉")</f>
        <v>内山 直哉</v>
      </c>
      <c r="I428" t="str">
        <f>IFERROR(__xludf.DUMMYFUNCTION("""COMPUTED_VALUE"""),"Instructor Request- Opted Out")</f>
        <v>Instructor Request- Opted Out</v>
      </c>
      <c r="J428" t="b">
        <f>IFERROR(__xludf.DUMMYFUNCTION("""COMPUTED_VALUE"""),TRUE)</f>
        <v>1</v>
      </c>
      <c r="K428" s="142" t="str">
        <f>IFERROR(__xludf.DUMMYFUNCTION("""COMPUTED_VALUE"""),"Development")</f>
        <v>Development</v>
      </c>
      <c r="L428" s="142" t="str">
        <f>IFERROR(__xludf.DUMMYFUNCTION("""COMPUTED_VALUE"""),"Game Development")</f>
        <v>Game Development</v>
      </c>
      <c r="N428" s="140" t="str">
        <f>IFERROR(__xludf.DUMMYFUNCTION("""COMPUTED_VALUE"""),"")</f>
        <v/>
      </c>
      <c r="P428" s="140" t="str">
        <f>IFERROR(__xludf.DUMMYFUNCTION("""COMPUTED_VALUE"""),"")</f>
        <v/>
      </c>
    </row>
    <row r="429">
      <c r="A429" s="143">
        <f>IFERROR(__xludf.DUMMYFUNCTION("""COMPUTED_VALUE"""),44484.0)</f>
        <v>44484</v>
      </c>
      <c r="B429" s="141">
        <f>IFERROR(__xludf.DUMMYFUNCTION("""COMPUTED_VALUE"""),44681.0)</f>
        <v>44681</v>
      </c>
      <c r="C429" s="140" t="str">
        <f>IFERROR(__xludf.DUMMYFUNCTION("""COMPUTED_VALUE"""),"en")</f>
        <v>en</v>
      </c>
      <c r="D429">
        <f>IFERROR(__xludf.DUMMYFUNCTION("""COMPUTED_VALUE"""),1837118.0)</f>
        <v>1837118</v>
      </c>
      <c r="E429" t="str">
        <f>IFERROR(__xludf.DUMMYFUNCTION("""COMPUTED_VALUE"""),"Microsoft MTA Operating System Fundamental 98-349: Test Prep
")</f>
        <v>Microsoft MTA Operating System Fundamental 98-349: Test Prep
</v>
      </c>
      <c r="F429" t="str">
        <f>IFERROR(__xludf.DUMMYFUNCTION("""COMPUTED_VALUE"""),"Microsoft MTA Operating System Fundamental 98-349: Test Prep
")</f>
        <v>Microsoft MTA Operating System Fundamental 98-349: Test Prep
</v>
      </c>
      <c r="G429">
        <f>IFERROR(__xludf.DUMMYFUNCTION("""COMPUTED_VALUE"""),1837118.0)</f>
        <v>1837118</v>
      </c>
      <c r="H429" t="str">
        <f>IFERROR(__xludf.DUMMYFUNCTION("""COMPUTED_VALUE"""),"MASTER I.T. Professional")</f>
        <v>MASTER I.T. Professional</v>
      </c>
      <c r="I429" t="str">
        <f>IFERROR(__xludf.DUMMYFUNCTION("""COMPUTED_VALUE"""),"Instructor Request- Opted Out")</f>
        <v>Instructor Request- Opted Out</v>
      </c>
      <c r="J429" t="b">
        <f>IFERROR(__xludf.DUMMYFUNCTION("""COMPUTED_VALUE"""),FALSE)</f>
        <v>0</v>
      </c>
      <c r="K429" s="142" t="str">
        <f>IFERROR(__xludf.DUMMYFUNCTION("""COMPUTED_VALUE"""),"IT Operations")</f>
        <v>IT Operations</v>
      </c>
      <c r="L429" s="142" t="str">
        <f>IFERROR(__xludf.DUMMYFUNCTION("""COMPUTED_VALUE"""),"IT Certifications")</f>
        <v>IT Certifications</v>
      </c>
      <c r="N429" s="140" t="str">
        <f>IFERROR(__xludf.DUMMYFUNCTION("""COMPUTED_VALUE"""),"")</f>
        <v/>
      </c>
      <c r="P429" s="140" t="str">
        <f>IFERROR(__xludf.DUMMYFUNCTION("""COMPUTED_VALUE"""),"")</f>
        <v/>
      </c>
    </row>
    <row r="430">
      <c r="A430" s="143">
        <f>IFERROR(__xludf.DUMMYFUNCTION("""COMPUTED_VALUE"""),44516.0)</f>
        <v>44516</v>
      </c>
      <c r="B430" s="143">
        <f>IFERROR(__xludf.DUMMYFUNCTION("""COMPUTED_VALUE"""),44681.0)</f>
        <v>44681</v>
      </c>
      <c r="C430" s="140" t="str">
        <f>IFERROR(__xludf.DUMMYFUNCTION("""COMPUTED_VALUE"""),"tr")</f>
        <v>tr</v>
      </c>
      <c r="D430">
        <f>IFERROR(__xludf.DUMMYFUNCTION("""COMPUTED_VALUE"""),3043952.0)</f>
        <v>3043952</v>
      </c>
      <c r="E430" t="str">
        <f>IFERROR(__xludf.DUMMYFUNCTION("""COMPUTED_VALUE"""),"Sıfırdan İleri Seviyeye İngilizce Kursu ve Konuşma Eğitimi")</f>
        <v>Sıfırdan İleri Seviyeye İngilizce Kursu ve Konuşma Eğitimi</v>
      </c>
      <c r="F430" t="str">
        <f>IFERROR(__xludf.DUMMYFUNCTION("""COMPUTED_VALUE"""),"English course and speech training to advanced level from zero")</f>
        <v>English course and speech training to advanced level from zero</v>
      </c>
      <c r="G430">
        <f>IFERROR(__xludf.DUMMYFUNCTION("""COMPUTED_VALUE"""),7.3997018E7)</f>
        <v>73997018</v>
      </c>
      <c r="H430" t="str">
        <f>IFERROR(__xludf.DUMMYFUNCTION("""COMPUTED_VALUE"""),"Umut Can Gürsoy")</f>
        <v>Umut Can Gürsoy</v>
      </c>
      <c r="I430" t="str">
        <f>IFERROR(__xludf.DUMMYFUNCTION("""COMPUTED_VALUE"""),"Instructor Request- Opted Out")</f>
        <v>Instructor Request- Opted Out</v>
      </c>
      <c r="J430" t="b">
        <f>IFERROR(__xludf.DUMMYFUNCTION("""COMPUTED_VALUE"""),FALSE)</f>
        <v>0</v>
      </c>
      <c r="K430" s="142" t="str">
        <f>IFERROR(__xludf.DUMMYFUNCTION("""COMPUTED_VALUE"""),"Personal Development")</f>
        <v>Personal Development</v>
      </c>
      <c r="L430" s="142" t="str">
        <f>IFERROR(__xludf.DUMMYFUNCTION("""COMPUTED_VALUE"""),"Language Learning")</f>
        <v>Language Learning</v>
      </c>
      <c r="M430" s="140">
        <f>IFERROR(__xludf.DUMMYFUNCTION("""COMPUTED_VALUE"""),2296462.0)</f>
        <v>2296462</v>
      </c>
      <c r="N430" s="140" t="str">
        <f>IFERROR(__xludf.DUMMYFUNCTION("""COMPUTED_VALUE"""),"Sıfırdan Uzmanlığa İngilizce Kampı | 72 saat+ İngilizce!")</f>
        <v>Sıfırdan Uzmanlığa İngilizce Kampı | 72 saat+ İngilizce!</v>
      </c>
      <c r="P430" s="140" t="str">
        <f>IFERROR(__xludf.DUMMYFUNCTION("""COMPUTED_VALUE"""),"")</f>
        <v/>
      </c>
    </row>
    <row r="431">
      <c r="A431" s="143">
        <f>IFERROR(__xludf.DUMMYFUNCTION("""COMPUTED_VALUE"""),44517.0)</f>
        <v>44517</v>
      </c>
      <c r="B431" s="143">
        <f>IFERROR(__xludf.DUMMYFUNCTION("""COMPUTED_VALUE"""),44681.0)</f>
        <v>44681</v>
      </c>
      <c r="C431" s="140" t="str">
        <f>IFERROR(__xludf.DUMMYFUNCTION("""COMPUTED_VALUE"""),"pl")</f>
        <v>pl</v>
      </c>
      <c r="D431">
        <f>IFERROR(__xludf.DUMMYFUNCTION("""COMPUTED_VALUE"""),1588828.0)</f>
        <v>1588828</v>
      </c>
      <c r="E431" t="str">
        <f>IFERROR(__xludf.DUMMYFUNCTION("""COMPUTED_VALUE"""),"Uczenie maszynowe od podstaw z Azure ML Studio (classic)")</f>
        <v>Uczenie maszynowe od podstaw z Azure ML Studio (classic)</v>
      </c>
      <c r="F431" t="str">
        <f>IFERROR(__xludf.DUMMYFUNCTION("""COMPUTED_VALUE"""),"Machine learning from scratch from Azure ML Studio (Classic)")</f>
        <v>Machine learning from scratch from Azure ML Studio (Classic)</v>
      </c>
      <c r="G431">
        <f>IFERROR(__xludf.DUMMYFUNCTION("""COMPUTED_VALUE"""),4.177431E7)</f>
        <v>41774310</v>
      </c>
      <c r="H431" t="str">
        <f>IFERROR(__xludf.DUMMYFUNCTION("""COMPUTED_VALUE"""),"Michal Zylinski")</f>
        <v>Michal Zylinski</v>
      </c>
      <c r="I431" t="str">
        <f>IFERROR(__xludf.DUMMYFUNCTION("""COMPUTED_VALUE"""),"Instructor Request- Opted Out")</f>
        <v>Instructor Request- Opted Out</v>
      </c>
      <c r="J431" t="b">
        <f>IFERROR(__xludf.DUMMYFUNCTION("""COMPUTED_VALUE"""),TRUE)</f>
        <v>1</v>
      </c>
      <c r="K431" s="142" t="str">
        <f>IFERROR(__xludf.DUMMYFUNCTION("""COMPUTED_VALUE"""),"Cloud Computing")</f>
        <v>Cloud Computing</v>
      </c>
      <c r="L431" s="142" t="str">
        <f>IFERROR(__xludf.DUMMYFUNCTION("""COMPUTED_VALUE"""),"Cloud Development")</f>
        <v>Cloud Development</v>
      </c>
      <c r="N431" s="140" t="str">
        <f>IFERROR(__xludf.DUMMYFUNCTION("""COMPUTED_VALUE"""),"")</f>
        <v/>
      </c>
      <c r="P431" s="140" t="str">
        <f>IFERROR(__xludf.DUMMYFUNCTION("""COMPUTED_VALUE"""),"")</f>
        <v/>
      </c>
    </row>
    <row r="432">
      <c r="A432" s="143">
        <f>IFERROR(__xludf.DUMMYFUNCTION("""COMPUTED_VALUE"""),44587.0)</f>
        <v>44587</v>
      </c>
      <c r="B432" s="143">
        <f>IFERROR(__xludf.DUMMYFUNCTION("""COMPUTED_VALUE"""),44681.0)</f>
        <v>44681</v>
      </c>
      <c r="C432" s="140" t="str">
        <f>IFERROR(__xludf.DUMMYFUNCTION("""COMPUTED_VALUE"""),"en")</f>
        <v>en</v>
      </c>
      <c r="D432">
        <f>IFERROR(__xludf.DUMMYFUNCTION("""COMPUTED_VALUE"""),3869200.0)</f>
        <v>3869200</v>
      </c>
      <c r="E432" t="str">
        <f>IFERROR(__xludf.DUMMYFUNCTION("""COMPUTED_VALUE"""),"Odoo Certification Practice Test")</f>
        <v>Odoo Certification Practice Test</v>
      </c>
      <c r="F432" t="str">
        <f>IFERROR(__xludf.DUMMYFUNCTION("""COMPUTED_VALUE"""),"Fear Certification Practice Test")</f>
        <v>Fear Certification Practice Test</v>
      </c>
      <c r="G432">
        <f>IFERROR(__xludf.DUMMYFUNCTION("""COMPUTED_VALUE"""),3.885389E7)</f>
        <v>38853890</v>
      </c>
      <c r="H432" t="str">
        <f>IFERROR(__xludf.DUMMYFUNCTION("""COMPUTED_VALUE"""),"Yossef Elsherif. CMA®")</f>
        <v>Yossef Elsherif. CMA®</v>
      </c>
      <c r="I432" t="str">
        <f>IFERROR(__xludf.DUMMYFUNCTION("""COMPUTED_VALUE"""),"Practice Test Audit")</f>
        <v>Practice Test Audit</v>
      </c>
      <c r="J432" t="b">
        <f>IFERROR(__xludf.DUMMYFUNCTION("""COMPUTED_VALUE"""),FALSE)</f>
        <v>0</v>
      </c>
      <c r="K432" s="142" t="str">
        <f>IFERROR(__xludf.DUMMYFUNCTION("""COMPUTED_VALUE"""),"IT Operations")</f>
        <v>IT Operations</v>
      </c>
      <c r="L432" s="142" t="str">
        <f>IFERROR(__xludf.DUMMYFUNCTION("""COMPUTED_VALUE"""),"IT Certifications")</f>
        <v>IT Certifications</v>
      </c>
      <c r="M432" s="140">
        <f>IFERROR(__xludf.DUMMYFUNCTION("""COMPUTED_VALUE"""),698670.0)</f>
        <v>698670</v>
      </c>
      <c r="N432" s="140" t="str">
        <f>IFERROR(__xludf.DUMMYFUNCTION("""COMPUTED_VALUE"""),"Mastering Odoo Development - Technical Fundamentals")</f>
        <v>Mastering Odoo Development - Technical Fundamentals</v>
      </c>
      <c r="P432" s="140" t="str">
        <f>IFERROR(__xludf.DUMMYFUNCTION("""COMPUTED_VALUE"""),"")</f>
        <v/>
      </c>
    </row>
    <row r="433">
      <c r="A433" s="143">
        <f>IFERROR(__xludf.DUMMYFUNCTION("""COMPUTED_VALUE"""),44587.0)</f>
        <v>44587</v>
      </c>
      <c r="B433" s="143">
        <f>IFERROR(__xludf.DUMMYFUNCTION("""COMPUTED_VALUE"""),44681.0)</f>
        <v>44681</v>
      </c>
      <c r="C433" s="140" t="str">
        <f>IFERROR(__xludf.DUMMYFUNCTION("""COMPUTED_VALUE"""),"en")</f>
        <v>en</v>
      </c>
      <c r="D433">
        <f>IFERROR(__xludf.DUMMYFUNCTION("""COMPUTED_VALUE"""),1528118.0)</f>
        <v>1528118</v>
      </c>
      <c r="E433" t="str">
        <f>IFERROR(__xludf.DUMMYFUNCTION("""COMPUTED_VALUE"""),"CCA 175  Spark  Practice Tests &amp; Cluster Setup- Scala [2020]")</f>
        <v>CCA 175  Spark  Practice Tests &amp; Cluster Setup- Scala [2020]</v>
      </c>
      <c r="F433" t="str">
        <f>IFERROR(__xludf.DUMMYFUNCTION("""COMPUTED_VALUE"""),"CCA 175  Spark  Practice Tests &amp; Cluster Setup- Scala [2020]")</f>
        <v>CCA 175  Spark  Practice Tests &amp; Cluster Setup- Scala [2020]</v>
      </c>
      <c r="G433">
        <f>IFERROR(__xludf.DUMMYFUNCTION("""COMPUTED_VALUE"""),7922068.0)</f>
        <v>7922068</v>
      </c>
      <c r="H433" t="str">
        <f>IFERROR(__xludf.DUMMYFUNCTION("""COMPUTED_VALUE"""),"Navdeep Kaur")</f>
        <v>Navdeep Kaur</v>
      </c>
      <c r="I433" t="str">
        <f>IFERROR(__xludf.DUMMYFUNCTION("""COMPUTED_VALUE"""),"Practice Test Audit")</f>
        <v>Practice Test Audit</v>
      </c>
      <c r="J433" t="b">
        <f>IFERROR(__xludf.DUMMYFUNCTION("""COMPUTED_VALUE"""),FALSE)</f>
        <v>0</v>
      </c>
      <c r="K433" s="142" t="str">
        <f>IFERROR(__xludf.DUMMYFUNCTION("""COMPUTED_VALUE"""),"IT Operations")</f>
        <v>IT Operations</v>
      </c>
      <c r="L433" s="142" t="str">
        <f>IFERROR(__xludf.DUMMYFUNCTION("""COMPUTED_VALUE"""),"IT Certifications")</f>
        <v>IT Certifications</v>
      </c>
      <c r="M433" s="140">
        <f>IFERROR(__xludf.DUMMYFUNCTION("""COMPUTED_VALUE"""),891848.0)</f>
        <v>891848</v>
      </c>
      <c r="N433" s="140" t="str">
        <f>IFERROR(__xludf.DUMMYFUNCTION("""COMPUTED_VALUE"""),"Apache Spark 2 and 3 using Scala (Formerly CCA 175)")</f>
        <v>Apache Spark 2 and 3 using Scala (Formerly CCA 175)</v>
      </c>
      <c r="P433" s="140" t="str">
        <f>IFERROR(__xludf.DUMMYFUNCTION("""COMPUTED_VALUE"""),"")</f>
        <v/>
      </c>
    </row>
    <row r="434">
      <c r="A434" s="143">
        <f>IFERROR(__xludf.DUMMYFUNCTION("""COMPUTED_VALUE"""),44587.0)</f>
        <v>44587</v>
      </c>
      <c r="B434" s="143">
        <f>IFERROR(__xludf.DUMMYFUNCTION("""COMPUTED_VALUE"""),44681.0)</f>
        <v>44681</v>
      </c>
      <c r="C434" s="140" t="str">
        <f>IFERROR(__xludf.DUMMYFUNCTION("""COMPUTED_VALUE"""),"en")</f>
        <v>en</v>
      </c>
      <c r="D434">
        <f>IFERROR(__xludf.DUMMYFUNCTION("""COMPUTED_VALUE"""),3383006.0)</f>
        <v>3383006</v>
      </c>
      <c r="E434" t="str">
        <f>IFERROR(__xludf.DUMMYFUNCTION("""COMPUTED_VALUE"""),"Salesforce Advanced Admin Practice Tests【240 Questions】'2021")</f>
        <v>Salesforce Advanced Admin Practice Tests【240 Questions】'2021</v>
      </c>
      <c r="F434" t="str">
        <f>IFERROR(__xludf.DUMMYFUNCTION("""COMPUTED_VALUE"""),"Salesforce Advanced Admin Practice Tests【240 Questions】'2021")</f>
        <v>Salesforce Advanced Admin Practice Tests【240 Questions】'2021</v>
      </c>
      <c r="G434">
        <f>IFERROR(__xludf.DUMMYFUNCTION("""COMPUTED_VALUE"""),9.867158E7)</f>
        <v>98671580</v>
      </c>
      <c r="H434" t="str">
        <f>IFERROR(__xludf.DUMMYFUNCTION("""COMPUTED_VALUE"""),"Priscilla Hong")</f>
        <v>Priscilla Hong</v>
      </c>
      <c r="I434" t="str">
        <f>IFERROR(__xludf.DUMMYFUNCTION("""COMPUTED_VALUE"""),"Practice Test Audit")</f>
        <v>Practice Test Audit</v>
      </c>
      <c r="J434" t="b">
        <f>IFERROR(__xludf.DUMMYFUNCTION("""COMPUTED_VALUE"""),FALSE)</f>
        <v>0</v>
      </c>
      <c r="K434" s="142" t="str">
        <f>IFERROR(__xludf.DUMMYFUNCTION("""COMPUTED_VALUE"""),"IT Operations")</f>
        <v>IT Operations</v>
      </c>
      <c r="L434" s="142" t="str">
        <f>IFERROR(__xludf.DUMMYFUNCTION("""COMPUTED_VALUE"""),"IT Certifications")</f>
        <v>IT Certifications</v>
      </c>
      <c r="M434" s="140">
        <f>IFERROR(__xludf.DUMMYFUNCTION("""COMPUTED_VALUE"""),1070530.0)</f>
        <v>1070530</v>
      </c>
      <c r="N434" s="140" t="str">
        <f>IFERROR(__xludf.DUMMYFUNCTION("""COMPUTED_VALUE"""),"Salesforce Certified Administrator Training (aka 201) 2021")</f>
        <v>Salesforce Certified Administrator Training (aka 201) 2021</v>
      </c>
      <c r="P434" s="140" t="str">
        <f>IFERROR(__xludf.DUMMYFUNCTION("""COMPUTED_VALUE"""),"")</f>
        <v/>
      </c>
    </row>
    <row r="435">
      <c r="A435" s="143">
        <f>IFERROR(__xludf.DUMMYFUNCTION("""COMPUTED_VALUE"""),44587.0)</f>
        <v>44587</v>
      </c>
      <c r="B435" s="143">
        <f>IFERROR(__xludf.DUMMYFUNCTION("""COMPUTED_VALUE"""),44681.0)</f>
        <v>44681</v>
      </c>
      <c r="C435" s="140" t="str">
        <f>IFERROR(__xludf.DUMMYFUNCTION("""COMPUTED_VALUE"""),"en")</f>
        <v>en</v>
      </c>
      <c r="D435">
        <f>IFERROR(__xludf.DUMMYFUNCTION("""COMPUTED_VALUE"""),3762806.0)</f>
        <v>3762806</v>
      </c>
      <c r="E435" t="str">
        <f>IFERROR(__xludf.DUMMYFUNCTION("""COMPUTED_VALUE"""),"AWS Certified Security Specialty Latest 2021 Practice Tests")</f>
        <v>AWS Certified Security Specialty Latest 2021 Practice Tests</v>
      </c>
      <c r="F435" t="str">
        <f>IFERROR(__xludf.DUMMYFUNCTION("""COMPUTED_VALUE"""),"AWS Certified Security Specialty Latest 2021 Practice Tests")</f>
        <v>AWS Certified Security Specialty Latest 2021 Practice Tests</v>
      </c>
      <c r="G435">
        <f>IFERROR(__xludf.DUMMYFUNCTION("""COMPUTED_VALUE"""),2.1353036E7)</f>
        <v>21353036</v>
      </c>
      <c r="H435" t="str">
        <f>IFERROR(__xludf.DUMMYFUNCTION("""COMPUTED_VALUE"""),"Othmane Koddam")</f>
        <v>Othmane Koddam</v>
      </c>
      <c r="I435" t="str">
        <f>IFERROR(__xludf.DUMMYFUNCTION("""COMPUTED_VALUE"""),"Practice Test Audit")</f>
        <v>Practice Test Audit</v>
      </c>
      <c r="J435" t="b">
        <f>IFERROR(__xludf.DUMMYFUNCTION("""COMPUTED_VALUE"""),FALSE)</f>
        <v>0</v>
      </c>
      <c r="K435" s="142" t="str">
        <f>IFERROR(__xludf.DUMMYFUNCTION("""COMPUTED_VALUE"""),"IT Operations")</f>
        <v>IT Operations</v>
      </c>
      <c r="L435" s="142" t="str">
        <f>IFERROR(__xludf.DUMMYFUNCTION("""COMPUTED_VALUE"""),"IT Certifications")</f>
        <v>IT Certifications</v>
      </c>
      <c r="M435" s="140">
        <f>IFERROR(__xludf.DUMMYFUNCTION("""COMPUTED_VALUE"""),1102458.0)</f>
        <v>1102458</v>
      </c>
      <c r="N435" s="140" t="str">
        <f>IFERROR(__xludf.DUMMYFUNCTION("""COMPUTED_VALUE"""),"AWS Certified Security Specialty 2021")</f>
        <v>AWS Certified Security Specialty 2021</v>
      </c>
      <c r="P435" s="140" t="str">
        <f>IFERROR(__xludf.DUMMYFUNCTION("""COMPUTED_VALUE"""),"")</f>
        <v/>
      </c>
    </row>
    <row r="436">
      <c r="A436" s="143">
        <f>IFERROR(__xludf.DUMMYFUNCTION("""COMPUTED_VALUE"""),44587.0)</f>
        <v>44587</v>
      </c>
      <c r="B436" s="143">
        <f>IFERROR(__xludf.DUMMYFUNCTION("""COMPUTED_VALUE"""),44681.0)</f>
        <v>44681</v>
      </c>
      <c r="C436" s="140" t="str">
        <f>IFERROR(__xludf.DUMMYFUNCTION("""COMPUTED_VALUE"""),"en")</f>
        <v>en</v>
      </c>
      <c r="D436">
        <f>IFERROR(__xludf.DUMMYFUNCTION("""COMPUTED_VALUE"""),2427368.0)</f>
        <v>2427368</v>
      </c>
      <c r="E436" t="str">
        <f>IFERROR(__xludf.DUMMYFUNCTION("""COMPUTED_VALUE"""),"CompTIA IT Fundamentals ITF+ Exam (FC0-U61) : Practice Tests")</f>
        <v>CompTIA IT Fundamentals ITF+ Exam (FC0-U61) : Practice Tests</v>
      </c>
      <c r="F436" t="str">
        <f>IFERROR(__xludf.DUMMYFUNCTION("""COMPUTED_VALUE"""),"CompTIA IT Fundamentals ITF+ Exam (FC0-U61) : Practice Tests")</f>
        <v>CompTIA IT Fundamentals ITF+ Exam (FC0-U61) : Practice Tests</v>
      </c>
      <c r="G436">
        <f>IFERROR(__xludf.DUMMYFUNCTION("""COMPUTED_VALUE"""),5.6989698E7)</f>
        <v>56989698</v>
      </c>
      <c r="H436" t="str">
        <f>IFERROR(__xludf.DUMMYFUNCTION("""COMPUTED_VALUE"""),"Mehul Patel")</f>
        <v>Mehul Patel</v>
      </c>
      <c r="I436" t="str">
        <f>IFERROR(__xludf.DUMMYFUNCTION("""COMPUTED_VALUE"""),"Practice Test Audit")</f>
        <v>Practice Test Audit</v>
      </c>
      <c r="J436" t="b">
        <f>IFERROR(__xludf.DUMMYFUNCTION("""COMPUTED_VALUE"""),FALSE)</f>
        <v>0</v>
      </c>
      <c r="K436" s="142" t="str">
        <f>IFERROR(__xludf.DUMMYFUNCTION("""COMPUTED_VALUE"""),"IT Operations")</f>
        <v>IT Operations</v>
      </c>
      <c r="L436" s="142" t="str">
        <f>IFERROR(__xludf.DUMMYFUNCTION("""COMPUTED_VALUE"""),"IT Certifications")</f>
        <v>IT Certifications</v>
      </c>
      <c r="M436" s="140">
        <f>IFERROR(__xludf.DUMMYFUNCTION("""COMPUTED_VALUE"""),1302896.0)</f>
        <v>1302896</v>
      </c>
      <c r="N436" s="140" t="str">
        <f>IFERROR(__xludf.DUMMYFUNCTION("""COMPUTED_VALUE"""),"TOTAL: CompTIA IT Fundamentals ITF+ (FCO-U61).")</f>
        <v>TOTAL: CompTIA IT Fundamentals ITF+ (FCO-U61).</v>
      </c>
      <c r="P436" s="140" t="str">
        <f>IFERROR(__xludf.DUMMYFUNCTION("""COMPUTED_VALUE"""),"")</f>
        <v/>
      </c>
    </row>
    <row r="437">
      <c r="A437" s="143">
        <f>IFERROR(__xludf.DUMMYFUNCTION("""COMPUTED_VALUE"""),44587.0)</f>
        <v>44587</v>
      </c>
      <c r="B437" s="143">
        <f>IFERROR(__xludf.DUMMYFUNCTION("""COMPUTED_VALUE"""),44681.0)</f>
        <v>44681</v>
      </c>
      <c r="C437" s="140" t="str">
        <f>IFERROR(__xludf.DUMMYFUNCTION("""COMPUTED_VALUE"""),"en")</f>
        <v>en</v>
      </c>
      <c r="D437">
        <f>IFERROR(__xludf.DUMMYFUNCTION("""COMPUTED_VALUE"""),2837620.0)</f>
        <v>2837620</v>
      </c>
      <c r="E437" t="str">
        <f>IFERROR(__xludf.DUMMYFUNCTION("""COMPUTED_VALUE"""),"Practice Exams | Oracle Database SQL 1Z0-071")</f>
        <v>Practice Exams | Oracle Database SQL 1Z0-071</v>
      </c>
      <c r="F437" t="str">
        <f>IFERROR(__xludf.DUMMYFUNCTION("""COMPUTED_VALUE"""),"Practice Exams | Oracle Database SQL 1Z0-071")</f>
        <v>Practice Exams | Oracle Database SQL 1Z0-071</v>
      </c>
      <c r="G437">
        <f>IFERROR(__xludf.DUMMYFUNCTION("""COMPUTED_VALUE"""),5.144189E7)</f>
        <v>51441890</v>
      </c>
      <c r="H437" t="str">
        <f>IFERROR(__xludf.DUMMYFUNCTION("""COMPUTED_VALUE"""),"Wade Henderson")</f>
        <v>Wade Henderson</v>
      </c>
      <c r="I437" t="str">
        <f>IFERROR(__xludf.DUMMYFUNCTION("""COMPUTED_VALUE"""),"Practice Test Audit")</f>
        <v>Practice Test Audit</v>
      </c>
      <c r="J437" t="b">
        <f>IFERROR(__xludf.DUMMYFUNCTION("""COMPUTED_VALUE"""),FALSE)</f>
        <v>0</v>
      </c>
      <c r="K437" s="142" t="str">
        <f>IFERROR(__xludf.DUMMYFUNCTION("""COMPUTED_VALUE"""),"IT Operations")</f>
        <v>IT Operations</v>
      </c>
      <c r="L437" s="142" t="str">
        <f>IFERROR(__xludf.DUMMYFUNCTION("""COMPUTED_VALUE"""),"IT Certifications")</f>
        <v>IT Certifications</v>
      </c>
      <c r="M437" s="140">
        <f>IFERROR(__xludf.DUMMYFUNCTION("""COMPUTED_VALUE"""),1312042.0)</f>
        <v>1312042</v>
      </c>
      <c r="N437" s="140" t="str">
        <f>IFERROR(__xludf.DUMMYFUNCTION("""COMPUTED_VALUE"""),"Oracle Database 12c SQL Certified Associate 1Z0-071")</f>
        <v>Oracle Database 12c SQL Certified Associate 1Z0-071</v>
      </c>
      <c r="P437" s="140" t="str">
        <f>IFERROR(__xludf.DUMMYFUNCTION("""COMPUTED_VALUE"""),"")</f>
        <v/>
      </c>
    </row>
    <row r="438">
      <c r="A438" s="143">
        <f>IFERROR(__xludf.DUMMYFUNCTION("""COMPUTED_VALUE"""),44587.0)</f>
        <v>44587</v>
      </c>
      <c r="B438" s="143">
        <f>IFERROR(__xludf.DUMMYFUNCTION("""COMPUTED_VALUE"""),44681.0)</f>
        <v>44681</v>
      </c>
      <c r="C438" s="140" t="str">
        <f>IFERROR(__xludf.DUMMYFUNCTION("""COMPUTED_VALUE"""),"en")</f>
        <v>en</v>
      </c>
      <c r="D438">
        <f>IFERROR(__xludf.DUMMYFUNCTION("""COMPUTED_VALUE"""),1464072.0)</f>
        <v>1464072</v>
      </c>
      <c r="E438" t="str">
        <f>IFERROR(__xludf.DUMMYFUNCTION("""COMPUTED_VALUE"""),"Java Certification : OCA (1Z0-808) Exam Simulation [2021]")</f>
        <v>Java Certification : OCA (1Z0-808) Exam Simulation [2021]</v>
      </c>
      <c r="F438" t="str">
        <f>IFERROR(__xludf.DUMMYFUNCTION("""COMPUTED_VALUE"""),"Java Certification : OCA (1Z0-808) Exam Simulation [2021]")</f>
        <v>Java Certification : OCA (1Z0-808) Exam Simulation [2021]</v>
      </c>
      <c r="G438">
        <f>IFERROR(__xludf.DUMMYFUNCTION("""COMPUTED_VALUE"""),1.5168548E7)</f>
        <v>15168548</v>
      </c>
      <c r="H438" t="str">
        <f>IFERROR(__xludf.DUMMYFUNCTION("""COMPUTED_VALUE"""),"Udayan Khattry")</f>
        <v>Udayan Khattry</v>
      </c>
      <c r="I438" t="str">
        <f>IFERROR(__xludf.DUMMYFUNCTION("""COMPUTED_VALUE"""),"Practice Test Audit")</f>
        <v>Practice Test Audit</v>
      </c>
      <c r="J438" t="b">
        <f>IFERROR(__xludf.DUMMYFUNCTION("""COMPUTED_VALUE"""),FALSE)</f>
        <v>0</v>
      </c>
      <c r="K438" s="142" t="str">
        <f>IFERROR(__xludf.DUMMYFUNCTION("""COMPUTED_VALUE"""),"IT Operations")</f>
        <v>IT Operations</v>
      </c>
      <c r="L438" s="142" t="str">
        <f>IFERROR(__xludf.DUMMYFUNCTION("""COMPUTED_VALUE"""),"IT Certifications")</f>
        <v>IT Certifications</v>
      </c>
      <c r="M438" s="140">
        <f>IFERROR(__xludf.DUMMYFUNCTION("""COMPUTED_VALUE"""),1326802.0)</f>
        <v>1326802</v>
      </c>
      <c r="N438" s="140" t="str">
        <f>IFERROR(__xludf.DUMMYFUNCTION("""COMPUTED_VALUE"""),"Oracle Java Certification - Pass the Associate 1Z0-808 Exam.")</f>
        <v>Oracle Java Certification - Pass the Associate 1Z0-808 Exam.</v>
      </c>
      <c r="P438" s="140" t="str">
        <f>IFERROR(__xludf.DUMMYFUNCTION("""COMPUTED_VALUE"""),"")</f>
        <v/>
      </c>
    </row>
    <row r="439">
      <c r="A439" s="143">
        <f>IFERROR(__xludf.DUMMYFUNCTION("""COMPUTED_VALUE"""),44587.0)</f>
        <v>44587</v>
      </c>
      <c r="B439" s="143">
        <f>IFERROR(__xludf.DUMMYFUNCTION("""COMPUTED_VALUE"""),44681.0)</f>
        <v>44681</v>
      </c>
      <c r="C439" s="140" t="str">
        <f>IFERROR(__xludf.DUMMYFUNCTION("""COMPUTED_VALUE"""),"en")</f>
        <v>en</v>
      </c>
      <c r="D439">
        <f>IFERROR(__xludf.DUMMYFUNCTION("""COMPUTED_VALUE"""),3344214.0)</f>
        <v>3344214</v>
      </c>
      <c r="E439" t="str">
        <f>IFERROR(__xludf.DUMMYFUNCTION("""COMPUTED_VALUE"""),"ServiceNow Certified System Administrator(CSA) Practice Test")</f>
        <v>ServiceNow Certified System Administrator(CSA) Practice Test</v>
      </c>
      <c r="F439" t="str">
        <f>IFERROR(__xludf.DUMMYFUNCTION("""COMPUTED_VALUE"""),"ServiceNow Certified System Administrator(CSA) Practice Test")</f>
        <v>ServiceNow Certified System Administrator(CSA) Practice Test</v>
      </c>
      <c r="G439">
        <f>IFERROR(__xludf.DUMMYFUNCTION("""COMPUTED_VALUE"""),2.6839042E7)</f>
        <v>26839042</v>
      </c>
      <c r="H439" t="str">
        <f>IFERROR(__xludf.DUMMYFUNCTION("""COMPUTED_VALUE"""),"Sudipto Mukherjee")</f>
        <v>Sudipto Mukherjee</v>
      </c>
      <c r="I439" t="str">
        <f>IFERROR(__xludf.DUMMYFUNCTION("""COMPUTED_VALUE"""),"Practice Test Audit")</f>
        <v>Practice Test Audit</v>
      </c>
      <c r="J439" t="b">
        <f>IFERROR(__xludf.DUMMYFUNCTION("""COMPUTED_VALUE"""),FALSE)</f>
        <v>0</v>
      </c>
      <c r="K439" s="142" t="str">
        <f>IFERROR(__xludf.DUMMYFUNCTION("""COMPUTED_VALUE"""),"IT Operations")</f>
        <v>IT Operations</v>
      </c>
      <c r="L439" s="142" t="str">
        <f>IFERROR(__xludf.DUMMYFUNCTION("""COMPUTED_VALUE"""),"IT Certifications")</f>
        <v>IT Certifications</v>
      </c>
      <c r="M439" s="140">
        <f>IFERROR(__xludf.DUMMYFUNCTION("""COMPUTED_VALUE"""),1480108.0)</f>
        <v>1480108</v>
      </c>
      <c r="N439" s="140" t="str">
        <f>IFERROR(__xludf.DUMMYFUNCTION("""COMPUTED_VALUE"""),"The Complete ServiceNow System Administrator Course")</f>
        <v>The Complete ServiceNow System Administrator Course</v>
      </c>
      <c r="P439" s="140" t="str">
        <f>IFERROR(__xludf.DUMMYFUNCTION("""COMPUTED_VALUE"""),"")</f>
        <v/>
      </c>
    </row>
    <row r="440">
      <c r="A440" s="143">
        <f>IFERROR(__xludf.DUMMYFUNCTION("""COMPUTED_VALUE"""),44587.0)</f>
        <v>44587</v>
      </c>
      <c r="B440" s="143">
        <f>IFERROR(__xludf.DUMMYFUNCTION("""COMPUTED_VALUE"""),44681.0)</f>
        <v>44681</v>
      </c>
      <c r="C440" s="140" t="str">
        <f>IFERROR(__xludf.DUMMYFUNCTION("""COMPUTED_VALUE"""),"en")</f>
        <v>en</v>
      </c>
      <c r="D440">
        <f>IFERROR(__xludf.DUMMYFUNCTION("""COMPUTED_VALUE"""),3733378.0)</f>
        <v>3733378</v>
      </c>
      <c r="E440" t="str">
        <f>IFERROR(__xludf.DUMMYFUNCTION("""COMPUTED_VALUE"""),"CEH v11 312-50: Certified Ethical Hacker Practice Exams. NEW")</f>
        <v>CEH v11 312-50: Certified Ethical Hacker Practice Exams. NEW</v>
      </c>
      <c r="F440" t="str">
        <f>IFERROR(__xludf.DUMMYFUNCTION("""COMPUTED_VALUE"""),"CEH v11 312-50: Certified Ethical Hacker Practice Exams. NEW")</f>
        <v>CEH v11 312-50: Certified Ethical Hacker Practice Exams. NEW</v>
      </c>
      <c r="G440">
        <f>IFERROR(__xludf.DUMMYFUNCTION("""COMPUTED_VALUE"""),1.33833974E8)</f>
        <v>133833974</v>
      </c>
      <c r="H440" t="str">
        <f>IFERROR(__xludf.DUMMYFUNCTION("""COMPUTED_VALUE"""),"Viktor Afimov")</f>
        <v>Viktor Afimov</v>
      </c>
      <c r="I440" t="str">
        <f>IFERROR(__xludf.DUMMYFUNCTION("""COMPUTED_VALUE"""),"Practice Test Audit")</f>
        <v>Practice Test Audit</v>
      </c>
      <c r="J440" t="b">
        <f>IFERROR(__xludf.DUMMYFUNCTION("""COMPUTED_VALUE"""),FALSE)</f>
        <v>0</v>
      </c>
      <c r="K440" s="142" t="str">
        <f>IFERROR(__xludf.DUMMYFUNCTION("""COMPUTED_VALUE"""),"IT Operations")</f>
        <v>IT Operations</v>
      </c>
      <c r="L440" s="142" t="str">
        <f>IFERROR(__xludf.DUMMYFUNCTION("""COMPUTED_VALUE"""),"IT Certifications")</f>
        <v>IT Certifications</v>
      </c>
      <c r="M440" s="140">
        <f>IFERROR(__xludf.DUMMYFUNCTION("""COMPUTED_VALUE"""),1483206.0)</f>
        <v>1483206</v>
      </c>
      <c r="N440" s="140" t="str">
        <f>IFERROR(__xludf.DUMMYFUNCTION("""COMPUTED_VALUE"""),"Certified Ethical Hacker (CEHv11) Exams #UNOFFICIAL#")</f>
        <v>Certified Ethical Hacker (CEHv11) Exams #UNOFFICIAL#</v>
      </c>
      <c r="P440" s="140" t="str">
        <f>IFERROR(__xludf.DUMMYFUNCTION("""COMPUTED_VALUE"""),"")</f>
        <v/>
      </c>
    </row>
    <row r="441">
      <c r="A441" s="143">
        <f>IFERROR(__xludf.DUMMYFUNCTION("""COMPUTED_VALUE"""),44587.0)</f>
        <v>44587</v>
      </c>
      <c r="B441" s="143">
        <f>IFERROR(__xludf.DUMMYFUNCTION("""COMPUTED_VALUE"""),44681.0)</f>
        <v>44681</v>
      </c>
      <c r="C441" s="140" t="str">
        <f>IFERROR(__xludf.DUMMYFUNCTION("""COMPUTED_VALUE"""),"en")</f>
        <v>en</v>
      </c>
      <c r="D441">
        <f>IFERROR(__xludf.DUMMYFUNCTION("""COMPUTED_VALUE"""),3362934.0)</f>
        <v>3362934</v>
      </c>
      <c r="E441" t="str">
        <f>IFERROR(__xludf.DUMMYFUNCTION("""COMPUTED_VALUE"""),"HashiCorp Certified: Terraform Associate Practice Exam 2021")</f>
        <v>HashiCorp Certified: Terraform Associate Practice Exam 2021</v>
      </c>
      <c r="F441" t="str">
        <f>IFERROR(__xludf.DUMMYFUNCTION("""COMPUTED_VALUE"""),"HashiCorp Certified: Terraform Associate Practice Exam 2021")</f>
        <v>HashiCorp Certified: Terraform Associate Practice Exam 2021</v>
      </c>
      <c r="G441">
        <f>IFERROR(__xludf.DUMMYFUNCTION("""COMPUTED_VALUE"""),1.2749661E8)</f>
        <v>127496610</v>
      </c>
      <c r="H441" t="str">
        <f>IFERROR(__xludf.DUMMYFUNCTION("""COMPUTED_VALUE"""),"Quiz Experts")</f>
        <v>Quiz Experts</v>
      </c>
      <c r="I441" t="str">
        <f>IFERROR(__xludf.DUMMYFUNCTION("""COMPUTED_VALUE"""),"Practice Test Audit")</f>
        <v>Practice Test Audit</v>
      </c>
      <c r="J441" t="b">
        <f>IFERROR(__xludf.DUMMYFUNCTION("""COMPUTED_VALUE"""),FALSE)</f>
        <v>0</v>
      </c>
      <c r="K441" s="142" t="str">
        <f>IFERROR(__xludf.DUMMYFUNCTION("""COMPUTED_VALUE"""),"IT Operations")</f>
        <v>IT Operations</v>
      </c>
      <c r="L441" s="142" t="str">
        <f>IFERROR(__xludf.DUMMYFUNCTION("""COMPUTED_VALUE"""),"IT Certifications")</f>
        <v>IT Certifications</v>
      </c>
      <c r="M441" s="140">
        <f>IFERROR(__xludf.DUMMYFUNCTION("""COMPUTED_VALUE"""),1617616.0)</f>
        <v>1617616</v>
      </c>
      <c r="N441" s="140" t="str">
        <f>IFERROR(__xludf.DUMMYFUNCTION("""COMPUTED_VALUE"""),"HashiCorp Certified: Terraform Associate 2021")</f>
        <v>HashiCorp Certified: Terraform Associate 2021</v>
      </c>
      <c r="P441" s="140" t="str">
        <f>IFERROR(__xludf.DUMMYFUNCTION("""COMPUTED_VALUE"""),"")</f>
        <v/>
      </c>
    </row>
    <row r="442">
      <c r="A442" s="143">
        <f>IFERROR(__xludf.DUMMYFUNCTION("""COMPUTED_VALUE"""),44587.0)</f>
        <v>44587</v>
      </c>
      <c r="B442" s="143">
        <f>IFERROR(__xludf.DUMMYFUNCTION("""COMPUTED_VALUE"""),44681.0)</f>
        <v>44681</v>
      </c>
      <c r="C442" s="140" t="str">
        <f>IFERROR(__xludf.DUMMYFUNCTION("""COMPUTED_VALUE"""),"en")</f>
        <v>en</v>
      </c>
      <c r="D442">
        <f>IFERROR(__xludf.DUMMYFUNCTION("""COMPUTED_VALUE"""),2004522.0)</f>
        <v>2004522</v>
      </c>
      <c r="E442" t="str">
        <f>IFERROR(__xludf.DUMMYFUNCTION("""COMPUTED_VALUE"""),"Docker Certified Associate (DCA) Practice Test - Set of 4")</f>
        <v>Docker Certified Associate (DCA) Practice Test - Set of 4</v>
      </c>
      <c r="F442" t="str">
        <f>IFERROR(__xludf.DUMMYFUNCTION("""COMPUTED_VALUE"""),"Docker Certified Associate (DCA) Practice Test - Set of 4")</f>
        <v>Docker Certified Associate (DCA) Practice Test - Set of 4</v>
      </c>
      <c r="G442">
        <f>IFERROR(__xludf.DUMMYFUNCTION("""COMPUTED_VALUE"""),5.287318E7)</f>
        <v>52873180</v>
      </c>
      <c r="H442" t="str">
        <f>IFERROR(__xludf.DUMMYFUNCTION("""COMPUTED_VALUE"""),"Cerulean Canvas")</f>
        <v>Cerulean Canvas</v>
      </c>
      <c r="I442" t="str">
        <f>IFERROR(__xludf.DUMMYFUNCTION("""COMPUTED_VALUE"""),"Practice Test Audit")</f>
        <v>Practice Test Audit</v>
      </c>
      <c r="J442" t="b">
        <f>IFERROR(__xludf.DUMMYFUNCTION("""COMPUTED_VALUE"""),FALSE)</f>
        <v>0</v>
      </c>
      <c r="K442" s="142" t="str">
        <f>IFERROR(__xludf.DUMMYFUNCTION("""COMPUTED_VALUE"""),"IT Operations")</f>
        <v>IT Operations</v>
      </c>
      <c r="L442" s="142" t="str">
        <f>IFERROR(__xludf.DUMMYFUNCTION("""COMPUTED_VALUE"""),"IT Certifications")</f>
        <v>IT Certifications</v>
      </c>
      <c r="M442" s="140">
        <f>IFERROR(__xludf.DUMMYFUNCTION("""COMPUTED_VALUE"""),2074534.0)</f>
        <v>2074534</v>
      </c>
      <c r="N442" s="140" t="str">
        <f>IFERROR(__xludf.DUMMYFUNCTION("""COMPUTED_VALUE"""),"Docker Certified Associate 2021")</f>
        <v>Docker Certified Associate 2021</v>
      </c>
      <c r="P442" s="140" t="str">
        <f>IFERROR(__xludf.DUMMYFUNCTION("""COMPUTED_VALUE"""),"")</f>
        <v/>
      </c>
    </row>
    <row r="443">
      <c r="A443" s="143">
        <f>IFERROR(__xludf.DUMMYFUNCTION("""COMPUTED_VALUE"""),44587.0)</f>
        <v>44587</v>
      </c>
      <c r="B443" s="143">
        <f>IFERROR(__xludf.DUMMYFUNCTION("""COMPUTED_VALUE"""),44681.0)</f>
        <v>44681</v>
      </c>
      <c r="C443" s="140" t="str">
        <f>IFERROR(__xludf.DUMMYFUNCTION("""COMPUTED_VALUE"""),"en")</f>
        <v>en</v>
      </c>
      <c r="D443">
        <f>IFERROR(__xludf.DUMMYFUNCTION("""COMPUTED_VALUE"""),3587862.0)</f>
        <v>3587862</v>
      </c>
      <c r="E443" t="str">
        <f>IFERROR(__xludf.DUMMYFUNCTION("""COMPUTED_VALUE"""),"ITSM Foundation Exam Prep / Practice Tests (updated 2021)")</f>
        <v>ITSM Foundation Exam Prep / Practice Tests (updated 2021)</v>
      </c>
      <c r="F443" t="str">
        <f>IFERROR(__xludf.DUMMYFUNCTION("""COMPUTED_VALUE"""),"ITSM Foundation Exam Prep / Practice Tests (updated 2021)")</f>
        <v>ITSM Foundation Exam Prep / Practice Tests (updated 2021)</v>
      </c>
      <c r="G443">
        <f>IFERROR(__xludf.DUMMYFUNCTION("""COMPUTED_VALUE"""),1.3052765E8)</f>
        <v>130527650</v>
      </c>
      <c r="H443" t="str">
        <f>IFERROR(__xludf.DUMMYFUNCTION("""COMPUTED_VALUE"""),"ITPro Academy")</f>
        <v>ITPro Academy</v>
      </c>
      <c r="I443" t="str">
        <f>IFERROR(__xludf.DUMMYFUNCTION("""COMPUTED_VALUE"""),"Practice Test Audit")</f>
        <v>Practice Test Audit</v>
      </c>
      <c r="J443" t="b">
        <f>IFERROR(__xludf.DUMMYFUNCTION("""COMPUTED_VALUE"""),FALSE)</f>
        <v>0</v>
      </c>
      <c r="K443" s="142" t="str">
        <f>IFERROR(__xludf.DUMMYFUNCTION("""COMPUTED_VALUE"""),"IT Operations")</f>
        <v>IT Operations</v>
      </c>
      <c r="L443" s="142" t="str">
        <f>IFERROR(__xludf.DUMMYFUNCTION("""COMPUTED_VALUE"""),"IT Certifications")</f>
        <v>IT Certifications</v>
      </c>
      <c r="M443" s="140">
        <f>IFERROR(__xludf.DUMMYFUNCTION("""COMPUTED_VALUE"""),2193814.0)</f>
        <v>2193814</v>
      </c>
      <c r="N443" s="140" t="str">
        <f>IFERROR(__xludf.DUMMYFUNCTION("""COMPUTED_VALUE"""),"ITIL 4 Foundation Practice Certification Exams (6 Exams)")</f>
        <v>ITIL 4 Foundation Practice Certification Exams (6 Exams)</v>
      </c>
      <c r="P443" s="140" t="str">
        <f>IFERROR(__xludf.DUMMYFUNCTION("""COMPUTED_VALUE"""),"")</f>
        <v/>
      </c>
    </row>
    <row r="444">
      <c r="A444" s="143">
        <f>IFERROR(__xludf.DUMMYFUNCTION("""COMPUTED_VALUE"""),44587.0)</f>
        <v>44587</v>
      </c>
      <c r="B444" s="143">
        <f>IFERROR(__xludf.DUMMYFUNCTION("""COMPUTED_VALUE"""),44681.0)</f>
        <v>44681</v>
      </c>
      <c r="C444" s="140" t="str">
        <f>IFERROR(__xludf.DUMMYFUNCTION("""COMPUTED_VALUE"""),"en")</f>
        <v>en</v>
      </c>
      <c r="D444">
        <f>IFERROR(__xludf.DUMMYFUNCTION("""COMPUTED_VALUE"""),2991958.0)</f>
        <v>2991958</v>
      </c>
      <c r="E444" t="str">
        <f>IFERROR(__xludf.DUMMYFUNCTION("""COMPUTED_VALUE"""),"AWS Certified Data Analytics Specialty Practice Tests")</f>
        <v>AWS Certified Data Analytics Specialty Practice Tests</v>
      </c>
      <c r="F444" t="str">
        <f>IFERROR(__xludf.DUMMYFUNCTION("""COMPUTED_VALUE"""),"AWS Certified Data Analytics Specialty Practice Tests")</f>
        <v>AWS Certified Data Analytics Specialty Practice Tests</v>
      </c>
      <c r="G444">
        <f>IFERROR(__xludf.DUMMYFUNCTION("""COMPUTED_VALUE"""),1.0588596E8)</f>
        <v>105885960</v>
      </c>
      <c r="H444" t="str">
        <f>IFERROR(__xludf.DUMMYFUNCTION("""COMPUTED_VALUE"""),"Prep Catalyst")</f>
        <v>Prep Catalyst</v>
      </c>
      <c r="I444" t="str">
        <f>IFERROR(__xludf.DUMMYFUNCTION("""COMPUTED_VALUE"""),"Practice Test Audit")</f>
        <v>Practice Test Audit</v>
      </c>
      <c r="J444" t="b">
        <f>IFERROR(__xludf.DUMMYFUNCTION("""COMPUTED_VALUE"""),FALSE)</f>
        <v>0</v>
      </c>
      <c r="K444" s="142" t="str">
        <f>IFERROR(__xludf.DUMMYFUNCTION("""COMPUTED_VALUE"""),"Cloud Computing")</f>
        <v>Cloud Computing</v>
      </c>
      <c r="L444" s="142" t="str">
        <f>IFERROR(__xludf.DUMMYFUNCTION("""COMPUTED_VALUE"""),"Cloud Certification")</f>
        <v>Cloud Certification</v>
      </c>
      <c r="M444" s="140">
        <f>IFERROR(__xludf.DUMMYFUNCTION("""COMPUTED_VALUE"""),2253706.0)</f>
        <v>2253706</v>
      </c>
      <c r="N444" s="140" t="str">
        <f>IFERROR(__xludf.DUMMYFUNCTION("""COMPUTED_VALUE"""),"AWS Certified Data Analytics Specialty 2021 - Hands On!")</f>
        <v>AWS Certified Data Analytics Specialty 2021 - Hands On!</v>
      </c>
      <c r="P444" s="140" t="str">
        <f>IFERROR(__xludf.DUMMYFUNCTION("""COMPUTED_VALUE"""),"")</f>
        <v/>
      </c>
    </row>
    <row r="445">
      <c r="A445" s="143">
        <f>IFERROR(__xludf.DUMMYFUNCTION("""COMPUTED_VALUE"""),44587.0)</f>
        <v>44587</v>
      </c>
      <c r="B445" s="143">
        <f>IFERROR(__xludf.DUMMYFUNCTION("""COMPUTED_VALUE"""),44681.0)</f>
        <v>44681</v>
      </c>
      <c r="C445" s="140" t="str">
        <f>IFERROR(__xludf.DUMMYFUNCTION("""COMPUTED_VALUE"""),"en")</f>
        <v>en</v>
      </c>
      <c r="D445">
        <f>IFERROR(__xludf.DUMMYFUNCTION("""COMPUTED_VALUE"""),3386922.0)</f>
        <v>3386922</v>
      </c>
      <c r="E445" t="str">
        <f>IFERROR(__xludf.DUMMYFUNCTION("""COMPUTED_VALUE"""),"MICROSOFT POWER BI DA-100 EXAM: Advanced 2021 Practice Test")</f>
        <v>MICROSOFT POWER BI DA-100 EXAM: Advanced 2021 Practice Test</v>
      </c>
      <c r="F445" t="str">
        <f>IFERROR(__xludf.DUMMYFUNCTION("""COMPUTED_VALUE"""),"Microsoft Power Bi DA-100 Exam: Advanced 2021 Practice Test")</f>
        <v>Microsoft Power Bi DA-100 Exam: Advanced 2021 Practice Test</v>
      </c>
      <c r="G445">
        <f>IFERROR(__xludf.DUMMYFUNCTION("""COMPUTED_VALUE"""),6.8918116E7)</f>
        <v>68918116</v>
      </c>
      <c r="H445" t="str">
        <f>IFERROR(__xludf.DUMMYFUNCTION("""COMPUTED_VALUE"""),"Mariangela Toscano")</f>
        <v>Mariangela Toscano</v>
      </c>
      <c r="I445" t="str">
        <f>IFERROR(__xludf.DUMMYFUNCTION("""COMPUTED_VALUE"""),"Practice Test Audit")</f>
        <v>Practice Test Audit</v>
      </c>
      <c r="J445" t="b">
        <f>IFERROR(__xludf.DUMMYFUNCTION("""COMPUTED_VALUE"""),FALSE)</f>
        <v>0</v>
      </c>
      <c r="K445" s="142" t="str">
        <f>IFERROR(__xludf.DUMMYFUNCTION("""COMPUTED_VALUE"""),"IT Operations")</f>
        <v>IT Operations</v>
      </c>
      <c r="L445" s="142" t="str">
        <f>IFERROR(__xludf.DUMMYFUNCTION("""COMPUTED_VALUE"""),"IT Certifications")</f>
        <v>IT Certifications</v>
      </c>
      <c r="M445" s="140">
        <f>IFERROR(__xludf.DUMMYFUNCTION("""COMPUTED_VALUE"""),2265622.0)</f>
        <v>2265622</v>
      </c>
      <c r="N445" s="140" t="str">
        <f>IFERROR(__xludf.DUMMYFUNCTION("""COMPUTED_VALUE"""),"DA-100 certification: Analyzing Data with Microsoft Power BI")</f>
        <v>DA-100 certification: Analyzing Data with Microsoft Power BI</v>
      </c>
      <c r="P445" s="140" t="str">
        <f>IFERROR(__xludf.DUMMYFUNCTION("""COMPUTED_VALUE"""),"")</f>
        <v/>
      </c>
    </row>
    <row r="446">
      <c r="A446" s="143">
        <f>IFERROR(__xludf.DUMMYFUNCTION("""COMPUTED_VALUE"""),44587.0)</f>
        <v>44587</v>
      </c>
      <c r="B446" s="143">
        <f>IFERROR(__xludf.DUMMYFUNCTION("""COMPUTED_VALUE"""),44681.0)</f>
        <v>44681</v>
      </c>
      <c r="C446" s="140" t="str">
        <f>IFERROR(__xludf.DUMMYFUNCTION("""COMPUTED_VALUE"""),"en")</f>
        <v>en</v>
      </c>
      <c r="D446">
        <f>IFERROR(__xludf.DUMMYFUNCTION("""COMPUTED_VALUE"""),4163102.0)</f>
        <v>4163102</v>
      </c>
      <c r="E446" t="str">
        <f>IFERROR(__xludf.DUMMYFUNCTION("""COMPUTED_VALUE"""),"MICROSOFT POWER BI DA-100 EXAM Practice Test (Updated SEP21)")</f>
        <v>MICROSOFT POWER BI DA-100 EXAM Practice Test (Updated SEP21)</v>
      </c>
      <c r="F446" t="str">
        <f>IFERROR(__xludf.DUMMYFUNCTION("""COMPUTED_VALUE"""),"MICROSOFT POWER BI DA-100 EXAM Practice Test (Updated SEP21)")</f>
        <v>MICROSOFT POWER BI DA-100 EXAM Practice Test (Updated SEP21)</v>
      </c>
      <c r="G446">
        <f>IFERROR(__xludf.DUMMYFUNCTION("""COMPUTED_VALUE"""),1.65607102E8)</f>
        <v>165607102</v>
      </c>
      <c r="H446" t="str">
        <f>IFERROR(__xludf.DUMMYFUNCTION("""COMPUTED_VALUE"""),"Blitz Learning")</f>
        <v>Blitz Learning</v>
      </c>
      <c r="I446" t="str">
        <f>IFERROR(__xludf.DUMMYFUNCTION("""COMPUTED_VALUE"""),"Practice Test Audit")</f>
        <v>Practice Test Audit</v>
      </c>
      <c r="J446" t="b">
        <f>IFERROR(__xludf.DUMMYFUNCTION("""COMPUTED_VALUE"""),FALSE)</f>
        <v>0</v>
      </c>
      <c r="K446" s="142" t="str">
        <f>IFERROR(__xludf.DUMMYFUNCTION("""COMPUTED_VALUE"""),"IT Operations")</f>
        <v>IT Operations</v>
      </c>
      <c r="L446" s="142" t="str">
        <f>IFERROR(__xludf.DUMMYFUNCTION("""COMPUTED_VALUE"""),"IT Certifications")</f>
        <v>IT Certifications</v>
      </c>
      <c r="M446" s="140">
        <f>IFERROR(__xludf.DUMMYFUNCTION("""COMPUTED_VALUE"""),2265622.0)</f>
        <v>2265622</v>
      </c>
      <c r="N446" s="140" t="str">
        <f>IFERROR(__xludf.DUMMYFUNCTION("""COMPUTED_VALUE"""),"DA-100 certification: Analyzing Data with Microsoft Power BI")</f>
        <v>DA-100 certification: Analyzing Data with Microsoft Power BI</v>
      </c>
      <c r="P446" s="140" t="str">
        <f>IFERROR(__xludf.DUMMYFUNCTION("""COMPUTED_VALUE"""),"")</f>
        <v/>
      </c>
    </row>
    <row r="447">
      <c r="A447" s="143">
        <f>IFERROR(__xludf.DUMMYFUNCTION("""COMPUTED_VALUE"""),44587.0)</f>
        <v>44587</v>
      </c>
      <c r="B447" s="143">
        <f>IFERROR(__xludf.DUMMYFUNCTION("""COMPUTED_VALUE"""),44681.0)</f>
        <v>44681</v>
      </c>
      <c r="C447" s="140" t="str">
        <f>IFERROR(__xludf.DUMMYFUNCTION("""COMPUTED_VALUE"""),"en")</f>
        <v>en</v>
      </c>
      <c r="D447">
        <f>IFERROR(__xludf.DUMMYFUNCTION("""COMPUTED_VALUE"""),4087862.0)</f>
        <v>4087862</v>
      </c>
      <c r="E447" t="str">
        <f>IFERROR(__xludf.DUMMYFUNCTION("""COMPUTED_VALUE"""),"GitLab Certified: CI/CD Specialist Practice Exam 2021")</f>
        <v>GitLab Certified: CI/CD Specialist Practice Exam 2021</v>
      </c>
      <c r="F447" t="str">
        <f>IFERROR(__xludf.DUMMYFUNCTION("""COMPUTED_VALUE"""),"GitLab Certified: CI/CD Specialist Practice Exam 2021")</f>
        <v>GitLab Certified: CI/CD Specialist Practice Exam 2021</v>
      </c>
      <c r="G447">
        <f>IFERROR(__xludf.DUMMYFUNCTION("""COMPUTED_VALUE"""),1.2749661E8)</f>
        <v>127496610</v>
      </c>
      <c r="H447" t="str">
        <f>IFERROR(__xludf.DUMMYFUNCTION("""COMPUTED_VALUE"""),"Quiz Experts")</f>
        <v>Quiz Experts</v>
      </c>
      <c r="I447" t="str">
        <f>IFERROR(__xludf.DUMMYFUNCTION("""COMPUTED_VALUE"""),"Practice Test Audit")</f>
        <v>Practice Test Audit</v>
      </c>
      <c r="J447" t="b">
        <f>IFERROR(__xludf.DUMMYFUNCTION("""COMPUTED_VALUE"""),FALSE)</f>
        <v>0</v>
      </c>
      <c r="K447" s="142" t="str">
        <f>IFERROR(__xludf.DUMMYFUNCTION("""COMPUTED_VALUE"""),"IT Operations")</f>
        <v>IT Operations</v>
      </c>
      <c r="L447" s="142" t="str">
        <f>IFERROR(__xludf.DUMMYFUNCTION("""COMPUTED_VALUE"""),"IT Certifications")</f>
        <v>IT Certifications</v>
      </c>
      <c r="M447" s="140">
        <f>IFERROR(__xludf.DUMMYFUNCTION("""COMPUTED_VALUE"""),2309602.0)</f>
        <v>2309602</v>
      </c>
      <c r="N447" s="140" t="str">
        <f>IFERROR(__xludf.DUMMYFUNCTION("""COMPUTED_VALUE"""),"GitLab CI: Pipelines, CI/CD and DevOps for Beginners")</f>
        <v>GitLab CI: Pipelines, CI/CD and DevOps for Beginners</v>
      </c>
      <c r="P447" s="140" t="str">
        <f>IFERROR(__xludf.DUMMYFUNCTION("""COMPUTED_VALUE"""),"")</f>
        <v/>
      </c>
    </row>
    <row r="448">
      <c r="A448" s="143">
        <f>IFERROR(__xludf.DUMMYFUNCTION("""COMPUTED_VALUE"""),44587.0)</f>
        <v>44587</v>
      </c>
      <c r="B448" s="143">
        <f>IFERROR(__xludf.DUMMYFUNCTION("""COMPUTED_VALUE"""),44681.0)</f>
        <v>44681</v>
      </c>
      <c r="C448" s="140" t="str">
        <f>IFERROR(__xludf.DUMMYFUNCTION("""COMPUTED_VALUE"""),"en")</f>
        <v>en</v>
      </c>
      <c r="D448">
        <f>IFERROR(__xludf.DUMMYFUNCTION("""COMPUTED_VALUE"""),2445140.0)</f>
        <v>2445140</v>
      </c>
      <c r="E448" t="str">
        <f>IFERROR(__xludf.DUMMYFUNCTION("""COMPUTED_VALUE"""),"SAP ABAP for HANA certification preparation test")</f>
        <v>SAP ABAP for HANA certification preparation test</v>
      </c>
      <c r="F448" t="str">
        <f>IFERROR(__xludf.DUMMYFUNCTION("""COMPUTED_VALUE"""),"SAP ABAP for HANA certification preparation test")</f>
        <v>SAP ABAP for HANA certification preparation test</v>
      </c>
      <c r="G448">
        <f>IFERROR(__xludf.DUMMYFUNCTION("""COMPUTED_VALUE"""),3.2587346E7)</f>
        <v>32587346</v>
      </c>
      <c r="H448" t="str">
        <f>IFERROR(__xludf.DUMMYFUNCTION("""COMPUTED_VALUE"""),"Smart Logic Academy")</f>
        <v>Smart Logic Academy</v>
      </c>
      <c r="I448" t="str">
        <f>IFERROR(__xludf.DUMMYFUNCTION("""COMPUTED_VALUE"""),"Practice Test Audit")</f>
        <v>Practice Test Audit</v>
      </c>
      <c r="J448" t="b">
        <f>IFERROR(__xludf.DUMMYFUNCTION("""COMPUTED_VALUE"""),FALSE)</f>
        <v>0</v>
      </c>
      <c r="K448" s="142" t="str">
        <f>IFERROR(__xludf.DUMMYFUNCTION("""COMPUTED_VALUE"""),"IT Operations")</f>
        <v>IT Operations</v>
      </c>
      <c r="L448" s="142" t="str">
        <f>IFERROR(__xludf.DUMMYFUNCTION("""COMPUTED_VALUE"""),"IT Certifications")</f>
        <v>IT Certifications</v>
      </c>
      <c r="M448" s="140">
        <f>IFERROR(__xludf.DUMMYFUNCTION("""COMPUTED_VALUE"""),2381630.0)</f>
        <v>2381630</v>
      </c>
      <c r="N448" s="140" t="str">
        <f>IFERROR(__xludf.DUMMYFUNCTION("""COMPUTED_VALUE"""),"SAP ABAP on HANA Training for Beginners")</f>
        <v>SAP ABAP on HANA Training for Beginners</v>
      </c>
      <c r="P448" s="140" t="str">
        <f>IFERROR(__xludf.DUMMYFUNCTION("""COMPUTED_VALUE"""),"")</f>
        <v/>
      </c>
    </row>
    <row r="449">
      <c r="A449" s="143">
        <f>IFERROR(__xludf.DUMMYFUNCTION("""COMPUTED_VALUE"""),44587.0)</f>
        <v>44587</v>
      </c>
      <c r="B449" s="143">
        <f>IFERROR(__xludf.DUMMYFUNCTION("""COMPUTED_VALUE"""),44681.0)</f>
        <v>44681</v>
      </c>
      <c r="C449" s="140" t="str">
        <f>IFERROR(__xludf.DUMMYFUNCTION("""COMPUTED_VALUE"""),"en")</f>
        <v>en</v>
      </c>
      <c r="D449">
        <f>IFERROR(__xludf.DUMMYFUNCTION("""COMPUTED_VALUE"""),1513982.0)</f>
        <v>1513982</v>
      </c>
      <c r="E449" t="str">
        <f>IFERROR(__xludf.DUMMYFUNCTION("""COMPUTED_VALUE"""),"200-301 Cisco Certified Network Associate - Exam Simulations")</f>
        <v>200-301 Cisco Certified Network Associate - Exam Simulations</v>
      </c>
      <c r="F449" t="str">
        <f>IFERROR(__xludf.DUMMYFUNCTION("""COMPUTED_VALUE"""),"200-301 Cisco Certified Network Associate - Exam Simulations")</f>
        <v>200-301 Cisco Certified Network Associate - Exam Simulations</v>
      </c>
      <c r="G449">
        <f>IFERROR(__xludf.DUMMYFUNCTION("""COMPUTED_VALUE"""),1.8801034E7)</f>
        <v>18801034</v>
      </c>
      <c r="H449" t="str">
        <f>IFERROR(__xludf.DUMMYFUNCTION("""COMPUTED_VALUE"""),"Md. Shahinoor Mannan")</f>
        <v>Md. Shahinoor Mannan</v>
      </c>
      <c r="I449" t="str">
        <f>IFERROR(__xludf.DUMMYFUNCTION("""COMPUTED_VALUE"""),"Practice Test Audit")</f>
        <v>Practice Test Audit</v>
      </c>
      <c r="J449" t="b">
        <f>IFERROR(__xludf.DUMMYFUNCTION("""COMPUTED_VALUE"""),FALSE)</f>
        <v>0</v>
      </c>
      <c r="K449" s="142" t="str">
        <f>IFERROR(__xludf.DUMMYFUNCTION("""COMPUTED_VALUE"""),"IT Operations")</f>
        <v>IT Operations</v>
      </c>
      <c r="L449" s="142" t="str">
        <f>IFERROR(__xludf.DUMMYFUNCTION("""COMPUTED_VALUE"""),"IT Certifications")</f>
        <v>IT Certifications</v>
      </c>
      <c r="M449" s="140">
        <f>IFERROR(__xludf.DUMMYFUNCTION("""COMPUTED_VALUE"""),2397300.0)</f>
        <v>2397300</v>
      </c>
      <c r="N449" s="140" t="str">
        <f>IFERROR(__xludf.DUMMYFUNCTION("""COMPUTED_VALUE"""),"The Complete Guide to Salesforce Pardot Lightning
")</f>
        <v>The Complete Guide to Salesforce Pardot Lightning
</v>
      </c>
      <c r="P449" s="140" t="str">
        <f>IFERROR(__xludf.DUMMYFUNCTION("""COMPUTED_VALUE"""),"")</f>
        <v/>
      </c>
    </row>
    <row r="450">
      <c r="A450" s="143">
        <f>IFERROR(__xludf.DUMMYFUNCTION("""COMPUTED_VALUE"""),44587.0)</f>
        <v>44587</v>
      </c>
      <c r="B450" s="143">
        <f>IFERROR(__xludf.DUMMYFUNCTION("""COMPUTED_VALUE"""),44681.0)</f>
        <v>44681</v>
      </c>
      <c r="C450" s="140" t="str">
        <f>IFERROR(__xludf.DUMMYFUNCTION("""COMPUTED_VALUE"""),"en")</f>
        <v>en</v>
      </c>
      <c r="D450">
        <f>IFERROR(__xludf.DUMMYFUNCTION("""COMPUTED_VALUE"""),3305280.0)</f>
        <v>3305280</v>
      </c>
      <c r="E450" t="str">
        <f>IFERROR(__xludf.DUMMYFUNCTION("""COMPUTED_VALUE"""),"OKTA Certified Professional Practice Test")</f>
        <v>OKTA Certified Professional Practice Test</v>
      </c>
      <c r="F450" t="str">
        <f>IFERROR(__xludf.DUMMYFUNCTION("""COMPUTED_VALUE"""),"OKTA Certified Professional Practice Test")</f>
        <v>OKTA Certified Professional Practice Test</v>
      </c>
      <c r="G450">
        <f>IFERROR(__xludf.DUMMYFUNCTION("""COMPUTED_VALUE"""),1.02210254E8)</f>
        <v>102210254</v>
      </c>
      <c r="H450" t="str">
        <f>IFERROR(__xludf.DUMMYFUNCTION("""COMPUTED_VALUE"""),"Ranga Vinjamuri")</f>
        <v>Ranga Vinjamuri</v>
      </c>
      <c r="I450" t="str">
        <f>IFERROR(__xludf.DUMMYFUNCTION("""COMPUTED_VALUE"""),"Practice Test Audit")</f>
        <v>Practice Test Audit</v>
      </c>
      <c r="J450" t="b">
        <f>IFERROR(__xludf.DUMMYFUNCTION("""COMPUTED_VALUE"""),FALSE)</f>
        <v>0</v>
      </c>
      <c r="K450" s="142" t="str">
        <f>IFERROR(__xludf.DUMMYFUNCTION("""COMPUTED_VALUE"""),"IT Operations")</f>
        <v>IT Operations</v>
      </c>
      <c r="L450" s="142" t="str">
        <f>IFERROR(__xludf.DUMMYFUNCTION("""COMPUTED_VALUE"""),"IT Certifications")</f>
        <v>IT Certifications</v>
      </c>
      <c r="M450" s="140">
        <f>IFERROR(__xludf.DUMMYFUNCTION("""COMPUTED_VALUE"""),2483966.0)</f>
        <v>2483966</v>
      </c>
      <c r="N450" s="140" t="str">
        <f>IFERROR(__xludf.DUMMYFUNCTION("""COMPUTED_VALUE"""),"Getting Started with Okta")</f>
        <v>Getting Started with Okta</v>
      </c>
      <c r="P450" s="140" t="str">
        <f>IFERROR(__xludf.DUMMYFUNCTION("""COMPUTED_VALUE"""),"")</f>
        <v/>
      </c>
    </row>
    <row r="451">
      <c r="A451" s="143">
        <f>IFERROR(__xludf.DUMMYFUNCTION("""COMPUTED_VALUE"""),44587.0)</f>
        <v>44587</v>
      </c>
      <c r="B451" s="143">
        <f>IFERROR(__xludf.DUMMYFUNCTION("""COMPUTED_VALUE"""),44681.0)</f>
        <v>44681</v>
      </c>
      <c r="C451" s="140" t="str">
        <f>IFERROR(__xludf.DUMMYFUNCTION("""COMPUTED_VALUE"""),"en")</f>
        <v>en</v>
      </c>
      <c r="D451">
        <f>IFERROR(__xludf.DUMMYFUNCTION("""COMPUTED_VALUE"""),3091088.0)</f>
        <v>3091088</v>
      </c>
      <c r="E451" t="str">
        <f>IFERROR(__xludf.DUMMYFUNCTION("""COMPUTED_VALUE"""),"Microsoft Azure Certification AZ- 900 Latest Practice Exam")</f>
        <v>Microsoft Azure Certification AZ- 900 Latest Practice Exam</v>
      </c>
      <c r="F451" t="str">
        <f>IFERROR(__xludf.DUMMYFUNCTION("""COMPUTED_VALUE"""),"Microsoft Azure Certification AZ- 900 Latest Practice Exam")</f>
        <v>Microsoft Azure Certification AZ- 900 Latest Practice Exam</v>
      </c>
      <c r="G451">
        <f>IFERROR(__xludf.DUMMYFUNCTION("""COMPUTED_VALUE"""),1.15432148E8)</f>
        <v>115432148</v>
      </c>
      <c r="H451" t="str">
        <f>IFERROR(__xludf.DUMMYFUNCTION("""COMPUTED_VALUE"""),"Evo Tech")</f>
        <v>Evo Tech</v>
      </c>
      <c r="I451" t="str">
        <f>IFERROR(__xludf.DUMMYFUNCTION("""COMPUTED_VALUE"""),"Practice Test Audit")</f>
        <v>Practice Test Audit</v>
      </c>
      <c r="J451" t="b">
        <f>IFERROR(__xludf.DUMMYFUNCTION("""COMPUTED_VALUE"""),FALSE)</f>
        <v>0</v>
      </c>
      <c r="K451" s="142" t="str">
        <f>IFERROR(__xludf.DUMMYFUNCTION("""COMPUTED_VALUE"""),"IT Operations")</f>
        <v>IT Operations</v>
      </c>
      <c r="L451" s="142" t="str">
        <f>IFERROR(__xludf.DUMMYFUNCTION("""COMPUTED_VALUE"""),"IT Certifications")</f>
        <v>IT Certifications</v>
      </c>
      <c r="M451" s="140">
        <f>IFERROR(__xludf.DUMMYFUNCTION("""COMPUTED_VALUE"""),2514204.0)</f>
        <v>2514204</v>
      </c>
      <c r="N451" s="140" t="str">
        <f>IFERROR(__xludf.DUMMYFUNCTION("""COMPUTED_VALUE"""),"AZ-900: Microsoft Azure Fundamentals Original Practice Tests")</f>
        <v>AZ-900: Microsoft Azure Fundamentals Original Practice Tests</v>
      </c>
      <c r="P451" s="140" t="str">
        <f>IFERROR(__xludf.DUMMYFUNCTION("""COMPUTED_VALUE"""),"")</f>
        <v/>
      </c>
    </row>
    <row r="452">
      <c r="A452" s="143">
        <f>IFERROR(__xludf.DUMMYFUNCTION("""COMPUTED_VALUE"""),44587.0)</f>
        <v>44587</v>
      </c>
      <c r="B452" s="143">
        <f>IFERROR(__xludf.DUMMYFUNCTION("""COMPUTED_VALUE"""),44681.0)</f>
        <v>44681</v>
      </c>
      <c r="C452" s="140" t="str">
        <f>IFERROR(__xludf.DUMMYFUNCTION("""COMPUTED_VALUE"""),"en")</f>
        <v>en</v>
      </c>
      <c r="D452">
        <f>IFERROR(__xludf.DUMMYFUNCTION("""COMPUTED_VALUE"""),3337010.0)</f>
        <v>3337010</v>
      </c>
      <c r="E452" t="str">
        <f>IFERROR(__xludf.DUMMYFUNCTION("""COMPUTED_VALUE"""),"Azure AI Fundamentals AI-900 practice exams -Pass guaranteed")</f>
        <v>Azure AI Fundamentals AI-900 practice exams -Pass guaranteed</v>
      </c>
      <c r="F452" t="str">
        <f>IFERROR(__xludf.DUMMYFUNCTION("""COMPUTED_VALUE"""),"Azure AI Fundamentals AI-900 practice exams -Pass guaranteed")</f>
        <v>Azure AI Fundamentals AI-900 practice exams -Pass guaranteed</v>
      </c>
      <c r="G452">
        <f>IFERROR(__xludf.DUMMYFUNCTION("""COMPUTED_VALUE"""),5.592505E7)</f>
        <v>55925050</v>
      </c>
      <c r="H452" t="str">
        <f>IFERROR(__xludf.DUMMYFUNCTION("""COMPUTED_VALUE"""),"Saeed Tasbihsazan")</f>
        <v>Saeed Tasbihsazan</v>
      </c>
      <c r="I452" t="str">
        <f>IFERROR(__xludf.DUMMYFUNCTION("""COMPUTED_VALUE"""),"Practice Test Audit")</f>
        <v>Practice Test Audit</v>
      </c>
      <c r="J452" t="b">
        <f>IFERROR(__xludf.DUMMYFUNCTION("""COMPUTED_VALUE"""),FALSE)</f>
        <v>0</v>
      </c>
      <c r="K452" s="142" t="str">
        <f>IFERROR(__xludf.DUMMYFUNCTION("""COMPUTED_VALUE"""),"IT Operations")</f>
        <v>IT Operations</v>
      </c>
      <c r="L452" s="142" t="str">
        <f>IFERROR(__xludf.DUMMYFUNCTION("""COMPUTED_VALUE"""),"IT Certifications")</f>
        <v>IT Certifications</v>
      </c>
      <c r="M452" s="140">
        <f>IFERROR(__xludf.DUMMYFUNCTION("""COMPUTED_VALUE"""),2514204.0)</f>
        <v>2514204</v>
      </c>
      <c r="N452" s="140" t="str">
        <f>IFERROR(__xludf.DUMMYFUNCTION("""COMPUTED_VALUE"""),"AZ-900: Microsoft Azure Fundamentals Original Practice Tests")</f>
        <v>AZ-900: Microsoft Azure Fundamentals Original Practice Tests</v>
      </c>
      <c r="P452" s="140" t="str">
        <f>IFERROR(__xludf.DUMMYFUNCTION("""COMPUTED_VALUE"""),"")</f>
        <v/>
      </c>
    </row>
    <row r="453">
      <c r="A453" s="143">
        <f>IFERROR(__xludf.DUMMYFUNCTION("""COMPUTED_VALUE"""),44587.0)</f>
        <v>44587</v>
      </c>
      <c r="B453" s="143">
        <f>IFERROR(__xludf.DUMMYFUNCTION("""COMPUTED_VALUE"""),44681.0)</f>
        <v>44681</v>
      </c>
      <c r="C453" s="140" t="str">
        <f>IFERROR(__xludf.DUMMYFUNCTION("""COMPUTED_VALUE"""),"en")</f>
        <v>en</v>
      </c>
      <c r="D453">
        <f>IFERROR(__xludf.DUMMYFUNCTION("""COMPUTED_VALUE"""),4045712.0)</f>
        <v>4045712</v>
      </c>
      <c r="E453" t="str">
        <f>IFERROR(__xludf.DUMMYFUNCTION("""COMPUTED_VALUE"""),"Google Certified Associate Cloud Engineer Practice Tests")</f>
        <v>Google Certified Associate Cloud Engineer Practice Tests</v>
      </c>
      <c r="F453" t="str">
        <f>IFERROR(__xludf.DUMMYFUNCTION("""COMPUTED_VALUE"""),"Google Certified Associate Cloud Engineer Practice Tests")</f>
        <v>Google Certified Associate Cloud Engineer Practice Tests</v>
      </c>
      <c r="G453">
        <f>IFERROR(__xludf.DUMMYFUNCTION("""COMPUTED_VALUE"""),1.50164442E8)</f>
        <v>150164442</v>
      </c>
      <c r="H453" t="str">
        <f>IFERROR(__xludf.DUMMYFUNCTION("""COMPUTED_VALUE"""),"gCloud Learn")</f>
        <v>gCloud Learn</v>
      </c>
      <c r="I453" t="str">
        <f>IFERROR(__xludf.DUMMYFUNCTION("""COMPUTED_VALUE"""),"Practice Test Audit")</f>
        <v>Practice Test Audit</v>
      </c>
      <c r="J453" t="b">
        <f>IFERROR(__xludf.DUMMYFUNCTION("""COMPUTED_VALUE"""),TRUE)</f>
        <v>1</v>
      </c>
      <c r="K453" s="142" t="str">
        <f>IFERROR(__xludf.DUMMYFUNCTION("""COMPUTED_VALUE"""),"IT Operations")</f>
        <v>IT Operations</v>
      </c>
      <c r="L453" s="142" t="str">
        <f>IFERROR(__xludf.DUMMYFUNCTION("""COMPUTED_VALUE"""),"IT Certifications")</f>
        <v>IT Certifications</v>
      </c>
      <c r="M453" s="140">
        <f>IFERROR(__xludf.DUMMYFUNCTION("""COMPUTED_VALUE"""),2543649.0)</f>
        <v>2543649</v>
      </c>
      <c r="N453" s="140" t="str">
        <f>IFERROR(__xludf.DUMMYFUNCTION("""COMPUTED_VALUE"""),"Google Associate Cloud Engineer: Get Certified 2021")</f>
        <v>Google Associate Cloud Engineer: Get Certified 2021</v>
      </c>
      <c r="P453" s="140" t="str">
        <f>IFERROR(__xludf.DUMMYFUNCTION("""COMPUTED_VALUE"""),"")</f>
        <v/>
      </c>
    </row>
    <row r="454">
      <c r="A454" s="143">
        <f>IFERROR(__xludf.DUMMYFUNCTION("""COMPUTED_VALUE"""),44587.0)</f>
        <v>44587</v>
      </c>
      <c r="B454" s="143">
        <f>IFERROR(__xludf.DUMMYFUNCTION("""COMPUTED_VALUE"""),44681.0)</f>
        <v>44681</v>
      </c>
      <c r="C454" s="140" t="str">
        <f>IFERROR(__xludf.DUMMYFUNCTION("""COMPUTED_VALUE"""),"en")</f>
        <v>en</v>
      </c>
      <c r="D454">
        <f>IFERROR(__xludf.DUMMYFUNCTION("""COMPUTED_VALUE"""),2674140.0)</f>
        <v>2674140</v>
      </c>
      <c r="E454" t="str">
        <f>IFERROR(__xludf.DUMMYFUNCTION("""COMPUTED_VALUE"""),"AWS Certified Machine Learning Specialty: 3 PRACTICE EXAMS")</f>
        <v>AWS Certified Machine Learning Specialty: 3 PRACTICE EXAMS</v>
      </c>
      <c r="F454" t="str">
        <f>IFERROR(__xludf.DUMMYFUNCTION("""COMPUTED_VALUE"""),"AWS Certified Machine Learning Specialty: 3 PRACTICE EXAMS")</f>
        <v>AWS Certified Machine Learning Specialty: 3 PRACTICE EXAMS</v>
      </c>
      <c r="G454">
        <f>IFERROR(__xludf.DUMMYFUNCTION("""COMPUTED_VALUE"""),9.3542204E7)</f>
        <v>93542204</v>
      </c>
      <c r="H454" t="str">
        <f>IFERROR(__xludf.DUMMYFUNCTION("""COMPUTED_VALUE"""),"ZenOf.AI Team")</f>
        <v>ZenOf.AI Team</v>
      </c>
      <c r="I454" t="str">
        <f>IFERROR(__xludf.DUMMYFUNCTION("""COMPUTED_VALUE"""),"Practice Test Audit")</f>
        <v>Practice Test Audit</v>
      </c>
      <c r="J454" t="b">
        <f>IFERROR(__xludf.DUMMYFUNCTION("""COMPUTED_VALUE"""),FALSE)</f>
        <v>0</v>
      </c>
      <c r="K454" s="142" t="str">
        <f>IFERROR(__xludf.DUMMYFUNCTION("""COMPUTED_VALUE"""),"Cloud Computing")</f>
        <v>Cloud Computing</v>
      </c>
      <c r="L454" s="142" t="str">
        <f>IFERROR(__xludf.DUMMYFUNCTION("""COMPUTED_VALUE"""),"Cloud Certification")</f>
        <v>Cloud Certification</v>
      </c>
      <c r="M454" s="140">
        <f>IFERROR(__xludf.DUMMYFUNCTION("""COMPUTED_VALUE"""),2558142.0)</f>
        <v>2558142</v>
      </c>
      <c r="N454" s="140" t="str">
        <f>IFERROR(__xludf.DUMMYFUNCTION("""COMPUTED_VALUE"""),"AWS Certified Machine Learning Specialty Full Practice Exam")</f>
        <v>AWS Certified Machine Learning Specialty Full Practice Exam</v>
      </c>
      <c r="P454" s="140" t="str">
        <f>IFERROR(__xludf.DUMMYFUNCTION("""COMPUTED_VALUE"""),"")</f>
        <v/>
      </c>
    </row>
    <row r="455">
      <c r="A455" s="143">
        <f>IFERROR(__xludf.DUMMYFUNCTION("""COMPUTED_VALUE"""),44587.0)</f>
        <v>44587</v>
      </c>
      <c r="B455" s="143">
        <f>IFERROR(__xludf.DUMMYFUNCTION("""COMPUTED_VALUE"""),44681.0)</f>
        <v>44681</v>
      </c>
      <c r="C455" s="140" t="str">
        <f>IFERROR(__xludf.DUMMYFUNCTION("""COMPUTED_VALUE"""),"en")</f>
        <v>en</v>
      </c>
      <c r="D455">
        <f>IFERROR(__xludf.DUMMYFUNCTION("""COMPUTED_VALUE"""),2402126.0)</f>
        <v>2402126</v>
      </c>
      <c r="E455" t="str">
        <f>IFERROR(__xludf.DUMMYFUNCTION("""COMPUTED_VALUE"""),"(ISC)² Certified Cloud Security Professional (CCSP) Practice")</f>
        <v>(ISC)² Certified Cloud Security Professional (CCSP) Practice</v>
      </c>
      <c r="F455" t="str">
        <f>IFERROR(__xludf.DUMMYFUNCTION("""COMPUTED_VALUE"""),"(ISC)² Certified Cloud Security Professional (CCSP) Practice")</f>
        <v>(ISC)² Certified Cloud Security Professional (CCSP) Practice</v>
      </c>
      <c r="G455">
        <f>IFERROR(__xludf.DUMMYFUNCTION("""COMPUTED_VALUE"""),3.1721814E7)</f>
        <v>31721814</v>
      </c>
      <c r="H455" t="str">
        <f>IFERROR(__xludf.DUMMYFUNCTION("""COMPUTED_VALUE"""),"Aris Athanasiou, CISSP, CCSP")</f>
        <v>Aris Athanasiou, CISSP, CCSP</v>
      </c>
      <c r="I455" t="str">
        <f>IFERROR(__xludf.DUMMYFUNCTION("""COMPUTED_VALUE"""),"Practice Test Audit")</f>
        <v>Practice Test Audit</v>
      </c>
      <c r="J455" t="b">
        <f>IFERROR(__xludf.DUMMYFUNCTION("""COMPUTED_VALUE"""),FALSE)</f>
        <v>0</v>
      </c>
      <c r="K455" s="142" t="str">
        <f>IFERROR(__xludf.DUMMYFUNCTION("""COMPUTED_VALUE"""),"IT Operations")</f>
        <v>IT Operations</v>
      </c>
      <c r="L455" s="142" t="str">
        <f>IFERROR(__xludf.DUMMYFUNCTION("""COMPUTED_VALUE"""),"IT Certifications")</f>
        <v>IT Certifications</v>
      </c>
      <c r="M455" s="140">
        <f>IFERROR(__xludf.DUMMYFUNCTION("""COMPUTED_VALUE"""),2585454.0)</f>
        <v>2585454</v>
      </c>
      <c r="N455" s="140" t="str">
        <f>IFERROR(__xludf.DUMMYFUNCTION("""COMPUTED_VALUE"""),"Certified Cloud Security Professional (CCSP)")</f>
        <v>Certified Cloud Security Professional (CCSP)</v>
      </c>
      <c r="P455" s="140" t="str">
        <f>IFERROR(__xludf.DUMMYFUNCTION("""COMPUTED_VALUE"""),"")</f>
        <v/>
      </c>
    </row>
    <row r="456">
      <c r="A456" s="143">
        <f>IFERROR(__xludf.DUMMYFUNCTION("""COMPUTED_VALUE"""),44587.0)</f>
        <v>44587</v>
      </c>
      <c r="B456" s="143">
        <f>IFERROR(__xludf.DUMMYFUNCTION("""COMPUTED_VALUE"""),44681.0)</f>
        <v>44681</v>
      </c>
      <c r="C456" s="140" t="str">
        <f>IFERROR(__xludf.DUMMYFUNCTION("""COMPUTED_VALUE"""),"en")</f>
        <v>en</v>
      </c>
      <c r="D456">
        <f>IFERROR(__xludf.DUMMYFUNCTION("""COMPUTED_VALUE"""),1870670.0)</f>
        <v>1870670</v>
      </c>
      <c r="E456" t="str">
        <f>IFERROR(__xludf.DUMMYFUNCTION("""COMPUTED_VALUE"""),"AWS Certified Solutions Architect Associate (SAA-C01) Prep")</f>
        <v>AWS Certified Solutions Architect Associate (SAA-C01) Prep</v>
      </c>
      <c r="F456" t="str">
        <f>IFERROR(__xludf.DUMMYFUNCTION("""COMPUTED_VALUE"""),"AWS Certified Solutions Architect Associate (SAA-C01) Prep")</f>
        <v>AWS Certified Solutions Architect Associate (SAA-C01) Prep</v>
      </c>
      <c r="G456">
        <f>IFERROR(__xludf.DUMMYFUNCTION("""COMPUTED_VALUE"""),4.1151108E7)</f>
        <v>41151108</v>
      </c>
      <c r="H456" t="str">
        <f>IFERROR(__xludf.DUMMYFUNCTION("""COMPUTED_VALUE"""),"Whizlabs Learning Center")</f>
        <v>Whizlabs Learning Center</v>
      </c>
      <c r="I456" t="str">
        <f>IFERROR(__xludf.DUMMYFUNCTION("""COMPUTED_VALUE"""),"Practice Test Audit")</f>
        <v>Practice Test Audit</v>
      </c>
      <c r="J456" t="b">
        <f>IFERROR(__xludf.DUMMYFUNCTION("""COMPUTED_VALUE"""),FALSE)</f>
        <v>0</v>
      </c>
      <c r="K456" s="142" t="str">
        <f>IFERROR(__xludf.DUMMYFUNCTION("""COMPUTED_VALUE"""),"IT Operations")</f>
        <v>IT Operations</v>
      </c>
      <c r="L456" s="142" t="str">
        <f>IFERROR(__xludf.DUMMYFUNCTION("""COMPUTED_VALUE"""),"IT Certifications")</f>
        <v>IT Certifications</v>
      </c>
      <c r="M456" s="140">
        <f>IFERROR(__xludf.DUMMYFUNCTION("""COMPUTED_VALUE"""),2597160.0)</f>
        <v>2597160</v>
      </c>
      <c r="N456" s="140" t="str">
        <f>IFERROR(__xludf.DUMMYFUNCTION("""COMPUTED_VALUE"""),"Practice Exams | AWS Certified Solutions Architect Associate")</f>
        <v>Practice Exams | AWS Certified Solutions Architect Associate</v>
      </c>
      <c r="P456" s="140" t="str">
        <f>IFERROR(__xludf.DUMMYFUNCTION("""COMPUTED_VALUE"""),"")</f>
        <v/>
      </c>
    </row>
    <row r="457">
      <c r="A457" s="143">
        <f>IFERROR(__xludf.DUMMYFUNCTION("""COMPUTED_VALUE"""),44587.0)</f>
        <v>44587</v>
      </c>
      <c r="B457" s="143">
        <f>IFERROR(__xludf.DUMMYFUNCTION("""COMPUTED_VALUE"""),44681.0)</f>
        <v>44681</v>
      </c>
      <c r="C457" s="140" t="str">
        <f>IFERROR(__xludf.DUMMYFUNCTION("""COMPUTED_VALUE"""),"en")</f>
        <v>en</v>
      </c>
      <c r="D457">
        <f>IFERROR(__xludf.DUMMYFUNCTION("""COMPUTED_VALUE"""),3871572.0)</f>
        <v>3871572</v>
      </c>
      <c r="E457" t="str">
        <f>IFERROR(__xludf.DUMMYFUNCTION("""COMPUTED_VALUE"""),"AWS Certified solution architect associate high level test")</f>
        <v>AWS Certified solution architect associate high level test</v>
      </c>
      <c r="F457" t="str">
        <f>IFERROR(__xludf.DUMMYFUNCTION("""COMPUTED_VALUE"""),"AWS Certified solution architect associate high level test")</f>
        <v>AWS Certified solution architect associate high level test</v>
      </c>
      <c r="G457">
        <f>IFERROR(__xludf.DUMMYFUNCTION("""COMPUTED_VALUE"""),1.0408017E8)</f>
        <v>104080170</v>
      </c>
      <c r="H457" t="str">
        <f>IFERROR(__xludf.DUMMYFUNCTION("""COMPUTED_VALUE"""),"Shingo Shibata / AWS certified solutions architect, AWS certified cloud practitioner, AZ-900")</f>
        <v>Shingo Shibata / AWS certified solutions architect, AWS certified cloud practitioner, AZ-900</v>
      </c>
      <c r="I457" t="str">
        <f>IFERROR(__xludf.DUMMYFUNCTION("""COMPUTED_VALUE"""),"Practice Test Audit")</f>
        <v>Practice Test Audit</v>
      </c>
      <c r="J457" t="b">
        <f>IFERROR(__xludf.DUMMYFUNCTION("""COMPUTED_VALUE"""),FALSE)</f>
        <v>0</v>
      </c>
      <c r="K457" s="142" t="str">
        <f>IFERROR(__xludf.DUMMYFUNCTION("""COMPUTED_VALUE"""),"IT Operations")</f>
        <v>IT Operations</v>
      </c>
      <c r="L457" s="142" t="str">
        <f>IFERROR(__xludf.DUMMYFUNCTION("""COMPUTED_VALUE"""),"IT Certifications")</f>
        <v>IT Certifications</v>
      </c>
      <c r="M457" s="140">
        <f>IFERROR(__xludf.DUMMYFUNCTION("""COMPUTED_VALUE"""),2597160.0)</f>
        <v>2597160</v>
      </c>
      <c r="N457" s="140" t="str">
        <f>IFERROR(__xludf.DUMMYFUNCTION("""COMPUTED_VALUE"""),"Practice Exams | AWS Certified Solutions Architect Associate")</f>
        <v>Practice Exams | AWS Certified Solutions Architect Associate</v>
      </c>
      <c r="P457" s="140" t="str">
        <f>IFERROR(__xludf.DUMMYFUNCTION("""COMPUTED_VALUE"""),"")</f>
        <v/>
      </c>
    </row>
    <row r="458">
      <c r="A458" s="143">
        <f>IFERROR(__xludf.DUMMYFUNCTION("""COMPUTED_VALUE"""),44587.0)</f>
        <v>44587</v>
      </c>
      <c r="B458" s="143">
        <f>IFERROR(__xludf.DUMMYFUNCTION("""COMPUTED_VALUE"""),44681.0)</f>
        <v>44681</v>
      </c>
      <c r="C458" s="140" t="str">
        <f>IFERROR(__xludf.DUMMYFUNCTION("""COMPUTED_VALUE"""),"en")</f>
        <v>en</v>
      </c>
      <c r="D458">
        <f>IFERROR(__xludf.DUMMYFUNCTION("""COMPUTED_VALUE"""),1681106.0)</f>
        <v>1681106</v>
      </c>
      <c r="E458" t="str">
        <f>IFERROR(__xludf.DUMMYFUNCTION("""COMPUTED_VALUE"""),"LPIC-1 Linux Certification Practice Tests | UPDATED VERSION")</f>
        <v>LPIC-1 Linux Certification Practice Tests | UPDATED VERSION</v>
      </c>
      <c r="F458" t="str">
        <f>IFERROR(__xludf.DUMMYFUNCTION("""COMPUTED_VALUE"""),"LPIC-1 Linux Certification Practice Tests | UPDATED VERSION")</f>
        <v>LPIC-1 Linux Certification Practice Tests | UPDATED VERSION</v>
      </c>
      <c r="G458">
        <f>IFERROR(__xludf.DUMMYFUNCTION("""COMPUTED_VALUE"""),1.563139E7)</f>
        <v>15631390</v>
      </c>
      <c r="H458" t="str">
        <f>IFERROR(__xludf.DUMMYFUNCTION("""COMPUTED_VALUE"""),"Ricardo Prudenciato")</f>
        <v>Ricardo Prudenciato</v>
      </c>
      <c r="I458" t="str">
        <f>IFERROR(__xludf.DUMMYFUNCTION("""COMPUTED_VALUE"""),"Practice Test Audit")</f>
        <v>Practice Test Audit</v>
      </c>
      <c r="J458" t="b">
        <f>IFERROR(__xludf.DUMMYFUNCTION("""COMPUTED_VALUE"""),FALSE)</f>
        <v>0</v>
      </c>
      <c r="K458" s="142" t="str">
        <f>IFERROR(__xludf.DUMMYFUNCTION("""COMPUTED_VALUE"""),"IT Operations")</f>
        <v>IT Operations</v>
      </c>
      <c r="L458" s="142" t="str">
        <f>IFERROR(__xludf.DUMMYFUNCTION("""COMPUTED_VALUE"""),"IT Certifications")</f>
        <v>IT Certifications</v>
      </c>
      <c r="M458" s="140">
        <f>IFERROR(__xludf.DUMMYFUNCTION("""COMPUTED_VALUE"""),2622266.0)</f>
        <v>2622266</v>
      </c>
      <c r="N458" s="140" t="str">
        <f>IFERROR(__xludf.DUMMYFUNCTION("""COMPUTED_VALUE"""),"LPI Linux Essentials 010-160 (6 Practice Exams)")</f>
        <v>LPI Linux Essentials 010-160 (6 Practice Exams)</v>
      </c>
      <c r="P458" s="140" t="str">
        <f>IFERROR(__xludf.DUMMYFUNCTION("""COMPUTED_VALUE"""),"")</f>
        <v/>
      </c>
    </row>
    <row r="459">
      <c r="A459" s="143">
        <f>IFERROR(__xludf.DUMMYFUNCTION("""COMPUTED_VALUE"""),44587.0)</f>
        <v>44587</v>
      </c>
      <c r="B459" s="143">
        <f>IFERROR(__xludf.DUMMYFUNCTION("""COMPUTED_VALUE"""),44681.0)</f>
        <v>44681</v>
      </c>
      <c r="C459" s="140" t="str">
        <f>IFERROR(__xludf.DUMMYFUNCTION("""COMPUTED_VALUE"""),"en")</f>
        <v>en</v>
      </c>
      <c r="D459">
        <f>IFERROR(__xludf.DUMMYFUNCTION("""COMPUTED_VALUE"""),3479920.0)</f>
        <v>3479920</v>
      </c>
      <c r="E459" t="str">
        <f>IFERROR(__xludf.DUMMYFUNCTION("""COMPUTED_VALUE"""),"Snowflake Certification - Architect")</f>
        <v>Snowflake Certification - Architect</v>
      </c>
      <c r="F459" t="str">
        <f>IFERROR(__xludf.DUMMYFUNCTION("""COMPUTED_VALUE"""),"Snowflake Certification - Architect")</f>
        <v>Snowflake Certification - Architect</v>
      </c>
      <c r="G459">
        <f>IFERROR(__xludf.DUMMYFUNCTION("""COMPUTED_VALUE"""),4632656.0)</f>
        <v>4632656</v>
      </c>
      <c r="H459" t="str">
        <f>IFERROR(__xludf.DUMMYFUNCTION("""COMPUTED_VALUE"""),"Joyee D")</f>
        <v>Joyee D</v>
      </c>
      <c r="I459" t="str">
        <f>IFERROR(__xludf.DUMMYFUNCTION("""COMPUTED_VALUE"""),"Practice Test Audit")</f>
        <v>Practice Test Audit</v>
      </c>
      <c r="J459" t="b">
        <f>IFERROR(__xludf.DUMMYFUNCTION("""COMPUTED_VALUE"""),FALSE)</f>
        <v>0</v>
      </c>
      <c r="K459" s="142" t="str">
        <f>IFERROR(__xludf.DUMMYFUNCTION("""COMPUTED_VALUE"""),"IT Operations")</f>
        <v>IT Operations</v>
      </c>
      <c r="L459" s="142" t="str">
        <f>IFERROR(__xludf.DUMMYFUNCTION("""COMPUTED_VALUE"""),"IT Certifications")</f>
        <v>IT Certifications</v>
      </c>
      <c r="M459" s="140">
        <f>IFERROR(__xludf.DUMMYFUNCTION("""COMPUTED_VALUE"""),2644586.0)</f>
        <v>2644586</v>
      </c>
      <c r="N459" s="140" t="str">
        <f>IFERROR(__xludf.DUMMYFUNCTION("""COMPUTED_VALUE"""),"Tackling Snowflake Certification - Practice Questions")</f>
        <v>Tackling Snowflake Certification - Practice Questions</v>
      </c>
      <c r="P459" s="140" t="str">
        <f>IFERROR(__xludf.DUMMYFUNCTION("""COMPUTED_VALUE"""),"")</f>
        <v/>
      </c>
    </row>
    <row r="460">
      <c r="A460" s="143">
        <f>IFERROR(__xludf.DUMMYFUNCTION("""COMPUTED_VALUE"""),44587.0)</f>
        <v>44587</v>
      </c>
      <c r="B460" s="143">
        <f>IFERROR(__xludf.DUMMYFUNCTION("""COMPUTED_VALUE"""),44681.0)</f>
        <v>44681</v>
      </c>
      <c r="C460" s="140" t="str">
        <f>IFERROR(__xludf.DUMMYFUNCTION("""COMPUTED_VALUE"""),"en")</f>
        <v>en</v>
      </c>
      <c r="D460">
        <f>IFERROR(__xludf.DUMMYFUNCTION("""COMPUTED_VALUE"""),2464748.0)</f>
        <v>2464748</v>
      </c>
      <c r="E460" t="str">
        <f>IFERROR(__xludf.DUMMYFUNCTION("""COMPUTED_VALUE"""),"Java Certification (1Z0-815) Exam Simulation [2021]")</f>
        <v>Java Certification (1Z0-815) Exam Simulation [2021]</v>
      </c>
      <c r="F460" t="str">
        <f>IFERROR(__xludf.DUMMYFUNCTION("""COMPUTED_VALUE"""),"Java Certification (1Z0-815) Exam Simulation [2021]")</f>
        <v>Java Certification (1Z0-815) Exam Simulation [2021]</v>
      </c>
      <c r="G460">
        <f>IFERROR(__xludf.DUMMYFUNCTION("""COMPUTED_VALUE"""),1.5168548E7)</f>
        <v>15168548</v>
      </c>
      <c r="H460" t="str">
        <f>IFERROR(__xludf.DUMMYFUNCTION("""COMPUTED_VALUE"""),"Udayan Khattry")</f>
        <v>Udayan Khattry</v>
      </c>
      <c r="I460" t="str">
        <f>IFERROR(__xludf.DUMMYFUNCTION("""COMPUTED_VALUE"""),"Practice Test Audit")</f>
        <v>Practice Test Audit</v>
      </c>
      <c r="J460" t="b">
        <f>IFERROR(__xludf.DUMMYFUNCTION("""COMPUTED_VALUE"""),FALSE)</f>
        <v>0</v>
      </c>
      <c r="K460" s="142" t="str">
        <f>IFERROR(__xludf.DUMMYFUNCTION("""COMPUTED_VALUE"""),"IT Operations")</f>
        <v>IT Operations</v>
      </c>
      <c r="L460" s="142" t="str">
        <f>IFERROR(__xludf.DUMMYFUNCTION("""COMPUTED_VALUE"""),"IT Certifications")</f>
        <v>IT Certifications</v>
      </c>
      <c r="M460" s="140">
        <f>IFERROR(__xludf.DUMMYFUNCTION("""COMPUTED_VALUE"""),2649928.0)</f>
        <v>2649928</v>
      </c>
      <c r="N460" s="140" t="str">
        <f>IFERROR(__xludf.DUMMYFUNCTION("""COMPUTED_VALUE"""),"Java SE 11 Developer 1Z0-819 OCP Course - Part 1")</f>
        <v>Java SE 11 Developer 1Z0-819 OCP Course - Part 1</v>
      </c>
      <c r="P460" s="140" t="str">
        <f>IFERROR(__xludf.DUMMYFUNCTION("""COMPUTED_VALUE"""),"")</f>
        <v/>
      </c>
    </row>
    <row r="461">
      <c r="A461" s="143">
        <f>IFERROR(__xludf.DUMMYFUNCTION("""COMPUTED_VALUE"""),44587.0)</f>
        <v>44587</v>
      </c>
      <c r="B461" s="143">
        <f>IFERROR(__xludf.DUMMYFUNCTION("""COMPUTED_VALUE"""),44681.0)</f>
        <v>44681</v>
      </c>
      <c r="C461" s="140" t="str">
        <f>IFERROR(__xludf.DUMMYFUNCTION("""COMPUTED_VALUE"""),"en")</f>
        <v>en</v>
      </c>
      <c r="D461">
        <f>IFERROR(__xludf.DUMMYFUNCTION("""COMPUTED_VALUE"""),2464836.0)</f>
        <v>2464836</v>
      </c>
      <c r="E461" t="str">
        <f>IFERROR(__xludf.DUMMYFUNCTION("""COMPUTED_VALUE"""),"Java Certification (1Z0-815) Topic-wise Tests [2021]")</f>
        <v>Java Certification (1Z0-815) Topic-wise Tests [2021]</v>
      </c>
      <c r="F461" t="str">
        <f>IFERROR(__xludf.DUMMYFUNCTION("""COMPUTED_VALUE"""),"Java Certification (1Z0-815) Topic-wise Tests [2021]")</f>
        <v>Java Certification (1Z0-815) Topic-wise Tests [2021]</v>
      </c>
      <c r="G461">
        <f>IFERROR(__xludf.DUMMYFUNCTION("""COMPUTED_VALUE"""),1.5168548E7)</f>
        <v>15168548</v>
      </c>
      <c r="H461" t="str">
        <f>IFERROR(__xludf.DUMMYFUNCTION("""COMPUTED_VALUE"""),"Udayan Khattry")</f>
        <v>Udayan Khattry</v>
      </c>
      <c r="I461" t="str">
        <f>IFERROR(__xludf.DUMMYFUNCTION("""COMPUTED_VALUE"""),"Practice Test Audit")</f>
        <v>Practice Test Audit</v>
      </c>
      <c r="J461" t="b">
        <f>IFERROR(__xludf.DUMMYFUNCTION("""COMPUTED_VALUE"""),FALSE)</f>
        <v>0</v>
      </c>
      <c r="K461" s="142" t="str">
        <f>IFERROR(__xludf.DUMMYFUNCTION("""COMPUTED_VALUE"""),"IT Operations")</f>
        <v>IT Operations</v>
      </c>
      <c r="L461" s="142" t="str">
        <f>IFERROR(__xludf.DUMMYFUNCTION("""COMPUTED_VALUE"""),"IT Certifications")</f>
        <v>IT Certifications</v>
      </c>
      <c r="M461" s="140">
        <f>IFERROR(__xludf.DUMMYFUNCTION("""COMPUTED_VALUE"""),2649928.0)</f>
        <v>2649928</v>
      </c>
      <c r="N461" s="140" t="str">
        <f>IFERROR(__xludf.DUMMYFUNCTION("""COMPUTED_VALUE"""),"Java SE 11 Developer 1Z0-819 OCP Course - Part 1")</f>
        <v>Java SE 11 Developer 1Z0-819 OCP Course - Part 1</v>
      </c>
      <c r="P461" s="140" t="str">
        <f>IFERROR(__xludf.DUMMYFUNCTION("""COMPUTED_VALUE"""),"")</f>
        <v/>
      </c>
    </row>
    <row r="462">
      <c r="A462" s="143">
        <f>IFERROR(__xludf.DUMMYFUNCTION("""COMPUTED_VALUE"""),44587.0)</f>
        <v>44587</v>
      </c>
      <c r="B462" s="143">
        <f>IFERROR(__xludf.DUMMYFUNCTION("""COMPUTED_VALUE"""),44681.0)</f>
        <v>44681</v>
      </c>
      <c r="C462" s="140" t="str">
        <f>IFERROR(__xludf.DUMMYFUNCTION("""COMPUTED_VALUE"""),"en")</f>
        <v>en</v>
      </c>
      <c r="D462">
        <f>IFERROR(__xludf.DUMMYFUNCTION("""COMPUTED_VALUE"""),3507110.0)</f>
        <v>3507110</v>
      </c>
      <c r="E462" t="str">
        <f>IFERROR(__xludf.DUMMYFUNCTION("""COMPUTED_VALUE"""),"2021 Java SE 11 Certification Exam 1Z0-819  Practice Tests")</f>
        <v>2021 Java SE 11 Certification Exam 1Z0-819  Practice Tests</v>
      </c>
      <c r="F462" t="str">
        <f>IFERROR(__xludf.DUMMYFUNCTION("""COMPUTED_VALUE"""),"2021 Java SE 11 Certification Exam 1Z0-819  Practice Tests")</f>
        <v>2021 Java SE 11 Certification Exam 1Z0-819  Practice Tests</v>
      </c>
      <c r="G462">
        <f>IFERROR(__xludf.DUMMYFUNCTION("""COMPUTED_VALUE"""),3114402.0)</f>
        <v>3114402</v>
      </c>
      <c r="H462" t="str">
        <f>IFERROR(__xludf.DUMMYFUNCTION("""COMPUTED_VALUE"""),"Javarevisited by Javin Paul")</f>
        <v>Javarevisited by Javin Paul</v>
      </c>
      <c r="I462" t="str">
        <f>IFERROR(__xludf.DUMMYFUNCTION("""COMPUTED_VALUE"""),"Practice Test Audit")</f>
        <v>Practice Test Audit</v>
      </c>
      <c r="J462" t="b">
        <f>IFERROR(__xludf.DUMMYFUNCTION("""COMPUTED_VALUE"""),FALSE)</f>
        <v>0</v>
      </c>
      <c r="K462" s="142" t="str">
        <f>IFERROR(__xludf.DUMMYFUNCTION("""COMPUTED_VALUE"""),"IT Operations")</f>
        <v>IT Operations</v>
      </c>
      <c r="L462" s="142" t="str">
        <f>IFERROR(__xludf.DUMMYFUNCTION("""COMPUTED_VALUE"""),"IT Certifications")</f>
        <v>IT Certifications</v>
      </c>
      <c r="M462" s="140">
        <f>IFERROR(__xludf.DUMMYFUNCTION("""COMPUTED_VALUE"""),2649928.0)</f>
        <v>2649928</v>
      </c>
      <c r="N462" s="140" t="str">
        <f>IFERROR(__xludf.DUMMYFUNCTION("""COMPUTED_VALUE"""),"Java SE 11 Developer 1Z0-819 OCP Course - Part 1")</f>
        <v>Java SE 11 Developer 1Z0-819 OCP Course - Part 1</v>
      </c>
      <c r="P462" s="140" t="str">
        <f>IFERROR(__xludf.DUMMYFUNCTION("""COMPUTED_VALUE"""),"")</f>
        <v/>
      </c>
    </row>
    <row r="463">
      <c r="A463" s="143">
        <f>IFERROR(__xludf.DUMMYFUNCTION("""COMPUTED_VALUE"""),44587.0)</f>
        <v>44587</v>
      </c>
      <c r="B463" s="143">
        <f>IFERROR(__xludf.DUMMYFUNCTION("""COMPUTED_VALUE"""),44681.0)</f>
        <v>44681</v>
      </c>
      <c r="C463" s="140" t="str">
        <f>IFERROR(__xludf.DUMMYFUNCTION("""COMPUTED_VALUE"""),"en")</f>
        <v>en</v>
      </c>
      <c r="D463">
        <f>IFERROR(__xludf.DUMMYFUNCTION("""COMPUTED_VALUE"""),3928284.0)</f>
        <v>3928284</v>
      </c>
      <c r="E463" t="str">
        <f>IFERROR(__xludf.DUMMYFUNCTION("""COMPUTED_VALUE"""),"OCP Java SE 11 Developer 1Z0-819 Practice Exams new 2021!")</f>
        <v>OCP Java SE 11 Developer 1Z0-819 Practice Exams new 2021!</v>
      </c>
      <c r="F463" t="str">
        <f>IFERROR(__xludf.DUMMYFUNCTION("""COMPUTED_VALUE"""),"OCP Java SE 11 Developer 1Z0-819 Practice Exams new 2021!")</f>
        <v>OCP Java SE 11 Developer 1Z0-819 Practice Exams new 2021!</v>
      </c>
      <c r="G463">
        <f>IFERROR(__xludf.DUMMYFUNCTION("""COMPUTED_VALUE"""),1.33833974E8)</f>
        <v>133833974</v>
      </c>
      <c r="H463" t="str">
        <f>IFERROR(__xludf.DUMMYFUNCTION("""COMPUTED_VALUE"""),"Viktor Afimov")</f>
        <v>Viktor Afimov</v>
      </c>
      <c r="I463" t="str">
        <f>IFERROR(__xludf.DUMMYFUNCTION("""COMPUTED_VALUE"""),"Practice Test Audit")</f>
        <v>Practice Test Audit</v>
      </c>
      <c r="J463" t="b">
        <f>IFERROR(__xludf.DUMMYFUNCTION("""COMPUTED_VALUE"""),FALSE)</f>
        <v>0</v>
      </c>
      <c r="K463" s="142" t="str">
        <f>IFERROR(__xludf.DUMMYFUNCTION("""COMPUTED_VALUE"""),"IT Operations")</f>
        <v>IT Operations</v>
      </c>
      <c r="L463" s="142" t="str">
        <f>IFERROR(__xludf.DUMMYFUNCTION("""COMPUTED_VALUE"""),"IT Certifications")</f>
        <v>IT Certifications</v>
      </c>
      <c r="M463" s="140">
        <f>IFERROR(__xludf.DUMMYFUNCTION("""COMPUTED_VALUE"""),2649928.0)</f>
        <v>2649928</v>
      </c>
      <c r="N463" s="140" t="str">
        <f>IFERROR(__xludf.DUMMYFUNCTION("""COMPUTED_VALUE"""),"Java SE 11 Developer 1Z0-819 OCP Course - Part 1")</f>
        <v>Java SE 11 Developer 1Z0-819 OCP Course - Part 1</v>
      </c>
      <c r="P463" s="140" t="str">
        <f>IFERROR(__xludf.DUMMYFUNCTION("""COMPUTED_VALUE"""),"")</f>
        <v/>
      </c>
    </row>
    <row r="464">
      <c r="A464" s="143">
        <f>IFERROR(__xludf.DUMMYFUNCTION("""COMPUTED_VALUE"""),44587.0)</f>
        <v>44587</v>
      </c>
      <c r="B464" s="143">
        <f>IFERROR(__xludf.DUMMYFUNCTION("""COMPUTED_VALUE"""),44681.0)</f>
        <v>44681</v>
      </c>
      <c r="C464" s="140" t="str">
        <f>IFERROR(__xludf.DUMMYFUNCTION("""COMPUTED_VALUE"""),"en")</f>
        <v>en</v>
      </c>
      <c r="D464">
        <f>IFERROR(__xludf.DUMMYFUNCTION("""COMPUTED_VALUE"""),2670026.0)</f>
        <v>2670026</v>
      </c>
      <c r="E464" t="str">
        <f>IFERROR(__xludf.DUMMYFUNCTION("""COMPUTED_VALUE"""),"AZ-301/304 Azure Architect Design Practice Test")</f>
        <v>AZ-301/304 Azure Architect Design Practice Test</v>
      </c>
      <c r="F464" t="str">
        <f>IFERROR(__xludf.DUMMYFUNCTION("""COMPUTED_VALUE"""),"AZ-301/304 Azure Architect Design Practice Test")</f>
        <v>AZ-301/304 Azure Architect Design Practice Test</v>
      </c>
      <c r="G464">
        <f>IFERROR(__xludf.DUMMYFUNCTION("""COMPUTED_VALUE"""),4.3001484E7)</f>
        <v>43001484</v>
      </c>
      <c r="H464" t="str">
        <f>IFERROR(__xludf.DUMMYFUNCTION("""COMPUTED_VALUE"""),"Riaan Lowe")</f>
        <v>Riaan Lowe</v>
      </c>
      <c r="I464" t="str">
        <f>IFERROR(__xludf.DUMMYFUNCTION("""COMPUTED_VALUE"""),"Practice Test Audit")</f>
        <v>Practice Test Audit</v>
      </c>
      <c r="J464" t="b">
        <f>IFERROR(__xludf.DUMMYFUNCTION("""COMPUTED_VALUE"""),FALSE)</f>
        <v>0</v>
      </c>
      <c r="K464" s="142" t="str">
        <f>IFERROR(__xludf.DUMMYFUNCTION("""COMPUTED_VALUE"""),"Cloud Computing")</f>
        <v>Cloud Computing</v>
      </c>
      <c r="L464" s="142" t="str">
        <f>IFERROR(__xludf.DUMMYFUNCTION("""COMPUTED_VALUE"""),"Cloud Certification")</f>
        <v>Cloud Certification</v>
      </c>
      <c r="M464" s="140">
        <f>IFERROR(__xludf.DUMMYFUNCTION("""COMPUTED_VALUE"""),2741358.0)</f>
        <v>2741358</v>
      </c>
      <c r="N464" s="140" t="str">
        <f>IFERROR(__xludf.DUMMYFUNCTION("""COMPUTED_VALUE"""),"AZ-304 Microsoft Azure Architect Design Certification 2021")</f>
        <v>AZ-304 Microsoft Azure Architect Design Certification 2021</v>
      </c>
      <c r="P464" s="140" t="str">
        <f>IFERROR(__xludf.DUMMYFUNCTION("""COMPUTED_VALUE"""),"")</f>
        <v/>
      </c>
    </row>
    <row r="465">
      <c r="A465" s="143">
        <f>IFERROR(__xludf.DUMMYFUNCTION("""COMPUTED_VALUE"""),44587.0)</f>
        <v>44587</v>
      </c>
      <c r="B465" s="143">
        <f>IFERROR(__xludf.DUMMYFUNCTION("""COMPUTED_VALUE"""),44681.0)</f>
        <v>44681</v>
      </c>
      <c r="C465" s="140" t="str">
        <f>IFERROR(__xludf.DUMMYFUNCTION("""COMPUTED_VALUE"""),"en")</f>
        <v>en</v>
      </c>
      <c r="D465">
        <f>IFERROR(__xludf.DUMMYFUNCTION("""COMPUTED_VALUE"""),3585240.0)</f>
        <v>3585240</v>
      </c>
      <c r="E465" t="str">
        <f>IFERROR(__xludf.DUMMYFUNCTION("""COMPUTED_VALUE"""),"PCEP Python certification practice test")</f>
        <v>PCEP Python certification practice test</v>
      </c>
      <c r="F465" t="str">
        <f>IFERROR(__xludf.DUMMYFUNCTION("""COMPUTED_VALUE"""),"PCEP Python certification practice test")</f>
        <v>PCEP Python certification practice test</v>
      </c>
      <c r="G465">
        <f>IFERROR(__xludf.DUMMYFUNCTION("""COMPUTED_VALUE"""),5.6757386E7)</f>
        <v>56757386</v>
      </c>
      <c r="H465" t="str">
        <f>IFERROR(__xludf.DUMMYFUNCTION("""COMPUTED_VALUE"""),"Rameel Ahmed")</f>
        <v>Rameel Ahmed</v>
      </c>
      <c r="I465" t="str">
        <f>IFERROR(__xludf.DUMMYFUNCTION("""COMPUTED_VALUE"""),"Practice Test Audit")</f>
        <v>Practice Test Audit</v>
      </c>
      <c r="J465" t="b">
        <f>IFERROR(__xludf.DUMMYFUNCTION("""COMPUTED_VALUE"""),FALSE)</f>
        <v>0</v>
      </c>
      <c r="K465" s="142" t="str">
        <f>IFERROR(__xludf.DUMMYFUNCTION("""COMPUTED_VALUE"""),"IT Operations")</f>
        <v>IT Operations</v>
      </c>
      <c r="L465" s="142" t="str">
        <f>IFERROR(__xludf.DUMMYFUNCTION("""COMPUTED_VALUE"""),"IT Certifications")</f>
        <v>IT Certifications</v>
      </c>
      <c r="M465" s="140">
        <f>IFERROR(__xludf.DUMMYFUNCTION("""COMPUTED_VALUE"""),3044474.0)</f>
        <v>3044474</v>
      </c>
      <c r="N465" s="140" t="str">
        <f>IFERROR(__xludf.DUMMYFUNCTION("""COMPUTED_VALUE"""),"The Complete Python Developer Certification Course")</f>
        <v>The Complete Python Developer Certification Course</v>
      </c>
      <c r="P465" s="140" t="str">
        <f>IFERROR(__xludf.DUMMYFUNCTION("""COMPUTED_VALUE"""),"")</f>
        <v/>
      </c>
    </row>
    <row r="466">
      <c r="A466" s="143">
        <f>IFERROR(__xludf.DUMMYFUNCTION("""COMPUTED_VALUE"""),44587.0)</f>
        <v>44587</v>
      </c>
      <c r="B466" s="143">
        <f>IFERROR(__xludf.DUMMYFUNCTION("""COMPUTED_VALUE"""),44681.0)</f>
        <v>44681</v>
      </c>
      <c r="C466" s="140" t="str">
        <f>IFERROR(__xludf.DUMMYFUNCTION("""COMPUTED_VALUE"""),"en")</f>
        <v>en</v>
      </c>
      <c r="D466">
        <f>IFERROR(__xludf.DUMMYFUNCTION("""COMPUTED_VALUE"""),3681698.0)</f>
        <v>3681698</v>
      </c>
      <c r="E466" t="str">
        <f>IFERROR(__xludf.DUMMYFUNCTION("""COMPUTED_VALUE"""),"5 Practice Tests for PCAP-31-03 Python Certification 2021")</f>
        <v>5 Practice Tests for PCAP-31-03 Python Certification 2021</v>
      </c>
      <c r="F466" t="str">
        <f>IFERROR(__xludf.DUMMYFUNCTION("""COMPUTED_VALUE"""),"5 Practice Tests for PCAP-31-03 Python Certification 2021")</f>
        <v>5 Practice Tests for PCAP-31-03 Python Certification 2021</v>
      </c>
      <c r="G466">
        <f>IFERROR(__xludf.DUMMYFUNCTION("""COMPUTED_VALUE"""),1.43752408E8)</f>
        <v>143752408</v>
      </c>
      <c r="H466" t="str">
        <f>IFERROR(__xludf.DUMMYFUNCTION("""COMPUTED_VALUE"""),"Muhammad Asad Haider")</f>
        <v>Muhammad Asad Haider</v>
      </c>
      <c r="I466" t="str">
        <f>IFERROR(__xludf.DUMMYFUNCTION("""COMPUTED_VALUE"""),"Practice Test Audit")</f>
        <v>Practice Test Audit</v>
      </c>
      <c r="J466" t="b">
        <f>IFERROR(__xludf.DUMMYFUNCTION("""COMPUTED_VALUE"""),FALSE)</f>
        <v>0</v>
      </c>
      <c r="K466" s="142" t="str">
        <f>IFERROR(__xludf.DUMMYFUNCTION("""COMPUTED_VALUE"""),"IT Operations")</f>
        <v>IT Operations</v>
      </c>
      <c r="L466" s="142" t="str">
        <f>IFERROR(__xludf.DUMMYFUNCTION("""COMPUTED_VALUE"""),"IT Certifications")</f>
        <v>IT Certifications</v>
      </c>
      <c r="M466" s="140">
        <f>IFERROR(__xludf.DUMMYFUNCTION("""COMPUTED_VALUE"""),3044474.0)</f>
        <v>3044474</v>
      </c>
      <c r="N466" s="140" t="str">
        <f>IFERROR(__xludf.DUMMYFUNCTION("""COMPUTED_VALUE"""),"The Complete Python Developer Certification Course")</f>
        <v>The Complete Python Developer Certification Course</v>
      </c>
      <c r="P466" s="140" t="str">
        <f>IFERROR(__xludf.DUMMYFUNCTION("""COMPUTED_VALUE"""),"")</f>
        <v/>
      </c>
    </row>
    <row r="467">
      <c r="A467" s="143">
        <f>IFERROR(__xludf.DUMMYFUNCTION("""COMPUTED_VALUE"""),44587.0)</f>
        <v>44587</v>
      </c>
      <c r="B467" s="143">
        <f>IFERROR(__xludf.DUMMYFUNCTION("""COMPUTED_VALUE"""),44681.0)</f>
        <v>44681</v>
      </c>
      <c r="C467" s="140" t="str">
        <f>IFERROR(__xludf.DUMMYFUNCTION("""COMPUTED_VALUE"""),"en")</f>
        <v>en</v>
      </c>
      <c r="D467">
        <f>IFERROR(__xludf.DUMMYFUNCTION("""COMPUTED_VALUE"""),1670116.0)</f>
        <v>1670116</v>
      </c>
      <c r="E467" t="str">
        <f>IFERROR(__xludf.DUMMYFUNCTION("""COMPUTED_VALUE"""),"AWS Certified Cloud Practitioner: 6 Full Practice Exams 2021")</f>
        <v>AWS Certified Cloud Practitioner: 6 Full Practice Exams 2021</v>
      </c>
      <c r="F467" t="str">
        <f>IFERROR(__xludf.DUMMYFUNCTION("""COMPUTED_VALUE"""),"AWS Certified Cloud Practitioner: 6 Full Practice Exams 2021")</f>
        <v>AWS Certified Cloud Practitioner: 6 Full Practice Exams 2021</v>
      </c>
      <c r="G467">
        <f>IFERROR(__xludf.DUMMYFUNCTION("""COMPUTED_VALUE"""),3.6474644E7)</f>
        <v>36474644</v>
      </c>
      <c r="H467" t="str">
        <f>IFERROR(__xludf.DUMMYFUNCTION("""COMPUTED_VALUE"""),"Mozdora Education")</f>
        <v>Mozdora Education</v>
      </c>
      <c r="I467" t="str">
        <f>IFERROR(__xludf.DUMMYFUNCTION("""COMPUTED_VALUE"""),"Practice Test Audit")</f>
        <v>Practice Test Audit</v>
      </c>
      <c r="J467" t="b">
        <f>IFERROR(__xludf.DUMMYFUNCTION("""COMPUTED_VALUE"""),FALSE)</f>
        <v>0</v>
      </c>
      <c r="K467" s="142" t="str">
        <f>IFERROR(__xludf.DUMMYFUNCTION("""COMPUTED_VALUE"""),"IT Operations")</f>
        <v>IT Operations</v>
      </c>
      <c r="L467" s="142" t="str">
        <f>IFERROR(__xludf.DUMMYFUNCTION("""COMPUTED_VALUE"""),"IT Certifications")</f>
        <v>IT Certifications</v>
      </c>
      <c r="M467" s="140">
        <f>IFERROR(__xludf.DUMMYFUNCTION("""COMPUTED_VALUE"""),3142166.0)</f>
        <v>3142166</v>
      </c>
      <c r="N467" s="140" t="str">
        <f>IFERROR(__xludf.DUMMYFUNCTION("""COMPUTED_VALUE"""),"[NEW] Ultimate AWS Certified Cloud Practitioner - 2021")</f>
        <v>[NEW] Ultimate AWS Certified Cloud Practitioner - 2021</v>
      </c>
      <c r="P467" s="140" t="str">
        <f>IFERROR(__xludf.DUMMYFUNCTION("""COMPUTED_VALUE"""),"")</f>
        <v/>
      </c>
    </row>
    <row r="468">
      <c r="A468" s="143">
        <f>IFERROR(__xludf.DUMMYFUNCTION("""COMPUTED_VALUE"""),44587.0)</f>
        <v>44587</v>
      </c>
      <c r="B468" s="143">
        <f>IFERROR(__xludf.DUMMYFUNCTION("""COMPUTED_VALUE"""),44681.0)</f>
        <v>44681</v>
      </c>
      <c r="C468" t="str">
        <f>IFERROR(__xludf.DUMMYFUNCTION("""COMPUTED_VALUE"""),"en")</f>
        <v>en</v>
      </c>
      <c r="D468">
        <f>IFERROR(__xludf.DUMMYFUNCTION("""COMPUTED_VALUE"""),3439118.0)</f>
        <v>3439118</v>
      </c>
      <c r="E468" t="str">
        <f>IFERROR(__xludf.DUMMYFUNCTION("""COMPUTED_VALUE"""),"CompTIA Cloud+ (CV0-002) Exam Prep / Practice Tests")</f>
        <v>CompTIA Cloud+ (CV0-002) Exam Prep / Practice Tests</v>
      </c>
      <c r="F468" t="str">
        <f>IFERROR(__xludf.DUMMYFUNCTION("""COMPUTED_VALUE"""),"CompTIA Cloud+ (CV0-002) Exam Prep / Practice Tests")</f>
        <v>CompTIA Cloud+ (CV0-002) Exam Prep / Practice Tests</v>
      </c>
      <c r="G468">
        <f>IFERROR(__xludf.DUMMYFUNCTION("""COMPUTED_VALUE"""),1.3052765E8)</f>
        <v>130527650</v>
      </c>
      <c r="H468" t="str">
        <f>IFERROR(__xludf.DUMMYFUNCTION("""COMPUTED_VALUE"""),"ITPro Academy")</f>
        <v>ITPro Academy</v>
      </c>
      <c r="I468" t="str">
        <f>IFERROR(__xludf.DUMMYFUNCTION("""COMPUTED_VALUE"""),"Practice Test Audit")</f>
        <v>Practice Test Audit</v>
      </c>
      <c r="J468" t="b">
        <f>IFERROR(__xludf.DUMMYFUNCTION("""COMPUTED_VALUE"""),FALSE)</f>
        <v>0</v>
      </c>
      <c r="K468" s="142" t="str">
        <f>IFERROR(__xludf.DUMMYFUNCTION("""COMPUTED_VALUE"""),"IT Operations")</f>
        <v>IT Operations</v>
      </c>
      <c r="L468" s="142" t="str">
        <f>IFERROR(__xludf.DUMMYFUNCTION("""COMPUTED_VALUE"""),"IT Certifications")</f>
        <v>IT Certifications</v>
      </c>
      <c r="M468" s="140">
        <f>IFERROR(__xludf.DUMMYFUNCTION("""COMPUTED_VALUE"""),3210881.0)</f>
        <v>3210881</v>
      </c>
      <c r="N468" s="140" t="str">
        <f>IFERROR(__xludf.DUMMYFUNCTION("""COMPUTED_VALUE"""),"CompTIA CySA+ (CS0-002) Practice Certification Exams")</f>
        <v>CompTIA CySA+ (CS0-002) Practice Certification Exams</v>
      </c>
      <c r="P468" s="140" t="str">
        <f>IFERROR(__xludf.DUMMYFUNCTION("""COMPUTED_VALUE"""),"")</f>
        <v/>
      </c>
    </row>
    <row r="469">
      <c r="A469" s="143">
        <f>IFERROR(__xludf.DUMMYFUNCTION("""COMPUTED_VALUE"""),44587.0)</f>
        <v>44587</v>
      </c>
      <c r="B469" s="143">
        <f>IFERROR(__xludf.DUMMYFUNCTION("""COMPUTED_VALUE"""),44681.0)</f>
        <v>44681</v>
      </c>
      <c r="C469" s="140" t="str">
        <f>IFERROR(__xludf.DUMMYFUNCTION("""COMPUTED_VALUE"""),"en")</f>
        <v>en</v>
      </c>
      <c r="D469">
        <f>IFERROR(__xludf.DUMMYFUNCTION("""COMPUTED_VALUE"""),3926940.0)</f>
        <v>3926940</v>
      </c>
      <c r="E469" t="str">
        <f>IFERROR(__xludf.DUMMYFUNCTION("""COMPUTED_VALUE"""),"MuleSoft Certified Developer-Level 1 (Mule 4)-MCD Mock Tests")</f>
        <v>MuleSoft Certified Developer-Level 1 (Mule 4)-MCD Mock Tests</v>
      </c>
      <c r="F469" t="str">
        <f>IFERROR(__xludf.DUMMYFUNCTION("""COMPUTED_VALUE"""),"MuleSoft Certified Developer-Level 1 (Mule 4)-MCD Mock Tests")</f>
        <v>MuleSoft Certified Developer-Level 1 (Mule 4)-MCD Mock Tests</v>
      </c>
      <c r="G469">
        <f>IFERROR(__xludf.DUMMYFUNCTION("""COMPUTED_VALUE"""),5.7121108E7)</f>
        <v>57121108</v>
      </c>
      <c r="H469" t="str">
        <f>IFERROR(__xludf.DUMMYFUNCTION("""COMPUTED_VALUE"""),"Kalyani Rajkarne")</f>
        <v>Kalyani Rajkarne</v>
      </c>
      <c r="I469" t="str">
        <f>IFERROR(__xludf.DUMMYFUNCTION("""COMPUTED_VALUE"""),"Practice Test Audit")</f>
        <v>Practice Test Audit</v>
      </c>
      <c r="J469" t="b">
        <f>IFERROR(__xludf.DUMMYFUNCTION("""COMPUTED_VALUE"""),FALSE)</f>
        <v>0</v>
      </c>
      <c r="K469" s="142" t="str">
        <f>IFERROR(__xludf.DUMMYFUNCTION("""COMPUTED_VALUE"""),"IT Operations")</f>
        <v>IT Operations</v>
      </c>
      <c r="L469" s="142" t="str">
        <f>IFERROR(__xludf.DUMMYFUNCTION("""COMPUTED_VALUE"""),"IT Certifications")</f>
        <v>IT Certifications</v>
      </c>
      <c r="M469" s="140">
        <f>IFERROR(__xludf.DUMMYFUNCTION("""COMPUTED_VALUE"""),3320564.0)</f>
        <v>3320564</v>
      </c>
      <c r="N469" s="140" t="str">
        <f>IFERROR(__xludf.DUMMYFUNCTION("""COMPUTED_VALUE"""),"Ultimate Mulesoft Certified Platform Architect Course - MCPA")</f>
        <v>Ultimate Mulesoft Certified Platform Architect Course - MCPA</v>
      </c>
      <c r="P469" s="140" t="str">
        <f>IFERROR(__xludf.DUMMYFUNCTION("""COMPUTED_VALUE"""),"")</f>
        <v/>
      </c>
    </row>
    <row r="470">
      <c r="A470" s="143">
        <f>IFERROR(__xludf.DUMMYFUNCTION("""COMPUTED_VALUE"""),44587.0)</f>
        <v>44587</v>
      </c>
      <c r="B470" s="143">
        <f>IFERROR(__xludf.DUMMYFUNCTION("""COMPUTED_VALUE"""),44681.0)</f>
        <v>44681</v>
      </c>
      <c r="C470" s="140" t="str">
        <f>IFERROR(__xludf.DUMMYFUNCTION("""COMPUTED_VALUE"""),"en")</f>
        <v>en</v>
      </c>
      <c r="D470">
        <f>IFERROR(__xludf.DUMMYFUNCTION("""COMPUTED_VALUE"""),3299942.0)</f>
        <v>3299942</v>
      </c>
      <c r="E470" t="str">
        <f>IFERROR(__xludf.DUMMYFUNCTION("""COMPUTED_VALUE"""),"PCNSA - Palo Alto Practice tests (111 questions to practice)")</f>
        <v>PCNSA - Palo Alto Practice tests (111 questions to practice)</v>
      </c>
      <c r="F470" t="str">
        <f>IFERROR(__xludf.DUMMYFUNCTION("""COMPUTED_VALUE"""),"PCNSA - Palo Alto Practice tests (111 questions to practice)")</f>
        <v>PCNSA - Palo Alto Practice tests (111 questions to practice)</v>
      </c>
      <c r="G470">
        <f>IFERROR(__xludf.DUMMYFUNCTION("""COMPUTED_VALUE"""),1.25108014E8)</f>
        <v>125108014</v>
      </c>
      <c r="H470" t="str">
        <f>IFERROR(__xludf.DUMMYFUNCTION("""COMPUTED_VALUE"""),"TRACERT ACADEMY")</f>
        <v>TRACERT ACADEMY</v>
      </c>
      <c r="I470" t="str">
        <f>IFERROR(__xludf.DUMMYFUNCTION("""COMPUTED_VALUE"""),"Practice Test Audit")</f>
        <v>Practice Test Audit</v>
      </c>
      <c r="J470" t="b">
        <f>IFERROR(__xludf.DUMMYFUNCTION("""COMPUTED_VALUE"""),FALSE)</f>
        <v>0</v>
      </c>
      <c r="K470" s="142" t="str">
        <f>IFERROR(__xludf.DUMMYFUNCTION("""COMPUTED_VALUE"""),"IT Operations")</f>
        <v>IT Operations</v>
      </c>
      <c r="L470" s="142" t="str">
        <f>IFERROR(__xludf.DUMMYFUNCTION("""COMPUTED_VALUE"""),"Network &amp; Security")</f>
        <v>Network &amp; Security</v>
      </c>
      <c r="M470" s="140">
        <f>IFERROR(__xludf.DUMMYFUNCTION("""COMPUTED_VALUE"""),3381688.0)</f>
        <v>3381688</v>
      </c>
      <c r="N470" s="140" t="str">
        <f>IFERROR(__xludf.DUMMYFUNCTION("""COMPUTED_VALUE"""),"Palo Alto Security Administrator - Part 1 PCNSA (EDU-210)")</f>
        <v>Palo Alto Security Administrator - Part 1 PCNSA (EDU-210)</v>
      </c>
      <c r="P470" s="140" t="str">
        <f>IFERROR(__xludf.DUMMYFUNCTION("""COMPUTED_VALUE"""),"")</f>
        <v/>
      </c>
    </row>
    <row r="471">
      <c r="A471" s="143">
        <f>IFERROR(__xludf.DUMMYFUNCTION("""COMPUTED_VALUE"""),44587.0)</f>
        <v>44587</v>
      </c>
      <c r="B471" s="143">
        <f>IFERROR(__xludf.DUMMYFUNCTION("""COMPUTED_VALUE"""),44681.0)</f>
        <v>44681</v>
      </c>
      <c r="C471" s="140" t="str">
        <f>IFERROR(__xludf.DUMMYFUNCTION("""COMPUTED_VALUE"""),"en")</f>
        <v>en</v>
      </c>
      <c r="D471">
        <f>IFERROR(__xludf.DUMMYFUNCTION("""COMPUTED_VALUE"""),1488346.0)</f>
        <v>1488346</v>
      </c>
      <c r="E471" t="str">
        <f>IFERROR(__xludf.DUMMYFUNCTION("""COMPUTED_VALUE"""),"VMware VCP DCV Exam Simulator (VCP-DCV 2020)")</f>
        <v>VMware VCP DCV Exam Simulator (VCP-DCV 2020)</v>
      </c>
      <c r="F471" t="str">
        <f>IFERROR(__xludf.DUMMYFUNCTION("""COMPUTED_VALUE"""),"VMware VCP DCV Exam Simulator (VCP-DCV 2020)")</f>
        <v>VMware VCP DCV Exam Simulator (VCP-DCV 2020)</v>
      </c>
      <c r="G471">
        <f>IFERROR(__xludf.DUMMYFUNCTION("""COMPUTED_VALUE"""),2.7654678E7)</f>
        <v>27654678</v>
      </c>
      <c r="H471" t="str">
        <f>IFERROR(__xludf.DUMMYFUNCTION("""COMPUTED_VALUE"""),"Eder Silvera")</f>
        <v>Eder Silvera</v>
      </c>
      <c r="I471" t="str">
        <f>IFERROR(__xludf.DUMMYFUNCTION("""COMPUTED_VALUE"""),"Practice Test Audit")</f>
        <v>Practice Test Audit</v>
      </c>
      <c r="J471" t="b">
        <f>IFERROR(__xludf.DUMMYFUNCTION("""COMPUTED_VALUE"""),FALSE)</f>
        <v>0</v>
      </c>
      <c r="K471" s="142" t="str">
        <f>IFERROR(__xludf.DUMMYFUNCTION("""COMPUTED_VALUE"""),"IT Operations")</f>
        <v>IT Operations</v>
      </c>
      <c r="L471" s="142" t="str">
        <f>IFERROR(__xludf.DUMMYFUNCTION("""COMPUTED_VALUE"""),"IT Certifications")</f>
        <v>IT Certifications</v>
      </c>
      <c r="M471" s="140">
        <f>IFERROR(__xludf.DUMMYFUNCTION("""COMPUTED_VALUE"""),3475488.0)</f>
        <v>3475488</v>
      </c>
      <c r="N471" s="140" t="str">
        <f>IFERROR(__xludf.DUMMYFUNCTION("""COMPUTED_VALUE"""),"Clear and Simple VMware vSphere 7 Professional VCP 2V0-21.20")</f>
        <v>Clear and Simple VMware vSphere 7 Professional VCP 2V0-21.20</v>
      </c>
      <c r="P471" s="140" t="str">
        <f>IFERROR(__xludf.DUMMYFUNCTION("""COMPUTED_VALUE"""),"")</f>
        <v/>
      </c>
    </row>
    <row r="472">
      <c r="A472" s="143">
        <f>IFERROR(__xludf.DUMMYFUNCTION("""COMPUTED_VALUE"""),44587.0)</f>
        <v>44587</v>
      </c>
      <c r="B472" s="143">
        <f>IFERROR(__xludf.DUMMYFUNCTION("""COMPUTED_VALUE"""),44681.0)</f>
        <v>44681</v>
      </c>
      <c r="C472" s="140" t="str">
        <f>IFERROR(__xludf.DUMMYFUNCTION("""COMPUTED_VALUE"""),"en")</f>
        <v>en</v>
      </c>
      <c r="D472">
        <f>IFERROR(__xludf.DUMMYFUNCTION("""COMPUTED_VALUE"""),2509804.0)</f>
        <v>2509804</v>
      </c>
      <c r="E472" t="str">
        <f>IFERROR(__xludf.DUMMYFUNCTION("""COMPUTED_VALUE"""),"VMware vSphere Foundations Exam (VCP-DCV 2020)")</f>
        <v>VMware vSphere Foundations Exam (VCP-DCV 2020)</v>
      </c>
      <c r="F472" t="str">
        <f>IFERROR(__xludf.DUMMYFUNCTION("""COMPUTED_VALUE"""),"VMware vSphere Foundations Exam (VCP-DCV 2020)")</f>
        <v>VMware vSphere Foundations Exam (VCP-DCV 2020)</v>
      </c>
      <c r="G472">
        <f>IFERROR(__xludf.DUMMYFUNCTION("""COMPUTED_VALUE"""),2.7654678E7)</f>
        <v>27654678</v>
      </c>
      <c r="H472" t="str">
        <f>IFERROR(__xludf.DUMMYFUNCTION("""COMPUTED_VALUE"""),"Eder Silvera")</f>
        <v>Eder Silvera</v>
      </c>
      <c r="I472" t="str">
        <f>IFERROR(__xludf.DUMMYFUNCTION("""COMPUTED_VALUE"""),"Practice Test Audit")</f>
        <v>Practice Test Audit</v>
      </c>
      <c r="J472" t="b">
        <f>IFERROR(__xludf.DUMMYFUNCTION("""COMPUTED_VALUE"""),FALSE)</f>
        <v>0</v>
      </c>
      <c r="K472" s="142" t="str">
        <f>IFERROR(__xludf.DUMMYFUNCTION("""COMPUTED_VALUE"""),"IT Operations")</f>
        <v>IT Operations</v>
      </c>
      <c r="L472" s="142" t="str">
        <f>IFERROR(__xludf.DUMMYFUNCTION("""COMPUTED_VALUE"""),"IT Certifications")</f>
        <v>IT Certifications</v>
      </c>
      <c r="M472" s="140">
        <f>IFERROR(__xludf.DUMMYFUNCTION("""COMPUTED_VALUE"""),3475488.0)</f>
        <v>3475488</v>
      </c>
      <c r="N472" s="140" t="str">
        <f>IFERROR(__xludf.DUMMYFUNCTION("""COMPUTED_VALUE"""),"Clear and Simple VMware vSphere 7 Professional VCP 2V0-21.20")</f>
        <v>Clear and Simple VMware vSphere 7 Professional VCP 2V0-21.20</v>
      </c>
      <c r="P472" s="140" t="str">
        <f>IFERROR(__xludf.DUMMYFUNCTION("""COMPUTED_VALUE"""),"")</f>
        <v/>
      </c>
    </row>
    <row r="473">
      <c r="A473" s="143">
        <f>IFERROR(__xludf.DUMMYFUNCTION("""COMPUTED_VALUE"""),44587.0)</f>
        <v>44587</v>
      </c>
      <c r="B473" s="143">
        <f>IFERROR(__xludf.DUMMYFUNCTION("""COMPUTED_VALUE"""),44681.0)</f>
        <v>44681</v>
      </c>
      <c r="C473" t="str">
        <f>IFERROR(__xludf.DUMMYFUNCTION("""COMPUTED_VALUE"""),"en")</f>
        <v>en</v>
      </c>
      <c r="D473">
        <f>IFERROR(__xludf.DUMMYFUNCTION("""COMPUTED_VALUE"""),3506256.0)</f>
        <v>3506256</v>
      </c>
      <c r="E473" t="str">
        <f>IFERROR(__xludf.DUMMYFUNCTION("""COMPUTED_VALUE"""),"Professional VMware vSphere 7.x Exam VCP-DCV 2021")</f>
        <v>Professional VMware vSphere 7.x Exam VCP-DCV 2021</v>
      </c>
      <c r="F473" t="str">
        <f>IFERROR(__xludf.DUMMYFUNCTION("""COMPUTED_VALUE"""),"Professional VMware vSphere 7.x Exam VCP-DCV 2021")</f>
        <v>Professional VMware vSphere 7.x Exam VCP-DCV 2021</v>
      </c>
      <c r="G473">
        <f>IFERROR(__xludf.DUMMYFUNCTION("""COMPUTED_VALUE"""),2.7654678E7)</f>
        <v>27654678</v>
      </c>
      <c r="H473" t="str">
        <f>IFERROR(__xludf.DUMMYFUNCTION("""COMPUTED_VALUE"""),"Eder Silvera")</f>
        <v>Eder Silvera</v>
      </c>
      <c r="I473" t="str">
        <f>IFERROR(__xludf.DUMMYFUNCTION("""COMPUTED_VALUE"""),"Practice Test Audit")</f>
        <v>Practice Test Audit</v>
      </c>
      <c r="J473" t="b">
        <f>IFERROR(__xludf.DUMMYFUNCTION("""COMPUTED_VALUE"""),FALSE)</f>
        <v>0</v>
      </c>
      <c r="K473" s="142" t="str">
        <f>IFERROR(__xludf.DUMMYFUNCTION("""COMPUTED_VALUE"""),"IT Operations")</f>
        <v>IT Operations</v>
      </c>
      <c r="L473" s="142" t="str">
        <f>IFERROR(__xludf.DUMMYFUNCTION("""COMPUTED_VALUE"""),"IT Certifications")</f>
        <v>IT Certifications</v>
      </c>
      <c r="M473" s="140">
        <f>IFERROR(__xludf.DUMMYFUNCTION("""COMPUTED_VALUE"""),3475488.0)</f>
        <v>3475488</v>
      </c>
      <c r="N473" s="140" t="str">
        <f>IFERROR(__xludf.DUMMYFUNCTION("""COMPUTED_VALUE"""),"Clear and Simple VMware vSphere 7 Professional VCP 2V0-21.20
")</f>
        <v>Clear and Simple VMware vSphere 7 Professional VCP 2V0-21.20
</v>
      </c>
      <c r="P473" s="140" t="str">
        <f>IFERROR(__xludf.DUMMYFUNCTION("""COMPUTED_VALUE"""),"")</f>
        <v/>
      </c>
    </row>
    <row r="474">
      <c r="A474" s="143">
        <f>IFERROR(__xludf.DUMMYFUNCTION("""COMPUTED_VALUE"""),44587.0)</f>
        <v>44587</v>
      </c>
      <c r="B474" s="143">
        <f>IFERROR(__xludf.DUMMYFUNCTION("""COMPUTED_VALUE"""),44681.0)</f>
        <v>44681</v>
      </c>
      <c r="C474" s="140" t="str">
        <f>IFERROR(__xludf.DUMMYFUNCTION("""COMPUTED_VALUE"""),"en")</f>
        <v>en</v>
      </c>
      <c r="D474">
        <f>IFERROR(__xludf.DUMMYFUNCTION("""COMPUTED_VALUE"""),3684354.0)</f>
        <v>3684354</v>
      </c>
      <c r="E474" t="str">
        <f>IFERROR(__xludf.DUMMYFUNCTION("""COMPUTED_VALUE"""),"DP-900 Microsoft Azure Data Fundamentals Practice test Oct21")</f>
        <v>DP-900 Microsoft Azure Data Fundamentals Practice test Oct21</v>
      </c>
      <c r="F474" t="str">
        <f>IFERROR(__xludf.DUMMYFUNCTION("""COMPUTED_VALUE"""),"DP-900 Microsoft Azure Data Fundamentals Practice test Oct21")</f>
        <v>DP-900 Microsoft Azure Data Fundamentals Practice test Oct21</v>
      </c>
      <c r="G474">
        <f>IFERROR(__xludf.DUMMYFUNCTION("""COMPUTED_VALUE"""),1.32264174E8)</f>
        <v>132264174</v>
      </c>
      <c r="H474" t="str">
        <f>IFERROR(__xludf.DUMMYFUNCTION("""COMPUTED_VALUE"""),"Mohit Kumar")</f>
        <v>Mohit Kumar</v>
      </c>
      <c r="I474" t="str">
        <f>IFERROR(__xludf.DUMMYFUNCTION("""COMPUTED_VALUE"""),"Practice Test Audit")</f>
        <v>Practice Test Audit</v>
      </c>
      <c r="J474" t="b">
        <f>IFERROR(__xludf.DUMMYFUNCTION("""COMPUTED_VALUE"""),FALSE)</f>
        <v>0</v>
      </c>
      <c r="K474" s="142" t="str">
        <f>IFERROR(__xludf.DUMMYFUNCTION("""COMPUTED_VALUE"""),"IT Operations")</f>
        <v>IT Operations</v>
      </c>
      <c r="L474" s="142" t="str">
        <f>IFERROR(__xludf.DUMMYFUNCTION("""COMPUTED_VALUE"""),"IT Certifications")</f>
        <v>IT Certifications</v>
      </c>
      <c r="M474" s="140">
        <f>IFERROR(__xludf.DUMMYFUNCTION("""COMPUTED_VALUE"""),3476228.0)</f>
        <v>3476228</v>
      </c>
      <c r="N474" s="140" t="str">
        <f>IFERROR(__xludf.DUMMYFUNCTION("""COMPUTED_VALUE"""),"DP-900 Azure Data Fundamentals 100% Original Practice Exam")</f>
        <v>DP-900 Azure Data Fundamentals 100% Original Practice Exam</v>
      </c>
      <c r="P474" s="140" t="str">
        <f>IFERROR(__xludf.DUMMYFUNCTION("""COMPUTED_VALUE"""),"")</f>
        <v/>
      </c>
    </row>
    <row r="475">
      <c r="A475" s="143">
        <f>IFERROR(__xludf.DUMMYFUNCTION("""COMPUTED_VALUE"""),44587.0)</f>
        <v>44587</v>
      </c>
      <c r="B475" s="143">
        <f>IFERROR(__xludf.DUMMYFUNCTION("""COMPUTED_VALUE"""),44681.0)</f>
        <v>44681</v>
      </c>
      <c r="C475" s="140" t="str">
        <f>IFERROR(__xludf.DUMMYFUNCTION("""COMPUTED_VALUE"""),"en")</f>
        <v>en</v>
      </c>
      <c r="D475">
        <f>IFERROR(__xludf.DUMMYFUNCTION("""COMPUTED_VALUE"""),2596694.0)</f>
        <v>2596694</v>
      </c>
      <c r="E475" t="str">
        <f>IFERROR(__xludf.DUMMYFUNCTION("""COMPUTED_VALUE"""),"AZ-400: Designing Implementing Microsoft DevOps Soln: Tests")</f>
        <v>AZ-400: Designing Implementing Microsoft DevOps Soln: Tests</v>
      </c>
      <c r="F475" t="str">
        <f>IFERROR(__xludf.DUMMYFUNCTION("""COMPUTED_VALUE"""),"AZ-400: Designing Implementing Microsoft DevOps Soln: Tests")</f>
        <v>AZ-400: Designing Implementing Microsoft DevOps Soln: Tests</v>
      </c>
      <c r="G475">
        <f>IFERROR(__xludf.DUMMYFUNCTION("""COMPUTED_VALUE"""),5.4614004E7)</f>
        <v>54614004</v>
      </c>
      <c r="H475" t="str">
        <f>IFERROR(__xludf.DUMMYFUNCTION("""COMPUTED_VALUE"""),"Exam Pass")</f>
        <v>Exam Pass</v>
      </c>
      <c r="I475" t="str">
        <f>IFERROR(__xludf.DUMMYFUNCTION("""COMPUTED_VALUE"""),"Practice Test Audit")</f>
        <v>Practice Test Audit</v>
      </c>
      <c r="J475" t="b">
        <f>IFERROR(__xludf.DUMMYFUNCTION("""COMPUTED_VALUE"""),FALSE)</f>
        <v>0</v>
      </c>
      <c r="K475" s="142" t="str">
        <f>IFERROR(__xludf.DUMMYFUNCTION("""COMPUTED_VALUE"""),"IT Operations")</f>
        <v>IT Operations</v>
      </c>
      <c r="L475" s="142" t="str">
        <f>IFERROR(__xludf.DUMMYFUNCTION("""COMPUTED_VALUE"""),"IT Certifications")</f>
        <v>IT Certifications</v>
      </c>
      <c r="M475" s="140">
        <f>IFERROR(__xludf.DUMMYFUNCTION("""COMPUTED_VALUE"""),3492150.0)</f>
        <v>3492150</v>
      </c>
      <c r="N475" s="140" t="str">
        <f>IFERROR(__xludf.DUMMYFUNCTION("""COMPUTED_VALUE"""),"AZ-400 Designing and Implementing DevOps Certification 2021")</f>
        <v>AZ-400 Designing and Implementing DevOps Certification 2021</v>
      </c>
      <c r="P475" s="140" t="str">
        <f>IFERROR(__xludf.DUMMYFUNCTION("""COMPUTED_VALUE"""),"")</f>
        <v/>
      </c>
    </row>
    <row r="476">
      <c r="A476" s="143">
        <f>IFERROR(__xludf.DUMMYFUNCTION("""COMPUTED_VALUE"""),44587.0)</f>
        <v>44587</v>
      </c>
      <c r="B476" s="143">
        <f>IFERROR(__xludf.DUMMYFUNCTION("""COMPUTED_VALUE"""),44681.0)</f>
        <v>44681</v>
      </c>
      <c r="C476" s="140" t="str">
        <f>IFERROR(__xludf.DUMMYFUNCTION("""COMPUTED_VALUE"""),"en")</f>
        <v>en</v>
      </c>
      <c r="D476">
        <f>IFERROR(__xludf.DUMMYFUNCTION("""COMPUTED_VALUE"""),4119872.0)</f>
        <v>4119872</v>
      </c>
      <c r="E476" t="str">
        <f>IFERROR(__xludf.DUMMYFUNCTION("""COMPUTED_VALUE"""),"CKS : Certified Kubernetes Security Specialist Practice 2021")</f>
        <v>CKS : Certified Kubernetes Security Specialist Practice 2021</v>
      </c>
      <c r="F476" t="str">
        <f>IFERROR(__xludf.DUMMYFUNCTION("""COMPUTED_VALUE"""),"CKS : Certified Kubernetes Security Specialist Practice 2021")</f>
        <v>CKS : Certified Kubernetes Security Specialist Practice 2021</v>
      </c>
      <c r="G476">
        <f>IFERROR(__xludf.DUMMYFUNCTION("""COMPUTED_VALUE"""),5.1043692E7)</f>
        <v>51043692</v>
      </c>
      <c r="H476" t="str">
        <f>IFERROR(__xludf.DUMMYFUNCTION("""COMPUTED_VALUE"""),"Certification Masters")</f>
        <v>Certification Masters</v>
      </c>
      <c r="I476" t="str">
        <f>IFERROR(__xludf.DUMMYFUNCTION("""COMPUTED_VALUE"""),"Practice Test Audit")</f>
        <v>Practice Test Audit</v>
      </c>
      <c r="J476" t="b">
        <f>IFERROR(__xludf.DUMMYFUNCTION("""COMPUTED_VALUE"""),FALSE)</f>
        <v>0</v>
      </c>
      <c r="K476" s="142" t="str">
        <f>IFERROR(__xludf.DUMMYFUNCTION("""COMPUTED_VALUE"""),"IT Operations")</f>
        <v>IT Operations</v>
      </c>
      <c r="L476" s="142" t="str">
        <f>IFERROR(__xludf.DUMMYFUNCTION("""COMPUTED_VALUE"""),"IT Certifications")</f>
        <v>IT Certifications</v>
      </c>
      <c r="M476" s="140">
        <f>IFERROR(__xludf.DUMMYFUNCTION("""COMPUTED_VALUE"""),3573079.0)</f>
        <v>3573079</v>
      </c>
      <c r="N476" s="140" t="str">
        <f>IFERROR(__xludf.DUMMYFUNCTION("""COMPUTED_VALUE"""),"Kubernetes CKS 2021 Complete Course - Theory - Practice")</f>
        <v>Kubernetes CKS 2021 Complete Course - Theory - Practice</v>
      </c>
      <c r="P476" s="140" t="str">
        <f>IFERROR(__xludf.DUMMYFUNCTION("""COMPUTED_VALUE"""),"")</f>
        <v/>
      </c>
    </row>
    <row r="477">
      <c r="A477" s="143">
        <f>IFERROR(__xludf.DUMMYFUNCTION("""COMPUTED_VALUE"""),44587.0)</f>
        <v>44587</v>
      </c>
      <c r="B477" s="143">
        <f>IFERROR(__xludf.DUMMYFUNCTION("""COMPUTED_VALUE"""),44681.0)</f>
        <v>44681</v>
      </c>
      <c r="C477" s="140" t="str">
        <f>IFERROR(__xludf.DUMMYFUNCTION("""COMPUTED_VALUE"""),"en")</f>
        <v>en</v>
      </c>
      <c r="D477">
        <f>IFERROR(__xludf.DUMMYFUNCTION("""COMPUTED_VALUE"""),2640868.0)</f>
        <v>2640868</v>
      </c>
      <c r="E477" t="str">
        <f>IFERROR(__xludf.DUMMYFUNCTION("""COMPUTED_VALUE"""),"The Complete Palo Alto PCNSE v10.1 Practice Test for 2021")</f>
        <v>The Complete Palo Alto PCNSE v10.1 Practice Test for 2021</v>
      </c>
      <c r="F477" t="str">
        <f>IFERROR(__xludf.DUMMYFUNCTION("""COMPUTED_VALUE"""),"The Complete Palo Alto PCNSE v10.1 Practice Test for 2021")</f>
        <v>The Complete Palo Alto PCNSE v10.1 Practice Test for 2021</v>
      </c>
      <c r="G477">
        <f>IFERROR(__xludf.DUMMYFUNCTION("""COMPUTED_VALUE"""),7.7076358E7)</f>
        <v>77076358</v>
      </c>
      <c r="H477" t="str">
        <f>IFERROR(__xludf.DUMMYFUNCTION("""COMPUTED_VALUE"""),"Sylvain Goze")</f>
        <v>Sylvain Goze</v>
      </c>
      <c r="I477" t="str">
        <f>IFERROR(__xludf.DUMMYFUNCTION("""COMPUTED_VALUE"""),"Practice Test Audit")</f>
        <v>Practice Test Audit</v>
      </c>
      <c r="J477" t="b">
        <f>IFERROR(__xludf.DUMMYFUNCTION("""COMPUTED_VALUE"""),FALSE)</f>
        <v>0</v>
      </c>
      <c r="K477" s="142" t="str">
        <f>IFERROR(__xludf.DUMMYFUNCTION("""COMPUTED_VALUE"""),"IT Operations")</f>
        <v>IT Operations</v>
      </c>
      <c r="L477" s="142" t="str">
        <f>IFERROR(__xludf.DUMMYFUNCTION("""COMPUTED_VALUE"""),"IT Certifications")</f>
        <v>IT Certifications</v>
      </c>
      <c r="M477" s="140">
        <f>IFERROR(__xludf.DUMMYFUNCTION("""COMPUTED_VALUE"""),3618082.0)</f>
        <v>3618082</v>
      </c>
      <c r="N477" s="140" t="str">
        <f>IFERROR(__xludf.DUMMYFUNCTION("""COMPUTED_VALUE"""),"Palo Alto Firewall PCNSE New V9 &amp; V10 Training")</f>
        <v>Palo Alto Firewall PCNSE New V9 &amp; V10 Training</v>
      </c>
      <c r="P477" s="140" t="str">
        <f>IFERROR(__xludf.DUMMYFUNCTION("""COMPUTED_VALUE"""),"")</f>
        <v/>
      </c>
    </row>
    <row r="478">
      <c r="A478" s="143">
        <f>IFERROR(__xludf.DUMMYFUNCTION("""COMPUTED_VALUE"""),44587.0)</f>
        <v>44587</v>
      </c>
      <c r="B478" s="143">
        <f>IFERROR(__xludf.DUMMYFUNCTION("""COMPUTED_VALUE"""),44681.0)</f>
        <v>44681</v>
      </c>
      <c r="C478" s="140" t="str">
        <f>IFERROR(__xludf.DUMMYFUNCTION("""COMPUTED_VALUE"""),"en")</f>
        <v>en</v>
      </c>
      <c r="D478">
        <f>IFERROR(__xludf.DUMMYFUNCTION("""COMPUTED_VALUE"""),2858580.0)</f>
        <v>2858580</v>
      </c>
      <c r="E478" t="str">
        <f>IFERROR(__xludf.DUMMYFUNCTION("""COMPUTED_VALUE"""),"ServiceNow CIS - Discovery Practice Exams | Rome | 2021")</f>
        <v>ServiceNow CIS - Discovery Practice Exams | Rome | 2021</v>
      </c>
      <c r="F478" t="str">
        <f>IFERROR(__xludf.DUMMYFUNCTION("""COMPUTED_VALUE"""),"ServiceNow CIS - Discovery Practice Exams | Rome | 2021")</f>
        <v>ServiceNow CIS - Discovery Practice Exams | Rome | 2021</v>
      </c>
      <c r="G478">
        <f>IFERROR(__xludf.DUMMYFUNCTION("""COMPUTED_VALUE"""),3.7621146E7)</f>
        <v>37621146</v>
      </c>
      <c r="H478" t="str">
        <f>IFERROR(__xludf.DUMMYFUNCTION("""COMPUTED_VALUE"""),"Adam Menkiewicz")</f>
        <v>Adam Menkiewicz</v>
      </c>
      <c r="I478" t="str">
        <f>IFERROR(__xludf.DUMMYFUNCTION("""COMPUTED_VALUE"""),"Practice Test Audit")</f>
        <v>Practice Test Audit</v>
      </c>
      <c r="J478" t="b">
        <f>IFERROR(__xludf.DUMMYFUNCTION("""COMPUTED_VALUE"""),FALSE)</f>
        <v>0</v>
      </c>
      <c r="K478" s="142" t="str">
        <f>IFERROR(__xludf.DUMMYFUNCTION("""COMPUTED_VALUE"""),"IT Operations")</f>
        <v>IT Operations</v>
      </c>
      <c r="L478" s="142" t="str">
        <f>IFERROR(__xludf.DUMMYFUNCTION("""COMPUTED_VALUE"""),"IT Certifications")</f>
        <v>IT Certifications</v>
      </c>
      <c r="M478" s="140">
        <f>IFERROR(__xludf.DUMMYFUNCTION("""COMPUTED_VALUE"""),2545779.0)</f>
        <v>2545779</v>
      </c>
      <c r="N478" s="140" t="str">
        <f>IFERROR(__xludf.DUMMYFUNCTION("""COMPUTED_VALUE"""),"ServiceNow CIS - Discovery Practice Exams 2021(All)")</f>
        <v>ServiceNow CIS - Discovery Practice Exams 2021(All)</v>
      </c>
      <c r="P478" s="140" t="str">
        <f>IFERROR(__xludf.DUMMYFUNCTION("""COMPUTED_VALUE"""),"")</f>
        <v/>
      </c>
    </row>
    <row r="479">
      <c r="A479" s="143">
        <f>IFERROR(__xludf.DUMMYFUNCTION("""COMPUTED_VALUE"""),44587.0)</f>
        <v>44587</v>
      </c>
      <c r="B479" s="143">
        <f>IFERROR(__xludf.DUMMYFUNCTION("""COMPUTED_VALUE"""),44681.0)</f>
        <v>44681</v>
      </c>
      <c r="C479" s="140" t="str">
        <f>IFERROR(__xludf.DUMMYFUNCTION("""COMPUTED_VALUE"""),"en")</f>
        <v>en</v>
      </c>
      <c r="D479">
        <f>IFERROR(__xludf.DUMMYFUNCTION("""COMPUTED_VALUE"""),2869064.0)</f>
        <v>2869064</v>
      </c>
      <c r="E479" t="str">
        <f>IFERROR(__xludf.DUMMYFUNCTION("""COMPUTED_VALUE"""),"Practice CompTIA PenTest+ Exam: 340 Questions, PT0-001")</f>
        <v>Practice CompTIA PenTest+ Exam: 340 Questions, PT0-001</v>
      </c>
      <c r="F479" t="str">
        <f>IFERROR(__xludf.DUMMYFUNCTION("""COMPUTED_VALUE"""),"Practice CompTIA PenTest+ Exam: 340 Questions, PT0-001")</f>
        <v>Practice CompTIA PenTest+ Exam: 340 Questions, PT0-001</v>
      </c>
      <c r="G479">
        <f>IFERROR(__xludf.DUMMYFUNCTION("""COMPUTED_VALUE"""),8.2398478E7)</f>
        <v>82398478</v>
      </c>
      <c r="H479" t="str">
        <f>IFERROR(__xludf.DUMMYFUNCTION("""COMPUTED_VALUE"""),"Elite Instructors II PMI- (PMP, CAPM, RMP, ACP, PBA), AGILE, SIX SIGMA, SCRUM")</f>
        <v>Elite Instructors II PMI- (PMP, CAPM, RMP, ACP, PBA), AGILE, SIX SIGMA, SCRUM</v>
      </c>
      <c r="I479" t="str">
        <f>IFERROR(__xludf.DUMMYFUNCTION("""COMPUTED_VALUE"""),"Practice Test Audit")</f>
        <v>Practice Test Audit</v>
      </c>
      <c r="J479" t="b">
        <f>IFERROR(__xludf.DUMMYFUNCTION("""COMPUTED_VALUE"""),FALSE)</f>
        <v>0</v>
      </c>
      <c r="K479" s="142" t="str">
        <f>IFERROR(__xludf.DUMMYFUNCTION("""COMPUTED_VALUE"""),"IT Operations")</f>
        <v>IT Operations</v>
      </c>
      <c r="L479" s="142" t="str">
        <f>IFERROR(__xludf.DUMMYFUNCTION("""COMPUTED_VALUE"""),"IT Certifications")</f>
        <v>IT Certifications</v>
      </c>
      <c r="M479" s="140">
        <f>IFERROR(__xludf.DUMMYFUNCTION("""COMPUTED_VALUE"""),3724648.0)</f>
        <v>3724648</v>
      </c>
      <c r="N479" s="140" t="str">
        <f>IFERROR(__xludf.DUMMYFUNCTION("""COMPUTED_VALUE"""),"CompTIA PenTest+ (PT0-001) Practice Certification Exams
")</f>
        <v>CompTIA PenTest+ (PT0-001) Practice Certification Exams
</v>
      </c>
      <c r="P479" s="140" t="str">
        <f>IFERROR(__xludf.DUMMYFUNCTION("""COMPUTED_VALUE"""),"")</f>
        <v/>
      </c>
    </row>
    <row r="480">
      <c r="A480" s="143">
        <f>IFERROR(__xludf.DUMMYFUNCTION("""COMPUTED_VALUE"""),44587.0)</f>
        <v>44587</v>
      </c>
      <c r="B480" s="143">
        <f>IFERROR(__xludf.DUMMYFUNCTION("""COMPUTED_VALUE"""),44681.0)</f>
        <v>44681</v>
      </c>
      <c r="C480" s="140" t="str">
        <f>IFERROR(__xludf.DUMMYFUNCTION("""COMPUTED_VALUE"""),"en")</f>
        <v>en</v>
      </c>
      <c r="D480">
        <f>IFERROR(__xludf.DUMMYFUNCTION("""COMPUTED_VALUE"""),3313604.0)</f>
        <v>3313604</v>
      </c>
      <c r="E480" t="str">
        <f>IFERROR(__xludf.DUMMYFUNCTION("""COMPUTED_VALUE"""),"AI-102 Microsoft Azure AI Solution Complete Real Exam Prep")</f>
        <v>AI-102 Microsoft Azure AI Solution Complete Real Exam Prep</v>
      </c>
      <c r="F480" t="str">
        <f>IFERROR(__xludf.DUMMYFUNCTION("""COMPUTED_VALUE"""),"AI-102 Microsoft Azure Ai Solution Complete Real Exam Prep")</f>
        <v>AI-102 Microsoft Azure Ai Solution Complete Real Exam Prep</v>
      </c>
      <c r="G480">
        <f>IFERROR(__xludf.DUMMYFUNCTION("""COMPUTED_VALUE"""),1.2548316E8)</f>
        <v>125483160</v>
      </c>
      <c r="H480" t="str">
        <f>IFERROR(__xludf.DUMMYFUNCTION("""COMPUTED_VALUE"""),"CertAcademy Masters")</f>
        <v>CertAcademy Masters</v>
      </c>
      <c r="I480" t="str">
        <f>IFERROR(__xludf.DUMMYFUNCTION("""COMPUTED_VALUE"""),"Practice Test Audit")</f>
        <v>Practice Test Audit</v>
      </c>
      <c r="J480" t="b">
        <f>IFERROR(__xludf.DUMMYFUNCTION("""COMPUTED_VALUE"""),FALSE)</f>
        <v>0</v>
      </c>
      <c r="K480" s="142" t="str">
        <f>IFERROR(__xludf.DUMMYFUNCTION("""COMPUTED_VALUE"""),"Cloud Computing")</f>
        <v>Cloud Computing</v>
      </c>
      <c r="L480" s="142" t="str">
        <f>IFERROR(__xludf.DUMMYFUNCTION("""COMPUTED_VALUE"""),"Cloud Certification")</f>
        <v>Cloud Certification</v>
      </c>
      <c r="M480" s="140">
        <f>IFERROR(__xludf.DUMMYFUNCTION("""COMPUTED_VALUE"""),3777588.0)</f>
        <v>3777588</v>
      </c>
      <c r="N480" s="140" t="str">
        <f>IFERROR(__xludf.DUMMYFUNCTION("""COMPUTED_VALUE"""),"AI-102 Microsoft Azure AI Solution Complete Exam Prep
")</f>
        <v>AI-102 Microsoft Azure AI Solution Complete Exam Prep
</v>
      </c>
      <c r="P480" s="140" t="str">
        <f>IFERROR(__xludf.DUMMYFUNCTION("""COMPUTED_VALUE"""),"")</f>
        <v/>
      </c>
    </row>
    <row r="481">
      <c r="A481" s="143">
        <f>IFERROR(__xludf.DUMMYFUNCTION("""COMPUTED_VALUE"""),44587.0)</f>
        <v>44587</v>
      </c>
      <c r="B481" s="143">
        <f>IFERROR(__xludf.DUMMYFUNCTION("""COMPUTED_VALUE"""),44681.0)</f>
        <v>44681</v>
      </c>
      <c r="C481" s="140" t="str">
        <f>IFERROR(__xludf.DUMMYFUNCTION("""COMPUTED_VALUE"""),"en")</f>
        <v>en</v>
      </c>
      <c r="D481">
        <f>IFERROR(__xludf.DUMMYFUNCTION("""COMPUTED_VALUE"""),3355948.0)</f>
        <v>3355948</v>
      </c>
      <c r="E481" t="str">
        <f>IFERROR(__xludf.DUMMYFUNCTION("""COMPUTED_VALUE"""),"SAP Analytics Cloud {C_SAC_2021} -  Material and Q&amp;A Dumps")</f>
        <v>SAP Analytics Cloud {C_SAC_2021} -  Material and Q&amp;A Dumps</v>
      </c>
      <c r="F481" t="str">
        <f>IFERROR(__xludf.DUMMYFUNCTION("""COMPUTED_VALUE"""),"SAP Analytics Cloud {C_SAC_2021} -  Material and Q&amp;A Dumps")</f>
        <v>SAP Analytics Cloud {C_SAC_2021} -  Material and Q&amp;A Dumps</v>
      </c>
      <c r="G481">
        <f>IFERROR(__xludf.DUMMYFUNCTION("""COMPUTED_VALUE"""),6.980479E7)</f>
        <v>69804790</v>
      </c>
      <c r="H481" t="str">
        <f>IFERROR(__xludf.DUMMYFUNCTION("""COMPUTED_VALUE"""),"SAP Guruji")</f>
        <v>SAP Guruji</v>
      </c>
      <c r="I481" t="str">
        <f>IFERROR(__xludf.DUMMYFUNCTION("""COMPUTED_VALUE"""),"Practice Test Audit")</f>
        <v>Practice Test Audit</v>
      </c>
      <c r="J481" t="b">
        <f>IFERROR(__xludf.DUMMYFUNCTION("""COMPUTED_VALUE"""),FALSE)</f>
        <v>0</v>
      </c>
      <c r="K481" s="142" t="str">
        <f>IFERROR(__xludf.DUMMYFUNCTION("""COMPUTED_VALUE"""),"Sales")</f>
        <v>Sales</v>
      </c>
      <c r="L481" s="142" t="str">
        <f>IFERROR(__xludf.DUMMYFUNCTION("""COMPUTED_VALUE"""),"Sales Skills &amp; Tools")</f>
        <v>Sales Skills &amp; Tools</v>
      </c>
      <c r="M481" s="140">
        <f>IFERROR(__xludf.DUMMYFUNCTION("""COMPUTED_VALUE"""),3852530.0)</f>
        <v>3852530</v>
      </c>
      <c r="N481" s="140" t="str">
        <f>IFERROR(__xludf.DUMMYFUNCTION("""COMPUTED_VALUE"""),"The Complete SAP Analytics Cloud Course 2021")</f>
        <v>The Complete SAP Analytics Cloud Course 2021</v>
      </c>
      <c r="P481" s="140" t="str">
        <f>IFERROR(__xludf.DUMMYFUNCTION("""COMPUTED_VALUE"""),"")</f>
        <v/>
      </c>
    </row>
    <row r="482">
      <c r="A482" s="143">
        <f>IFERROR(__xludf.DUMMYFUNCTION("""COMPUTED_VALUE"""),44587.0)</f>
        <v>44587</v>
      </c>
      <c r="B482" s="143">
        <f>IFERROR(__xludf.DUMMYFUNCTION("""COMPUTED_VALUE"""),44681.0)</f>
        <v>44681</v>
      </c>
      <c r="C482" s="140" t="str">
        <f>IFERROR(__xludf.DUMMYFUNCTION("""COMPUTED_VALUE"""),"en")</f>
        <v>en</v>
      </c>
      <c r="D482">
        <f>IFERROR(__xludf.DUMMYFUNCTION("""COMPUTED_VALUE"""),3533934.0)</f>
        <v>3533934</v>
      </c>
      <c r="E482" t="str">
        <f>IFERROR(__xludf.DUMMYFUNCTION("""COMPUTED_VALUE"""),"SAP Cloud Platform Integration Certification C_CPI_13")</f>
        <v>SAP Cloud Platform Integration Certification C_CPI_13</v>
      </c>
      <c r="F482" t="str">
        <f>IFERROR(__xludf.DUMMYFUNCTION("""COMPUTED_VALUE"""),"SAP Cloud Platform Integration Certification C_CPI_13")</f>
        <v>SAP Cloud Platform Integration Certification C_CPI_13</v>
      </c>
      <c r="G482">
        <f>IFERROR(__xludf.DUMMYFUNCTION("""COMPUTED_VALUE"""),1.34557224E8)</f>
        <v>134557224</v>
      </c>
      <c r="H482" t="str">
        <f>IFERROR(__xludf.DUMMYFUNCTION("""COMPUTED_VALUE"""),"Soumyajit DasMazumdar")</f>
        <v>Soumyajit DasMazumdar</v>
      </c>
      <c r="I482" t="str">
        <f>IFERROR(__xludf.DUMMYFUNCTION("""COMPUTED_VALUE"""),"Practice Test Audit")</f>
        <v>Practice Test Audit</v>
      </c>
      <c r="J482" t="b">
        <f>IFERROR(__xludf.DUMMYFUNCTION("""COMPUTED_VALUE"""),FALSE)</f>
        <v>0</v>
      </c>
      <c r="K482" s="142" t="str">
        <f>IFERROR(__xludf.DUMMYFUNCTION("""COMPUTED_VALUE"""),"IT Operations")</f>
        <v>IT Operations</v>
      </c>
      <c r="L482" s="142" t="str">
        <f>IFERROR(__xludf.DUMMYFUNCTION("""COMPUTED_VALUE"""),"Operating Systems &amp; Servers")</f>
        <v>Operating Systems &amp; Servers</v>
      </c>
      <c r="M482" s="140">
        <f>IFERROR(__xludf.DUMMYFUNCTION("""COMPUTED_VALUE"""),3852530.0)</f>
        <v>3852530</v>
      </c>
      <c r="N482" s="140" t="str">
        <f>IFERROR(__xludf.DUMMYFUNCTION("""COMPUTED_VALUE"""),"The Complete SAP Analytics Cloud Course 2021")</f>
        <v>The Complete SAP Analytics Cloud Course 2021</v>
      </c>
      <c r="P482" s="140" t="str">
        <f>IFERROR(__xludf.DUMMYFUNCTION("""COMPUTED_VALUE"""),"")</f>
        <v/>
      </c>
    </row>
    <row r="483">
      <c r="A483" s="143">
        <f>IFERROR(__xludf.DUMMYFUNCTION("""COMPUTED_VALUE"""),44587.0)</f>
        <v>44587</v>
      </c>
      <c r="B483" s="143">
        <f>IFERROR(__xludf.DUMMYFUNCTION("""COMPUTED_VALUE"""),44681.0)</f>
        <v>44681</v>
      </c>
      <c r="C483" s="140" t="str">
        <f>IFERROR(__xludf.DUMMYFUNCTION("""COMPUTED_VALUE"""),"en")</f>
        <v>en</v>
      </c>
      <c r="D483">
        <f>IFERROR(__xludf.DUMMYFUNCTION("""COMPUTED_VALUE"""),3165710.0)</f>
        <v>3165710</v>
      </c>
      <c r="E483" t="str">
        <f>IFERROR(__xludf.DUMMYFUNCTION("""COMPUTED_VALUE"""),"Tableau Desktop Specialist Certification Practice Tests 2021")</f>
        <v>Tableau Desktop Specialist Certification Practice Tests 2021</v>
      </c>
      <c r="F483" t="str">
        <f>IFERROR(__xludf.DUMMYFUNCTION("""COMPUTED_VALUE"""),"Tableau Desktop Specialist Certification Practice Tests 2021")</f>
        <v>Tableau Desktop Specialist Certification Practice Tests 2021</v>
      </c>
      <c r="G483">
        <f>IFERROR(__xludf.DUMMYFUNCTION("""COMPUTED_VALUE"""),2.1150568E7)</f>
        <v>21150568</v>
      </c>
      <c r="H483" t="str">
        <f>IFERROR(__xludf.DUMMYFUNCTION("""COMPUTED_VALUE"""),"Amandeep Sawhney | Tableau Expert &amp; Instructor")</f>
        <v>Amandeep Sawhney | Tableau Expert &amp; Instructor</v>
      </c>
      <c r="I483" t="str">
        <f>IFERROR(__xludf.DUMMYFUNCTION("""COMPUTED_VALUE"""),"Practice Test Audit")</f>
        <v>Practice Test Audit</v>
      </c>
      <c r="J483" t="b">
        <f>IFERROR(__xludf.DUMMYFUNCTION("""COMPUTED_VALUE"""),FALSE)</f>
        <v>0</v>
      </c>
      <c r="K483" s="142" t="str">
        <f>IFERROR(__xludf.DUMMYFUNCTION("""COMPUTED_VALUE"""),"IT Operations")</f>
        <v>IT Operations</v>
      </c>
      <c r="L483" s="142" t="str">
        <f>IFERROR(__xludf.DUMMYFUNCTION("""COMPUTED_VALUE"""),"IT Certifications")</f>
        <v>IT Certifications</v>
      </c>
      <c r="M483" s="140">
        <f>IFERROR(__xludf.DUMMYFUNCTION("""COMPUTED_VALUE"""),3914962.0)</f>
        <v>3914962</v>
      </c>
      <c r="N483" s="140" t="str">
        <f>IFERROR(__xludf.DUMMYFUNCTION("""COMPUTED_VALUE"""),"Tableau Certification Prep: Desktop Specialist + Associate")</f>
        <v>Tableau Certification Prep: Desktop Specialist + Associate</v>
      </c>
      <c r="P483" s="140" t="str">
        <f>IFERROR(__xludf.DUMMYFUNCTION("""COMPUTED_VALUE"""),"")</f>
        <v/>
      </c>
    </row>
    <row r="484">
      <c r="A484" s="143">
        <f>IFERROR(__xludf.DUMMYFUNCTION("""COMPUTED_VALUE"""),44587.0)</f>
        <v>44587</v>
      </c>
      <c r="B484" s="143">
        <f>IFERROR(__xludf.DUMMYFUNCTION("""COMPUTED_VALUE"""),44681.0)</f>
        <v>44681</v>
      </c>
      <c r="C484" s="140" t="str">
        <f>IFERROR(__xludf.DUMMYFUNCTION("""COMPUTED_VALUE"""),"en")</f>
        <v>en</v>
      </c>
      <c r="D484">
        <f>IFERROR(__xludf.DUMMYFUNCTION("""COMPUTED_VALUE"""),3834108.0)</f>
        <v>3834108</v>
      </c>
      <c r="E484" t="str">
        <f>IFERROR(__xludf.DUMMYFUNCTION("""COMPUTED_VALUE"""),"Google Certified Professional Cloud Architect Practice Tests")</f>
        <v>Google Certified Professional Cloud Architect Practice Tests</v>
      </c>
      <c r="F484" t="str">
        <f>IFERROR(__xludf.DUMMYFUNCTION("""COMPUTED_VALUE"""),"Google Certified Professional Cloud Architect Practice Tests")</f>
        <v>Google Certified Professional Cloud Architect Practice Tests</v>
      </c>
      <c r="G484">
        <f>IFERROR(__xludf.DUMMYFUNCTION("""COMPUTED_VALUE"""),1.50164442E8)</f>
        <v>150164442</v>
      </c>
      <c r="H484" t="str">
        <f>IFERROR(__xludf.DUMMYFUNCTION("""COMPUTED_VALUE"""),"gCloud Learn")</f>
        <v>gCloud Learn</v>
      </c>
      <c r="I484" t="str">
        <f>IFERROR(__xludf.DUMMYFUNCTION("""COMPUTED_VALUE"""),"Practice Test Audit")</f>
        <v>Practice Test Audit</v>
      </c>
      <c r="J484" t="b">
        <f>IFERROR(__xludf.DUMMYFUNCTION("""COMPUTED_VALUE"""),TRUE)</f>
        <v>1</v>
      </c>
      <c r="K484" s="142" t="str">
        <f>IFERROR(__xludf.DUMMYFUNCTION("""COMPUTED_VALUE"""),"Cloud Computing")</f>
        <v>Cloud Computing</v>
      </c>
      <c r="L484" s="142" t="str">
        <f>IFERROR(__xludf.DUMMYFUNCTION("""COMPUTED_VALUE"""),"Cloud Certification")</f>
        <v>Cloud Certification</v>
      </c>
      <c r="M484" s="140">
        <f>IFERROR(__xludf.DUMMYFUNCTION("""COMPUTED_VALUE"""),3995372.0)</f>
        <v>3995372</v>
      </c>
      <c r="N484" s="140" t="str">
        <f>IFERROR(__xludf.DUMMYFUNCTION("""COMPUTED_VALUE"""),"GCP Professional Cloud Architect: Google Cloud Certification")</f>
        <v>GCP Professional Cloud Architect: Google Cloud Certification</v>
      </c>
      <c r="P484" s="140" t="str">
        <f>IFERROR(__xludf.DUMMYFUNCTION("""COMPUTED_VALUE"""),"")</f>
        <v/>
      </c>
    </row>
    <row r="485">
      <c r="A485" s="143">
        <f>IFERROR(__xludf.DUMMYFUNCTION("""COMPUTED_VALUE"""),44587.0)</f>
        <v>44587</v>
      </c>
      <c r="B485" s="143">
        <f>IFERROR(__xludf.DUMMYFUNCTION("""COMPUTED_VALUE"""),44681.0)</f>
        <v>44681</v>
      </c>
      <c r="C485" s="140" t="str">
        <f>IFERROR(__xludf.DUMMYFUNCTION("""COMPUTED_VALUE"""),"en")</f>
        <v>en</v>
      </c>
      <c r="D485">
        <f>IFERROR(__xludf.DUMMYFUNCTION("""COMPUTED_VALUE"""),3891206.0)</f>
        <v>3891206</v>
      </c>
      <c r="E485" t="str">
        <f>IFERROR(__xludf.DUMMYFUNCTION("""COMPUTED_VALUE"""),"SC-900 Practice Tests (MS Security &amp; Identity) [UP TO DATE]")</f>
        <v>SC-900 Practice Tests (MS Security &amp; Identity) [UP TO DATE]</v>
      </c>
      <c r="F485" t="str">
        <f>IFERROR(__xludf.DUMMYFUNCTION("""COMPUTED_VALUE"""),"SC-900 Practice Tests (MS Security &amp; Identity) [UP TO DATE]")</f>
        <v>SC-900 Practice Tests (MS Security &amp; Identity) [UP TO DATE]</v>
      </c>
      <c r="G485">
        <f>IFERROR(__xludf.DUMMYFUNCTION("""COMPUTED_VALUE"""),2.3409678E7)</f>
        <v>23409678</v>
      </c>
      <c r="H485" t="str">
        <f>IFERROR(__xludf.DUMMYFUNCTION("""COMPUTED_VALUE"""),"Ravikiran Srinivasulu")</f>
        <v>Ravikiran Srinivasulu</v>
      </c>
      <c r="I485" t="str">
        <f>IFERROR(__xludf.DUMMYFUNCTION("""COMPUTED_VALUE"""),"Practice Test Audit")</f>
        <v>Practice Test Audit</v>
      </c>
      <c r="J485" t="b">
        <f>IFERROR(__xludf.DUMMYFUNCTION("""COMPUTED_VALUE"""),FALSE)</f>
        <v>0</v>
      </c>
      <c r="K485" s="142" t="str">
        <f>IFERROR(__xludf.DUMMYFUNCTION("""COMPUTED_VALUE"""),"IT Operations")</f>
        <v>IT Operations</v>
      </c>
      <c r="L485" s="142" t="str">
        <f>IFERROR(__xludf.DUMMYFUNCTION("""COMPUTED_VALUE"""),"IT Certifications")</f>
        <v>IT Certifications</v>
      </c>
      <c r="M485" s="140">
        <f>IFERROR(__xludf.DUMMYFUNCTION("""COMPUTED_VALUE"""),4105450.0)</f>
        <v>4105450</v>
      </c>
      <c r="N485" s="140" t="str">
        <f>IFERROR(__xludf.DUMMYFUNCTION("""COMPUTED_VALUE"""),"SC-900: Microsoft Security Fundamentals Exam Prep - NOV 2021")</f>
        <v>SC-900: Microsoft Security Fundamentals Exam Prep - NOV 2021</v>
      </c>
      <c r="P485" s="140" t="str">
        <f>IFERROR(__xludf.DUMMYFUNCTION("""COMPUTED_VALUE"""),"")</f>
        <v/>
      </c>
    </row>
    <row r="486">
      <c r="A486" s="143">
        <f>IFERROR(__xludf.DUMMYFUNCTION("""COMPUTED_VALUE"""),44587.0)</f>
        <v>44587</v>
      </c>
      <c r="B486" s="143">
        <f>IFERROR(__xludf.DUMMYFUNCTION("""COMPUTED_VALUE"""),44681.0)</f>
        <v>44681</v>
      </c>
      <c r="C486" s="140" t="str">
        <f>IFERROR(__xludf.DUMMYFUNCTION("""COMPUTED_VALUE"""),"en")</f>
        <v>en</v>
      </c>
      <c r="D486">
        <f>IFERROR(__xludf.DUMMYFUNCTION("""COMPUTED_VALUE"""),3021148.0)</f>
        <v>3021148</v>
      </c>
      <c r="E486" t="str">
        <f>IFERROR(__xludf.DUMMYFUNCTION("""COMPUTED_VALUE"""),"Python PCEP Certification Practice Tests")</f>
        <v>Python PCEP Certification Practice Tests</v>
      </c>
      <c r="F486" t="str">
        <f>IFERROR(__xludf.DUMMYFUNCTION("""COMPUTED_VALUE"""),"Python PCEP Certification Practice Tests")</f>
        <v>Python PCEP Certification Practice Tests</v>
      </c>
      <c r="G486">
        <f>IFERROR(__xludf.DUMMYFUNCTION("""COMPUTED_VALUE"""),3.6513764E7)</f>
        <v>36513764</v>
      </c>
      <c r="H486" t="str">
        <f>IFERROR(__xludf.DUMMYFUNCTION("""COMPUTED_VALUE"""),"Dhananjay Singh")</f>
        <v>Dhananjay Singh</v>
      </c>
      <c r="I486" t="str">
        <f>IFERROR(__xludf.DUMMYFUNCTION("""COMPUTED_VALUE"""),"Practice Test Audit")</f>
        <v>Practice Test Audit</v>
      </c>
      <c r="J486" t="b">
        <f>IFERROR(__xludf.DUMMYFUNCTION("""COMPUTED_VALUE"""),FALSE)</f>
        <v>0</v>
      </c>
      <c r="K486" s="142" t="str">
        <f>IFERROR(__xludf.DUMMYFUNCTION("""COMPUTED_VALUE"""),"IT Operations")</f>
        <v>IT Operations</v>
      </c>
      <c r="L486" s="142" t="str">
        <f>IFERROR(__xludf.DUMMYFUNCTION("""COMPUTED_VALUE"""),"IT Certifications")</f>
        <v>IT Certifications</v>
      </c>
      <c r="M486" s="140">
        <f>IFERROR(__xludf.DUMMYFUNCTION("""COMPUTED_VALUE"""),4325066.0)</f>
        <v>4325066</v>
      </c>
      <c r="N486" s="140" t="str">
        <f>IFERROR(__xludf.DUMMYFUNCTION("""COMPUTED_VALUE"""),"Python PCEP: Pass Certified Entry-Level Python Programmer")</f>
        <v>Python PCEP: Pass Certified Entry-Level Python Programmer</v>
      </c>
      <c r="P486" s="140" t="str">
        <f>IFERROR(__xludf.DUMMYFUNCTION("""COMPUTED_VALUE"""),"")</f>
        <v/>
      </c>
    </row>
    <row r="487">
      <c r="A487" s="143">
        <f>IFERROR(__xludf.DUMMYFUNCTION("""COMPUTED_VALUE"""),44587.0)</f>
        <v>44587</v>
      </c>
      <c r="B487" s="143">
        <f>IFERROR(__xludf.DUMMYFUNCTION("""COMPUTED_VALUE"""),44681.0)</f>
        <v>44681</v>
      </c>
      <c r="C487" s="140" t="str">
        <f>IFERROR(__xludf.DUMMYFUNCTION("""COMPUTED_VALUE"""),"en")</f>
        <v>en</v>
      </c>
      <c r="D487">
        <f>IFERROR(__xludf.DUMMYFUNCTION("""COMPUTED_VALUE"""),1459220.0)</f>
        <v>1459220</v>
      </c>
      <c r="E487" t="str">
        <f>IFERROR(__xludf.DUMMYFUNCTION("""COMPUTED_VALUE"""),"Cisco CyberOps - 200-201 CBROPS - Exam Simulations (2020)")</f>
        <v>Cisco CyberOps - 200-201 CBROPS - Exam Simulations (2020)</v>
      </c>
      <c r="F487" t="str">
        <f>IFERROR(__xludf.DUMMYFUNCTION("""COMPUTED_VALUE"""),"Cisco CyberOps - 200-201 CBROPS - Exam Simulations (2020)")</f>
        <v>Cisco CyberOps - 200-201 CBROPS - Exam Simulations (2020)</v>
      </c>
      <c r="G487">
        <f>IFERROR(__xludf.DUMMYFUNCTION("""COMPUTED_VALUE"""),1.8801034E7)</f>
        <v>18801034</v>
      </c>
      <c r="H487" t="str">
        <f>IFERROR(__xludf.DUMMYFUNCTION("""COMPUTED_VALUE"""),"Md. Shahinoor Mannan")</f>
        <v>Md. Shahinoor Mannan</v>
      </c>
      <c r="I487" t="str">
        <f>IFERROR(__xludf.DUMMYFUNCTION("""COMPUTED_VALUE"""),"Practice Test Audit")</f>
        <v>Practice Test Audit</v>
      </c>
      <c r="J487" t="b">
        <f>IFERROR(__xludf.DUMMYFUNCTION("""COMPUTED_VALUE"""),FALSE)</f>
        <v>0</v>
      </c>
      <c r="K487" s="142" t="str">
        <f>IFERROR(__xludf.DUMMYFUNCTION("""COMPUTED_VALUE"""),"IT Operations")</f>
        <v>IT Operations</v>
      </c>
      <c r="L487" s="142" t="str">
        <f>IFERROR(__xludf.DUMMYFUNCTION("""COMPUTED_VALUE"""),"IT Certifications")</f>
        <v>IT Certifications</v>
      </c>
      <c r="N487" s="140" t="str">
        <f>IFERROR(__xludf.DUMMYFUNCTION("""COMPUTED_VALUE"""),"")</f>
        <v/>
      </c>
      <c r="P487" s="140" t="str">
        <f>IFERROR(__xludf.DUMMYFUNCTION("""COMPUTED_VALUE"""),"")</f>
        <v/>
      </c>
    </row>
    <row r="488">
      <c r="A488" s="143">
        <f>IFERROR(__xludf.DUMMYFUNCTION("""COMPUTED_VALUE"""),44587.0)</f>
        <v>44587</v>
      </c>
      <c r="B488" s="143">
        <f>IFERROR(__xludf.DUMMYFUNCTION("""COMPUTED_VALUE"""),44681.0)</f>
        <v>44681</v>
      </c>
      <c r="C488" s="140" t="str">
        <f>IFERROR(__xludf.DUMMYFUNCTION("""COMPUTED_VALUE"""),"en")</f>
        <v>en</v>
      </c>
      <c r="D488">
        <f>IFERROR(__xludf.DUMMYFUNCTION("""COMPUTED_VALUE"""),1482926.0)</f>
        <v>1482926</v>
      </c>
      <c r="E488" t="str">
        <f>IFERROR(__xludf.DUMMYFUNCTION("""COMPUTED_VALUE"""),"Forensic Investigator Practice Exam")</f>
        <v>Forensic Investigator Practice Exam</v>
      </c>
      <c r="F488" t="str">
        <f>IFERROR(__xludf.DUMMYFUNCTION("""COMPUTED_VALUE"""),"Forensic Investigator Practice Exam")</f>
        <v>Forensic Investigator Practice Exam</v>
      </c>
      <c r="G488">
        <f>IFERROR(__xludf.DUMMYFUNCTION("""COMPUTED_VALUE"""),2500286.0)</f>
        <v>2500286</v>
      </c>
      <c r="H488" t="str">
        <f>IFERROR(__xludf.DUMMYFUNCTION("""COMPUTED_VALUE"""),"Kenneth Underhill, CEH, CHFI")</f>
        <v>Kenneth Underhill, CEH, CHFI</v>
      </c>
      <c r="I488" t="str">
        <f>IFERROR(__xludf.DUMMYFUNCTION("""COMPUTED_VALUE"""),"Practice Test Audit")</f>
        <v>Practice Test Audit</v>
      </c>
      <c r="J488" t="b">
        <f>IFERROR(__xludf.DUMMYFUNCTION("""COMPUTED_VALUE"""),FALSE)</f>
        <v>0</v>
      </c>
      <c r="K488" s="142" t="str">
        <f>IFERROR(__xludf.DUMMYFUNCTION("""COMPUTED_VALUE"""),"IT Operations")</f>
        <v>IT Operations</v>
      </c>
      <c r="L488" s="142" t="str">
        <f>IFERROR(__xludf.DUMMYFUNCTION("""COMPUTED_VALUE"""),"IT Certifications")</f>
        <v>IT Certifications</v>
      </c>
      <c r="N488" s="140" t="str">
        <f>IFERROR(__xludf.DUMMYFUNCTION("""COMPUTED_VALUE"""),"")</f>
        <v/>
      </c>
      <c r="P488" s="140" t="str">
        <f>IFERROR(__xludf.DUMMYFUNCTION("""COMPUTED_VALUE"""),"")</f>
        <v/>
      </c>
    </row>
    <row r="489">
      <c r="A489" s="143">
        <f>IFERROR(__xludf.DUMMYFUNCTION("""COMPUTED_VALUE"""),44587.0)</f>
        <v>44587</v>
      </c>
      <c r="B489" s="143">
        <f>IFERROR(__xludf.DUMMYFUNCTION("""COMPUTED_VALUE"""),44681.0)</f>
        <v>44681</v>
      </c>
      <c r="C489" s="140" t="str">
        <f>IFERROR(__xludf.DUMMYFUNCTION("""COMPUTED_VALUE"""),"en")</f>
        <v>en</v>
      </c>
      <c r="D489">
        <f>IFERROR(__xludf.DUMMYFUNCTION("""COMPUTED_VALUE"""),1550970.0)</f>
        <v>1550970</v>
      </c>
      <c r="E489" t="str">
        <f>IFERROR(__xludf.DUMMYFUNCTION("""COMPUTED_VALUE"""),"Java Certification : OCP (1Z0-809) Exam Simulation [2021]")</f>
        <v>Java Certification : OCP (1Z0-809) Exam Simulation [2021]</v>
      </c>
      <c r="F489" t="str">
        <f>IFERROR(__xludf.DUMMYFUNCTION("""COMPUTED_VALUE"""),"Java Certification : OCP (1Z0-809) Exam Simulation [2021]")</f>
        <v>Java Certification : OCP (1Z0-809) Exam Simulation [2021]</v>
      </c>
      <c r="G489">
        <f>IFERROR(__xludf.DUMMYFUNCTION("""COMPUTED_VALUE"""),1.5168548E7)</f>
        <v>15168548</v>
      </c>
      <c r="H489" t="str">
        <f>IFERROR(__xludf.DUMMYFUNCTION("""COMPUTED_VALUE"""),"Udayan Khattry")</f>
        <v>Udayan Khattry</v>
      </c>
      <c r="I489" t="str">
        <f>IFERROR(__xludf.DUMMYFUNCTION("""COMPUTED_VALUE"""),"Practice Test Audit")</f>
        <v>Practice Test Audit</v>
      </c>
      <c r="J489" t="b">
        <f>IFERROR(__xludf.DUMMYFUNCTION("""COMPUTED_VALUE"""),FALSE)</f>
        <v>0</v>
      </c>
      <c r="K489" s="142" t="str">
        <f>IFERROR(__xludf.DUMMYFUNCTION("""COMPUTED_VALUE"""),"Development")</f>
        <v>Development</v>
      </c>
      <c r="L489" s="142" t="str">
        <f>IFERROR(__xludf.DUMMYFUNCTION("""COMPUTED_VALUE"""),"Programming Languages")</f>
        <v>Programming Languages</v>
      </c>
      <c r="N489" s="140" t="str">
        <f>IFERROR(__xludf.DUMMYFUNCTION("""COMPUTED_VALUE"""),"")</f>
        <v/>
      </c>
      <c r="P489" s="140" t="str">
        <f>IFERROR(__xludf.DUMMYFUNCTION("""COMPUTED_VALUE"""),"")</f>
        <v/>
      </c>
    </row>
    <row r="490">
      <c r="A490" s="143">
        <f>IFERROR(__xludf.DUMMYFUNCTION("""COMPUTED_VALUE"""),44587.0)</f>
        <v>44587</v>
      </c>
      <c r="B490" s="143">
        <f>IFERROR(__xludf.DUMMYFUNCTION("""COMPUTED_VALUE"""),44681.0)</f>
        <v>44681</v>
      </c>
      <c r="C490" s="140" t="str">
        <f>IFERROR(__xludf.DUMMYFUNCTION("""COMPUTED_VALUE"""),"en")</f>
        <v>en</v>
      </c>
      <c r="D490">
        <f>IFERROR(__xludf.DUMMYFUNCTION("""COMPUTED_VALUE"""),1783040.0)</f>
        <v>1783040</v>
      </c>
      <c r="E490" t="str">
        <f>IFERROR(__xludf.DUMMYFUNCTION("""COMPUTED_VALUE"""),"Java Certification - OCP (1Z0-809) Topic-wise Tests [2021]")</f>
        <v>Java Certification - OCP (1Z0-809) Topic-wise Tests [2021]</v>
      </c>
      <c r="F490" t="str">
        <f>IFERROR(__xludf.DUMMYFUNCTION("""COMPUTED_VALUE"""),"Java Certification - OCP (1Z0-809) Topic-wise Tests [2021]")</f>
        <v>Java Certification - OCP (1Z0-809) Topic-wise Tests [2021]</v>
      </c>
      <c r="G490">
        <f>IFERROR(__xludf.DUMMYFUNCTION("""COMPUTED_VALUE"""),1.5168548E7)</f>
        <v>15168548</v>
      </c>
      <c r="H490" t="str">
        <f>IFERROR(__xludf.DUMMYFUNCTION("""COMPUTED_VALUE"""),"Udayan Khattry")</f>
        <v>Udayan Khattry</v>
      </c>
      <c r="I490" t="str">
        <f>IFERROR(__xludf.DUMMYFUNCTION("""COMPUTED_VALUE"""),"Practice Test Audit")</f>
        <v>Practice Test Audit</v>
      </c>
      <c r="J490" t="b">
        <f>IFERROR(__xludf.DUMMYFUNCTION("""COMPUTED_VALUE"""),FALSE)</f>
        <v>0</v>
      </c>
      <c r="K490" s="142" t="str">
        <f>IFERROR(__xludf.DUMMYFUNCTION("""COMPUTED_VALUE"""),"IT Operations")</f>
        <v>IT Operations</v>
      </c>
      <c r="L490" s="142" t="str">
        <f>IFERROR(__xludf.DUMMYFUNCTION("""COMPUTED_VALUE"""),"IT Certifications")</f>
        <v>IT Certifications</v>
      </c>
      <c r="N490" s="140" t="str">
        <f>IFERROR(__xludf.DUMMYFUNCTION("""COMPUTED_VALUE"""),"")</f>
        <v/>
      </c>
      <c r="P490" s="140" t="str">
        <f>IFERROR(__xludf.DUMMYFUNCTION("""COMPUTED_VALUE"""),"")</f>
        <v/>
      </c>
    </row>
    <row r="491">
      <c r="A491" s="143">
        <f>IFERROR(__xludf.DUMMYFUNCTION("""COMPUTED_VALUE"""),44587.0)</f>
        <v>44587</v>
      </c>
      <c r="B491" s="143">
        <f>IFERROR(__xludf.DUMMYFUNCTION("""COMPUTED_VALUE"""),44681.0)</f>
        <v>44681</v>
      </c>
      <c r="C491" s="140" t="str">
        <f>IFERROR(__xludf.DUMMYFUNCTION("""COMPUTED_VALUE"""),"en")</f>
        <v>en</v>
      </c>
      <c r="D491">
        <f>IFERROR(__xludf.DUMMYFUNCTION("""COMPUTED_VALUE"""),1933016.0)</f>
        <v>1933016</v>
      </c>
      <c r="E491" t="str">
        <f>IFERROR(__xludf.DUMMYFUNCTION("""COMPUTED_VALUE"""),"Informatica Data Quality Developer Specialist Certification")</f>
        <v>Informatica Data Quality Developer Specialist Certification</v>
      </c>
      <c r="F491" t="str">
        <f>IFERROR(__xludf.DUMMYFUNCTION("""COMPUTED_VALUE"""),"Informatica Data Quality Developer Specialist Certification")</f>
        <v>Informatica Data Quality Developer Specialist Certification</v>
      </c>
      <c r="G491">
        <f>IFERROR(__xludf.DUMMYFUNCTION("""COMPUTED_VALUE"""),5.5058354E7)</f>
        <v>55058354</v>
      </c>
      <c r="H491" t="str">
        <f>IFERROR(__xludf.DUMMYFUNCTION("""COMPUTED_VALUE"""),"Shiva S")</f>
        <v>Shiva S</v>
      </c>
      <c r="I491" t="str">
        <f>IFERROR(__xludf.DUMMYFUNCTION("""COMPUTED_VALUE"""),"Practice Test Audit")</f>
        <v>Practice Test Audit</v>
      </c>
      <c r="J491" t="b">
        <f>IFERROR(__xludf.DUMMYFUNCTION("""COMPUTED_VALUE"""),FALSE)</f>
        <v>0</v>
      </c>
      <c r="K491" s="142" t="str">
        <f>IFERROR(__xludf.DUMMYFUNCTION("""COMPUTED_VALUE"""),"Data Science")</f>
        <v>Data Science</v>
      </c>
      <c r="L491" s="142" t="str">
        <f>IFERROR(__xludf.DUMMYFUNCTION("""COMPUTED_VALUE"""),"Big Data")</f>
        <v>Big Data</v>
      </c>
      <c r="N491" s="140" t="str">
        <f>IFERROR(__xludf.DUMMYFUNCTION("""COMPUTED_VALUE"""),"")</f>
        <v/>
      </c>
      <c r="P491" s="140" t="str">
        <f>IFERROR(__xludf.DUMMYFUNCTION("""COMPUTED_VALUE"""),"")</f>
        <v/>
      </c>
    </row>
    <row r="492">
      <c r="A492" s="143">
        <f>IFERROR(__xludf.DUMMYFUNCTION("""COMPUTED_VALUE"""),44587.0)</f>
        <v>44587</v>
      </c>
      <c r="B492" s="143">
        <f>IFERROR(__xludf.DUMMYFUNCTION("""COMPUTED_VALUE"""),44681.0)</f>
        <v>44681</v>
      </c>
      <c r="C492" s="140" t="str">
        <f>IFERROR(__xludf.DUMMYFUNCTION("""COMPUTED_VALUE"""),"en")</f>
        <v>en</v>
      </c>
      <c r="D492">
        <f>IFERROR(__xludf.DUMMYFUNCTION("""COMPUTED_VALUE"""),2013284.0)</f>
        <v>2013284</v>
      </c>
      <c r="E492" t="str">
        <f>IFERROR(__xludf.DUMMYFUNCTION("""COMPUTED_VALUE"""),"Microsoft Python Certification Exam (98-381): Practice Tests")</f>
        <v>Microsoft Python Certification Exam (98-381): Practice Tests</v>
      </c>
      <c r="F492" t="str">
        <f>IFERROR(__xludf.DUMMYFUNCTION("""COMPUTED_VALUE"""),"Microsoft Python Certification Exam (98-381): Practice Tests")</f>
        <v>Microsoft Python Certification Exam (98-381): Practice Tests</v>
      </c>
      <c r="G492">
        <f>IFERROR(__xludf.DUMMYFUNCTION("""COMPUTED_VALUE"""),4.0194854E7)</f>
        <v>40194854</v>
      </c>
      <c r="H492" t="str">
        <f>IFERROR(__xludf.DUMMYFUNCTION("""COMPUTED_VALUE"""),"DURGASOFT DURGA")</f>
        <v>DURGASOFT DURGA</v>
      </c>
      <c r="I492" t="str">
        <f>IFERROR(__xludf.DUMMYFUNCTION("""COMPUTED_VALUE"""),"Practice Test Audit")</f>
        <v>Practice Test Audit</v>
      </c>
      <c r="J492" t="b">
        <f>IFERROR(__xludf.DUMMYFUNCTION("""COMPUTED_VALUE"""),FALSE)</f>
        <v>0</v>
      </c>
      <c r="K492" s="142" t="str">
        <f>IFERROR(__xludf.DUMMYFUNCTION("""COMPUTED_VALUE"""),"IT Operations")</f>
        <v>IT Operations</v>
      </c>
      <c r="L492" s="142" t="str">
        <f>IFERROR(__xludf.DUMMYFUNCTION("""COMPUTED_VALUE"""),"IT Certifications")</f>
        <v>IT Certifications</v>
      </c>
      <c r="N492" s="140" t="str">
        <f>IFERROR(__xludf.DUMMYFUNCTION("""COMPUTED_VALUE"""),"")</f>
        <v/>
      </c>
      <c r="P492" s="140" t="str">
        <f>IFERROR(__xludf.DUMMYFUNCTION("""COMPUTED_VALUE"""),"")</f>
        <v/>
      </c>
    </row>
    <row r="493">
      <c r="A493" s="143">
        <f>IFERROR(__xludf.DUMMYFUNCTION("""COMPUTED_VALUE"""),44587.0)</f>
        <v>44587</v>
      </c>
      <c r="B493" s="143">
        <f>IFERROR(__xludf.DUMMYFUNCTION("""COMPUTED_VALUE"""),44681.0)</f>
        <v>44681</v>
      </c>
      <c r="C493" s="140" t="str">
        <f>IFERROR(__xludf.DUMMYFUNCTION("""COMPUTED_VALUE"""),"en")</f>
        <v>en</v>
      </c>
      <c r="D493">
        <f>IFERROR(__xludf.DUMMYFUNCTION("""COMPUTED_VALUE"""),2216622.0)</f>
        <v>2216622</v>
      </c>
      <c r="E493" t="str">
        <f>IFERROR(__xludf.DUMMYFUNCTION("""COMPUTED_VALUE"""),"MTA 98-361 Software Development Fundamentals C# Exam Prep")</f>
        <v>MTA 98-361 Software Development Fundamentals C# Exam Prep</v>
      </c>
      <c r="F493" t="str">
        <f>IFERROR(__xludf.DUMMYFUNCTION("""COMPUTED_VALUE"""),"MTA 98-361 Software Development Fundamentals C# Exam Prep")</f>
        <v>MTA 98-361 Software Development Fundamentals C# Exam Prep</v>
      </c>
      <c r="G493">
        <f>IFERROR(__xludf.DUMMYFUNCTION("""COMPUTED_VALUE"""),3.236706E7)</f>
        <v>32367060</v>
      </c>
      <c r="H493" t="str">
        <f>IFERROR(__xludf.DUMMYFUNCTION("""COMPUTED_VALUE"""),"Sonia Cross")</f>
        <v>Sonia Cross</v>
      </c>
      <c r="I493" t="str">
        <f>IFERROR(__xludf.DUMMYFUNCTION("""COMPUTED_VALUE"""),"Practice Test Audit")</f>
        <v>Practice Test Audit</v>
      </c>
      <c r="J493" t="b">
        <f>IFERROR(__xludf.DUMMYFUNCTION("""COMPUTED_VALUE"""),FALSE)</f>
        <v>0</v>
      </c>
      <c r="K493" s="142" t="str">
        <f>IFERROR(__xludf.DUMMYFUNCTION("""COMPUTED_VALUE"""),"IT Operations")</f>
        <v>IT Operations</v>
      </c>
      <c r="L493" s="142" t="str">
        <f>IFERROR(__xludf.DUMMYFUNCTION("""COMPUTED_VALUE"""),"IT Certifications")</f>
        <v>IT Certifications</v>
      </c>
      <c r="M493" s="140">
        <f>IFERROR(__xludf.DUMMYFUNCTION("""COMPUTED_VALUE"""),2670702.0)</f>
        <v>2670702</v>
      </c>
      <c r="N493" s="140" t="str">
        <f>IFERROR(__xludf.DUMMYFUNCTION("""COMPUTED_VALUE"""),"")</f>
        <v/>
      </c>
      <c r="P493" s="140" t="str">
        <f>IFERROR(__xludf.DUMMYFUNCTION("""COMPUTED_VALUE"""),"")</f>
        <v/>
      </c>
    </row>
    <row r="494">
      <c r="A494" s="143">
        <f>IFERROR(__xludf.DUMMYFUNCTION("""COMPUTED_VALUE"""),44587.0)</f>
        <v>44587</v>
      </c>
      <c r="B494" s="143">
        <f>IFERROR(__xludf.DUMMYFUNCTION("""COMPUTED_VALUE"""),44681.0)</f>
        <v>44681</v>
      </c>
      <c r="C494" s="140" t="str">
        <f>IFERROR(__xludf.DUMMYFUNCTION("""COMPUTED_VALUE"""),"en")</f>
        <v>en</v>
      </c>
      <c r="D494">
        <f>IFERROR(__xludf.DUMMYFUNCTION("""COMPUTED_VALUE"""),2428350.0)</f>
        <v>2428350</v>
      </c>
      <c r="E494" t="str">
        <f>IFERROR(__xludf.DUMMYFUNCTION("""COMPUTED_VALUE"""),"Informatica Cloud Specialist Certification")</f>
        <v>Informatica Cloud Specialist Certification</v>
      </c>
      <c r="F494" t="str">
        <f>IFERROR(__xludf.DUMMYFUNCTION("""COMPUTED_VALUE"""),"Informatica Cloud Specialist Certification")</f>
        <v>Informatica Cloud Specialist Certification</v>
      </c>
      <c r="G494">
        <f>IFERROR(__xludf.DUMMYFUNCTION("""COMPUTED_VALUE"""),5.5058354E7)</f>
        <v>55058354</v>
      </c>
      <c r="H494" t="str">
        <f>IFERROR(__xludf.DUMMYFUNCTION("""COMPUTED_VALUE"""),"Shiva S")</f>
        <v>Shiva S</v>
      </c>
      <c r="I494" t="str">
        <f>IFERROR(__xludf.DUMMYFUNCTION("""COMPUTED_VALUE"""),"Practice Test Audit")</f>
        <v>Practice Test Audit</v>
      </c>
      <c r="J494" t="b">
        <f>IFERROR(__xludf.DUMMYFUNCTION("""COMPUTED_VALUE"""),FALSE)</f>
        <v>0</v>
      </c>
      <c r="K494" s="142" t="str">
        <f>IFERROR(__xludf.DUMMYFUNCTION("""COMPUTED_VALUE"""),"Data Science")</f>
        <v>Data Science</v>
      </c>
      <c r="L494" s="142" t="str">
        <f>IFERROR(__xludf.DUMMYFUNCTION("""COMPUTED_VALUE"""),"Big Data")</f>
        <v>Big Data</v>
      </c>
      <c r="N494" s="140" t="str">
        <f>IFERROR(__xludf.DUMMYFUNCTION("""COMPUTED_VALUE"""),"")</f>
        <v/>
      </c>
      <c r="P494" s="140" t="str">
        <f>IFERROR(__xludf.DUMMYFUNCTION("""COMPUTED_VALUE"""),"")</f>
        <v/>
      </c>
    </row>
    <row r="495">
      <c r="A495" s="143">
        <f>IFERROR(__xludf.DUMMYFUNCTION("""COMPUTED_VALUE"""),44587.0)</f>
        <v>44587</v>
      </c>
      <c r="B495" s="143">
        <f>IFERROR(__xludf.DUMMYFUNCTION("""COMPUTED_VALUE"""),44681.0)</f>
        <v>44681</v>
      </c>
      <c r="C495" s="140" t="str">
        <f>IFERROR(__xludf.DUMMYFUNCTION("""COMPUTED_VALUE"""),"en")</f>
        <v>en</v>
      </c>
      <c r="D495">
        <f>IFERROR(__xludf.DUMMYFUNCTION("""COMPUTED_VALUE"""),2503012.0)</f>
        <v>2503012</v>
      </c>
      <c r="E495" t="str">
        <f>IFERROR(__xludf.DUMMYFUNCTION("""COMPUTED_VALUE"""),"ServiceNow HRSD Implementation Specialist Tests")</f>
        <v>ServiceNow HRSD Implementation Specialist Tests</v>
      </c>
      <c r="F495" t="str">
        <f>IFERROR(__xludf.DUMMYFUNCTION("""COMPUTED_VALUE"""),"ServiceNow HRSD Implementation Specialist Tests")</f>
        <v>ServiceNow HRSD Implementation Specialist Tests</v>
      </c>
      <c r="G495">
        <f>IFERROR(__xludf.DUMMYFUNCTION("""COMPUTED_VALUE"""),3.0762798E7)</f>
        <v>30762798</v>
      </c>
      <c r="H495" t="str">
        <f>IFERROR(__xludf.DUMMYFUNCTION("""COMPUTED_VALUE"""),"Mohammad Abuali")</f>
        <v>Mohammad Abuali</v>
      </c>
      <c r="I495" t="str">
        <f>IFERROR(__xludf.DUMMYFUNCTION("""COMPUTED_VALUE"""),"Practice Test Audit")</f>
        <v>Practice Test Audit</v>
      </c>
      <c r="J495" t="b">
        <f>IFERROR(__xludf.DUMMYFUNCTION("""COMPUTED_VALUE"""),FALSE)</f>
        <v>0</v>
      </c>
      <c r="K495" s="142" t="str">
        <f>IFERROR(__xludf.DUMMYFUNCTION("""COMPUTED_VALUE"""),"IT Operations")</f>
        <v>IT Operations</v>
      </c>
      <c r="L495" s="142" t="str">
        <f>IFERROR(__xludf.DUMMYFUNCTION("""COMPUTED_VALUE"""),"IT Certifications")</f>
        <v>IT Certifications</v>
      </c>
      <c r="N495" s="140" t="str">
        <f>IFERROR(__xludf.DUMMYFUNCTION("""COMPUTED_VALUE"""),"")</f>
        <v/>
      </c>
      <c r="P495" s="140" t="str">
        <f>IFERROR(__xludf.DUMMYFUNCTION("""COMPUTED_VALUE"""),"")</f>
        <v/>
      </c>
    </row>
    <row r="496">
      <c r="A496" s="143">
        <f>IFERROR(__xludf.DUMMYFUNCTION("""COMPUTED_VALUE"""),44587.0)</f>
        <v>44587</v>
      </c>
      <c r="B496" s="143">
        <f>IFERROR(__xludf.DUMMYFUNCTION("""COMPUTED_VALUE"""),44681.0)</f>
        <v>44681</v>
      </c>
      <c r="C496" s="140" t="str">
        <f>IFERROR(__xludf.DUMMYFUNCTION("""COMPUTED_VALUE"""),"en")</f>
        <v>en</v>
      </c>
      <c r="D496">
        <f>IFERROR(__xludf.DUMMYFUNCTION("""COMPUTED_VALUE"""),2786922.0)</f>
        <v>2786922</v>
      </c>
      <c r="E496" t="str">
        <f>IFERROR(__xludf.DUMMYFUNCTION("""COMPUTED_VALUE"""),"Level 4 Diploma - Ethical &amp; Responsible Sourcing (L4M4)")</f>
        <v>Level 4 Diploma - Ethical &amp; Responsible Sourcing (L4M4)</v>
      </c>
      <c r="F496" t="str">
        <f>IFERROR(__xludf.DUMMYFUNCTION("""COMPUTED_VALUE"""),"Level 4 Diploma - Ethical &amp; Responsible Sourcing (L4M4)")</f>
        <v>Level 4 Diploma - Ethical &amp; Responsible Sourcing (L4M4)</v>
      </c>
      <c r="G496">
        <f>IFERROR(__xludf.DUMMYFUNCTION("""COMPUTED_VALUE"""),6.9862614E7)</f>
        <v>69862614</v>
      </c>
      <c r="H496" t="str">
        <f>IFERROR(__xludf.DUMMYFUNCTION("""COMPUTED_VALUE"""),"Daniel Do")</f>
        <v>Daniel Do</v>
      </c>
      <c r="I496" t="str">
        <f>IFERROR(__xludf.DUMMYFUNCTION("""COMPUTED_VALUE"""),"Practice Test Audit")</f>
        <v>Practice Test Audit</v>
      </c>
      <c r="J496" t="b">
        <f>IFERROR(__xludf.DUMMYFUNCTION("""COMPUTED_VALUE"""),FALSE)</f>
        <v>0</v>
      </c>
      <c r="K496" s="142" t="str">
        <f>IFERROR(__xludf.DUMMYFUNCTION("""COMPUTED_VALUE"""),"Project Management &amp; Operations")</f>
        <v>Project Management &amp; Operations</v>
      </c>
      <c r="L496" s="142" t="str">
        <f>IFERROR(__xludf.DUMMYFUNCTION("""COMPUTED_VALUE"""),"Operations Management")</f>
        <v>Operations Management</v>
      </c>
      <c r="N496" s="140" t="str">
        <f>IFERROR(__xludf.DUMMYFUNCTION("""COMPUTED_VALUE"""),"")</f>
        <v/>
      </c>
      <c r="P496" s="140" t="str">
        <f>IFERROR(__xludf.DUMMYFUNCTION("""COMPUTED_VALUE"""),"")</f>
        <v/>
      </c>
    </row>
    <row r="497">
      <c r="A497" s="143">
        <f>IFERROR(__xludf.DUMMYFUNCTION("""COMPUTED_VALUE"""),44587.0)</f>
        <v>44587</v>
      </c>
      <c r="B497" s="143">
        <f>IFERROR(__xludf.DUMMYFUNCTION("""COMPUTED_VALUE"""),44681.0)</f>
        <v>44681</v>
      </c>
      <c r="C497" t="str">
        <f>IFERROR(__xludf.DUMMYFUNCTION("""COMPUTED_VALUE"""),"en")</f>
        <v>en</v>
      </c>
      <c r="D497">
        <f>IFERROR(__xludf.DUMMYFUNCTION("""COMPUTED_VALUE"""),3657580.0)</f>
        <v>3657580</v>
      </c>
      <c r="E497" t="str">
        <f>IFERROR(__xludf.DUMMYFUNCTION("""COMPUTED_VALUE"""),"CyberArk Certification - Defender &amp; Sentry Practice Exam")</f>
        <v>CyberArk Certification - Defender &amp; Sentry Practice Exam</v>
      </c>
      <c r="F497" t="str">
        <f>IFERROR(__xludf.DUMMYFUNCTION("""COMPUTED_VALUE"""),"CyberArk Certification - Defender &amp; Sentry Practice Exam")</f>
        <v>CyberArk Certification - Defender &amp; Sentry Practice Exam</v>
      </c>
      <c r="G497">
        <f>IFERROR(__xludf.DUMMYFUNCTION("""COMPUTED_VALUE"""),3.430493E7)</f>
        <v>34304930</v>
      </c>
      <c r="H497" t="str">
        <f>IFERROR(__xludf.DUMMYFUNCTION("""COMPUTED_VALUE"""),"Ali Muhammad")</f>
        <v>Ali Muhammad</v>
      </c>
      <c r="I497" t="str">
        <f>IFERROR(__xludf.DUMMYFUNCTION("""COMPUTED_VALUE"""),"Practice Test Audit")</f>
        <v>Practice Test Audit</v>
      </c>
      <c r="J497" t="b">
        <f>IFERROR(__xludf.DUMMYFUNCTION("""COMPUTED_VALUE"""),FALSE)</f>
        <v>0</v>
      </c>
      <c r="K497" s="142" t="str">
        <f>IFERROR(__xludf.DUMMYFUNCTION("""COMPUTED_VALUE"""),"IT Operations")</f>
        <v>IT Operations</v>
      </c>
      <c r="L497" s="142" t="str">
        <f>IFERROR(__xludf.DUMMYFUNCTION("""COMPUTED_VALUE"""),"IT Certifications")</f>
        <v>IT Certifications</v>
      </c>
      <c r="N497" s="140" t="str">
        <f>IFERROR(__xludf.DUMMYFUNCTION("""COMPUTED_VALUE"""),"")</f>
        <v/>
      </c>
      <c r="P497" s="140" t="str">
        <f>IFERROR(__xludf.DUMMYFUNCTION("""COMPUTED_VALUE"""),"")</f>
        <v/>
      </c>
    </row>
    <row r="498">
      <c r="A498" s="143">
        <f>IFERROR(__xludf.DUMMYFUNCTION("""COMPUTED_VALUE"""),44587.0)</f>
        <v>44587</v>
      </c>
      <c r="B498" s="143">
        <f>IFERROR(__xludf.DUMMYFUNCTION("""COMPUTED_VALUE"""),44681.0)</f>
        <v>44681</v>
      </c>
      <c r="C498" s="140" t="str">
        <f>IFERROR(__xludf.DUMMYFUNCTION("""COMPUTED_VALUE"""),"en")</f>
        <v>en</v>
      </c>
      <c r="D498">
        <f>IFERROR(__xludf.DUMMYFUNCTION("""COMPUTED_VALUE"""),3867378.0)</f>
        <v>3867378</v>
      </c>
      <c r="E498" t="str">
        <f>IFERROR(__xludf.DUMMYFUNCTION("""COMPUTED_VALUE"""),"CDMP Certified Data Management Professional Practice Exams")</f>
        <v>CDMP Certified Data Management Professional Practice Exams</v>
      </c>
      <c r="F498" t="str">
        <f>IFERROR(__xludf.DUMMYFUNCTION("""COMPUTED_VALUE"""),"CDMP Certified Data Management Professional Practice Exams")</f>
        <v>CDMP Certified Data Management Professional Practice Exams</v>
      </c>
      <c r="G498">
        <f>IFERROR(__xludf.DUMMYFUNCTION("""COMPUTED_VALUE"""),1.51570656E8)</f>
        <v>151570656</v>
      </c>
      <c r="H498" t="str">
        <f>IFERROR(__xludf.DUMMYFUNCTION("""COMPUTED_VALUE"""),"Data Lab")</f>
        <v>Data Lab</v>
      </c>
      <c r="I498" t="str">
        <f>IFERROR(__xludf.DUMMYFUNCTION("""COMPUTED_VALUE"""),"Practice Test Audit")</f>
        <v>Practice Test Audit</v>
      </c>
      <c r="J498" t="b">
        <f>IFERROR(__xludf.DUMMYFUNCTION("""COMPUTED_VALUE"""),FALSE)</f>
        <v>0</v>
      </c>
      <c r="K498" s="142" t="str">
        <f>IFERROR(__xludf.DUMMYFUNCTION("""COMPUTED_VALUE"""),"IT Operations")</f>
        <v>IT Operations</v>
      </c>
      <c r="L498" s="142" t="str">
        <f>IFERROR(__xludf.DUMMYFUNCTION("""COMPUTED_VALUE"""),"IT Certifications")</f>
        <v>IT Certifications</v>
      </c>
      <c r="N498" s="140" t="str">
        <f>IFERROR(__xludf.DUMMYFUNCTION("""COMPUTED_VALUE"""),"")</f>
        <v/>
      </c>
      <c r="P498" s="140" t="str">
        <f>IFERROR(__xludf.DUMMYFUNCTION("""COMPUTED_VALUE"""),"")</f>
        <v/>
      </c>
    </row>
    <row r="499">
      <c r="A499" s="143">
        <f>IFERROR(__xludf.DUMMYFUNCTION("""COMPUTED_VALUE"""),44587.0)</f>
        <v>44587</v>
      </c>
      <c r="B499" s="143">
        <f>IFERROR(__xludf.DUMMYFUNCTION("""COMPUTED_VALUE"""),44681.0)</f>
        <v>44681</v>
      </c>
      <c r="C499" s="140" t="str">
        <f>IFERROR(__xludf.DUMMYFUNCTION("""COMPUTED_VALUE"""),"en")</f>
        <v>en</v>
      </c>
      <c r="D499">
        <f>IFERROR(__xludf.DUMMYFUNCTION("""COMPUTED_VALUE"""),3884934.0)</f>
        <v>3884934</v>
      </c>
      <c r="E499" t="str">
        <f>IFERROR(__xludf.DUMMYFUNCTION("""COMPUTED_VALUE"""),"CompTIA Cloud+ (CV0-003) Exam Prep / Practice Tests")</f>
        <v>CompTIA Cloud+ (CV0-003) Exam Prep / Practice Tests</v>
      </c>
      <c r="F499" t="str">
        <f>IFERROR(__xludf.DUMMYFUNCTION("""COMPUTED_VALUE"""),"CompTIA Cloud+ (CV0-003) Exam Prep / Practice Tests")</f>
        <v>CompTIA Cloud+ (CV0-003) Exam Prep / Practice Tests</v>
      </c>
      <c r="G499">
        <f>IFERROR(__xludf.DUMMYFUNCTION("""COMPUTED_VALUE"""),1.3052765E8)</f>
        <v>130527650</v>
      </c>
      <c r="H499" t="str">
        <f>IFERROR(__xludf.DUMMYFUNCTION("""COMPUTED_VALUE"""),"ITPro Academy")</f>
        <v>ITPro Academy</v>
      </c>
      <c r="I499" t="str">
        <f>IFERROR(__xludf.DUMMYFUNCTION("""COMPUTED_VALUE"""),"Practice Test Audit")</f>
        <v>Practice Test Audit</v>
      </c>
      <c r="J499" t="b">
        <f>IFERROR(__xludf.DUMMYFUNCTION("""COMPUTED_VALUE"""),FALSE)</f>
        <v>0</v>
      </c>
      <c r="K499" s="142" t="str">
        <f>IFERROR(__xludf.DUMMYFUNCTION("""COMPUTED_VALUE"""),"IT Operations")</f>
        <v>IT Operations</v>
      </c>
      <c r="L499" s="142" t="str">
        <f>IFERROR(__xludf.DUMMYFUNCTION("""COMPUTED_VALUE"""),"IT Certifications")</f>
        <v>IT Certifications</v>
      </c>
      <c r="M499" s="140">
        <f>IFERROR(__xludf.DUMMYFUNCTION("""COMPUTED_VALUE"""),4351712.0)</f>
        <v>4351712</v>
      </c>
      <c r="N499" s="140" t="str">
        <f>IFERROR(__xludf.DUMMYFUNCTION("""COMPUTED_VALUE"""),"")</f>
        <v/>
      </c>
      <c r="P499" s="140" t="str">
        <f>IFERROR(__xludf.DUMMYFUNCTION("""COMPUTED_VALUE"""),"")</f>
        <v/>
      </c>
    </row>
    <row r="500">
      <c r="A500" s="143">
        <f>IFERROR(__xludf.DUMMYFUNCTION("""COMPUTED_VALUE"""),44587.0)</f>
        <v>44587</v>
      </c>
      <c r="B500" s="143">
        <f>IFERROR(__xludf.DUMMYFUNCTION("""COMPUTED_VALUE"""),44681.0)</f>
        <v>44681</v>
      </c>
      <c r="C500" s="140" t="str">
        <f>IFERROR(__xludf.DUMMYFUNCTION("""COMPUTED_VALUE"""),"en")</f>
        <v>en</v>
      </c>
      <c r="D500">
        <f>IFERROR(__xludf.DUMMYFUNCTION("""COMPUTED_VALUE"""),4045716.0)</f>
        <v>4045716</v>
      </c>
      <c r="E500" t="str">
        <f>IFERROR(__xludf.DUMMYFUNCTION("""COMPUTED_VALUE"""),"SAFe Scaled Agile Cert. in 1st Attempt - Practice Mock Tests")</f>
        <v>SAFe Scaled Agile Cert. in 1st Attempt - Practice Mock Tests</v>
      </c>
      <c r="F500" t="str">
        <f>IFERROR(__xludf.DUMMYFUNCTION("""COMPUTED_VALUE"""),"SAFe Scaled Agile Cert. in 1st Attempt - Practice Mock Tests")</f>
        <v>SAFe Scaled Agile Cert. in 1st Attempt - Practice Mock Tests</v>
      </c>
      <c r="G500">
        <f>IFERROR(__xludf.DUMMYFUNCTION("""COMPUTED_VALUE"""),2586662.0)</f>
        <v>2586662</v>
      </c>
      <c r="H500" t="str">
        <f>IFERROR(__xludf.DUMMYFUNCTION("""COMPUTED_VALUE"""),"Vaibhav Telang (SAFe Agilist | PMP | PGMP | PMI-ACP | CSM | AINS)")</f>
        <v>Vaibhav Telang (SAFe Agilist | PMP | PGMP | PMI-ACP | CSM | AINS)</v>
      </c>
      <c r="I500" t="str">
        <f>IFERROR(__xludf.DUMMYFUNCTION("""COMPUTED_VALUE"""),"Practice Test Audit")</f>
        <v>Practice Test Audit</v>
      </c>
      <c r="J500" t="b">
        <f>IFERROR(__xludf.DUMMYFUNCTION("""COMPUTED_VALUE"""),FALSE)</f>
        <v>0</v>
      </c>
      <c r="K500" s="142" t="str">
        <f>IFERROR(__xludf.DUMMYFUNCTION("""COMPUTED_VALUE"""),"IT Operations")</f>
        <v>IT Operations</v>
      </c>
      <c r="L500" s="142" t="str">
        <f>IFERROR(__xludf.DUMMYFUNCTION("""COMPUTED_VALUE"""),"IT Certifications")</f>
        <v>IT Certifications</v>
      </c>
      <c r="N500" s="140" t="str">
        <f>IFERROR(__xludf.DUMMYFUNCTION("""COMPUTED_VALUE"""),"")</f>
        <v/>
      </c>
      <c r="P500" s="140" t="str">
        <f>IFERROR(__xludf.DUMMYFUNCTION("""COMPUTED_VALUE"""),"")</f>
        <v/>
      </c>
    </row>
    <row r="501">
      <c r="A501" s="143">
        <f>IFERROR(__xludf.DUMMYFUNCTION("""COMPUTED_VALUE"""),44587.0)</f>
        <v>44587</v>
      </c>
      <c r="B501" s="143">
        <f>IFERROR(__xludf.DUMMYFUNCTION("""COMPUTED_VALUE"""),44681.0)</f>
        <v>44681</v>
      </c>
      <c r="C501" s="140" t="str">
        <f>IFERROR(__xludf.DUMMYFUNCTION("""COMPUTED_VALUE"""),"en")</f>
        <v>en</v>
      </c>
      <c r="D501">
        <f>IFERROR(__xludf.DUMMYFUNCTION("""COMPUTED_VALUE"""),2028010.0)</f>
        <v>2028010</v>
      </c>
      <c r="E501" t="str">
        <f>IFERROR(__xludf.DUMMYFUNCTION("""COMPUTED_VALUE"""),"PMP Certification Exam Prep : 500 Practice Questions")</f>
        <v>PMP Certification Exam Prep : 500 Practice Questions</v>
      </c>
      <c r="F501" t="str">
        <f>IFERROR(__xludf.DUMMYFUNCTION("""COMPUTED_VALUE"""),"PMP Certification Exam Prep : 500 Practice Questions")</f>
        <v>PMP Certification Exam Prep : 500 Practice Questions</v>
      </c>
      <c r="G501">
        <f>IFERROR(__xludf.DUMMYFUNCTION("""COMPUTED_VALUE"""),4.8838954E7)</f>
        <v>48838954</v>
      </c>
      <c r="H501" t="str">
        <f>IFERROR(__xludf.DUMMYFUNCTION("""COMPUTED_VALUE"""),"Roji Abraham, PMP")</f>
        <v>Roji Abraham, PMP</v>
      </c>
      <c r="I501" t="str">
        <f>IFERROR(__xludf.DUMMYFUNCTION("""COMPUTED_VALUE"""),"Practice Test Audit")</f>
        <v>Practice Test Audit</v>
      </c>
      <c r="J501" t="b">
        <f>IFERROR(__xludf.DUMMYFUNCTION("""COMPUTED_VALUE"""),FALSE)</f>
        <v>0</v>
      </c>
      <c r="K501" s="142" t="str">
        <f>IFERROR(__xludf.DUMMYFUNCTION("""COMPUTED_VALUE"""),"Project Management &amp; Operations")</f>
        <v>Project Management &amp; Operations</v>
      </c>
      <c r="L501" s="142" t="str">
        <f>IFERROR(__xludf.DUMMYFUNCTION("""COMPUTED_VALUE"""),"Project Management Certifications")</f>
        <v>Project Management Certifications</v>
      </c>
      <c r="M501" s="140">
        <f>IFERROR(__xludf.DUMMYFUNCTION("""COMPUTED_VALUE"""),2503124.0)</f>
        <v>2503124</v>
      </c>
      <c r="N501" s="140" t="str">
        <f>IFERROR(__xludf.DUMMYFUNCTION("""COMPUTED_VALUE"""),"PMP: The Complete PMP Course &amp; Practice Exam PMI PMBOK 6 '21")</f>
        <v>PMP: The Complete PMP Course &amp; Practice Exam PMI PMBOK 6 '21</v>
      </c>
      <c r="P501" s="140" t="str">
        <f>IFERROR(__xludf.DUMMYFUNCTION("""COMPUTED_VALUE"""),"")</f>
        <v/>
      </c>
    </row>
    <row r="502">
      <c r="A502" s="143">
        <f>IFERROR(__xludf.DUMMYFUNCTION("""COMPUTED_VALUE"""),44587.0)</f>
        <v>44587</v>
      </c>
      <c r="B502" s="143">
        <f>IFERROR(__xludf.DUMMYFUNCTION("""COMPUTED_VALUE"""),44681.0)</f>
        <v>44681</v>
      </c>
      <c r="C502" s="140" t="str">
        <f>IFERROR(__xludf.DUMMYFUNCTION("""COMPUTED_VALUE"""),"en")</f>
        <v>en</v>
      </c>
      <c r="D502">
        <f>IFERROR(__xludf.DUMMYFUNCTION("""COMPUTED_VALUE"""),2167462.0)</f>
        <v>2167462</v>
      </c>
      <c r="E502" t="str">
        <f>IFERROR(__xludf.DUMMYFUNCTION("""COMPUTED_VALUE"""),"Salesforce Marketing Cloud Email Specialist Practice Tests")</f>
        <v>Salesforce Marketing Cloud Email Specialist Practice Tests</v>
      </c>
      <c r="F502" t="str">
        <f>IFERROR(__xludf.DUMMYFUNCTION("""COMPUTED_VALUE"""),"Salesforce Marketing Cloud Email Specialist Practice Tests")</f>
        <v>Salesforce Marketing Cloud Email Specialist Practice Tests</v>
      </c>
      <c r="G502">
        <f>IFERROR(__xludf.DUMMYFUNCTION("""COMPUTED_VALUE"""),6.3567328E7)</f>
        <v>63567328</v>
      </c>
      <c r="H502" t="str">
        <f>IFERROR(__xludf.DUMMYFUNCTION("""COMPUTED_VALUE"""),"Chris Younan")</f>
        <v>Chris Younan</v>
      </c>
      <c r="I502" t="str">
        <f>IFERROR(__xludf.DUMMYFUNCTION("""COMPUTED_VALUE"""),"Practice Test Audit")</f>
        <v>Practice Test Audit</v>
      </c>
      <c r="J502" t="b">
        <f>IFERROR(__xludf.DUMMYFUNCTION("""COMPUTED_VALUE"""),FALSE)</f>
        <v>0</v>
      </c>
      <c r="K502" s="142" t="str">
        <f>IFERROR(__xludf.DUMMYFUNCTION("""COMPUTED_VALUE"""),"IT Operations")</f>
        <v>IT Operations</v>
      </c>
      <c r="L502" s="142" t="str">
        <f>IFERROR(__xludf.DUMMYFUNCTION("""COMPUTED_VALUE"""),"IT Certifications")</f>
        <v>IT Certifications</v>
      </c>
      <c r="M502" s="140" t="str">
        <f>IFERROR(__xludf.DUMMYFUNCTION("""COMPUTED_VALUE"""),"N/A")</f>
        <v>N/A</v>
      </c>
      <c r="P502" s="140" t="str">
        <f>IFERROR(__xludf.DUMMYFUNCTION("""COMPUTED_VALUE"""),"")</f>
        <v/>
      </c>
    </row>
    <row r="503">
      <c r="A503" s="143">
        <f>IFERROR(__xludf.DUMMYFUNCTION("""COMPUTED_VALUE"""),44587.0)</f>
        <v>44587</v>
      </c>
      <c r="B503" s="143">
        <f>IFERROR(__xludf.DUMMYFUNCTION("""COMPUTED_VALUE"""),44681.0)</f>
        <v>44681</v>
      </c>
      <c r="C503" s="140" t="str">
        <f>IFERROR(__xludf.DUMMYFUNCTION("""COMPUTED_VALUE"""),"en")</f>
        <v>en</v>
      </c>
      <c r="D503">
        <f>IFERROR(__xludf.DUMMYFUNCTION("""COMPUTED_VALUE"""),2324618.0)</f>
        <v>2324618</v>
      </c>
      <c r="E503" t="str">
        <f>IFERROR(__xludf.DUMMYFUNCTION("""COMPUTED_VALUE"""),"PMP Practice Test Exam 2021-PMBOK6")</f>
        <v>PMP Practice Test Exam 2021-PMBOK6</v>
      </c>
      <c r="F503" t="str">
        <f>IFERROR(__xludf.DUMMYFUNCTION("""COMPUTED_VALUE"""),"PMP Practice Test Exam 2021-PMBOK6")</f>
        <v>PMP Practice Test Exam 2021-PMBOK6</v>
      </c>
      <c r="G503">
        <f>IFERROR(__xludf.DUMMYFUNCTION("""COMPUTED_VALUE"""),4.392774E7)</f>
        <v>43927740</v>
      </c>
      <c r="H503" t="str">
        <f>IFERROR(__xludf.DUMMYFUNCTION("""COMPUTED_VALUE"""),"Tridib Roy")</f>
        <v>Tridib Roy</v>
      </c>
      <c r="I503" t="str">
        <f>IFERROR(__xludf.DUMMYFUNCTION("""COMPUTED_VALUE"""),"Practice Test Audit")</f>
        <v>Practice Test Audit</v>
      </c>
      <c r="J503" t="b">
        <f>IFERROR(__xludf.DUMMYFUNCTION("""COMPUTED_VALUE"""),FALSE)</f>
        <v>0</v>
      </c>
      <c r="K503" s="142" t="str">
        <f>IFERROR(__xludf.DUMMYFUNCTION("""COMPUTED_VALUE"""),"Project Management &amp; Operations")</f>
        <v>Project Management &amp; Operations</v>
      </c>
      <c r="L503" s="142" t="str">
        <f>IFERROR(__xludf.DUMMYFUNCTION("""COMPUTED_VALUE"""),"Project Management Certifications")</f>
        <v>Project Management Certifications</v>
      </c>
      <c r="M503" s="140">
        <f>IFERROR(__xludf.DUMMYFUNCTION("""COMPUTED_VALUE"""),2503124.0)</f>
        <v>2503124</v>
      </c>
      <c r="N503" s="140" t="str">
        <f>IFERROR(__xludf.DUMMYFUNCTION("""COMPUTED_VALUE"""),"PMP: The Complete PMP Course &amp; Practice Exam PMI PMBOK 6 '21")</f>
        <v>PMP: The Complete PMP Course &amp; Practice Exam PMI PMBOK 6 '21</v>
      </c>
      <c r="P503" s="140" t="str">
        <f>IFERROR(__xludf.DUMMYFUNCTION("""COMPUTED_VALUE"""),"")</f>
        <v/>
      </c>
    </row>
    <row r="504">
      <c r="A504" s="143">
        <f>IFERROR(__xludf.DUMMYFUNCTION("""COMPUTED_VALUE"""),44587.0)</f>
        <v>44587</v>
      </c>
      <c r="B504" s="143">
        <f>IFERROR(__xludf.DUMMYFUNCTION("""COMPUTED_VALUE"""),44681.0)</f>
        <v>44681</v>
      </c>
      <c r="C504" s="140" t="str">
        <f>IFERROR(__xludf.DUMMYFUNCTION("""COMPUTED_VALUE"""),"en")</f>
        <v>en</v>
      </c>
      <c r="D504">
        <f>IFERROR(__xludf.DUMMYFUNCTION("""COMPUTED_VALUE"""),2474986.0)</f>
        <v>2474986</v>
      </c>
      <c r="E504" t="str">
        <f>IFERROR(__xludf.DUMMYFUNCTION("""COMPUTED_VALUE"""),"Scrum Master certification - practice test questions")</f>
        <v>Scrum Master certification - practice test questions</v>
      </c>
      <c r="F504" t="str">
        <f>IFERROR(__xludf.DUMMYFUNCTION("""COMPUTED_VALUE"""),"Scrum Master certification - practice test questions")</f>
        <v>Scrum Master certification - practice test questions</v>
      </c>
      <c r="G504">
        <f>IFERROR(__xludf.DUMMYFUNCTION("""COMPUTED_VALUE"""),7.5148304E7)</f>
        <v>75148304</v>
      </c>
      <c r="H504" t="str">
        <f>IFERROR(__xludf.DUMMYFUNCTION("""COMPUTED_VALUE"""),"David Keenan")</f>
        <v>David Keenan</v>
      </c>
      <c r="I504" t="str">
        <f>IFERROR(__xludf.DUMMYFUNCTION("""COMPUTED_VALUE"""),"Practice Test Audit")</f>
        <v>Practice Test Audit</v>
      </c>
      <c r="J504" t="b">
        <f>IFERROR(__xludf.DUMMYFUNCTION("""COMPUTED_VALUE"""),FALSE)</f>
        <v>0</v>
      </c>
      <c r="K504" s="142" t="str">
        <f>IFERROR(__xludf.DUMMYFUNCTION("""COMPUTED_VALUE"""),"Project Management &amp; Operations")</f>
        <v>Project Management &amp; Operations</v>
      </c>
      <c r="L504" s="142" t="str">
        <f>IFERROR(__xludf.DUMMYFUNCTION("""COMPUTED_VALUE"""),"Project Management Certifications")</f>
        <v>Project Management Certifications</v>
      </c>
      <c r="M504" s="140">
        <f>IFERROR(__xludf.DUMMYFUNCTION("""COMPUTED_VALUE"""),1850902.0)</f>
        <v>1850902</v>
      </c>
      <c r="N504" s="140" t="str">
        <f>IFERROR(__xludf.DUMMYFUNCTION("""COMPUTED_VALUE"""),"Scrum for beginners + Scrum Master Certification Preparation")</f>
        <v>Scrum for beginners + Scrum Master Certification Preparation</v>
      </c>
      <c r="P504" s="140" t="str">
        <f>IFERROR(__xludf.DUMMYFUNCTION("""COMPUTED_VALUE"""),"")</f>
        <v/>
      </c>
    </row>
    <row r="505">
      <c r="A505" s="143">
        <f>IFERROR(__xludf.DUMMYFUNCTION("""COMPUTED_VALUE"""),44587.0)</f>
        <v>44587</v>
      </c>
      <c r="B505" s="143">
        <f>IFERROR(__xludf.DUMMYFUNCTION("""COMPUTED_VALUE"""),44681.0)</f>
        <v>44681</v>
      </c>
      <c r="C505" s="140" t="str">
        <f>IFERROR(__xludf.DUMMYFUNCTION("""COMPUTED_VALUE"""),"en")</f>
        <v>en</v>
      </c>
      <c r="D505">
        <f>IFERROR(__xludf.DUMMYFUNCTION("""COMPUTED_VALUE"""),2574756.0)</f>
        <v>2574756</v>
      </c>
      <c r="E505" t="str">
        <f>IFERROR(__xludf.DUMMYFUNCTION("""COMPUTED_VALUE"""),"CSM Practice Exams: Certified Scrum Master, 200 Questions")</f>
        <v>CSM Practice Exams: Certified Scrum Master, 200 Questions</v>
      </c>
      <c r="F505" t="str">
        <f>IFERROR(__xludf.DUMMYFUNCTION("""COMPUTED_VALUE"""),"CSM Practice Exams: Certified Scrum Master, 200 Questions")</f>
        <v>CSM Practice Exams: Certified Scrum Master, 200 Questions</v>
      </c>
      <c r="G505">
        <f>IFERROR(__xludf.DUMMYFUNCTION("""COMPUTED_VALUE"""),8.2398478E7)</f>
        <v>82398478</v>
      </c>
      <c r="H505" t="str">
        <f>IFERROR(__xludf.DUMMYFUNCTION("""COMPUTED_VALUE"""),"Elite Instructors II PMI- (PMP, CAPM, RMP, ACP, PBA), AGILE, SIX SIGMA, SCRUM")</f>
        <v>Elite Instructors II PMI- (PMP, CAPM, RMP, ACP, PBA), AGILE, SIX SIGMA, SCRUM</v>
      </c>
      <c r="I505" t="str">
        <f>IFERROR(__xludf.DUMMYFUNCTION("""COMPUTED_VALUE"""),"Practice Test Audit")</f>
        <v>Practice Test Audit</v>
      </c>
      <c r="J505" t="b">
        <f>IFERROR(__xludf.DUMMYFUNCTION("""COMPUTED_VALUE"""),FALSE)</f>
        <v>0</v>
      </c>
      <c r="K505" s="142" t="str">
        <f>IFERROR(__xludf.DUMMYFUNCTION("""COMPUTED_VALUE"""),"Project Management &amp; Operations")</f>
        <v>Project Management &amp; Operations</v>
      </c>
      <c r="L505" s="142" t="str">
        <f>IFERROR(__xludf.DUMMYFUNCTION("""COMPUTED_VALUE"""),"Project Management Certifications")</f>
        <v>Project Management Certifications</v>
      </c>
      <c r="M505" s="140">
        <f>IFERROR(__xludf.DUMMYFUNCTION("""COMPUTED_VALUE"""),1850902.0)</f>
        <v>1850902</v>
      </c>
      <c r="N505" s="140" t="str">
        <f>IFERROR(__xludf.DUMMYFUNCTION("""COMPUTED_VALUE"""),"Scrum for beginners + Scrum Master Certification Preparation")</f>
        <v>Scrum for beginners + Scrum Master Certification Preparation</v>
      </c>
      <c r="P505" s="140" t="str">
        <f>IFERROR(__xludf.DUMMYFUNCTION("""COMPUTED_VALUE"""),"")</f>
        <v/>
      </c>
    </row>
    <row r="506">
      <c r="A506" s="143">
        <f>IFERROR(__xludf.DUMMYFUNCTION("""COMPUTED_VALUE"""),44587.0)</f>
        <v>44587</v>
      </c>
      <c r="B506" s="143">
        <f>IFERROR(__xludf.DUMMYFUNCTION("""COMPUTED_VALUE"""),44681.0)</f>
        <v>44681</v>
      </c>
      <c r="C506" s="140" t="str">
        <f>IFERROR(__xludf.DUMMYFUNCTION("""COMPUTED_VALUE"""),"en")</f>
        <v>en</v>
      </c>
      <c r="D506">
        <f>IFERROR(__xludf.DUMMYFUNCTION("""COMPUTED_VALUE"""),2590944.0)</f>
        <v>2590944</v>
      </c>
      <c r="E506" t="str">
        <f>IFERROR(__xludf.DUMMYFUNCTION("""COMPUTED_VALUE"""),"PMI- SP Practice Tests: Scheduling Professional, 340 Q")</f>
        <v>PMI- SP Practice Tests: Scheduling Professional, 340 Q</v>
      </c>
      <c r="F506" t="str">
        <f>IFERROR(__xludf.DUMMYFUNCTION("""COMPUTED_VALUE"""),"PMI- SP Practice Tests: Scheduling Professional, 340 Q")</f>
        <v>PMI- SP Practice Tests: Scheduling Professional, 340 Q</v>
      </c>
      <c r="G506">
        <f>IFERROR(__xludf.DUMMYFUNCTION("""COMPUTED_VALUE"""),8.2398478E7)</f>
        <v>82398478</v>
      </c>
      <c r="H506" t="str">
        <f>IFERROR(__xludf.DUMMYFUNCTION("""COMPUTED_VALUE"""),"Elite Instructors II PMI- (PMP, CAPM, RMP, ACP, PBA), AGILE, SIX SIGMA, SCRUM")</f>
        <v>Elite Instructors II PMI- (PMP, CAPM, RMP, ACP, PBA), AGILE, SIX SIGMA, SCRUM</v>
      </c>
      <c r="I506" t="str">
        <f>IFERROR(__xludf.DUMMYFUNCTION("""COMPUTED_VALUE"""),"Practice Test Audit")</f>
        <v>Practice Test Audit</v>
      </c>
      <c r="J506" t="b">
        <f>IFERROR(__xludf.DUMMYFUNCTION("""COMPUTED_VALUE"""),FALSE)</f>
        <v>0</v>
      </c>
      <c r="K506" s="142" t="str">
        <f>IFERROR(__xludf.DUMMYFUNCTION("""COMPUTED_VALUE"""),"Project Management &amp; Operations")</f>
        <v>Project Management &amp; Operations</v>
      </c>
      <c r="L506" s="142" t="str">
        <f>IFERROR(__xludf.DUMMYFUNCTION("""COMPUTED_VALUE"""),"Project Management Certifications")</f>
        <v>Project Management Certifications</v>
      </c>
      <c r="M506" s="140" t="str">
        <f>IFERROR(__xludf.DUMMYFUNCTION("""COMPUTED_VALUE"""),"N/A")</f>
        <v>N/A</v>
      </c>
      <c r="P506" s="140" t="str">
        <f>IFERROR(__xludf.DUMMYFUNCTION("""COMPUTED_VALUE"""),"")</f>
        <v/>
      </c>
    </row>
    <row r="507">
      <c r="A507" s="143">
        <f>IFERROR(__xludf.DUMMYFUNCTION("""COMPUTED_VALUE"""),44587.0)</f>
        <v>44587</v>
      </c>
      <c r="B507" s="143">
        <f>IFERROR(__xludf.DUMMYFUNCTION("""COMPUTED_VALUE"""),44681.0)</f>
        <v>44681</v>
      </c>
      <c r="C507" s="140" t="str">
        <f>IFERROR(__xludf.DUMMYFUNCTION("""COMPUTED_VALUE"""),"en")</f>
        <v>en</v>
      </c>
      <c r="D507">
        <f>IFERROR(__xludf.DUMMYFUNCTION("""COMPUTED_VALUE"""),2630330.0)</f>
        <v>2630330</v>
      </c>
      <c r="E507" t="str">
        <f>IFERROR(__xludf.DUMMYFUNCTION("""COMPUTED_VALUE"""),"Level 4 Diploma - Defining Business Needs (L4M2)")</f>
        <v>Level 4 Diploma - Defining Business Needs (L4M2)</v>
      </c>
      <c r="F507" t="str">
        <f>IFERROR(__xludf.DUMMYFUNCTION("""COMPUTED_VALUE"""),"Level 4 Diploma - Defining Business Needs (L4M2)")</f>
        <v>Level 4 Diploma - Defining Business Needs (L4M2)</v>
      </c>
      <c r="G507">
        <f>IFERROR(__xludf.DUMMYFUNCTION("""COMPUTED_VALUE"""),6.9862614E7)</f>
        <v>69862614</v>
      </c>
      <c r="H507" t="str">
        <f>IFERROR(__xludf.DUMMYFUNCTION("""COMPUTED_VALUE"""),"Daniel Do")</f>
        <v>Daniel Do</v>
      </c>
      <c r="I507" t="str">
        <f>IFERROR(__xludf.DUMMYFUNCTION("""COMPUTED_VALUE"""),"Practice Test Audit")</f>
        <v>Practice Test Audit</v>
      </c>
      <c r="J507" t="b">
        <f>IFERROR(__xludf.DUMMYFUNCTION("""COMPUTED_VALUE"""),FALSE)</f>
        <v>0</v>
      </c>
      <c r="K507" s="142" t="str">
        <f>IFERROR(__xludf.DUMMYFUNCTION("""COMPUTED_VALUE"""),"Project Management &amp; Operations")</f>
        <v>Project Management &amp; Operations</v>
      </c>
      <c r="L507" s="142" t="str">
        <f>IFERROR(__xludf.DUMMYFUNCTION("""COMPUTED_VALUE"""),"Project Management Certifications")</f>
        <v>Project Management Certifications</v>
      </c>
      <c r="M507" s="140" t="str">
        <f>IFERROR(__xludf.DUMMYFUNCTION("""COMPUTED_VALUE"""),"N/A")</f>
        <v>N/A</v>
      </c>
      <c r="P507" s="140" t="str">
        <f>IFERROR(__xludf.DUMMYFUNCTION("""COMPUTED_VALUE"""),"")</f>
        <v/>
      </c>
    </row>
    <row r="508">
      <c r="A508" s="143">
        <f>IFERROR(__xludf.DUMMYFUNCTION("""COMPUTED_VALUE"""),44587.0)</f>
        <v>44587</v>
      </c>
      <c r="B508" s="143">
        <f>IFERROR(__xludf.DUMMYFUNCTION("""COMPUTED_VALUE"""),44681.0)</f>
        <v>44681</v>
      </c>
      <c r="C508" s="140" t="str">
        <f>IFERROR(__xludf.DUMMYFUNCTION("""COMPUTED_VALUE"""),"en")</f>
        <v>en</v>
      </c>
      <c r="D508">
        <f>IFERROR(__xludf.DUMMYFUNCTION("""COMPUTED_VALUE"""),2755782.0)</f>
        <v>2755782</v>
      </c>
      <c r="E508" t="str">
        <f>IFERROR(__xludf.DUMMYFUNCTION("""COMPUTED_VALUE"""),"Level 4 Diploma - Commercial Contracting (L4M3)")</f>
        <v>Level 4 Diploma - Commercial Contracting (L4M3)</v>
      </c>
      <c r="F508" t="str">
        <f>IFERROR(__xludf.DUMMYFUNCTION("""COMPUTED_VALUE"""),"Level 4 Diploma - Commercial Contracting (L4M3)")</f>
        <v>Level 4 Diploma - Commercial Contracting (L4M3)</v>
      </c>
      <c r="G508">
        <f>IFERROR(__xludf.DUMMYFUNCTION("""COMPUTED_VALUE"""),6.9862614E7)</f>
        <v>69862614</v>
      </c>
      <c r="H508" t="str">
        <f>IFERROR(__xludf.DUMMYFUNCTION("""COMPUTED_VALUE"""),"Daniel Do")</f>
        <v>Daniel Do</v>
      </c>
      <c r="I508" t="str">
        <f>IFERROR(__xludf.DUMMYFUNCTION("""COMPUTED_VALUE"""),"Practice Test Audit")</f>
        <v>Practice Test Audit</v>
      </c>
      <c r="J508" t="b">
        <f>IFERROR(__xludf.DUMMYFUNCTION("""COMPUTED_VALUE"""),FALSE)</f>
        <v>0</v>
      </c>
      <c r="K508" s="142" t="str">
        <f>IFERROR(__xludf.DUMMYFUNCTION("""COMPUTED_VALUE"""),"Project Management &amp; Operations")</f>
        <v>Project Management &amp; Operations</v>
      </c>
      <c r="L508" s="142" t="str">
        <f>IFERROR(__xludf.DUMMYFUNCTION("""COMPUTED_VALUE"""),"Operations Management")</f>
        <v>Operations Management</v>
      </c>
      <c r="M508" s="140" t="str">
        <f>IFERROR(__xludf.DUMMYFUNCTION("""COMPUTED_VALUE"""),"N/A")</f>
        <v>N/A</v>
      </c>
      <c r="P508" s="140" t="str">
        <f>IFERROR(__xludf.DUMMYFUNCTION("""COMPUTED_VALUE"""),"")</f>
        <v/>
      </c>
    </row>
    <row r="509">
      <c r="A509" s="143">
        <f>IFERROR(__xludf.DUMMYFUNCTION("""COMPUTED_VALUE"""),44587.0)</f>
        <v>44587</v>
      </c>
      <c r="B509" s="143">
        <f>IFERROR(__xludf.DUMMYFUNCTION("""COMPUTED_VALUE"""),44681.0)</f>
        <v>44681</v>
      </c>
      <c r="C509" s="140" t="str">
        <f>IFERROR(__xludf.DUMMYFUNCTION("""COMPUTED_VALUE"""),"en")</f>
        <v>en</v>
      </c>
      <c r="D509">
        <f>IFERROR(__xludf.DUMMYFUNCTION("""COMPUTED_VALUE"""),2816705.0)</f>
        <v>2816705</v>
      </c>
      <c r="E509" t="str">
        <f>IFERROR(__xludf.DUMMYFUNCTION("""COMPUTED_VALUE"""),"SPS ™ Scaled Professional Scrum ™ - Nexus ™ 2021 (160 Q)")</f>
        <v>SPS ™ Scaled Professional Scrum ™ - Nexus ™ 2021 (160 Q)</v>
      </c>
      <c r="F509" t="str">
        <f>IFERROR(__xludf.DUMMYFUNCTION("""COMPUTED_VALUE"""),"SPS ™ Scaled Professional Scrum ™ - Nexus ™ 2021 (160 Q)")</f>
        <v>SPS ™ Scaled Professional Scrum ™ - Nexus ™ 2021 (160 Q)</v>
      </c>
      <c r="G509">
        <f>IFERROR(__xludf.DUMMYFUNCTION("""COMPUTED_VALUE"""),5.3438756E7)</f>
        <v>53438756</v>
      </c>
      <c r="H509" t="str">
        <f>IFERROR(__xludf.DUMMYFUNCTION("""COMPUTED_VALUE"""),"Sammy The Teacher")</f>
        <v>Sammy The Teacher</v>
      </c>
      <c r="I509" t="str">
        <f>IFERROR(__xludf.DUMMYFUNCTION("""COMPUTED_VALUE"""),"Practice Test Audit")</f>
        <v>Practice Test Audit</v>
      </c>
      <c r="J509" t="b">
        <f>IFERROR(__xludf.DUMMYFUNCTION("""COMPUTED_VALUE"""),FALSE)</f>
        <v>0</v>
      </c>
      <c r="K509" s="142" t="str">
        <f>IFERROR(__xludf.DUMMYFUNCTION("""COMPUTED_VALUE"""),"IT Operations")</f>
        <v>IT Operations</v>
      </c>
      <c r="L509" s="142" t="str">
        <f>IFERROR(__xludf.DUMMYFUNCTION("""COMPUTED_VALUE"""),"IT Certifications")</f>
        <v>IT Certifications</v>
      </c>
      <c r="M509" s="140" t="str">
        <f>IFERROR(__xludf.DUMMYFUNCTION("""COMPUTED_VALUE"""),"N/A")</f>
        <v>N/A</v>
      </c>
      <c r="P509" s="140" t="str">
        <f>IFERROR(__xludf.DUMMYFUNCTION("""COMPUTED_VALUE"""),"")</f>
        <v/>
      </c>
    </row>
    <row r="510">
      <c r="A510" s="143">
        <f>IFERROR(__xludf.DUMMYFUNCTION("""COMPUTED_VALUE"""),44587.0)</f>
        <v>44587</v>
      </c>
      <c r="B510" s="143">
        <f>IFERROR(__xludf.DUMMYFUNCTION("""COMPUTED_VALUE"""),44681.0)</f>
        <v>44681</v>
      </c>
      <c r="C510" s="140" t="str">
        <f>IFERROR(__xludf.DUMMYFUNCTION("""COMPUTED_VALUE"""),"en")</f>
        <v>en</v>
      </c>
      <c r="D510">
        <f>IFERROR(__xludf.DUMMYFUNCTION("""COMPUTED_VALUE"""),2827516.0)</f>
        <v>2827516</v>
      </c>
      <c r="E510" t="str">
        <f>IFERROR(__xludf.DUMMYFUNCTION("""COMPUTED_VALUE"""),"Level 4 Diploma - Commercial Negotiation (L4M5)")</f>
        <v>Level 4 Diploma - Commercial Negotiation (L4M5)</v>
      </c>
      <c r="F510" t="str">
        <f>IFERROR(__xludf.DUMMYFUNCTION("""COMPUTED_VALUE"""),"Level 4 Diploma - Commercial Negotiation (L4M5)")</f>
        <v>Level 4 Diploma - Commercial Negotiation (L4M5)</v>
      </c>
      <c r="G510">
        <f>IFERROR(__xludf.DUMMYFUNCTION("""COMPUTED_VALUE"""),6.9862614E7)</f>
        <v>69862614</v>
      </c>
      <c r="H510" t="str">
        <f>IFERROR(__xludf.DUMMYFUNCTION("""COMPUTED_VALUE"""),"Daniel Do")</f>
        <v>Daniel Do</v>
      </c>
      <c r="I510" t="str">
        <f>IFERROR(__xludf.DUMMYFUNCTION("""COMPUTED_VALUE"""),"Practice Test Audit")</f>
        <v>Practice Test Audit</v>
      </c>
      <c r="J510" t="b">
        <f>IFERROR(__xludf.DUMMYFUNCTION("""COMPUTED_VALUE"""),FALSE)</f>
        <v>0</v>
      </c>
      <c r="K510" s="142" t="str">
        <f>IFERROR(__xludf.DUMMYFUNCTION("""COMPUTED_VALUE"""),"Project Management &amp; Operations")</f>
        <v>Project Management &amp; Operations</v>
      </c>
      <c r="L510" s="142" t="str">
        <f>IFERROR(__xludf.DUMMYFUNCTION("""COMPUTED_VALUE"""),"Operations Management")</f>
        <v>Operations Management</v>
      </c>
      <c r="M510" s="140" t="str">
        <f>IFERROR(__xludf.DUMMYFUNCTION("""COMPUTED_VALUE"""),"N/A")</f>
        <v>N/A</v>
      </c>
      <c r="P510" s="140" t="str">
        <f>IFERROR(__xludf.DUMMYFUNCTION("""COMPUTED_VALUE"""),"")</f>
        <v/>
      </c>
    </row>
    <row r="511">
      <c r="A511" s="143">
        <f>IFERROR(__xludf.DUMMYFUNCTION("""COMPUTED_VALUE"""),44587.0)</f>
        <v>44587</v>
      </c>
      <c r="B511" s="143">
        <f>IFERROR(__xludf.DUMMYFUNCTION("""COMPUTED_VALUE"""),44681.0)</f>
        <v>44681</v>
      </c>
      <c r="C511" s="140" t="str">
        <f>IFERROR(__xludf.DUMMYFUNCTION("""COMPUTED_VALUE"""),"en")</f>
        <v>en</v>
      </c>
      <c r="D511">
        <f>IFERROR(__xludf.DUMMYFUNCTION("""COMPUTED_VALUE"""),2846906.0)</f>
        <v>2846906</v>
      </c>
      <c r="E511" t="str">
        <f>IFERROR(__xludf.DUMMYFUNCTION("""COMPUTED_VALUE"""),"The New Product Owner Certification of 2021 - 800 questions")</f>
        <v>The New Product Owner Certification of 2021 - 800 questions</v>
      </c>
      <c r="F511" t="str">
        <f>IFERROR(__xludf.DUMMYFUNCTION("""COMPUTED_VALUE"""),"The New Product Owner Certification of 2021 - 800 questions")</f>
        <v>The New Product Owner Certification of 2021 - 800 questions</v>
      </c>
      <c r="G511">
        <f>IFERROR(__xludf.DUMMYFUNCTION("""COMPUTED_VALUE"""),1.04353348E8)</f>
        <v>104353348</v>
      </c>
      <c r="H511" t="str">
        <f>IFERROR(__xludf.DUMMYFUNCTION("""COMPUTED_VALUE"""),"Ludovic LARRY (PSM I, PSM II, PSPO I &amp; DevOps Foundation certified)")</f>
        <v>Ludovic LARRY (PSM I, PSM II, PSPO I &amp; DevOps Foundation certified)</v>
      </c>
      <c r="I511" t="str">
        <f>IFERROR(__xludf.DUMMYFUNCTION("""COMPUTED_VALUE"""),"Practice Test Audit")</f>
        <v>Practice Test Audit</v>
      </c>
      <c r="J511" t="b">
        <f>IFERROR(__xludf.DUMMYFUNCTION("""COMPUTED_VALUE"""),FALSE)</f>
        <v>0</v>
      </c>
      <c r="K511" s="142" t="str">
        <f>IFERROR(__xludf.DUMMYFUNCTION("""COMPUTED_VALUE"""),"IT Operations")</f>
        <v>IT Operations</v>
      </c>
      <c r="L511" s="142" t="str">
        <f>IFERROR(__xludf.DUMMYFUNCTION("""COMPUTED_VALUE"""),"IT Certifications")</f>
        <v>IT Certifications</v>
      </c>
      <c r="M511" s="140">
        <f>IFERROR(__xludf.DUMMYFUNCTION("""COMPUTED_VALUE"""),2611510.0)</f>
        <v>2611510</v>
      </c>
      <c r="N511" s="140" t="str">
        <f>IFERROR(__xludf.DUMMYFUNCTION("""COMPUTED_VALUE"""),"Agile &amp; Scrum for Product Owners + Certification Preparation
")</f>
        <v>Agile &amp; Scrum for Product Owners + Certification Preparation
</v>
      </c>
      <c r="P511" s="140" t="str">
        <f>IFERROR(__xludf.DUMMYFUNCTION("""COMPUTED_VALUE"""),"")</f>
        <v/>
      </c>
    </row>
    <row r="512">
      <c r="A512" s="143">
        <f>IFERROR(__xludf.DUMMYFUNCTION("""COMPUTED_VALUE"""),44587.0)</f>
        <v>44587</v>
      </c>
      <c r="B512" s="143">
        <f>IFERROR(__xludf.DUMMYFUNCTION("""COMPUTED_VALUE"""),44681.0)</f>
        <v>44681</v>
      </c>
      <c r="C512" s="140" t="str">
        <f>IFERROR(__xludf.DUMMYFUNCTION("""COMPUTED_VALUE"""),"en")</f>
        <v>en</v>
      </c>
      <c r="D512">
        <f>IFERROR(__xludf.DUMMYFUNCTION("""COMPUTED_VALUE"""),2881378.0)</f>
        <v>2881378</v>
      </c>
      <c r="E512" t="str">
        <f>IFERROR(__xludf.DUMMYFUNCTION("""COMPUTED_VALUE"""),"Level 4 Diploma - Supplier Relationships (L4M6)")</f>
        <v>Level 4 Diploma - Supplier Relationships (L4M6)</v>
      </c>
      <c r="F512" t="str">
        <f>IFERROR(__xludf.DUMMYFUNCTION("""COMPUTED_VALUE"""),"Level 4 Diploma - Supplier Relationships (L4M6)")</f>
        <v>Level 4 Diploma - Supplier Relationships (L4M6)</v>
      </c>
      <c r="G512">
        <f>IFERROR(__xludf.DUMMYFUNCTION("""COMPUTED_VALUE"""),6.9862614E7)</f>
        <v>69862614</v>
      </c>
      <c r="H512" t="str">
        <f>IFERROR(__xludf.DUMMYFUNCTION("""COMPUTED_VALUE"""),"Daniel Do")</f>
        <v>Daniel Do</v>
      </c>
      <c r="I512" t="str">
        <f>IFERROR(__xludf.DUMMYFUNCTION("""COMPUTED_VALUE"""),"Practice Test Audit")</f>
        <v>Practice Test Audit</v>
      </c>
      <c r="J512" t="b">
        <f>IFERROR(__xludf.DUMMYFUNCTION("""COMPUTED_VALUE"""),FALSE)</f>
        <v>0</v>
      </c>
      <c r="K512" s="142" t="str">
        <f>IFERROR(__xludf.DUMMYFUNCTION("""COMPUTED_VALUE"""),"Project Management &amp; Operations")</f>
        <v>Project Management &amp; Operations</v>
      </c>
      <c r="L512" s="142" t="str">
        <f>IFERROR(__xludf.DUMMYFUNCTION("""COMPUTED_VALUE"""),"Project Management Certifications")</f>
        <v>Project Management Certifications</v>
      </c>
      <c r="M512" s="140" t="str">
        <f>IFERROR(__xludf.DUMMYFUNCTION("""COMPUTED_VALUE"""),"N/A")</f>
        <v>N/A</v>
      </c>
      <c r="P512" s="140" t="str">
        <f>IFERROR(__xludf.DUMMYFUNCTION("""COMPUTED_VALUE"""),"")</f>
        <v/>
      </c>
    </row>
    <row r="513">
      <c r="A513" s="143">
        <f>IFERROR(__xludf.DUMMYFUNCTION("""COMPUTED_VALUE"""),44587.0)</f>
        <v>44587</v>
      </c>
      <c r="B513" s="143">
        <f>IFERROR(__xludf.DUMMYFUNCTION("""COMPUTED_VALUE"""),44681.0)</f>
        <v>44681</v>
      </c>
      <c r="C513" s="140" t="str">
        <f>IFERROR(__xludf.DUMMYFUNCTION("""COMPUTED_VALUE"""),"en")</f>
        <v>en</v>
      </c>
      <c r="D513">
        <f>IFERROR(__xludf.DUMMYFUNCTION("""COMPUTED_VALUE"""),3018868.0)</f>
        <v>3018868</v>
      </c>
      <c r="E513" t="str">
        <f>IFERROR(__xludf.DUMMYFUNCTION("""COMPUTED_VALUE"""),"Highly Situational 2021 PMP Exams Updated With New Format")</f>
        <v>Highly Situational 2021 PMP Exams Updated With New Format</v>
      </c>
      <c r="F513" t="str">
        <f>IFERROR(__xludf.DUMMYFUNCTION("""COMPUTED_VALUE"""),"Highly Situational 2021 PMP Exams Updated With New Format")</f>
        <v>Highly Situational 2021 PMP Exams Updated With New Format</v>
      </c>
      <c r="G513">
        <f>IFERROR(__xludf.DUMMYFUNCTION("""COMPUTED_VALUE"""),6.8234278E7)</f>
        <v>68234278</v>
      </c>
      <c r="H513" t="str">
        <f>IFERROR(__xludf.DUMMYFUNCTION("""COMPUTED_VALUE"""),"PMP New Horizon Group")</f>
        <v>PMP New Horizon Group</v>
      </c>
      <c r="I513" t="str">
        <f>IFERROR(__xludf.DUMMYFUNCTION("""COMPUTED_VALUE"""),"Practice Test Audit")</f>
        <v>Practice Test Audit</v>
      </c>
      <c r="J513" t="b">
        <f>IFERROR(__xludf.DUMMYFUNCTION("""COMPUTED_VALUE"""),FALSE)</f>
        <v>0</v>
      </c>
      <c r="K513" s="142" t="str">
        <f>IFERROR(__xludf.DUMMYFUNCTION("""COMPUTED_VALUE"""),"Project Management &amp; Operations")</f>
        <v>Project Management &amp; Operations</v>
      </c>
      <c r="L513" s="142" t="str">
        <f>IFERROR(__xludf.DUMMYFUNCTION("""COMPUTED_VALUE"""),"Project Management Certifications")</f>
        <v>Project Management Certifications</v>
      </c>
      <c r="M513" s="140">
        <f>IFERROR(__xludf.DUMMYFUNCTION("""COMPUTED_VALUE"""),2503124.0)</f>
        <v>2503124</v>
      </c>
      <c r="N513" s="140" t="str">
        <f>IFERROR(__xludf.DUMMYFUNCTION("""COMPUTED_VALUE"""),"PMP: The Complete PMP Course &amp; Practice Exam PMI PMBOK 6 '21")</f>
        <v>PMP: The Complete PMP Course &amp; Practice Exam PMI PMBOK 6 '21</v>
      </c>
      <c r="P513" s="140" t="str">
        <f>IFERROR(__xludf.DUMMYFUNCTION("""COMPUTED_VALUE"""),"")</f>
        <v/>
      </c>
    </row>
    <row r="514">
      <c r="A514" s="143">
        <f>IFERROR(__xludf.DUMMYFUNCTION("""COMPUTED_VALUE"""),44587.0)</f>
        <v>44587</v>
      </c>
      <c r="B514" s="143">
        <f>IFERROR(__xludf.DUMMYFUNCTION("""COMPUTED_VALUE"""),44681.0)</f>
        <v>44681</v>
      </c>
      <c r="C514" s="140" t="str">
        <f>IFERROR(__xludf.DUMMYFUNCTION("""COMPUTED_VALUE"""),"en")</f>
        <v>en</v>
      </c>
      <c r="D514">
        <f>IFERROR(__xludf.DUMMYFUNCTION("""COMPUTED_VALUE"""),3060440.0)</f>
        <v>3060440</v>
      </c>
      <c r="E514" t="str">
        <f>IFERROR(__xludf.DUMMYFUNCTION("""COMPUTED_VALUE"""),"AIGPEs Six Sigma Green Belt Certification Simulation Exam")</f>
        <v>AIGPEs Six Sigma Green Belt Certification Simulation Exam</v>
      </c>
      <c r="F514" t="str">
        <f>IFERROR(__xludf.DUMMYFUNCTION("""COMPUTED_VALUE"""),"AIGPEs Six Sigma Green Belt Certification Simulation Exam")</f>
        <v>AIGPEs Six Sigma Green Belt Certification Simulation Exam</v>
      </c>
      <c r="G514">
        <f>IFERROR(__xludf.DUMMYFUNCTION("""COMPUTED_VALUE"""),2.3898572E7)</f>
        <v>23898572</v>
      </c>
      <c r="H514" t="str">
        <f>IFERROR(__xludf.DUMMYFUNCTION("""COMPUTED_VALUE"""),"Advanced Innovation Group Pro Excellence (AIGPE)")</f>
        <v>Advanced Innovation Group Pro Excellence (AIGPE)</v>
      </c>
      <c r="I514" t="str">
        <f>IFERROR(__xludf.DUMMYFUNCTION("""COMPUTED_VALUE"""),"Practice Test Audit")</f>
        <v>Practice Test Audit</v>
      </c>
      <c r="J514" t="b">
        <f>IFERROR(__xludf.DUMMYFUNCTION("""COMPUTED_VALUE"""),FALSE)</f>
        <v>0</v>
      </c>
      <c r="K514" s="142" t="str">
        <f>IFERROR(__xludf.DUMMYFUNCTION("""COMPUTED_VALUE"""),"Project Management &amp; Operations")</f>
        <v>Project Management &amp; Operations</v>
      </c>
      <c r="L514" s="142" t="str">
        <f>IFERROR(__xludf.DUMMYFUNCTION("""COMPUTED_VALUE"""),"Project Management Certifications")</f>
        <v>Project Management Certifications</v>
      </c>
      <c r="M514" s="140">
        <f>IFERROR(__xludf.DUMMYFUNCTION("""COMPUTED_VALUE"""),1399954.0)</f>
        <v>1399954</v>
      </c>
      <c r="N514" s="140" t="str">
        <f>IFERROR(__xludf.DUMMYFUNCTION("""COMPUTED_VALUE"""),"Certified Lean Six Sigma Green Belt, BKO Accredited Training")</f>
        <v>Certified Lean Six Sigma Green Belt, BKO Accredited Training</v>
      </c>
      <c r="P514" s="140" t="str">
        <f>IFERROR(__xludf.DUMMYFUNCTION("""COMPUTED_VALUE"""),"")</f>
        <v/>
      </c>
    </row>
    <row r="515">
      <c r="A515" s="143">
        <f>IFERROR(__xludf.DUMMYFUNCTION("""COMPUTED_VALUE"""),44587.0)</f>
        <v>44587</v>
      </c>
      <c r="B515" s="143">
        <f>IFERROR(__xludf.DUMMYFUNCTION("""COMPUTED_VALUE"""),44681.0)</f>
        <v>44681</v>
      </c>
      <c r="C515" s="140" t="str">
        <f>IFERROR(__xludf.DUMMYFUNCTION("""COMPUTED_VALUE"""),"en")</f>
        <v>en</v>
      </c>
      <c r="D515">
        <f>IFERROR(__xludf.DUMMYFUNCTION("""COMPUTED_VALUE"""),3140502.0)</f>
        <v>3140502</v>
      </c>
      <c r="E515" t="str">
        <f>IFERROR(__xludf.DUMMYFUNCTION("""COMPUTED_VALUE"""),"Level 4 Diploma - Whole Life Asset Management (L4M7)")</f>
        <v>Level 4 Diploma - Whole Life Asset Management (L4M7)</v>
      </c>
      <c r="F515" t="str">
        <f>IFERROR(__xludf.DUMMYFUNCTION("""COMPUTED_VALUE"""),"Level 4 Diploma - Whole Life Asset Management (L4M7)")</f>
        <v>Level 4 Diploma - Whole Life Asset Management (L4M7)</v>
      </c>
      <c r="G515">
        <f>IFERROR(__xludf.DUMMYFUNCTION("""COMPUTED_VALUE"""),6.9862614E7)</f>
        <v>69862614</v>
      </c>
      <c r="H515" t="str">
        <f>IFERROR(__xludf.DUMMYFUNCTION("""COMPUTED_VALUE"""),"Daniel Do")</f>
        <v>Daniel Do</v>
      </c>
      <c r="I515" t="str">
        <f>IFERROR(__xludf.DUMMYFUNCTION("""COMPUTED_VALUE"""),"Practice Test Audit")</f>
        <v>Practice Test Audit</v>
      </c>
      <c r="J515" t="b">
        <f>IFERROR(__xludf.DUMMYFUNCTION("""COMPUTED_VALUE"""),FALSE)</f>
        <v>0</v>
      </c>
      <c r="K515" s="142" t="str">
        <f>IFERROR(__xludf.DUMMYFUNCTION("""COMPUTED_VALUE"""),"Project Management &amp; Operations")</f>
        <v>Project Management &amp; Operations</v>
      </c>
      <c r="L515" s="142" t="str">
        <f>IFERROR(__xludf.DUMMYFUNCTION("""COMPUTED_VALUE"""),"Operations Management")</f>
        <v>Operations Management</v>
      </c>
      <c r="M515" s="140" t="str">
        <f>IFERROR(__xludf.DUMMYFUNCTION("""COMPUTED_VALUE"""),"N/A")</f>
        <v>N/A</v>
      </c>
      <c r="P515" s="140" t="str">
        <f>IFERROR(__xludf.DUMMYFUNCTION("""COMPUTED_VALUE"""),"")</f>
        <v/>
      </c>
    </row>
    <row r="516">
      <c r="A516" s="143">
        <f>IFERROR(__xludf.DUMMYFUNCTION("""COMPUTED_VALUE"""),44587.0)</f>
        <v>44587</v>
      </c>
      <c r="B516" s="143">
        <f>IFERROR(__xludf.DUMMYFUNCTION("""COMPUTED_VALUE"""),44681.0)</f>
        <v>44681</v>
      </c>
      <c r="C516" s="140" t="str">
        <f>IFERROR(__xludf.DUMMYFUNCTION("""COMPUTED_VALUE"""),"en")</f>
        <v>en</v>
      </c>
      <c r="D516">
        <f>IFERROR(__xludf.DUMMYFUNCTION("""COMPUTED_VALUE"""),3141830.0)</f>
        <v>3141830</v>
      </c>
      <c r="E516" t="str">
        <f>IFERROR(__xludf.DUMMYFUNCTION("""COMPUTED_VALUE"""),"The New Scrum Master Certification of 2021 - 800 questions")</f>
        <v>The New Scrum Master Certification of 2021 - 800 questions</v>
      </c>
      <c r="F516" t="str">
        <f>IFERROR(__xludf.DUMMYFUNCTION("""COMPUTED_VALUE"""),"The New Scrum Master Certification of 2021 - 800 questions")</f>
        <v>The New Scrum Master Certification of 2021 - 800 questions</v>
      </c>
      <c r="G516">
        <f>IFERROR(__xludf.DUMMYFUNCTION("""COMPUTED_VALUE"""),1.04353348E8)</f>
        <v>104353348</v>
      </c>
      <c r="H516" t="str">
        <f>IFERROR(__xludf.DUMMYFUNCTION("""COMPUTED_VALUE"""),"Ludovic LARRY (PSM I, PSM II, PSPO I &amp; DevOps Foundation certified)")</f>
        <v>Ludovic LARRY (PSM I, PSM II, PSPO I &amp; DevOps Foundation certified)</v>
      </c>
      <c r="I516" t="str">
        <f>IFERROR(__xludf.DUMMYFUNCTION("""COMPUTED_VALUE"""),"Practice Test Audit")</f>
        <v>Practice Test Audit</v>
      </c>
      <c r="J516" t="b">
        <f>IFERROR(__xludf.DUMMYFUNCTION("""COMPUTED_VALUE"""),FALSE)</f>
        <v>0</v>
      </c>
      <c r="K516" s="142" t="str">
        <f>IFERROR(__xludf.DUMMYFUNCTION("""COMPUTED_VALUE"""),"IT Operations")</f>
        <v>IT Operations</v>
      </c>
      <c r="L516" s="142" t="str">
        <f>IFERROR(__xludf.DUMMYFUNCTION("""COMPUTED_VALUE"""),"IT Certifications")</f>
        <v>IT Certifications</v>
      </c>
      <c r="M516" s="140">
        <f>IFERROR(__xludf.DUMMYFUNCTION("""COMPUTED_VALUE"""),1850902.0)</f>
        <v>1850902</v>
      </c>
      <c r="N516" s="140" t="str">
        <f>IFERROR(__xludf.DUMMYFUNCTION("""COMPUTED_VALUE"""),"Scrum for beginners + Scrum Master Certification Preparation")</f>
        <v>Scrum for beginners + Scrum Master Certification Preparation</v>
      </c>
      <c r="P516" s="140" t="str">
        <f>IFERROR(__xludf.DUMMYFUNCTION("""COMPUTED_VALUE"""),"")</f>
        <v/>
      </c>
    </row>
    <row r="517">
      <c r="A517" s="143">
        <f>IFERROR(__xludf.DUMMYFUNCTION("""COMPUTED_VALUE"""),44587.0)</f>
        <v>44587</v>
      </c>
      <c r="B517" s="143">
        <f>IFERROR(__xludf.DUMMYFUNCTION("""COMPUTED_VALUE"""),44681.0)</f>
        <v>44681</v>
      </c>
      <c r="C517" s="140" t="str">
        <f>IFERROR(__xludf.DUMMYFUNCTION("""COMPUTED_VALUE"""),"en")</f>
        <v>en</v>
      </c>
      <c r="D517">
        <f>IFERROR(__xludf.DUMMYFUNCTION("""COMPUTED_VALUE"""),3413398.0)</f>
        <v>3413398</v>
      </c>
      <c r="E517" t="str">
        <f>IFERROR(__xludf.DUMMYFUNCTION("""COMPUTED_VALUE"""),"Professional Scrum Master certification Practice Tests PSM1")</f>
        <v>Professional Scrum Master certification Practice Tests PSM1</v>
      </c>
      <c r="F517" t="str">
        <f>IFERROR(__xludf.DUMMYFUNCTION("""COMPUTED_VALUE"""),"Professional Scrum Master certification Practice Tests PSM1")</f>
        <v>Professional Scrum Master certification Practice Tests PSM1</v>
      </c>
      <c r="G517">
        <f>IFERROR(__xludf.DUMMYFUNCTION("""COMPUTED_VALUE"""),4.4448998E7)</f>
        <v>44448998</v>
      </c>
      <c r="H517" t="str">
        <f>IFERROR(__xludf.DUMMYFUNCTION("""COMPUTED_VALUE"""),"Ignacio Paz")</f>
        <v>Ignacio Paz</v>
      </c>
      <c r="I517" t="str">
        <f>IFERROR(__xludf.DUMMYFUNCTION("""COMPUTED_VALUE"""),"Practice Test Audit")</f>
        <v>Practice Test Audit</v>
      </c>
      <c r="J517" t="b">
        <f>IFERROR(__xludf.DUMMYFUNCTION("""COMPUTED_VALUE"""),FALSE)</f>
        <v>0</v>
      </c>
      <c r="K517" s="142" t="str">
        <f>IFERROR(__xludf.DUMMYFUNCTION("""COMPUTED_VALUE"""),"IT Operations")</f>
        <v>IT Operations</v>
      </c>
      <c r="L517" s="142" t="str">
        <f>IFERROR(__xludf.DUMMYFUNCTION("""COMPUTED_VALUE"""),"IT Certifications")</f>
        <v>IT Certifications</v>
      </c>
      <c r="M517" s="140">
        <f>IFERROR(__xludf.DUMMYFUNCTION("""COMPUTED_VALUE"""),1850902.0)</f>
        <v>1850902</v>
      </c>
      <c r="N517" s="140" t="str">
        <f>IFERROR(__xludf.DUMMYFUNCTION("""COMPUTED_VALUE"""),"Scrum for beginners + Scrum Master Certification Preparation")</f>
        <v>Scrum for beginners + Scrum Master Certification Preparation</v>
      </c>
      <c r="P517" s="140" t="str">
        <f>IFERROR(__xludf.DUMMYFUNCTION("""COMPUTED_VALUE"""),"")</f>
        <v/>
      </c>
    </row>
    <row r="518">
      <c r="A518" s="143">
        <f>IFERROR(__xludf.DUMMYFUNCTION("""COMPUTED_VALUE"""),44587.0)</f>
        <v>44587</v>
      </c>
      <c r="B518" s="143">
        <f>IFERROR(__xludf.DUMMYFUNCTION("""COMPUTED_VALUE"""),44681.0)</f>
        <v>44681</v>
      </c>
      <c r="C518" s="140" t="str">
        <f>IFERROR(__xludf.DUMMYFUNCTION("""COMPUTED_VALUE"""),"en")</f>
        <v>en</v>
      </c>
      <c r="D518">
        <f>IFERROR(__xludf.DUMMYFUNCTION("""COMPUTED_VALUE"""),3501974.0)</f>
        <v>3501974</v>
      </c>
      <c r="E518" t="str">
        <f>IFERROR(__xludf.DUMMYFUNCTION("""COMPUTED_VALUE"""),"PSM2 Professional Scrum Master II certification Practice")</f>
        <v>PSM2 Professional Scrum Master II certification Practice</v>
      </c>
      <c r="F518" t="str">
        <f>IFERROR(__xludf.DUMMYFUNCTION("""COMPUTED_VALUE"""),"PSM2 Professional Scrum Master II certification Practice")</f>
        <v>PSM2 Professional Scrum Master II certification Practice</v>
      </c>
      <c r="G518">
        <f>IFERROR(__xludf.DUMMYFUNCTION("""COMPUTED_VALUE"""),4.4448998E7)</f>
        <v>44448998</v>
      </c>
      <c r="H518" t="str">
        <f>IFERROR(__xludf.DUMMYFUNCTION("""COMPUTED_VALUE"""),"Ignacio Paz")</f>
        <v>Ignacio Paz</v>
      </c>
      <c r="I518" t="str">
        <f>IFERROR(__xludf.DUMMYFUNCTION("""COMPUTED_VALUE"""),"Practice Test Audit")</f>
        <v>Practice Test Audit</v>
      </c>
      <c r="J518" t="b">
        <f>IFERROR(__xludf.DUMMYFUNCTION("""COMPUTED_VALUE"""),FALSE)</f>
        <v>0</v>
      </c>
      <c r="K518" s="142" t="str">
        <f>IFERROR(__xludf.DUMMYFUNCTION("""COMPUTED_VALUE"""),"Project Management &amp; Operations")</f>
        <v>Project Management &amp; Operations</v>
      </c>
      <c r="L518" s="142" t="str">
        <f>IFERROR(__xludf.DUMMYFUNCTION("""COMPUTED_VALUE"""),"Project Management Certifications")</f>
        <v>Project Management Certifications</v>
      </c>
      <c r="M518" s="140" t="str">
        <f>IFERROR(__xludf.DUMMYFUNCTION("""COMPUTED_VALUE"""),"N/A")</f>
        <v>N/A</v>
      </c>
      <c r="P518" s="140" t="str">
        <f>IFERROR(__xludf.DUMMYFUNCTION("""COMPUTED_VALUE"""),"")</f>
        <v/>
      </c>
    </row>
    <row r="519">
      <c r="A519" s="143">
        <f>IFERROR(__xludf.DUMMYFUNCTION("""COMPUTED_VALUE"""),44587.0)</f>
        <v>44587</v>
      </c>
      <c r="B519" s="143">
        <f>IFERROR(__xludf.DUMMYFUNCTION("""COMPUTED_VALUE"""),44681.0)</f>
        <v>44681</v>
      </c>
      <c r="C519" s="140" t="str">
        <f>IFERROR(__xludf.DUMMYFUNCTION("""COMPUTED_VALUE"""),"en")</f>
        <v>en</v>
      </c>
      <c r="D519">
        <f>IFERROR(__xludf.DUMMYFUNCTION("""COMPUTED_VALUE"""),3720796.0)</f>
        <v>3720796</v>
      </c>
      <c r="E519" t="str">
        <f>IFERROR(__xludf.DUMMYFUNCTION("""COMPUTED_VALUE"""),"Criteria Cognitive Aptitude Test(CCAT) Practice Package 2021")</f>
        <v>Criteria Cognitive Aptitude Test(CCAT) Practice Package 2021</v>
      </c>
      <c r="F519" t="str">
        <f>IFERROR(__xludf.DUMMYFUNCTION("""COMPUTED_VALUE"""),"Criteria Cognitive Aptitude Test(CCAT) Practice Package 2021")</f>
        <v>Criteria Cognitive Aptitude Test(CCAT) Practice Package 2021</v>
      </c>
      <c r="G519">
        <f>IFERROR(__xludf.DUMMYFUNCTION("""COMPUTED_VALUE"""),1.41627228E8)</f>
        <v>141627228</v>
      </c>
      <c r="H519" t="str">
        <f>IFERROR(__xludf.DUMMYFUNCTION("""COMPUTED_VALUE"""),"A V Krishnan")</f>
        <v>A V Krishnan</v>
      </c>
      <c r="I519" t="str">
        <f>IFERROR(__xludf.DUMMYFUNCTION("""COMPUTED_VALUE"""),"Practice Test Audit")</f>
        <v>Practice Test Audit</v>
      </c>
      <c r="J519" t="b">
        <f>IFERROR(__xludf.DUMMYFUNCTION("""COMPUTED_VALUE"""),FALSE)</f>
        <v>0</v>
      </c>
      <c r="K519" s="142" t="str">
        <f>IFERROR(__xludf.DUMMYFUNCTION("""COMPUTED_VALUE"""),"Workplace &amp; Human Resources")</f>
        <v>Workplace &amp; Human Resources</v>
      </c>
      <c r="L519" s="142" t="str">
        <f>IFERROR(__xludf.DUMMYFUNCTION("""COMPUTED_VALUE"""),"Human Resources Fundamentals")</f>
        <v>Human Resources Fundamentals</v>
      </c>
      <c r="M519" s="140" t="str">
        <f>IFERROR(__xludf.DUMMYFUNCTION("""COMPUTED_VALUE"""),"N/A")</f>
        <v>N/A</v>
      </c>
      <c r="P519" s="140" t="str">
        <f>IFERROR(__xludf.DUMMYFUNCTION("""COMPUTED_VALUE"""),"")</f>
        <v/>
      </c>
    </row>
    <row r="520">
      <c r="A520" s="143">
        <f>IFERROR(__xludf.DUMMYFUNCTION("""COMPUTED_VALUE"""),44587.0)</f>
        <v>44587</v>
      </c>
      <c r="B520" s="143">
        <f>IFERROR(__xludf.DUMMYFUNCTION("""COMPUTED_VALUE"""),44681.0)</f>
        <v>44681</v>
      </c>
      <c r="C520" s="140" t="str">
        <f>IFERROR(__xludf.DUMMYFUNCTION("""COMPUTED_VALUE"""),"en")</f>
        <v>en</v>
      </c>
      <c r="D520">
        <f>IFERROR(__xludf.DUMMYFUNCTION("""COMPUTED_VALUE"""),3810768.0)</f>
        <v>3810768</v>
      </c>
      <c r="E520" t="str">
        <f>IFERROR(__xludf.DUMMYFUNCTION("""COMPUTED_VALUE"""),"NEW SAFe 5 Agilist (Leading SAFe) Practice Exams (235 Q's)")</f>
        <v>NEW SAFe 5 Agilist (Leading SAFe) Practice Exams (235 Q's)</v>
      </c>
      <c r="F520" t="str">
        <f>IFERROR(__xludf.DUMMYFUNCTION("""COMPUTED_VALUE"""),"NEW SAFe 5 Agilist (Leading SAFe) Practice Exams (235 Q's)")</f>
        <v>NEW SAFe 5 Agilist (Leading SAFe) Practice Exams (235 Q's)</v>
      </c>
      <c r="G520">
        <f>IFERROR(__xludf.DUMMYFUNCTION("""COMPUTED_VALUE"""),1.48658884E8)</f>
        <v>148658884</v>
      </c>
      <c r="H520" t="str">
        <f>IFERROR(__xludf.DUMMYFUNCTION("""COMPUTED_VALUE"""),"Online Education Hub")</f>
        <v>Online Education Hub</v>
      </c>
      <c r="I520" t="str">
        <f>IFERROR(__xludf.DUMMYFUNCTION("""COMPUTED_VALUE"""),"Practice Test Audit")</f>
        <v>Practice Test Audit</v>
      </c>
      <c r="J520" t="b">
        <f>IFERROR(__xludf.DUMMYFUNCTION("""COMPUTED_VALUE"""),FALSE)</f>
        <v>0</v>
      </c>
      <c r="K520" s="142" t="str">
        <f>IFERROR(__xludf.DUMMYFUNCTION("""COMPUTED_VALUE"""),"IT Operations")</f>
        <v>IT Operations</v>
      </c>
      <c r="L520" s="142" t="str">
        <f>IFERROR(__xludf.DUMMYFUNCTION("""COMPUTED_VALUE"""),"IT Certifications")</f>
        <v>IT Certifications</v>
      </c>
      <c r="M520" s="140" t="str">
        <f>IFERROR(__xludf.DUMMYFUNCTION("""COMPUTED_VALUE"""),"N/A")</f>
        <v>N/A</v>
      </c>
      <c r="P520" s="140" t="str">
        <f>IFERROR(__xludf.DUMMYFUNCTION("""COMPUTED_VALUE"""),"")</f>
        <v/>
      </c>
    </row>
    <row r="521">
      <c r="A521" s="143">
        <f>IFERROR(__xludf.DUMMYFUNCTION("""COMPUTED_VALUE"""),44587.0)</f>
        <v>44587</v>
      </c>
      <c r="B521" s="143">
        <f>IFERROR(__xludf.DUMMYFUNCTION("""COMPUTED_VALUE"""),44681.0)</f>
        <v>44681</v>
      </c>
      <c r="C521" s="140" t="str">
        <f>IFERROR(__xludf.DUMMYFUNCTION("""COMPUTED_VALUE"""),"en")</f>
        <v>en</v>
      </c>
      <c r="D521">
        <f>IFERROR(__xludf.DUMMYFUNCTION("""COMPUTED_VALUE"""),4089434.0)</f>
        <v>4089434</v>
      </c>
      <c r="E521" t="str">
        <f>IFERROR(__xludf.DUMMYFUNCTION("""COMPUTED_VALUE"""),"Leading SAFe 5.1")</f>
        <v>Leading SAFe 5.1</v>
      </c>
      <c r="F521" t="str">
        <f>IFERROR(__xludf.DUMMYFUNCTION("""COMPUTED_VALUE"""),"Leading SAFe 5.1")</f>
        <v>Leading SAFe 5.1</v>
      </c>
      <c r="G521">
        <f>IFERROR(__xludf.DUMMYFUNCTION("""COMPUTED_VALUE"""),1.61878322E8)</f>
        <v>161878322</v>
      </c>
      <c r="H521" t="str">
        <f>IFERROR(__xludf.DUMMYFUNCTION("""COMPUTED_VALUE"""),"Value Realization Experts Inc")</f>
        <v>Value Realization Experts Inc</v>
      </c>
      <c r="I521" t="str">
        <f>IFERROR(__xludf.DUMMYFUNCTION("""COMPUTED_VALUE"""),"Practice Test Audit")</f>
        <v>Practice Test Audit</v>
      </c>
      <c r="J521" t="b">
        <f>IFERROR(__xludf.DUMMYFUNCTION("""COMPUTED_VALUE"""),FALSE)</f>
        <v>0</v>
      </c>
      <c r="K521" s="142" t="str">
        <f>IFERROR(__xludf.DUMMYFUNCTION("""COMPUTED_VALUE"""),"Project Management &amp; Operations")</f>
        <v>Project Management &amp; Operations</v>
      </c>
      <c r="L521" s="142" t="str">
        <f>IFERROR(__xludf.DUMMYFUNCTION("""COMPUTED_VALUE"""),"Project Management Tools")</f>
        <v>Project Management Tools</v>
      </c>
      <c r="M521" s="140" t="str">
        <f>IFERROR(__xludf.DUMMYFUNCTION("""COMPUTED_VALUE"""),"N/A")</f>
        <v>N/A</v>
      </c>
      <c r="P521" s="140" t="str">
        <f>IFERROR(__xludf.DUMMYFUNCTION("""COMPUTED_VALUE"""),"")</f>
        <v/>
      </c>
    </row>
    <row r="522">
      <c r="A522" s="143">
        <f>IFERROR(__xludf.DUMMYFUNCTION("""COMPUTED_VALUE"""),44484.0)</f>
        <v>44484</v>
      </c>
      <c r="B522" s="143">
        <f>IFERROR(__xludf.DUMMYFUNCTION("""COMPUTED_VALUE"""),44681.0)</f>
        <v>44681</v>
      </c>
      <c r="C522" t="str">
        <f>IFERROR(__xludf.DUMMYFUNCTION("""COMPUTED_VALUE"""),"en")</f>
        <v>en</v>
      </c>
      <c r="D522">
        <f>IFERROR(__xludf.DUMMYFUNCTION("""COMPUTED_VALUE"""),1162180.0)</f>
        <v>1162180</v>
      </c>
      <c r="E522" t="str">
        <f>IFERROR(__xludf.DUMMYFUNCTION("""COMPUTED_VALUE"""),"Digital Strategy Formulation")</f>
        <v>Digital Strategy Formulation</v>
      </c>
      <c r="F522" t="str">
        <f>IFERROR(__xludf.DUMMYFUNCTION("""COMPUTED_VALUE"""),"Digital Strategy Formulation")</f>
        <v>Digital Strategy Formulation</v>
      </c>
      <c r="G522">
        <f>IFERROR(__xludf.DUMMYFUNCTION("""COMPUTED_VALUE"""),1.90245E7)</f>
        <v>19024500</v>
      </c>
      <c r="H522" t="str">
        <f>IFERROR(__xludf.DUMMYFUNCTION("""COMPUTED_VALUE"""),"Business Training Solutions")</f>
        <v>Business Training Solutions</v>
      </c>
      <c r="I522" t="str">
        <f>IFERROR(__xludf.DUMMYFUNCTION("""COMPUTED_VALUE"""),"Instructor Request- Opted Out")</f>
        <v>Instructor Request- Opted Out</v>
      </c>
      <c r="J522" t="b">
        <f>IFERROR(__xludf.DUMMYFUNCTION("""COMPUTED_VALUE"""),FALSE)</f>
        <v>0</v>
      </c>
      <c r="K522" s="142" t="str">
        <f>IFERROR(__xludf.DUMMYFUNCTION("""COMPUTED_VALUE"""),"Leadership &amp; Management")</f>
        <v>Leadership &amp; Management</v>
      </c>
      <c r="L522" s="142" t="str">
        <f>IFERROR(__xludf.DUMMYFUNCTION("""COMPUTED_VALUE"""),"Strategy")</f>
        <v>Strategy</v>
      </c>
      <c r="N522" s="140" t="str">
        <f>IFERROR(__xludf.DUMMYFUNCTION("""COMPUTED_VALUE"""),"")</f>
        <v/>
      </c>
      <c r="P522" s="140" t="str">
        <f>IFERROR(__xludf.DUMMYFUNCTION("""COMPUTED_VALUE"""),"")</f>
        <v/>
      </c>
    </row>
    <row r="523">
      <c r="A523" s="143">
        <f>IFERROR(__xludf.DUMMYFUNCTION("""COMPUTED_VALUE"""),44484.0)</f>
        <v>44484</v>
      </c>
      <c r="B523" s="143">
        <f>IFERROR(__xludf.DUMMYFUNCTION("""COMPUTED_VALUE"""),44681.0)</f>
        <v>44681</v>
      </c>
      <c r="C523" s="140" t="str">
        <f>IFERROR(__xludf.DUMMYFUNCTION("""COMPUTED_VALUE"""),"es")</f>
        <v>es</v>
      </c>
      <c r="D523">
        <f>IFERROR(__xludf.DUMMYFUNCTION("""COMPUTED_VALUE"""),1214088.0)</f>
        <v>1214088</v>
      </c>
      <c r="E523" t="str">
        <f>IFERROR(__xludf.DUMMYFUNCTION("""COMPUTED_VALUE"""),"Estrategia de Ventas B2B")</f>
        <v>Estrategia de Ventas B2B</v>
      </c>
      <c r="F523" t="str">
        <f>IFERROR(__xludf.DUMMYFUNCTION("""COMPUTED_VALUE"""),"Sales strategy B2B")</f>
        <v>Sales strategy B2B</v>
      </c>
      <c r="G523">
        <f>IFERROR(__xludf.DUMMYFUNCTION("""COMPUTED_VALUE"""),1.90245E7)</f>
        <v>19024500</v>
      </c>
      <c r="H523" t="str">
        <f>IFERROR(__xludf.DUMMYFUNCTION("""COMPUTED_VALUE"""),"Business Training Solutions")</f>
        <v>Business Training Solutions</v>
      </c>
      <c r="I523" t="str">
        <f>IFERROR(__xludf.DUMMYFUNCTION("""COMPUTED_VALUE"""),"Instructor Request- Opted Out")</f>
        <v>Instructor Request- Opted Out</v>
      </c>
      <c r="J523" t="b">
        <f>IFERROR(__xludf.DUMMYFUNCTION("""COMPUTED_VALUE"""),FALSE)</f>
        <v>0</v>
      </c>
      <c r="K523" s="142" t="str">
        <f>IFERROR(__xludf.DUMMYFUNCTION("""COMPUTED_VALUE"""),"Sales")</f>
        <v>Sales</v>
      </c>
      <c r="L523" s="142" t="str">
        <f>IFERROR(__xludf.DUMMYFUNCTION("""COMPUTED_VALUE"""),"Sales Skills &amp; Tools")</f>
        <v>Sales Skills &amp; Tools</v>
      </c>
      <c r="M523" s="140">
        <f>IFERROR(__xludf.DUMMYFUNCTION("""COMPUTED_VALUE"""),3875828.0)</f>
        <v>3875828</v>
      </c>
      <c r="N523" s="140" t="str">
        <f>IFERROR(__xludf.DUMMYFUNCTION("""COMPUTED_VALUE"""),"Curso de Venta B2B - Ventas de Negocio a Negocio")</f>
        <v>Curso de Venta B2B - Ventas de Negocio a Negocio</v>
      </c>
      <c r="P523" s="140" t="str">
        <f>IFERROR(__xludf.DUMMYFUNCTION("""COMPUTED_VALUE"""),"")</f>
        <v/>
      </c>
    </row>
    <row r="524">
      <c r="A524" s="143">
        <f>IFERROR(__xludf.DUMMYFUNCTION("""COMPUTED_VALUE"""),44484.0)</f>
        <v>44484</v>
      </c>
      <c r="B524" s="143">
        <f>IFERROR(__xludf.DUMMYFUNCTION("""COMPUTED_VALUE"""),44681.0)</f>
        <v>44681</v>
      </c>
      <c r="C524" s="140" t="str">
        <f>IFERROR(__xludf.DUMMYFUNCTION("""COMPUTED_VALUE"""),"es")</f>
        <v>es</v>
      </c>
      <c r="D524">
        <f>IFERROR(__xludf.DUMMYFUNCTION("""COMPUTED_VALUE"""),1230710.0)</f>
        <v>1230710</v>
      </c>
      <c r="E524" t="str">
        <f>IFERROR(__xludf.DUMMYFUNCTION("""COMPUTED_VALUE"""),"Estrategia de Negocio")</f>
        <v>Estrategia de Negocio</v>
      </c>
      <c r="F524" t="str">
        <f>IFERROR(__xludf.DUMMYFUNCTION("""COMPUTED_VALUE"""),"Business strategy")</f>
        <v>Business strategy</v>
      </c>
      <c r="G524">
        <f>IFERROR(__xludf.DUMMYFUNCTION("""COMPUTED_VALUE"""),1.90245E7)</f>
        <v>19024500</v>
      </c>
      <c r="H524" t="str">
        <f>IFERROR(__xludf.DUMMYFUNCTION("""COMPUTED_VALUE"""),"Business Training Solutions")</f>
        <v>Business Training Solutions</v>
      </c>
      <c r="I524" t="str">
        <f>IFERROR(__xludf.DUMMYFUNCTION("""COMPUTED_VALUE"""),"Instructor Request- Opted Out")</f>
        <v>Instructor Request- Opted Out</v>
      </c>
      <c r="J524" t="b">
        <f>IFERROR(__xludf.DUMMYFUNCTION("""COMPUTED_VALUE"""),FALSE)</f>
        <v>0</v>
      </c>
      <c r="K524" s="142" t="str">
        <f>IFERROR(__xludf.DUMMYFUNCTION("""COMPUTED_VALUE"""),"Leadership &amp; Management")</f>
        <v>Leadership &amp; Management</v>
      </c>
      <c r="L524" s="142" t="str">
        <f>IFERROR(__xludf.DUMMYFUNCTION("""COMPUTED_VALUE"""),"Strategy")</f>
        <v>Strategy</v>
      </c>
      <c r="N524" s="140" t="str">
        <f>IFERROR(__xludf.DUMMYFUNCTION("""COMPUTED_VALUE"""),"")</f>
        <v/>
      </c>
      <c r="P524" s="140" t="str">
        <f>IFERROR(__xludf.DUMMYFUNCTION("""COMPUTED_VALUE"""),"")</f>
        <v/>
      </c>
    </row>
    <row r="525">
      <c r="A525" s="143">
        <f>IFERROR(__xludf.DUMMYFUNCTION("""COMPUTED_VALUE"""),44484.0)</f>
        <v>44484</v>
      </c>
      <c r="B525" s="143">
        <f>IFERROR(__xludf.DUMMYFUNCTION("""COMPUTED_VALUE"""),44681.0)</f>
        <v>44681</v>
      </c>
      <c r="C525" s="140" t="str">
        <f>IFERROR(__xludf.DUMMYFUNCTION("""COMPUTED_VALUE"""),"pt")</f>
        <v>pt</v>
      </c>
      <c r="D525">
        <f>IFERROR(__xludf.DUMMYFUNCTION("""COMPUTED_VALUE"""),1115290.0)</f>
        <v>1115290</v>
      </c>
      <c r="E525" t="str">
        <f>IFERROR(__xludf.DUMMYFUNCTION("""COMPUTED_VALUE"""),"Preparatório para Certificação Linux LPIC-1 | Atualizado V5")</f>
        <v>Preparatório para Certificação Linux LPIC-1 | Atualizado V5</v>
      </c>
      <c r="F525" t="str">
        <f>IFERROR(__xludf.DUMMYFUNCTION("""COMPUTED_VALUE"""),"Linux Certification Preparatory LPIC-1 | Updated V5")</f>
        <v>Linux Certification Preparatory LPIC-1 | Updated V5</v>
      </c>
      <c r="G525">
        <f>IFERROR(__xludf.DUMMYFUNCTION("""COMPUTED_VALUE"""),2.968065E7)</f>
        <v>29680650</v>
      </c>
      <c r="H525" t="str">
        <f>IFERROR(__xludf.DUMMYFUNCTION("""COMPUTED_VALUE"""),"Ricardo. Prudenciato")</f>
        <v>Ricardo. Prudenciato</v>
      </c>
      <c r="I525" t="str">
        <f>IFERROR(__xludf.DUMMYFUNCTION("""COMPUTED_VALUE"""),"Instructor Request- Opted Out")</f>
        <v>Instructor Request- Opted Out</v>
      </c>
      <c r="J525" t="b">
        <f>IFERROR(__xludf.DUMMYFUNCTION("""COMPUTED_VALUE"""),FALSE)</f>
        <v>0</v>
      </c>
      <c r="K525" s="142" t="str">
        <f>IFERROR(__xludf.DUMMYFUNCTION("""COMPUTED_VALUE"""),"IT Operations")</f>
        <v>IT Operations</v>
      </c>
      <c r="L525" s="142" t="str">
        <f>IFERROR(__xludf.DUMMYFUNCTION("""COMPUTED_VALUE"""),"IT Certifications")</f>
        <v>IT Certifications</v>
      </c>
      <c r="N525" s="140" t="str">
        <f>IFERROR(__xludf.DUMMYFUNCTION("""COMPUTED_VALUE"""),"")</f>
        <v/>
      </c>
      <c r="P525" s="140" t="str">
        <f>IFERROR(__xludf.DUMMYFUNCTION("""COMPUTED_VALUE"""),"")</f>
        <v/>
      </c>
    </row>
    <row r="526">
      <c r="A526" s="143">
        <f>IFERROR(__xludf.DUMMYFUNCTION("""COMPUTED_VALUE"""),44489.0)</f>
        <v>44489</v>
      </c>
      <c r="B526" s="143">
        <f>IFERROR(__xludf.DUMMYFUNCTION("""COMPUTED_VALUE"""),44681.0)</f>
        <v>44681</v>
      </c>
      <c r="C526" s="140" t="str">
        <f>IFERROR(__xludf.DUMMYFUNCTION("""COMPUTED_VALUE"""),"en")</f>
        <v>en</v>
      </c>
      <c r="D526">
        <f>IFERROR(__xludf.DUMMYFUNCTION("""COMPUTED_VALUE"""),2997692.0)</f>
        <v>2997692</v>
      </c>
      <c r="E526" t="str">
        <f>IFERROR(__xludf.DUMMYFUNCTION("""COMPUTED_VALUE"""),"Serverless Framework Bootcamp: Node.js, AWS &amp; Microservices")</f>
        <v>Serverless Framework Bootcamp: Node.js, AWS &amp; Microservices</v>
      </c>
      <c r="F526" t="str">
        <f>IFERROR(__xludf.DUMMYFUNCTION("""COMPUTED_VALUE"""),"Serverless Framework Bootcamp: Node.js, AWS &amp; Microservices")</f>
        <v>Serverless Framework Bootcamp: Node.js, AWS &amp; Microservices</v>
      </c>
      <c r="G526">
        <f>IFERROR(__xludf.DUMMYFUNCTION("""COMPUTED_VALUE"""),1.3822456E7)</f>
        <v>13822456</v>
      </c>
      <c r="H526" t="str">
        <f>IFERROR(__xludf.DUMMYFUNCTION("""COMPUTED_VALUE"""),"Ariel Weinberger")</f>
        <v>Ariel Weinberger</v>
      </c>
      <c r="I526" t="str">
        <f>IFERROR(__xludf.DUMMYFUNCTION("""COMPUTED_VALUE"""),"Instructor Request- Opted Out")</f>
        <v>Instructor Request- Opted Out</v>
      </c>
      <c r="J526" t="b">
        <f>IFERROR(__xludf.DUMMYFUNCTION("""COMPUTED_VALUE"""),FALSE)</f>
        <v>0</v>
      </c>
      <c r="K526" s="142" t="str">
        <f>IFERROR(__xludf.DUMMYFUNCTION("""COMPUTED_VALUE"""),"IT Operations")</f>
        <v>IT Operations</v>
      </c>
      <c r="L526" s="142" t="str">
        <f>IFERROR(__xludf.DUMMYFUNCTION("""COMPUTED_VALUE"""),"IT Certifications")</f>
        <v>IT Certifications</v>
      </c>
      <c r="N526" s="140" t="str">
        <f>IFERROR(__xludf.DUMMYFUNCTION("""COMPUTED_VALUE"""),"")</f>
        <v/>
      </c>
      <c r="P526" s="140" t="str">
        <f>IFERROR(__xludf.DUMMYFUNCTION("""COMPUTED_VALUE"""),"")</f>
        <v/>
      </c>
    </row>
    <row r="527">
      <c r="A527" s="143">
        <f>IFERROR(__xludf.DUMMYFUNCTION("""COMPUTED_VALUE"""),44489.0)</f>
        <v>44489</v>
      </c>
      <c r="B527" s="143">
        <f>IFERROR(__xludf.DUMMYFUNCTION("""COMPUTED_VALUE"""),44681.0)</f>
        <v>44681</v>
      </c>
      <c r="C527" s="140" t="str">
        <f>IFERROR(__xludf.DUMMYFUNCTION("""COMPUTED_VALUE"""),"en")</f>
        <v>en</v>
      </c>
      <c r="D527">
        <f>IFERROR(__xludf.DUMMYFUNCTION("""COMPUTED_VALUE"""),2053219.0)</f>
        <v>2053219</v>
      </c>
      <c r="E527" t="str">
        <f>IFERROR(__xludf.DUMMYFUNCTION("""COMPUTED_VALUE"""),"NestJS Zero to Hero - Modern TypeScript Back-end Development")</f>
        <v>NestJS Zero to Hero - Modern TypeScript Back-end Development</v>
      </c>
      <c r="F527" t="str">
        <f>IFERROR(__xludf.DUMMYFUNCTION("""COMPUTED_VALUE"""),"NestJS Zero to Hero - Modern TypeScript Back-end Development")</f>
        <v>NestJS Zero to Hero - Modern TypeScript Back-end Development</v>
      </c>
      <c r="G527">
        <f>IFERROR(__xludf.DUMMYFUNCTION("""COMPUTED_VALUE"""),1.3822456E7)</f>
        <v>13822456</v>
      </c>
      <c r="H527" t="str">
        <f>IFERROR(__xludf.DUMMYFUNCTION("""COMPUTED_VALUE"""),"Ariel Weinberger")</f>
        <v>Ariel Weinberger</v>
      </c>
      <c r="I527" t="str">
        <f>IFERROR(__xludf.DUMMYFUNCTION("""COMPUTED_VALUE"""),"Instructor Request- Opted Out")</f>
        <v>Instructor Request- Opted Out</v>
      </c>
      <c r="J527" t="b">
        <f>IFERROR(__xludf.DUMMYFUNCTION("""COMPUTED_VALUE"""),FALSE)</f>
        <v>0</v>
      </c>
      <c r="K527" s="142" t="str">
        <f>IFERROR(__xludf.DUMMYFUNCTION("""COMPUTED_VALUE"""),"Development")</f>
        <v>Development</v>
      </c>
      <c r="L527" s="142" t="str">
        <f>IFERROR(__xludf.DUMMYFUNCTION("""COMPUTED_VALUE"""),"Web Development")</f>
        <v>Web Development</v>
      </c>
      <c r="N527" s="140" t="str">
        <f>IFERROR(__xludf.DUMMYFUNCTION("""COMPUTED_VALUE"""),"")</f>
        <v/>
      </c>
      <c r="P527" s="140" t="str">
        <f>IFERROR(__xludf.DUMMYFUNCTION("""COMPUTED_VALUE"""),"")</f>
        <v/>
      </c>
    </row>
    <row r="528">
      <c r="A528" s="143">
        <f>IFERROR(__xludf.DUMMYFUNCTION("""COMPUTED_VALUE"""),44490.0)</f>
        <v>44490</v>
      </c>
      <c r="B528" s="143">
        <f>IFERROR(__xludf.DUMMYFUNCTION("""COMPUTED_VALUE"""),44681.0)</f>
        <v>44681</v>
      </c>
      <c r="C528" s="140" t="str">
        <f>IFERROR(__xludf.DUMMYFUNCTION("""COMPUTED_VALUE"""),"tr")</f>
        <v>tr</v>
      </c>
      <c r="D528">
        <f>IFERROR(__xludf.DUMMYFUNCTION("""COMPUTED_VALUE"""),2759198.0)</f>
        <v>2759198</v>
      </c>
      <c r="E528" t="str">
        <f>IFERROR(__xludf.DUMMYFUNCTION("""COMPUTED_VALUE"""),"Her Seviyeye Uygun Python Egzersizleri (Soru-Çözüm) : PYT102")</f>
        <v>Her Seviyeye Uygun Python Egzersizleri (Soru-Çözüm) : PYT102</v>
      </c>
      <c r="F528" t="str">
        <f>IFERROR(__xludf.DUMMYFUNCTION("""COMPUTED_VALUE"""),"Python exercises in accordance with each level (question-solution): pyt102")</f>
        <v>Python exercises in accordance with each level (question-solution): pyt102</v>
      </c>
      <c r="G528">
        <f>IFERROR(__xludf.DUMMYFUNCTION("""COMPUTED_VALUE"""),1.015829E7)</f>
        <v>10158290</v>
      </c>
      <c r="H528" t="str">
        <f>IFERROR(__xludf.DUMMYFUNCTION("""COMPUTED_VALUE"""),"Ceyhun Özdemir")</f>
        <v>Ceyhun Özdemir</v>
      </c>
      <c r="I528" t="str">
        <f>IFERROR(__xludf.DUMMYFUNCTION("""COMPUTED_VALUE"""),"Instructor Request- Opted Out")</f>
        <v>Instructor Request- Opted Out</v>
      </c>
      <c r="J528" t="b">
        <f>IFERROR(__xludf.DUMMYFUNCTION("""COMPUTED_VALUE"""),TRUE)</f>
        <v>1</v>
      </c>
      <c r="K528" s="142" t="str">
        <f>IFERROR(__xludf.DUMMYFUNCTION("""COMPUTED_VALUE"""),"Development")</f>
        <v>Development</v>
      </c>
      <c r="L528" s="142" t="str">
        <f>IFERROR(__xludf.DUMMYFUNCTION("""COMPUTED_VALUE"""),"Programming Languages")</f>
        <v>Programming Languages</v>
      </c>
      <c r="N528" s="140" t="str">
        <f>IFERROR(__xludf.DUMMYFUNCTION("""COMPUTED_VALUE"""),"")</f>
        <v/>
      </c>
      <c r="P528" s="140" t="str">
        <f>IFERROR(__xludf.DUMMYFUNCTION("""COMPUTED_VALUE"""),"")</f>
        <v/>
      </c>
    </row>
    <row r="529">
      <c r="A529" s="143">
        <f>IFERROR(__xludf.DUMMYFUNCTION("""COMPUTED_VALUE"""),44492.0)</f>
        <v>44492</v>
      </c>
      <c r="B529" s="143">
        <f>IFERROR(__xludf.DUMMYFUNCTION("""COMPUTED_VALUE"""),44681.0)</f>
        <v>44681</v>
      </c>
      <c r="C529" s="140" t="str">
        <f>IFERROR(__xludf.DUMMYFUNCTION("""COMPUTED_VALUE"""),"en")</f>
        <v>en</v>
      </c>
      <c r="D529">
        <f>IFERROR(__xludf.DUMMYFUNCTION("""COMPUTED_VALUE"""),820114.0)</f>
        <v>820114</v>
      </c>
      <c r="E529" t="str">
        <f>IFERROR(__xludf.DUMMYFUNCTION("""COMPUTED_VALUE"""),"Employee Stock Options &amp; RSUs")</f>
        <v>Employee Stock Options &amp; RSUs</v>
      </c>
      <c r="F529" t="str">
        <f>IFERROR(__xludf.DUMMYFUNCTION("""COMPUTED_VALUE"""),"Employee Stock Options &amp; RSUs")</f>
        <v>Employee Stock Options &amp; RSUs</v>
      </c>
      <c r="G529">
        <f>IFERROR(__xludf.DUMMYFUNCTION("""COMPUTED_VALUE"""),2.157791E7)</f>
        <v>21577910</v>
      </c>
      <c r="H529" t="str">
        <f>IFERROR(__xludf.DUMMYFUNCTION("""COMPUTED_VALUE"""),"Jeff Nordin, MBA, CFP®, CAP®, CLU®")</f>
        <v>Jeff Nordin, MBA, CFP®, CAP®, CLU®</v>
      </c>
      <c r="I529" t="str">
        <f>IFERROR(__xludf.DUMMYFUNCTION("""COMPUTED_VALUE"""),"Instructor Request- Opted Out")</f>
        <v>Instructor Request- Opted Out</v>
      </c>
      <c r="J529" t="b">
        <f>IFERROR(__xludf.DUMMYFUNCTION("""COMPUTED_VALUE"""),FALSE)</f>
        <v>0</v>
      </c>
      <c r="K529" s="142" t="str">
        <f>IFERROR(__xludf.DUMMYFUNCTION("""COMPUTED_VALUE"""),"Finance &amp; Accounting")</f>
        <v>Finance &amp; Accounting</v>
      </c>
      <c r="L529" s="142" t="str">
        <f>IFERROR(__xludf.DUMMYFUNCTION("""COMPUTED_VALUE"""),"Investing &amp; Trading")</f>
        <v>Investing &amp; Trading</v>
      </c>
      <c r="N529" s="140" t="str">
        <f>IFERROR(__xludf.DUMMYFUNCTION("""COMPUTED_VALUE"""),"")</f>
        <v/>
      </c>
      <c r="P529" s="140" t="str">
        <f>IFERROR(__xludf.DUMMYFUNCTION("""COMPUTED_VALUE"""),"")</f>
        <v/>
      </c>
    </row>
    <row r="530">
      <c r="A530" s="143">
        <f>IFERROR(__xludf.DUMMYFUNCTION("""COMPUTED_VALUE"""),44493.0)</f>
        <v>44493</v>
      </c>
      <c r="B530" s="143">
        <f>IFERROR(__xludf.DUMMYFUNCTION("""COMPUTED_VALUE"""),44681.0)</f>
        <v>44681</v>
      </c>
      <c r="C530" s="140" t="str">
        <f>IFERROR(__xludf.DUMMYFUNCTION("""COMPUTED_VALUE"""),"en")</f>
        <v>en</v>
      </c>
      <c r="D530">
        <f>IFERROR(__xludf.DUMMYFUNCTION("""COMPUTED_VALUE"""),3381688.0)</f>
        <v>3381688</v>
      </c>
      <c r="E530" t="str">
        <f>IFERROR(__xludf.DUMMYFUNCTION("""COMPUTED_VALUE"""),"Palo Alto Security Administrator - Part 1 PCNSA (EDU-210)")</f>
        <v>Palo Alto Security Administrator - Part 1 PCNSA (EDU-210)</v>
      </c>
      <c r="F530" t="str">
        <f>IFERROR(__xludf.DUMMYFUNCTION("""COMPUTED_VALUE"""),"Palo Alto Security Administrator - Part 1 PCNSA (EDU-210)")</f>
        <v>Palo Alto Security Administrator - Part 1 PCNSA (EDU-210)</v>
      </c>
      <c r="G530">
        <f>IFERROR(__xludf.DUMMYFUNCTION("""COMPUTED_VALUE"""),1.6591E7)</f>
        <v>16591000</v>
      </c>
      <c r="H530" t="str">
        <f>IFERROR(__xludf.DUMMYFUNCTION("""COMPUTED_VALUE"""),"Astrit Krasniqi")</f>
        <v>Astrit Krasniqi</v>
      </c>
      <c r="I530" t="str">
        <f>IFERROR(__xludf.DUMMYFUNCTION("""COMPUTED_VALUE"""),"Instructor Request- Opted Out")</f>
        <v>Instructor Request- Opted Out</v>
      </c>
      <c r="J530" t="b">
        <f>IFERROR(__xludf.DUMMYFUNCTION("""COMPUTED_VALUE"""),TRUE)</f>
        <v>1</v>
      </c>
      <c r="K530" s="142" t="str">
        <f>IFERROR(__xludf.DUMMYFUNCTION("""COMPUTED_VALUE"""),"IT Operations")</f>
        <v>IT Operations</v>
      </c>
      <c r="L530" s="142" t="str">
        <f>IFERROR(__xludf.DUMMYFUNCTION("""COMPUTED_VALUE"""),"Network &amp; Security")</f>
        <v>Network &amp; Security</v>
      </c>
      <c r="N530" s="140" t="str">
        <f>IFERROR(__xludf.DUMMYFUNCTION("""COMPUTED_VALUE"""),"")</f>
        <v/>
      </c>
      <c r="P530" s="140" t="str">
        <f>IFERROR(__xludf.DUMMYFUNCTION("""COMPUTED_VALUE"""),"")</f>
        <v/>
      </c>
    </row>
    <row r="531">
      <c r="A531" s="143">
        <f>IFERROR(__xludf.DUMMYFUNCTION("""COMPUTED_VALUE"""),44493.0)</f>
        <v>44493</v>
      </c>
      <c r="B531" s="143">
        <f>IFERROR(__xludf.DUMMYFUNCTION("""COMPUTED_VALUE"""),44681.0)</f>
        <v>44681</v>
      </c>
      <c r="C531" s="140" t="str">
        <f>IFERROR(__xludf.DUMMYFUNCTION("""COMPUTED_VALUE"""),"en")</f>
        <v>en</v>
      </c>
      <c r="D531">
        <f>IFERROR(__xludf.DUMMYFUNCTION("""COMPUTED_VALUE"""),3527932.0)</f>
        <v>3527932</v>
      </c>
      <c r="E531" t="str">
        <f>IFERROR(__xludf.DUMMYFUNCTION("""COMPUTED_VALUE"""),"Palo Alto Security Administrator - Part 2 PCNSA (EDU-210)")</f>
        <v>Palo Alto Security Administrator - Part 2 PCNSA (EDU-210)</v>
      </c>
      <c r="F531" t="str">
        <f>IFERROR(__xludf.DUMMYFUNCTION("""COMPUTED_VALUE"""),"Palo Alto Security Administrator - Part 2 PCNSA (EDU-210)")</f>
        <v>Palo Alto Security Administrator - Part 2 PCNSA (EDU-210)</v>
      </c>
      <c r="G531">
        <f>IFERROR(__xludf.DUMMYFUNCTION("""COMPUTED_VALUE"""),1.6591E7)</f>
        <v>16591000</v>
      </c>
      <c r="H531" t="str">
        <f>IFERROR(__xludf.DUMMYFUNCTION("""COMPUTED_VALUE"""),"Astrit Krasniqi")</f>
        <v>Astrit Krasniqi</v>
      </c>
      <c r="I531" t="str">
        <f>IFERROR(__xludf.DUMMYFUNCTION("""COMPUTED_VALUE"""),"Instructor Request- Opted Out")</f>
        <v>Instructor Request- Opted Out</v>
      </c>
      <c r="J531" t="b">
        <f>IFERROR(__xludf.DUMMYFUNCTION("""COMPUTED_VALUE"""),TRUE)</f>
        <v>1</v>
      </c>
      <c r="K531" s="142" t="str">
        <f>IFERROR(__xludf.DUMMYFUNCTION("""COMPUTED_VALUE"""),"IT Operations")</f>
        <v>IT Operations</v>
      </c>
      <c r="L531" s="142" t="str">
        <f>IFERROR(__xludf.DUMMYFUNCTION("""COMPUTED_VALUE"""),"Network &amp; Security")</f>
        <v>Network &amp; Security</v>
      </c>
      <c r="N531" s="140" t="str">
        <f>IFERROR(__xludf.DUMMYFUNCTION("""COMPUTED_VALUE"""),"")</f>
        <v/>
      </c>
      <c r="P531" s="140" t="str">
        <f>IFERROR(__xludf.DUMMYFUNCTION("""COMPUTED_VALUE"""),"")</f>
        <v/>
      </c>
    </row>
    <row r="532">
      <c r="A532" s="143">
        <f>IFERROR(__xludf.DUMMYFUNCTION("""COMPUTED_VALUE"""),44496.0)</f>
        <v>44496</v>
      </c>
      <c r="B532" s="143">
        <f>IFERROR(__xludf.DUMMYFUNCTION("""COMPUTED_VALUE"""),44681.0)</f>
        <v>44681</v>
      </c>
      <c r="C532" s="140" t="str">
        <f>IFERROR(__xludf.DUMMYFUNCTION("""COMPUTED_VALUE"""),"en")</f>
        <v>en</v>
      </c>
      <c r="D532">
        <f>IFERROR(__xludf.DUMMYFUNCTION("""COMPUTED_VALUE"""),874604.0)</f>
        <v>874604</v>
      </c>
      <c r="E532" t="str">
        <f>IFERROR(__xludf.DUMMYFUNCTION("""COMPUTED_VALUE"""),"The Ultimate Marketing Training 2020 - Sales Copy Academy")</f>
        <v>The Ultimate Marketing Training 2020 - Sales Copy Academy</v>
      </c>
      <c r="F532" t="str">
        <f>IFERROR(__xludf.DUMMYFUNCTION("""COMPUTED_VALUE"""),"The Ultimate Marketing Training 2020 - Sales Copy Academy")</f>
        <v>The Ultimate Marketing Training 2020 - Sales Copy Academy</v>
      </c>
      <c r="G532">
        <f>IFERROR(__xludf.DUMMYFUNCTION("""COMPUTED_VALUE"""),1.578247E7)</f>
        <v>15782470</v>
      </c>
      <c r="H532" t="str">
        <f>IFERROR(__xludf.DUMMYFUNCTION("""COMPUTED_VALUE"""),"James Ryan")</f>
        <v>James Ryan</v>
      </c>
      <c r="I532" t="str">
        <f>IFERROR(__xludf.DUMMYFUNCTION("""COMPUTED_VALUE"""),"Instructor Request- Opted Out")</f>
        <v>Instructor Request- Opted Out</v>
      </c>
      <c r="J532" t="b">
        <f>IFERROR(__xludf.DUMMYFUNCTION("""COMPUTED_VALUE"""),FALSE)</f>
        <v>0</v>
      </c>
      <c r="K532" s="142" t="str">
        <f>IFERROR(__xludf.DUMMYFUNCTION("""COMPUTED_VALUE"""),"Marketing")</f>
        <v>Marketing</v>
      </c>
      <c r="L532" s="142" t="str">
        <f>IFERROR(__xludf.DUMMYFUNCTION("""COMPUTED_VALUE"""),"Content Marketing")</f>
        <v>Content Marketing</v>
      </c>
      <c r="N532" s="140" t="str">
        <f>IFERROR(__xludf.DUMMYFUNCTION("""COMPUTED_VALUE"""),"")</f>
        <v/>
      </c>
      <c r="P532" s="140" t="str">
        <f>IFERROR(__xludf.DUMMYFUNCTION("""COMPUTED_VALUE"""),"")</f>
        <v/>
      </c>
    </row>
    <row r="533">
      <c r="A533" s="143">
        <f>IFERROR(__xludf.DUMMYFUNCTION("""COMPUTED_VALUE"""),44502.0)</f>
        <v>44502</v>
      </c>
      <c r="B533" s="143">
        <f>IFERROR(__xludf.DUMMYFUNCTION("""COMPUTED_VALUE"""),44681.0)</f>
        <v>44681</v>
      </c>
      <c r="C533" s="140" t="str">
        <f>IFERROR(__xludf.DUMMYFUNCTION("""COMPUTED_VALUE"""),"es")</f>
        <v>es</v>
      </c>
      <c r="D533">
        <f>IFERROR(__xludf.DUMMYFUNCTION("""COMPUTED_VALUE"""),3971238.0)</f>
        <v>3971238</v>
      </c>
      <c r="E533" t="str">
        <f>IFERROR(__xludf.DUMMYFUNCTION("""COMPUTED_VALUE"""),"Crea un Ecommerce con Laravel, Livewire, Tailwind y Alpine")</f>
        <v>Crea un Ecommerce con Laravel, Livewire, Tailwind y Alpine</v>
      </c>
      <c r="F533" t="str">
        <f>IFERROR(__xludf.DUMMYFUNCTION("""COMPUTED_VALUE"""),"Crea un Ecommerce con Laravel, Livewire, Tailwind y Alpine")</f>
        <v>Crea un Ecommerce con Laravel, Livewire, Tailwind y Alpine</v>
      </c>
      <c r="G533">
        <f>IFERROR(__xludf.DUMMYFUNCTION("""COMPUTED_VALUE"""),3.5361316E7)</f>
        <v>35361316</v>
      </c>
      <c r="H533" t="str">
        <f>IFERROR(__xludf.DUMMYFUNCTION("""COMPUTED_VALUE"""),"Victor Hernan Arana Flores")</f>
        <v>Victor Hernan Arana Flores</v>
      </c>
      <c r="I533" t="str">
        <f>IFERROR(__xludf.DUMMYFUNCTION("""COMPUTED_VALUE"""),"Instructor Request- Opted Out")</f>
        <v>Instructor Request- Opted Out</v>
      </c>
      <c r="J533" t="b">
        <f>IFERROR(__xludf.DUMMYFUNCTION("""COMPUTED_VALUE"""),TRUE)</f>
        <v>1</v>
      </c>
      <c r="K533" s="142" t="str">
        <f>IFERROR(__xludf.DUMMYFUNCTION("""COMPUTED_VALUE"""),"Development")</f>
        <v>Development</v>
      </c>
      <c r="L533" s="142" t="str">
        <f>IFERROR(__xludf.DUMMYFUNCTION("""COMPUTED_VALUE"""),"Web Development")</f>
        <v>Web Development</v>
      </c>
      <c r="N533" s="140" t="str">
        <f>IFERROR(__xludf.DUMMYFUNCTION("""COMPUTED_VALUE"""),"")</f>
        <v/>
      </c>
      <c r="P533" s="140" t="str">
        <f>IFERROR(__xludf.DUMMYFUNCTION("""COMPUTED_VALUE"""),"")</f>
        <v/>
      </c>
    </row>
    <row r="534">
      <c r="A534" s="143">
        <f>IFERROR(__xludf.DUMMYFUNCTION("""COMPUTED_VALUE"""),44502.0)</f>
        <v>44502</v>
      </c>
      <c r="B534" s="143">
        <f>IFERROR(__xludf.DUMMYFUNCTION("""COMPUTED_VALUE"""),44681.0)</f>
        <v>44681</v>
      </c>
      <c r="C534" s="140" t="str">
        <f>IFERROR(__xludf.DUMMYFUNCTION("""COMPUTED_VALUE"""),"es")</f>
        <v>es</v>
      </c>
      <c r="D534">
        <f>IFERROR(__xludf.DUMMYFUNCTION("""COMPUTED_VALUE"""),3623532.0)</f>
        <v>3623532</v>
      </c>
      <c r="E534" t="str">
        <f>IFERROR(__xludf.DUMMYFUNCTION("""COMPUTED_VALUE"""),"Aprende a crear una plataforma de cursos con Laravel")</f>
        <v>Aprende a crear una plataforma de cursos con Laravel</v>
      </c>
      <c r="F534" t="str">
        <f>IFERROR(__xludf.DUMMYFUNCTION("""COMPUTED_VALUE"""),"Learn how to create a courses platform with Laravel")</f>
        <v>Learn how to create a courses platform with Laravel</v>
      </c>
      <c r="G534">
        <f>IFERROR(__xludf.DUMMYFUNCTION("""COMPUTED_VALUE"""),3.5361316E7)</f>
        <v>35361316</v>
      </c>
      <c r="H534" t="str">
        <f>IFERROR(__xludf.DUMMYFUNCTION("""COMPUTED_VALUE"""),"Victor Hernan Arana Flores")</f>
        <v>Victor Hernan Arana Flores</v>
      </c>
      <c r="I534" t="str">
        <f>IFERROR(__xludf.DUMMYFUNCTION("""COMPUTED_VALUE"""),"Instructor Request- Opted Out")</f>
        <v>Instructor Request- Opted Out</v>
      </c>
      <c r="J534" t="b">
        <f>IFERROR(__xludf.DUMMYFUNCTION("""COMPUTED_VALUE"""),TRUE)</f>
        <v>1</v>
      </c>
      <c r="K534" s="142" t="str">
        <f>IFERROR(__xludf.DUMMYFUNCTION("""COMPUTED_VALUE"""),"Development")</f>
        <v>Development</v>
      </c>
      <c r="L534" s="142" t="str">
        <f>IFERROR(__xludf.DUMMYFUNCTION("""COMPUTED_VALUE"""),"Web Development")</f>
        <v>Web Development</v>
      </c>
      <c r="N534" s="140" t="str">
        <f>IFERROR(__xludf.DUMMYFUNCTION("""COMPUTED_VALUE"""),"")</f>
        <v/>
      </c>
      <c r="P534" s="140" t="str">
        <f>IFERROR(__xludf.DUMMYFUNCTION("""COMPUTED_VALUE"""),"")</f>
        <v/>
      </c>
    </row>
    <row r="535">
      <c r="A535" s="143">
        <f>IFERROR(__xludf.DUMMYFUNCTION("""COMPUTED_VALUE"""),44509.0)</f>
        <v>44509</v>
      </c>
      <c r="B535" s="143">
        <f>IFERROR(__xludf.DUMMYFUNCTION("""COMPUTED_VALUE"""),44681.0)</f>
        <v>44681</v>
      </c>
      <c r="C535" t="str">
        <f>IFERROR(__xludf.DUMMYFUNCTION("""COMPUTED_VALUE"""),"ar")</f>
        <v>ar</v>
      </c>
      <c r="D535">
        <f>IFERROR(__xludf.DUMMYFUNCTION("""COMPUTED_VALUE"""),4028700.0)</f>
        <v>4028700</v>
      </c>
      <c r="E535" t="str">
        <f>IFERROR(__xludf.DUMMYFUNCTION("""COMPUTED_VALUE"""),"أفضل فريق عمل ناجح")</f>
        <v>أفضل فريق عمل ناجح</v>
      </c>
      <c r="F535" t="str">
        <f>IFERROR(__xludf.DUMMYFUNCTION("""COMPUTED_VALUE"""),"Best successful staff")</f>
        <v>Best successful staff</v>
      </c>
      <c r="G535">
        <f>IFERROR(__xludf.DUMMYFUNCTION("""COMPUTED_VALUE"""),9061070.0)</f>
        <v>9061070</v>
      </c>
      <c r="H535" t="str">
        <f>IFERROR(__xludf.DUMMYFUNCTION("""COMPUTED_VALUE"""),"Ehab Masoud")</f>
        <v>Ehab Masoud</v>
      </c>
      <c r="I535" t="str">
        <f>IFERROR(__xludf.DUMMYFUNCTION("""COMPUTED_VALUE"""),"Instructor Request- Opted Out")</f>
        <v>Instructor Request- Opted Out</v>
      </c>
      <c r="J535" t="b">
        <f>IFERROR(__xludf.DUMMYFUNCTION("""COMPUTED_VALUE"""),FALSE)</f>
        <v>0</v>
      </c>
      <c r="K535" s="142" t="str">
        <f>IFERROR(__xludf.DUMMYFUNCTION("""COMPUTED_VALUE"""),"Leadership &amp; Management")</f>
        <v>Leadership &amp; Management</v>
      </c>
      <c r="L535" s="142" t="str">
        <f>IFERROR(__xludf.DUMMYFUNCTION("""COMPUTED_VALUE"""),"Management")</f>
        <v>Management</v>
      </c>
      <c r="N535" s="140" t="str">
        <f>IFERROR(__xludf.DUMMYFUNCTION("""COMPUTED_VALUE"""),"")</f>
        <v/>
      </c>
      <c r="P535" s="140" t="str">
        <f>IFERROR(__xludf.DUMMYFUNCTION("""COMPUTED_VALUE"""),"")</f>
        <v/>
      </c>
    </row>
    <row r="536">
      <c r="A536" s="143">
        <f>IFERROR(__xludf.DUMMYFUNCTION("""COMPUTED_VALUE"""),44509.0)</f>
        <v>44509</v>
      </c>
      <c r="B536" s="143">
        <f>IFERROR(__xludf.DUMMYFUNCTION("""COMPUTED_VALUE"""),44681.0)</f>
        <v>44681</v>
      </c>
      <c r="C536" t="str">
        <f>IFERROR(__xludf.DUMMYFUNCTION("""COMPUTED_VALUE"""),"ar")</f>
        <v>ar</v>
      </c>
      <c r="D536">
        <f>IFERROR(__xludf.DUMMYFUNCTION("""COMPUTED_VALUE"""),3912714.0)</f>
        <v>3912714</v>
      </c>
      <c r="E536" t="str">
        <f>IFERROR(__xludf.DUMMYFUNCTION("""COMPUTED_VALUE"""),"تميّز كأفضل قائد و مدير أستثنائى")</f>
        <v>تميّز كأفضل قائد و مدير أستثنائى</v>
      </c>
      <c r="F536" t="str">
        <f>IFERROR(__xludf.DUMMYFUNCTION("""COMPUTED_VALUE"""),"Distinguished as the best leader and an exceptional manager")</f>
        <v>Distinguished as the best leader and an exceptional manager</v>
      </c>
      <c r="G536">
        <f>IFERROR(__xludf.DUMMYFUNCTION("""COMPUTED_VALUE"""),9061070.0)</f>
        <v>9061070</v>
      </c>
      <c r="H536" t="str">
        <f>IFERROR(__xludf.DUMMYFUNCTION("""COMPUTED_VALUE"""),"Ehab Masoud")</f>
        <v>Ehab Masoud</v>
      </c>
      <c r="I536" t="str">
        <f>IFERROR(__xludf.DUMMYFUNCTION("""COMPUTED_VALUE"""),"Instructor Request- Opted Out")</f>
        <v>Instructor Request- Opted Out</v>
      </c>
      <c r="J536" t="b">
        <f>IFERROR(__xludf.DUMMYFUNCTION("""COMPUTED_VALUE"""),FALSE)</f>
        <v>0</v>
      </c>
      <c r="K536" s="142" t="str">
        <f>IFERROR(__xludf.DUMMYFUNCTION("""COMPUTED_VALUE"""),"Leadership &amp; Management")</f>
        <v>Leadership &amp; Management</v>
      </c>
      <c r="L536" s="142" t="str">
        <f>IFERROR(__xludf.DUMMYFUNCTION("""COMPUTED_VALUE"""),"Management")</f>
        <v>Management</v>
      </c>
      <c r="M536" s="140">
        <f>IFERROR(__xludf.DUMMYFUNCTION("""COMPUTED_VALUE"""),1362218.0)</f>
        <v>1362218</v>
      </c>
      <c r="N536" s="140" t="str">
        <f>IFERROR(__xludf.DUMMYFUNCTION("""COMPUTED_VALUE"""),"Leadership: How to Influence, Inspire and Impact as a Leader")</f>
        <v>Leadership: How to Influence, Inspire and Impact as a Leader</v>
      </c>
      <c r="P536" s="140" t="str">
        <f>IFERROR(__xludf.DUMMYFUNCTION("""COMPUTED_VALUE"""),"")</f>
        <v/>
      </c>
    </row>
    <row r="537">
      <c r="A537" s="143">
        <f>IFERROR(__xludf.DUMMYFUNCTION("""COMPUTED_VALUE"""),44509.0)</f>
        <v>44509</v>
      </c>
      <c r="B537" s="143">
        <f>IFERROR(__xludf.DUMMYFUNCTION("""COMPUTED_VALUE"""),44681.0)</f>
        <v>44681</v>
      </c>
      <c r="C537" s="140" t="str">
        <f>IFERROR(__xludf.DUMMYFUNCTION("""COMPUTED_VALUE"""),"ar")</f>
        <v>ar</v>
      </c>
      <c r="D537">
        <f>IFERROR(__xludf.DUMMYFUNCTION("""COMPUTED_VALUE"""),542654.0)</f>
        <v>542654</v>
      </c>
      <c r="E537" t="str">
        <f>IFERROR(__xludf.DUMMYFUNCTION("""COMPUTED_VALUE"""),"تميّز فى فن البيع من البداية لأفضل نجاح")</f>
        <v>تميّز فى فن البيع من البداية لأفضل نجاح</v>
      </c>
      <c r="F537" t="str">
        <f>IFERROR(__xludf.DUMMYFUNCTION("""COMPUTED_VALUE"""),"Excellence in the art of sale from the beginning of the best success")</f>
        <v>Excellence in the art of sale from the beginning of the best success</v>
      </c>
      <c r="G537">
        <f>IFERROR(__xludf.DUMMYFUNCTION("""COMPUTED_VALUE"""),9061070.0)</f>
        <v>9061070</v>
      </c>
      <c r="H537" t="str">
        <f>IFERROR(__xludf.DUMMYFUNCTION("""COMPUTED_VALUE"""),"Ehab Masoud")</f>
        <v>Ehab Masoud</v>
      </c>
      <c r="I537" t="str">
        <f>IFERROR(__xludf.DUMMYFUNCTION("""COMPUTED_VALUE"""),"Instructor Request- Opted Out")</f>
        <v>Instructor Request- Opted Out</v>
      </c>
      <c r="J537" t="b">
        <f>IFERROR(__xludf.DUMMYFUNCTION("""COMPUTED_VALUE"""),FALSE)</f>
        <v>0</v>
      </c>
      <c r="K537" s="142" t="str">
        <f>IFERROR(__xludf.DUMMYFUNCTION("""COMPUTED_VALUE"""),"Sales")</f>
        <v>Sales</v>
      </c>
      <c r="L537" s="142" t="str">
        <f>IFERROR(__xludf.DUMMYFUNCTION("""COMPUTED_VALUE"""),"Sales Skills &amp; Tools")</f>
        <v>Sales Skills &amp; Tools</v>
      </c>
      <c r="N537" s="140" t="str">
        <f>IFERROR(__xludf.DUMMYFUNCTION("""COMPUTED_VALUE"""),"")</f>
        <v/>
      </c>
      <c r="P537" s="140" t="str">
        <f>IFERROR(__xludf.DUMMYFUNCTION("""COMPUTED_VALUE"""),"")</f>
        <v/>
      </c>
    </row>
    <row r="538">
      <c r="A538" s="143">
        <f>IFERROR(__xludf.DUMMYFUNCTION("""COMPUTED_VALUE"""),44511.0)</f>
        <v>44511</v>
      </c>
      <c r="B538" s="143">
        <f>IFERROR(__xludf.DUMMYFUNCTION("""COMPUTED_VALUE"""),44681.0)</f>
        <v>44681</v>
      </c>
      <c r="C538" s="140" t="str">
        <f>IFERROR(__xludf.DUMMYFUNCTION("""COMPUTED_VALUE"""),"en")</f>
        <v>en</v>
      </c>
      <c r="D538">
        <f>IFERROR(__xludf.DUMMYFUNCTION("""COMPUTED_VALUE"""),2745122.0)</f>
        <v>2745122</v>
      </c>
      <c r="E538" t="str">
        <f>IFERROR(__xludf.DUMMYFUNCTION("""COMPUTED_VALUE"""),"TOTAL: CEH v10  (Ethical Hacker) Practice Tests - 500 Q's")</f>
        <v>TOTAL: CEH v10  (Ethical Hacker) Practice Tests - 500 Q's</v>
      </c>
      <c r="F538" t="str">
        <f>IFERROR(__xludf.DUMMYFUNCTION("""COMPUTED_VALUE"""),"TOTAL: CEH v10  (Ethical Hacker) Practice Tests - 500 Q's")</f>
        <v>TOTAL: CEH v10  (Ethical Hacker) Practice Tests - 500 Q's</v>
      </c>
      <c r="H538" t="str">
        <f>IFERROR(__xludf.DUMMYFUNCTION("""COMPUTED_VALUE"""),"Total Seminars • 750,000+ Enrollments")</f>
        <v>Total Seminars • 750,000+ Enrollments</v>
      </c>
      <c r="I538" t="str">
        <f>IFERROR(__xludf.DUMMYFUNCTION("""COMPUTED_VALUE"""),"Instructor Request- Opted Out")</f>
        <v>Instructor Request- Opted Out</v>
      </c>
      <c r="J538" t="b">
        <f>IFERROR(__xludf.DUMMYFUNCTION("""COMPUTED_VALUE"""),FALSE)</f>
        <v>0</v>
      </c>
      <c r="K538" s="142" t="str">
        <f>IFERROR(__xludf.DUMMYFUNCTION("""COMPUTED_VALUE"""),"IT Operations")</f>
        <v>IT Operations</v>
      </c>
      <c r="L538" s="142" t="str">
        <f>IFERROR(__xludf.DUMMYFUNCTION("""COMPUTED_VALUE"""),"IT Certifications")</f>
        <v>IT Certifications</v>
      </c>
      <c r="N538" s="140" t="str">
        <f>IFERROR(__xludf.DUMMYFUNCTION("""COMPUTED_VALUE"""),"")</f>
        <v/>
      </c>
      <c r="P538" s="140" t="str">
        <f>IFERROR(__xludf.DUMMYFUNCTION("""COMPUTED_VALUE"""),"")</f>
        <v/>
      </c>
    </row>
    <row r="539">
      <c r="A539" s="143">
        <f>IFERROR(__xludf.DUMMYFUNCTION("""COMPUTED_VALUE"""),44512.0)</f>
        <v>44512</v>
      </c>
      <c r="B539" s="143">
        <f>IFERROR(__xludf.DUMMYFUNCTION("""COMPUTED_VALUE"""),44681.0)</f>
        <v>44681</v>
      </c>
      <c r="C539" t="str">
        <f>IFERROR(__xludf.DUMMYFUNCTION("""COMPUTED_VALUE"""),"de")</f>
        <v>de</v>
      </c>
      <c r="D539">
        <f>IFERROR(__xludf.DUMMYFUNCTION("""COMPUTED_VALUE"""),2690856.0)</f>
        <v>2690856</v>
      </c>
      <c r="E539" t="str">
        <f>IFERROR(__xludf.DUMMYFUNCTION("""COMPUTED_VALUE"""),"SharePoint Kommunikationswebsites")</f>
        <v>SharePoint Kommunikationswebsites</v>
      </c>
      <c r="F539" t="str">
        <f>IFERROR(__xludf.DUMMYFUNCTION("""COMPUTED_VALUE"""),"SharePoint communications websites")</f>
        <v>SharePoint communications websites</v>
      </c>
      <c r="G539">
        <f>IFERROR(__xludf.DUMMYFUNCTION("""COMPUTED_VALUE"""),6.1133956E7)</f>
        <v>61133956</v>
      </c>
      <c r="H539" t="str">
        <f>IFERROR(__xludf.DUMMYFUNCTION("""COMPUTED_VALUE"""),"Gabriela Bergantini")</f>
        <v>Gabriela Bergantini</v>
      </c>
      <c r="I539" t="str">
        <f>IFERROR(__xludf.DUMMYFUNCTION("""COMPUTED_VALUE"""),"Instructor Request- Opted Out")</f>
        <v>Instructor Request- Opted Out</v>
      </c>
      <c r="J539" t="b">
        <f>IFERROR(__xludf.DUMMYFUNCTION("""COMPUTED_VALUE"""),FALSE)</f>
        <v>0</v>
      </c>
      <c r="K539" s="142" t="str">
        <f>IFERROR(__xludf.DUMMYFUNCTION("""COMPUTED_VALUE"""),"IT Operations")</f>
        <v>IT Operations</v>
      </c>
      <c r="L539" s="142" t="str">
        <f>IFERROR(__xludf.DUMMYFUNCTION("""COMPUTED_VALUE"""),"Other")</f>
        <v>Other</v>
      </c>
      <c r="N539" s="140" t="str">
        <f>IFERROR(__xludf.DUMMYFUNCTION("""COMPUTED_VALUE"""),"")</f>
        <v/>
      </c>
      <c r="P539" s="140" t="str">
        <f>IFERROR(__xludf.DUMMYFUNCTION("""COMPUTED_VALUE"""),"")</f>
        <v/>
      </c>
    </row>
    <row r="540">
      <c r="A540" s="143">
        <f>IFERROR(__xludf.DUMMYFUNCTION("""COMPUTED_VALUE"""),44512.0)</f>
        <v>44512</v>
      </c>
      <c r="B540" s="143">
        <f>IFERROR(__xludf.DUMMYFUNCTION("""COMPUTED_VALUE"""),44681.0)</f>
        <v>44681</v>
      </c>
      <c r="C540" s="140" t="str">
        <f>IFERROR(__xludf.DUMMYFUNCTION("""COMPUTED_VALUE"""),"de")</f>
        <v>de</v>
      </c>
      <c r="D540">
        <f>IFERROR(__xludf.DUMMYFUNCTION("""COMPUTED_VALUE"""),2137242.0)</f>
        <v>2137242</v>
      </c>
      <c r="E540" t="str">
        <f>IFERROR(__xludf.DUMMYFUNCTION("""COMPUTED_VALUE"""),"Mit Microsoft Teams Projekte erfolgreich bewältigen")</f>
        <v>Mit Microsoft Teams Projekte erfolgreich bewältigen</v>
      </c>
      <c r="F540" t="str">
        <f>IFERROR(__xludf.DUMMYFUNCTION("""COMPUTED_VALUE"""),"Take successfully with Microsoft Teams projects")</f>
        <v>Take successfully with Microsoft Teams projects</v>
      </c>
      <c r="G540">
        <f>IFERROR(__xludf.DUMMYFUNCTION("""COMPUTED_VALUE"""),6.1133956E7)</f>
        <v>61133956</v>
      </c>
      <c r="H540" t="str">
        <f>IFERROR(__xludf.DUMMYFUNCTION("""COMPUTED_VALUE"""),"Gabriela Bergantini")</f>
        <v>Gabriela Bergantini</v>
      </c>
      <c r="I540" t="str">
        <f>IFERROR(__xludf.DUMMYFUNCTION("""COMPUTED_VALUE"""),"Instructor Request- Opted Out")</f>
        <v>Instructor Request- Opted Out</v>
      </c>
      <c r="J540" t="b">
        <f>IFERROR(__xludf.DUMMYFUNCTION("""COMPUTED_VALUE"""),FALSE)</f>
        <v>0</v>
      </c>
      <c r="K540" s="142" t="str">
        <f>IFERROR(__xludf.DUMMYFUNCTION("""COMPUTED_VALUE"""),"Office Productivity")</f>
        <v>Office Productivity</v>
      </c>
      <c r="L540" s="142" t="str">
        <f>IFERROR(__xludf.DUMMYFUNCTION("""COMPUTED_VALUE"""),"Email &amp; Productivity")</f>
        <v>Email &amp; Productivity</v>
      </c>
      <c r="N540" s="140" t="str">
        <f>IFERROR(__xludf.DUMMYFUNCTION("""COMPUTED_VALUE"""),"")</f>
        <v/>
      </c>
      <c r="P540" s="140" t="str">
        <f>IFERROR(__xludf.DUMMYFUNCTION("""COMPUTED_VALUE"""),"")</f>
        <v/>
      </c>
    </row>
    <row r="541">
      <c r="A541" s="143">
        <f>IFERROR(__xludf.DUMMYFUNCTION("""COMPUTED_VALUE"""),44512.0)</f>
        <v>44512</v>
      </c>
      <c r="B541" s="143">
        <f>IFERROR(__xludf.DUMMYFUNCTION("""COMPUTED_VALUE"""),44681.0)</f>
        <v>44681</v>
      </c>
      <c r="C541" s="140" t="str">
        <f>IFERROR(__xludf.DUMMYFUNCTION("""COMPUTED_VALUE"""),"de")</f>
        <v>de</v>
      </c>
      <c r="D541">
        <f>IFERROR(__xludf.DUMMYFUNCTION("""COMPUTED_VALUE"""),2516268.0)</f>
        <v>2516268</v>
      </c>
      <c r="E541" t="str">
        <f>IFERROR(__xludf.DUMMYFUNCTION("""COMPUTED_VALUE"""),"Digitalisierung mit Microsoft SharePoint Teamwebsites")</f>
        <v>Digitalisierung mit Microsoft SharePoint Teamwebsites</v>
      </c>
      <c r="F541" t="str">
        <f>IFERROR(__xludf.DUMMYFUNCTION("""COMPUTED_VALUE"""),"Digitization with Microsoft SharePoint Team Websites")</f>
        <v>Digitization with Microsoft SharePoint Team Websites</v>
      </c>
      <c r="G541">
        <f>IFERROR(__xludf.DUMMYFUNCTION("""COMPUTED_VALUE"""),6.1133956E7)</f>
        <v>61133956</v>
      </c>
      <c r="H541" t="str">
        <f>IFERROR(__xludf.DUMMYFUNCTION("""COMPUTED_VALUE"""),"Gabriela Bergantini")</f>
        <v>Gabriela Bergantini</v>
      </c>
      <c r="I541" t="str">
        <f>IFERROR(__xludf.DUMMYFUNCTION("""COMPUTED_VALUE"""),"Instructor Request- Opted Out")</f>
        <v>Instructor Request- Opted Out</v>
      </c>
      <c r="J541" t="b">
        <f>IFERROR(__xludf.DUMMYFUNCTION("""COMPUTED_VALUE"""),FALSE)</f>
        <v>0</v>
      </c>
      <c r="K541" s="142" t="str">
        <f>IFERROR(__xludf.DUMMYFUNCTION("""COMPUTED_VALUE"""),"Office Productivity")</f>
        <v>Office Productivity</v>
      </c>
      <c r="L541" s="142" t="str">
        <f>IFERROR(__xludf.DUMMYFUNCTION("""COMPUTED_VALUE"""),"Collaboration")</f>
        <v>Collaboration</v>
      </c>
      <c r="N541" s="140" t="str">
        <f>IFERROR(__xludf.DUMMYFUNCTION("""COMPUTED_VALUE"""),"")</f>
        <v/>
      </c>
      <c r="P541" s="140" t="str">
        <f>IFERROR(__xludf.DUMMYFUNCTION("""COMPUTED_VALUE"""),"")</f>
        <v/>
      </c>
    </row>
    <row r="542">
      <c r="A542" s="143">
        <f>IFERROR(__xludf.DUMMYFUNCTION("""COMPUTED_VALUE"""),44516.0)</f>
        <v>44516</v>
      </c>
      <c r="B542" s="143">
        <f>IFERROR(__xludf.DUMMYFUNCTION("""COMPUTED_VALUE"""),44681.0)</f>
        <v>44681</v>
      </c>
      <c r="C542" t="str">
        <f>IFERROR(__xludf.DUMMYFUNCTION("""COMPUTED_VALUE"""),"ar")</f>
        <v>ar</v>
      </c>
      <c r="D542">
        <f>IFERROR(__xludf.DUMMYFUNCTION("""COMPUTED_VALUE"""),692394.0)</f>
        <v>692394</v>
      </c>
      <c r="E542" t="str">
        <f>IFERROR(__xludf.DUMMYFUNCTION("""COMPUTED_VALUE"""),"Complete Web Developer Arabic Course V1.0")</f>
        <v>Complete Web Developer Arabic Course V1.0</v>
      </c>
      <c r="F542" t="str">
        <f>IFERROR(__xludf.DUMMYFUNCTION("""COMPUTED_VALUE"""),"Complete Web Developer Arabic Course V1.0")</f>
        <v>Complete Web Developer Arabic Course V1.0</v>
      </c>
      <c r="G542">
        <f>IFERROR(__xludf.DUMMYFUNCTION("""COMPUTED_VALUE"""),2.778037E7)</f>
        <v>27780370</v>
      </c>
      <c r="H542" t="str">
        <f>IFERROR(__xludf.DUMMYFUNCTION("""COMPUTED_VALUE"""),"Rob Percival")</f>
        <v>Rob Percival</v>
      </c>
      <c r="I542" t="str">
        <f>IFERROR(__xludf.DUMMYFUNCTION("""COMPUTED_VALUE"""),"Instructor Request- Opted Out")</f>
        <v>Instructor Request- Opted Out</v>
      </c>
      <c r="J542" t="b">
        <f>IFERROR(__xludf.DUMMYFUNCTION("""COMPUTED_VALUE"""),FALSE)</f>
        <v>0</v>
      </c>
      <c r="K542" s="142" t="str">
        <f>IFERROR(__xludf.DUMMYFUNCTION("""COMPUTED_VALUE"""),"Development")</f>
        <v>Development</v>
      </c>
      <c r="L542" s="142" t="str">
        <f>IFERROR(__xludf.DUMMYFUNCTION("""COMPUTED_VALUE"""),"Web Development")</f>
        <v>Web Development</v>
      </c>
      <c r="N542" s="140" t="str">
        <f>IFERROR(__xludf.DUMMYFUNCTION("""COMPUTED_VALUE"""),"")</f>
        <v/>
      </c>
      <c r="P542" s="140" t="str">
        <f>IFERROR(__xludf.DUMMYFUNCTION("""COMPUTED_VALUE"""),"")</f>
        <v/>
      </c>
    </row>
    <row r="543">
      <c r="A543" s="143">
        <f>IFERROR(__xludf.DUMMYFUNCTION("""COMPUTED_VALUE"""),44628.0)</f>
        <v>44628</v>
      </c>
      <c r="B543" s="143">
        <f>IFERROR(__xludf.DUMMYFUNCTION("""COMPUTED_VALUE"""),44662.0)</f>
        <v>44662</v>
      </c>
      <c r="C543" t="str">
        <f>IFERROR(__xludf.DUMMYFUNCTION("""COMPUTED_VALUE"""),"ES")</f>
        <v>ES</v>
      </c>
      <c r="D543">
        <f>IFERROR(__xludf.DUMMYFUNCTION("""COMPUTED_VALUE"""),1764950.0)</f>
        <v>1764950</v>
      </c>
      <c r="E543" t="str">
        <f>IFERROR(__xludf.DUMMYFUNCTION("""COMPUTED_VALUE""")," = + 100 horas - Curso Completo Videojuegos con Unity 2018 y C#")</f>
        <v> = + 100 horas - Curso Completo Videojuegos con Unity 2018 y C#</v>
      </c>
      <c r="F543" t="str">
        <f>IFERROR(__xludf.DUMMYFUNCTION("""COMPUTED_VALUE""")," = + 100 hours - Full course Videogames with Unity 2018 and C #")</f>
        <v> = + 100 hours - Full course Videogames with Unity 2018 and C #</v>
      </c>
      <c r="G543">
        <f>IFERROR(__xludf.DUMMYFUNCTION("""COMPUTED_VALUE"""),3311510.0)</f>
        <v>3311510</v>
      </c>
      <c r="H543" t="str">
        <f>IFERROR(__xludf.DUMMYFUNCTION("""COMPUTED_VALUE"""),"Juan Gabriel Gomila Salas")</f>
        <v>Juan Gabriel Gomila Salas</v>
      </c>
      <c r="I543" t="str">
        <f>IFERROR(__xludf.DUMMYFUNCTION("""COMPUTED_VALUE"""),"T&amp;S")</f>
        <v>T&amp;S</v>
      </c>
      <c r="J543" t="b">
        <f>IFERROR(__xludf.DUMMYFUNCTION("""COMPUTED_VALUE"""),FALSE)</f>
        <v>0</v>
      </c>
      <c r="K543" s="142" t="str">
        <f>IFERROR(__xludf.DUMMYFUNCTION("""COMPUTED_VALUE"""),"Development")</f>
        <v>Development</v>
      </c>
      <c r="L543" s="142" t="str">
        <f>IFERROR(__xludf.DUMMYFUNCTION("""COMPUTED_VALUE"""),"Game Development")</f>
        <v>Game Development</v>
      </c>
      <c r="P543" s="140" t="str">
        <f>IFERROR(__xludf.DUMMYFUNCTION("""COMPUTED_VALUE"""),"")</f>
        <v/>
      </c>
    </row>
    <row r="544">
      <c r="A544" s="143">
        <f>IFERROR(__xludf.DUMMYFUNCTION("""COMPUTED_VALUE"""),44628.0)</f>
        <v>44628</v>
      </c>
      <c r="B544" s="143">
        <f>IFERROR(__xludf.DUMMYFUNCTION("""COMPUTED_VALUE"""),44662.0)</f>
        <v>44662</v>
      </c>
      <c r="C544" t="str">
        <f>IFERROR(__xludf.DUMMYFUNCTION("""COMPUTED_VALUE"""),"ES")</f>
        <v>ES</v>
      </c>
      <c r="D544">
        <f>IFERROR(__xludf.DUMMYFUNCTION("""COMPUTED_VALUE"""),1376722.0)</f>
        <v>1376722</v>
      </c>
      <c r="E544" t="str">
        <f>IFERROR(__xludf.DUMMYFUNCTION("""COMPUTED_VALUE"""),"Bootcamp de videojuegos 2D en Unity 5 desde cero con JB (I)")</f>
        <v>Bootcamp de videojuegos 2D en Unity 5 desde cero con JB (I)</v>
      </c>
      <c r="F544" t="str">
        <f>IFERROR(__xludf.DUMMYFUNCTION("""COMPUTED_VALUE"""),"2D video game bootcamp at Unity 5 from scratch with JB (I)")</f>
        <v>2D video game bootcamp at Unity 5 from scratch with JB (I)</v>
      </c>
      <c r="G544">
        <f>IFERROR(__xludf.DUMMYFUNCTION("""COMPUTED_VALUE"""),3311510.0)</f>
        <v>3311510</v>
      </c>
      <c r="H544" t="str">
        <f>IFERROR(__xludf.DUMMYFUNCTION("""COMPUTED_VALUE"""),"Juan Gabriel Gomila Salas")</f>
        <v>Juan Gabriel Gomila Salas</v>
      </c>
      <c r="I544" t="str">
        <f>IFERROR(__xludf.DUMMYFUNCTION("""COMPUTED_VALUE"""),"T&amp;S")</f>
        <v>T&amp;S</v>
      </c>
      <c r="J544" t="b">
        <f>IFERROR(__xludf.DUMMYFUNCTION("""COMPUTED_VALUE"""),FALSE)</f>
        <v>0</v>
      </c>
      <c r="K544" s="142" t="str">
        <f>IFERROR(__xludf.DUMMYFUNCTION("""COMPUTED_VALUE"""),"Development")</f>
        <v>Development</v>
      </c>
      <c r="L544" s="142" t="str">
        <f>IFERROR(__xludf.DUMMYFUNCTION("""COMPUTED_VALUE"""),"Game Development")</f>
        <v>Game Development</v>
      </c>
      <c r="P544" s="140" t="str">
        <f>IFERROR(__xludf.DUMMYFUNCTION("""COMPUTED_VALUE"""),"")</f>
        <v/>
      </c>
    </row>
    <row r="545">
      <c r="A545" s="143">
        <f>IFERROR(__xludf.DUMMYFUNCTION("""COMPUTED_VALUE"""),44628.0)</f>
        <v>44628</v>
      </c>
      <c r="B545" s="143">
        <f>IFERROR(__xludf.DUMMYFUNCTION("""COMPUTED_VALUE"""),44662.0)</f>
        <v>44662</v>
      </c>
      <c r="C545" t="str">
        <f>IFERROR(__xludf.DUMMYFUNCTION("""COMPUTED_VALUE"""),"ES")</f>
        <v>ES</v>
      </c>
      <c r="D545">
        <f>IFERROR(__xludf.DUMMYFUNCTION("""COMPUTED_VALUE"""),1343610.0)</f>
        <v>1343610</v>
      </c>
      <c r="E545" t="str">
        <f>IFERROR(__xludf.DUMMYFUNCTION("""COMPUTED_VALUE"""),"Master avanzado de Android: patrones de programación")</f>
        <v>Master avanzado de Android: patrones de programación</v>
      </c>
      <c r="F545" t="str">
        <f>IFERROR(__xludf.DUMMYFUNCTION("""COMPUTED_VALUE"""),"Advanced Android Master: Programming Patterns")</f>
        <v>Advanced Android Master: Programming Patterns</v>
      </c>
      <c r="G545">
        <f>IFERROR(__xludf.DUMMYFUNCTION("""COMPUTED_VALUE"""),3311510.0)</f>
        <v>3311510</v>
      </c>
      <c r="H545" t="str">
        <f>IFERROR(__xludf.DUMMYFUNCTION("""COMPUTED_VALUE"""),"Juan Gabriel Gomila Salas")</f>
        <v>Juan Gabriel Gomila Salas</v>
      </c>
      <c r="I545" t="str">
        <f>IFERROR(__xludf.DUMMYFUNCTION("""COMPUTED_VALUE"""),"T&amp;S")</f>
        <v>T&amp;S</v>
      </c>
      <c r="J545" t="b">
        <f>IFERROR(__xludf.DUMMYFUNCTION("""COMPUTED_VALUE"""),FALSE)</f>
        <v>0</v>
      </c>
      <c r="K545" s="142" t="str">
        <f>IFERROR(__xludf.DUMMYFUNCTION("""COMPUTED_VALUE"""),"Development")</f>
        <v>Development</v>
      </c>
      <c r="L545" s="142" t="str">
        <f>IFERROR(__xludf.DUMMYFUNCTION("""COMPUTED_VALUE"""),"Mobile Development")</f>
        <v>Mobile Development</v>
      </c>
      <c r="P545" s="140" t="str">
        <f>IFERROR(__xludf.DUMMYFUNCTION("""COMPUTED_VALUE"""),"")</f>
        <v/>
      </c>
    </row>
    <row r="546">
      <c r="A546" s="143">
        <f>IFERROR(__xludf.DUMMYFUNCTION("""COMPUTED_VALUE"""),44628.0)</f>
        <v>44628</v>
      </c>
      <c r="B546" s="143">
        <f>IFERROR(__xludf.DUMMYFUNCTION("""COMPUTED_VALUE"""),44662.0)</f>
        <v>44662</v>
      </c>
      <c r="C546" t="str">
        <f>IFERROR(__xludf.DUMMYFUNCTION("""COMPUTED_VALUE"""),"ES")</f>
        <v>ES</v>
      </c>
      <c r="D546">
        <f>IFERROR(__xludf.DUMMYFUNCTION("""COMPUTED_VALUE"""),2607514.0)</f>
        <v>2607514</v>
      </c>
      <c r="E546" t="str">
        <f>IFERROR(__xludf.DUMMYFUNCTION("""COMPUTED_VALUE"""),"Curso avanzado de estadística multivariante con R y Python")</f>
        <v>Curso avanzado de estadística multivariante con R y Python</v>
      </c>
      <c r="F546" t="str">
        <f>IFERROR(__xludf.DUMMYFUNCTION("""COMPUTED_VALUE"""),"Advanced course of multivariate statistics with R and Python")</f>
        <v>Advanced course of multivariate statistics with R and Python</v>
      </c>
      <c r="G546">
        <f>IFERROR(__xludf.DUMMYFUNCTION("""COMPUTED_VALUE"""),3311510.0)</f>
        <v>3311510</v>
      </c>
      <c r="H546" t="str">
        <f>IFERROR(__xludf.DUMMYFUNCTION("""COMPUTED_VALUE"""),"Juan Gabriel Gomila Salas")</f>
        <v>Juan Gabriel Gomila Salas</v>
      </c>
      <c r="I546" t="str">
        <f>IFERROR(__xludf.DUMMYFUNCTION("""COMPUTED_VALUE"""),"T&amp;S")</f>
        <v>T&amp;S</v>
      </c>
      <c r="J546" t="b">
        <f>IFERROR(__xludf.DUMMYFUNCTION("""COMPUTED_VALUE"""),FALSE)</f>
        <v>0</v>
      </c>
      <c r="K546" s="142" t="str">
        <f>IFERROR(__xludf.DUMMYFUNCTION("""COMPUTED_VALUE"""),"Data Science")</f>
        <v>Data Science</v>
      </c>
      <c r="L546" s="142" t="str">
        <f>IFERROR(__xludf.DUMMYFUNCTION("""COMPUTED_VALUE"""),"Statistical Analysis")</f>
        <v>Statistical Analysis</v>
      </c>
      <c r="P546" s="140" t="str">
        <f>IFERROR(__xludf.DUMMYFUNCTION("""COMPUTED_VALUE"""),"")</f>
        <v/>
      </c>
    </row>
    <row r="547">
      <c r="A547" s="143">
        <f>IFERROR(__xludf.DUMMYFUNCTION("""COMPUTED_VALUE"""),44628.0)</f>
        <v>44628</v>
      </c>
      <c r="B547" s="143">
        <f>IFERROR(__xludf.DUMMYFUNCTION("""COMPUTED_VALUE"""),44662.0)</f>
        <v>44662</v>
      </c>
      <c r="C547" t="str">
        <f>IFERROR(__xludf.DUMMYFUNCTION("""COMPUTED_VALUE"""),"ES")</f>
        <v>ES</v>
      </c>
      <c r="D547">
        <f>IFERROR(__xludf.DUMMYFUNCTION("""COMPUTED_VALUE"""),1201392.0)</f>
        <v>1201392</v>
      </c>
      <c r="E547" t="str">
        <f>IFERROR(__xludf.DUMMYFUNCTION("""COMPUTED_VALUE"""),"Master avanzado en desarrollo iOS y Swift: sé un profesional")</f>
        <v>Master avanzado en desarrollo iOS y Swift: sé un profesional</v>
      </c>
      <c r="F547" t="str">
        <f>IFERROR(__xludf.DUMMYFUNCTION("""COMPUTED_VALUE"""),"Advanced Master in Development IOS and SWIFT: Be a professional")</f>
        <v>Advanced Master in Development IOS and SWIFT: Be a professional</v>
      </c>
      <c r="G547">
        <f>IFERROR(__xludf.DUMMYFUNCTION("""COMPUTED_VALUE"""),3311510.0)</f>
        <v>3311510</v>
      </c>
      <c r="H547" t="str">
        <f>IFERROR(__xludf.DUMMYFUNCTION("""COMPUTED_VALUE"""),"Juan Gabriel Gomila Salas")</f>
        <v>Juan Gabriel Gomila Salas</v>
      </c>
      <c r="I547" t="str">
        <f>IFERROR(__xludf.DUMMYFUNCTION("""COMPUTED_VALUE"""),"T&amp;S")</f>
        <v>T&amp;S</v>
      </c>
      <c r="J547" t="b">
        <f>IFERROR(__xludf.DUMMYFUNCTION("""COMPUTED_VALUE"""),FALSE)</f>
        <v>0</v>
      </c>
      <c r="K547" s="142" t="str">
        <f>IFERROR(__xludf.DUMMYFUNCTION("""COMPUTED_VALUE"""),"Development")</f>
        <v>Development</v>
      </c>
      <c r="L547" s="142" t="str">
        <f>IFERROR(__xludf.DUMMYFUNCTION("""COMPUTED_VALUE"""),"Mobile Development")</f>
        <v>Mobile Development</v>
      </c>
      <c r="P547" s="140" t="str">
        <f>IFERROR(__xludf.DUMMYFUNCTION("""COMPUTED_VALUE"""),"")</f>
        <v/>
      </c>
    </row>
    <row r="548">
      <c r="A548" s="143">
        <f>IFERROR(__xludf.DUMMYFUNCTION("""COMPUTED_VALUE"""),44628.0)</f>
        <v>44628</v>
      </c>
      <c r="B548" s="143">
        <f>IFERROR(__xludf.DUMMYFUNCTION("""COMPUTED_VALUE"""),44662.0)</f>
        <v>44662</v>
      </c>
      <c r="C548" t="str">
        <f>IFERROR(__xludf.DUMMYFUNCTION("""COMPUTED_VALUE"""),"ES")</f>
        <v>ES</v>
      </c>
      <c r="D548">
        <f>IFERROR(__xludf.DUMMYFUNCTION("""COMPUTED_VALUE"""),3590654.0)</f>
        <v>3590654</v>
      </c>
      <c r="E548" t="str">
        <f>IFERROR(__xludf.DUMMYFUNCTION("""COMPUTED_VALUE"""),"Curso de Android 11 con Kotlin: Intensivo y práctico 2021")</f>
        <v>Curso de Android 11 con Kotlin: Intensivo y práctico 2021</v>
      </c>
      <c r="F548" t="str">
        <f>IFERROR(__xludf.DUMMYFUNCTION("""COMPUTED_VALUE"""),"Android 11 with Kotlin: Intensive and practical 2021")</f>
        <v>Android 11 with Kotlin: Intensive and practical 2021</v>
      </c>
      <c r="G548">
        <f>IFERROR(__xludf.DUMMYFUNCTION("""COMPUTED_VALUE"""),3311510.0)</f>
        <v>3311510</v>
      </c>
      <c r="H548" t="str">
        <f>IFERROR(__xludf.DUMMYFUNCTION("""COMPUTED_VALUE"""),"Juan Gabriel Gomila Salas")</f>
        <v>Juan Gabriel Gomila Salas</v>
      </c>
      <c r="I548" t="str">
        <f>IFERROR(__xludf.DUMMYFUNCTION("""COMPUTED_VALUE"""),"T&amp;S")</f>
        <v>T&amp;S</v>
      </c>
      <c r="J548" t="b">
        <f>IFERROR(__xludf.DUMMYFUNCTION("""COMPUTED_VALUE"""),FALSE)</f>
        <v>0</v>
      </c>
      <c r="K548" s="142" t="str">
        <f>IFERROR(__xludf.DUMMYFUNCTION("""COMPUTED_VALUE"""),"Development")</f>
        <v>Development</v>
      </c>
      <c r="L548" s="144" t="str">
        <f>IFERROR(__xludf.DUMMYFUNCTION("""COMPUTED_VALUE"""),"Mobile Development")</f>
        <v>Mobile Development</v>
      </c>
      <c r="M548" s="140">
        <f>IFERROR(__xludf.DUMMYFUNCTION("""COMPUTED_VALUE"""),3858848.0)</f>
        <v>3858848</v>
      </c>
      <c r="N548" s="140" t="str">
        <f>IFERROR(__xludf.DUMMYFUNCTION("""COMPUTED_VALUE"""),"Curso básico de Kotlin para Android: Fundamentos de 0 a 100")</f>
        <v>Curso básico de Kotlin para Android: Fundamentos de 0 a 100</v>
      </c>
      <c r="P548" s="140" t="str">
        <f>IFERROR(__xludf.DUMMYFUNCTION("""COMPUTED_VALUE"""),"")</f>
        <v/>
      </c>
    </row>
    <row r="549">
      <c r="A549" s="143">
        <f>IFERROR(__xludf.DUMMYFUNCTION("""COMPUTED_VALUE"""),44628.0)</f>
        <v>44628</v>
      </c>
      <c r="B549" s="143">
        <f>IFERROR(__xludf.DUMMYFUNCTION("""COMPUTED_VALUE"""),44662.0)</f>
        <v>44662</v>
      </c>
      <c r="C549" t="str">
        <f>IFERROR(__xludf.DUMMYFUNCTION("""COMPUTED_VALUE"""),"ES")</f>
        <v>ES</v>
      </c>
      <c r="D549">
        <f>IFERROR(__xludf.DUMMYFUNCTION("""COMPUTED_VALUE"""),1865140.0)</f>
        <v>1865140</v>
      </c>
      <c r="E549" t="str">
        <f>IFERROR(__xludf.DUMMYFUNCTION("""COMPUTED_VALUE"""),"Arquitectura de aplicaciones - MVP, Dagger, RxJava, Retrofit")</f>
        <v>Arquitectura de aplicaciones - MVP, Dagger, RxJava, Retrofit</v>
      </c>
      <c r="F549" t="str">
        <f>IFERROR(__xludf.DUMMYFUNCTION("""COMPUTED_VALUE"""),"Application architecture - MVP, DAGGER, RXJAVA, Retrofit")</f>
        <v>Application architecture - MVP, DAGGER, RXJAVA, Retrofit</v>
      </c>
      <c r="G549">
        <f>IFERROR(__xludf.DUMMYFUNCTION("""COMPUTED_VALUE"""),3311510.0)</f>
        <v>3311510</v>
      </c>
      <c r="H549" t="str">
        <f>IFERROR(__xludf.DUMMYFUNCTION("""COMPUTED_VALUE"""),"Juan Gabriel Gomila Salas")</f>
        <v>Juan Gabriel Gomila Salas</v>
      </c>
      <c r="I549" t="str">
        <f>IFERROR(__xludf.DUMMYFUNCTION("""COMPUTED_VALUE"""),"T&amp;S")</f>
        <v>T&amp;S</v>
      </c>
      <c r="J549" t="b">
        <f>IFERROR(__xludf.DUMMYFUNCTION("""COMPUTED_VALUE"""),FALSE)</f>
        <v>0</v>
      </c>
      <c r="K549" s="142" t="str">
        <f>IFERROR(__xludf.DUMMYFUNCTION("""COMPUTED_VALUE"""),"Development")</f>
        <v>Development</v>
      </c>
      <c r="L549" s="142" t="str">
        <f>IFERROR(__xludf.DUMMYFUNCTION("""COMPUTED_VALUE"""),"Software Engineering")</f>
        <v>Software Engineering</v>
      </c>
      <c r="P549" s="140" t="str">
        <f>IFERROR(__xludf.DUMMYFUNCTION("""COMPUTED_VALUE"""),"")</f>
        <v/>
      </c>
    </row>
    <row r="550">
      <c r="A550" s="143">
        <f>IFERROR(__xludf.DUMMYFUNCTION("""COMPUTED_VALUE"""),44628.0)</f>
        <v>44628</v>
      </c>
      <c r="B550" s="143">
        <f>IFERROR(__xludf.DUMMYFUNCTION("""COMPUTED_VALUE"""),44662.0)</f>
        <v>44662</v>
      </c>
      <c r="C550" t="str">
        <f>IFERROR(__xludf.DUMMYFUNCTION("""COMPUTED_VALUE"""),"ES")</f>
        <v>ES</v>
      </c>
      <c r="D550">
        <f>IFERROR(__xludf.DUMMYFUNCTION("""COMPUTED_VALUE"""),3614398.0)</f>
        <v>3614398</v>
      </c>
      <c r="E550" t="str">
        <f>IFERROR(__xludf.DUMMYFUNCTION("""COMPUTED_VALUE"""),"Aplica SQL al mundo del Data Science desde cero")</f>
        <v>Aplica SQL al mundo del Data Science desde cero</v>
      </c>
      <c r="F550" t="str">
        <f>IFERROR(__xludf.DUMMYFUNCTION("""COMPUTED_VALUE"""),"Apply SQL to the world of Data Science from scratch")</f>
        <v>Apply SQL to the world of Data Science from scratch</v>
      </c>
      <c r="G550">
        <f>IFERROR(__xludf.DUMMYFUNCTION("""COMPUTED_VALUE"""),3311510.0)</f>
        <v>3311510</v>
      </c>
      <c r="H550" t="str">
        <f>IFERROR(__xludf.DUMMYFUNCTION("""COMPUTED_VALUE"""),"Juan Gabriel Gomila Salas")</f>
        <v>Juan Gabriel Gomila Salas</v>
      </c>
      <c r="I550" t="str">
        <f>IFERROR(__xludf.DUMMYFUNCTION("""COMPUTED_VALUE"""),"T&amp;S")</f>
        <v>T&amp;S</v>
      </c>
      <c r="J550" t="b">
        <f>IFERROR(__xludf.DUMMYFUNCTION("""COMPUTED_VALUE"""),FALSE)</f>
        <v>0</v>
      </c>
      <c r="K550" s="142" t="str">
        <f>IFERROR(__xludf.DUMMYFUNCTION("""COMPUTED_VALUE"""),"Data Science")</f>
        <v>Data Science</v>
      </c>
      <c r="L550" s="142" t="str">
        <f>IFERROR(__xludf.DUMMYFUNCTION("""COMPUTED_VALUE"""),"Analytics")</f>
        <v>Analytics</v>
      </c>
      <c r="P550" s="140" t="str">
        <f>IFERROR(__xludf.DUMMYFUNCTION("""COMPUTED_VALUE"""),"")</f>
        <v/>
      </c>
    </row>
    <row r="551">
      <c r="A551" s="143">
        <f>IFERROR(__xludf.DUMMYFUNCTION("""COMPUTED_VALUE"""),44628.0)</f>
        <v>44628</v>
      </c>
      <c r="B551" s="143">
        <f>IFERROR(__xludf.DUMMYFUNCTION("""COMPUTED_VALUE"""),44662.0)</f>
        <v>44662</v>
      </c>
      <c r="C551" t="str">
        <f>IFERROR(__xludf.DUMMYFUNCTION("""COMPUTED_VALUE"""),"ES")</f>
        <v>ES</v>
      </c>
      <c r="D551">
        <f>IFERROR(__xludf.DUMMYFUNCTION("""COMPUTED_VALUE"""),2397342.0)</f>
        <v>2397342</v>
      </c>
      <c r="E551" t="str">
        <f>IFERROR(__xludf.DUMMYFUNCTION("""COMPUTED_VALUE"""),"Diseño de apps para iOS 13 con Swift UI desde cero")</f>
        <v>Diseño de apps para iOS 13 con Swift UI desde cero</v>
      </c>
      <c r="F551" t="str">
        <f>IFERROR(__xludf.DUMMYFUNCTION("""COMPUTED_VALUE"""),"Apps design for iOS 13 with SWIFT UI from scratch")</f>
        <v>Apps design for iOS 13 with SWIFT UI from scratch</v>
      </c>
      <c r="G551">
        <f>IFERROR(__xludf.DUMMYFUNCTION("""COMPUTED_VALUE"""),3311510.0)</f>
        <v>3311510</v>
      </c>
      <c r="H551" t="str">
        <f>IFERROR(__xludf.DUMMYFUNCTION("""COMPUTED_VALUE"""),"Juan Gabriel Gomila Salas")</f>
        <v>Juan Gabriel Gomila Salas</v>
      </c>
      <c r="I551" t="str">
        <f>IFERROR(__xludf.DUMMYFUNCTION("""COMPUTED_VALUE"""),"T&amp;S")</f>
        <v>T&amp;S</v>
      </c>
      <c r="J551" t="b">
        <f>IFERROR(__xludf.DUMMYFUNCTION("""COMPUTED_VALUE"""),FALSE)</f>
        <v>0</v>
      </c>
      <c r="K551" s="142" t="str">
        <f>IFERROR(__xludf.DUMMYFUNCTION("""COMPUTED_VALUE"""),"Development")</f>
        <v>Development</v>
      </c>
      <c r="L551" s="142" t="str">
        <f>IFERROR(__xludf.DUMMYFUNCTION("""COMPUTED_VALUE"""),"Mobile Development")</f>
        <v>Mobile Development</v>
      </c>
      <c r="M551" s="140">
        <f>IFERROR(__xludf.DUMMYFUNCTION("""COMPUTED_VALUE"""),2618828.0)</f>
        <v>2618828</v>
      </c>
      <c r="N551" s="140" t="str">
        <f>IFERROR(__xludf.DUMMYFUNCTION("""COMPUTED_VALUE"""),"Desarrollo de apps para iOS 13 con SwiftUI y Swift 5.2")</f>
        <v>Desarrollo de apps para iOS 13 con SwiftUI y Swift 5.2</v>
      </c>
      <c r="P551" s="140" t="str">
        <f>IFERROR(__xludf.DUMMYFUNCTION("""COMPUTED_VALUE"""),"")</f>
        <v/>
      </c>
    </row>
    <row r="552">
      <c r="A552" s="143">
        <f>IFERROR(__xludf.DUMMYFUNCTION("""COMPUTED_VALUE"""),44628.0)</f>
        <v>44628</v>
      </c>
      <c r="B552" s="143">
        <f>IFERROR(__xludf.DUMMYFUNCTION("""COMPUTED_VALUE"""),44662.0)</f>
        <v>44662</v>
      </c>
      <c r="C552" t="str">
        <f>IFERROR(__xludf.DUMMYFUNCTION("""COMPUTED_VALUE"""),"ES")</f>
        <v>ES</v>
      </c>
      <c r="D552">
        <f>IFERROR(__xludf.DUMMYFUNCTION("""COMPUTED_VALUE"""),1371564.0)</f>
        <v>1371564</v>
      </c>
      <c r="E552" t="str">
        <f>IFERROR(__xludf.DUMMYFUNCTION("""COMPUTED_VALUE"""),"Bootcamp de programación de apps Android desde cero con JB")</f>
        <v>Bootcamp de programación de apps Android desde cero con JB</v>
      </c>
      <c r="F552" t="str">
        <f>IFERROR(__xludf.DUMMYFUNCTION("""COMPUTED_VALUE"""),"Bootcamp programming Android apps from scratch with JB")</f>
        <v>Bootcamp programming Android apps from scratch with JB</v>
      </c>
      <c r="G552">
        <f>IFERROR(__xludf.DUMMYFUNCTION("""COMPUTED_VALUE"""),3311510.0)</f>
        <v>3311510</v>
      </c>
      <c r="H552" t="str">
        <f>IFERROR(__xludf.DUMMYFUNCTION("""COMPUTED_VALUE"""),"Juan Gabriel Gomila Salas")</f>
        <v>Juan Gabriel Gomila Salas</v>
      </c>
      <c r="I552" t="str">
        <f>IFERROR(__xludf.DUMMYFUNCTION("""COMPUTED_VALUE"""),"T&amp;S")</f>
        <v>T&amp;S</v>
      </c>
      <c r="J552" t="b">
        <f>IFERROR(__xludf.DUMMYFUNCTION("""COMPUTED_VALUE"""),FALSE)</f>
        <v>0</v>
      </c>
      <c r="K552" s="142" t="str">
        <f>IFERROR(__xludf.DUMMYFUNCTION("""COMPUTED_VALUE"""),"Development")</f>
        <v>Development</v>
      </c>
      <c r="L552" s="142" t="str">
        <f>IFERROR(__xludf.DUMMYFUNCTION("""COMPUTED_VALUE"""),"Mobile Development")</f>
        <v>Mobile Development</v>
      </c>
      <c r="P552" s="140" t="str">
        <f>IFERROR(__xludf.DUMMYFUNCTION("""COMPUTED_VALUE"""),"")</f>
        <v/>
      </c>
    </row>
    <row r="553">
      <c r="A553" s="143">
        <f>IFERROR(__xludf.DUMMYFUNCTION("""COMPUTED_VALUE"""),44628.0)</f>
        <v>44628</v>
      </c>
      <c r="B553" s="143">
        <f>IFERROR(__xludf.DUMMYFUNCTION("""COMPUTED_VALUE"""),44662.0)</f>
        <v>44662</v>
      </c>
      <c r="C553" t="str">
        <f>IFERROR(__xludf.DUMMYFUNCTION("""COMPUTED_VALUE"""),"ES")</f>
        <v>ES</v>
      </c>
      <c r="D553">
        <f>IFERROR(__xludf.DUMMYFUNCTION("""COMPUTED_VALUE"""),1906400.0)</f>
        <v>1906400</v>
      </c>
      <c r="E553" t="str">
        <f>IFERROR(__xludf.DUMMYFUNCTION("""COMPUTED_VALUE"""),"Curso completo de Inteligencia Artificial con Python")</f>
        <v>Curso completo de Inteligencia Artificial con Python</v>
      </c>
      <c r="F553" t="str">
        <f>IFERROR(__xludf.DUMMYFUNCTION("""COMPUTED_VALUE"""),"Complete course of artificial intelligence with python")</f>
        <v>Complete course of artificial intelligence with python</v>
      </c>
      <c r="G553">
        <f>IFERROR(__xludf.DUMMYFUNCTION("""COMPUTED_VALUE"""),3311510.0)</f>
        <v>3311510</v>
      </c>
      <c r="H553" t="str">
        <f>IFERROR(__xludf.DUMMYFUNCTION("""COMPUTED_VALUE"""),"Juan Gabriel Gomila Salas")</f>
        <v>Juan Gabriel Gomila Salas</v>
      </c>
      <c r="I553" t="str">
        <f>IFERROR(__xludf.DUMMYFUNCTION("""COMPUTED_VALUE"""),"T&amp;S")</f>
        <v>T&amp;S</v>
      </c>
      <c r="J553" t="b">
        <f>IFERROR(__xludf.DUMMYFUNCTION("""COMPUTED_VALUE"""),FALSE)</f>
        <v>0</v>
      </c>
      <c r="K553" s="142" t="str">
        <f>IFERROR(__xludf.DUMMYFUNCTION("""COMPUTED_VALUE"""),"Data Science")</f>
        <v>Data Science</v>
      </c>
      <c r="L553" s="142" t="str">
        <f>IFERROR(__xludf.DUMMYFUNCTION("""COMPUTED_VALUE"""),"Big Data")</f>
        <v>Big Data</v>
      </c>
      <c r="M553" s="140">
        <f>IFERROR(__xludf.DUMMYFUNCTION("""COMPUTED_VALUE"""),3017458.0)</f>
        <v>3017458</v>
      </c>
      <c r="N553" s="140" t="str">
        <f>IFERROR(__xludf.DUMMYFUNCTION("""COMPUTED_VALUE"""),"Inteligencia Artificial con Python - Paso a Paso")</f>
        <v>Inteligencia Artificial con Python - Paso a Paso</v>
      </c>
      <c r="P553" s="140" t="str">
        <f>IFERROR(__xludf.DUMMYFUNCTION("""COMPUTED_VALUE"""),"")</f>
        <v/>
      </c>
    </row>
    <row r="554">
      <c r="A554" s="143">
        <f>IFERROR(__xludf.DUMMYFUNCTION("""COMPUTED_VALUE"""),44628.0)</f>
        <v>44628</v>
      </c>
      <c r="B554" s="143">
        <f>IFERROR(__xludf.DUMMYFUNCTION("""COMPUTED_VALUE"""),44662.0)</f>
        <v>44662</v>
      </c>
      <c r="C554" t="str">
        <f>IFERROR(__xludf.DUMMYFUNCTION("""COMPUTED_VALUE"""),"ES")</f>
        <v>ES</v>
      </c>
      <c r="D554">
        <f>IFERROR(__xludf.DUMMYFUNCTION("""COMPUTED_VALUE"""),1531272.0)</f>
        <v>1531272</v>
      </c>
      <c r="E554" t="str">
        <f>IFERROR(__xludf.DUMMYFUNCTION("""COMPUTED_VALUE"""),"Curso completo: aprende HTML, CSS y JS desde cero con JB")</f>
        <v>Curso completo: aprende HTML, CSS y JS desde cero con JB</v>
      </c>
      <c r="F554" t="str">
        <f>IFERROR(__xludf.DUMMYFUNCTION("""COMPUTED_VALUE"""),"Complete course: Learn HTML, CSS and JS from scratch with JB")</f>
        <v>Complete course: Learn HTML, CSS and JS from scratch with JB</v>
      </c>
      <c r="G554">
        <f>IFERROR(__xludf.DUMMYFUNCTION("""COMPUTED_VALUE"""),3311510.0)</f>
        <v>3311510</v>
      </c>
      <c r="H554" t="str">
        <f>IFERROR(__xludf.DUMMYFUNCTION("""COMPUTED_VALUE"""),"Juan Gabriel Gomila Salas")</f>
        <v>Juan Gabriel Gomila Salas</v>
      </c>
      <c r="I554" t="str">
        <f>IFERROR(__xludf.DUMMYFUNCTION("""COMPUTED_VALUE"""),"T&amp;S")</f>
        <v>T&amp;S</v>
      </c>
      <c r="J554" t="b">
        <f>IFERROR(__xludf.DUMMYFUNCTION("""COMPUTED_VALUE"""),FALSE)</f>
        <v>0</v>
      </c>
      <c r="K554" s="145" t="str">
        <f>IFERROR(__xludf.DUMMYFUNCTION("""COMPUTED_VALUE"""),"Development")</f>
        <v>Development</v>
      </c>
      <c r="L554" s="145" t="str">
        <f>IFERROR(__xludf.DUMMYFUNCTION("""COMPUTED_VALUE"""),"Web Development")</f>
        <v>Web Development</v>
      </c>
      <c r="P554" s="140" t="str">
        <f>IFERROR(__xludf.DUMMYFUNCTION("""COMPUTED_VALUE"""),"")</f>
        <v/>
      </c>
    </row>
    <row r="555">
      <c r="A555" s="143">
        <f>IFERROR(__xludf.DUMMYFUNCTION("""COMPUTED_VALUE"""),44628.0)</f>
        <v>44628</v>
      </c>
      <c r="B555" s="143">
        <f>IFERROR(__xludf.DUMMYFUNCTION("""COMPUTED_VALUE"""),44662.0)</f>
        <v>44662</v>
      </c>
      <c r="C555" t="str">
        <f>IFERROR(__xludf.DUMMYFUNCTION("""COMPUTED_VALUE"""),"ES")</f>
        <v>ES</v>
      </c>
      <c r="D555">
        <f>IFERROR(__xludf.DUMMYFUNCTION("""COMPUTED_VALUE"""),3912606.0)</f>
        <v>3912606</v>
      </c>
      <c r="E555" t="str">
        <f>IFERROR(__xludf.DUMMYFUNCTION("""COMPUTED_VALUE"""),"Seguridad Informática - Aprende Kali Linux desde cero")</f>
        <v>Seguridad Informática - Aprende Kali Linux desde cero</v>
      </c>
      <c r="F555" t="str">
        <f>IFERROR(__xludf.DUMMYFUNCTION("""COMPUTED_VALUE"""),"Computer security - Learn Kali Linux from scratch")</f>
        <v>Computer security - Learn Kali Linux from scratch</v>
      </c>
      <c r="G555">
        <f>IFERROR(__xludf.DUMMYFUNCTION("""COMPUTED_VALUE"""),3311510.0)</f>
        <v>3311510</v>
      </c>
      <c r="H555" t="str">
        <f>IFERROR(__xludf.DUMMYFUNCTION("""COMPUTED_VALUE"""),"Juan Gabriel Gomila Salas")</f>
        <v>Juan Gabriel Gomila Salas</v>
      </c>
      <c r="I555" t="str">
        <f>IFERROR(__xludf.DUMMYFUNCTION("""COMPUTED_VALUE"""),"T&amp;S")</f>
        <v>T&amp;S</v>
      </c>
      <c r="J555" t="b">
        <f>IFERROR(__xludf.DUMMYFUNCTION("""COMPUTED_VALUE"""),FALSE)</f>
        <v>0</v>
      </c>
      <c r="K555" s="142" t="str">
        <f>IFERROR(__xludf.DUMMYFUNCTION("""COMPUTED_VALUE"""),"IT Operations")</f>
        <v>IT Operations</v>
      </c>
      <c r="L555" s="142" t="str">
        <f>IFERROR(__xludf.DUMMYFUNCTION("""COMPUTED_VALUE"""),"Network &amp; Security")</f>
        <v>Network &amp; Security</v>
      </c>
      <c r="M555" s="140">
        <f>IFERROR(__xludf.DUMMYFUNCTION("""COMPUTED_VALUE"""),2525406.0)</f>
        <v>2525406</v>
      </c>
      <c r="N555" s="140" t="str">
        <f>IFERROR(__xludf.DUMMYFUNCTION("""COMPUTED_VALUE"""),"Kali Linux. Seguridad Informática. Pentesting. Hacking. 2021")</f>
        <v>Kali Linux. Seguridad Informática. Pentesting. Hacking. 2021</v>
      </c>
      <c r="P555" s="140" t="str">
        <f>IFERROR(__xludf.DUMMYFUNCTION("""COMPUTED_VALUE"""),"")</f>
        <v/>
      </c>
    </row>
    <row r="556">
      <c r="A556" s="143">
        <f>IFERROR(__xludf.DUMMYFUNCTION("""COMPUTED_VALUE"""),44628.0)</f>
        <v>44628</v>
      </c>
      <c r="B556" s="143">
        <f>IFERROR(__xludf.DUMMYFUNCTION("""COMPUTED_VALUE"""),44662.0)</f>
        <v>44662</v>
      </c>
      <c r="C556" t="str">
        <f>IFERROR(__xludf.DUMMYFUNCTION("""COMPUTED_VALUE"""),"ES")</f>
        <v>ES</v>
      </c>
      <c r="D556">
        <f>IFERROR(__xludf.DUMMYFUNCTION("""COMPUTED_VALUE"""),865750.0)</f>
        <v>865750</v>
      </c>
      <c r="E556" t="str">
        <f>IFERROR(__xludf.DUMMYFUNCTION("""COMPUTED_VALUE"""),"Curso completo de Core Data en Swift - Persistencia de datos")</f>
        <v>Curso completo de Core Data en Swift - Persistencia de datos</v>
      </c>
      <c r="F556" t="str">
        <f>IFERROR(__xludf.DUMMYFUNCTION("""COMPUTED_VALUE"""),"Core Data Complete Course in SWIFT - Data persistence")</f>
        <v>Core Data Complete Course in SWIFT - Data persistence</v>
      </c>
      <c r="G556">
        <f>IFERROR(__xludf.DUMMYFUNCTION("""COMPUTED_VALUE"""),3311510.0)</f>
        <v>3311510</v>
      </c>
      <c r="H556" t="str">
        <f>IFERROR(__xludf.DUMMYFUNCTION("""COMPUTED_VALUE"""),"Juan Gabriel Gomila Salas")</f>
        <v>Juan Gabriel Gomila Salas</v>
      </c>
      <c r="I556" t="str">
        <f>IFERROR(__xludf.DUMMYFUNCTION("""COMPUTED_VALUE"""),"T&amp;S")</f>
        <v>T&amp;S</v>
      </c>
      <c r="J556" t="b">
        <f>IFERROR(__xludf.DUMMYFUNCTION("""COMPUTED_VALUE"""),FALSE)</f>
        <v>0</v>
      </c>
      <c r="K556" s="142" t="str">
        <f>IFERROR(__xludf.DUMMYFUNCTION("""COMPUTED_VALUE"""),"Development")</f>
        <v>Development</v>
      </c>
      <c r="L556" s="142" t="str">
        <f>IFERROR(__xludf.DUMMYFUNCTION("""COMPUTED_VALUE"""),"Mobile Development")</f>
        <v>Mobile Development</v>
      </c>
      <c r="P556" s="140" t="str">
        <f>IFERROR(__xludf.DUMMYFUNCTION("""COMPUTED_VALUE"""),"")</f>
        <v/>
      </c>
    </row>
    <row r="557">
      <c r="A557" s="143">
        <f>IFERROR(__xludf.DUMMYFUNCTION("""COMPUTED_VALUE"""),44628.0)</f>
        <v>44628</v>
      </c>
      <c r="B557" s="143">
        <f>IFERROR(__xludf.DUMMYFUNCTION("""COMPUTED_VALUE"""),44662.0)</f>
        <v>44662</v>
      </c>
      <c r="C557" t="str">
        <f>IFERROR(__xludf.DUMMYFUNCTION("""COMPUTED_VALUE"""),"ES")</f>
        <v>ES</v>
      </c>
      <c r="D557">
        <f>IFERROR(__xludf.DUMMYFUNCTION("""COMPUTED_VALUE"""),692782.0)</f>
        <v>692782</v>
      </c>
      <c r="E557" t="str">
        <f>IFERROR(__xludf.DUMMYFUNCTION("""COMPUTED_VALUE"""),"Curso de iOS 9 y Swift 2: de Cero a Experto")</f>
        <v>Curso de iOS 9 y Swift 2: de Cero a Experto</v>
      </c>
      <c r="F557" t="str">
        <f>IFERROR(__xludf.DUMMYFUNCTION("""COMPUTED_VALUE"""),"COURSE OF IOS 9 AND SWIFT 2: From zero to expert")</f>
        <v>COURSE OF IOS 9 AND SWIFT 2: From zero to expert</v>
      </c>
      <c r="G557">
        <f>IFERROR(__xludf.DUMMYFUNCTION("""COMPUTED_VALUE"""),3311510.0)</f>
        <v>3311510</v>
      </c>
      <c r="H557" t="str">
        <f>IFERROR(__xludf.DUMMYFUNCTION("""COMPUTED_VALUE"""),"Juan Gabriel Gomila Salas")</f>
        <v>Juan Gabriel Gomila Salas</v>
      </c>
      <c r="I557" t="str">
        <f>IFERROR(__xludf.DUMMYFUNCTION("""COMPUTED_VALUE"""),"T&amp;S")</f>
        <v>T&amp;S</v>
      </c>
      <c r="J557" t="b">
        <f>IFERROR(__xludf.DUMMYFUNCTION("""COMPUTED_VALUE"""),FALSE)</f>
        <v>0</v>
      </c>
      <c r="K557" s="142" t="str">
        <f>IFERROR(__xludf.DUMMYFUNCTION("""COMPUTED_VALUE"""),"Development")</f>
        <v>Development</v>
      </c>
      <c r="L557" s="142" t="str">
        <f>IFERROR(__xludf.DUMMYFUNCTION("""COMPUTED_VALUE"""),"Mobile Development")</f>
        <v>Mobile Development</v>
      </c>
      <c r="M557" s="140">
        <f>IFERROR(__xludf.DUMMYFUNCTION("""COMPUTED_VALUE"""),241844.0)</f>
        <v>241844</v>
      </c>
      <c r="N557" s="140" t="str">
        <f>IFERROR(__xludf.DUMMYFUNCTION("""COMPUTED_VALUE"""),"iOS 9 y Swift 2 | Curso Completo y Desde Cero")</f>
        <v>iOS 9 y Swift 2 | Curso Completo y Desde Cero</v>
      </c>
      <c r="P557" s="140" t="str">
        <f>IFERROR(__xludf.DUMMYFUNCTION("""COMPUTED_VALUE"""),"")</f>
        <v/>
      </c>
    </row>
    <row r="558">
      <c r="A558" s="143">
        <f>IFERROR(__xludf.DUMMYFUNCTION("""COMPUTED_VALUE"""),44628.0)</f>
        <v>44628</v>
      </c>
      <c r="B558" s="143">
        <f>IFERROR(__xludf.DUMMYFUNCTION("""COMPUTED_VALUE"""),44662.0)</f>
        <v>44662</v>
      </c>
      <c r="C558" t="str">
        <f>IFERROR(__xludf.DUMMYFUNCTION("""COMPUTED_VALUE"""),"ES")</f>
        <v>ES</v>
      </c>
      <c r="D558">
        <f>IFERROR(__xludf.DUMMYFUNCTION("""COMPUTED_VALUE"""),1686432.0)</f>
        <v>1686432</v>
      </c>
      <c r="E558" t="str">
        <f>IFERROR(__xludf.DUMMYFUNCTION("""COMPUTED_VALUE"""),"Curso completo de R para Data Science con Tidyverse")</f>
        <v>Curso completo de R para Data Science con Tidyverse</v>
      </c>
      <c r="F558" t="str">
        <f>IFERROR(__xludf.DUMMYFUNCTION("""COMPUTED_VALUE"""),"Course of R for Data Science with TidyView")</f>
        <v>Course of R for Data Science with TidyView</v>
      </c>
      <c r="G558">
        <f>IFERROR(__xludf.DUMMYFUNCTION("""COMPUTED_VALUE"""),3311510.0)</f>
        <v>3311510</v>
      </c>
      <c r="H558" t="str">
        <f>IFERROR(__xludf.DUMMYFUNCTION("""COMPUTED_VALUE"""),"Juan Gabriel Gomila Salas")</f>
        <v>Juan Gabriel Gomila Salas</v>
      </c>
      <c r="I558" t="str">
        <f>IFERROR(__xludf.DUMMYFUNCTION("""COMPUTED_VALUE"""),"T&amp;S")</f>
        <v>T&amp;S</v>
      </c>
      <c r="J558" t="b">
        <f>IFERROR(__xludf.DUMMYFUNCTION("""COMPUTED_VALUE"""),FALSE)</f>
        <v>0</v>
      </c>
      <c r="K558" s="142" t="str">
        <f>IFERROR(__xludf.DUMMYFUNCTION("""COMPUTED_VALUE"""),"Data Science")</f>
        <v>Data Science</v>
      </c>
      <c r="L558" s="142" t="str">
        <f>IFERROR(__xludf.DUMMYFUNCTION("""COMPUTED_VALUE"""),"Analytics")</f>
        <v>Analytics</v>
      </c>
      <c r="P558" s="140" t="str">
        <f>IFERROR(__xludf.DUMMYFUNCTION("""COMPUTED_VALUE"""),"")</f>
        <v/>
      </c>
    </row>
    <row r="559">
      <c r="A559" s="143">
        <f>IFERROR(__xludf.DUMMYFUNCTION("""COMPUTED_VALUE"""),44628.0)</f>
        <v>44628</v>
      </c>
      <c r="B559" s="143">
        <f>IFERROR(__xludf.DUMMYFUNCTION("""COMPUTED_VALUE"""),44662.0)</f>
        <v>44662</v>
      </c>
      <c r="C559" t="str">
        <f>IFERROR(__xludf.DUMMYFUNCTION("""COMPUTED_VALUE"""),"ES")</f>
        <v>ES</v>
      </c>
      <c r="D559">
        <f>IFERROR(__xludf.DUMMYFUNCTION("""COMPUTED_VALUE"""),946204.0)</f>
        <v>946204</v>
      </c>
      <c r="E559" t="str">
        <f>IFERROR(__xludf.DUMMYFUNCTION("""COMPUTED_VALUE"""),"Crea tu propio Pokemon Go para iOS")</f>
        <v>Crea tu propio Pokemon Go para iOS</v>
      </c>
      <c r="F559" t="str">
        <f>IFERROR(__xludf.DUMMYFUNCTION("""COMPUTED_VALUE"""),"Create your own Pokemon Go for iOS")</f>
        <v>Create your own Pokemon Go for iOS</v>
      </c>
      <c r="G559">
        <f>IFERROR(__xludf.DUMMYFUNCTION("""COMPUTED_VALUE"""),3311510.0)</f>
        <v>3311510</v>
      </c>
      <c r="H559" t="str">
        <f>IFERROR(__xludf.DUMMYFUNCTION("""COMPUTED_VALUE"""),"Juan Gabriel Gomila Salas")</f>
        <v>Juan Gabriel Gomila Salas</v>
      </c>
      <c r="I559" t="str">
        <f>IFERROR(__xludf.DUMMYFUNCTION("""COMPUTED_VALUE"""),"T&amp;S")</f>
        <v>T&amp;S</v>
      </c>
      <c r="J559" t="b">
        <f>IFERROR(__xludf.DUMMYFUNCTION("""COMPUTED_VALUE"""),FALSE)</f>
        <v>0</v>
      </c>
      <c r="K559" s="142" t="str">
        <f>IFERROR(__xludf.DUMMYFUNCTION("""COMPUTED_VALUE"""),"Development")</f>
        <v>Development</v>
      </c>
      <c r="L559" s="142" t="str">
        <f>IFERROR(__xludf.DUMMYFUNCTION("""COMPUTED_VALUE"""),"Mobile Development")</f>
        <v>Mobile Development</v>
      </c>
      <c r="P559" s="140" t="str">
        <f>IFERROR(__xludf.DUMMYFUNCTION("""COMPUTED_VALUE"""),"")</f>
        <v/>
      </c>
    </row>
    <row r="560">
      <c r="A560" s="143">
        <f>IFERROR(__xludf.DUMMYFUNCTION("""COMPUTED_VALUE"""),44628.0)</f>
        <v>44628</v>
      </c>
      <c r="B560" s="143">
        <f>IFERROR(__xludf.DUMMYFUNCTION("""COMPUTED_VALUE"""),44662.0)</f>
        <v>44662</v>
      </c>
      <c r="C560" t="str">
        <f>IFERROR(__xludf.DUMMYFUNCTION("""COMPUTED_VALUE"""),"ES")</f>
        <v>ES</v>
      </c>
      <c r="D560">
        <f>IFERROR(__xludf.DUMMYFUNCTION("""COMPUTED_VALUE"""),3927262.0)</f>
        <v>3927262</v>
      </c>
      <c r="E560" t="str">
        <f>IFERROR(__xludf.DUMMYFUNCTION("""COMPUTED_VALUE"""),"Curso de Ciberseguridad: Hacking Ético y Test de Penetración")</f>
        <v>Curso de Ciberseguridad: Hacking Ético y Test de Penetración</v>
      </c>
      <c r="F560" t="str">
        <f>IFERROR(__xludf.DUMMYFUNCTION("""COMPUTED_VALUE"""),"Cybersecurity course: Ethical hacking and penetration test")</f>
        <v>Cybersecurity course: Ethical hacking and penetration test</v>
      </c>
      <c r="G560">
        <f>IFERROR(__xludf.DUMMYFUNCTION("""COMPUTED_VALUE"""),3311510.0)</f>
        <v>3311510</v>
      </c>
      <c r="H560" t="str">
        <f>IFERROR(__xludf.DUMMYFUNCTION("""COMPUTED_VALUE"""),"Juan Gabriel Gomila Salas")</f>
        <v>Juan Gabriel Gomila Salas</v>
      </c>
      <c r="I560" t="str">
        <f>IFERROR(__xludf.DUMMYFUNCTION("""COMPUTED_VALUE"""),"T&amp;S")</f>
        <v>T&amp;S</v>
      </c>
      <c r="J560" t="b">
        <f>IFERROR(__xludf.DUMMYFUNCTION("""COMPUTED_VALUE"""),FALSE)</f>
        <v>0</v>
      </c>
      <c r="K560" s="142" t="str">
        <f>IFERROR(__xludf.DUMMYFUNCTION("""COMPUTED_VALUE"""),"IT Operations")</f>
        <v>IT Operations</v>
      </c>
      <c r="L560" s="142" t="str">
        <f>IFERROR(__xludf.DUMMYFUNCTION("""COMPUTED_VALUE"""),"Network &amp; Security")</f>
        <v>Network &amp; Security</v>
      </c>
      <c r="M560" s="140">
        <f>IFERROR(__xludf.DUMMYFUNCTION("""COMPUTED_VALUE"""),3778720.0)</f>
        <v>3778720</v>
      </c>
      <c r="N560" s="140" t="str">
        <f>IFERROR(__xludf.DUMMYFUNCTION("""COMPUTED_VALUE"""),"Curso completo de Hacking Ético y Ciberseguridad")</f>
        <v>Curso completo de Hacking Ético y Ciberseguridad</v>
      </c>
      <c r="P560" s="140" t="str">
        <f>IFERROR(__xludf.DUMMYFUNCTION("""COMPUTED_VALUE"""),"")</f>
        <v/>
      </c>
    </row>
    <row r="561">
      <c r="A561" s="143">
        <f>IFERROR(__xludf.DUMMYFUNCTION("""COMPUTED_VALUE"""),44628.0)</f>
        <v>44628</v>
      </c>
      <c r="B561" s="143">
        <f>IFERROR(__xludf.DUMMYFUNCTION("""COMPUTED_VALUE"""),44662.0)</f>
        <v>44662</v>
      </c>
      <c r="C561" t="str">
        <f>IFERROR(__xludf.DUMMYFUNCTION("""COMPUTED_VALUE"""),"ES")</f>
        <v>ES</v>
      </c>
      <c r="D561">
        <f>IFERROR(__xludf.DUMMYFUNCTION("""COMPUTED_VALUE"""),2171402.0)</f>
        <v>2171402</v>
      </c>
      <c r="E561" t="str">
        <f>IFERROR(__xludf.DUMMYFUNCTION("""COMPUTED_VALUE"""),"Deep Learning con Tensorflow para Machine Learning e IA")</f>
        <v>Deep Learning con Tensorflow para Machine Learning e IA</v>
      </c>
      <c r="F561" t="str">
        <f>IFERROR(__xludf.DUMMYFUNCTION("""COMPUTED_VALUE"""),"Deep Learning con Tensorflow para Machine Learning e IA")</f>
        <v>Deep Learning con Tensorflow para Machine Learning e IA</v>
      </c>
      <c r="G561">
        <f>IFERROR(__xludf.DUMMYFUNCTION("""COMPUTED_VALUE"""),3311510.0)</f>
        <v>3311510</v>
      </c>
      <c r="H561" t="str">
        <f>IFERROR(__xludf.DUMMYFUNCTION("""COMPUTED_VALUE"""),"Juan Gabriel Gomila Salas")</f>
        <v>Juan Gabriel Gomila Salas</v>
      </c>
      <c r="I561" t="str">
        <f>IFERROR(__xludf.DUMMYFUNCTION("""COMPUTED_VALUE"""),"T&amp;S")</f>
        <v>T&amp;S</v>
      </c>
      <c r="J561" t="b">
        <f>IFERROR(__xludf.DUMMYFUNCTION("""COMPUTED_VALUE"""),FALSE)</f>
        <v>0</v>
      </c>
      <c r="K561" s="145" t="str">
        <f>IFERROR(__xludf.DUMMYFUNCTION("""COMPUTED_VALUE"""),"Data Science")</f>
        <v>Data Science</v>
      </c>
      <c r="L561" s="145" t="str">
        <f>IFERROR(__xludf.DUMMYFUNCTION("""COMPUTED_VALUE"""),"Machine Learning")</f>
        <v>Machine Learning</v>
      </c>
      <c r="M561" s="140">
        <f>IFERROR(__xludf.DUMMYFUNCTION("""COMPUTED_VALUE"""),2158510.0)</f>
        <v>2158510</v>
      </c>
      <c r="N561" s="140" t="str">
        <f>IFERROR(__xludf.DUMMYFUNCTION("""COMPUTED_VALUE"""),"Deep Learning e Inteligencia artificial con Keras/Tensorflow")</f>
        <v>Deep Learning e Inteligencia artificial con Keras/Tensorflow</v>
      </c>
      <c r="P561" s="140" t="str">
        <f>IFERROR(__xludf.DUMMYFUNCTION("""COMPUTED_VALUE"""),"")</f>
        <v/>
      </c>
    </row>
    <row r="562">
      <c r="A562" s="143">
        <f>IFERROR(__xludf.DUMMYFUNCTION("""COMPUTED_VALUE"""),44628.0)</f>
        <v>44628</v>
      </c>
      <c r="B562" s="143">
        <f>IFERROR(__xludf.DUMMYFUNCTION("""COMPUTED_VALUE"""),44662.0)</f>
        <v>44662</v>
      </c>
      <c r="C562" t="str">
        <f>IFERROR(__xludf.DUMMYFUNCTION("""COMPUTED_VALUE"""),"ES")</f>
        <v>ES</v>
      </c>
      <c r="D562">
        <f>IFERROR(__xludf.DUMMYFUNCTION("""COMPUTED_VALUE"""),1910458.0)</f>
        <v>1910458</v>
      </c>
      <c r="E562" t="str">
        <f>IFERROR(__xludf.DUMMYFUNCTION("""COMPUTED_VALUE"""),"Desarrollo de juegos con Unreal Engine de 0 a profesional")</f>
        <v>Desarrollo de juegos con Unreal Engine de 0 a profesional</v>
      </c>
      <c r="F562" t="str">
        <f>IFERROR(__xludf.DUMMYFUNCTION("""COMPUTED_VALUE"""),"Development of Games with Unreal Engine from 0 to Professional")</f>
        <v>Development of Games with Unreal Engine from 0 to Professional</v>
      </c>
      <c r="G562">
        <f>IFERROR(__xludf.DUMMYFUNCTION("""COMPUTED_VALUE"""),3311510.0)</f>
        <v>3311510</v>
      </c>
      <c r="H562" t="str">
        <f>IFERROR(__xludf.DUMMYFUNCTION("""COMPUTED_VALUE"""),"Juan Gabriel Gomila Salas")</f>
        <v>Juan Gabriel Gomila Salas</v>
      </c>
      <c r="I562" t="str">
        <f>IFERROR(__xludf.DUMMYFUNCTION("""COMPUTED_VALUE"""),"T&amp;S")</f>
        <v>T&amp;S</v>
      </c>
      <c r="J562" t="b">
        <f>IFERROR(__xludf.DUMMYFUNCTION("""COMPUTED_VALUE"""),FALSE)</f>
        <v>0</v>
      </c>
      <c r="K562" s="142" t="str">
        <f>IFERROR(__xludf.DUMMYFUNCTION("""COMPUTED_VALUE"""),"Development")</f>
        <v>Development</v>
      </c>
      <c r="L562" s="142" t="str">
        <f>IFERROR(__xludf.DUMMYFUNCTION("""COMPUTED_VALUE"""),"Game Development")</f>
        <v>Game Development</v>
      </c>
      <c r="M562" s="140">
        <f>IFERROR(__xludf.DUMMYFUNCTION("""COMPUTED_VALUE"""),1223302.0)</f>
        <v>1223302</v>
      </c>
      <c r="N562" s="140" t="str">
        <f>IFERROR(__xludf.DUMMYFUNCTION("""COMPUTED_VALUE"""),"Master Unreal Engine 4 Desarrollo Videojuegos con Blueprints")</f>
        <v>Master Unreal Engine 4 Desarrollo Videojuegos con Blueprints</v>
      </c>
      <c r="P562" s="140" t="str">
        <f>IFERROR(__xludf.DUMMYFUNCTION("""COMPUTED_VALUE"""),"")</f>
        <v/>
      </c>
    </row>
    <row r="563">
      <c r="A563" s="143">
        <f>IFERROR(__xludf.DUMMYFUNCTION("""COMPUTED_VALUE"""),44628.0)</f>
        <v>44628</v>
      </c>
      <c r="B563" s="143">
        <f>IFERROR(__xludf.DUMMYFUNCTION("""COMPUTED_VALUE"""),44662.0)</f>
        <v>44662</v>
      </c>
      <c r="C563" t="str">
        <f>IFERROR(__xludf.DUMMYFUNCTION("""COMPUTED_VALUE"""),"ES")</f>
        <v>ES</v>
      </c>
      <c r="D563">
        <f>IFERROR(__xludf.DUMMYFUNCTION("""COMPUTED_VALUE"""),788524.0)</f>
        <v>788524</v>
      </c>
      <c r="E563" t="str">
        <f>IFERROR(__xludf.DUMMYFUNCTION("""COMPUTED_VALUE"""),"Curso Completo de Desarrollo de Apps para Apple Watch")</f>
        <v>Curso Completo de Desarrollo de Apps para Apple Watch</v>
      </c>
      <c r="F563" t="str">
        <f>IFERROR(__xludf.DUMMYFUNCTION("""COMPUTED_VALUE"""),"Full course of Apps Development for Apple Watch")</f>
        <v>Full course of Apps Development for Apple Watch</v>
      </c>
      <c r="G563">
        <f>IFERROR(__xludf.DUMMYFUNCTION("""COMPUTED_VALUE"""),3311510.0)</f>
        <v>3311510</v>
      </c>
      <c r="H563" t="str">
        <f>IFERROR(__xludf.DUMMYFUNCTION("""COMPUTED_VALUE"""),"Juan Gabriel Gomila Salas")</f>
        <v>Juan Gabriel Gomila Salas</v>
      </c>
      <c r="I563" t="str">
        <f>IFERROR(__xludf.DUMMYFUNCTION("""COMPUTED_VALUE"""),"T&amp;S")</f>
        <v>T&amp;S</v>
      </c>
      <c r="J563" t="b">
        <f>IFERROR(__xludf.DUMMYFUNCTION("""COMPUTED_VALUE"""),FALSE)</f>
        <v>0</v>
      </c>
      <c r="K563" s="142" t="str">
        <f>IFERROR(__xludf.DUMMYFUNCTION("""COMPUTED_VALUE"""),"Development")</f>
        <v>Development</v>
      </c>
      <c r="L563" s="142" t="str">
        <f>IFERROR(__xludf.DUMMYFUNCTION("""COMPUTED_VALUE"""),"Mobile Development")</f>
        <v>Mobile Development</v>
      </c>
      <c r="P563" s="140" t="str">
        <f>IFERROR(__xludf.DUMMYFUNCTION("""COMPUTED_VALUE"""),"")</f>
        <v/>
      </c>
    </row>
    <row r="564">
      <c r="A564" s="143">
        <f>IFERROR(__xludf.DUMMYFUNCTION("""COMPUTED_VALUE"""),44628.0)</f>
        <v>44628</v>
      </c>
      <c r="B564" s="143">
        <f>IFERROR(__xludf.DUMMYFUNCTION("""COMPUTED_VALUE"""),44662.0)</f>
        <v>44662</v>
      </c>
      <c r="C564" t="str">
        <f>IFERROR(__xludf.DUMMYFUNCTION("""COMPUTED_VALUE"""),"ES")</f>
        <v>ES</v>
      </c>
      <c r="D564">
        <f>IFERROR(__xludf.DUMMYFUNCTION("""COMPUTED_VALUE"""),2066697.0)</f>
        <v>2066697</v>
      </c>
      <c r="E564" t="str">
        <f>IFERROR(__xludf.DUMMYFUNCTION("""COMPUTED_VALUE"""),"Curso completo de Estadística descriptiva - RStudio y Python")</f>
        <v>Curso completo de Estadística descriptiva - RStudio y Python</v>
      </c>
      <c r="F564" t="str">
        <f>IFERROR(__xludf.DUMMYFUNCTION("""COMPUTED_VALUE"""),"Full course of descriptive statistics - RSTUDIO and PYTHON")</f>
        <v>Full course of descriptive statistics - RSTUDIO and PYTHON</v>
      </c>
      <c r="G564">
        <f>IFERROR(__xludf.DUMMYFUNCTION("""COMPUTED_VALUE"""),3311510.0)</f>
        <v>3311510</v>
      </c>
      <c r="H564" t="str">
        <f>IFERROR(__xludf.DUMMYFUNCTION("""COMPUTED_VALUE"""),"Juan Gabriel Gomila Salas")</f>
        <v>Juan Gabriel Gomila Salas</v>
      </c>
      <c r="I564" t="str">
        <f>IFERROR(__xludf.DUMMYFUNCTION("""COMPUTED_VALUE"""),"T&amp;S")</f>
        <v>T&amp;S</v>
      </c>
      <c r="J564" t="b">
        <f>IFERROR(__xludf.DUMMYFUNCTION("""COMPUTED_VALUE"""),FALSE)</f>
        <v>0</v>
      </c>
      <c r="K564" s="142" t="str">
        <f>IFERROR(__xludf.DUMMYFUNCTION("""COMPUTED_VALUE"""),"Data Science")</f>
        <v>Data Science</v>
      </c>
      <c r="L564" s="142" t="str">
        <f>IFERROR(__xludf.DUMMYFUNCTION("""COMPUTED_VALUE"""),"Statistical Analysis")</f>
        <v>Statistical Analysis</v>
      </c>
      <c r="P564" s="140" t="str">
        <f>IFERROR(__xludf.DUMMYFUNCTION("""COMPUTED_VALUE"""),"")</f>
        <v/>
      </c>
    </row>
    <row r="565">
      <c r="A565" s="143">
        <f>IFERROR(__xludf.DUMMYFUNCTION("""COMPUTED_VALUE"""),44628.0)</f>
        <v>44628</v>
      </c>
      <c r="B565" s="143">
        <f>IFERROR(__xludf.DUMMYFUNCTION("""COMPUTED_VALUE"""),44662.0)</f>
        <v>44662</v>
      </c>
      <c r="C565" t="str">
        <f>IFERROR(__xludf.DUMMYFUNCTION("""COMPUTED_VALUE"""),"ES")</f>
        <v>ES</v>
      </c>
      <c r="D565">
        <f>IFERROR(__xludf.DUMMYFUNCTION("""COMPUTED_VALUE"""),883176.0)</f>
        <v>883176</v>
      </c>
      <c r="E565" t="str">
        <f>IFERROR(__xludf.DUMMYFUNCTION("""COMPUTED_VALUE"""),"Curso Completo de iOS 10 y Swift 3: de Cero a Experto con JB")</f>
        <v>Curso Completo de iOS 10 y Swift 3: de Cero a Experto con JB</v>
      </c>
      <c r="F565" t="str">
        <f>IFERROR(__xludf.DUMMYFUNCTION("""COMPUTED_VALUE"""),"Full course of IOS 10 and SWIFT 3: from zero to expert with JB")</f>
        <v>Full course of IOS 10 and SWIFT 3: from zero to expert with JB</v>
      </c>
      <c r="G565">
        <f>IFERROR(__xludf.DUMMYFUNCTION("""COMPUTED_VALUE"""),3311510.0)</f>
        <v>3311510</v>
      </c>
      <c r="H565" t="str">
        <f>IFERROR(__xludf.DUMMYFUNCTION("""COMPUTED_VALUE"""),"Juan Gabriel Gomila Salas")</f>
        <v>Juan Gabriel Gomila Salas</v>
      </c>
      <c r="I565" t="str">
        <f>IFERROR(__xludf.DUMMYFUNCTION("""COMPUTED_VALUE"""),"T&amp;S")</f>
        <v>T&amp;S</v>
      </c>
      <c r="J565" t="b">
        <f>IFERROR(__xludf.DUMMYFUNCTION("""COMPUTED_VALUE"""),FALSE)</f>
        <v>0</v>
      </c>
      <c r="K565" s="142" t="str">
        <f>IFERROR(__xludf.DUMMYFUNCTION("""COMPUTED_VALUE"""),"Development")</f>
        <v>Development</v>
      </c>
      <c r="L565" s="142" t="str">
        <f>IFERROR(__xludf.DUMMYFUNCTION("""COMPUTED_VALUE"""),"Mobile Development")</f>
        <v>Mobile Development</v>
      </c>
      <c r="P565" s="140" t="str">
        <f>IFERROR(__xludf.DUMMYFUNCTION("""COMPUTED_VALUE"""),"")</f>
        <v/>
      </c>
    </row>
    <row r="566">
      <c r="A566" s="143">
        <f>IFERROR(__xludf.DUMMYFUNCTION("""COMPUTED_VALUE"""),44628.0)</f>
        <v>44628</v>
      </c>
      <c r="B566" s="143">
        <f>IFERROR(__xludf.DUMMYFUNCTION("""COMPUTED_VALUE"""),44662.0)</f>
        <v>44662</v>
      </c>
      <c r="C566" t="str">
        <f>IFERROR(__xludf.DUMMYFUNCTION("""COMPUTED_VALUE"""),"ES")</f>
        <v>ES</v>
      </c>
      <c r="D566">
        <f>IFERROR(__xludf.DUMMYFUNCTION("""COMPUTED_VALUE"""),1242880.0)</f>
        <v>1242880</v>
      </c>
      <c r="E566" t="str">
        <f>IFERROR(__xludf.DUMMYFUNCTION("""COMPUTED_VALUE"""),"Curso completo de iOS 11 y Swift: de cero a experto con JB")</f>
        <v>Curso completo de iOS 11 y Swift: de cero a experto con JB</v>
      </c>
      <c r="F566" t="str">
        <f>IFERROR(__xludf.DUMMYFUNCTION("""COMPUTED_VALUE"""),"Full course of iOS 11 and SWIFT: from zero to expert with JB")</f>
        <v>Full course of iOS 11 and SWIFT: from zero to expert with JB</v>
      </c>
      <c r="G566">
        <f>IFERROR(__xludf.DUMMYFUNCTION("""COMPUTED_VALUE"""),3311510.0)</f>
        <v>3311510</v>
      </c>
      <c r="H566" t="str">
        <f>IFERROR(__xludf.DUMMYFUNCTION("""COMPUTED_VALUE"""),"Juan Gabriel Gomila Salas")</f>
        <v>Juan Gabriel Gomila Salas</v>
      </c>
      <c r="I566" t="str">
        <f>IFERROR(__xludf.DUMMYFUNCTION("""COMPUTED_VALUE"""),"T&amp;S")</f>
        <v>T&amp;S</v>
      </c>
      <c r="J566" t="b">
        <f>IFERROR(__xludf.DUMMYFUNCTION("""COMPUTED_VALUE"""),FALSE)</f>
        <v>0</v>
      </c>
      <c r="K566" s="142" t="str">
        <f>IFERROR(__xludf.DUMMYFUNCTION("""COMPUTED_VALUE"""),"Development")</f>
        <v>Development</v>
      </c>
      <c r="L566" s="142" t="str">
        <f>IFERROR(__xludf.DUMMYFUNCTION("""COMPUTED_VALUE"""),"Mobile Development")</f>
        <v>Mobile Development</v>
      </c>
      <c r="M566" s="140">
        <f>IFERROR(__xludf.DUMMYFUNCTION("""COMPUTED_VALUE"""),1406350.0)</f>
        <v>1406350</v>
      </c>
      <c r="N566" s="140" t="str">
        <f>IFERROR(__xludf.DUMMYFUNCTION("""COMPUTED_VALUE"""),"iOS 11 y Swift 4 - De Principiante a Experto")</f>
        <v>iOS 11 y Swift 4 - De Principiante a Experto</v>
      </c>
      <c r="P566" s="140" t="str">
        <f>IFERROR(__xludf.DUMMYFUNCTION("""COMPUTED_VALUE"""),"")</f>
        <v/>
      </c>
    </row>
    <row r="567">
      <c r="A567" s="143">
        <f>IFERROR(__xludf.DUMMYFUNCTION("""COMPUTED_VALUE"""),44628.0)</f>
        <v>44628</v>
      </c>
      <c r="B567" s="143">
        <f>IFERROR(__xludf.DUMMYFUNCTION("""COMPUTED_VALUE"""),44662.0)</f>
        <v>44662</v>
      </c>
      <c r="C567" t="str">
        <f>IFERROR(__xludf.DUMMYFUNCTION("""COMPUTED_VALUE"""),"ES")</f>
        <v>ES</v>
      </c>
      <c r="D567">
        <f>IFERROR(__xludf.DUMMYFUNCTION("""COMPUTED_VALUE"""),1752920.0)</f>
        <v>1752920</v>
      </c>
      <c r="E567" t="str">
        <f>IFERROR(__xludf.DUMMYFUNCTION("""COMPUTED_VALUE"""),"Curso completo de iOS 12: de cero a experto")</f>
        <v>Curso completo de iOS 12: de cero a experto</v>
      </c>
      <c r="F567" t="str">
        <f>IFERROR(__xludf.DUMMYFUNCTION("""COMPUTED_VALUE"""),"Full course of IOS 12: From zero to expert")</f>
        <v>Full course of IOS 12: From zero to expert</v>
      </c>
      <c r="G567">
        <f>IFERROR(__xludf.DUMMYFUNCTION("""COMPUTED_VALUE"""),3311510.0)</f>
        <v>3311510</v>
      </c>
      <c r="H567" t="str">
        <f>IFERROR(__xludf.DUMMYFUNCTION("""COMPUTED_VALUE"""),"Juan Gabriel Gomila Salas")</f>
        <v>Juan Gabriel Gomila Salas</v>
      </c>
      <c r="I567" t="str">
        <f>IFERROR(__xludf.DUMMYFUNCTION("""COMPUTED_VALUE"""),"T&amp;S")</f>
        <v>T&amp;S</v>
      </c>
      <c r="J567" t="b">
        <f>IFERROR(__xludf.DUMMYFUNCTION("""COMPUTED_VALUE"""),FALSE)</f>
        <v>0</v>
      </c>
      <c r="K567" s="142" t="str">
        <f>IFERROR(__xludf.DUMMYFUNCTION("""COMPUTED_VALUE"""),"Development")</f>
        <v>Development</v>
      </c>
      <c r="L567" s="142" t="str">
        <f>IFERROR(__xludf.DUMMYFUNCTION("""COMPUTED_VALUE"""),"Mobile Development")</f>
        <v>Mobile Development</v>
      </c>
      <c r="M567" s="140">
        <f>IFERROR(__xludf.DUMMYFUNCTION("""COMPUTED_VALUE"""),1242552.0)</f>
        <v>1242552</v>
      </c>
      <c r="N567" s="140" t="str">
        <f>IFERROR(__xludf.DUMMYFUNCTION("""COMPUTED_VALUE"""),"iOS 12 y Swift 4: Curso Completo de Cero a Profesional")</f>
        <v>iOS 12 y Swift 4: Curso Completo de Cero a Profesional</v>
      </c>
      <c r="P567" s="140" t="str">
        <f>IFERROR(__xludf.DUMMYFUNCTION("""COMPUTED_VALUE"""),"")</f>
        <v/>
      </c>
    </row>
    <row r="568">
      <c r="A568" s="143">
        <f>IFERROR(__xludf.DUMMYFUNCTION("""COMPUTED_VALUE"""),44628.0)</f>
        <v>44628</v>
      </c>
      <c r="B568" s="143">
        <f>IFERROR(__xludf.DUMMYFUNCTION("""COMPUTED_VALUE"""),44662.0)</f>
        <v>44662</v>
      </c>
      <c r="C568" t="str">
        <f>IFERROR(__xludf.DUMMYFUNCTION("""COMPUTED_VALUE"""),"ES")</f>
        <v>ES</v>
      </c>
      <c r="D568">
        <f>IFERROR(__xludf.DUMMYFUNCTION("""COMPUTED_VALUE"""),1606018.0)</f>
        <v>1606018</v>
      </c>
      <c r="E568" t="str">
        <f>IFERROR(__xludf.DUMMYFUNCTION("""COMPUTED_VALUE"""),"Curso completo de Machine Learning: Data Science en Python")</f>
        <v>Curso completo de Machine Learning: Data Science en Python</v>
      </c>
      <c r="F568" t="str">
        <f>IFERROR(__xludf.DUMMYFUNCTION("""COMPUTED_VALUE"""),"Full course of Machine Learning: Data Science in Python")</f>
        <v>Full course of Machine Learning: Data Science in Python</v>
      </c>
      <c r="G568">
        <f>IFERROR(__xludf.DUMMYFUNCTION("""COMPUTED_VALUE"""),3311510.0)</f>
        <v>3311510</v>
      </c>
      <c r="H568" t="str">
        <f>IFERROR(__xludf.DUMMYFUNCTION("""COMPUTED_VALUE"""),"Juan Gabriel Gomila Salas")</f>
        <v>Juan Gabriel Gomila Salas</v>
      </c>
      <c r="I568" t="str">
        <f>IFERROR(__xludf.DUMMYFUNCTION("""COMPUTED_VALUE"""),"T&amp;S")</f>
        <v>T&amp;S</v>
      </c>
      <c r="J568" t="b">
        <f>IFERROR(__xludf.DUMMYFUNCTION("""COMPUTED_VALUE"""),FALSE)</f>
        <v>0</v>
      </c>
      <c r="K568" s="145" t="str">
        <f>IFERROR(__xludf.DUMMYFUNCTION("""COMPUTED_VALUE"""),"Data Science")</f>
        <v>Data Science</v>
      </c>
      <c r="L568" s="145" t="str">
        <f>IFERROR(__xludf.DUMMYFUNCTION("""COMPUTED_VALUE"""),"Machine Learning")</f>
        <v>Machine Learning</v>
      </c>
      <c r="P568" s="140" t="str">
        <f>IFERROR(__xludf.DUMMYFUNCTION("""COMPUTED_VALUE"""),"")</f>
        <v/>
      </c>
    </row>
    <row r="569">
      <c r="A569" s="143">
        <f>IFERROR(__xludf.DUMMYFUNCTION("""COMPUTED_VALUE"""),44628.0)</f>
        <v>44628</v>
      </c>
      <c r="B569" s="143">
        <f>IFERROR(__xludf.DUMMYFUNCTION("""COMPUTED_VALUE"""),44662.0)</f>
        <v>44662</v>
      </c>
      <c r="C569" t="str">
        <f>IFERROR(__xludf.DUMMYFUNCTION("""COMPUTED_VALUE"""),"ES")</f>
        <v>ES</v>
      </c>
      <c r="D569">
        <f>IFERROR(__xludf.DUMMYFUNCTION("""COMPUTED_VALUE"""),3059648.0)</f>
        <v>3059648</v>
      </c>
      <c r="E569" t="str">
        <f>IFERROR(__xludf.DUMMYFUNCTION("""COMPUTED_VALUE"""),"Curso completo de Python 3 de la A a la Z - 2021  +50 horas!")</f>
        <v>Curso completo de Python 3 de la A a la Z - 2021  +50 horas!</v>
      </c>
      <c r="F569" t="str">
        <f>IFERROR(__xludf.DUMMYFUNCTION("""COMPUTED_VALUE"""),"Full course of Python 3 from A to Z - 2021 +50 hours!")</f>
        <v>Full course of Python 3 from A to Z - 2021 +50 hours!</v>
      </c>
      <c r="G569">
        <f>IFERROR(__xludf.DUMMYFUNCTION("""COMPUTED_VALUE"""),3311510.0)</f>
        <v>3311510</v>
      </c>
      <c r="H569" t="str">
        <f>IFERROR(__xludf.DUMMYFUNCTION("""COMPUTED_VALUE"""),"Juan Gabriel Gomila Salas")</f>
        <v>Juan Gabriel Gomila Salas</v>
      </c>
      <c r="I569" t="str">
        <f>IFERROR(__xludf.DUMMYFUNCTION("""COMPUTED_VALUE"""),"T&amp;S")</f>
        <v>T&amp;S</v>
      </c>
      <c r="J569" t="b">
        <f>IFERROR(__xludf.DUMMYFUNCTION("""COMPUTED_VALUE"""),FALSE)</f>
        <v>0</v>
      </c>
      <c r="K569" s="142" t="str">
        <f>IFERROR(__xludf.DUMMYFUNCTION("""COMPUTED_VALUE"""),"Development")</f>
        <v>Development</v>
      </c>
      <c r="L569" s="144" t="str">
        <f>IFERROR(__xludf.DUMMYFUNCTION("""COMPUTED_VALUE"""),"Programming Languages")</f>
        <v>Programming Languages</v>
      </c>
      <c r="M569" s="140">
        <f>IFERROR(__xludf.DUMMYFUNCTION("""COMPUTED_VALUE"""),882422.0)</f>
        <v>882422</v>
      </c>
      <c r="N569" s="140" t="str">
        <f>IFERROR(__xludf.DUMMYFUNCTION("""COMPUTED_VALUE"""),"Curso Maestro de Python 3: Aprende Desde Cero")</f>
        <v>Curso Maestro de Python 3: Aprende Desde Cero</v>
      </c>
      <c r="P569" s="140" t="str">
        <f>IFERROR(__xludf.DUMMYFUNCTION("""COMPUTED_VALUE"""),"")</f>
        <v/>
      </c>
    </row>
    <row r="570">
      <c r="A570" s="143">
        <f>IFERROR(__xludf.DUMMYFUNCTION("""COMPUTED_VALUE"""),44628.0)</f>
        <v>44628</v>
      </c>
      <c r="B570" s="143">
        <f>IFERROR(__xludf.DUMMYFUNCTION("""COMPUTED_VALUE"""),44662.0)</f>
        <v>44662</v>
      </c>
      <c r="C570" t="str">
        <f>IFERROR(__xludf.DUMMYFUNCTION("""COMPUTED_VALUE"""),"ES")</f>
        <v>ES</v>
      </c>
      <c r="D570">
        <f>IFERROR(__xludf.DUMMYFUNCTION("""COMPUTED_VALUE"""),1276488.0)</f>
        <v>1276488</v>
      </c>
      <c r="E570" t="str">
        <f>IFERROR(__xludf.DUMMYFUNCTION("""COMPUTED_VALUE"""),"Curso completo de Swift 5, el lenguaje para apps de Apple")</f>
        <v>Curso completo de Swift 5, el lenguaje para apps de Apple</v>
      </c>
      <c r="F570" t="str">
        <f>IFERROR(__xludf.DUMMYFUNCTION("""COMPUTED_VALUE"""),"Full course of SWIFT 5, the language for Apple Apps")</f>
        <v>Full course of SWIFT 5, the language for Apple Apps</v>
      </c>
      <c r="G570">
        <f>IFERROR(__xludf.DUMMYFUNCTION("""COMPUTED_VALUE"""),3311510.0)</f>
        <v>3311510</v>
      </c>
      <c r="H570" t="str">
        <f>IFERROR(__xludf.DUMMYFUNCTION("""COMPUTED_VALUE"""),"Juan Gabriel Gomila Salas")</f>
        <v>Juan Gabriel Gomila Salas</v>
      </c>
      <c r="I570" t="str">
        <f>IFERROR(__xludf.DUMMYFUNCTION("""COMPUTED_VALUE"""),"T&amp;S")</f>
        <v>T&amp;S</v>
      </c>
      <c r="J570" t="b">
        <f>IFERROR(__xludf.DUMMYFUNCTION("""COMPUTED_VALUE"""),FALSE)</f>
        <v>0</v>
      </c>
      <c r="K570" s="142" t="str">
        <f>IFERROR(__xludf.DUMMYFUNCTION("""COMPUTED_VALUE"""),"Development")</f>
        <v>Development</v>
      </c>
      <c r="L570" s="142" t="str">
        <f>IFERROR(__xludf.DUMMYFUNCTION("""COMPUTED_VALUE"""),"Mobile Development")</f>
        <v>Mobile Development</v>
      </c>
      <c r="M570" s="140">
        <f>IFERROR(__xludf.DUMMYFUNCTION("""COMPUTED_VALUE"""),1905940.0)</f>
        <v>1905940</v>
      </c>
      <c r="N570" s="140" t="str">
        <f>IFERROR(__xludf.DUMMYFUNCTION("""COMPUTED_VALUE"""),"Desarrollo de aplicaciones con iOS 12, swift 5 y Xcode 10")</f>
        <v>Desarrollo de aplicaciones con iOS 12, swift 5 y Xcode 10</v>
      </c>
      <c r="P570" s="140" t="str">
        <f>IFERROR(__xludf.DUMMYFUNCTION("""COMPUTED_VALUE"""),"")</f>
        <v/>
      </c>
    </row>
    <row r="571">
      <c r="A571" s="143">
        <f>IFERROR(__xludf.DUMMYFUNCTION("""COMPUTED_VALUE"""),44628.0)</f>
        <v>44628</v>
      </c>
      <c r="B571" s="143">
        <f>IFERROR(__xludf.DUMMYFUNCTION("""COMPUTED_VALUE"""),44662.0)</f>
        <v>44662</v>
      </c>
      <c r="C571" t="str">
        <f>IFERROR(__xludf.DUMMYFUNCTION("""COMPUTED_VALUE"""),"ES")</f>
        <v>ES</v>
      </c>
      <c r="D571">
        <f>IFERROR(__xludf.DUMMYFUNCTION("""COMPUTED_VALUE"""),3292300.0)</f>
        <v>3292300</v>
      </c>
      <c r="E571" t="str">
        <f>IFERROR(__xludf.DUMMYFUNCTION("""COMPUTED_VALUE"""),"Curso completo de Unity 2020: domina el mundo de videojuegos")</f>
        <v>Curso completo de Unity 2020: domina el mundo de videojuegos</v>
      </c>
      <c r="F571" t="str">
        <f>IFERROR(__xludf.DUMMYFUNCTION("""COMPUTED_VALUE"""),"Full course of Unity 2020: Dominates the world of videogames")</f>
        <v>Full course of Unity 2020: Dominates the world of videogames</v>
      </c>
      <c r="G571">
        <f>IFERROR(__xludf.DUMMYFUNCTION("""COMPUTED_VALUE"""),3311510.0)</f>
        <v>3311510</v>
      </c>
      <c r="H571" t="str">
        <f>IFERROR(__xludf.DUMMYFUNCTION("""COMPUTED_VALUE"""),"Juan Gabriel Gomila Salas")</f>
        <v>Juan Gabriel Gomila Salas</v>
      </c>
      <c r="I571" t="str">
        <f>IFERROR(__xludf.DUMMYFUNCTION("""COMPUTED_VALUE"""),"T&amp;S")</f>
        <v>T&amp;S</v>
      </c>
      <c r="J571" t="b">
        <f>IFERROR(__xludf.DUMMYFUNCTION("""COMPUTED_VALUE"""),FALSE)</f>
        <v>0</v>
      </c>
      <c r="K571" s="142" t="str">
        <f>IFERROR(__xludf.DUMMYFUNCTION("""COMPUTED_VALUE"""),"Development")</f>
        <v>Development</v>
      </c>
      <c r="L571" s="142" t="str">
        <f>IFERROR(__xludf.DUMMYFUNCTION("""COMPUTED_VALUE"""),"Game Development")</f>
        <v>Game Development</v>
      </c>
      <c r="M571" s="140">
        <f>IFERROR(__xludf.DUMMYFUNCTION("""COMPUTED_VALUE"""),371090.0)</f>
        <v>371090</v>
      </c>
      <c r="N571" s="140" t="str">
        <f>IFERROR(__xludf.DUMMYFUNCTION("""COMPUTED_VALUE"""),"Máster en Programación de Videojuegos con Unity® 2021 y C#")</f>
        <v>Máster en Programación de Videojuegos con Unity® 2021 y C#</v>
      </c>
      <c r="P571" s="140" t="str">
        <f>IFERROR(__xludf.DUMMYFUNCTION("""COMPUTED_VALUE"""),"")</f>
        <v/>
      </c>
    </row>
    <row r="572">
      <c r="A572" s="143">
        <f>IFERROR(__xludf.DUMMYFUNCTION("""COMPUTED_VALUE"""),44628.0)</f>
        <v>44628</v>
      </c>
      <c r="B572" s="143">
        <f>IFERROR(__xludf.DUMMYFUNCTION("""COMPUTED_VALUE"""),44662.0)</f>
        <v>44662</v>
      </c>
      <c r="C572" t="str">
        <f>IFERROR(__xludf.DUMMYFUNCTION("""COMPUTED_VALUE"""),"ES")</f>
        <v>ES</v>
      </c>
      <c r="D572">
        <f>IFERROR(__xludf.DUMMYFUNCTION("""COMPUTED_VALUE"""),553084.0)</f>
        <v>553084</v>
      </c>
      <c r="E572" t="str">
        <f>IFERROR(__xludf.DUMMYFUNCTION("""COMPUTED_VALUE"""),"Fundamentos de programación en Java. Bases de la informática")</f>
        <v>Fundamentos de programación en Java. Bases de la informática</v>
      </c>
      <c r="F572" t="str">
        <f>IFERROR(__xludf.DUMMYFUNCTION("""COMPUTED_VALUE"""),"Fundamentals of programming in Java. Bases of computer")</f>
        <v>Fundamentals of programming in Java. Bases of computer</v>
      </c>
      <c r="G572">
        <f>IFERROR(__xludf.DUMMYFUNCTION("""COMPUTED_VALUE"""),3311510.0)</f>
        <v>3311510</v>
      </c>
      <c r="H572" t="str">
        <f>IFERROR(__xludf.DUMMYFUNCTION("""COMPUTED_VALUE"""),"Juan Gabriel Gomila Salas")</f>
        <v>Juan Gabriel Gomila Salas</v>
      </c>
      <c r="I572" t="str">
        <f>IFERROR(__xludf.DUMMYFUNCTION("""COMPUTED_VALUE"""),"T&amp;S")</f>
        <v>T&amp;S</v>
      </c>
      <c r="J572" t="b">
        <f>IFERROR(__xludf.DUMMYFUNCTION("""COMPUTED_VALUE"""),FALSE)</f>
        <v>0</v>
      </c>
      <c r="K572" s="142" t="str">
        <f>IFERROR(__xludf.DUMMYFUNCTION("""COMPUTED_VALUE"""),"Development")</f>
        <v>Development</v>
      </c>
      <c r="L572" s="142" t="str">
        <f>IFERROR(__xludf.DUMMYFUNCTION("""COMPUTED_VALUE"""),"Programming Languages")</f>
        <v>Programming Languages</v>
      </c>
      <c r="M572" s="140">
        <f>IFERROR(__xludf.DUMMYFUNCTION("""COMPUTED_VALUE"""),802946.0)</f>
        <v>802946</v>
      </c>
      <c r="N572" s="140" t="str">
        <f>IFERROR(__xludf.DUMMYFUNCTION("""COMPUTED_VALUE"""),"Aprende Programación en Java (de Básico a Avanzado)")</f>
        <v>Aprende Programación en Java (de Básico a Avanzado)</v>
      </c>
      <c r="P572" s="140" t="str">
        <f>IFERROR(__xludf.DUMMYFUNCTION("""COMPUTED_VALUE"""),"")</f>
        <v/>
      </c>
    </row>
    <row r="573">
      <c r="A573" s="143">
        <f>IFERROR(__xludf.DUMMYFUNCTION("""COMPUTED_VALUE"""),44628.0)</f>
        <v>44628</v>
      </c>
      <c r="B573" s="143">
        <f>IFERROR(__xludf.DUMMYFUNCTION("""COMPUTED_VALUE"""),44662.0)</f>
        <v>44662</v>
      </c>
      <c r="C573" t="str">
        <f>IFERROR(__xludf.DUMMYFUNCTION("""COMPUTED_VALUE"""),"ES")</f>
        <v>ES</v>
      </c>
      <c r="D573">
        <f>IFERROR(__xludf.DUMMYFUNCTION("""COMPUTED_VALUE"""),4088990.0)</f>
        <v>4088990</v>
      </c>
      <c r="E573" t="str">
        <f>IFERROR(__xludf.DUMMYFUNCTION("""COMPUTED_VALUE"""),"Git y GitHub: Control de versiones de la A a la Z")</f>
        <v>Git y GitHub: Control de versiones de la A a la Z</v>
      </c>
      <c r="F573" t="str">
        <f>IFERROR(__xludf.DUMMYFUNCTION("""COMPUTED_VALUE"""),"Git and Github: Control of versions of A to Z")</f>
        <v>Git and Github: Control of versions of A to Z</v>
      </c>
      <c r="G573">
        <f>IFERROR(__xludf.DUMMYFUNCTION("""COMPUTED_VALUE"""),3311510.0)</f>
        <v>3311510</v>
      </c>
      <c r="H573" t="str">
        <f>IFERROR(__xludf.DUMMYFUNCTION("""COMPUTED_VALUE"""),"Juan Gabriel Gomila Salas")</f>
        <v>Juan Gabriel Gomila Salas</v>
      </c>
      <c r="I573" t="str">
        <f>IFERROR(__xludf.DUMMYFUNCTION("""COMPUTED_VALUE"""),"T&amp;S")</f>
        <v>T&amp;S</v>
      </c>
      <c r="J573" t="b">
        <f>IFERROR(__xludf.DUMMYFUNCTION("""COMPUTED_VALUE"""),FALSE)</f>
        <v>0</v>
      </c>
      <c r="K573" s="142" t="str">
        <f>IFERROR(__xludf.DUMMYFUNCTION("""COMPUTED_VALUE"""),"Development")</f>
        <v>Development</v>
      </c>
      <c r="L573" s="142" t="str">
        <f>IFERROR(__xludf.DUMMYFUNCTION("""COMPUTED_VALUE"""),"Web Development")</f>
        <v>Web Development</v>
      </c>
      <c r="M573" s="140">
        <f>IFERROR(__xludf.DUMMYFUNCTION("""COMPUTED_VALUE"""),3248768.0)</f>
        <v>3248768</v>
      </c>
      <c r="N573" s="140" t="str">
        <f>IFERROR(__xludf.DUMMYFUNCTION("""COMPUTED_VALUE"""),"Git y GitHub desde Cero a Experto")</f>
        <v>Git y GitHub desde Cero a Experto</v>
      </c>
      <c r="P573" s="140" t="str">
        <f>IFERROR(__xludf.DUMMYFUNCTION("""COMPUTED_VALUE"""),"")</f>
        <v/>
      </c>
    </row>
    <row r="574">
      <c r="A574" s="143">
        <f>IFERROR(__xludf.DUMMYFUNCTION("""COMPUTED_VALUE"""),44628.0)</f>
        <v>44628</v>
      </c>
      <c r="B574" s="143">
        <f>IFERROR(__xludf.DUMMYFUNCTION("""COMPUTED_VALUE"""),44662.0)</f>
        <v>44662</v>
      </c>
      <c r="C574" t="str">
        <f>IFERROR(__xludf.DUMMYFUNCTION("""COMPUTED_VALUE"""),"ES")</f>
        <v>ES</v>
      </c>
      <c r="D574">
        <f>IFERROR(__xludf.DUMMYFUNCTION("""COMPUTED_VALUE"""),2595826.0)</f>
        <v>2595826</v>
      </c>
      <c r="E574" t="str">
        <f>IFERROR(__xludf.DUMMYFUNCTION("""COMPUTED_VALUE"""),"Estadística inferencial para Machine Learning con R y Python")</f>
        <v>Estadística inferencial para Machine Learning con R y Python</v>
      </c>
      <c r="F574" t="str">
        <f>IFERROR(__xludf.DUMMYFUNCTION("""COMPUTED_VALUE"""),"Inferential statistics for Machine Learning with R and Python")</f>
        <v>Inferential statistics for Machine Learning with R and Python</v>
      </c>
      <c r="G574">
        <f>IFERROR(__xludf.DUMMYFUNCTION("""COMPUTED_VALUE"""),3311510.0)</f>
        <v>3311510</v>
      </c>
      <c r="H574" t="str">
        <f>IFERROR(__xludf.DUMMYFUNCTION("""COMPUTED_VALUE"""),"Juan Gabriel Gomila Salas")</f>
        <v>Juan Gabriel Gomila Salas</v>
      </c>
      <c r="I574" t="str">
        <f>IFERROR(__xludf.DUMMYFUNCTION("""COMPUTED_VALUE"""),"T&amp;S")</f>
        <v>T&amp;S</v>
      </c>
      <c r="J574" t="b">
        <f>IFERROR(__xludf.DUMMYFUNCTION("""COMPUTED_VALUE"""),FALSE)</f>
        <v>0</v>
      </c>
      <c r="K574" s="142" t="str">
        <f>IFERROR(__xludf.DUMMYFUNCTION("""COMPUTED_VALUE"""),"Data Science")</f>
        <v>Data Science</v>
      </c>
      <c r="L574" s="142" t="str">
        <f>IFERROR(__xludf.DUMMYFUNCTION("""COMPUTED_VALUE"""),"Machine Learning")</f>
        <v>Machine Learning</v>
      </c>
      <c r="P574" s="140" t="str">
        <f>IFERROR(__xludf.DUMMYFUNCTION("""COMPUTED_VALUE"""),"")</f>
        <v/>
      </c>
    </row>
    <row r="575">
      <c r="A575" s="143">
        <f>IFERROR(__xludf.DUMMYFUNCTION("""COMPUTED_VALUE"""),44628.0)</f>
        <v>44628</v>
      </c>
      <c r="B575" s="143">
        <f>IFERROR(__xludf.DUMMYFUNCTION("""COMPUTED_VALUE"""),44662.0)</f>
        <v>44662</v>
      </c>
      <c r="C575" t="str">
        <f>IFERROR(__xludf.DUMMYFUNCTION("""COMPUTED_VALUE"""),"ES")</f>
        <v>ES</v>
      </c>
      <c r="D575">
        <f>IFERROR(__xludf.DUMMYFUNCTION("""COMPUTED_VALUE"""),1379334.0)</f>
        <v>1379334</v>
      </c>
      <c r="E575" t="str">
        <f>IFERROR(__xludf.DUMMYFUNCTION("""COMPUTED_VALUE"""),"Internet de las Cosas: una introducción al mundo conectado")</f>
        <v>Internet de las Cosas: una introducción al mundo conectado</v>
      </c>
      <c r="F575" t="str">
        <f>IFERROR(__xludf.DUMMYFUNCTION("""COMPUTED_VALUE"""),"Internet of things: an introduction to the connected world")</f>
        <v>Internet of things: an introduction to the connected world</v>
      </c>
      <c r="G575">
        <f>IFERROR(__xludf.DUMMYFUNCTION("""COMPUTED_VALUE"""),3311510.0)</f>
        <v>3311510</v>
      </c>
      <c r="H575" t="str">
        <f>IFERROR(__xludf.DUMMYFUNCTION("""COMPUTED_VALUE"""),"Juan Gabriel Gomila Salas")</f>
        <v>Juan Gabriel Gomila Salas</v>
      </c>
      <c r="I575" t="str">
        <f>IFERROR(__xludf.DUMMYFUNCTION("""COMPUTED_VALUE"""),"T&amp;S")</f>
        <v>T&amp;S</v>
      </c>
      <c r="J575" t="b">
        <f>IFERROR(__xludf.DUMMYFUNCTION("""COMPUTED_VALUE"""),FALSE)</f>
        <v>0</v>
      </c>
      <c r="K575" s="142" t="str">
        <f>IFERROR(__xludf.DUMMYFUNCTION("""COMPUTED_VALUE"""),"IT Operations")</f>
        <v>IT Operations</v>
      </c>
      <c r="L575" s="142" t="str">
        <f>IFERROR(__xludf.DUMMYFUNCTION("""COMPUTED_VALUE"""),"Hardware")</f>
        <v>Hardware</v>
      </c>
      <c r="M575" s="140">
        <f>IFERROR(__xludf.DUMMYFUNCTION("""COMPUTED_VALUE"""),1991708.0)</f>
        <v>1991708</v>
      </c>
      <c r="N575" s="140" t="str">
        <f>IFERROR(__xludf.DUMMYFUNCTION("""COMPUTED_VALUE"""),"Máster en IoT - Conéctate al Futuro [2021]")</f>
        <v>Máster en IoT - Conéctate al Futuro [2021]</v>
      </c>
      <c r="P575" s="140" t="str">
        <f>IFERROR(__xludf.DUMMYFUNCTION("""COMPUTED_VALUE"""),"")</f>
        <v/>
      </c>
    </row>
    <row r="576">
      <c r="A576" s="143">
        <f>IFERROR(__xludf.DUMMYFUNCTION("""COMPUTED_VALUE"""),44628.0)</f>
        <v>44628</v>
      </c>
      <c r="B576" s="143">
        <f>IFERROR(__xludf.DUMMYFUNCTION("""COMPUTED_VALUE"""),44662.0)</f>
        <v>44662</v>
      </c>
      <c r="C576" t="str">
        <f>IFERROR(__xludf.DUMMYFUNCTION("""COMPUTED_VALUE"""),"ES")</f>
        <v>ES</v>
      </c>
      <c r="D576">
        <f>IFERROR(__xludf.DUMMYFUNCTION("""COMPUTED_VALUE"""),971990.0)</f>
        <v>971990</v>
      </c>
      <c r="E576" t="str">
        <f>IFERROR(__xludf.DUMMYFUNCTION("""COMPUTED_VALUE"""),"Introducción al desarrollo de apps para Android desde cero")</f>
        <v>Introducción al desarrollo de apps para Android desde cero</v>
      </c>
      <c r="F576" t="str">
        <f>IFERROR(__xludf.DUMMYFUNCTION("""COMPUTED_VALUE"""),"Introduction to the development of apps for Android from scratch")</f>
        <v>Introduction to the development of apps for Android from scratch</v>
      </c>
      <c r="G576">
        <f>IFERROR(__xludf.DUMMYFUNCTION("""COMPUTED_VALUE"""),3311510.0)</f>
        <v>3311510</v>
      </c>
      <c r="H576" t="str">
        <f>IFERROR(__xludf.DUMMYFUNCTION("""COMPUTED_VALUE"""),"Juan Gabriel Gomila Salas")</f>
        <v>Juan Gabriel Gomila Salas</v>
      </c>
      <c r="I576" t="str">
        <f>IFERROR(__xludf.DUMMYFUNCTION("""COMPUTED_VALUE"""),"T&amp;S")</f>
        <v>T&amp;S</v>
      </c>
      <c r="J576" t="b">
        <f>IFERROR(__xludf.DUMMYFUNCTION("""COMPUTED_VALUE"""),FALSE)</f>
        <v>0</v>
      </c>
      <c r="K576" s="145" t="str">
        <f>IFERROR(__xludf.DUMMYFUNCTION("""COMPUTED_VALUE"""),"Development")</f>
        <v>Development</v>
      </c>
      <c r="L576" s="145" t="str">
        <f>IFERROR(__xludf.DUMMYFUNCTION("""COMPUTED_VALUE"""),"Mobile Development")</f>
        <v>Mobile Development</v>
      </c>
      <c r="M576" s="140">
        <f>IFERROR(__xludf.DUMMYFUNCTION("""COMPUTED_VALUE"""),858236.0)</f>
        <v>858236</v>
      </c>
      <c r="N576" s="140" t="str">
        <f>IFERROR(__xludf.DUMMYFUNCTION("""COMPUTED_VALUE"""),"Android Completo: Aprende Creando Apps")</f>
        <v>Android Completo: Aprende Creando Apps</v>
      </c>
      <c r="P576" s="140" t="str">
        <f>IFERROR(__xludf.DUMMYFUNCTION("""COMPUTED_VALUE"""),"")</f>
        <v/>
      </c>
    </row>
    <row r="577">
      <c r="A577" s="143">
        <f>IFERROR(__xludf.DUMMYFUNCTION("""COMPUTED_VALUE"""),44628.0)</f>
        <v>44628</v>
      </c>
      <c r="B577" s="143">
        <f>IFERROR(__xludf.DUMMYFUNCTION("""COMPUTED_VALUE"""),44662.0)</f>
        <v>44662</v>
      </c>
      <c r="C577" t="str">
        <f>IFERROR(__xludf.DUMMYFUNCTION("""COMPUTED_VALUE"""),"ES")</f>
        <v>ES</v>
      </c>
      <c r="D577">
        <f>IFERROR(__xludf.DUMMYFUNCTION("""COMPUTED_VALUE"""),2797654.0)</f>
        <v>2797654</v>
      </c>
      <c r="E577" t="str">
        <f>IFERROR(__xludf.DUMMYFUNCTION("""COMPUTED_VALUE"""),"Curso completo de iOS 13 con Swift UI 5.2: de cero a experto")</f>
        <v>Curso completo de iOS 13 con Swift UI 5.2: de cero a experto</v>
      </c>
      <c r="F577" t="str">
        <f>IFERROR(__xludf.DUMMYFUNCTION("""COMPUTED_VALUE"""),"IOS 13 full course with SWIFT UI 5.2: from zero to expert")</f>
        <v>IOS 13 full course with SWIFT UI 5.2: from zero to expert</v>
      </c>
      <c r="G577">
        <f>IFERROR(__xludf.DUMMYFUNCTION("""COMPUTED_VALUE"""),3311510.0)</f>
        <v>3311510</v>
      </c>
      <c r="H577" t="str">
        <f>IFERROR(__xludf.DUMMYFUNCTION("""COMPUTED_VALUE"""),"Juan Gabriel Gomila Salas")</f>
        <v>Juan Gabriel Gomila Salas</v>
      </c>
      <c r="I577" t="str">
        <f>IFERROR(__xludf.DUMMYFUNCTION("""COMPUTED_VALUE"""),"T&amp;S")</f>
        <v>T&amp;S</v>
      </c>
      <c r="J577" t="b">
        <f>IFERROR(__xludf.DUMMYFUNCTION("""COMPUTED_VALUE"""),FALSE)</f>
        <v>0</v>
      </c>
      <c r="K577" s="142" t="str">
        <f>IFERROR(__xludf.DUMMYFUNCTION("""COMPUTED_VALUE"""),"Development")</f>
        <v>Development</v>
      </c>
      <c r="L577" s="142" t="str">
        <f>IFERROR(__xludf.DUMMYFUNCTION("""COMPUTED_VALUE"""),"Mobile Development")</f>
        <v>Mobile Development</v>
      </c>
      <c r="M577" s="140">
        <f>IFERROR(__xludf.DUMMYFUNCTION("""COMPUTED_VALUE"""),2618828.0)</f>
        <v>2618828</v>
      </c>
      <c r="N577" s="140" t="str">
        <f>IFERROR(__xludf.DUMMYFUNCTION("""COMPUTED_VALUE"""),"Desarrollo de apps para iOS 13 con SwiftUI y Swift 5.2")</f>
        <v>Desarrollo de apps para iOS 13 con SwiftUI y Swift 5.2</v>
      </c>
      <c r="P577" s="140" t="str">
        <f>IFERROR(__xludf.DUMMYFUNCTION("""COMPUTED_VALUE"""),"")</f>
        <v/>
      </c>
    </row>
    <row r="578">
      <c r="A578" s="143">
        <f>IFERROR(__xludf.DUMMYFUNCTION("""COMPUTED_VALUE"""),44628.0)</f>
        <v>44628</v>
      </c>
      <c r="B578" s="143">
        <f>IFERROR(__xludf.DUMMYFUNCTION("""COMPUTED_VALUE"""),44662.0)</f>
        <v>44662</v>
      </c>
      <c r="C578" t="str">
        <f>IFERROR(__xludf.DUMMYFUNCTION("""COMPUTED_VALUE"""),"ES")</f>
        <v>ES</v>
      </c>
      <c r="D578">
        <f>IFERROR(__xludf.DUMMYFUNCTION("""COMPUTED_VALUE"""),2438730.0)</f>
        <v>2438730</v>
      </c>
      <c r="E578" t="str">
        <f>IFERROR(__xludf.DUMMYFUNCTION("""COMPUTED_VALUE"""),"Aprende a crear un videojuego RPG en Unity 2019 desde cero")</f>
        <v>Aprende a crear un videojuego RPG en Unity 2019 desde cero</v>
      </c>
      <c r="F578" t="str">
        <f>IFERROR(__xludf.DUMMYFUNCTION("""COMPUTED_VALUE"""),"Learn how to create a RPG video game at Unity 2019 from scratch")</f>
        <v>Learn how to create a RPG video game at Unity 2019 from scratch</v>
      </c>
      <c r="G578">
        <f>IFERROR(__xludf.DUMMYFUNCTION("""COMPUTED_VALUE"""),3311510.0)</f>
        <v>3311510</v>
      </c>
      <c r="H578" t="str">
        <f>IFERROR(__xludf.DUMMYFUNCTION("""COMPUTED_VALUE"""),"Juan Gabriel Gomila Salas")</f>
        <v>Juan Gabriel Gomila Salas</v>
      </c>
      <c r="I578" t="str">
        <f>IFERROR(__xludf.DUMMYFUNCTION("""COMPUTED_VALUE"""),"T&amp;S")</f>
        <v>T&amp;S</v>
      </c>
      <c r="J578" t="b">
        <f>IFERROR(__xludf.DUMMYFUNCTION("""COMPUTED_VALUE"""),FALSE)</f>
        <v>0</v>
      </c>
      <c r="K578" s="142" t="str">
        <f>IFERROR(__xludf.DUMMYFUNCTION("""COMPUTED_VALUE"""),"Development")</f>
        <v>Development</v>
      </c>
      <c r="L578" s="142" t="str">
        <f>IFERROR(__xludf.DUMMYFUNCTION("""COMPUTED_VALUE"""),"Game Development")</f>
        <v>Game Development</v>
      </c>
      <c r="P578" s="140" t="str">
        <f>IFERROR(__xludf.DUMMYFUNCTION("""COMPUTED_VALUE"""),"")</f>
        <v/>
      </c>
    </row>
    <row r="579">
      <c r="A579" s="143">
        <f>IFERROR(__xludf.DUMMYFUNCTION("""COMPUTED_VALUE"""),44628.0)</f>
        <v>44628</v>
      </c>
      <c r="B579" s="143">
        <f>IFERROR(__xludf.DUMMYFUNCTION("""COMPUTED_VALUE"""),44662.0)</f>
        <v>44662</v>
      </c>
      <c r="C579" t="str">
        <f>IFERROR(__xludf.DUMMYFUNCTION("""COMPUTED_VALUE"""),"ES")</f>
        <v>ES</v>
      </c>
      <c r="D579">
        <f>IFERROR(__xludf.DUMMYFUNCTION("""COMPUTED_VALUE"""),3118186.0)</f>
        <v>3118186</v>
      </c>
      <c r="E579" t="str">
        <f>IFERROR(__xludf.DUMMYFUNCTION("""COMPUTED_VALUE"""),"Aprende matemáticas desde cero - Aritmética")</f>
        <v>Aprende matemáticas desde cero - Aritmética</v>
      </c>
      <c r="F579" t="str">
        <f>IFERROR(__xludf.DUMMYFUNCTION("""COMPUTED_VALUE"""),"Learn mathematics from scratch - arithmetic")</f>
        <v>Learn mathematics from scratch - arithmetic</v>
      </c>
      <c r="G579">
        <f>IFERROR(__xludf.DUMMYFUNCTION("""COMPUTED_VALUE"""),3311510.0)</f>
        <v>3311510</v>
      </c>
      <c r="H579" t="str">
        <f>IFERROR(__xludf.DUMMYFUNCTION("""COMPUTED_VALUE"""),"Juan Gabriel Gomila Salas")</f>
        <v>Juan Gabriel Gomila Salas</v>
      </c>
      <c r="I579" t="str">
        <f>IFERROR(__xludf.DUMMYFUNCTION("""COMPUTED_VALUE"""),"T&amp;S")</f>
        <v>T&amp;S</v>
      </c>
      <c r="J579" t="b">
        <f>IFERROR(__xludf.DUMMYFUNCTION("""COMPUTED_VALUE"""),FALSE)</f>
        <v>0</v>
      </c>
      <c r="K579" s="142" t="str">
        <f>IFERROR(__xludf.DUMMYFUNCTION("""COMPUTED_VALUE"""),"Personal Development")</f>
        <v>Personal Development</v>
      </c>
      <c r="L579" s="142" t="str">
        <f>IFERROR(__xludf.DUMMYFUNCTION("""COMPUTED_VALUE"""),"Personal Growth")</f>
        <v>Personal Growth</v>
      </c>
      <c r="P579" s="140" t="str">
        <f>IFERROR(__xludf.DUMMYFUNCTION("""COMPUTED_VALUE"""),"")</f>
        <v/>
      </c>
    </row>
    <row r="580">
      <c r="A580" s="143">
        <f>IFERROR(__xludf.DUMMYFUNCTION("""COMPUTED_VALUE"""),44628.0)</f>
        <v>44628</v>
      </c>
      <c r="B580" s="143">
        <f>IFERROR(__xludf.DUMMYFUNCTION("""COMPUTED_VALUE"""),44662.0)</f>
        <v>44662</v>
      </c>
      <c r="C580" t="str">
        <f>IFERROR(__xludf.DUMMYFUNCTION("""COMPUTED_VALUE"""),"ES")</f>
        <v>ES</v>
      </c>
      <c r="D580">
        <f>IFERROR(__xludf.DUMMYFUNCTION("""COMPUTED_VALUE"""),560436.0)</f>
        <v>560436</v>
      </c>
      <c r="E580" t="str">
        <f>IFERROR(__xludf.DUMMYFUNCTION("""COMPUTED_VALUE"""),"Aprende Objective-C: de Cero a Experto")</f>
        <v>Aprende Objective-C: de Cero a Experto</v>
      </c>
      <c r="F580" t="str">
        <f>IFERROR(__xludf.DUMMYFUNCTION("""COMPUTED_VALUE"""),"Learn Objective-C: From zero to expert")</f>
        <v>Learn Objective-C: From zero to expert</v>
      </c>
      <c r="G580">
        <f>IFERROR(__xludf.DUMMYFUNCTION("""COMPUTED_VALUE"""),3311510.0)</f>
        <v>3311510</v>
      </c>
      <c r="H580" t="str">
        <f>IFERROR(__xludf.DUMMYFUNCTION("""COMPUTED_VALUE"""),"Juan Gabriel Gomila Salas")</f>
        <v>Juan Gabriel Gomila Salas</v>
      </c>
      <c r="I580" t="str">
        <f>IFERROR(__xludf.DUMMYFUNCTION("""COMPUTED_VALUE"""),"T&amp;S")</f>
        <v>T&amp;S</v>
      </c>
      <c r="J580" t="b">
        <f>IFERROR(__xludf.DUMMYFUNCTION("""COMPUTED_VALUE"""),FALSE)</f>
        <v>0</v>
      </c>
      <c r="K580" s="142" t="str">
        <f>IFERROR(__xludf.DUMMYFUNCTION("""COMPUTED_VALUE"""),"Development")</f>
        <v>Development</v>
      </c>
      <c r="L580" s="142" t="str">
        <f>IFERROR(__xludf.DUMMYFUNCTION("""COMPUTED_VALUE"""),"Programming Languages")</f>
        <v>Programming Languages</v>
      </c>
      <c r="P580" s="140" t="str">
        <f>IFERROR(__xludf.DUMMYFUNCTION("""COMPUTED_VALUE"""),"")</f>
        <v/>
      </c>
    </row>
    <row r="581">
      <c r="A581" s="143">
        <f>IFERROR(__xludf.DUMMYFUNCTION("""COMPUTED_VALUE"""),44628.0)</f>
        <v>44628</v>
      </c>
      <c r="B581" s="143">
        <f>IFERROR(__xludf.DUMMYFUNCTION("""COMPUTED_VALUE"""),44662.0)</f>
        <v>44662</v>
      </c>
      <c r="C581" t="str">
        <f>IFERROR(__xludf.DUMMYFUNCTION("""COMPUTED_VALUE"""),"ES")</f>
        <v>ES</v>
      </c>
      <c r="D581">
        <f>IFERROR(__xludf.DUMMYFUNCTION("""COMPUTED_VALUE"""),2851058.0)</f>
        <v>2851058</v>
      </c>
      <c r="E581" t="str">
        <f>IFERROR(__xludf.DUMMYFUNCTION("""COMPUTED_VALUE"""),"Aprende programación orientada a objetos en C# con proyectos")</f>
        <v>Aprende programación orientada a objetos en C# con proyectos</v>
      </c>
      <c r="F581" t="str">
        <f>IFERROR(__xludf.DUMMYFUNCTION("""COMPUTED_VALUE"""),"Learn objects-oriented programming in C # with projects")</f>
        <v>Learn objects-oriented programming in C # with projects</v>
      </c>
      <c r="G581">
        <f>IFERROR(__xludf.DUMMYFUNCTION("""COMPUTED_VALUE"""),3311510.0)</f>
        <v>3311510</v>
      </c>
      <c r="H581" t="str">
        <f>IFERROR(__xludf.DUMMYFUNCTION("""COMPUTED_VALUE"""),"Juan Gabriel Gomila Salas")</f>
        <v>Juan Gabriel Gomila Salas</v>
      </c>
      <c r="I581" t="str">
        <f>IFERROR(__xludf.DUMMYFUNCTION("""COMPUTED_VALUE"""),"T&amp;S")</f>
        <v>T&amp;S</v>
      </c>
      <c r="J581" t="b">
        <f>IFERROR(__xludf.DUMMYFUNCTION("""COMPUTED_VALUE"""),FALSE)</f>
        <v>0</v>
      </c>
      <c r="K581" s="142" t="str">
        <f>IFERROR(__xludf.DUMMYFUNCTION("""COMPUTED_VALUE"""),"Development")</f>
        <v>Development</v>
      </c>
      <c r="L581" s="142" t="str">
        <f>IFERROR(__xludf.DUMMYFUNCTION("""COMPUTED_VALUE"""),"Programming Languages")</f>
        <v>Programming Languages</v>
      </c>
      <c r="M581" s="140">
        <f>IFERROR(__xludf.DUMMYFUNCTION("""COMPUTED_VALUE"""),2566624.0)</f>
        <v>2566624</v>
      </c>
      <c r="N581" s="140" t="str">
        <f>IFERROR(__xludf.DUMMYFUNCTION("""COMPUTED_VALUE"""),"Programación Orientada a Objetos con C#: Un Caso Práctico")</f>
        <v>Programación Orientada a Objetos con C#: Un Caso Práctico</v>
      </c>
      <c r="P581" s="140" t="str">
        <f>IFERROR(__xludf.DUMMYFUNCTION("""COMPUTED_VALUE"""),"")</f>
        <v/>
      </c>
    </row>
    <row r="582">
      <c r="A582" s="143">
        <f>IFERROR(__xludf.DUMMYFUNCTION("""COMPUTED_VALUE"""),44628.0)</f>
        <v>44628</v>
      </c>
      <c r="B582" s="143">
        <f>IFERROR(__xludf.DUMMYFUNCTION("""COMPUTED_VALUE"""),44662.0)</f>
        <v>44662</v>
      </c>
      <c r="C582" t="str">
        <f>IFERROR(__xludf.DUMMYFUNCTION("""COMPUTED_VALUE"""),"ES")</f>
        <v>ES</v>
      </c>
      <c r="D582">
        <f>IFERROR(__xludf.DUMMYFUNCTION("""COMPUTED_VALUE"""),2947558.0)</f>
        <v>2947558</v>
      </c>
      <c r="E582" t="str">
        <f>IFERROR(__xludf.DUMMYFUNCTION("""COMPUTED_VALUE"""),"Aprende a analizar los datos del COVID19 con R y Python")</f>
        <v>Aprende a analizar los datos del COVID19 con R y Python</v>
      </c>
      <c r="F582" t="str">
        <f>IFERROR(__xludf.DUMMYFUNCTION("""COMPUTED_VALUE"""),"Learn to analyze the data of the Covid19 with R and Python")</f>
        <v>Learn to analyze the data of the Covid19 with R and Python</v>
      </c>
      <c r="G582">
        <f>IFERROR(__xludf.DUMMYFUNCTION("""COMPUTED_VALUE"""),3311510.0)</f>
        <v>3311510</v>
      </c>
      <c r="H582" t="str">
        <f>IFERROR(__xludf.DUMMYFUNCTION("""COMPUTED_VALUE"""),"Juan Gabriel Gomila Salas")</f>
        <v>Juan Gabriel Gomila Salas</v>
      </c>
      <c r="I582" t="str">
        <f>IFERROR(__xludf.DUMMYFUNCTION("""COMPUTED_VALUE"""),"T&amp;S")</f>
        <v>T&amp;S</v>
      </c>
      <c r="J582" t="b">
        <f>IFERROR(__xludf.DUMMYFUNCTION("""COMPUTED_VALUE"""),FALSE)</f>
        <v>0</v>
      </c>
      <c r="K582" s="145" t="str">
        <f>IFERROR(__xludf.DUMMYFUNCTION("""COMPUTED_VALUE"""),"Data Science")</f>
        <v>Data Science</v>
      </c>
      <c r="L582" s="145" t="str">
        <f>IFERROR(__xludf.DUMMYFUNCTION("""COMPUTED_VALUE"""),"Analytics")</f>
        <v>Analytics</v>
      </c>
      <c r="P582" s="140" t="str">
        <f>IFERROR(__xludf.DUMMYFUNCTION("""COMPUTED_VALUE"""),"")</f>
        <v/>
      </c>
    </row>
    <row r="583">
      <c r="A583" s="143">
        <f>IFERROR(__xludf.DUMMYFUNCTION("""COMPUTED_VALUE"""),44628.0)</f>
        <v>44628</v>
      </c>
      <c r="B583" s="143">
        <f>IFERROR(__xludf.DUMMYFUNCTION("""COMPUTED_VALUE"""),44662.0)</f>
        <v>44662</v>
      </c>
      <c r="C583" t="str">
        <f>IFERROR(__xludf.DUMMYFUNCTION("""COMPUTED_VALUE"""),"ES")</f>
        <v>ES</v>
      </c>
      <c r="D583">
        <f>IFERROR(__xludf.DUMMYFUNCTION("""COMPUTED_VALUE"""),958164.0)</f>
        <v>958164</v>
      </c>
      <c r="E583" t="str">
        <f>IFERROR(__xludf.DUMMYFUNCTION("""COMPUTED_VALUE"""),"Aprende a crea tus propias apps para Android N desde cero")</f>
        <v>Aprende a crea tus propias apps para Android N desde cero</v>
      </c>
      <c r="F583" t="str">
        <f>IFERROR(__xludf.DUMMYFUNCTION("""COMPUTED_VALUE"""),"Learn to create your own apps for Android N from scratch")</f>
        <v>Learn to create your own apps for Android N from scratch</v>
      </c>
      <c r="G583">
        <f>IFERROR(__xludf.DUMMYFUNCTION("""COMPUTED_VALUE"""),3311510.0)</f>
        <v>3311510</v>
      </c>
      <c r="H583" t="str">
        <f>IFERROR(__xludf.DUMMYFUNCTION("""COMPUTED_VALUE"""),"Juan Gabriel Gomila Salas")</f>
        <v>Juan Gabriel Gomila Salas</v>
      </c>
      <c r="I583" t="str">
        <f>IFERROR(__xludf.DUMMYFUNCTION("""COMPUTED_VALUE"""),"T&amp;S")</f>
        <v>T&amp;S</v>
      </c>
      <c r="J583" t="b">
        <f>IFERROR(__xludf.DUMMYFUNCTION("""COMPUTED_VALUE"""),FALSE)</f>
        <v>0</v>
      </c>
      <c r="K583" s="142" t="str">
        <f>IFERROR(__xludf.DUMMYFUNCTION("""COMPUTED_VALUE"""),"Development")</f>
        <v>Development</v>
      </c>
      <c r="L583" s="142" t="str">
        <f>IFERROR(__xludf.DUMMYFUNCTION("""COMPUTED_VALUE"""),"Mobile Development")</f>
        <v>Mobile Development</v>
      </c>
      <c r="M583" s="140">
        <f>IFERROR(__xludf.DUMMYFUNCTION("""COMPUTED_VALUE"""),792652.0)</f>
        <v>792652</v>
      </c>
      <c r="N583" s="140" t="str">
        <f>IFERROR(__xludf.DUMMYFUNCTION("""COMPUTED_VALUE"""),"Desarrolla Aplicaciones Android con App Inventor desde Cero")</f>
        <v>Desarrolla Aplicaciones Android con App Inventor desde Cero</v>
      </c>
      <c r="P583" s="140" t="str">
        <f>IFERROR(__xludf.DUMMYFUNCTION("""COMPUTED_VALUE"""),"")</f>
        <v/>
      </c>
    </row>
    <row r="584">
      <c r="A584" s="143">
        <f>IFERROR(__xludf.DUMMYFUNCTION("""COMPUTED_VALUE"""),44628.0)</f>
        <v>44628</v>
      </c>
      <c r="B584" s="143">
        <f>IFERROR(__xludf.DUMMYFUNCTION("""COMPUTED_VALUE"""),44662.0)</f>
        <v>44662</v>
      </c>
      <c r="C584" t="str">
        <f>IFERROR(__xludf.DUMMYFUNCTION("""COMPUTED_VALUE"""),"ES")</f>
        <v>ES</v>
      </c>
      <c r="D584">
        <f>IFERROR(__xludf.DUMMYFUNCTION("""COMPUTED_VALUE"""),2889360.0)</f>
        <v>2889360</v>
      </c>
      <c r="E584" t="str">
        <f>IFERROR(__xludf.DUMMYFUNCTION("""COMPUTED_VALUE"""),"Aprende a programar en C# en 6 horas: C# para principiantes")</f>
        <v>Aprende a programar en C# en 6 horas: C# para principiantes</v>
      </c>
      <c r="F584" t="str">
        <f>IFERROR(__xludf.DUMMYFUNCTION("""COMPUTED_VALUE"""),"Learn to program in C # in 6 hours: C # for beginners")</f>
        <v>Learn to program in C # in 6 hours: C # for beginners</v>
      </c>
      <c r="G584">
        <f>IFERROR(__xludf.DUMMYFUNCTION("""COMPUTED_VALUE"""),3311510.0)</f>
        <v>3311510</v>
      </c>
      <c r="H584" t="str">
        <f>IFERROR(__xludf.DUMMYFUNCTION("""COMPUTED_VALUE"""),"Juan Gabriel Gomila Salas")</f>
        <v>Juan Gabriel Gomila Salas</v>
      </c>
      <c r="I584" t="str">
        <f>IFERROR(__xludf.DUMMYFUNCTION("""COMPUTED_VALUE"""),"T&amp;S")</f>
        <v>T&amp;S</v>
      </c>
      <c r="J584" t="b">
        <f>IFERROR(__xludf.DUMMYFUNCTION("""COMPUTED_VALUE"""),FALSE)</f>
        <v>0</v>
      </c>
      <c r="K584" s="142" t="str">
        <f>IFERROR(__xludf.DUMMYFUNCTION("""COMPUTED_VALUE"""),"Development")</f>
        <v>Development</v>
      </c>
      <c r="L584" s="142" t="str">
        <f>IFERROR(__xludf.DUMMYFUNCTION("""COMPUTED_VALUE"""),"Programming Languages")</f>
        <v>Programming Languages</v>
      </c>
      <c r="M584" s="140">
        <f>IFERROR(__xludf.DUMMYFUNCTION("""COMPUTED_VALUE"""),2801382.0)</f>
        <v>2801382</v>
      </c>
      <c r="N584" s="140" t="str">
        <f>IFERROR(__xludf.DUMMYFUNCTION("""COMPUTED_VALUE"""),"Programación en C#")</f>
        <v>Programación en C#</v>
      </c>
      <c r="P584" s="140" t="str">
        <f>IFERROR(__xludf.DUMMYFUNCTION("""COMPUTED_VALUE"""),"")</f>
        <v/>
      </c>
    </row>
    <row r="585">
      <c r="A585" s="143">
        <f>IFERROR(__xludf.DUMMYFUNCTION("""COMPUTED_VALUE"""),44628.0)</f>
        <v>44628</v>
      </c>
      <c r="B585" s="143">
        <f>IFERROR(__xludf.DUMMYFUNCTION("""COMPUTED_VALUE"""),44662.0)</f>
        <v>44662</v>
      </c>
      <c r="C585" t="str">
        <f>IFERROR(__xludf.DUMMYFUNCTION("""COMPUTED_VALUE"""),"ES")</f>
        <v>ES</v>
      </c>
      <c r="D585">
        <f>IFERROR(__xludf.DUMMYFUNCTION("""COMPUTED_VALUE"""),2241862.0)</f>
        <v>2241862</v>
      </c>
      <c r="E585" t="str">
        <f>IFERROR(__xludf.DUMMYFUNCTION("""COMPUTED_VALUE"""),"Machine Learning de A a la Z: R y Python para Data Science")</f>
        <v>Machine Learning de A a la Z: R y Python para Data Science</v>
      </c>
      <c r="F585" t="str">
        <f>IFERROR(__xludf.DUMMYFUNCTION("""COMPUTED_VALUE"""),"Machine Learning de A a la Z: R y Python para Data Science")</f>
        <v>Machine Learning de A a la Z: R y Python para Data Science</v>
      </c>
      <c r="G585">
        <f>IFERROR(__xludf.DUMMYFUNCTION("""COMPUTED_VALUE"""),3311510.0)</f>
        <v>3311510</v>
      </c>
      <c r="H585" t="str">
        <f>IFERROR(__xludf.DUMMYFUNCTION("""COMPUTED_VALUE"""),"Juan Gabriel Gomila Salas")</f>
        <v>Juan Gabriel Gomila Salas</v>
      </c>
      <c r="I585" t="str">
        <f>IFERROR(__xludf.DUMMYFUNCTION("""COMPUTED_VALUE"""),"T&amp;S")</f>
        <v>T&amp;S</v>
      </c>
      <c r="J585" t="b">
        <f>IFERROR(__xludf.DUMMYFUNCTION("""COMPUTED_VALUE"""),FALSE)</f>
        <v>0</v>
      </c>
      <c r="K585" s="142" t="str">
        <f>IFERROR(__xludf.DUMMYFUNCTION("""COMPUTED_VALUE"""),"Data Science")</f>
        <v>Data Science</v>
      </c>
      <c r="L585" s="142" t="str">
        <f>IFERROR(__xludf.DUMMYFUNCTION("""COMPUTED_VALUE"""),"Machine Learning")</f>
        <v>Machine Learning</v>
      </c>
      <c r="M585" s="140">
        <f>IFERROR(__xludf.DUMMYFUNCTION("""COMPUTED_VALUE"""),3535010.0)</f>
        <v>3535010</v>
      </c>
      <c r="N585" s="140" t="str">
        <f>IFERROR(__xludf.DUMMYFUNCTION("""COMPUTED_VALUE"""),"Deep Learning con Python y Keras. Redes Neuronales avanzado.")</f>
        <v>Deep Learning con Python y Keras. Redes Neuronales avanzado.</v>
      </c>
      <c r="P585" s="140" t="str">
        <f>IFERROR(__xludf.DUMMYFUNCTION("""COMPUTED_VALUE"""),"")</f>
        <v/>
      </c>
    </row>
    <row r="586">
      <c r="A586" s="143">
        <f>IFERROR(__xludf.DUMMYFUNCTION("""COMPUTED_VALUE"""),44628.0)</f>
        <v>44628</v>
      </c>
      <c r="B586" s="143">
        <f>IFERROR(__xludf.DUMMYFUNCTION("""COMPUTED_VALUE"""),44662.0)</f>
        <v>44662</v>
      </c>
      <c r="C586" t="str">
        <f>IFERROR(__xludf.DUMMYFUNCTION("""COMPUTED_VALUE"""),"ES")</f>
        <v>ES</v>
      </c>
      <c r="D586">
        <f>IFERROR(__xludf.DUMMYFUNCTION("""COMPUTED_VALUE"""),1483710.0)</f>
        <v>1483710</v>
      </c>
      <c r="E586" t="str">
        <f>IFERROR(__xludf.DUMMYFUNCTION("""COMPUTED_VALUE"""),"Curso completo de Machine Learning: Data Science con RStudio")</f>
        <v>Curso completo de Machine Learning: Data Science con RStudio</v>
      </c>
      <c r="F586" t="str">
        <f>IFERROR(__xludf.DUMMYFUNCTION("""COMPUTED_VALUE"""),"Machine Learning Full Course: Data Science with RSTUDIO")</f>
        <v>Machine Learning Full Course: Data Science with RSTUDIO</v>
      </c>
      <c r="G586">
        <f>IFERROR(__xludf.DUMMYFUNCTION("""COMPUTED_VALUE"""),3311510.0)</f>
        <v>3311510</v>
      </c>
      <c r="H586" t="str">
        <f>IFERROR(__xludf.DUMMYFUNCTION("""COMPUTED_VALUE"""),"Juan Gabriel Gomila Salas")</f>
        <v>Juan Gabriel Gomila Salas</v>
      </c>
      <c r="I586" t="str">
        <f>IFERROR(__xludf.DUMMYFUNCTION("""COMPUTED_VALUE"""),"T&amp;S")</f>
        <v>T&amp;S</v>
      </c>
      <c r="J586" t="b">
        <f>IFERROR(__xludf.DUMMYFUNCTION("""COMPUTED_VALUE"""),FALSE)</f>
        <v>0</v>
      </c>
      <c r="K586" s="142" t="str">
        <f>IFERROR(__xludf.DUMMYFUNCTION("""COMPUTED_VALUE"""),"Data Science")</f>
        <v>Data Science</v>
      </c>
      <c r="L586" s="142" t="str">
        <f>IFERROR(__xludf.DUMMYFUNCTION("""COMPUTED_VALUE"""),"Machine Learning")</f>
        <v>Machine Learning</v>
      </c>
      <c r="P586" s="140" t="str">
        <f>IFERROR(__xludf.DUMMYFUNCTION("""COMPUTED_VALUE"""),"")</f>
        <v/>
      </c>
    </row>
    <row r="587">
      <c r="A587" s="143">
        <f>IFERROR(__xludf.DUMMYFUNCTION("""COMPUTED_VALUE"""),44628.0)</f>
        <v>44628</v>
      </c>
      <c r="B587" s="143">
        <f>IFERROR(__xludf.DUMMYFUNCTION("""COMPUTED_VALUE"""),44662.0)</f>
        <v>44662</v>
      </c>
      <c r="C587" t="str">
        <f>IFERROR(__xludf.DUMMYFUNCTION("""COMPUTED_VALUE"""),"ES")</f>
        <v>ES</v>
      </c>
      <c r="D587">
        <f>IFERROR(__xludf.DUMMYFUNCTION("""COMPUTED_VALUE"""),3739518.0)</f>
        <v>3739518</v>
      </c>
      <c r="E587" t="str">
        <f>IFERROR(__xludf.DUMMYFUNCTION("""COMPUTED_VALUE"""),"Métodos Numéricos con Python - Cálculo Numérico")</f>
        <v>Métodos Numéricos con Python - Cálculo Numérico</v>
      </c>
      <c r="F587" t="str">
        <f>IFERROR(__xludf.DUMMYFUNCTION("""COMPUTED_VALUE"""),"Numerical Methods with Python - Numerical Calculation")</f>
        <v>Numerical Methods with Python - Numerical Calculation</v>
      </c>
      <c r="G587">
        <f>IFERROR(__xludf.DUMMYFUNCTION("""COMPUTED_VALUE"""),3311510.0)</f>
        <v>3311510</v>
      </c>
      <c r="H587" t="str">
        <f>IFERROR(__xludf.DUMMYFUNCTION("""COMPUTED_VALUE"""),"Juan Gabriel Gomila Salas")</f>
        <v>Juan Gabriel Gomila Salas</v>
      </c>
      <c r="I587" t="str">
        <f>IFERROR(__xludf.DUMMYFUNCTION("""COMPUTED_VALUE"""),"T&amp;S")</f>
        <v>T&amp;S</v>
      </c>
      <c r="J587" t="b">
        <f>IFERROR(__xludf.DUMMYFUNCTION("""COMPUTED_VALUE"""),FALSE)</f>
        <v>0</v>
      </c>
      <c r="K587" s="145" t="str">
        <f>IFERROR(__xludf.DUMMYFUNCTION("""COMPUTED_VALUE"""),"Data Science")</f>
        <v>Data Science</v>
      </c>
      <c r="L587" s="145" t="str">
        <f>IFERROR(__xludf.DUMMYFUNCTION("""COMPUTED_VALUE"""),"Big Data")</f>
        <v>Big Data</v>
      </c>
      <c r="P587" s="140" t="str">
        <f>IFERROR(__xludf.DUMMYFUNCTION("""COMPUTED_VALUE"""),"")</f>
        <v/>
      </c>
    </row>
    <row r="588">
      <c r="A588" s="143">
        <f>IFERROR(__xludf.DUMMYFUNCTION("""COMPUTED_VALUE"""),44628.0)</f>
        <v>44628</v>
      </c>
      <c r="B588" s="143">
        <f>IFERROR(__xludf.DUMMYFUNCTION("""COMPUTED_VALUE"""),44662.0)</f>
        <v>44662</v>
      </c>
      <c r="C588" t="str">
        <f>IFERROR(__xludf.DUMMYFUNCTION("""COMPUTED_VALUE"""),"ES")</f>
        <v>ES</v>
      </c>
      <c r="D588">
        <f>IFERROR(__xludf.DUMMYFUNCTION("""COMPUTED_VALUE"""),3614402.0)</f>
        <v>3614402</v>
      </c>
      <c r="E588" t="str">
        <f>IFERROR(__xludf.DUMMYFUNCTION("""COMPUTED_VALUE"""),"Probabilidad y Estadística aplicada a Data Science y Empresa")</f>
        <v>Probabilidad y Estadística aplicada a Data Science y Empresa</v>
      </c>
      <c r="F588" t="str">
        <f>IFERROR(__xludf.DUMMYFUNCTION("""COMPUTED_VALUE"""),"Probability and statistics applied to Data Science and company")</f>
        <v>Probability and statistics applied to Data Science and company</v>
      </c>
      <c r="G588">
        <f>IFERROR(__xludf.DUMMYFUNCTION("""COMPUTED_VALUE"""),3311510.0)</f>
        <v>3311510</v>
      </c>
      <c r="H588" t="str">
        <f>IFERROR(__xludf.DUMMYFUNCTION("""COMPUTED_VALUE"""),"Juan Gabriel Gomila Salas")</f>
        <v>Juan Gabriel Gomila Salas</v>
      </c>
      <c r="I588" t="str">
        <f>IFERROR(__xludf.DUMMYFUNCTION("""COMPUTED_VALUE"""),"T&amp;S")</f>
        <v>T&amp;S</v>
      </c>
      <c r="J588" t="b">
        <f>IFERROR(__xludf.DUMMYFUNCTION("""COMPUTED_VALUE"""),FALSE)</f>
        <v>0</v>
      </c>
      <c r="K588" s="142" t="str">
        <f>IFERROR(__xludf.DUMMYFUNCTION("""COMPUTED_VALUE"""),"Data Science")</f>
        <v>Data Science</v>
      </c>
      <c r="L588" s="142" t="str">
        <f>IFERROR(__xludf.DUMMYFUNCTION("""COMPUTED_VALUE"""),"Statistical Analysis")</f>
        <v>Statistical Analysis</v>
      </c>
      <c r="P588" s="140" t="str">
        <f>IFERROR(__xludf.DUMMYFUNCTION("""COMPUTED_VALUE"""),"")</f>
        <v/>
      </c>
    </row>
    <row r="589">
      <c r="A589" s="143">
        <f>IFERROR(__xludf.DUMMYFUNCTION("""COMPUTED_VALUE"""),44628.0)</f>
        <v>44628</v>
      </c>
      <c r="B589" s="143">
        <f>IFERROR(__xludf.DUMMYFUNCTION("""COMPUTED_VALUE"""),44662.0)</f>
        <v>44662</v>
      </c>
      <c r="C589" t="str">
        <f>IFERROR(__xludf.DUMMYFUNCTION("""COMPUTED_VALUE"""),"ES")</f>
        <v>ES</v>
      </c>
      <c r="D589">
        <f>IFERROR(__xludf.DUMMYFUNCTION("""COMPUTED_VALUE"""),2521460.0)</f>
        <v>2521460</v>
      </c>
      <c r="E589" t="str">
        <f>IFERROR(__xludf.DUMMYFUNCTION("""COMPUTED_VALUE"""),"Probabilidad para Machine Learning y Big Data con R y Python")</f>
        <v>Probabilidad para Machine Learning y Big Data con R y Python</v>
      </c>
      <c r="F589" t="str">
        <f>IFERROR(__xludf.DUMMYFUNCTION("""COMPUTED_VALUE"""),"Probability for Machine Learning and Big Data with R and Python")</f>
        <v>Probability for Machine Learning and Big Data with R and Python</v>
      </c>
      <c r="G589">
        <f>IFERROR(__xludf.DUMMYFUNCTION("""COMPUTED_VALUE"""),3311510.0)</f>
        <v>3311510</v>
      </c>
      <c r="H589" t="str">
        <f>IFERROR(__xludf.DUMMYFUNCTION("""COMPUTED_VALUE"""),"Juan Gabriel Gomila Salas")</f>
        <v>Juan Gabriel Gomila Salas</v>
      </c>
      <c r="I589" t="str">
        <f>IFERROR(__xludf.DUMMYFUNCTION("""COMPUTED_VALUE"""),"T&amp;S")</f>
        <v>T&amp;S</v>
      </c>
      <c r="J589" t="b">
        <f>IFERROR(__xludf.DUMMYFUNCTION("""COMPUTED_VALUE"""),FALSE)</f>
        <v>0</v>
      </c>
      <c r="K589" s="145" t="str">
        <f>IFERROR(__xludf.DUMMYFUNCTION("""COMPUTED_VALUE"""),"Data Science")</f>
        <v>Data Science</v>
      </c>
      <c r="L589" s="145" t="str">
        <f>IFERROR(__xludf.DUMMYFUNCTION("""COMPUTED_VALUE"""),"Machine Learning")</f>
        <v>Machine Learning</v>
      </c>
      <c r="P589" s="140" t="str">
        <f>IFERROR(__xludf.DUMMYFUNCTION("""COMPUTED_VALUE"""),"")</f>
        <v/>
      </c>
    </row>
    <row r="590">
      <c r="A590" s="143">
        <f>IFERROR(__xludf.DUMMYFUNCTION("""COMPUTED_VALUE"""),44628.0)</f>
        <v>44628</v>
      </c>
      <c r="B590" s="143">
        <f>IFERROR(__xludf.DUMMYFUNCTION("""COMPUTED_VALUE"""),44662.0)</f>
        <v>44662</v>
      </c>
      <c r="C590" t="str">
        <f>IFERROR(__xludf.DUMMYFUNCTION("""COMPUTED_VALUE"""),"ES")</f>
        <v>ES</v>
      </c>
      <c r="D590">
        <f>IFERROR(__xludf.DUMMYFUNCTION("""COMPUTED_VALUE"""),3059118.0)</f>
        <v>3059118</v>
      </c>
      <c r="E590" t="str">
        <f>IFERROR(__xludf.DUMMYFUNCTION("""COMPUTED_VALUE"""),"React JS: Aprende React JS desde cero con ejemplos prácticos")</f>
        <v>React JS: Aprende React JS desde cero con ejemplos prácticos</v>
      </c>
      <c r="F590" t="str">
        <f>IFERROR(__xludf.DUMMYFUNCTION("""COMPUTED_VALUE"""),"React JS: Learn React JS from scratch with practical examples")</f>
        <v>React JS: Learn React JS from scratch with practical examples</v>
      </c>
      <c r="G590">
        <f>IFERROR(__xludf.DUMMYFUNCTION("""COMPUTED_VALUE"""),3311510.0)</f>
        <v>3311510</v>
      </c>
      <c r="H590" t="str">
        <f>IFERROR(__xludf.DUMMYFUNCTION("""COMPUTED_VALUE"""),"Juan Gabriel Gomila Salas")</f>
        <v>Juan Gabriel Gomila Salas</v>
      </c>
      <c r="I590" t="str">
        <f>IFERROR(__xludf.DUMMYFUNCTION("""COMPUTED_VALUE"""),"T&amp;S")</f>
        <v>T&amp;S</v>
      </c>
      <c r="J590" t="b">
        <f>IFERROR(__xludf.DUMMYFUNCTION("""COMPUTED_VALUE"""),FALSE)</f>
        <v>0</v>
      </c>
      <c r="K590" s="142" t="str">
        <f>IFERROR(__xludf.DUMMYFUNCTION("""COMPUTED_VALUE"""),"Development")</f>
        <v>Development</v>
      </c>
      <c r="L590" s="142" t="str">
        <f>IFERROR(__xludf.DUMMYFUNCTION("""COMPUTED_VALUE"""),"Programming Languages")</f>
        <v>Programming Languages</v>
      </c>
      <c r="M590" s="140">
        <f>IFERROR(__xludf.DUMMYFUNCTION("""COMPUTED_VALUE"""),1254714.0)</f>
        <v>1254714</v>
      </c>
      <c r="N590" s="140" t="str">
        <f>IFERROR(__xludf.DUMMYFUNCTION("""COMPUTED_VALUE"""),"React.JS, Guía desde 0 (Actualizado 2022)")</f>
        <v>React.JS, Guía desde 0 (Actualizado 2022)</v>
      </c>
      <c r="P590" s="140" t="str">
        <f>IFERROR(__xludf.DUMMYFUNCTION("""COMPUTED_VALUE"""),"")</f>
        <v/>
      </c>
    </row>
    <row r="591">
      <c r="A591" s="143">
        <f>IFERROR(__xludf.DUMMYFUNCTION("""COMPUTED_VALUE"""),44628.0)</f>
        <v>44628</v>
      </c>
      <c r="B591" s="143">
        <f>IFERROR(__xludf.DUMMYFUNCTION("""COMPUTED_VALUE"""),44662.0)</f>
        <v>44662</v>
      </c>
      <c r="C591" t="str">
        <f>IFERROR(__xludf.DUMMYFUNCTION("""COMPUTED_VALUE"""),"ES")</f>
        <v>ES</v>
      </c>
      <c r="D591">
        <f>IFERROR(__xludf.DUMMYFUNCTION("""COMPUTED_VALUE"""),3010446.0)</f>
        <v>3010446</v>
      </c>
      <c r="E591" t="str">
        <f>IFERROR(__xludf.DUMMYFUNCTION("""COMPUTED_VALUE"""),"React Native: Aprende React Native con ejercicios prácticos")</f>
        <v>React Native: Aprende React Native con ejercicios prácticos</v>
      </c>
      <c r="F591" t="str">
        <f>IFERROR(__xludf.DUMMYFUNCTION("""COMPUTED_VALUE"""),"React Native: Learn React Native with practical exercises")</f>
        <v>React Native: Learn React Native with practical exercises</v>
      </c>
      <c r="G591">
        <f>IFERROR(__xludf.DUMMYFUNCTION("""COMPUTED_VALUE"""),3311510.0)</f>
        <v>3311510</v>
      </c>
      <c r="H591" t="str">
        <f>IFERROR(__xludf.DUMMYFUNCTION("""COMPUTED_VALUE"""),"Juan Gabriel Gomila Salas")</f>
        <v>Juan Gabriel Gomila Salas</v>
      </c>
      <c r="I591" t="str">
        <f>IFERROR(__xludf.DUMMYFUNCTION("""COMPUTED_VALUE"""),"T&amp;S")</f>
        <v>T&amp;S</v>
      </c>
      <c r="J591" t="b">
        <f>IFERROR(__xludf.DUMMYFUNCTION("""COMPUTED_VALUE"""),FALSE)</f>
        <v>0</v>
      </c>
      <c r="K591" s="142" t="str">
        <f>IFERROR(__xludf.DUMMYFUNCTION("""COMPUTED_VALUE"""),"Development")</f>
        <v>Development</v>
      </c>
      <c r="L591" s="142" t="str">
        <f>IFERROR(__xludf.DUMMYFUNCTION("""COMPUTED_VALUE"""),"Programming Languages")</f>
        <v>Programming Languages</v>
      </c>
      <c r="M591" s="140">
        <f>IFERROR(__xludf.DUMMYFUNCTION("""COMPUTED_VALUE"""),3883590.0)</f>
        <v>3883590</v>
      </c>
      <c r="N591" s="140" t="str">
        <f>IFERROR(__xludf.DUMMYFUNCTION("""COMPUTED_VALUE"""),"React Native: Aplicaciones nativas para IOS y Android")</f>
        <v>React Native: Aplicaciones nativas para IOS y Android</v>
      </c>
      <c r="P591" s="140" t="str">
        <f>IFERROR(__xludf.DUMMYFUNCTION("""COMPUTED_VALUE"""),"")</f>
        <v/>
      </c>
    </row>
    <row r="592">
      <c r="A592" s="143">
        <f>IFERROR(__xludf.DUMMYFUNCTION("""COMPUTED_VALUE"""),44628.0)</f>
        <v>44628</v>
      </c>
      <c r="B592" s="143">
        <f>IFERROR(__xludf.DUMMYFUNCTION("""COMPUTED_VALUE"""),44662.0)</f>
        <v>44662</v>
      </c>
      <c r="C592" t="str">
        <f>IFERROR(__xludf.DUMMYFUNCTION("""COMPUTED_VALUE"""),"ES")</f>
        <v>ES</v>
      </c>
      <c r="D592">
        <f>IFERROR(__xludf.DUMMYFUNCTION("""COMPUTED_VALUE"""),4088866.0)</f>
        <v>4088866</v>
      </c>
      <c r="E592" t="str">
        <f>IFERROR(__xludf.DUMMYFUNCTION("""COMPUTED_VALUE"""),"Smart Contracts y Blockchain con Solidity de la A a la Z")</f>
        <v>Smart Contracts y Blockchain con Solidity de la A a la Z</v>
      </c>
      <c r="F592" t="str">
        <f>IFERROR(__xludf.DUMMYFUNCTION("""COMPUTED_VALUE"""),"Smart Contract &amp; Blockchain with A Solidity A to Z")</f>
        <v>Smart Contract &amp; Blockchain with A Solidity A to Z</v>
      </c>
      <c r="G592">
        <f>IFERROR(__xludf.DUMMYFUNCTION("""COMPUTED_VALUE"""),3311510.0)</f>
        <v>3311510</v>
      </c>
      <c r="H592" t="str">
        <f>IFERROR(__xludf.DUMMYFUNCTION("""COMPUTED_VALUE"""),"Juan Gabriel Gomila Salas")</f>
        <v>Juan Gabriel Gomila Salas</v>
      </c>
      <c r="I592" t="str">
        <f>IFERROR(__xludf.DUMMYFUNCTION("""COMPUTED_VALUE"""),"T&amp;S")</f>
        <v>T&amp;S</v>
      </c>
      <c r="J592" t="b">
        <f>IFERROR(__xludf.DUMMYFUNCTION("""COMPUTED_VALUE"""),FALSE)</f>
        <v>0</v>
      </c>
      <c r="K592" s="142" t="str">
        <f>IFERROR(__xludf.DUMMYFUNCTION("""COMPUTED_VALUE"""),"Development")</f>
        <v>Development</v>
      </c>
      <c r="L592" s="142" t="str">
        <f>IFERROR(__xludf.DUMMYFUNCTION("""COMPUTED_VALUE"""),"Programming Languages")</f>
        <v>Programming Languages</v>
      </c>
      <c r="M592" s="140">
        <f>IFERROR(__xludf.DUMMYFUNCTION("""COMPUTED_VALUE"""),4101346.0)</f>
        <v>4101346</v>
      </c>
      <c r="N592" s="140" t="str">
        <f>IFERROR(__xludf.DUMMYFUNCTION("""COMPUTED_VALUE"""),"Smart Contracts y Blockchain con Solidity de la A a la Z")</f>
        <v>Smart Contracts y Blockchain con Solidity de la A a la Z</v>
      </c>
      <c r="P592" s="140" t="str">
        <f>IFERROR(__xludf.DUMMYFUNCTION("""COMPUTED_VALUE"""),"")</f>
        <v/>
      </c>
    </row>
    <row r="593">
      <c r="A593" s="143">
        <f>IFERROR(__xludf.DUMMYFUNCTION("""COMPUTED_VALUE"""),44628.0)</f>
        <v>44628</v>
      </c>
      <c r="B593" s="143">
        <f>IFERROR(__xludf.DUMMYFUNCTION("""COMPUTED_VALUE"""),44662.0)</f>
        <v>44662</v>
      </c>
      <c r="C593" t="str">
        <f>IFERROR(__xludf.DUMMYFUNCTION("""COMPUTED_VALUE"""),"ES")</f>
        <v>ES</v>
      </c>
      <c r="D593">
        <f>IFERROR(__xludf.DUMMYFUNCTION("""COMPUTED_VALUE"""),3986528.0)</f>
        <v>3986528</v>
      </c>
      <c r="E593" t="str">
        <f>IFERROR(__xludf.DUMMYFUNCTION("""COMPUTED_VALUE"""),"Ingeniería social de cero a héroe: Phishing, OSINT y malware")</f>
        <v>Ingeniería social de cero a héroe: Phishing, OSINT y malware</v>
      </c>
      <c r="F593" t="str">
        <f>IFERROR(__xludf.DUMMYFUNCTION("""COMPUTED_VALUE"""),"Social Engineering from Zero A Hero: Phishing, Osint and Malware")</f>
        <v>Social Engineering from Zero A Hero: Phishing, Osint and Malware</v>
      </c>
      <c r="G593">
        <f>IFERROR(__xludf.DUMMYFUNCTION("""COMPUTED_VALUE"""),3311510.0)</f>
        <v>3311510</v>
      </c>
      <c r="H593" t="str">
        <f>IFERROR(__xludf.DUMMYFUNCTION("""COMPUTED_VALUE"""),"Juan Gabriel Gomila Salas")</f>
        <v>Juan Gabriel Gomila Salas</v>
      </c>
      <c r="I593" t="str">
        <f>IFERROR(__xludf.DUMMYFUNCTION("""COMPUTED_VALUE"""),"T&amp;S")</f>
        <v>T&amp;S</v>
      </c>
      <c r="J593" t="b">
        <f>IFERROR(__xludf.DUMMYFUNCTION("""COMPUTED_VALUE"""),FALSE)</f>
        <v>0</v>
      </c>
      <c r="K593" s="142" t="str">
        <f>IFERROR(__xludf.DUMMYFUNCTION("""COMPUTED_VALUE"""),"IT Operations")</f>
        <v>IT Operations</v>
      </c>
      <c r="L593" s="142" t="str">
        <f>IFERROR(__xludf.DUMMYFUNCTION("""COMPUTED_VALUE"""),"Network &amp; Security")</f>
        <v>Network &amp; Security</v>
      </c>
      <c r="M593" s="140">
        <f>IFERROR(__xludf.DUMMYFUNCTION("""COMPUTED_VALUE"""),2558094.0)</f>
        <v>2558094</v>
      </c>
      <c r="N593" s="140" t="str">
        <f>IFERROR(__xludf.DUMMYFUNCTION("""COMPUTED_VALUE"""),"Seguridad Informática- Ingeniería social: El arte del engaño")</f>
        <v>Seguridad Informática- Ingeniería social: El arte del engaño</v>
      </c>
      <c r="P593" s="140" t="str">
        <f>IFERROR(__xludf.DUMMYFUNCTION("""COMPUTED_VALUE"""),"")</f>
        <v/>
      </c>
    </row>
    <row r="594">
      <c r="A594" s="141">
        <f>IFERROR(__xludf.DUMMYFUNCTION("""COMPUTED_VALUE"""),44459.0)</f>
        <v>44459</v>
      </c>
      <c r="B594" s="141">
        <f>IFERROR(__xludf.DUMMYFUNCTION("""COMPUTED_VALUE"""),44651.0)</f>
        <v>44651</v>
      </c>
      <c r="C594" t="str">
        <f>IFERROR(__xludf.DUMMYFUNCTION("""COMPUTED_VALUE"""),"en")</f>
        <v>en</v>
      </c>
      <c r="D594">
        <f>IFERROR(__xludf.DUMMYFUNCTION("""COMPUTED_VALUE"""),341348.0)</f>
        <v>341348</v>
      </c>
      <c r="E594" t="str">
        <f>IFERROR(__xludf.DUMMYFUNCTION("""COMPUTED_VALUE"""),"Software Quality Assurance")</f>
        <v>Software Quality Assurance</v>
      </c>
      <c r="F594" t="str">
        <f>IFERROR(__xludf.DUMMYFUNCTION("""COMPUTED_VALUE"""),"Software Quality Assurance")</f>
        <v>Software Quality Assurance</v>
      </c>
      <c r="G594">
        <f>IFERROR(__xludf.DUMMYFUNCTION("""COMPUTED_VALUE"""),8783636.0)</f>
        <v>8783636</v>
      </c>
      <c r="H594" t="str">
        <f>IFERROR(__xludf.DUMMYFUNCTION("""COMPUTED_VALUE"""),"Michael Cesino")</f>
        <v>Michael Cesino</v>
      </c>
      <c r="I594" t="str">
        <f>IFERROR(__xludf.DUMMYFUNCTION("""COMPUTED_VALUE"""),"Low Rating")</f>
        <v>Low Rating</v>
      </c>
      <c r="J594" t="b">
        <f>IFERROR(__xludf.DUMMYFUNCTION("""COMPUTED_VALUE"""),FALSE)</f>
        <v>0</v>
      </c>
      <c r="K594" s="142" t="str">
        <f>IFERROR(__xludf.DUMMYFUNCTION("""COMPUTED_VALUE"""),"Development")</f>
        <v>Development</v>
      </c>
      <c r="L594" s="142" t="str">
        <f>IFERROR(__xludf.DUMMYFUNCTION("""COMPUTED_VALUE"""),"Software Testing")</f>
        <v>Software Testing</v>
      </c>
      <c r="M594" s="140">
        <f>IFERROR(__xludf.DUMMYFUNCTION("""COMPUTED_VALUE"""),2151486.0)</f>
        <v>2151486</v>
      </c>
      <c r="N594" s="140" t="str">
        <f>IFERROR(__xludf.DUMMYFUNCTION("""COMPUTED_VALUE"""),"Software Testing Masterclass (2021) - From Novice to Expert")</f>
        <v>Software Testing Masterclass (2021) - From Novice to Expert</v>
      </c>
      <c r="O594" s="140">
        <f>IFERROR(__xludf.DUMMYFUNCTION("""COMPUTED_VALUE"""),2125112.0)</f>
        <v>2125112</v>
      </c>
      <c r="P594" s="140" t="str">
        <f>IFERROR(__xludf.DUMMYFUNCTION("""COMPUTED_VALUE"""),"The Complete 2021 Software Testing Bootcamp")</f>
        <v>The Complete 2021 Software Testing Bootcamp</v>
      </c>
    </row>
    <row r="595">
      <c r="A595" s="141">
        <f>IFERROR(__xludf.DUMMYFUNCTION("""COMPUTED_VALUE"""),44459.0)</f>
        <v>44459</v>
      </c>
      <c r="B595" s="141">
        <f>IFERROR(__xludf.DUMMYFUNCTION("""COMPUTED_VALUE"""),44651.0)</f>
        <v>44651</v>
      </c>
      <c r="C595" t="str">
        <f>IFERROR(__xludf.DUMMYFUNCTION("""COMPUTED_VALUE"""),"pt")</f>
        <v>pt</v>
      </c>
      <c r="D595">
        <f>IFERROR(__xludf.DUMMYFUNCTION("""COMPUTED_VALUE"""),871674.0)</f>
        <v>871674</v>
      </c>
      <c r="E595" t="str">
        <f>IFERROR(__xludf.DUMMYFUNCTION("""COMPUTED_VALUE"""),"Arduino - Curso Completo e Prático")</f>
        <v>Arduino - Curso Completo e Prático</v>
      </c>
      <c r="F595" t="str">
        <f>IFERROR(__xludf.DUMMYFUNCTION("""COMPUTED_VALUE"""),"Arduino - Full and practical course")</f>
        <v>Arduino - Full and practical course</v>
      </c>
      <c r="G595">
        <f>IFERROR(__xludf.DUMMYFUNCTION("""COMPUTED_VALUE"""),2.106912E7)</f>
        <v>21069120</v>
      </c>
      <c r="H595" t="str">
        <f>IFERROR(__xludf.DUMMYFUNCTION("""COMPUTED_VALUE"""),"Vitor Mazuco")</f>
        <v>Vitor Mazuco</v>
      </c>
      <c r="I595" t="str">
        <f>IFERROR(__xludf.DUMMYFUNCTION("""COMPUTED_VALUE"""),"Low Rating")</f>
        <v>Low Rating</v>
      </c>
      <c r="J595" t="b">
        <f>IFERROR(__xludf.DUMMYFUNCTION("""COMPUTED_VALUE"""),FALSE)</f>
        <v>0</v>
      </c>
      <c r="K595" s="142" t="str">
        <f>IFERROR(__xludf.DUMMYFUNCTION("""COMPUTED_VALUE"""),"IT Operations")</f>
        <v>IT Operations</v>
      </c>
      <c r="L595" s="142" t="str">
        <f>IFERROR(__xludf.DUMMYFUNCTION("""COMPUTED_VALUE"""),"Hardware")</f>
        <v>Hardware</v>
      </c>
      <c r="M595" s="140">
        <f>IFERROR(__xludf.DUMMYFUNCTION("""COMPUTED_VALUE"""),1522710.0)</f>
        <v>1522710</v>
      </c>
      <c r="N595" s="140" t="str">
        <f>IFERROR(__xludf.DUMMYFUNCTION("""COMPUTED_VALUE"""),"")</f>
        <v/>
      </c>
      <c r="O595" s="140">
        <f>IFERROR(__xludf.DUMMYFUNCTION("""COMPUTED_VALUE"""),144634.0)</f>
        <v>144634</v>
      </c>
      <c r="P595" s="140" t="str">
        <f>IFERROR(__xludf.DUMMYFUNCTION("""COMPUTED_VALUE"""),"Aprenda Arduino usando o simulador Tinkercad")</f>
        <v>Aprenda Arduino usando o simulador Tinkercad</v>
      </c>
    </row>
    <row r="596">
      <c r="A596" s="141">
        <f>IFERROR(__xludf.DUMMYFUNCTION("""COMPUTED_VALUE"""),44459.0)</f>
        <v>44459</v>
      </c>
      <c r="B596" s="141">
        <f>IFERROR(__xludf.DUMMYFUNCTION("""COMPUTED_VALUE"""),44651.0)</f>
        <v>44651</v>
      </c>
      <c r="C596" t="str">
        <f>IFERROR(__xludf.DUMMYFUNCTION("""COMPUTED_VALUE"""),"en")</f>
        <v>en</v>
      </c>
      <c r="D596">
        <f>IFERROR(__xludf.DUMMYFUNCTION("""COMPUTED_VALUE"""),1271898.0)</f>
        <v>1271898</v>
      </c>
      <c r="E596" t="str">
        <f>IFERROR(__xludf.DUMMYFUNCTION("""COMPUTED_VALUE"""),"Mastering Puppet the devops way by School of DevOps®")</f>
        <v>Mastering Puppet the devops way by School of DevOps®</v>
      </c>
      <c r="F596" t="str">
        <f>IFERROR(__xludf.DUMMYFUNCTION("""COMPUTED_VALUE"""),"Mastering Puppet the devops way by School of DevOps®")</f>
        <v>Mastering Puppet the devops way by School of DevOps®</v>
      </c>
      <c r="G596">
        <f>IFERROR(__xludf.DUMMYFUNCTION("""COMPUTED_VALUE"""),3.2910742E7)</f>
        <v>32910742</v>
      </c>
      <c r="H596" t="str">
        <f>IFERROR(__xludf.DUMMYFUNCTION("""COMPUTED_VALUE"""),"Gourav Shah")</f>
        <v>Gourav Shah</v>
      </c>
      <c r="I596" t="str">
        <f>IFERROR(__xludf.DUMMYFUNCTION("""COMPUTED_VALUE"""),"Low Rating")</f>
        <v>Low Rating</v>
      </c>
      <c r="J596" t="b">
        <f>IFERROR(__xludf.DUMMYFUNCTION("""COMPUTED_VALUE"""),FALSE)</f>
        <v>0</v>
      </c>
      <c r="K596" s="142" t="str">
        <f>IFERROR(__xludf.DUMMYFUNCTION("""COMPUTED_VALUE"""),"Development")</f>
        <v>Development</v>
      </c>
      <c r="L596" s="142" t="str">
        <f>IFERROR(__xludf.DUMMYFUNCTION("""COMPUTED_VALUE"""),"Development Tools")</f>
        <v>Development Tools</v>
      </c>
      <c r="M596" s="140">
        <f>IFERROR(__xludf.DUMMYFUNCTION("""COMPUTED_VALUE"""),1691424.0)</f>
        <v>1691424</v>
      </c>
      <c r="N596" s="140" t="str">
        <f>IFERROR(__xludf.DUMMYFUNCTION("""COMPUTED_VALUE"""),"Puppet for the Absolute Beginners - Hands-on - DevOps")</f>
        <v>Puppet for the Absolute Beginners - Hands-on - DevOps</v>
      </c>
      <c r="O596" s="140">
        <f>IFERROR(__xludf.DUMMYFUNCTION("""COMPUTED_VALUE"""),1259936.0)</f>
        <v>1259936</v>
      </c>
      <c r="P596" s="140" t="str">
        <f>IFERROR(__xludf.DUMMYFUNCTION("""COMPUTED_VALUE"""),"Master Puppet for DevOps Success")</f>
        <v>Master Puppet for DevOps Success</v>
      </c>
    </row>
    <row r="597">
      <c r="A597" s="141">
        <f>IFERROR(__xludf.DUMMYFUNCTION("""COMPUTED_VALUE"""),44459.0)</f>
        <v>44459</v>
      </c>
      <c r="B597" s="141">
        <f>IFERROR(__xludf.DUMMYFUNCTION("""COMPUTED_VALUE"""),44651.0)</f>
        <v>44651</v>
      </c>
      <c r="C597" t="str">
        <f>IFERROR(__xludf.DUMMYFUNCTION("""COMPUTED_VALUE"""),"en")</f>
        <v>en</v>
      </c>
      <c r="D597">
        <f>IFERROR(__xludf.DUMMYFUNCTION("""COMPUTED_VALUE"""),1324854.0)</f>
        <v>1324854</v>
      </c>
      <c r="E597" t="str">
        <f>IFERROR(__xludf.DUMMYFUNCTION("""COMPUTED_VALUE"""),"Software Architecture: Dependency Injection for C# Devs")</f>
        <v>Software Architecture: Dependency Injection for C# Devs</v>
      </c>
      <c r="F597" t="str">
        <f>IFERROR(__xludf.DUMMYFUNCTION("""COMPUTED_VALUE"""),"Software Architecture: Dependency Injection for C# Devs")</f>
        <v>Software Architecture: Dependency Injection for C# Devs</v>
      </c>
      <c r="G597">
        <f>IFERROR(__xludf.DUMMYFUNCTION("""COMPUTED_VALUE"""),426576.0)</f>
        <v>426576</v>
      </c>
      <c r="H597" t="str">
        <f>IFERROR(__xludf.DUMMYFUNCTION("""COMPUTED_VALUE"""),"Engineer Spock")</f>
        <v>Engineer Spock</v>
      </c>
      <c r="I597" t="str">
        <f>IFERROR(__xludf.DUMMYFUNCTION("""COMPUTED_VALUE"""),"Low Rating")</f>
        <v>Low Rating</v>
      </c>
      <c r="J597" t="b">
        <f>IFERROR(__xludf.DUMMYFUNCTION("""COMPUTED_VALUE"""),FALSE)</f>
        <v>0</v>
      </c>
      <c r="K597" s="142" t="str">
        <f>IFERROR(__xludf.DUMMYFUNCTION("""COMPUTED_VALUE"""),"Development")</f>
        <v>Development</v>
      </c>
      <c r="L597" s="142" t="str">
        <f>IFERROR(__xludf.DUMMYFUNCTION("""COMPUTED_VALUE"""),"Programming Languages")</f>
        <v>Programming Languages</v>
      </c>
      <c r="M597" s="140">
        <f>IFERROR(__xludf.DUMMYFUNCTION("""COMPUTED_VALUE"""),1093920.0)</f>
        <v>1093920</v>
      </c>
      <c r="N597" s="140" t="str">
        <f>IFERROR(__xludf.DUMMYFUNCTION("""COMPUTED_VALUE"""),"Dependency Injection in C# and .NET with the Autofac Library")</f>
        <v>Dependency Injection in C# and .NET with the Autofac Library</v>
      </c>
      <c r="O597" s="140">
        <f>IFERROR(__xludf.DUMMYFUNCTION("""COMPUTED_VALUE"""),3951580.0)</f>
        <v>3951580</v>
      </c>
      <c r="P597" s="140" t="str">
        <f>IFERROR(__xludf.DUMMYFUNCTION("""COMPUTED_VALUE"""),"Software Architecture Essentials for Business Applications")</f>
        <v>Software Architecture Essentials for Business Applications</v>
      </c>
    </row>
    <row r="598">
      <c r="A598" s="141">
        <f>IFERROR(__xludf.DUMMYFUNCTION("""COMPUTED_VALUE"""),44459.0)</f>
        <v>44459</v>
      </c>
      <c r="B598" s="141">
        <f>IFERROR(__xludf.DUMMYFUNCTION("""COMPUTED_VALUE"""),44651.0)</f>
        <v>44651</v>
      </c>
      <c r="C598" t="str">
        <f>IFERROR(__xludf.DUMMYFUNCTION("""COMPUTED_VALUE"""),"en")</f>
        <v>en</v>
      </c>
      <c r="D598">
        <f>IFERROR(__xludf.DUMMYFUNCTION("""COMPUTED_VALUE"""),1341646.0)</f>
        <v>1341646</v>
      </c>
      <c r="E598" t="str">
        <f>IFERROR(__xludf.DUMMYFUNCTION("""COMPUTED_VALUE"""),"Speed Reading MACHINE 3.1: How To Read 307 Books In 2021")</f>
        <v>Speed Reading MACHINE 3.1: How To Read 307 Books In 2021</v>
      </c>
      <c r="F598" t="str">
        <f>IFERROR(__xludf.DUMMYFUNCTION("""COMPUTED_VALUE"""),"Speed Reading MACHINE 3.1: How To Read 307 Books In 2021")</f>
        <v>Speed Reading MACHINE 3.1: How To Read 307 Books In 2021</v>
      </c>
      <c r="G598">
        <f>IFERROR(__xludf.DUMMYFUNCTION("""COMPUTED_VALUE"""),5274990.0)</f>
        <v>5274990</v>
      </c>
      <c r="H598" t="str">
        <f>IFERROR(__xludf.DUMMYFUNCTION("""COMPUTED_VALUE"""),"Silviu Marisk - Effective Learning Lab")</f>
        <v>Silviu Marisk - Effective Learning Lab</v>
      </c>
      <c r="I598" t="str">
        <f>IFERROR(__xludf.DUMMYFUNCTION("""COMPUTED_VALUE"""),"Low Rating")</f>
        <v>Low Rating</v>
      </c>
      <c r="J598" t="b">
        <f>IFERROR(__xludf.DUMMYFUNCTION("""COMPUTED_VALUE"""),FALSE)</f>
        <v>0</v>
      </c>
      <c r="K598" s="142" t="str">
        <f>IFERROR(__xludf.DUMMYFUNCTION("""COMPUTED_VALUE"""),"Personal Development")</f>
        <v>Personal Development</v>
      </c>
      <c r="L598" s="142" t="str">
        <f>IFERROR(__xludf.DUMMYFUNCTION("""COMPUTED_VALUE"""),"Personal Growth")</f>
        <v>Personal Growth</v>
      </c>
      <c r="M598" s="140">
        <f>IFERROR(__xludf.DUMMYFUNCTION("""COMPUTED_VALUE"""),591930.0)</f>
        <v>591930</v>
      </c>
      <c r="N598" s="140" t="str">
        <f>IFERROR(__xludf.DUMMYFUNCTION("""COMPUTED_VALUE"""),"Become a SuperLearner® 2: Learn Speed Reading &amp; Boost Memory")</f>
        <v>Become a SuperLearner® 2: Learn Speed Reading &amp; Boost Memory</v>
      </c>
      <c r="O598" s="140">
        <f>IFERROR(__xludf.DUMMYFUNCTION("""COMPUTED_VALUE"""),571876.0)</f>
        <v>571876</v>
      </c>
      <c r="P598" s="140" t="str">
        <f>IFERROR(__xludf.DUMMYFUNCTION("""COMPUTED_VALUE"""),"10X SUPERHUMAN Learning: Speed Reading &amp; Memory Booster")</f>
        <v>10X SUPERHUMAN Learning: Speed Reading &amp; Memory Booster</v>
      </c>
    </row>
    <row r="599">
      <c r="A599" s="141">
        <f>IFERROR(__xludf.DUMMYFUNCTION("""COMPUTED_VALUE"""),44459.0)</f>
        <v>44459</v>
      </c>
      <c r="B599" s="141">
        <f>IFERROR(__xludf.DUMMYFUNCTION("""COMPUTED_VALUE"""),44651.0)</f>
        <v>44651</v>
      </c>
      <c r="C599" t="str">
        <f>IFERROR(__xludf.DUMMYFUNCTION("""COMPUTED_VALUE"""),"en")</f>
        <v>en</v>
      </c>
      <c r="D599">
        <f>IFERROR(__xludf.DUMMYFUNCTION("""COMPUTED_VALUE"""),1365728.0)</f>
        <v>1365728</v>
      </c>
      <c r="E599" t="str">
        <f>IFERROR(__xludf.DUMMYFUNCTION("""COMPUTED_VALUE"""),"Alteryx: Real-Life Exercises For Data Analytics!")</f>
        <v>Alteryx: Real-Life Exercises For Data Analytics!</v>
      </c>
      <c r="F599" t="str">
        <f>IFERROR(__xludf.DUMMYFUNCTION("""COMPUTED_VALUE"""),"Alteryx: Real-Life Exercises For Data Analytics!")</f>
        <v>Alteryx: Real-Life Exercises For Data Analytics!</v>
      </c>
      <c r="G599">
        <f>IFERROR(__xludf.DUMMYFUNCTION("""COMPUTED_VALUE"""),2.171602E7)</f>
        <v>21716020</v>
      </c>
      <c r="H599" t="str">
        <f>IFERROR(__xludf.DUMMYFUNCTION("""COMPUTED_VALUE"""),"Renato Baruti")</f>
        <v>Renato Baruti</v>
      </c>
      <c r="I599" t="str">
        <f>IFERROR(__xludf.DUMMYFUNCTION("""COMPUTED_VALUE"""),"Low Rating")</f>
        <v>Low Rating</v>
      </c>
      <c r="J599" t="b">
        <f>IFERROR(__xludf.DUMMYFUNCTION("""COMPUTED_VALUE"""),FALSE)</f>
        <v>0</v>
      </c>
      <c r="K599" s="142" t="str">
        <f>IFERROR(__xludf.DUMMYFUNCTION("""COMPUTED_VALUE"""),"Data Science")</f>
        <v>Data Science</v>
      </c>
      <c r="L599" s="142" t="str">
        <f>IFERROR(__xludf.DUMMYFUNCTION("""COMPUTED_VALUE"""),"Analytics")</f>
        <v>Analytics</v>
      </c>
      <c r="M599" s="140">
        <f>IFERROR(__xludf.DUMMYFUNCTION("""COMPUTED_VALUE"""),1040480.0)</f>
        <v>1040480</v>
      </c>
      <c r="N599" s="140" t="str">
        <f>IFERROR(__xludf.DUMMYFUNCTION("""COMPUTED_VALUE"""),"Alteryx: Self-Service Analytics In Your Hands")</f>
        <v>Alteryx: Self-Service Analytics In Your Hands</v>
      </c>
      <c r="O599" s="140">
        <f>IFERROR(__xludf.DUMMYFUNCTION("""COMPUTED_VALUE"""),2169820.0)</f>
        <v>2169820</v>
      </c>
      <c r="P599" s="140" t="str">
        <f>IFERROR(__xludf.DUMMYFUNCTION("""COMPUTED_VALUE"""),"Alteryx Essentials")</f>
        <v>Alteryx Essentials</v>
      </c>
    </row>
    <row r="600">
      <c r="A600" s="141">
        <f>IFERROR(__xludf.DUMMYFUNCTION("""COMPUTED_VALUE"""),44459.0)</f>
        <v>44459</v>
      </c>
      <c r="B600" s="141">
        <f>IFERROR(__xludf.DUMMYFUNCTION("""COMPUTED_VALUE"""),44651.0)</f>
        <v>44651</v>
      </c>
      <c r="C600" t="str">
        <f>IFERROR(__xludf.DUMMYFUNCTION("""COMPUTED_VALUE"""),"en")</f>
        <v>en</v>
      </c>
      <c r="D600">
        <f>IFERROR(__xludf.DUMMYFUNCTION("""COMPUTED_VALUE"""),1446160.0)</f>
        <v>1446160</v>
      </c>
      <c r="E600" t="str">
        <f>IFERROR(__xludf.DUMMYFUNCTION("""COMPUTED_VALUE"""),"Build Your Own RealTime OS (RTOS) From Ground Up™ on ARM 1")</f>
        <v>Build Your Own RealTime OS (RTOS) From Ground Up™ on ARM 1</v>
      </c>
      <c r="F600" t="str">
        <f>IFERROR(__xludf.DUMMYFUNCTION("""COMPUTED_VALUE"""),"Build Your Own RealTime OS (RTOS) From Ground Up™ on ARM 1")</f>
        <v>Build Your Own RealTime OS (RTOS) From Ground Up™ on ARM 1</v>
      </c>
      <c r="G600">
        <f>IFERROR(__xludf.DUMMYFUNCTION("""COMPUTED_VALUE"""),2.4388648E7)</f>
        <v>24388648</v>
      </c>
      <c r="H600" t="str">
        <f>IFERROR(__xludf.DUMMYFUNCTION("""COMPUTED_VALUE"""),"Israel Gbati")</f>
        <v>Israel Gbati</v>
      </c>
      <c r="I600" t="str">
        <f>IFERROR(__xludf.DUMMYFUNCTION("""COMPUTED_VALUE"""),"Low Rating")</f>
        <v>Low Rating</v>
      </c>
      <c r="J600" t="b">
        <f>IFERROR(__xludf.DUMMYFUNCTION("""COMPUTED_VALUE"""),FALSE)</f>
        <v>0</v>
      </c>
      <c r="K600" s="142" t="str">
        <f>IFERROR(__xludf.DUMMYFUNCTION("""COMPUTED_VALUE"""),"IT Operations")</f>
        <v>IT Operations</v>
      </c>
      <c r="L600" s="142" t="str">
        <f>IFERROR(__xludf.DUMMYFUNCTION("""COMPUTED_VALUE"""),"Hardware")</f>
        <v>Hardware</v>
      </c>
      <c r="M600" s="140">
        <f>IFERROR(__xludf.DUMMYFUNCTION("""COMPUTED_VALUE"""),915690.0)</f>
        <v>915690</v>
      </c>
      <c r="N600" s="140" t="str">
        <f>IFERROR(__xludf.DUMMYFUNCTION("""COMPUTED_VALUE"""),"Mastering RTOS: Hands on FreeRTOS and STM32Fx with Debugging")</f>
        <v>Mastering RTOS: Hands on FreeRTOS and STM32Fx with Debugging</v>
      </c>
      <c r="O600" s="140">
        <f>IFERROR(__xludf.DUMMYFUNCTION("""COMPUTED_VALUE"""),995334.0)</f>
        <v>995334</v>
      </c>
      <c r="P600" s="140" t="str">
        <f>IFERROR(__xludf.DUMMYFUNCTION("""COMPUTED_VALUE"""),"Arduino  FreeRTOS  From Ground Up™ : Build RealTime Projects")</f>
        <v>Arduino  FreeRTOS  From Ground Up™ : Build RealTime Projects</v>
      </c>
    </row>
    <row r="601">
      <c r="A601" s="141">
        <f>IFERROR(__xludf.DUMMYFUNCTION("""COMPUTED_VALUE"""),44459.0)</f>
        <v>44459</v>
      </c>
      <c r="B601" s="141">
        <f>IFERROR(__xludf.DUMMYFUNCTION("""COMPUTED_VALUE"""),44651.0)</f>
        <v>44651</v>
      </c>
      <c r="C601" t="str">
        <f>IFERROR(__xludf.DUMMYFUNCTION("""COMPUTED_VALUE"""),"es")</f>
        <v>es</v>
      </c>
      <c r="D601">
        <f>IFERROR(__xludf.DUMMYFUNCTION("""COMPUTED_VALUE"""),1656124.0)</f>
        <v>1656124</v>
      </c>
      <c r="E601" t="str">
        <f>IFERROR(__xludf.DUMMYFUNCTION("""COMPUTED_VALUE"""),"Power BI Máster en poco tiempo - Desktop, Móvil y en la Nube")</f>
        <v>Power BI Máster en poco tiempo - Desktop, Móvil y en la Nube</v>
      </c>
      <c r="F601" t="str">
        <f>IFERROR(__xludf.DUMMYFUNCTION("""COMPUTED_VALUE"""),"Power BI Master in a short time - Desktop, mobile and cloud")</f>
        <v>Power BI Master in a short time - Desktop, mobile and cloud</v>
      </c>
      <c r="G601">
        <f>IFERROR(__xludf.DUMMYFUNCTION("""COMPUTED_VALUE"""),2.391415E7)</f>
        <v>23914150</v>
      </c>
      <c r="H601" t="str">
        <f>IFERROR(__xludf.DUMMYFUNCTION("""COMPUTED_VALUE"""),"Diego Lopez")</f>
        <v>Diego Lopez</v>
      </c>
      <c r="I601" t="str">
        <f>IFERROR(__xludf.DUMMYFUNCTION("""COMPUTED_VALUE"""),"Low Rating")</f>
        <v>Low Rating</v>
      </c>
      <c r="J601" t="b">
        <f>IFERROR(__xludf.DUMMYFUNCTION("""COMPUTED_VALUE"""),FALSE)</f>
        <v>0</v>
      </c>
      <c r="K601" s="142" t="str">
        <f>IFERROR(__xludf.DUMMYFUNCTION("""COMPUTED_VALUE"""),"Data Science")</f>
        <v>Data Science</v>
      </c>
      <c r="L601" s="142" t="str">
        <f>IFERROR(__xludf.DUMMYFUNCTION("""COMPUTED_VALUE"""),"Analytics")</f>
        <v>Analytics</v>
      </c>
      <c r="M601" s="140">
        <f>IFERROR(__xludf.DUMMYFUNCTION("""COMPUTED_VALUE"""),2178672.0)</f>
        <v>2178672</v>
      </c>
      <c r="N601" s="140" t="str">
        <f>IFERROR(__xludf.DUMMYFUNCTION("""COMPUTED_VALUE"""),"Curso Power BI – Análisis de Datos y Business Intelligence")</f>
        <v>Curso Power BI – Análisis de Datos y Business Intelligence</v>
      </c>
      <c r="O601" s="140">
        <f>IFERROR(__xludf.DUMMYFUNCTION("""COMPUTED_VALUE"""),2587102.0)</f>
        <v>2587102</v>
      </c>
      <c r="P601" s="140" t="str">
        <f>IFERROR(__xludf.DUMMYFUNCTION("""COMPUTED_VALUE"""),"Microsoft Power BI - Curso de Power BI Desktop")</f>
        <v>Microsoft Power BI - Curso de Power BI Desktop</v>
      </c>
    </row>
    <row r="602">
      <c r="A602" s="141">
        <f>IFERROR(__xludf.DUMMYFUNCTION("""COMPUTED_VALUE"""),44459.0)</f>
        <v>44459</v>
      </c>
      <c r="B602" s="141">
        <f>IFERROR(__xludf.DUMMYFUNCTION("""COMPUTED_VALUE"""),44651.0)</f>
        <v>44651</v>
      </c>
      <c r="C602" t="str">
        <f>IFERROR(__xludf.DUMMYFUNCTION("""COMPUTED_VALUE"""),"en")</f>
        <v>en</v>
      </c>
      <c r="D602">
        <f>IFERROR(__xludf.DUMMYFUNCTION("""COMPUTED_VALUE"""),1683324.0)</f>
        <v>1683324</v>
      </c>
      <c r="E602" t="str">
        <f>IFERROR(__xludf.DUMMYFUNCTION("""COMPUTED_VALUE"""),"TOTAL: CISM (Info. Security Mgr) Practice Tests - 400 Q's")</f>
        <v>TOTAL: CISM (Info. Security Mgr) Practice Tests - 400 Q's</v>
      </c>
      <c r="F602" t="str">
        <f>IFERROR(__xludf.DUMMYFUNCTION("""COMPUTED_VALUE"""),"TOTAL: CISM (Info. Security Mgr) Practice Tests - 400 Q's")</f>
        <v>TOTAL: CISM (Info. Security Mgr) Practice Tests - 400 Q's</v>
      </c>
      <c r="G602">
        <f>IFERROR(__xludf.DUMMYFUNCTION("""COMPUTED_VALUE"""),1.6569604E7)</f>
        <v>16569604</v>
      </c>
      <c r="H602" t="str">
        <f>IFERROR(__xludf.DUMMYFUNCTION("""COMPUTED_VALUE"""),"Total Seminars • 750,000+ Enrollments")</f>
        <v>Total Seminars • 750,000+ Enrollments</v>
      </c>
      <c r="I602" t="str">
        <f>IFERROR(__xludf.DUMMYFUNCTION("""COMPUTED_VALUE"""),"Low Rating")</f>
        <v>Low Rating</v>
      </c>
      <c r="J602" t="b">
        <f>IFERROR(__xludf.DUMMYFUNCTION("""COMPUTED_VALUE"""),FALSE)</f>
        <v>0</v>
      </c>
      <c r="K602" s="142" t="str">
        <f>IFERROR(__xludf.DUMMYFUNCTION("""COMPUTED_VALUE"""),"IT Operations")</f>
        <v>IT Operations</v>
      </c>
      <c r="L602" s="142" t="str">
        <f>IFERROR(__xludf.DUMMYFUNCTION("""COMPUTED_VALUE"""),"IT Certifications")</f>
        <v>IT Certifications</v>
      </c>
      <c r="M602" s="140">
        <f>IFERROR(__xludf.DUMMYFUNCTION("""COMPUTED_VALUE"""),2311262.0)</f>
        <v>2311262</v>
      </c>
      <c r="N602" s="140" t="str">
        <f>IFERROR(__xludf.DUMMYFUNCTION("""COMPUTED_VALUE"""),"CISM Certification: FULL 150 question CISM practice test '22")</f>
        <v>CISM Certification: FULL 150 question CISM practice test '22</v>
      </c>
      <c r="O602" s="140">
        <f>IFERROR(__xludf.DUMMYFUNCTION("""COMPUTED_VALUE"""),2111474.0)</f>
        <v>2111474</v>
      </c>
      <c r="P602" s="140" t="str">
        <f>IFERROR(__xludf.DUMMYFUNCTION("""COMPUTED_VALUE"""),"CISM Certification: CISM Domain 1 Video Boot Camp 2022")</f>
        <v>CISM Certification: CISM Domain 1 Video Boot Camp 2022</v>
      </c>
    </row>
    <row r="603">
      <c r="A603" s="141">
        <f>IFERROR(__xludf.DUMMYFUNCTION("""COMPUTED_VALUE"""),44459.0)</f>
        <v>44459</v>
      </c>
      <c r="B603" s="141">
        <f>IFERROR(__xludf.DUMMYFUNCTION("""COMPUTED_VALUE"""),44651.0)</f>
        <v>44651</v>
      </c>
      <c r="C603" t="str">
        <f>IFERROR(__xludf.DUMMYFUNCTION("""COMPUTED_VALUE"""),"en")</f>
        <v>en</v>
      </c>
      <c r="D603">
        <f>IFERROR(__xludf.DUMMYFUNCTION("""COMPUTED_VALUE"""),2080214.0)</f>
        <v>2080214</v>
      </c>
      <c r="E603" t="str">
        <f>IFERROR(__xludf.DUMMYFUNCTION("""COMPUTED_VALUE"""),"Management System Auditor Training. ISO 19011")</f>
        <v>Management System Auditor Training. ISO 19011</v>
      </c>
      <c r="F603" t="str">
        <f>IFERROR(__xludf.DUMMYFUNCTION("""COMPUTED_VALUE"""),"Management System Auditor Training. ISO 19011")</f>
        <v>Management System Auditor Training. ISO 19011</v>
      </c>
      <c r="G603">
        <f>IFERROR(__xludf.DUMMYFUNCTION("""COMPUTED_VALUE"""),2.0527752E7)</f>
        <v>20527752</v>
      </c>
      <c r="H603" t="str">
        <f>IFERROR(__xludf.DUMMYFUNCTION("""COMPUTED_VALUE"""),"Cristian Lupa")</f>
        <v>Cristian Lupa</v>
      </c>
      <c r="I603" t="str">
        <f>IFERROR(__xludf.DUMMYFUNCTION("""COMPUTED_VALUE"""),"Low Rating")</f>
        <v>Low Rating</v>
      </c>
      <c r="J603" t="b">
        <f>IFERROR(__xludf.DUMMYFUNCTION("""COMPUTED_VALUE"""),FALSE)</f>
        <v>0</v>
      </c>
      <c r="K603" s="142" t="str">
        <f>IFERROR(__xludf.DUMMYFUNCTION("""COMPUTED_VALUE"""),"Project Management &amp; Operations")</f>
        <v>Project Management &amp; Operations</v>
      </c>
      <c r="L603" s="142" t="str">
        <f>IFERROR(__xludf.DUMMYFUNCTION("""COMPUTED_VALUE"""),"Project Management Tools")</f>
        <v>Project Management Tools</v>
      </c>
      <c r="M603" s="140">
        <f>IFERROR(__xludf.DUMMYFUNCTION("""COMPUTED_VALUE"""),1049210.0)</f>
        <v>1049210</v>
      </c>
      <c r="N603" s="140" t="str">
        <f>IFERROR(__xludf.DUMMYFUNCTION("""COMPUTED_VALUE"""),"ISO 9001:2015 Quality Management System Auditor Course")</f>
        <v>ISO 9001:2015 Quality Management System Auditor Course</v>
      </c>
      <c r="P603" s="140" t="str">
        <f>IFERROR(__xludf.DUMMYFUNCTION("""COMPUTED_VALUE"""),"")</f>
        <v/>
      </c>
    </row>
    <row r="604">
      <c r="A604" s="141">
        <f>IFERROR(__xludf.DUMMYFUNCTION("""COMPUTED_VALUE"""),44459.0)</f>
        <v>44459</v>
      </c>
      <c r="B604" s="141">
        <f>IFERROR(__xludf.DUMMYFUNCTION("""COMPUTED_VALUE"""),44651.0)</f>
        <v>44651</v>
      </c>
      <c r="C604" t="str">
        <f>IFERROR(__xludf.DUMMYFUNCTION("""COMPUTED_VALUE"""),"en")</f>
        <v>en</v>
      </c>
      <c r="D604">
        <f>IFERROR(__xludf.DUMMYFUNCTION("""COMPUTED_VALUE"""),2198184.0)</f>
        <v>2198184</v>
      </c>
      <c r="E604" t="str">
        <f>IFERROR(__xludf.DUMMYFUNCTION("""COMPUTED_VALUE"""),"Marketo for Managers")</f>
        <v>Marketo for Managers</v>
      </c>
      <c r="F604" t="str">
        <f>IFERROR(__xludf.DUMMYFUNCTION("""COMPUTED_VALUE"""),"Marketo for Managers")</f>
        <v>Marketo for Managers</v>
      </c>
      <c r="G604">
        <f>IFERROR(__xludf.DUMMYFUNCTION("""COMPUTED_VALUE"""),2.6243782E7)</f>
        <v>26243782</v>
      </c>
      <c r="H604" t="str">
        <f>IFERROR(__xludf.DUMMYFUNCTION("""COMPUTED_VALUE"""),"Steven Moody")</f>
        <v>Steven Moody</v>
      </c>
      <c r="I604" t="str">
        <f>IFERROR(__xludf.DUMMYFUNCTION("""COMPUTED_VALUE"""),"Low Rating")</f>
        <v>Low Rating</v>
      </c>
      <c r="J604" t="b">
        <f>IFERROR(__xludf.DUMMYFUNCTION("""COMPUTED_VALUE"""),FALSE)</f>
        <v>0</v>
      </c>
      <c r="K604" s="142" t="str">
        <f>IFERROR(__xludf.DUMMYFUNCTION("""COMPUTED_VALUE"""),"Marketing")</f>
        <v>Marketing</v>
      </c>
      <c r="L604" s="142" t="str">
        <f>IFERROR(__xludf.DUMMYFUNCTION("""COMPUTED_VALUE"""),"Marketing Analytics &amp; Automation")</f>
        <v>Marketing Analytics &amp; Automation</v>
      </c>
      <c r="N604" s="140" t="str">
        <f>IFERROR(__xludf.DUMMYFUNCTION("""COMPUTED_VALUE"""),"")</f>
        <v/>
      </c>
      <c r="P604" s="140" t="str">
        <f>IFERROR(__xludf.DUMMYFUNCTION("""COMPUTED_VALUE"""),"")</f>
        <v/>
      </c>
    </row>
    <row r="605">
      <c r="A605" s="141">
        <f>IFERROR(__xludf.DUMMYFUNCTION("""COMPUTED_VALUE"""),44459.0)</f>
        <v>44459</v>
      </c>
      <c r="B605" s="141">
        <f>IFERROR(__xludf.DUMMYFUNCTION("""COMPUTED_VALUE"""),44651.0)</f>
        <v>44651</v>
      </c>
      <c r="C605" t="str">
        <f>IFERROR(__xludf.DUMMYFUNCTION("""COMPUTED_VALUE"""),"en")</f>
        <v>en</v>
      </c>
      <c r="D605">
        <f>IFERROR(__xludf.DUMMYFUNCTION("""COMPUTED_VALUE"""),2245880.0)</f>
        <v>2245880</v>
      </c>
      <c r="E605" t="str">
        <f>IFERROR(__xludf.DUMMYFUNCTION("""COMPUTED_VALUE"""),"PTE Academic (English Test) - Mastering Listening -Score 79+")</f>
        <v>PTE Academic (English Test) - Mastering Listening -Score 79+</v>
      </c>
      <c r="F605" t="str">
        <f>IFERROR(__xludf.DUMMYFUNCTION("""COMPUTED_VALUE"""),"PTE Academic (English Test) - Mastering Listening -Score 79+")</f>
        <v>PTE Academic (English Test) - Mastering Listening -Score 79+</v>
      </c>
      <c r="G605">
        <f>IFERROR(__xludf.DUMMYFUNCTION("""COMPUTED_VALUE"""),3.6826576E7)</f>
        <v>36826576</v>
      </c>
      <c r="H605" t="str">
        <f>IFERROR(__xludf.DUMMYFUNCTION("""COMPUTED_VALUE"""),"Sabrina Elai")</f>
        <v>Sabrina Elai</v>
      </c>
      <c r="I605" t="str">
        <f>IFERROR(__xludf.DUMMYFUNCTION("""COMPUTED_VALUE"""),"Low Rating")</f>
        <v>Low Rating</v>
      </c>
      <c r="J605" t="b">
        <f>IFERROR(__xludf.DUMMYFUNCTION("""COMPUTED_VALUE"""),FALSE)</f>
        <v>0</v>
      </c>
      <c r="K605" s="142" t="str">
        <f>IFERROR(__xludf.DUMMYFUNCTION("""COMPUTED_VALUE"""),"Personal Development")</f>
        <v>Personal Development</v>
      </c>
      <c r="L605" s="142" t="str">
        <f>IFERROR(__xludf.DUMMYFUNCTION("""COMPUTED_VALUE"""),"Language Learning")</f>
        <v>Language Learning</v>
      </c>
      <c r="M605" s="140">
        <f>IFERROR(__xludf.DUMMYFUNCTION("""COMPUTED_VALUE"""),3237155.0)</f>
        <v>3237155</v>
      </c>
      <c r="N605" s="140" t="str">
        <f>IFERROR(__xludf.DUMMYFUNCTION("""COMPUTED_VALUE"""),"PTE Academic Exam Preparation: Writing Mastery (Achieve 79+)")</f>
        <v>PTE Academic Exam Preparation: Writing Mastery (Achieve 79+)</v>
      </c>
      <c r="O605" s="140">
        <f>IFERROR(__xludf.DUMMYFUNCTION("""COMPUTED_VALUE"""),3930060.0)</f>
        <v>3930060</v>
      </c>
      <c r="P605" s="140" t="str">
        <f>IFERROR(__xludf.DUMMYFUNCTION("""COMPUTED_VALUE"""),"PTE Academic Exam Preparation: Speaking Mastery (Score 79+)")</f>
        <v>PTE Academic Exam Preparation: Speaking Mastery (Score 79+)</v>
      </c>
    </row>
    <row r="606">
      <c r="A606" s="141">
        <f>IFERROR(__xludf.DUMMYFUNCTION("""COMPUTED_VALUE"""),44459.0)</f>
        <v>44459</v>
      </c>
      <c r="B606" s="141">
        <f>IFERROR(__xludf.DUMMYFUNCTION("""COMPUTED_VALUE"""),44651.0)</f>
        <v>44651</v>
      </c>
      <c r="C606" t="str">
        <f>IFERROR(__xludf.DUMMYFUNCTION("""COMPUTED_VALUE"""),"en")</f>
        <v>en</v>
      </c>
      <c r="D606">
        <f>IFERROR(__xludf.DUMMYFUNCTION("""COMPUTED_VALUE"""),2585574.0)</f>
        <v>2585574</v>
      </c>
      <c r="E606" t="str">
        <f>IFERROR(__xludf.DUMMYFUNCTION("""COMPUTED_VALUE"""),"AWS Advanced Security")</f>
        <v>AWS Advanced Security</v>
      </c>
      <c r="F606" t="str">
        <f>IFERROR(__xludf.DUMMYFUNCTION("""COMPUTED_VALUE"""),"AWS Advanced Security")</f>
        <v>AWS Advanced Security</v>
      </c>
      <c r="G606">
        <f>IFERROR(__xludf.DUMMYFUNCTION("""COMPUTED_VALUE"""),1.4145628E7)</f>
        <v>14145628</v>
      </c>
      <c r="H606" t="str">
        <f>IFERROR(__xludf.DUMMYFUNCTION("""COMPUTED_VALUE"""),"Edward Viaene")</f>
        <v>Edward Viaene</v>
      </c>
      <c r="I606" t="str">
        <f>IFERROR(__xludf.DUMMYFUNCTION("""COMPUTED_VALUE"""),"Low Rating")</f>
        <v>Low Rating</v>
      </c>
      <c r="J606" t="b">
        <f>IFERROR(__xludf.DUMMYFUNCTION("""COMPUTED_VALUE"""),FALSE)</f>
        <v>0</v>
      </c>
      <c r="K606" s="142" t="str">
        <f>IFERROR(__xludf.DUMMYFUNCTION("""COMPUTED_VALUE"""),"IT Operations")</f>
        <v>IT Operations</v>
      </c>
      <c r="L606" s="142" t="str">
        <f>IFERROR(__xludf.DUMMYFUNCTION("""COMPUTED_VALUE"""),"Network &amp; Security")</f>
        <v>Network &amp; Security</v>
      </c>
      <c r="M606" s="140">
        <f>IFERROR(__xludf.DUMMYFUNCTION("""COMPUTED_VALUE"""),2699024.0)</f>
        <v>2699024</v>
      </c>
      <c r="N606" s="140" t="str">
        <f>IFERROR(__xludf.DUMMYFUNCTION("""COMPUTED_VALUE"""),"AWS Cloud Security: Learn to Protect &amp; Defend your resources")</f>
        <v>AWS Cloud Security: Learn to Protect &amp; Defend your resources</v>
      </c>
      <c r="O606" s="140">
        <f>IFERROR(__xludf.DUMMYFUNCTION("""COMPUTED_VALUE"""),2745980.0)</f>
        <v>2745980</v>
      </c>
      <c r="P606" s="140" t="str">
        <f>IFERROR(__xludf.DUMMYFUNCTION("""COMPUTED_VALUE"""),"AWS Advanced Security: SecOps Automation for the cloud")</f>
        <v>AWS Advanced Security: SecOps Automation for the cloud</v>
      </c>
    </row>
    <row r="607">
      <c r="A607" s="141">
        <f>IFERROR(__xludf.DUMMYFUNCTION("""COMPUTED_VALUE"""),44459.0)</f>
        <v>44459</v>
      </c>
      <c r="B607" s="141">
        <f>IFERROR(__xludf.DUMMYFUNCTION("""COMPUTED_VALUE"""),44651.0)</f>
        <v>44651</v>
      </c>
      <c r="C607" t="str">
        <f>IFERROR(__xludf.DUMMYFUNCTION("""COMPUTED_VALUE"""),"en")</f>
        <v>en</v>
      </c>
      <c r="D607">
        <f>IFERROR(__xludf.DUMMYFUNCTION("""COMPUTED_VALUE"""),2594642.0)</f>
        <v>2594642</v>
      </c>
      <c r="E607" t="str">
        <f>IFERROR(__xludf.DUMMYFUNCTION("""COMPUTED_VALUE"""),"Sitecore 10 Content Editing Basics Step-by-Step")</f>
        <v>Sitecore 10 Content Editing Basics Step-by-Step</v>
      </c>
      <c r="F607" t="str">
        <f>IFERROR(__xludf.DUMMYFUNCTION("""COMPUTED_VALUE"""),"Sitecore 10 Content Editing Basics Step-by-Step")</f>
        <v>Sitecore 10 Content Editing Basics Step-by-Step</v>
      </c>
      <c r="G607">
        <f>IFERROR(__xludf.DUMMYFUNCTION("""COMPUTED_VALUE"""),4328422.0)</f>
        <v>4328422</v>
      </c>
      <c r="H607" t="str">
        <f>IFERROR(__xludf.DUMMYFUNCTION("""COMPUTED_VALUE"""),"Vasiliy Fomichev")</f>
        <v>Vasiliy Fomichev</v>
      </c>
      <c r="I607" t="str">
        <f>IFERROR(__xludf.DUMMYFUNCTION("""COMPUTED_VALUE"""),"Low Rating")</f>
        <v>Low Rating</v>
      </c>
      <c r="J607" t="b">
        <f>IFERROR(__xludf.DUMMYFUNCTION("""COMPUTED_VALUE"""),FALSE)</f>
        <v>0</v>
      </c>
      <c r="K607" s="142" t="str">
        <f>IFERROR(__xludf.DUMMYFUNCTION("""COMPUTED_VALUE"""),"Marketing")</f>
        <v>Marketing</v>
      </c>
      <c r="L607" s="142" t="str">
        <f>IFERROR(__xludf.DUMMYFUNCTION("""COMPUTED_VALUE"""),"Content Marketing")</f>
        <v>Content Marketing</v>
      </c>
      <c r="N607" s="140" t="str">
        <f>IFERROR(__xludf.DUMMYFUNCTION("""COMPUTED_VALUE"""),"")</f>
        <v/>
      </c>
      <c r="P607" s="140" t="str">
        <f>IFERROR(__xludf.DUMMYFUNCTION("""COMPUTED_VALUE"""),"")</f>
        <v/>
      </c>
    </row>
    <row r="608">
      <c r="A608" s="141">
        <f>IFERROR(__xludf.DUMMYFUNCTION("""COMPUTED_VALUE"""),44459.0)</f>
        <v>44459</v>
      </c>
      <c r="B608" s="141">
        <f>IFERROR(__xludf.DUMMYFUNCTION("""COMPUTED_VALUE"""),44651.0)</f>
        <v>44651</v>
      </c>
      <c r="C608" t="str">
        <f>IFERROR(__xludf.DUMMYFUNCTION("""COMPUTED_VALUE"""),"en")</f>
        <v>en</v>
      </c>
      <c r="D608">
        <f>IFERROR(__xludf.DUMMYFUNCTION("""COMPUTED_VALUE"""),2615378.0)</f>
        <v>2615378</v>
      </c>
      <c r="E608" t="str">
        <f>IFERROR(__xludf.DUMMYFUNCTION("""COMPUTED_VALUE"""),"SAP S/4HANA Training with SAP HANA, S4 HANA Finance &amp; FIORI")</f>
        <v>SAP S/4HANA Training with SAP HANA, S4 HANA Finance &amp; FIORI</v>
      </c>
      <c r="F608" t="str">
        <f>IFERROR(__xludf.DUMMYFUNCTION("""COMPUTED_VALUE"""),"SAP S/4HANA Training with SAP HANA, S4 HANA Finance &amp; FIORI")</f>
        <v>SAP S/4HANA Training with SAP HANA, S4 HANA Finance &amp; FIORI</v>
      </c>
      <c r="G608">
        <f>IFERROR(__xludf.DUMMYFUNCTION("""COMPUTED_VALUE"""),4.5407028E7)</f>
        <v>45407028</v>
      </c>
      <c r="H608" t="str">
        <f>IFERROR(__xludf.DUMMYFUNCTION("""COMPUTED_VALUE"""),"Rana W Mehmood")</f>
        <v>Rana W Mehmood</v>
      </c>
      <c r="I608" t="str">
        <f>IFERROR(__xludf.DUMMYFUNCTION("""COMPUTED_VALUE"""),"Low Rating")</f>
        <v>Low Rating</v>
      </c>
      <c r="J608" t="b">
        <f>IFERROR(__xludf.DUMMYFUNCTION("""COMPUTED_VALUE"""),FALSE)</f>
        <v>0</v>
      </c>
      <c r="K608" s="142" t="str">
        <f>IFERROR(__xludf.DUMMYFUNCTION("""COMPUTED_VALUE"""),"Finance &amp; Accounting")</f>
        <v>Finance &amp; Accounting</v>
      </c>
      <c r="L608" s="142" t="str">
        <f>IFERROR(__xludf.DUMMYFUNCTION("""COMPUTED_VALUE"""),"Accounting Software")</f>
        <v>Accounting Software</v>
      </c>
      <c r="M608" s="140">
        <f>IFERROR(__xludf.DUMMYFUNCTION("""COMPUTED_VALUE"""),4146768.0)</f>
        <v>4146768</v>
      </c>
      <c r="N608" s="140" t="str">
        <f>IFERROR(__xludf.DUMMYFUNCTION("""COMPUTED_VALUE"""),"SAP S/4HANA for Beginner: Learn SAP Overview 2021")</f>
        <v>SAP S/4HANA for Beginner: Learn SAP Overview 2021</v>
      </c>
      <c r="O608" s="140">
        <f>IFERROR(__xludf.DUMMYFUNCTION("""COMPUTED_VALUE"""),2616370.0)</f>
        <v>2616370</v>
      </c>
      <c r="P608" s="140" t="str">
        <f>IFERROR(__xludf.DUMMYFUNCTION("""COMPUTED_VALUE"""),"SAP S/4HANA Finance Training (vs SAP FICO)")</f>
        <v>SAP S/4HANA Finance Training (vs SAP FICO)</v>
      </c>
    </row>
    <row r="609">
      <c r="A609" s="141">
        <f>IFERROR(__xludf.DUMMYFUNCTION("""COMPUTED_VALUE"""),44459.0)</f>
        <v>44459</v>
      </c>
      <c r="B609" s="141">
        <f>IFERROR(__xludf.DUMMYFUNCTION("""COMPUTED_VALUE"""),44651.0)</f>
        <v>44651</v>
      </c>
      <c r="C609" t="str">
        <f>IFERROR(__xludf.DUMMYFUNCTION("""COMPUTED_VALUE"""),"en")</f>
        <v>en</v>
      </c>
      <c r="D609">
        <f>IFERROR(__xludf.DUMMYFUNCTION("""COMPUTED_VALUE"""),2865598.0)</f>
        <v>2865598</v>
      </c>
      <c r="E609" t="str">
        <f>IFERROR(__xludf.DUMMYFUNCTION("""COMPUTED_VALUE"""),"Marketing Cloud Intro")</f>
        <v>Marketing Cloud Intro</v>
      </c>
      <c r="F609" t="str">
        <f>IFERROR(__xludf.DUMMYFUNCTION("""COMPUTED_VALUE"""),"Marketing Cloud Intro")</f>
        <v>Marketing Cloud Intro</v>
      </c>
      <c r="G609">
        <f>IFERROR(__xludf.DUMMYFUNCTION("""COMPUTED_VALUE"""),3.234399E7)</f>
        <v>32343990</v>
      </c>
      <c r="H609" t="str">
        <f>IFERROR(__xludf.DUMMYFUNCTION("""COMPUTED_VALUE"""),"Kaelan Moss")</f>
        <v>Kaelan Moss</v>
      </c>
      <c r="I609" t="str">
        <f>IFERROR(__xludf.DUMMYFUNCTION("""COMPUTED_VALUE"""),"Low Rating")</f>
        <v>Low Rating</v>
      </c>
      <c r="J609" t="b">
        <f>IFERROR(__xludf.DUMMYFUNCTION("""COMPUTED_VALUE"""),FALSE)</f>
        <v>0</v>
      </c>
      <c r="K609" s="142" t="str">
        <f>IFERROR(__xludf.DUMMYFUNCTION("""COMPUTED_VALUE"""),"Cloud Computing")</f>
        <v>Cloud Computing</v>
      </c>
      <c r="L609" s="142" t="str">
        <f>IFERROR(__xludf.DUMMYFUNCTION("""COMPUTED_VALUE"""),"Cloud Certification")</f>
        <v>Cloud Certification</v>
      </c>
      <c r="M609" s="140">
        <f>IFERROR(__xludf.DUMMYFUNCTION("""COMPUTED_VALUE"""),2167462.0)</f>
        <v>2167462</v>
      </c>
      <c r="N609" s="140" t="str">
        <f>IFERROR(__xludf.DUMMYFUNCTION("""COMPUTED_VALUE"""),"Salesforce Marketing Cloud Email Specialist Practice Tests")</f>
        <v>Salesforce Marketing Cloud Email Specialist Practice Tests</v>
      </c>
      <c r="P609" s="140" t="str">
        <f>IFERROR(__xludf.DUMMYFUNCTION("""COMPUTED_VALUE"""),"")</f>
        <v/>
      </c>
    </row>
    <row r="610">
      <c r="A610" s="141">
        <f>IFERROR(__xludf.DUMMYFUNCTION("""COMPUTED_VALUE"""),44459.0)</f>
        <v>44459</v>
      </c>
      <c r="B610" s="141">
        <f>IFERROR(__xludf.DUMMYFUNCTION("""COMPUTED_VALUE"""),44651.0)</f>
        <v>44651</v>
      </c>
      <c r="C610" t="str">
        <f>IFERROR(__xludf.DUMMYFUNCTION("""COMPUTED_VALUE"""),"pt")</f>
        <v>pt</v>
      </c>
      <c r="D610">
        <f>IFERROR(__xludf.DUMMYFUNCTION("""COMPUTED_VALUE"""),3110166.0)</f>
        <v>3110166</v>
      </c>
      <c r="E610" t="str">
        <f>IFERROR(__xludf.DUMMYFUNCTION("""COMPUTED_VALUE"""),"Curso de Edição de Vídeo com Vegas Pro")</f>
        <v>Curso de Edição de Vídeo com Vegas Pro</v>
      </c>
      <c r="F610" t="str">
        <f>IFERROR(__xludf.DUMMYFUNCTION("""COMPUTED_VALUE"""),"Video editing course with Vegas Pro")</f>
        <v>Video editing course with Vegas Pro</v>
      </c>
      <c r="G610">
        <f>IFERROR(__xludf.DUMMYFUNCTION("""COMPUTED_VALUE"""),2.1499366E7)</f>
        <v>21499366</v>
      </c>
      <c r="H610" t="str">
        <f>IFERROR(__xludf.DUMMYFUNCTION("""COMPUTED_VALUE"""),"João Pedro Franco")</f>
        <v>João Pedro Franco</v>
      </c>
      <c r="I610" t="str">
        <f>IFERROR(__xludf.DUMMYFUNCTION("""COMPUTED_VALUE"""),"Low Rating")</f>
        <v>Low Rating</v>
      </c>
      <c r="J610" t="b">
        <f>IFERROR(__xludf.DUMMYFUNCTION("""COMPUTED_VALUE"""),FALSE)</f>
        <v>0</v>
      </c>
      <c r="K610" s="142" t="str">
        <f>IFERROR(__xludf.DUMMYFUNCTION("""COMPUTED_VALUE"""),"Design")</f>
        <v>Design</v>
      </c>
      <c r="L610" s="142" t="str">
        <f>IFERROR(__xludf.DUMMYFUNCTION("""COMPUTED_VALUE"""),"Design Tools")</f>
        <v>Design Tools</v>
      </c>
      <c r="N610" s="140" t="str">
        <f>IFERROR(__xludf.DUMMYFUNCTION("""COMPUTED_VALUE"""),"")</f>
        <v/>
      </c>
      <c r="P610" s="140" t="str">
        <f>IFERROR(__xludf.DUMMYFUNCTION("""COMPUTED_VALUE"""),"")</f>
        <v/>
      </c>
    </row>
    <row r="611">
      <c r="A611" s="141">
        <f>IFERROR(__xludf.DUMMYFUNCTION("""COMPUTED_VALUE"""),44459.0)</f>
        <v>44459</v>
      </c>
      <c r="B611" s="141">
        <f>IFERROR(__xludf.DUMMYFUNCTION("""COMPUTED_VALUE"""),44651.0)</f>
        <v>44651</v>
      </c>
      <c r="C611" t="str">
        <f>IFERROR(__xludf.DUMMYFUNCTION("""COMPUTED_VALUE"""),"es")</f>
        <v>es</v>
      </c>
      <c r="D611">
        <f>IFERROR(__xludf.DUMMYFUNCTION("""COMPUTED_VALUE"""),3131302.0)</f>
        <v>3131302</v>
      </c>
      <c r="E611" t="str">
        <f>IFERROR(__xludf.DUMMYFUNCTION("""COMPUTED_VALUE"""),"Curso online preparación del título oficial inglés B1 o B2")</f>
        <v>Curso online preparación del título oficial inglés B1 o B2</v>
      </c>
      <c r="F611" t="str">
        <f>IFERROR(__xludf.DUMMYFUNCTION("""COMPUTED_VALUE"""),"Online Course Preparation of the official English title B1 or B2")</f>
        <v>Online Course Preparation of the official English title B1 or B2</v>
      </c>
      <c r="G611">
        <f>IFERROR(__xludf.DUMMYFUNCTION("""COMPUTED_VALUE"""),2.1023336E7)</f>
        <v>21023336</v>
      </c>
      <c r="H611" t="str">
        <f>IFERROR(__xludf.DUMMYFUNCTION("""COMPUTED_VALUE"""),"Álvaro García")</f>
        <v>Álvaro García</v>
      </c>
      <c r="I611" t="str">
        <f>IFERROR(__xludf.DUMMYFUNCTION("""COMPUTED_VALUE"""),"Low Rating")</f>
        <v>Low Rating</v>
      </c>
      <c r="J611" t="b">
        <f>IFERROR(__xludf.DUMMYFUNCTION("""COMPUTED_VALUE"""),FALSE)</f>
        <v>0</v>
      </c>
      <c r="K611" s="142" t="str">
        <f>IFERROR(__xludf.DUMMYFUNCTION("""COMPUTED_VALUE"""),"Personal Development")</f>
        <v>Personal Development</v>
      </c>
      <c r="L611" s="142" t="str">
        <f>IFERROR(__xludf.DUMMYFUNCTION("""COMPUTED_VALUE"""),"Language Learning")</f>
        <v>Language Learning</v>
      </c>
      <c r="N611" s="140" t="str">
        <f>IFERROR(__xludf.DUMMYFUNCTION("""COMPUTED_VALUE"""),"")</f>
        <v/>
      </c>
      <c r="P611" s="140" t="str">
        <f>IFERROR(__xludf.DUMMYFUNCTION("""COMPUTED_VALUE"""),"")</f>
        <v/>
      </c>
    </row>
    <row r="612">
      <c r="A612" s="141">
        <f>IFERROR(__xludf.DUMMYFUNCTION("""COMPUTED_VALUE"""),44459.0)</f>
        <v>44459</v>
      </c>
      <c r="B612" s="141">
        <f>IFERROR(__xludf.DUMMYFUNCTION("""COMPUTED_VALUE"""),44651.0)</f>
        <v>44651</v>
      </c>
      <c r="C612" t="str">
        <f>IFERROR(__xludf.DUMMYFUNCTION("""COMPUTED_VALUE"""),"en")</f>
        <v>en</v>
      </c>
      <c r="D612">
        <f>IFERROR(__xludf.DUMMYFUNCTION("""COMPUTED_VALUE"""),3232703.0)</f>
        <v>3232703</v>
      </c>
      <c r="E612" t="str">
        <f>IFERROR(__xludf.DUMMYFUNCTION("""COMPUTED_VALUE"""),"Introduction to Algorithmic Trading")</f>
        <v>Introduction to Algorithmic Trading</v>
      </c>
      <c r="F612" t="str">
        <f>IFERROR(__xludf.DUMMYFUNCTION("""COMPUTED_VALUE"""),"Introduction to Algorithmic Trading")</f>
        <v>Introduction to Algorithmic Trading</v>
      </c>
      <c r="G612">
        <f>IFERROR(__xludf.DUMMYFUNCTION("""COMPUTED_VALUE"""),1.1624345E8)</f>
        <v>116243450</v>
      </c>
      <c r="H612" t="str">
        <f>IFERROR(__xludf.DUMMYFUNCTION("""COMPUTED_VALUE"""),"Trading 707")</f>
        <v>Trading 707</v>
      </c>
      <c r="I612" t="str">
        <f>IFERROR(__xludf.DUMMYFUNCTION("""COMPUTED_VALUE"""),"Low Rating")</f>
        <v>Low Rating</v>
      </c>
      <c r="J612" t="b">
        <f>IFERROR(__xludf.DUMMYFUNCTION("""COMPUTED_VALUE"""),FALSE)</f>
        <v>0</v>
      </c>
      <c r="K612" s="142" t="str">
        <f>IFERROR(__xludf.DUMMYFUNCTION("""COMPUTED_VALUE"""),"Finance &amp; Accounting")</f>
        <v>Finance &amp; Accounting</v>
      </c>
      <c r="L612" s="142" t="str">
        <f>IFERROR(__xludf.DUMMYFUNCTION("""COMPUTED_VALUE"""),"Investing &amp; Trading")</f>
        <v>Investing &amp; Trading</v>
      </c>
      <c r="M612" s="140">
        <f>IFERROR(__xludf.DUMMYFUNCTION("""COMPUTED_VALUE"""),3395102.0)</f>
        <v>3395102</v>
      </c>
      <c r="N612" s="140" t="str">
        <f>IFERROR(__xludf.DUMMYFUNCTION("""COMPUTED_VALUE"""),"Algorithmic Trading A-Z with Python, Machine Learning &amp; AWS")</f>
        <v>Algorithmic Trading A-Z with Python, Machine Learning &amp; AWS</v>
      </c>
      <c r="O612" s="140">
        <f>IFERROR(__xludf.DUMMYFUNCTION("""COMPUTED_VALUE"""),1212032.0)</f>
        <v>1212032</v>
      </c>
      <c r="P612" s="140" t="str">
        <f>IFERROR(__xludf.DUMMYFUNCTION("""COMPUTED_VALUE"""),"Python for Financial Analysis and Algorithmic Trading")</f>
        <v>Python for Financial Analysis and Algorithmic Trading</v>
      </c>
    </row>
    <row r="613">
      <c r="A613" s="141">
        <f>IFERROR(__xludf.DUMMYFUNCTION("""COMPUTED_VALUE"""),44459.0)</f>
        <v>44459</v>
      </c>
      <c r="B613" s="141">
        <f>IFERROR(__xludf.DUMMYFUNCTION("""COMPUTED_VALUE"""),44651.0)</f>
        <v>44651</v>
      </c>
      <c r="C613" t="str">
        <f>IFERROR(__xludf.DUMMYFUNCTION("""COMPUTED_VALUE"""),"en")</f>
        <v>en</v>
      </c>
      <c r="D613">
        <f>IFERROR(__xludf.DUMMYFUNCTION("""COMPUTED_VALUE"""),3683388.0)</f>
        <v>3683388</v>
      </c>
      <c r="E613" t="str">
        <f>IFERROR(__xludf.DUMMYFUNCTION("""COMPUTED_VALUE"""),"LS DYNA - A Simulation Training with Practical Applications")</f>
        <v>LS DYNA - A Simulation Training with Practical Applications</v>
      </c>
      <c r="F613" t="str">
        <f>IFERROR(__xludf.DUMMYFUNCTION("""COMPUTED_VALUE"""),"LS DYNA - A Simulation Training with Practical Applications")</f>
        <v>LS DYNA - A Simulation Training with Practical Applications</v>
      </c>
      <c r="G613">
        <f>IFERROR(__xludf.DUMMYFUNCTION("""COMPUTED_VALUE"""),1.5543828E7)</f>
        <v>15543828</v>
      </c>
      <c r="H613" t="str">
        <f>IFERROR(__xludf.DUMMYFUNCTION("""COMPUTED_VALUE"""),"Veer Tutorial")</f>
        <v>Veer Tutorial</v>
      </c>
      <c r="I613" t="str">
        <f>IFERROR(__xludf.DUMMYFUNCTION("""COMPUTED_VALUE"""),"Low Rating")</f>
        <v>Low Rating</v>
      </c>
      <c r="J613" t="b">
        <f>IFERROR(__xludf.DUMMYFUNCTION("""COMPUTED_VALUE"""),FALSE)</f>
        <v>0</v>
      </c>
      <c r="K613" s="142" t="str">
        <f>IFERROR(__xludf.DUMMYFUNCTION("""COMPUTED_VALUE"""),"Development")</f>
        <v>Development</v>
      </c>
      <c r="L613" s="142" t="str">
        <f>IFERROR(__xludf.DUMMYFUNCTION("""COMPUTED_VALUE"""),"Software Engineering")</f>
        <v>Software Engineering</v>
      </c>
      <c r="N613" s="140" t="str">
        <f>IFERROR(__xludf.DUMMYFUNCTION("""COMPUTED_VALUE"""),"")</f>
        <v/>
      </c>
      <c r="P613" s="140" t="str">
        <f>IFERROR(__xludf.DUMMYFUNCTION("""COMPUTED_VALUE"""),"")</f>
        <v/>
      </c>
    </row>
    <row r="614">
      <c r="A614" s="141">
        <f>IFERROR(__xludf.DUMMYFUNCTION("""COMPUTED_VALUE"""),44459.0)</f>
        <v>44459</v>
      </c>
      <c r="B614" s="141">
        <f>IFERROR(__xludf.DUMMYFUNCTION("""COMPUTED_VALUE"""),44651.0)</f>
        <v>44651</v>
      </c>
      <c r="C614" t="str">
        <f>IFERROR(__xludf.DUMMYFUNCTION("""COMPUTED_VALUE"""),"en")</f>
        <v>en</v>
      </c>
      <c r="D614">
        <f>IFERROR(__xludf.DUMMYFUNCTION("""COMPUTED_VALUE"""),3902836.0)</f>
        <v>3902836</v>
      </c>
      <c r="E614" t="str">
        <f>IFERROR(__xludf.DUMMYFUNCTION("""COMPUTED_VALUE"""),"Mastering Databricks &amp; Apache spark -Build ETL data pipeline")</f>
        <v>Mastering Databricks &amp; Apache spark -Build ETL data pipeline</v>
      </c>
      <c r="F614" t="str">
        <f>IFERROR(__xludf.DUMMYFUNCTION("""COMPUTED_VALUE"""),"Mastering Databricks &amp; Apache spark -Build ETL data pipeline")</f>
        <v>Mastering Databricks &amp; Apache spark -Build ETL data pipeline</v>
      </c>
      <c r="G614">
        <f>IFERROR(__xludf.DUMMYFUNCTION("""COMPUTED_VALUE"""),1.5311661E8)</f>
        <v>153116610</v>
      </c>
      <c r="H614" t="str">
        <f>IFERROR(__xludf.DUMMYFUNCTION("""COMPUTED_VALUE"""),"Priyank Singh")</f>
        <v>Priyank Singh</v>
      </c>
      <c r="I614" t="str">
        <f>IFERROR(__xludf.DUMMYFUNCTION("""COMPUTED_VALUE"""),"Low Rating")</f>
        <v>Low Rating</v>
      </c>
      <c r="J614" t="b">
        <f>IFERROR(__xludf.DUMMYFUNCTION("""COMPUTED_VALUE"""),FALSE)</f>
        <v>0</v>
      </c>
      <c r="K614" s="142" t="str">
        <f>IFERROR(__xludf.DUMMYFUNCTION("""COMPUTED_VALUE"""),"Data Science")</f>
        <v>Data Science</v>
      </c>
      <c r="L614" s="142" t="str">
        <f>IFERROR(__xludf.DUMMYFUNCTION("""COMPUTED_VALUE"""),"Big Data")</f>
        <v>Big Data</v>
      </c>
      <c r="M614" s="140">
        <f>IFERROR(__xludf.DUMMYFUNCTION("""COMPUTED_VALUE"""),2718352.0)</f>
        <v>2718352</v>
      </c>
      <c r="N614" s="140" t="str">
        <f>IFERROR(__xludf.DUMMYFUNCTION("""COMPUTED_VALUE"""),"Databricks Fundamentals &amp; Apache Spark Core")</f>
        <v>Databricks Fundamentals &amp; Apache Spark Core</v>
      </c>
      <c r="O614" s="140">
        <f>IFERROR(__xludf.DUMMYFUNCTION("""COMPUTED_VALUE"""),2511956.0)</f>
        <v>2511956</v>
      </c>
      <c r="P614" s="140" t="str">
        <f>IFERROR(__xludf.DUMMYFUNCTION("""COMPUTED_VALUE"""),"Databricks Essentials for Spark Developers (Azure and AWS)")</f>
        <v>Databricks Essentials for Spark Developers (Azure and AWS)</v>
      </c>
    </row>
    <row r="615">
      <c r="A615" s="141">
        <f>IFERROR(__xludf.DUMMYFUNCTION("""COMPUTED_VALUE"""),44459.0)</f>
        <v>44459</v>
      </c>
      <c r="B615" s="141">
        <f>IFERROR(__xludf.DUMMYFUNCTION("""COMPUTED_VALUE"""),44651.0)</f>
        <v>44651</v>
      </c>
      <c r="C615" t="str">
        <f>IFERROR(__xludf.DUMMYFUNCTION("""COMPUTED_VALUE"""),"en")</f>
        <v>en</v>
      </c>
      <c r="D615">
        <f>IFERROR(__xludf.DUMMYFUNCTION("""COMPUTED_VALUE"""),430282.0)</f>
        <v>430282</v>
      </c>
      <c r="E615" t="str">
        <f>IFERROR(__xludf.DUMMYFUNCTION("""COMPUTED_VALUE"""),"Life Purpose Life Coach Certification 2WEC Training")</f>
        <v>Life Purpose Life Coach Certification 2WEC Training</v>
      </c>
      <c r="F615" t="str">
        <f>IFERROR(__xludf.DUMMYFUNCTION("""COMPUTED_VALUE"""),"Life Purpose Life Coach Certification 2WEC Training")</f>
        <v>Life Purpose Life Coach Certification 2WEC Training</v>
      </c>
      <c r="G615">
        <f>IFERROR(__xludf.DUMMYFUNCTION("""COMPUTED_VALUE"""),1.0248944E7)</f>
        <v>10248944</v>
      </c>
      <c r="H615" t="str">
        <f>IFERROR(__xludf.DUMMYFUNCTION("""COMPUTED_VALUE"""),"Holistic Coach Academy")</f>
        <v>Holistic Coach Academy</v>
      </c>
      <c r="I615" t="str">
        <f>IFERROR(__xludf.DUMMYFUNCTION("""COMPUTED_VALUE"""),"3 Flags")</f>
        <v>3 Flags</v>
      </c>
      <c r="J615" t="b">
        <f>IFERROR(__xludf.DUMMYFUNCTION("""COMPUTED_VALUE"""),FALSE)</f>
        <v>0</v>
      </c>
      <c r="K615" s="142" t="str">
        <f>IFERROR(__xludf.DUMMYFUNCTION("""COMPUTED_VALUE"""),"Leadership &amp; Management")</f>
        <v>Leadership &amp; Management</v>
      </c>
      <c r="L615" s="142" t="str">
        <f>IFERROR(__xludf.DUMMYFUNCTION("""COMPUTED_VALUE"""),"Leadership")</f>
        <v>Leadership</v>
      </c>
      <c r="M615" s="140">
        <f>IFERROR(__xludf.DUMMYFUNCTION("""COMPUTED_VALUE"""),430234.0)</f>
        <v>430234</v>
      </c>
      <c r="N615" s="140" t="str">
        <f>IFERROR(__xludf.DUMMYFUNCTION("""COMPUTED_VALUE"""),"Women Empowerment Life Coach Certification 1WEC Training")</f>
        <v>Women Empowerment Life Coach Certification 1WEC Training</v>
      </c>
      <c r="O615" s="140">
        <f>IFERROR(__xludf.DUMMYFUNCTION("""COMPUTED_VALUE"""),435902.0)</f>
        <v>435902</v>
      </c>
      <c r="P615" s="140" t="str">
        <f>IFERROR(__xludf.DUMMYFUNCTION("""COMPUTED_VALUE"""),"Personal Finance Life Coach Certification 3WEC Training")</f>
        <v>Personal Finance Life Coach Certification 3WEC Training</v>
      </c>
    </row>
    <row r="616">
      <c r="A616" s="141">
        <f>IFERROR(__xludf.DUMMYFUNCTION("""COMPUTED_VALUE"""),44459.0)</f>
        <v>44459</v>
      </c>
      <c r="B616" s="141">
        <f>IFERROR(__xludf.DUMMYFUNCTION("""COMPUTED_VALUE"""),44651.0)</f>
        <v>44651</v>
      </c>
      <c r="C616" t="str">
        <f>IFERROR(__xludf.DUMMYFUNCTION("""COMPUTED_VALUE"""),"en")</f>
        <v>en</v>
      </c>
      <c r="D616">
        <f>IFERROR(__xludf.DUMMYFUNCTION("""COMPUTED_VALUE"""),526570.0)</f>
        <v>526570</v>
      </c>
      <c r="E616" t="str">
        <f>IFERROR(__xludf.DUMMYFUNCTION("""COMPUTED_VALUE"""),"Crowdfunding for Changemakers")</f>
        <v>Crowdfunding for Changemakers</v>
      </c>
      <c r="F616" t="str">
        <f>IFERROR(__xludf.DUMMYFUNCTION("""COMPUTED_VALUE"""),"Crowdfunding for Changemakers")</f>
        <v>Crowdfunding for Changemakers</v>
      </c>
      <c r="G616">
        <f>IFERROR(__xludf.DUMMYFUNCTION("""COMPUTED_VALUE"""),1.3074956E7)</f>
        <v>13074956</v>
      </c>
      <c r="H616" t="str">
        <f>IFERROR(__xludf.DUMMYFUNCTION("""COMPUTED_VALUE"""),"StartSomeGood Team")</f>
        <v>StartSomeGood Team</v>
      </c>
      <c r="I616" t="str">
        <f>IFERROR(__xludf.DUMMYFUNCTION("""COMPUTED_VALUE"""),"3 Flags")</f>
        <v>3 Flags</v>
      </c>
      <c r="J616" t="b">
        <f>IFERROR(__xludf.DUMMYFUNCTION("""COMPUTED_VALUE"""),FALSE)</f>
        <v>0</v>
      </c>
      <c r="K616" s="142" t="str">
        <f>IFERROR(__xludf.DUMMYFUNCTION("""COMPUTED_VALUE"""),"Leadership &amp; Management")</f>
        <v>Leadership &amp; Management</v>
      </c>
      <c r="L616" s="142" t="str">
        <f>IFERROR(__xludf.DUMMYFUNCTION("""COMPUTED_VALUE"""),"Strategy")</f>
        <v>Strategy</v>
      </c>
      <c r="M616" s="140">
        <f>IFERROR(__xludf.DUMMYFUNCTION("""COMPUTED_VALUE"""),1255050.0)</f>
        <v>1255050</v>
      </c>
      <c r="N616" s="140" t="str">
        <f>IFERROR(__xludf.DUMMYFUNCTION("""COMPUTED_VALUE"""),"The Complete Crowdfunding Course for Kickstarter &amp; Indiegogo")</f>
        <v>The Complete Crowdfunding Course for Kickstarter &amp; Indiegogo</v>
      </c>
      <c r="O616" s="140">
        <f>IFERROR(__xludf.DUMMYFUNCTION("""COMPUTED_VALUE"""),3349106.0)</f>
        <v>3349106</v>
      </c>
      <c r="P616" s="140" t="str">
        <f>IFERROR(__xludf.DUMMYFUNCTION("""COMPUTED_VALUE"""),"Private Equity and Venture Capital with a Witch")</f>
        <v>Private Equity and Venture Capital with a Witch</v>
      </c>
    </row>
    <row r="617">
      <c r="A617" s="141">
        <f>IFERROR(__xludf.DUMMYFUNCTION("""COMPUTED_VALUE"""),44459.0)</f>
        <v>44459</v>
      </c>
      <c r="B617" s="141">
        <f>IFERROR(__xludf.DUMMYFUNCTION("""COMPUTED_VALUE"""),44651.0)</f>
        <v>44651</v>
      </c>
      <c r="C617" t="str">
        <f>IFERROR(__xludf.DUMMYFUNCTION("""COMPUTED_VALUE"""),"en")</f>
        <v>en</v>
      </c>
      <c r="D617">
        <f>IFERROR(__xludf.DUMMYFUNCTION("""COMPUTED_VALUE"""),714188.0)</f>
        <v>714188</v>
      </c>
      <c r="E617" t="str">
        <f>IFERROR(__xludf.DUMMYFUNCTION("""COMPUTED_VALUE"""),"Fixed Income Valuation and Analysis, CFA L2")</f>
        <v>Fixed Income Valuation and Analysis, CFA L2</v>
      </c>
      <c r="F617" t="str">
        <f>IFERROR(__xludf.DUMMYFUNCTION("""COMPUTED_VALUE"""),"Fixed Income Valuation and Analysis, CFA L2")</f>
        <v>Fixed Income Valuation and Analysis, CFA L2</v>
      </c>
      <c r="G617">
        <f>IFERROR(__xludf.DUMMYFUNCTION("""COMPUTED_VALUE"""),1.4396752E7)</f>
        <v>14396752</v>
      </c>
      <c r="H617" t="str">
        <f>IFERROR(__xludf.DUMMYFUNCTION("""COMPUTED_VALUE"""),"Tanuja Yadav")</f>
        <v>Tanuja Yadav</v>
      </c>
      <c r="I617" t="str">
        <f>IFERROR(__xludf.DUMMYFUNCTION("""COMPUTED_VALUE"""),"3 Flags")</f>
        <v>3 Flags</v>
      </c>
      <c r="J617" t="b">
        <f>IFERROR(__xludf.DUMMYFUNCTION("""COMPUTED_VALUE"""),FALSE)</f>
        <v>0</v>
      </c>
      <c r="K617" s="142" t="str">
        <f>IFERROR(__xludf.DUMMYFUNCTION("""COMPUTED_VALUE"""),"Finance &amp; Accounting")</f>
        <v>Finance &amp; Accounting</v>
      </c>
      <c r="L617" s="142" t="str">
        <f>IFERROR(__xludf.DUMMYFUNCTION("""COMPUTED_VALUE"""),"Financial Modeling &amp; Analysis")</f>
        <v>Financial Modeling &amp; Analysis</v>
      </c>
      <c r="M617" s="140">
        <f>IFERROR(__xludf.DUMMYFUNCTION("""COMPUTED_VALUE"""),1934778.0)</f>
        <v>1934778</v>
      </c>
      <c r="N617" s="140" t="str">
        <f>IFERROR(__xludf.DUMMYFUNCTION("""COMPUTED_VALUE"""),"CFA® Level 1 (2021/2022) - Complete Fixed Income")</f>
        <v>CFA® Level 1 (2021/2022) - Complete Fixed Income</v>
      </c>
      <c r="P617" s="140" t="str">
        <f>IFERROR(__xludf.DUMMYFUNCTION("""COMPUTED_VALUE"""),"")</f>
        <v/>
      </c>
    </row>
    <row r="618">
      <c r="A618" s="141">
        <f>IFERROR(__xludf.DUMMYFUNCTION("""COMPUTED_VALUE"""),44459.0)</f>
        <v>44459</v>
      </c>
      <c r="B618" s="141">
        <f>IFERROR(__xludf.DUMMYFUNCTION("""COMPUTED_VALUE"""),44651.0)</f>
        <v>44651</v>
      </c>
      <c r="C618" t="str">
        <f>IFERROR(__xludf.DUMMYFUNCTION("""COMPUTED_VALUE"""),"en")</f>
        <v>en</v>
      </c>
      <c r="D618">
        <f>IFERROR(__xludf.DUMMYFUNCTION("""COMPUTED_VALUE"""),864758.0)</f>
        <v>864758</v>
      </c>
      <c r="E618" t="str">
        <f>IFERROR(__xludf.DUMMYFUNCTION("""COMPUTED_VALUE"""),"UI Animation using Sketch 3, Principle App, and Flinto")</f>
        <v>UI Animation using Sketch 3, Principle App, and Flinto</v>
      </c>
      <c r="F618" t="str">
        <f>IFERROR(__xludf.DUMMYFUNCTION("""COMPUTED_VALUE"""),"UI Animation using Sketch 3, Principle App, and Flinto")</f>
        <v>UI Animation using Sketch 3, Principle App, and Flinto</v>
      </c>
      <c r="G618">
        <f>IFERROR(__xludf.DUMMYFUNCTION("""COMPUTED_VALUE"""),4214534.0)</f>
        <v>4214534</v>
      </c>
      <c r="H618" t="str">
        <f>IFERROR(__xludf.DUMMYFUNCTION("""COMPUTED_VALUE"""),"Pablo Stanley")</f>
        <v>Pablo Stanley</v>
      </c>
      <c r="I618" t="str">
        <f>IFERROR(__xludf.DUMMYFUNCTION("""COMPUTED_VALUE"""),"3 Flags")</f>
        <v>3 Flags</v>
      </c>
      <c r="J618" t="b">
        <f>IFERROR(__xludf.DUMMYFUNCTION("""COMPUTED_VALUE"""),FALSE)</f>
        <v>0</v>
      </c>
      <c r="K618" s="142" t="str">
        <f>IFERROR(__xludf.DUMMYFUNCTION("""COMPUTED_VALUE"""),"Design")</f>
        <v>Design</v>
      </c>
      <c r="L618" s="142" t="str">
        <f>IFERROR(__xludf.DUMMYFUNCTION("""COMPUTED_VALUE"""),"Design Tools")</f>
        <v>Design Tools</v>
      </c>
      <c r="M618" s="140">
        <f>IFERROR(__xludf.DUMMYFUNCTION("""COMPUTED_VALUE"""),381850.0)</f>
        <v>381850</v>
      </c>
      <c r="N618" s="140" t="str">
        <f>IFERROR(__xludf.DUMMYFUNCTION("""COMPUTED_VALUE"""),"Mobile App Design In Sketch 3: UX and UI Design From Scratch")</f>
        <v>Mobile App Design In Sketch 3: UX and UI Design From Scratch</v>
      </c>
      <c r="O618" s="140">
        <f>IFERROR(__xludf.DUMMYFUNCTION("""COMPUTED_VALUE"""),371074.0)</f>
        <v>371074</v>
      </c>
      <c r="P618" s="140" t="str">
        <f>IFERROR(__xludf.DUMMYFUNCTION("""COMPUTED_VALUE"""),"Sketch from A to Z (2021): Become an app designer")</f>
        <v>Sketch from A to Z (2021): Become an app designer</v>
      </c>
    </row>
    <row r="619">
      <c r="A619" s="141">
        <f>IFERROR(__xludf.DUMMYFUNCTION("""COMPUTED_VALUE"""),44459.0)</f>
        <v>44459</v>
      </c>
      <c r="B619" s="141">
        <f>IFERROR(__xludf.DUMMYFUNCTION("""COMPUTED_VALUE"""),44651.0)</f>
        <v>44651</v>
      </c>
      <c r="C619" t="str">
        <f>IFERROR(__xludf.DUMMYFUNCTION("""COMPUTED_VALUE"""),"es")</f>
        <v>es</v>
      </c>
      <c r="D619">
        <f>IFERROR(__xludf.DUMMYFUNCTION("""COMPUTED_VALUE"""),1316658.0)</f>
        <v>1316658</v>
      </c>
      <c r="E619" t="str">
        <f>IFERROR(__xludf.DUMMYFUNCTION("""COMPUTED_VALUE"""),"Curso Completo de Email Marketing - Actualizado 2021")</f>
        <v>Curso Completo de Email Marketing - Actualizado 2021</v>
      </c>
      <c r="F619" t="str">
        <f>IFERROR(__xludf.DUMMYFUNCTION("""COMPUTED_VALUE"""),"Complete email marketing course - Updated 2021")</f>
        <v>Complete email marketing course - Updated 2021</v>
      </c>
      <c r="G619">
        <f>IFERROR(__xludf.DUMMYFUNCTION("""COMPUTED_VALUE"""),1.1894166E7)</f>
        <v>11894166</v>
      </c>
      <c r="H619" t="str">
        <f>IFERROR(__xludf.DUMMYFUNCTION("""COMPUTED_VALUE"""),"Blast Marketing")</f>
        <v>Blast Marketing</v>
      </c>
      <c r="I619" t="str">
        <f>IFERROR(__xludf.DUMMYFUNCTION("""COMPUTED_VALUE"""),"3 Flags")</f>
        <v>3 Flags</v>
      </c>
      <c r="J619" t="b">
        <f>IFERROR(__xludf.DUMMYFUNCTION("""COMPUTED_VALUE"""),FALSE)</f>
        <v>0</v>
      </c>
      <c r="K619" s="142" t="str">
        <f>IFERROR(__xludf.DUMMYFUNCTION("""COMPUTED_VALUE"""),"Marketing")</f>
        <v>Marketing</v>
      </c>
      <c r="L619" s="142" t="str">
        <f>IFERROR(__xludf.DUMMYFUNCTION("""COMPUTED_VALUE"""),"Content Marketing")</f>
        <v>Content Marketing</v>
      </c>
      <c r="M619" s="140">
        <f>IFERROR(__xludf.DUMMYFUNCTION("""COMPUTED_VALUE"""),1362058.0)</f>
        <v>1362058</v>
      </c>
      <c r="N619" s="140" t="str">
        <f>IFERROR(__xludf.DUMMYFUNCTION("""COMPUTED_VALUE"""),"Curso Completo de Email Marketing para Negocios y Personas")</f>
        <v>Curso Completo de Email Marketing para Negocios y Personas</v>
      </c>
      <c r="O619" s="140">
        <f>IFERROR(__xludf.DUMMYFUNCTION("""COMPUTED_VALUE"""),1485712.0)</f>
        <v>1485712</v>
      </c>
      <c r="P619" s="140" t="str">
        <f>IFERROR(__xludf.DUMMYFUNCTION("""COMPUTED_VALUE"""),"Email Marketing: La herramienta de ventas más efectiva")</f>
        <v>Email Marketing: La herramienta de ventas más efectiva</v>
      </c>
    </row>
    <row r="620">
      <c r="A620" s="141">
        <f>IFERROR(__xludf.DUMMYFUNCTION("""COMPUTED_VALUE"""),44459.0)</f>
        <v>44459</v>
      </c>
      <c r="B620" s="141">
        <f>IFERROR(__xludf.DUMMYFUNCTION("""COMPUTED_VALUE"""),44651.0)</f>
        <v>44651</v>
      </c>
      <c r="C620" t="str">
        <f>IFERROR(__xludf.DUMMYFUNCTION("""COMPUTED_VALUE"""),"es")</f>
        <v>es</v>
      </c>
      <c r="D620">
        <f>IFERROR(__xludf.DUMMYFUNCTION("""COMPUTED_VALUE"""),1351182.0)</f>
        <v>1351182</v>
      </c>
      <c r="E620" t="str">
        <f>IFERROR(__xludf.DUMMYFUNCTION("""COMPUTED_VALUE"""),"Proyecto Java Web  JSP, Servlet con MySQL desde NetBeans IDE")</f>
        <v>Proyecto Java Web  JSP, Servlet con MySQL desde NetBeans IDE</v>
      </c>
      <c r="F620" t="str">
        <f>IFERROR(__xludf.DUMMYFUNCTION("""COMPUTED_VALUE"""),"Java Web JSP project, servlet with MySQL from NetBeans IDE")</f>
        <v>Java Web JSP project, servlet with MySQL from NetBeans IDE</v>
      </c>
      <c r="G620">
        <f>IFERROR(__xludf.DUMMYFUNCTION("""COMPUTED_VALUE"""),3.6281342E7)</f>
        <v>36281342</v>
      </c>
      <c r="H620" t="str">
        <f>IFERROR(__xludf.DUMMYFUNCTION("""COMPUTED_VALUE"""),"Christian Gámez")</f>
        <v>Christian Gámez</v>
      </c>
      <c r="I620" t="str">
        <f>IFERROR(__xludf.DUMMYFUNCTION("""COMPUTED_VALUE"""),"3 Flags")</f>
        <v>3 Flags</v>
      </c>
      <c r="J620" t="b">
        <f>IFERROR(__xludf.DUMMYFUNCTION("""COMPUTED_VALUE"""),FALSE)</f>
        <v>0</v>
      </c>
      <c r="K620" s="142" t="str">
        <f>IFERROR(__xludf.DUMMYFUNCTION("""COMPUTED_VALUE"""),"Development")</f>
        <v>Development</v>
      </c>
      <c r="L620" s="142" t="str">
        <f>IFERROR(__xludf.DUMMYFUNCTION("""COMPUTED_VALUE"""),"Web Development")</f>
        <v>Web Development</v>
      </c>
      <c r="M620" s="140">
        <f>IFERROR(__xludf.DUMMYFUNCTION("""COMPUTED_VALUE"""),781696.0)</f>
        <v>781696</v>
      </c>
      <c r="N620" s="140" t="str">
        <f>IFERROR(__xludf.DUMMYFUNCTION("""COMPUTED_VALUE"""),"Curso Java SE, Java EE con MySQL - De básico hasta avanzado")</f>
        <v>Curso Java SE, Java EE con MySQL - De básico hasta avanzado</v>
      </c>
      <c r="P620" s="140" t="str">
        <f>IFERROR(__xludf.DUMMYFUNCTION("""COMPUTED_VALUE"""),"")</f>
        <v/>
      </c>
    </row>
    <row r="621">
      <c r="A621" s="141">
        <f>IFERROR(__xludf.DUMMYFUNCTION("""COMPUTED_VALUE"""),44459.0)</f>
        <v>44459</v>
      </c>
      <c r="B621" s="141">
        <f>IFERROR(__xludf.DUMMYFUNCTION("""COMPUTED_VALUE"""),44651.0)</f>
        <v>44651</v>
      </c>
      <c r="C621" t="str">
        <f>IFERROR(__xludf.DUMMYFUNCTION("""COMPUTED_VALUE"""),"de")</f>
        <v>de</v>
      </c>
      <c r="D621">
        <f>IFERROR(__xludf.DUMMYFUNCTION("""COMPUTED_VALUE"""),1355300.0)</f>
        <v>1355300</v>
      </c>
      <c r="E621" t="str">
        <f>IFERROR(__xludf.DUMMYFUNCTION("""COMPUTED_VALUE"""),"Lehrinhalte für Seminare und Vorträge ausarbeiten")</f>
        <v>Lehrinhalte für Seminare und Vorträge ausarbeiten</v>
      </c>
      <c r="F621" t="str">
        <f>IFERROR(__xludf.DUMMYFUNCTION("""COMPUTED_VALUE"""),"Education content for seminars and lectures")</f>
        <v>Education content for seminars and lectures</v>
      </c>
      <c r="G621">
        <f>IFERROR(__xludf.DUMMYFUNCTION("""COMPUTED_VALUE"""),2.6788034E7)</f>
        <v>26788034</v>
      </c>
      <c r="H621" t="str">
        <f>IFERROR(__xludf.DUMMYFUNCTION("""COMPUTED_VALUE"""),"Angelika Froech")</f>
        <v>Angelika Froech</v>
      </c>
      <c r="I621" t="str">
        <f>IFERROR(__xludf.DUMMYFUNCTION("""COMPUTED_VALUE"""),"3 Flags")</f>
        <v>3 Flags</v>
      </c>
      <c r="J621" t="b">
        <f>IFERROR(__xludf.DUMMYFUNCTION("""COMPUTED_VALUE"""),FALSE)</f>
        <v>0</v>
      </c>
      <c r="K621" s="142" t="str">
        <f>IFERROR(__xludf.DUMMYFUNCTION("""COMPUTED_VALUE"""),"Workplace &amp; Human Resources")</f>
        <v>Workplace &amp; Human Resources</v>
      </c>
      <c r="L621" s="142" t="str">
        <f>IFERROR(__xludf.DUMMYFUNCTION("""COMPUTED_VALUE"""),"Learning &amp; Development")</f>
        <v>Learning &amp; Development</v>
      </c>
      <c r="N621" s="140" t="str">
        <f>IFERROR(__xludf.DUMMYFUNCTION("""COMPUTED_VALUE"""),"")</f>
        <v/>
      </c>
      <c r="P621" s="140" t="str">
        <f>IFERROR(__xludf.DUMMYFUNCTION("""COMPUTED_VALUE"""),"")</f>
        <v/>
      </c>
    </row>
    <row r="622">
      <c r="A622" s="141">
        <f>IFERROR(__xludf.DUMMYFUNCTION("""COMPUTED_VALUE"""),44459.0)</f>
        <v>44459</v>
      </c>
      <c r="B622" s="141">
        <f>IFERROR(__xludf.DUMMYFUNCTION("""COMPUTED_VALUE"""),44651.0)</f>
        <v>44651</v>
      </c>
      <c r="C622" t="str">
        <f>IFERROR(__xludf.DUMMYFUNCTION("""COMPUTED_VALUE"""),"de")</f>
        <v>de</v>
      </c>
      <c r="D622">
        <f>IFERROR(__xludf.DUMMYFUNCTION("""COMPUTED_VALUE"""),1573650.0)</f>
        <v>1573650</v>
      </c>
      <c r="E622" t="str">
        <f>IFERROR(__xludf.DUMMYFUNCTION("""COMPUTED_VALUE"""),"Webinar Marketing: Erstelle Professionelle Webinar Funnels")</f>
        <v>Webinar Marketing: Erstelle Professionelle Webinar Funnels</v>
      </c>
      <c r="F622" t="str">
        <f>IFERROR(__xludf.DUMMYFUNCTION("""COMPUTED_VALUE"""),"Webinar Marketing: Create Professional Webinar Funnels")</f>
        <v>Webinar Marketing: Create Professional Webinar Funnels</v>
      </c>
      <c r="G622">
        <f>IFERROR(__xludf.DUMMYFUNCTION("""COMPUTED_VALUE"""),4.4715702E7)</f>
        <v>44715702</v>
      </c>
      <c r="H622" t="str">
        <f>IFERROR(__xludf.DUMMYFUNCTION("""COMPUTED_VALUE"""),"eCommerce Hero")</f>
        <v>eCommerce Hero</v>
      </c>
      <c r="I622" t="str">
        <f>IFERROR(__xludf.DUMMYFUNCTION("""COMPUTED_VALUE"""),"3 Flags")</f>
        <v>3 Flags</v>
      </c>
      <c r="J622" t="b">
        <f>IFERROR(__xludf.DUMMYFUNCTION("""COMPUTED_VALUE"""),FALSE)</f>
        <v>0</v>
      </c>
      <c r="K622" s="142" t="str">
        <f>IFERROR(__xludf.DUMMYFUNCTION("""COMPUTED_VALUE"""),"Marketing")</f>
        <v>Marketing</v>
      </c>
      <c r="L622" s="142" t="str">
        <f>IFERROR(__xludf.DUMMYFUNCTION("""COMPUTED_VALUE"""),"Digital Marketing")</f>
        <v>Digital Marketing</v>
      </c>
      <c r="M622" s="140">
        <f>IFERROR(__xludf.DUMMYFUNCTION("""COMPUTED_VALUE"""),2753438.0)</f>
        <v>2753438</v>
      </c>
      <c r="N622" s="140" t="str">
        <f>IFERROR(__xludf.DUMMYFUNCTION("""COMPUTED_VALUE"""),"Profitables E-Mail Marketing mit Quentn in 5 Stunden lernen")</f>
        <v>Profitables E-Mail Marketing mit Quentn in 5 Stunden lernen</v>
      </c>
      <c r="P622" s="140" t="str">
        <f>IFERROR(__xludf.DUMMYFUNCTION("""COMPUTED_VALUE"""),"")</f>
        <v/>
      </c>
    </row>
    <row r="623">
      <c r="A623" s="141">
        <f>IFERROR(__xludf.DUMMYFUNCTION("""COMPUTED_VALUE"""),44459.0)</f>
        <v>44459</v>
      </c>
      <c r="B623" s="141">
        <f>IFERROR(__xludf.DUMMYFUNCTION("""COMPUTED_VALUE"""),44651.0)</f>
        <v>44651</v>
      </c>
      <c r="C623" t="str">
        <f>IFERROR(__xludf.DUMMYFUNCTION("""COMPUTED_VALUE"""),"de")</f>
        <v>de</v>
      </c>
      <c r="D623">
        <f>IFERROR(__xludf.DUMMYFUNCTION("""COMPUTED_VALUE"""),1581856.0)</f>
        <v>1581856</v>
      </c>
      <c r="E623" t="str">
        <f>IFERROR(__xludf.DUMMYFUNCTION("""COMPUTED_VALUE"""),"Product Owner:in (agile/Scrum - v. 2020)")</f>
        <v>Product Owner:in (agile/Scrum - v. 2020)</v>
      </c>
      <c r="F623" t="str">
        <f>IFERROR(__xludf.DUMMYFUNCTION("""COMPUTED_VALUE"""),"Product Owner:in (agile/Scrum - v. 2020)")</f>
        <v>Product Owner:in (agile/Scrum - v. 2020)</v>
      </c>
      <c r="G623">
        <f>IFERROR(__xludf.DUMMYFUNCTION("""COMPUTED_VALUE"""),2.1416892E7)</f>
        <v>21416892</v>
      </c>
      <c r="H623" t="str">
        <f>IFERROR(__xludf.DUMMYFUNCTION("""COMPUTED_VALUE"""),"Nadine Wischmeier")</f>
        <v>Nadine Wischmeier</v>
      </c>
      <c r="I623" t="str">
        <f>IFERROR(__xludf.DUMMYFUNCTION("""COMPUTED_VALUE"""),"3 Flags")</f>
        <v>3 Flags</v>
      </c>
      <c r="J623" t="b">
        <f>IFERROR(__xludf.DUMMYFUNCTION("""COMPUTED_VALUE"""),FALSE)</f>
        <v>0</v>
      </c>
      <c r="K623" s="142" t="str">
        <f>IFERROR(__xludf.DUMMYFUNCTION("""COMPUTED_VALUE"""),"Project Management &amp; Operations")</f>
        <v>Project Management &amp; Operations</v>
      </c>
      <c r="L623" s="142" t="str">
        <f>IFERROR(__xludf.DUMMYFUNCTION("""COMPUTED_VALUE"""),"Agile &amp; Scrum")</f>
        <v>Agile &amp; Scrum</v>
      </c>
      <c r="M623" s="140">
        <f>IFERROR(__xludf.DUMMYFUNCTION("""COMPUTED_VALUE"""),2878920.0)</f>
        <v>2878920</v>
      </c>
      <c r="N623" s="140" t="str">
        <f>IFERROR(__xludf.DUMMYFUNCTION("""COMPUTED_VALUE"""),"Agiles Projektmanagement gestalten mit Scrum &amp; Kanban")</f>
        <v>Agiles Projektmanagement gestalten mit Scrum &amp; Kanban</v>
      </c>
      <c r="P623" s="140" t="str">
        <f>IFERROR(__xludf.DUMMYFUNCTION("""COMPUTED_VALUE"""),"")</f>
        <v/>
      </c>
    </row>
    <row r="624">
      <c r="A624" s="141">
        <f>IFERROR(__xludf.DUMMYFUNCTION("""COMPUTED_VALUE"""),44459.0)</f>
        <v>44459</v>
      </c>
      <c r="B624" s="141">
        <f>IFERROR(__xludf.DUMMYFUNCTION("""COMPUTED_VALUE"""),44651.0)</f>
        <v>44651</v>
      </c>
      <c r="C624" t="str">
        <f>IFERROR(__xludf.DUMMYFUNCTION("""COMPUTED_VALUE"""),"de")</f>
        <v>de</v>
      </c>
      <c r="D624">
        <f>IFERROR(__xludf.DUMMYFUNCTION("""COMPUTED_VALUE"""),1592594.0)</f>
        <v>1592594</v>
      </c>
      <c r="E624" t="str">
        <f>IFERROR(__xludf.DUMMYFUNCTION("""COMPUTED_VALUE"""),"Facebook Marketing Meisterkurs: Der Komplette Facebook Kurs")</f>
        <v>Facebook Marketing Meisterkurs: Der Komplette Facebook Kurs</v>
      </c>
      <c r="F624" t="str">
        <f>IFERROR(__xludf.DUMMYFUNCTION("""COMPUTED_VALUE"""),"Facebook Marketing Master Course: The Complete Facebook Course")</f>
        <v>Facebook Marketing Master Course: The Complete Facebook Course</v>
      </c>
      <c r="G624">
        <f>IFERROR(__xludf.DUMMYFUNCTION("""COMPUTED_VALUE"""),7649326.0)</f>
        <v>7649326</v>
      </c>
      <c r="H624" t="str">
        <f>IFERROR(__xludf.DUMMYFUNCTION("""COMPUTED_VALUE"""),"Leon Chaudhari")</f>
        <v>Leon Chaudhari</v>
      </c>
      <c r="I624" t="str">
        <f>IFERROR(__xludf.DUMMYFUNCTION("""COMPUTED_VALUE"""),"3 Flags")</f>
        <v>3 Flags</v>
      </c>
      <c r="J624" t="b">
        <f>IFERROR(__xludf.DUMMYFUNCTION("""COMPUTED_VALUE"""),FALSE)</f>
        <v>0</v>
      </c>
      <c r="K624" s="142" t="str">
        <f>IFERROR(__xludf.DUMMYFUNCTION("""COMPUTED_VALUE"""),"Marketing")</f>
        <v>Marketing</v>
      </c>
      <c r="L624" s="142" t="str">
        <f>IFERROR(__xludf.DUMMYFUNCTION("""COMPUTED_VALUE"""),"Social Media Marketing")</f>
        <v>Social Media Marketing</v>
      </c>
      <c r="M624" s="140">
        <f>IFERROR(__xludf.DUMMYFUNCTION("""COMPUTED_VALUE"""),1622104.0)</f>
        <v>1622104</v>
      </c>
      <c r="N624" s="140" t="str">
        <f>IFERROR(__xludf.DUMMYFUNCTION("""COMPUTED_VALUE"""),"Facebook Marketing - Seite, Gruppe, Livestream, Bots und Co.")</f>
        <v>Facebook Marketing - Seite, Gruppe, Livestream, Bots und Co.</v>
      </c>
      <c r="O624" s="140">
        <f>IFERROR(__xludf.DUMMYFUNCTION("""COMPUTED_VALUE"""),2591016.0)</f>
        <v>2591016</v>
      </c>
      <c r="P624" s="140" t="str">
        <f>IFERROR(__xludf.DUMMYFUNCTION("""COMPUTED_VALUE"""),"Facebook Ads Campaign Budget Optimization CBO Kurs Deutsch")</f>
        <v>Facebook Ads Campaign Budget Optimization CBO Kurs Deutsch</v>
      </c>
    </row>
    <row r="625">
      <c r="A625" s="141">
        <f>IFERROR(__xludf.DUMMYFUNCTION("""COMPUTED_VALUE"""),44459.0)</f>
        <v>44459</v>
      </c>
      <c r="B625" s="141">
        <f>IFERROR(__xludf.DUMMYFUNCTION("""COMPUTED_VALUE"""),44651.0)</f>
        <v>44651</v>
      </c>
      <c r="C625" t="str">
        <f>IFERROR(__xludf.DUMMYFUNCTION("""COMPUTED_VALUE"""),"de")</f>
        <v>de</v>
      </c>
      <c r="D625">
        <f>IFERROR(__xludf.DUMMYFUNCTION("""COMPUTED_VALUE"""),1607512.0)</f>
        <v>1607512</v>
      </c>
      <c r="E625" t="str">
        <f>IFERROR(__xludf.DUMMYFUNCTION("""COMPUTED_VALUE"""),"Microsoft SSAS (Deutsch) - Cube-Erstellung + PowerBI Zugriff")</f>
        <v>Microsoft SSAS (Deutsch) - Cube-Erstellung + PowerBI Zugriff</v>
      </c>
      <c r="F625" t="str">
        <f>IFERROR(__xludf.DUMMYFUNCTION("""COMPUTED_VALUE"""),"Microsoft SSAS (German) - Cube Creation + Powerbi Access")</f>
        <v>Microsoft SSAS (German) - Cube Creation + Powerbi Access</v>
      </c>
      <c r="G625">
        <f>IFERROR(__xludf.DUMMYFUNCTION("""COMPUTED_VALUE"""),272449.0)</f>
        <v>272449</v>
      </c>
      <c r="H625" t="str">
        <f>IFERROR(__xludf.DUMMYFUNCTION("""COMPUTED_VALUE"""),"Steffen Weiler")</f>
        <v>Steffen Weiler</v>
      </c>
      <c r="I625" t="str">
        <f>IFERROR(__xludf.DUMMYFUNCTION("""COMPUTED_VALUE"""),"3 Flags")</f>
        <v>3 Flags</v>
      </c>
      <c r="J625" t="b">
        <f>IFERROR(__xludf.DUMMYFUNCTION("""COMPUTED_VALUE"""),FALSE)</f>
        <v>0</v>
      </c>
      <c r="K625" s="142" t="str">
        <f>IFERROR(__xludf.DUMMYFUNCTION("""COMPUTED_VALUE"""),"Data Science")</f>
        <v>Data Science</v>
      </c>
      <c r="L625" s="142" t="str">
        <f>IFERROR(__xludf.DUMMYFUNCTION("""COMPUTED_VALUE"""),"Analytics")</f>
        <v>Analytics</v>
      </c>
      <c r="N625" s="140" t="str">
        <f>IFERROR(__xludf.DUMMYFUNCTION("""COMPUTED_VALUE"""),"")</f>
        <v/>
      </c>
      <c r="P625" s="140" t="str">
        <f>IFERROR(__xludf.DUMMYFUNCTION("""COMPUTED_VALUE"""),"")</f>
        <v/>
      </c>
    </row>
    <row r="626">
      <c r="A626" s="141">
        <f>IFERROR(__xludf.DUMMYFUNCTION("""COMPUTED_VALUE"""),44459.0)</f>
        <v>44459</v>
      </c>
      <c r="B626" s="141">
        <f>IFERROR(__xludf.DUMMYFUNCTION("""COMPUTED_VALUE"""),44651.0)</f>
        <v>44651</v>
      </c>
      <c r="C626" t="str">
        <f>IFERROR(__xludf.DUMMYFUNCTION("""COMPUTED_VALUE"""),"de")</f>
        <v>de</v>
      </c>
      <c r="D626">
        <f>IFERROR(__xludf.DUMMYFUNCTION("""COMPUTED_VALUE"""),1854702.0)</f>
        <v>1854702</v>
      </c>
      <c r="E626" t="str">
        <f>IFERROR(__xludf.DUMMYFUNCTION("""COMPUTED_VALUE"""),"Dauerhafter Erfolg als Führungskraft - inkl. Shortbook")</f>
        <v>Dauerhafter Erfolg als Führungskraft - inkl. Shortbook</v>
      </c>
      <c r="F626" t="str">
        <f>IFERROR(__xludf.DUMMYFUNCTION("""COMPUTED_VALUE"""),"Permanent success as a manager - incl. Shortbook")</f>
        <v>Permanent success as a manager - incl. Shortbook</v>
      </c>
      <c r="G626">
        <f>IFERROR(__xludf.DUMMYFUNCTION("""COMPUTED_VALUE"""),4.726372E7)</f>
        <v>47263720</v>
      </c>
      <c r="H626" t="str">
        <f>IFERROR(__xludf.DUMMYFUNCTION("""COMPUTED_VALUE"""),"Susanne Knaller")</f>
        <v>Susanne Knaller</v>
      </c>
      <c r="I626" t="str">
        <f>IFERROR(__xludf.DUMMYFUNCTION("""COMPUTED_VALUE"""),"3 Flags")</f>
        <v>3 Flags</v>
      </c>
      <c r="J626" t="b">
        <f>IFERROR(__xludf.DUMMYFUNCTION("""COMPUTED_VALUE"""),FALSE)</f>
        <v>0</v>
      </c>
      <c r="K626" s="142" t="str">
        <f>IFERROR(__xludf.DUMMYFUNCTION("""COMPUTED_VALUE"""),"Leadership &amp; Management")</f>
        <v>Leadership &amp; Management</v>
      </c>
      <c r="L626" s="142" t="str">
        <f>IFERROR(__xludf.DUMMYFUNCTION("""COMPUTED_VALUE"""),"Leadership")</f>
        <v>Leadership</v>
      </c>
      <c r="N626" s="140" t="str">
        <f>IFERROR(__xludf.DUMMYFUNCTION("""COMPUTED_VALUE"""),"")</f>
        <v/>
      </c>
      <c r="P626" s="140" t="str">
        <f>IFERROR(__xludf.DUMMYFUNCTION("""COMPUTED_VALUE"""),"")</f>
        <v/>
      </c>
    </row>
    <row r="627">
      <c r="A627" s="141">
        <f>IFERROR(__xludf.DUMMYFUNCTION("""COMPUTED_VALUE"""),44459.0)</f>
        <v>44459</v>
      </c>
      <c r="B627" s="141">
        <f>IFERROR(__xludf.DUMMYFUNCTION("""COMPUTED_VALUE"""),44651.0)</f>
        <v>44651</v>
      </c>
      <c r="C627" t="str">
        <f>IFERROR(__xludf.DUMMYFUNCTION("""COMPUTED_VALUE"""),"en")</f>
        <v>en</v>
      </c>
      <c r="D627">
        <f>IFERROR(__xludf.DUMMYFUNCTION("""COMPUTED_VALUE"""),2131092.0)</f>
        <v>2131092</v>
      </c>
      <c r="E627" t="str">
        <f>IFERROR(__xludf.DUMMYFUNCTION("""COMPUTED_VALUE"""),"Build Library Management System | Python &amp; PyQt5")</f>
        <v>Build Library Management System | Python &amp; PyQt5</v>
      </c>
      <c r="F627" t="str">
        <f>IFERROR(__xludf.DUMMYFUNCTION("""COMPUTED_VALUE"""),"Build Library Management System | Python &amp; PyQt5")</f>
        <v>Build Library Management System | Python &amp; PyQt5</v>
      </c>
      <c r="G627">
        <f>IFERROR(__xludf.DUMMYFUNCTION("""COMPUTED_VALUE"""),1.5392798E7)</f>
        <v>15392798</v>
      </c>
      <c r="H627" t="str">
        <f>IFERROR(__xludf.DUMMYFUNCTION("""COMPUTED_VALUE"""),"Mahmoud Ahmed")</f>
        <v>Mahmoud Ahmed</v>
      </c>
      <c r="I627" t="str">
        <f>IFERROR(__xludf.DUMMYFUNCTION("""COMPUTED_VALUE"""),"3 Flags")</f>
        <v>3 Flags</v>
      </c>
      <c r="J627" t="b">
        <f>IFERROR(__xludf.DUMMYFUNCTION("""COMPUTED_VALUE"""),FALSE)</f>
        <v>0</v>
      </c>
      <c r="K627" s="142" t="str">
        <f>IFERROR(__xludf.DUMMYFUNCTION("""COMPUTED_VALUE"""),"Development")</f>
        <v>Development</v>
      </c>
      <c r="L627" s="142" t="str">
        <f>IFERROR(__xludf.DUMMYFUNCTION("""COMPUTED_VALUE"""),"Programming Languages")</f>
        <v>Programming Languages</v>
      </c>
      <c r="N627" s="140" t="str">
        <f>IFERROR(__xludf.DUMMYFUNCTION("""COMPUTED_VALUE"""),"")</f>
        <v/>
      </c>
      <c r="P627" s="140" t="str">
        <f>IFERROR(__xludf.DUMMYFUNCTION("""COMPUTED_VALUE"""),"")</f>
        <v/>
      </c>
    </row>
    <row r="628">
      <c r="A628" s="141">
        <f>IFERROR(__xludf.DUMMYFUNCTION("""COMPUTED_VALUE"""),44459.0)</f>
        <v>44459</v>
      </c>
      <c r="B628" s="141">
        <f>IFERROR(__xludf.DUMMYFUNCTION("""COMPUTED_VALUE"""),44651.0)</f>
        <v>44651</v>
      </c>
      <c r="C628" t="str">
        <f>IFERROR(__xludf.DUMMYFUNCTION("""COMPUTED_VALUE"""),"de")</f>
        <v>de</v>
      </c>
      <c r="D628">
        <f>IFERROR(__xludf.DUMMYFUNCTION("""COMPUTED_VALUE"""),2210888.0)</f>
        <v>2210888</v>
      </c>
      <c r="E628" t="str">
        <f>IFERROR(__xludf.DUMMYFUNCTION("""COMPUTED_VALUE"""),"Expressive und farbenfrohe Blumen in Aquarell")</f>
        <v>Expressive und farbenfrohe Blumen in Aquarell</v>
      </c>
      <c r="F628" t="str">
        <f>IFERROR(__xludf.DUMMYFUNCTION("""COMPUTED_VALUE"""),"Expressive and colorful flowers in watercolor")</f>
        <v>Expressive and colorful flowers in watercolor</v>
      </c>
      <c r="G628">
        <f>IFERROR(__xludf.DUMMYFUNCTION("""COMPUTED_VALUE"""),6.4345668E7)</f>
        <v>64345668</v>
      </c>
      <c r="H628" t="str">
        <f>IFERROR(__xludf.DUMMYFUNCTION("""COMPUTED_VALUE"""),"Inna Pavlecka-Tumarkin")</f>
        <v>Inna Pavlecka-Tumarkin</v>
      </c>
      <c r="I628" t="str">
        <f>IFERROR(__xludf.DUMMYFUNCTION("""COMPUTED_VALUE"""),"3 Flags")</f>
        <v>3 Flags</v>
      </c>
      <c r="J628" t="b">
        <f>IFERROR(__xludf.DUMMYFUNCTION("""COMPUTED_VALUE"""),FALSE)</f>
        <v>0</v>
      </c>
      <c r="K628" s="142" t="str">
        <f>IFERROR(__xludf.DUMMYFUNCTION("""COMPUTED_VALUE"""),"Personal Development")</f>
        <v>Personal Development</v>
      </c>
      <c r="L628" s="142" t="str">
        <f>IFERROR(__xludf.DUMMYFUNCTION("""COMPUTED_VALUE"""),"Arts &amp; Creativity")</f>
        <v>Arts &amp; Creativity</v>
      </c>
      <c r="M628" s="140">
        <f>IFERROR(__xludf.DUMMYFUNCTION("""COMPUTED_VALUE"""),1745938.0)</f>
        <v>1745938</v>
      </c>
      <c r="N628" s="140" t="str">
        <f>IFERROR(__xludf.DUMMYFUNCTION("""COMPUTED_VALUE"""),"Zeichnungen, Aquarell und Lettering digitalisieren")</f>
        <v>Zeichnungen, Aquarell und Lettering digitalisieren</v>
      </c>
      <c r="P628" s="140" t="str">
        <f>IFERROR(__xludf.DUMMYFUNCTION("""COMPUTED_VALUE"""),"")</f>
        <v/>
      </c>
    </row>
    <row r="629">
      <c r="A629" s="141">
        <f>IFERROR(__xludf.DUMMYFUNCTION("""COMPUTED_VALUE"""),44459.0)</f>
        <v>44459</v>
      </c>
      <c r="B629" s="141">
        <f>IFERROR(__xludf.DUMMYFUNCTION("""COMPUTED_VALUE"""),44651.0)</f>
        <v>44651</v>
      </c>
      <c r="C629" t="str">
        <f>IFERROR(__xludf.DUMMYFUNCTION("""COMPUTED_VALUE"""),"es")</f>
        <v>es</v>
      </c>
      <c r="D629">
        <f>IFERROR(__xludf.DUMMYFUNCTION("""COMPUTED_VALUE"""),2360418.0)</f>
        <v>2360418</v>
      </c>
      <c r="E629" t="str">
        <f>IFERROR(__xludf.DUMMYFUNCTION("""COMPUTED_VALUE"""),"Design Thinking - Remoto  | 2020")</f>
        <v>Design Thinking - Remoto  | 2020</v>
      </c>
      <c r="F629" t="str">
        <f>IFERROR(__xludf.DUMMYFUNCTION("""COMPUTED_VALUE"""),"Design Thinking - Remoto  | 2020")</f>
        <v>Design Thinking - Remoto  | 2020</v>
      </c>
      <c r="G629">
        <f>IFERROR(__xludf.DUMMYFUNCTION("""COMPUTED_VALUE"""),7.1656554E7)</f>
        <v>71656554</v>
      </c>
      <c r="H629" t="str">
        <f>IFERROR(__xludf.DUMMYFUNCTION("""COMPUTED_VALUE"""),"Mauricio Paegelow")</f>
        <v>Mauricio Paegelow</v>
      </c>
      <c r="I629" t="str">
        <f>IFERROR(__xludf.DUMMYFUNCTION("""COMPUTED_VALUE"""),"3 Flags")</f>
        <v>3 Flags</v>
      </c>
      <c r="J629" t="b">
        <f>IFERROR(__xludf.DUMMYFUNCTION("""COMPUTED_VALUE"""),FALSE)</f>
        <v>0</v>
      </c>
      <c r="K629" s="142" t="str">
        <f>IFERROR(__xludf.DUMMYFUNCTION("""COMPUTED_VALUE"""),"Leadership &amp; Management")</f>
        <v>Leadership &amp; Management</v>
      </c>
      <c r="L629" s="142" t="str">
        <f>IFERROR(__xludf.DUMMYFUNCTION("""COMPUTED_VALUE"""),"Strategy")</f>
        <v>Strategy</v>
      </c>
      <c r="M629" s="140">
        <f>IFERROR(__xludf.DUMMYFUNCTION("""COMPUTED_VALUE"""),2148064.0)</f>
        <v>2148064</v>
      </c>
      <c r="N629" s="140" t="str">
        <f>IFERROR(__xludf.DUMMYFUNCTION("""COMPUTED_VALUE"""),"Design Thinking | De Cero a MAESTRO [2021]")</f>
        <v>Design Thinking | De Cero a MAESTRO [2021]</v>
      </c>
      <c r="O629" s="140">
        <f>IFERROR(__xludf.DUMMYFUNCTION("""COMPUTED_VALUE"""),3541506.0)</f>
        <v>3541506</v>
      </c>
      <c r="P629" s="140" t="str">
        <f>IFERROR(__xludf.DUMMYFUNCTION("""COMPUTED_VALUE"""),"Design Thinking: dispara tu creatividad para innovar - 2021")</f>
        <v>Design Thinking: dispara tu creatividad para innovar - 2021</v>
      </c>
    </row>
    <row r="630">
      <c r="A630" s="141">
        <f>IFERROR(__xludf.DUMMYFUNCTION("""COMPUTED_VALUE"""),44459.0)</f>
        <v>44459</v>
      </c>
      <c r="B630" s="141">
        <f>IFERROR(__xludf.DUMMYFUNCTION("""COMPUTED_VALUE"""),44651.0)</f>
        <v>44651</v>
      </c>
      <c r="C630" t="str">
        <f>IFERROR(__xludf.DUMMYFUNCTION("""COMPUTED_VALUE"""),"es")</f>
        <v>es</v>
      </c>
      <c r="D630">
        <f>IFERROR(__xludf.DUMMYFUNCTION("""COMPUTED_VALUE"""),2633560.0)</f>
        <v>2633560</v>
      </c>
      <c r="E630" t="str">
        <f>IFERROR(__xludf.DUMMYFUNCTION("""COMPUTED_VALUE"""),"Introducción a Magento Open Source eCommerce 2")</f>
        <v>Introducción a Magento Open Source eCommerce 2</v>
      </c>
      <c r="F630" t="str">
        <f>IFERROR(__xludf.DUMMYFUNCTION("""COMPUTED_VALUE"""),"Introduction to Magento Open Source Ecommerce 2")</f>
        <v>Introduction to Magento Open Source Ecommerce 2</v>
      </c>
      <c r="G630">
        <f>IFERROR(__xludf.DUMMYFUNCTION("""COMPUTED_VALUE"""),5.3500532E7)</f>
        <v>53500532</v>
      </c>
      <c r="H630" t="str">
        <f>IFERROR(__xludf.DUMMYFUNCTION("""COMPUTED_VALUE"""),"Sara Cubillas")</f>
        <v>Sara Cubillas</v>
      </c>
      <c r="I630" t="str">
        <f>IFERROR(__xludf.DUMMYFUNCTION("""COMPUTED_VALUE"""),"3 Flags")</f>
        <v>3 Flags</v>
      </c>
      <c r="J630" t="b">
        <f>IFERROR(__xludf.DUMMYFUNCTION("""COMPUTED_VALUE"""),FALSE)</f>
        <v>0</v>
      </c>
      <c r="K630" s="142" t="str">
        <f>IFERROR(__xludf.DUMMYFUNCTION("""COMPUTED_VALUE"""),"Personal Development")</f>
        <v>Personal Development</v>
      </c>
      <c r="L630" s="142" t="str">
        <f>IFERROR(__xludf.DUMMYFUNCTION("""COMPUTED_VALUE"""),"Entrepreneurship")</f>
        <v>Entrepreneurship</v>
      </c>
      <c r="N630" s="140" t="str">
        <f>IFERROR(__xludf.DUMMYFUNCTION("""COMPUTED_VALUE"""),"")</f>
        <v/>
      </c>
      <c r="P630" s="140" t="str">
        <f>IFERROR(__xludf.DUMMYFUNCTION("""COMPUTED_VALUE"""),"")</f>
        <v/>
      </c>
    </row>
    <row r="631">
      <c r="A631" s="141">
        <f>IFERROR(__xludf.DUMMYFUNCTION("""COMPUTED_VALUE"""),44459.0)</f>
        <v>44459</v>
      </c>
      <c r="B631" s="141">
        <f>IFERROR(__xludf.DUMMYFUNCTION("""COMPUTED_VALUE"""),44651.0)</f>
        <v>44651</v>
      </c>
      <c r="C631" t="str">
        <f>IFERROR(__xludf.DUMMYFUNCTION("""COMPUTED_VALUE"""),"en")</f>
        <v>en</v>
      </c>
      <c r="D631">
        <f>IFERROR(__xludf.DUMMYFUNCTION("""COMPUTED_VALUE"""),2658062.0)</f>
        <v>2658062</v>
      </c>
      <c r="E631" t="str">
        <f>IFERROR(__xludf.DUMMYFUNCTION("""COMPUTED_VALUE"""),"Publishing Scientific Research")</f>
        <v>Publishing Scientific Research</v>
      </c>
      <c r="F631" t="str">
        <f>IFERROR(__xludf.DUMMYFUNCTION("""COMPUTED_VALUE"""),"Publishing Scientific Research")</f>
        <v>Publishing Scientific Research</v>
      </c>
      <c r="G631">
        <f>IFERROR(__xludf.DUMMYFUNCTION("""COMPUTED_VALUE"""),9.095938E7)</f>
        <v>90959380</v>
      </c>
      <c r="H631" t="str">
        <f>IFERROR(__xludf.DUMMYFUNCTION("""COMPUTED_VALUE"""),"Dr. Hasanain Ghazi")</f>
        <v>Dr. Hasanain Ghazi</v>
      </c>
      <c r="I631" t="str">
        <f>IFERROR(__xludf.DUMMYFUNCTION("""COMPUTED_VALUE"""),"3 Flags")</f>
        <v>3 Flags</v>
      </c>
      <c r="J631" t="b">
        <f>IFERROR(__xludf.DUMMYFUNCTION("""COMPUTED_VALUE"""),FALSE)</f>
        <v>0</v>
      </c>
      <c r="K631" s="142" t="str">
        <f>IFERROR(__xludf.DUMMYFUNCTION("""COMPUTED_VALUE"""),"Personal Development")</f>
        <v>Personal Development</v>
      </c>
      <c r="L631" s="142" t="str">
        <f>IFERROR(__xludf.DUMMYFUNCTION("""COMPUTED_VALUE"""),"Hobbies")</f>
        <v>Hobbies</v>
      </c>
      <c r="N631" s="140" t="str">
        <f>IFERROR(__xludf.DUMMYFUNCTION("""COMPUTED_VALUE"""),"")</f>
        <v/>
      </c>
      <c r="P631" s="140" t="str">
        <f>IFERROR(__xludf.DUMMYFUNCTION("""COMPUTED_VALUE"""),"")</f>
        <v/>
      </c>
    </row>
    <row r="632">
      <c r="A632" s="141">
        <f>IFERROR(__xludf.DUMMYFUNCTION("""COMPUTED_VALUE"""),44459.0)</f>
        <v>44459</v>
      </c>
      <c r="B632" s="141">
        <f>IFERROR(__xludf.DUMMYFUNCTION("""COMPUTED_VALUE"""),44651.0)</f>
        <v>44651</v>
      </c>
      <c r="C632" t="str">
        <f>IFERROR(__xludf.DUMMYFUNCTION("""COMPUTED_VALUE"""),"fr")</f>
        <v>fr</v>
      </c>
      <c r="D632">
        <f>IFERROR(__xludf.DUMMYFUNCTION("""COMPUTED_VALUE"""),3104846.0)</f>
        <v>3104846</v>
      </c>
      <c r="E632" t="str">
        <f>IFERROR(__xludf.DUMMYFUNCTION("""COMPUTED_VALUE"""),"Powershell pour les (grands) débutants (2021)")</f>
        <v>Powershell pour les (grands) débutants (2021)</v>
      </c>
      <c r="F632" t="str">
        <f>IFERROR(__xludf.DUMMYFUNCTION("""COMPUTED_VALUE"""),"PowerShell for (large) beginners (2021)")</f>
        <v>PowerShell for (large) beginners (2021)</v>
      </c>
      <c r="G632">
        <f>IFERROR(__xludf.DUMMYFUNCTION("""COMPUTED_VALUE"""),3.5191942E7)</f>
        <v>35191942</v>
      </c>
      <c r="H632" t="str">
        <f>IFERROR(__xludf.DUMMYFUNCTION("""COMPUTED_VALUE"""),"O.Thuillier | SQL | Postgres | Powershell| Python |Azure| MySQL Administration,TSQL, et performance SQL Server.")</f>
        <v>O.Thuillier | SQL | Postgres | Powershell| Python |Azure| MySQL Administration,TSQL, et performance SQL Server.</v>
      </c>
      <c r="I632" t="str">
        <f>IFERROR(__xludf.DUMMYFUNCTION("""COMPUTED_VALUE"""),"3 Flags")</f>
        <v>3 Flags</v>
      </c>
      <c r="J632" t="b">
        <f>IFERROR(__xludf.DUMMYFUNCTION("""COMPUTED_VALUE"""),FALSE)</f>
        <v>0</v>
      </c>
      <c r="K632" s="142" t="str">
        <f>IFERROR(__xludf.DUMMYFUNCTION("""COMPUTED_VALUE"""),"IT Operations")</f>
        <v>IT Operations</v>
      </c>
      <c r="L632" s="142" t="str">
        <f>IFERROR(__xludf.DUMMYFUNCTION("""COMPUTED_VALUE"""),"Operating Systems &amp; Servers")</f>
        <v>Operating Systems &amp; Servers</v>
      </c>
      <c r="M632" s="140">
        <f>IFERROR(__xludf.DUMMYFUNCTION("""COMPUTED_VALUE"""),2037912.0)</f>
        <v>2037912</v>
      </c>
      <c r="N632" s="140" t="str">
        <f>IFERROR(__xludf.DUMMYFUNCTION("""COMPUTED_VALUE"""),"PowerShell - Maitrisez les bases fondamentales")</f>
        <v>PowerShell - Maitrisez les bases fondamentales</v>
      </c>
      <c r="P632" s="140" t="str">
        <f>IFERROR(__xludf.DUMMYFUNCTION("""COMPUTED_VALUE"""),"")</f>
        <v/>
      </c>
    </row>
    <row r="633">
      <c r="A633" s="141">
        <f>IFERROR(__xludf.DUMMYFUNCTION("""COMPUTED_VALUE"""),44459.0)</f>
        <v>44459</v>
      </c>
      <c r="B633" s="141">
        <f>IFERROR(__xludf.DUMMYFUNCTION("""COMPUTED_VALUE"""),44651.0)</f>
        <v>44651</v>
      </c>
      <c r="C633" t="str">
        <f>IFERROR(__xludf.DUMMYFUNCTION("""COMPUTED_VALUE"""),"en")</f>
        <v>en</v>
      </c>
      <c r="D633">
        <f>IFERROR(__xludf.DUMMYFUNCTION("""COMPUTED_VALUE"""),3326742.0)</f>
        <v>3326742</v>
      </c>
      <c r="E633" t="str">
        <f>IFERROR(__xludf.DUMMYFUNCTION("""COMPUTED_VALUE"""),"Be an International Business Professional")</f>
        <v>Be an International Business Professional</v>
      </c>
      <c r="F633" t="str">
        <f>IFERROR(__xludf.DUMMYFUNCTION("""COMPUTED_VALUE"""),"Be an International Business Professional")</f>
        <v>Be an International Business Professional</v>
      </c>
      <c r="G633">
        <f>IFERROR(__xludf.DUMMYFUNCTION("""COMPUTED_VALUE"""),1.23602366E8)</f>
        <v>123602366</v>
      </c>
      <c r="H633" t="str">
        <f>IFERROR(__xludf.DUMMYFUNCTION("""COMPUTED_VALUE"""),"Zeeshan Muhammad Aslam")</f>
        <v>Zeeshan Muhammad Aslam</v>
      </c>
      <c r="I633" t="str">
        <f>IFERROR(__xludf.DUMMYFUNCTION("""COMPUTED_VALUE"""),"3 Flags")</f>
        <v>3 Flags</v>
      </c>
      <c r="J633" t="b">
        <f>IFERROR(__xludf.DUMMYFUNCTION("""COMPUTED_VALUE"""),FALSE)</f>
        <v>0</v>
      </c>
      <c r="K633" s="142" t="str">
        <f>IFERROR(__xludf.DUMMYFUNCTION("""COMPUTED_VALUE"""),"Leadership &amp; Management")</f>
        <v>Leadership &amp; Management</v>
      </c>
      <c r="L633" s="142" t="str">
        <f>IFERROR(__xludf.DUMMYFUNCTION("""COMPUTED_VALUE"""),"Strategy")</f>
        <v>Strategy</v>
      </c>
      <c r="N633" s="140" t="str">
        <f>IFERROR(__xludf.DUMMYFUNCTION("""COMPUTED_VALUE"""),"")</f>
        <v/>
      </c>
      <c r="P633" s="140" t="str">
        <f>IFERROR(__xludf.DUMMYFUNCTION("""COMPUTED_VALUE"""),"")</f>
        <v/>
      </c>
    </row>
    <row r="634">
      <c r="A634" s="141">
        <f>IFERROR(__xludf.DUMMYFUNCTION("""COMPUTED_VALUE"""),44459.0)</f>
        <v>44459</v>
      </c>
      <c r="B634" s="141">
        <f>IFERROR(__xludf.DUMMYFUNCTION("""COMPUTED_VALUE"""),44651.0)</f>
        <v>44651</v>
      </c>
      <c r="C634" t="str">
        <f>IFERROR(__xludf.DUMMYFUNCTION("""COMPUTED_VALUE"""),"en")</f>
        <v>en</v>
      </c>
      <c r="D634">
        <f>IFERROR(__xludf.DUMMYFUNCTION("""COMPUTED_VALUE"""),3401208.0)</f>
        <v>3401208</v>
      </c>
      <c r="E634" t="str">
        <f>IFERROR(__xludf.DUMMYFUNCTION("""COMPUTED_VALUE"""),"[NEW] Computer Networking : Go from Zero to Hero (2021)")</f>
        <v>[NEW] Computer Networking : Go from Zero to Hero (2021)</v>
      </c>
      <c r="F634" t="str">
        <f>IFERROR(__xludf.DUMMYFUNCTION("""COMPUTED_VALUE"""),"[NEW] Computer Networking : Go from Zero to Hero (2021)")</f>
        <v>[NEW] Computer Networking : Go from Zero to Hero (2021)</v>
      </c>
      <c r="G634">
        <f>IFERROR(__xludf.DUMMYFUNCTION("""COMPUTED_VALUE"""),5.0280262E7)</f>
        <v>50280262</v>
      </c>
      <c r="H634" t="str">
        <f>IFERROR(__xludf.DUMMYFUNCTION("""COMPUTED_VALUE"""),"We Secure © • 100,000+ Enrollments")</f>
        <v>We Secure © • 100,000+ Enrollments</v>
      </c>
      <c r="I634" t="str">
        <f>IFERROR(__xludf.DUMMYFUNCTION("""COMPUTED_VALUE"""),"3 Flags")</f>
        <v>3 Flags</v>
      </c>
      <c r="J634" t="b">
        <f>IFERROR(__xludf.DUMMYFUNCTION("""COMPUTED_VALUE"""),FALSE)</f>
        <v>0</v>
      </c>
      <c r="K634" s="142" t="str">
        <f>IFERROR(__xludf.DUMMYFUNCTION("""COMPUTED_VALUE"""),"IT Operations")</f>
        <v>IT Operations</v>
      </c>
      <c r="L634" s="142" t="str">
        <f>IFERROR(__xludf.DUMMYFUNCTION("""COMPUTED_VALUE"""),"Network &amp; Security")</f>
        <v>Network &amp; Security</v>
      </c>
      <c r="M634" s="140">
        <f>IFERROR(__xludf.DUMMYFUNCTION("""COMPUTED_VALUE"""),751094.0)</f>
        <v>751094</v>
      </c>
      <c r="N634" s="140" t="str">
        <f>IFERROR(__xludf.DUMMYFUNCTION("""COMPUTED_VALUE"""),"The Complete Networking Fundamentals Course. Your CCNA start")</f>
        <v>The Complete Networking Fundamentals Course. Your CCNA start</v>
      </c>
      <c r="O634" s="140">
        <f>IFERROR(__xludf.DUMMYFUNCTION("""COMPUTED_VALUE"""),580876.0)</f>
        <v>580876</v>
      </c>
      <c r="P634" s="140" t="str">
        <f>IFERROR(__xludf.DUMMYFUNCTION("""COMPUTED_VALUE"""),"Introduction to Computer Networks for Non-Techies")</f>
        <v>Introduction to Computer Networks for Non-Techies</v>
      </c>
    </row>
    <row r="635">
      <c r="A635" s="141">
        <f>IFERROR(__xludf.DUMMYFUNCTION("""COMPUTED_VALUE"""),44459.0)</f>
        <v>44459</v>
      </c>
      <c r="B635" s="141">
        <f>IFERROR(__xludf.DUMMYFUNCTION("""COMPUTED_VALUE"""),44651.0)</f>
        <v>44651</v>
      </c>
      <c r="C635" t="str">
        <f>IFERROR(__xludf.DUMMYFUNCTION("""COMPUTED_VALUE"""),"en")</f>
        <v>en</v>
      </c>
      <c r="D635">
        <f>IFERROR(__xludf.DUMMYFUNCTION("""COMPUTED_VALUE"""),4110754.0)</f>
        <v>4110754</v>
      </c>
      <c r="E635" t="str">
        <f>IFERROR(__xludf.DUMMYFUNCTION("""COMPUTED_VALUE"""),"HARD CISSP practice questions #4: All CISSP domains - 125Q")</f>
        <v>HARD CISSP practice questions #4: All CISSP domains - 125Q</v>
      </c>
      <c r="F635" t="str">
        <f>IFERROR(__xludf.DUMMYFUNCTION("""COMPUTED_VALUE"""),"HARD CISSP practice questions #4: All CISSP domains - 125Q")</f>
        <v>HARD CISSP practice questions #4: All CISSP domains - 125Q</v>
      </c>
      <c r="G635">
        <f>IFERROR(__xludf.DUMMYFUNCTION("""COMPUTED_VALUE"""),4953084.0)</f>
        <v>4953084</v>
      </c>
      <c r="H635" t="str">
        <f>IFERROR(__xludf.DUMMYFUNCTION("""COMPUTED_VALUE"""),"Thor Pedersen | 255,000+ Enrollments Worldwide")</f>
        <v>Thor Pedersen | 255,000+ Enrollments Worldwide</v>
      </c>
      <c r="I635" t="str">
        <f>IFERROR(__xludf.DUMMYFUNCTION("""COMPUTED_VALUE"""),"3 Flags")</f>
        <v>3 Flags</v>
      </c>
      <c r="J635" t="b">
        <f>IFERROR(__xludf.DUMMYFUNCTION("""COMPUTED_VALUE"""),FALSE)</f>
        <v>0</v>
      </c>
      <c r="K635" s="142" t="str">
        <f>IFERROR(__xludf.DUMMYFUNCTION("""COMPUTED_VALUE"""),"IT Operations")</f>
        <v>IT Operations</v>
      </c>
      <c r="L635" s="142" t="str">
        <f>IFERROR(__xludf.DUMMYFUNCTION("""COMPUTED_VALUE"""),"IT Certifications")</f>
        <v>IT Certifications</v>
      </c>
      <c r="M635" s="140">
        <f>IFERROR(__xludf.DUMMYFUNCTION("""COMPUTED_VALUE"""),1473322.0)</f>
        <v>1473322</v>
      </c>
      <c r="N635" s="140" t="str">
        <f>IFERROR(__xludf.DUMMYFUNCTION("""COMPUTED_VALUE"""),"CISSP Easy/Mid practice questions: Domain 3 &amp; 4 - 2022")</f>
        <v>CISSP Easy/Mid practice questions: Domain 3 &amp; 4 - 2022</v>
      </c>
      <c r="O635" s="140">
        <f>IFERROR(__xludf.DUMMYFUNCTION("""COMPUTED_VALUE"""),2427428.0)</f>
        <v>2427428</v>
      </c>
      <c r="P635" s="140" t="str">
        <f>IFERROR(__xludf.DUMMYFUNCTION("""COMPUTED_VALUE"""),"CISSP Certification: Domains 1, 2, 3 &amp; 4 Video Training-2020")</f>
        <v>CISSP Certification: Domains 1, 2, 3 &amp; 4 Video Training-2020</v>
      </c>
    </row>
    <row r="636">
      <c r="A636" s="141">
        <f>IFERROR(__xludf.DUMMYFUNCTION("""COMPUTED_VALUE"""),44459.0)</f>
        <v>44459</v>
      </c>
      <c r="B636" s="141">
        <f>IFERROR(__xludf.DUMMYFUNCTION("""COMPUTED_VALUE"""),44651.0)</f>
        <v>44651</v>
      </c>
      <c r="C636" t="str">
        <f>IFERROR(__xludf.DUMMYFUNCTION("""COMPUTED_VALUE"""),"en")</f>
        <v>en</v>
      </c>
      <c r="D636">
        <f>IFERROR(__xludf.DUMMYFUNCTION("""COMPUTED_VALUE"""),2566564.0)</f>
        <v>2566564</v>
      </c>
      <c r="E636" t="str">
        <f>IFERROR(__xludf.DUMMYFUNCTION("""COMPUTED_VALUE"""),"GraphQL with Spring Boot - Foundation I")</f>
        <v>GraphQL with Spring Boot - Foundation I</v>
      </c>
      <c r="F636" t="str">
        <f>IFERROR(__xludf.DUMMYFUNCTION("""COMPUTED_VALUE"""),"GraphQL with Spring Boot - Foundation I")</f>
        <v>GraphQL with Spring Boot - Foundation I</v>
      </c>
      <c r="G636">
        <f>IFERROR(__xludf.DUMMYFUNCTION("""COMPUTED_VALUE"""),1.9245388E7)</f>
        <v>19245388</v>
      </c>
      <c r="H636" t="str">
        <f>IFERROR(__xludf.DUMMYFUNCTION("""COMPUTED_VALUE"""),"Butch Clark")</f>
        <v>Butch Clark</v>
      </c>
      <c r="I636" t="str">
        <f>IFERROR(__xludf.DUMMYFUNCTION("""COMPUTED_VALUE"""),"Low Rating")</f>
        <v>Low Rating</v>
      </c>
      <c r="J636" t="b">
        <f>IFERROR(__xludf.DUMMYFUNCTION("""COMPUTED_VALUE"""),FALSE)</f>
        <v>0</v>
      </c>
      <c r="K636" s="142" t="str">
        <f>IFERROR(__xludf.DUMMYFUNCTION("""COMPUTED_VALUE"""),"Development")</f>
        <v>Development</v>
      </c>
      <c r="L636" s="142" t="str">
        <f>IFERROR(__xludf.DUMMYFUNCTION("""COMPUTED_VALUE"""),"Web Development")</f>
        <v>Web Development</v>
      </c>
      <c r="M636" s="140">
        <f>IFERROR(__xludf.DUMMYFUNCTION("""COMPUTED_VALUE"""),3430412.0)</f>
        <v>3430412</v>
      </c>
      <c r="N636" s="140" t="str">
        <f>IFERROR(__xludf.DUMMYFUNCTION("""COMPUTED_VALUE"""),"GraphQL API with Java Spring Boot &amp; Spring Framework")</f>
        <v>GraphQL API with Java Spring Boot &amp; Spring Framework</v>
      </c>
      <c r="P636" s="140" t="str">
        <f>IFERROR(__xludf.DUMMYFUNCTION("""COMPUTED_VALUE"""),"")</f>
        <v/>
      </c>
    </row>
    <row r="637">
      <c r="A637" s="141">
        <f>IFERROR(__xludf.DUMMYFUNCTION("""COMPUTED_VALUE"""),44459.0)</f>
        <v>44459</v>
      </c>
      <c r="B637" s="141">
        <f>IFERROR(__xludf.DUMMYFUNCTION("""COMPUTED_VALUE"""),44651.0)</f>
        <v>44651</v>
      </c>
      <c r="C637" t="str">
        <f>IFERROR(__xludf.DUMMYFUNCTION("""COMPUTED_VALUE"""),"en")</f>
        <v>en</v>
      </c>
      <c r="D637">
        <f>IFERROR(__xludf.DUMMYFUNCTION("""COMPUTED_VALUE"""),1927536.0)</f>
        <v>1927536</v>
      </c>
      <c r="E637" t="str">
        <f>IFERROR(__xludf.DUMMYFUNCTION("""COMPUTED_VALUE"""),"Quantity Surveying Building Estimation With Cad And Excel")</f>
        <v>Quantity Surveying Building Estimation With Cad And Excel</v>
      </c>
      <c r="F637" t="str">
        <f>IFERROR(__xludf.DUMMYFUNCTION("""COMPUTED_VALUE"""),"Quantity Surveying Building Estimation With Cad And Excel")</f>
        <v>Quantity Surveying Building Estimation With Cad And Excel</v>
      </c>
      <c r="G637">
        <f>IFERROR(__xludf.DUMMYFUNCTION("""COMPUTED_VALUE"""),3.188942E7)</f>
        <v>31889420</v>
      </c>
      <c r="H637" t="str">
        <f>IFERROR(__xludf.DUMMYFUNCTION("""COMPUTED_VALUE"""),"Mudessar Afraz")</f>
        <v>Mudessar Afraz</v>
      </c>
      <c r="I637" t="str">
        <f>IFERROR(__xludf.DUMMYFUNCTION("""COMPUTED_VALUE"""),"Instructor Request- Opted Out")</f>
        <v>Instructor Request- Opted Out</v>
      </c>
      <c r="J637" t="b">
        <f>IFERROR(__xludf.DUMMYFUNCTION("""COMPUTED_VALUE"""),FALSE)</f>
        <v>0</v>
      </c>
      <c r="K637" s="142" t="str">
        <f>IFERROR(__xludf.DUMMYFUNCTION("""COMPUTED_VALUE"""),"Project Management &amp; Operations")</f>
        <v>Project Management &amp; Operations</v>
      </c>
      <c r="L637" s="142" t="str">
        <f>IFERROR(__xludf.DUMMYFUNCTION("""COMPUTED_VALUE"""),"Operations Management")</f>
        <v>Operations Management</v>
      </c>
      <c r="M637" s="140">
        <f>IFERROR(__xludf.DUMMYFUNCTION("""COMPUTED_VALUE"""),4052730.0)</f>
        <v>4052730</v>
      </c>
      <c r="N637" s="140" t="str">
        <f>IFERROR(__xludf.DUMMYFUNCTION("""COMPUTED_VALUE"""),"Quantity Surveying, Cost Estimation and Bill of Quantities")</f>
        <v>Quantity Surveying, Cost Estimation and Bill of Quantities</v>
      </c>
      <c r="O637" s="140">
        <f>IFERROR(__xludf.DUMMYFUNCTION("""COMPUTED_VALUE"""),244692.0)</f>
        <v>244692</v>
      </c>
      <c r="P637" s="140" t="str">
        <f>IFERROR(__xludf.DUMMYFUNCTION("""COMPUTED_VALUE"""),"Statistics / Data Analysis: Survey Data and Likert Scales")</f>
        <v>Statistics / Data Analysis: Survey Data and Likert Scales</v>
      </c>
    </row>
    <row r="638">
      <c r="A638" s="141">
        <f>IFERROR(__xludf.DUMMYFUNCTION("""COMPUTED_VALUE"""),44459.0)</f>
        <v>44459</v>
      </c>
      <c r="B638" s="141">
        <f>IFERROR(__xludf.DUMMYFUNCTION("""COMPUTED_VALUE"""),44651.0)</f>
        <v>44651</v>
      </c>
      <c r="C638" t="str">
        <f>IFERROR(__xludf.DUMMYFUNCTION("""COMPUTED_VALUE"""),"ja")</f>
        <v>ja</v>
      </c>
      <c r="D638">
        <f>IFERROR(__xludf.DUMMYFUNCTION("""COMPUTED_VALUE"""),564216.0)</f>
        <v>564216</v>
      </c>
      <c r="E638" t="str">
        <f>IFERROR(__xludf.DUMMYFUNCTION("""COMPUTED_VALUE"""),"作業時間を1／10にするエクセルHACK術！")</f>
        <v>作業時間を1／10にするエクセルHACK術！</v>
      </c>
      <c r="F638" t="str">
        <f>IFERROR(__xludf.DUMMYFUNCTION("""COMPUTED_VALUE"""),"Excel Hack technique that makes the work time 1/10!")</f>
        <v>Excel Hack technique that makes the work time 1/10!</v>
      </c>
      <c r="G638">
        <f>IFERROR(__xludf.DUMMYFUNCTION("""COMPUTED_VALUE"""),1.3196408E7)</f>
        <v>13196408</v>
      </c>
      <c r="H638" t="str">
        <f>IFERROR(__xludf.DUMMYFUNCTION("""COMPUTED_VALUE"""),"中本 達也")</f>
        <v>中本 達也</v>
      </c>
      <c r="I638" t="str">
        <f>IFERROR(__xludf.DUMMYFUNCTION("""COMPUTED_VALUE"""),"Low Rating")</f>
        <v>Low Rating</v>
      </c>
      <c r="J638" t="b">
        <f>IFERROR(__xludf.DUMMYFUNCTION("""COMPUTED_VALUE"""),FALSE)</f>
        <v>0</v>
      </c>
      <c r="K638" s="142" t="str">
        <f>IFERROR(__xludf.DUMMYFUNCTION("""COMPUTED_VALUE"""),"Office Productivity")</f>
        <v>Office Productivity</v>
      </c>
      <c r="L638" s="142" t="str">
        <f>IFERROR(__xludf.DUMMYFUNCTION("""COMPUTED_VALUE"""),"Spreadsheets")</f>
        <v>Spreadsheets</v>
      </c>
      <c r="N638" s="140" t="str">
        <f>IFERROR(__xludf.DUMMYFUNCTION("""COMPUTED_VALUE"""),"")</f>
        <v/>
      </c>
      <c r="P638" s="140" t="str">
        <f>IFERROR(__xludf.DUMMYFUNCTION("""COMPUTED_VALUE"""),"")</f>
        <v/>
      </c>
    </row>
    <row r="639">
      <c r="A639" s="141">
        <f>IFERROR(__xludf.DUMMYFUNCTION("""COMPUTED_VALUE"""),44459.0)</f>
        <v>44459</v>
      </c>
      <c r="B639" s="141">
        <f>IFERROR(__xludf.DUMMYFUNCTION("""COMPUTED_VALUE"""),44651.0)</f>
        <v>44651</v>
      </c>
      <c r="C639" t="str">
        <f>IFERROR(__xludf.DUMMYFUNCTION("""COMPUTED_VALUE"""),"ja")</f>
        <v>ja</v>
      </c>
      <c r="D639">
        <f>IFERROR(__xludf.DUMMYFUNCTION("""COMPUTED_VALUE"""),2702356.0)</f>
        <v>2702356</v>
      </c>
      <c r="E639" t="str">
        <f>IFERROR(__xludf.DUMMYFUNCTION("""COMPUTED_VALUE"""),"最短・最速で学ぶ React Hooks 完全ガイド！ 現場で使えるReact開発+ステート管理をマスターしよう！")</f>
        <v>最短・最速で学ぶ React Hooks 完全ガイド！ 現場で使えるReact開発+ステート管理をマスターしよう！</v>
      </c>
      <c r="F639" t="str">
        <f>IFERROR(__xludf.DUMMYFUNCTION("""COMPUTED_VALUE"""),"Learning at the shortest and fastest React Hooks Complete Guide! Master React Development + State Management that can be used on site!")</f>
        <v>Learning at the shortest and fastest React Hooks Complete Guide! Master React Development + State Management that can be used on site!</v>
      </c>
      <c r="G639">
        <f>IFERROR(__xludf.DUMMYFUNCTION("""COMPUTED_VALUE"""),2.8654246E7)</f>
        <v>28654246</v>
      </c>
      <c r="H639" t="str">
        <f>IFERROR(__xludf.DUMMYFUNCTION("""COMPUTED_VALUE"""),"@Daiz Academy")</f>
        <v>@Daiz Academy</v>
      </c>
      <c r="I639" t="str">
        <f>IFERROR(__xludf.DUMMYFUNCTION("""COMPUTED_VALUE"""),"Low Rating")</f>
        <v>Low Rating</v>
      </c>
      <c r="J639" t="b">
        <f>IFERROR(__xludf.DUMMYFUNCTION("""COMPUTED_VALUE"""),FALSE)</f>
        <v>0</v>
      </c>
      <c r="K639" s="142" t="str">
        <f>IFERROR(__xludf.DUMMYFUNCTION("""COMPUTED_VALUE"""),"Development")</f>
        <v>Development</v>
      </c>
      <c r="L639" s="142" t="str">
        <f>IFERROR(__xludf.DUMMYFUNCTION("""COMPUTED_VALUE"""),"Web Development")</f>
        <v>Web Development</v>
      </c>
      <c r="M639" s="140">
        <f>IFERROR(__xludf.DUMMYFUNCTION("""COMPUTED_VALUE"""),2329814.0)</f>
        <v>2329814</v>
      </c>
      <c r="N639" s="140" t="str">
        <f>IFERROR(__xludf.DUMMYFUNCTION("""COMPUTED_VALUE"""),"React Hooks 入門 - HooksとReduxを組み合わせて最新のフロントエンド状態管理手法を習得")</f>
        <v>React Hooks 入門 - HooksとReduxを組み合わせて最新のフロントエンド状態管理手法を習得</v>
      </c>
      <c r="P639" s="140" t="str">
        <f>IFERROR(__xludf.DUMMYFUNCTION("""COMPUTED_VALUE"""),"")</f>
        <v/>
      </c>
    </row>
    <row r="640">
      <c r="A640" s="141">
        <f>IFERROR(__xludf.DUMMYFUNCTION("""COMPUTED_VALUE"""),44459.0)</f>
        <v>44459</v>
      </c>
      <c r="B640" s="141">
        <f>IFERROR(__xludf.DUMMYFUNCTION("""COMPUTED_VALUE"""),44651.0)</f>
        <v>44651</v>
      </c>
      <c r="C640" t="str">
        <f>IFERROR(__xludf.DUMMYFUNCTION("""COMPUTED_VALUE"""),"ja")</f>
        <v>ja</v>
      </c>
      <c r="D640">
        <f>IFERROR(__xludf.DUMMYFUNCTION("""COMPUTED_VALUE"""),3572357.0)</f>
        <v>3572357</v>
      </c>
      <c r="E640" t="str">
        <f>IFERROR(__xludf.DUMMYFUNCTION("""COMPUTED_VALUE"""),"ノンデザイナーのための「デザインをする前に知っておきたい7ステップ」〜問題解決に向けた思考の整理術〜")</f>
        <v>ノンデザイナーのための「デザインをする前に知っておきたい7ステップ」〜問題解決に向けた思考の整理術〜</v>
      </c>
      <c r="F640" t="str">
        <f>IFERROR(__xludf.DUMMYFUNCTION("""COMPUTED_VALUE"""),"""7 steps I want to know before designing"" for non-designers-Organizing thinking for problem solving")</f>
        <v>"7 steps I want to know before designing" for non-designers-Organizing thinking for problem solving</v>
      </c>
      <c r="G640">
        <f>IFERROR(__xludf.DUMMYFUNCTION("""COMPUTED_VALUE"""),1.30955108E8)</f>
        <v>130955108</v>
      </c>
      <c r="H640" t="str">
        <f>IFERROR(__xludf.DUMMYFUNCTION("""COMPUTED_VALUE"""),"藤井 早苗")</f>
        <v>藤井 早苗</v>
      </c>
      <c r="I640" t="str">
        <f>IFERROR(__xludf.DUMMYFUNCTION("""COMPUTED_VALUE"""),"Low Rating")</f>
        <v>Low Rating</v>
      </c>
      <c r="J640" t="b">
        <f>IFERROR(__xludf.DUMMYFUNCTION("""COMPUTED_VALUE"""),FALSE)</f>
        <v>0</v>
      </c>
      <c r="K640" s="142" t="str">
        <f>IFERROR(__xludf.DUMMYFUNCTION("""COMPUTED_VALUE"""),"Leadership &amp; Management")</f>
        <v>Leadership &amp; Management</v>
      </c>
      <c r="L640" s="142" t="str">
        <f>IFERROR(__xludf.DUMMYFUNCTION("""COMPUTED_VALUE"""),"Strategy")</f>
        <v>Strategy</v>
      </c>
      <c r="N640" s="140" t="str">
        <f>IFERROR(__xludf.DUMMYFUNCTION("""COMPUTED_VALUE"""),"")</f>
        <v/>
      </c>
      <c r="P640" s="140" t="str">
        <f>IFERROR(__xludf.DUMMYFUNCTION("""COMPUTED_VALUE"""),"")</f>
        <v/>
      </c>
    </row>
    <row r="641">
      <c r="A641" s="141">
        <f>IFERROR(__xludf.DUMMYFUNCTION("""COMPUTED_VALUE"""),44435.0)</f>
        <v>44435</v>
      </c>
      <c r="B641" s="141">
        <f>IFERROR(__xludf.DUMMYFUNCTION("""COMPUTED_VALUE"""),44651.0)</f>
        <v>44651</v>
      </c>
      <c r="C641" t="str">
        <f>IFERROR(__xludf.DUMMYFUNCTION("""COMPUTED_VALUE"""),"en")</f>
        <v>en</v>
      </c>
      <c r="D641">
        <f>IFERROR(__xludf.DUMMYFUNCTION("""COMPUTED_VALUE"""),1693328.0)</f>
        <v>1693328</v>
      </c>
      <c r="E641" t="str">
        <f>IFERROR(__xludf.DUMMYFUNCTION("""COMPUTED_VALUE"""),"Concept Art Architecture")</f>
        <v>Concept Art Architecture</v>
      </c>
      <c r="G641">
        <f>IFERROR(__xludf.DUMMYFUNCTION("""COMPUTED_VALUE"""),1.0663828E7)</f>
        <v>10663828</v>
      </c>
      <c r="H641" t="str">
        <f>IFERROR(__xludf.DUMMYFUNCTION("""COMPUTED_VALUE"""),"Hardy Fowler")</f>
        <v>Hardy Fowler</v>
      </c>
      <c r="I641" t="str">
        <f>IFERROR(__xludf.DUMMYFUNCTION("""COMPUTED_VALUE"""),"Instructor Request- Exclusivity")</f>
        <v>Instructor Request- Exclusivity</v>
      </c>
      <c r="J641" t="b">
        <f>IFERROR(__xludf.DUMMYFUNCTION("""COMPUTED_VALUE"""),FALSE)</f>
        <v>0</v>
      </c>
      <c r="K641" s="142" t="str">
        <f>IFERROR(__xludf.DUMMYFUNCTION("""COMPUTED_VALUE"""),"Personal Development")</f>
        <v>Personal Development</v>
      </c>
      <c r="L641" s="142" t="str">
        <f>IFERROR(__xludf.DUMMYFUNCTION("""COMPUTED_VALUE"""),"Personal Growth")</f>
        <v>Personal Growth</v>
      </c>
      <c r="N641" s="140" t="str">
        <f>IFERROR(__xludf.DUMMYFUNCTION("""COMPUTED_VALUE"""),"")</f>
        <v/>
      </c>
      <c r="P641" s="140" t="str">
        <f>IFERROR(__xludf.DUMMYFUNCTION("""COMPUTED_VALUE"""),"")</f>
        <v/>
      </c>
    </row>
    <row r="642">
      <c r="A642" s="141">
        <f>IFERROR(__xludf.DUMMYFUNCTION("""COMPUTED_VALUE"""),44435.0)</f>
        <v>44435</v>
      </c>
      <c r="B642" s="141">
        <f>IFERROR(__xludf.DUMMYFUNCTION("""COMPUTED_VALUE"""),44651.0)</f>
        <v>44651</v>
      </c>
      <c r="C642" t="str">
        <f>IFERROR(__xludf.DUMMYFUNCTION("""COMPUTED_VALUE"""),"en")</f>
        <v>en</v>
      </c>
      <c r="D642">
        <f>IFERROR(__xludf.DUMMYFUNCTION("""COMPUTED_VALUE"""),1298438.0)</f>
        <v>1298438</v>
      </c>
      <c r="E642" t="str">
        <f>IFERROR(__xludf.DUMMYFUNCTION("""COMPUTED_VALUE"""),"Art Fundamentals - Building Blocks of Digital Painting")</f>
        <v>Art Fundamentals - Building Blocks of Digital Painting</v>
      </c>
      <c r="G642">
        <f>IFERROR(__xludf.DUMMYFUNCTION("""COMPUTED_VALUE"""),1.0663828E7)</f>
        <v>10663828</v>
      </c>
      <c r="H642" t="str">
        <f>IFERROR(__xludf.DUMMYFUNCTION("""COMPUTED_VALUE"""),"Hardy Fowler")</f>
        <v>Hardy Fowler</v>
      </c>
      <c r="I642" t="str">
        <f>IFERROR(__xludf.DUMMYFUNCTION("""COMPUTED_VALUE"""),"Instructor Request- Exclusivity")</f>
        <v>Instructor Request- Exclusivity</v>
      </c>
      <c r="J642" t="b">
        <f>IFERROR(__xludf.DUMMYFUNCTION("""COMPUTED_VALUE"""),FALSE)</f>
        <v>0</v>
      </c>
      <c r="K642" s="142" t="str">
        <f>IFERROR(__xludf.DUMMYFUNCTION("""COMPUTED_VALUE"""),"Personal Development")</f>
        <v>Personal Development</v>
      </c>
      <c r="L642" s="142" t="str">
        <f>IFERROR(__xludf.DUMMYFUNCTION("""COMPUTED_VALUE"""),"Arts &amp; Creativity")</f>
        <v>Arts &amp; Creativity</v>
      </c>
      <c r="M642" s="140">
        <f>IFERROR(__xludf.DUMMYFUNCTION("""COMPUTED_VALUE"""),1458304.0)</f>
        <v>1458304</v>
      </c>
      <c r="N642" s="140" t="str">
        <f>IFERROR(__xludf.DUMMYFUNCTION("""COMPUTED_VALUE"""),"The Digital Painting MEGA Course: Beginner to Advanced")</f>
        <v>The Digital Painting MEGA Course: Beginner to Advanced</v>
      </c>
      <c r="P642" s="140" t="str">
        <f>IFERROR(__xludf.DUMMYFUNCTION("""COMPUTED_VALUE"""),"")</f>
        <v/>
      </c>
    </row>
    <row r="643">
      <c r="A643" s="141">
        <f>IFERROR(__xludf.DUMMYFUNCTION("""COMPUTED_VALUE"""),44435.0)</f>
        <v>44435</v>
      </c>
      <c r="B643" s="141">
        <f>IFERROR(__xludf.DUMMYFUNCTION("""COMPUTED_VALUE"""),44651.0)</f>
        <v>44651</v>
      </c>
      <c r="C643" t="str">
        <f>IFERROR(__xludf.DUMMYFUNCTION("""COMPUTED_VALUE"""),"en")</f>
        <v>en</v>
      </c>
      <c r="D643">
        <f>IFERROR(__xludf.DUMMYFUNCTION("""COMPUTED_VALUE"""),2551711.0)</f>
        <v>2551711</v>
      </c>
      <c r="E643" t="str">
        <f>IFERROR(__xludf.DUMMYFUNCTION("""COMPUTED_VALUE"""),"Concept Art Character Design")</f>
        <v>Concept Art Character Design</v>
      </c>
      <c r="G643">
        <f>IFERROR(__xludf.DUMMYFUNCTION("""COMPUTED_VALUE"""),1.0663828E7)</f>
        <v>10663828</v>
      </c>
      <c r="H643" t="str">
        <f>IFERROR(__xludf.DUMMYFUNCTION("""COMPUTED_VALUE"""),"Hardy Fowler")</f>
        <v>Hardy Fowler</v>
      </c>
      <c r="I643" t="str">
        <f>IFERROR(__xludf.DUMMYFUNCTION("""COMPUTED_VALUE"""),"Instructor Request- Exclusivity")</f>
        <v>Instructor Request- Exclusivity</v>
      </c>
      <c r="J643" t="b">
        <f>IFERROR(__xludf.DUMMYFUNCTION("""COMPUTED_VALUE"""),FALSE)</f>
        <v>0</v>
      </c>
      <c r="K643" s="142" t="str">
        <f>IFERROR(__xludf.DUMMYFUNCTION("""COMPUTED_VALUE"""),"Design")</f>
        <v>Design</v>
      </c>
      <c r="L643" s="142" t="str">
        <f>IFERROR(__xludf.DUMMYFUNCTION("""COMPUTED_VALUE"""),"Graphic Design")</f>
        <v>Graphic Design</v>
      </c>
      <c r="M643" s="140">
        <f>IFERROR(__xludf.DUMMYFUNCTION("""COMPUTED_VALUE"""),1259404.0)</f>
        <v>1259404</v>
      </c>
      <c r="N643" s="140" t="str">
        <f>IFERROR(__xludf.DUMMYFUNCTION("""COMPUTED_VALUE"""),"Character Art School: Complete Character Drawing Course")</f>
        <v>Character Art School: Complete Character Drawing Course</v>
      </c>
      <c r="P643" s="140" t="str">
        <f>IFERROR(__xludf.DUMMYFUNCTION("""COMPUTED_VALUE"""),"")</f>
        <v/>
      </c>
    </row>
    <row r="644">
      <c r="A644" s="143">
        <f>IFERROR(__xludf.DUMMYFUNCTION("""COMPUTED_VALUE"""),44452.0)</f>
        <v>44452</v>
      </c>
      <c r="B644" s="143">
        <f>IFERROR(__xludf.DUMMYFUNCTION("""COMPUTED_VALUE"""),44651.0)</f>
        <v>44651</v>
      </c>
      <c r="C644" s="140" t="str">
        <f>IFERROR(__xludf.DUMMYFUNCTION("""COMPUTED_VALUE"""),"ja")</f>
        <v>ja</v>
      </c>
      <c r="D644">
        <f>IFERROR(__xludf.DUMMYFUNCTION("""COMPUTED_VALUE"""),2343592.0)</f>
        <v>2343592</v>
      </c>
      <c r="E644" t="str">
        <f>IFERROR(__xludf.DUMMYFUNCTION("""COMPUTED_VALUE"""),"構造設計実務者向けRevit Structure講座(Revit2019)")</f>
        <v>構造設計実務者向けRevit Structure講座(Revit2019)</v>
      </c>
      <c r="F644" t="str">
        <f>IFERROR(__xludf.DUMMYFUNCTION("""COMPUTED_VALUE"""),"Structural Design Provider Revit Structure Course (Revit 2019)")</f>
        <v>Structural Design Provider Revit Structure Course (Revit 2019)</v>
      </c>
      <c r="G644">
        <f>IFERROR(__xludf.DUMMYFUNCTION("""COMPUTED_VALUE"""),6.9883616E7)</f>
        <v>69883616</v>
      </c>
      <c r="H644" t="str">
        <f>IFERROR(__xludf.DUMMYFUNCTION("""COMPUTED_VALUE"""),"エムスリースターズ 株式会社")</f>
        <v>エムスリースターズ 株式会社</v>
      </c>
      <c r="I644" t="str">
        <f>IFERROR(__xludf.DUMMYFUNCTION("""COMPUTED_VALUE"""),"Instructor Request- Opted Out")</f>
        <v>Instructor Request- Opted Out</v>
      </c>
      <c r="J644" t="b">
        <f>IFERROR(__xludf.DUMMYFUNCTION("""COMPUTED_VALUE"""),TRUE)</f>
        <v>1</v>
      </c>
      <c r="K644" s="142" t="str">
        <f>IFERROR(__xludf.DUMMYFUNCTION("""COMPUTED_VALUE"""),"Design")</f>
        <v>Design</v>
      </c>
      <c r="L644" s="142" t="str">
        <f>IFERROR(__xludf.DUMMYFUNCTION("""COMPUTED_VALUE"""),"3D &amp; Animation")</f>
        <v>3D &amp; Animation</v>
      </c>
      <c r="N644" s="140" t="str">
        <f>IFERROR(__xludf.DUMMYFUNCTION("""COMPUTED_VALUE"""),"")</f>
        <v/>
      </c>
      <c r="P644" s="140" t="str">
        <f>IFERROR(__xludf.DUMMYFUNCTION("""COMPUTED_VALUE"""),"")</f>
        <v/>
      </c>
    </row>
    <row r="645">
      <c r="A645" s="143">
        <f>IFERROR(__xludf.DUMMYFUNCTION("""COMPUTED_VALUE"""),44453.0)</f>
        <v>44453</v>
      </c>
      <c r="B645" s="143">
        <f>IFERROR(__xludf.DUMMYFUNCTION("""COMPUTED_VALUE"""),44651.0)</f>
        <v>44651</v>
      </c>
      <c r="C645" s="140" t="str">
        <f>IFERROR(__xludf.DUMMYFUNCTION("""COMPUTED_VALUE"""),"tr")</f>
        <v>tr</v>
      </c>
      <c r="D645">
        <f>IFERROR(__xludf.DUMMYFUNCTION("""COMPUTED_VALUE"""),2794542.0)</f>
        <v>2794542</v>
      </c>
      <c r="E645" t="str">
        <f>IFERROR(__xludf.DUMMYFUNCTION("""COMPUTED_VALUE"""),"Siber Güvenlik Giriş Kursu")</f>
        <v>Siber Güvenlik Giriş Kursu</v>
      </c>
      <c r="F645" t="str">
        <f>IFERROR(__xludf.DUMMYFUNCTION("""COMPUTED_VALUE"""),"Cyber ​​Security Entrance Course")</f>
        <v>Cyber ​​Security Entrance Course</v>
      </c>
      <c r="G645">
        <f>IFERROR(__xludf.DUMMYFUNCTION("""COMPUTED_VALUE"""),1.01996194E8)</f>
        <v>101996194</v>
      </c>
      <c r="H645" t="str">
        <f>IFERROR(__xludf.DUMMYFUNCTION("""COMPUTED_VALUE"""),"Kuday GÖRÜN")</f>
        <v>Kuday GÖRÜN</v>
      </c>
      <c r="I645" t="str">
        <f>IFERROR(__xludf.DUMMYFUNCTION("""COMPUTED_VALUE"""),"Instructor Request- Opted Out")</f>
        <v>Instructor Request- Opted Out</v>
      </c>
      <c r="J645" t="b">
        <f>IFERROR(__xludf.DUMMYFUNCTION("""COMPUTED_VALUE"""),FALSE)</f>
        <v>0</v>
      </c>
      <c r="K645" s="142" t="str">
        <f>IFERROR(__xludf.DUMMYFUNCTION("""COMPUTED_VALUE"""),"IT Operations")</f>
        <v>IT Operations</v>
      </c>
      <c r="L645" s="142" t="str">
        <f>IFERROR(__xludf.DUMMYFUNCTION("""COMPUTED_VALUE"""),"Network &amp; Security")</f>
        <v>Network &amp; Security</v>
      </c>
      <c r="M645" s="140">
        <f>IFERROR(__xludf.DUMMYFUNCTION("""COMPUTED_VALUE"""),3037338.0)</f>
        <v>3037338</v>
      </c>
      <c r="N645" s="140" t="str">
        <f>IFERROR(__xludf.DUMMYFUNCTION("""COMPUTED_VALUE"""),"Sıfırdan Uygulamalı Etik Hacker ve Siber Güvenlik Eğitimi")</f>
        <v>Sıfırdan Uygulamalı Etik Hacker ve Siber Güvenlik Eğitimi</v>
      </c>
      <c r="P645" s="140" t="str">
        <f>IFERROR(__xludf.DUMMYFUNCTION("""COMPUTED_VALUE"""),"")</f>
        <v/>
      </c>
    </row>
    <row r="646">
      <c r="A646" s="143">
        <f>IFERROR(__xludf.DUMMYFUNCTION("""COMPUTED_VALUE"""),44453.0)</f>
        <v>44453</v>
      </c>
      <c r="B646" s="141">
        <f>IFERROR(__xludf.DUMMYFUNCTION("""COMPUTED_VALUE"""),44651.0)</f>
        <v>44651</v>
      </c>
      <c r="C646" s="140" t="str">
        <f>IFERROR(__xludf.DUMMYFUNCTION("""COMPUTED_VALUE"""),"pt")</f>
        <v>pt</v>
      </c>
      <c r="D646">
        <f>IFERROR(__xludf.DUMMYFUNCTION("""COMPUTED_VALUE"""),2124212.0)</f>
        <v>2124212</v>
      </c>
      <c r="E646" t="str">
        <f>IFERROR(__xludf.DUMMYFUNCTION("""COMPUTED_VALUE"""),"Vendas por Telefone - 2.0 (Cold Calling)")</f>
        <v>Vendas por Telefone - 2.0 (Cold Calling)</v>
      </c>
      <c r="F646" t="str">
        <f>IFERROR(__xludf.DUMMYFUNCTION("""COMPUTED_VALUE"""),"Sales by phone - 2.0 (Cold Calling)")</f>
        <v>Sales by phone - 2.0 (Cold Calling)</v>
      </c>
      <c r="G646">
        <f>IFERROR(__xludf.DUMMYFUNCTION("""COMPUTED_VALUE"""),6.1851994E7)</f>
        <v>61851994</v>
      </c>
      <c r="H646" t="str">
        <f>IFERROR(__xludf.DUMMYFUNCTION("""COMPUTED_VALUE"""),"Mauricio Cardoso")</f>
        <v>Mauricio Cardoso</v>
      </c>
      <c r="I646" t="str">
        <f>IFERROR(__xludf.DUMMYFUNCTION("""COMPUTED_VALUE"""),"Instructor Request- Opted Out")</f>
        <v>Instructor Request- Opted Out</v>
      </c>
      <c r="J646" t="b">
        <f>IFERROR(__xludf.DUMMYFUNCTION("""COMPUTED_VALUE"""),FALSE)</f>
        <v>0</v>
      </c>
      <c r="K646" s="142" t="str">
        <f>IFERROR(__xludf.DUMMYFUNCTION("""COMPUTED_VALUE"""),"Sales")</f>
        <v>Sales</v>
      </c>
      <c r="L646" s="142" t="str">
        <f>IFERROR(__xludf.DUMMYFUNCTION("""COMPUTED_VALUE"""),"Sales Skills &amp; Tools")</f>
        <v>Sales Skills &amp; Tools</v>
      </c>
      <c r="N646" s="140" t="str">
        <f>IFERROR(__xludf.DUMMYFUNCTION("""COMPUTED_VALUE"""),"")</f>
        <v/>
      </c>
      <c r="P646" s="140" t="str">
        <f>IFERROR(__xludf.DUMMYFUNCTION("""COMPUTED_VALUE"""),"")</f>
        <v/>
      </c>
    </row>
    <row r="647">
      <c r="A647" s="143">
        <f>IFERROR(__xludf.DUMMYFUNCTION("""COMPUTED_VALUE"""),44454.0)</f>
        <v>44454</v>
      </c>
      <c r="B647" s="141">
        <f>IFERROR(__xludf.DUMMYFUNCTION("""COMPUTED_VALUE"""),44651.0)</f>
        <v>44651</v>
      </c>
      <c r="C647" s="140" t="str">
        <f>IFERROR(__xludf.DUMMYFUNCTION("""COMPUTED_VALUE"""),"tr")</f>
        <v>tr</v>
      </c>
      <c r="D647">
        <f>IFERROR(__xludf.DUMMYFUNCTION("""COMPUTED_VALUE"""),2546901.0)</f>
        <v>2546901</v>
      </c>
      <c r="E647" t="str">
        <f>IFERROR(__xludf.DUMMYFUNCTION("""COMPUTED_VALUE"""),"Microsoft Word Kursu")</f>
        <v>Microsoft Word Kursu</v>
      </c>
      <c r="F647" t="str">
        <f>IFERROR(__xludf.DUMMYFUNCTION("""COMPUTED_VALUE"""),"Microsoft Word Kursu")</f>
        <v>Microsoft Word Kursu</v>
      </c>
      <c r="G647">
        <f>IFERROR(__xludf.DUMMYFUNCTION("""COMPUTED_VALUE"""),8.1021216E7)</f>
        <v>81021216</v>
      </c>
      <c r="H647" t="str">
        <f>IFERROR(__xludf.DUMMYFUNCTION("""COMPUTED_VALUE"""),"Berke Aliyazıcıoğlu")</f>
        <v>Berke Aliyazıcıoğlu</v>
      </c>
      <c r="I647" t="str">
        <f>IFERROR(__xludf.DUMMYFUNCTION("""COMPUTED_VALUE"""),"Instructor Request- Opted Out")</f>
        <v>Instructor Request- Opted Out</v>
      </c>
      <c r="J647" t="b">
        <f>IFERROR(__xludf.DUMMYFUNCTION("""COMPUTED_VALUE"""),FALSE)</f>
        <v>0</v>
      </c>
      <c r="K647" s="142" t="str">
        <f>IFERROR(__xludf.DUMMYFUNCTION("""COMPUTED_VALUE"""),"Office Productivity")</f>
        <v>Office Productivity</v>
      </c>
      <c r="L647" s="142" t="str">
        <f>IFERROR(__xludf.DUMMYFUNCTION("""COMPUTED_VALUE"""),"Word Processing")</f>
        <v>Word Processing</v>
      </c>
      <c r="M647" s="140">
        <f>IFERROR(__xludf.DUMMYFUNCTION("""COMPUTED_VALUE"""),1099896.0)</f>
        <v>1099896</v>
      </c>
      <c r="N647" s="140" t="str">
        <f>IFERROR(__xludf.DUMMYFUNCTION("""COMPUTED_VALUE"""),"Microsoft Word | Sıfırdan Zirveye |2021|")</f>
        <v>Microsoft Word | Sıfırdan Zirveye |2021|</v>
      </c>
      <c r="P647" s="140" t="str">
        <f>IFERROR(__xludf.DUMMYFUNCTION("""COMPUTED_VALUE"""),"")</f>
        <v/>
      </c>
    </row>
    <row r="648">
      <c r="A648" s="143">
        <f>IFERROR(__xludf.DUMMYFUNCTION("""COMPUTED_VALUE"""),44459.0)</f>
        <v>44459</v>
      </c>
      <c r="B648" s="141">
        <f>IFERROR(__xludf.DUMMYFUNCTION("""COMPUTED_VALUE"""),44651.0)</f>
        <v>44651</v>
      </c>
      <c r="C648" s="140" t="str">
        <f>IFERROR(__xludf.DUMMYFUNCTION("""COMPUTED_VALUE"""),"es")</f>
        <v>es</v>
      </c>
      <c r="D648">
        <f>IFERROR(__xludf.DUMMYFUNCTION("""COMPUTED_VALUE"""),3725760.0)</f>
        <v>3725760</v>
      </c>
      <c r="E648" t="str">
        <f>IFERROR(__xludf.DUMMYFUNCTION("""COMPUTED_VALUE"""),"Ethical Hacking Profesional desde 0 a Avanzado, con Práctica")</f>
        <v>Ethical Hacking Profesional desde 0 a Avanzado, con Práctica</v>
      </c>
      <c r="F648" t="str">
        <f>IFERROR(__xludf.DUMMYFUNCTION("""COMPUTED_VALUE"""),"Ethical hacking professional from 0 to advanced, with practice")</f>
        <v>Ethical hacking professional from 0 to advanced, with practice</v>
      </c>
      <c r="G648">
        <f>IFERROR(__xludf.DUMMYFUNCTION("""COMPUTED_VALUE"""),5.4091018E7)</f>
        <v>54091018</v>
      </c>
      <c r="H648" t="str">
        <f>IFERROR(__xludf.DUMMYFUNCTION("""COMPUTED_VALUE"""),"Universidad Hacking")</f>
        <v>Universidad Hacking</v>
      </c>
      <c r="I648" t="str">
        <f>IFERROR(__xludf.DUMMYFUNCTION("""COMPUTED_VALUE"""),"Instructor Request- Opted Out")</f>
        <v>Instructor Request- Opted Out</v>
      </c>
      <c r="J648" t="b">
        <f>IFERROR(__xludf.DUMMYFUNCTION("""COMPUTED_VALUE"""),FALSE)</f>
        <v>0</v>
      </c>
      <c r="K648" s="142" t="str">
        <f>IFERROR(__xludf.DUMMYFUNCTION("""COMPUTED_VALUE"""),"IT Operations")</f>
        <v>IT Operations</v>
      </c>
      <c r="L648" s="142" t="str">
        <f>IFERROR(__xludf.DUMMYFUNCTION("""COMPUTED_VALUE"""),"Network &amp; Security")</f>
        <v>Network &amp; Security</v>
      </c>
      <c r="M648" s="140">
        <f>IFERROR(__xludf.DUMMYFUNCTION("""COMPUTED_VALUE"""),1266732.0)</f>
        <v>1266732</v>
      </c>
      <c r="N648" s="140" t="str">
        <f>IFERROR(__xludf.DUMMYFUNCTION("""COMPUTED_VALUE"""),"Curso Completo de Hacking Ético")</f>
        <v>Curso Completo de Hacking Ético</v>
      </c>
      <c r="P648" s="140" t="str">
        <f>IFERROR(__xludf.DUMMYFUNCTION("""COMPUTED_VALUE"""),"")</f>
        <v/>
      </c>
    </row>
    <row r="649">
      <c r="A649" s="143">
        <f>IFERROR(__xludf.DUMMYFUNCTION("""COMPUTED_VALUE"""),44459.0)</f>
        <v>44459</v>
      </c>
      <c r="B649" s="141">
        <f>IFERROR(__xludf.DUMMYFUNCTION("""COMPUTED_VALUE"""),44651.0)</f>
        <v>44651</v>
      </c>
      <c r="C649" s="140" t="str">
        <f>IFERROR(__xludf.DUMMYFUNCTION("""COMPUTED_VALUE"""),"es")</f>
        <v>es</v>
      </c>
      <c r="D649">
        <f>IFERROR(__xludf.DUMMYFUNCTION("""COMPUTED_VALUE"""),3637674.0)</f>
        <v>3637674</v>
      </c>
      <c r="E649" t="str">
        <f>IFERROR(__xludf.DUMMYFUNCTION("""COMPUTED_VALUE"""),"Hacking Wifi. Ataque, Defensa y Expulsión de intrusos")</f>
        <v>Hacking Wifi. Ataque, Defensa y Expulsión de intrusos</v>
      </c>
      <c r="F649" t="str">
        <f>IFERROR(__xludf.DUMMYFUNCTION("""COMPUTED_VALUE"""),"Hacking WiFi. Attack, defense and expulsion of intruders")</f>
        <v>Hacking WiFi. Attack, defense and expulsion of intruders</v>
      </c>
      <c r="G649">
        <f>IFERROR(__xludf.DUMMYFUNCTION("""COMPUTED_VALUE"""),2.464573E7)</f>
        <v>24645730</v>
      </c>
      <c r="H649" t="str">
        <f>IFERROR(__xludf.DUMMYFUNCTION("""COMPUTED_VALUE"""),"Alvaro Chirou • 410.000+ Students Worldwide")</f>
        <v>Alvaro Chirou • 410.000+ Students Worldwide</v>
      </c>
      <c r="I649" t="str">
        <f>IFERROR(__xludf.DUMMYFUNCTION("""COMPUTED_VALUE"""),"Instructor Request- Opted Out")</f>
        <v>Instructor Request- Opted Out</v>
      </c>
      <c r="J649" t="b">
        <f>IFERROR(__xludf.DUMMYFUNCTION("""COMPUTED_VALUE"""),FALSE)</f>
        <v>0</v>
      </c>
      <c r="K649" s="142" t="str">
        <f>IFERROR(__xludf.DUMMYFUNCTION("""COMPUTED_VALUE"""),"IT Operations")</f>
        <v>IT Operations</v>
      </c>
      <c r="L649" s="142" t="str">
        <f>IFERROR(__xludf.DUMMYFUNCTION("""COMPUTED_VALUE"""),"Network &amp; Security")</f>
        <v>Network &amp; Security</v>
      </c>
      <c r="M649" s="140">
        <f>IFERROR(__xludf.DUMMYFUNCTION("""COMPUTED_VALUE"""),1816278.0)</f>
        <v>1816278</v>
      </c>
      <c r="N649" s="140" t="str">
        <f>IFERROR(__xludf.DUMMYFUNCTION("""COMPUTED_VALUE"""),"Seguridad en redes WiFi, Detección y Expulsión de Hackers")</f>
        <v>Seguridad en redes WiFi, Detección y Expulsión de Hackers</v>
      </c>
      <c r="P649" s="140" t="str">
        <f>IFERROR(__xludf.DUMMYFUNCTION("""COMPUTED_VALUE"""),"")</f>
        <v/>
      </c>
    </row>
    <row r="650">
      <c r="A650" s="143">
        <f>IFERROR(__xludf.DUMMYFUNCTION("""COMPUTED_VALUE"""),44464.0)</f>
        <v>44464</v>
      </c>
      <c r="B650" s="141">
        <f>IFERROR(__xludf.DUMMYFUNCTION("""COMPUTED_VALUE"""),44651.0)</f>
        <v>44651</v>
      </c>
      <c r="C650" s="140" t="str">
        <f>IFERROR(__xludf.DUMMYFUNCTION("""COMPUTED_VALUE"""),"fr")</f>
        <v>fr</v>
      </c>
      <c r="D650">
        <f>IFERROR(__xludf.DUMMYFUNCTION("""COMPUTED_VALUE"""),2979424.0)</f>
        <v>2979424</v>
      </c>
      <c r="E650" t="str">
        <f>IFERROR(__xludf.DUMMYFUNCTION("""COMPUTED_VALUE"""),"Les fondamentaux Agile, Scrum et Kanban")</f>
        <v>Les fondamentaux Agile, Scrum et Kanban</v>
      </c>
      <c r="F650" t="str">
        <f>IFERROR(__xludf.DUMMYFUNCTION("""COMPUTED_VALUE"""),"Fundamentals Agile, Scrum and Kanban")</f>
        <v>Fundamentals Agile, Scrum and Kanban</v>
      </c>
      <c r="G650">
        <f>IFERROR(__xludf.DUMMYFUNCTION("""COMPUTED_VALUE"""),1.07986868E8)</f>
        <v>107986868</v>
      </c>
      <c r="H650" t="str">
        <f>IFERROR(__xludf.DUMMYFUNCTION("""COMPUTED_VALUE"""),"Imane Khalikane")</f>
        <v>Imane Khalikane</v>
      </c>
      <c r="I650" t="str">
        <f>IFERROR(__xludf.DUMMYFUNCTION("""COMPUTED_VALUE"""),"Instructor Request- Opted Out")</f>
        <v>Instructor Request- Opted Out</v>
      </c>
      <c r="J650" t="b">
        <f>IFERROR(__xludf.DUMMYFUNCTION("""COMPUTED_VALUE"""),FALSE)</f>
        <v>0</v>
      </c>
      <c r="K650" s="142" t="str">
        <f>IFERROR(__xludf.DUMMYFUNCTION("""COMPUTED_VALUE"""),"Project Management &amp; Operations")</f>
        <v>Project Management &amp; Operations</v>
      </c>
      <c r="L650" s="142" t="str">
        <f>IFERROR(__xludf.DUMMYFUNCTION("""COMPUTED_VALUE"""),"Agile &amp; Scrum")</f>
        <v>Agile &amp; Scrum</v>
      </c>
      <c r="M650" s="140">
        <f>IFERROR(__xludf.DUMMYFUNCTION("""COMPUTED_VALUE"""),3819578.0)</f>
        <v>3819578</v>
      </c>
      <c r="N650" s="140" t="str">
        <f>IFERROR(__xludf.DUMMYFUNCTION("""COMPUTED_VALUE"""),"Gestion de projet Agile : Scrum et Kanban")</f>
        <v>Gestion de projet Agile : Scrum et Kanban</v>
      </c>
      <c r="P650" s="140" t="str">
        <f>IFERROR(__xludf.DUMMYFUNCTION("""COMPUTED_VALUE"""),"")</f>
        <v/>
      </c>
    </row>
    <row r="651">
      <c r="A651" s="143">
        <f>IFERROR(__xludf.DUMMYFUNCTION("""COMPUTED_VALUE"""),44467.0)</f>
        <v>44467</v>
      </c>
      <c r="B651" s="141">
        <f>IFERROR(__xludf.DUMMYFUNCTION("""COMPUTED_VALUE"""),44651.0)</f>
        <v>44651</v>
      </c>
      <c r="C651" s="140" t="str">
        <f>IFERROR(__xludf.DUMMYFUNCTION("""COMPUTED_VALUE"""),"tr")</f>
        <v>tr</v>
      </c>
      <c r="D651">
        <f>IFERROR(__xludf.DUMMYFUNCTION("""COMPUTED_VALUE"""),3259330.0)</f>
        <v>3259330</v>
      </c>
      <c r="E651" t="str">
        <f>IFERROR(__xludf.DUMMYFUNCTION("""COMPUTED_VALUE"""),"HIZLI GRAMER (YDS-YDT-YÖKDİL)")</f>
        <v>HIZLI GRAMER (YDS-YDT-YÖKDİL)</v>
      </c>
      <c r="F651" t="str">
        <f>IFERROR(__xludf.DUMMYFUNCTION("""COMPUTED_VALUE"""),"Fast Grammar (YDS-YDT-YÖKDIL)")</f>
        <v>Fast Grammar (YDS-YDT-YÖKDIL)</v>
      </c>
      <c r="G651">
        <f>IFERROR(__xludf.DUMMYFUNCTION("""COMPUTED_VALUE"""),6.5498352E7)</f>
        <v>65498352</v>
      </c>
      <c r="H651" t="str">
        <f>IFERROR(__xludf.DUMMYFUNCTION("""COMPUTED_VALUE"""),"Erkan Önler")</f>
        <v>Erkan Önler</v>
      </c>
      <c r="I651" t="str">
        <f>IFERROR(__xludf.DUMMYFUNCTION("""COMPUTED_VALUE"""),"Instructor Request- Opted Out")</f>
        <v>Instructor Request- Opted Out</v>
      </c>
      <c r="J651" t="b">
        <f>IFERROR(__xludf.DUMMYFUNCTION("""COMPUTED_VALUE"""),TRUE)</f>
        <v>1</v>
      </c>
      <c r="K651" s="142" t="str">
        <f>IFERROR(__xludf.DUMMYFUNCTION("""COMPUTED_VALUE"""),"Personal Development")</f>
        <v>Personal Development</v>
      </c>
      <c r="L651" s="142" t="str">
        <f>IFERROR(__xludf.DUMMYFUNCTION("""COMPUTED_VALUE"""),"Language Learning")</f>
        <v>Language Learning</v>
      </c>
      <c r="P651" s="140" t="str">
        <f>IFERROR(__xludf.DUMMYFUNCTION("""COMPUTED_VALUE"""),"")</f>
        <v/>
      </c>
    </row>
    <row r="652">
      <c r="A652" s="143">
        <f>IFERROR(__xludf.DUMMYFUNCTION("""COMPUTED_VALUE"""),44467.0)</f>
        <v>44467</v>
      </c>
      <c r="B652" s="141">
        <f>IFERROR(__xludf.DUMMYFUNCTION("""COMPUTED_VALUE"""),44651.0)</f>
        <v>44651</v>
      </c>
      <c r="C652" s="140" t="str">
        <f>IFERROR(__xludf.DUMMYFUNCTION("""COMPUTED_VALUE"""),"tr")</f>
        <v>tr</v>
      </c>
      <c r="D652">
        <f>IFERROR(__xludf.DUMMYFUNCTION("""COMPUTED_VALUE"""),2679292.0)</f>
        <v>2679292</v>
      </c>
      <c r="E652" t="str">
        <f>IFERROR(__xludf.DUMMYFUNCTION("""COMPUTED_VALUE"""),"YÖKdil SORU ÇÖZÜM TEKNİKLERİ")</f>
        <v>YÖKdil SORU ÇÖZÜM TEKNİKLERİ</v>
      </c>
      <c r="F652" t="str">
        <f>IFERROR(__xludf.DUMMYFUNCTION("""COMPUTED_VALUE"""),"Yökdil Question Solution Techniques")</f>
        <v>Yökdil Question Solution Techniques</v>
      </c>
      <c r="G652">
        <f>IFERROR(__xludf.DUMMYFUNCTION("""COMPUTED_VALUE"""),6.5498352E7)</f>
        <v>65498352</v>
      </c>
      <c r="H652" t="str">
        <f>IFERROR(__xludf.DUMMYFUNCTION("""COMPUTED_VALUE"""),"Erkan Önler")</f>
        <v>Erkan Önler</v>
      </c>
      <c r="I652" t="str">
        <f>IFERROR(__xludf.DUMMYFUNCTION("""COMPUTED_VALUE"""),"Instructor Request- Opted Out")</f>
        <v>Instructor Request- Opted Out</v>
      </c>
      <c r="J652" t="b">
        <f>IFERROR(__xludf.DUMMYFUNCTION("""COMPUTED_VALUE"""),TRUE)</f>
        <v>1</v>
      </c>
      <c r="K652" s="142" t="str">
        <f>IFERROR(__xludf.DUMMYFUNCTION("""COMPUTED_VALUE"""),"Personal Development")</f>
        <v>Personal Development</v>
      </c>
      <c r="L652" s="142" t="str">
        <f>IFERROR(__xludf.DUMMYFUNCTION("""COMPUTED_VALUE"""),"Language Learning")</f>
        <v>Language Learning</v>
      </c>
      <c r="P652" s="140" t="str">
        <f>IFERROR(__xludf.DUMMYFUNCTION("""COMPUTED_VALUE"""),"")</f>
        <v/>
      </c>
    </row>
    <row r="653">
      <c r="A653" s="143">
        <f>IFERROR(__xludf.DUMMYFUNCTION("""COMPUTED_VALUE"""),44468.0)</f>
        <v>44468</v>
      </c>
      <c r="B653" s="141">
        <f>IFERROR(__xludf.DUMMYFUNCTION("""COMPUTED_VALUE"""),44651.0)</f>
        <v>44651</v>
      </c>
      <c r="C653" s="140" t="str">
        <f>IFERROR(__xludf.DUMMYFUNCTION("""COMPUTED_VALUE"""),"en")</f>
        <v>en</v>
      </c>
      <c r="D653">
        <f>IFERROR(__xludf.DUMMYFUNCTION("""COMPUTED_VALUE"""),2870638.0)</f>
        <v>2870638</v>
      </c>
      <c r="E653" t="str">
        <f>IFERROR(__xludf.DUMMYFUNCTION("""COMPUTED_VALUE"""),"Google Data Engineer Certification Practice Exams")</f>
        <v>Google Data Engineer Certification Practice Exams</v>
      </c>
      <c r="F653" t="str">
        <f>IFERROR(__xludf.DUMMYFUNCTION("""COMPUTED_VALUE"""),"Google Data Engineer Certification Practice Exams")</f>
        <v>Google Data Engineer Certification Practice Exams</v>
      </c>
      <c r="G653">
        <f>IFERROR(__xludf.DUMMYFUNCTION("""COMPUTED_VALUE"""),5.7251466E7)</f>
        <v>57251466</v>
      </c>
      <c r="H653" t="str">
        <f>IFERROR(__xludf.DUMMYFUNCTION("""COMPUTED_VALUE"""),"Bhavuk Chawla")</f>
        <v>Bhavuk Chawla</v>
      </c>
      <c r="I653" t="str">
        <f>IFERROR(__xludf.DUMMYFUNCTION("""COMPUTED_VALUE"""),"Instructor Request- Opted Out")</f>
        <v>Instructor Request- Opted Out</v>
      </c>
      <c r="J653" t="b">
        <f>IFERROR(__xludf.DUMMYFUNCTION("""COMPUTED_VALUE"""),FALSE)</f>
        <v>0</v>
      </c>
      <c r="K653" s="142" t="str">
        <f>IFERROR(__xludf.DUMMYFUNCTION("""COMPUTED_VALUE"""),"IT Operations")</f>
        <v>IT Operations</v>
      </c>
      <c r="L653" s="142" t="str">
        <f>IFERROR(__xludf.DUMMYFUNCTION("""COMPUTED_VALUE"""),"IT Certifications")</f>
        <v>IT Certifications</v>
      </c>
      <c r="P653" s="140" t="str">
        <f>IFERROR(__xludf.DUMMYFUNCTION("""COMPUTED_VALUE"""),"")</f>
        <v/>
      </c>
    </row>
    <row r="654">
      <c r="A654" s="143">
        <f>IFERROR(__xludf.DUMMYFUNCTION("""COMPUTED_VALUE"""),44480.0)</f>
        <v>44480</v>
      </c>
      <c r="B654" s="141">
        <f>IFERROR(__xludf.DUMMYFUNCTION("""COMPUTED_VALUE"""),44651.0)</f>
        <v>44651</v>
      </c>
      <c r="C654" s="140" t="str">
        <f>IFERROR(__xludf.DUMMYFUNCTION("""COMPUTED_VALUE"""),"en")</f>
        <v>en</v>
      </c>
      <c r="D654">
        <f>IFERROR(__xludf.DUMMYFUNCTION("""COMPUTED_VALUE"""),324226.0)</f>
        <v>324226</v>
      </c>
      <c r="E654" t="str">
        <f>IFERROR(__xludf.DUMMYFUNCTION("""COMPUTED_VALUE"""),"Master Flute Playing: Intermediate Instruction Made Simple!")</f>
        <v>Master Flute Playing: Intermediate Instruction Made Simple!</v>
      </c>
      <c r="F654" t="str">
        <f>IFERROR(__xludf.DUMMYFUNCTION("""COMPUTED_VALUE"""),"Master Flute Playing: Intermediate Instruction Made Simple!")</f>
        <v>Master Flute Playing: Intermediate Instruction Made Simple!</v>
      </c>
      <c r="G654">
        <f>IFERROR(__xludf.DUMMYFUNCTION("""COMPUTED_VALUE"""),3880294.0)</f>
        <v>3880294</v>
      </c>
      <c r="H654" t="str">
        <f>IFERROR(__xludf.DUMMYFUNCTION("""COMPUTED_VALUE"""),"MusicProfessor Online Music Lessons")</f>
        <v>MusicProfessor Online Music Lessons</v>
      </c>
      <c r="I654" t="str">
        <f>IFERROR(__xludf.DUMMYFUNCTION("""COMPUTED_VALUE"""),"Instructor Request- Opted Out")</f>
        <v>Instructor Request- Opted Out</v>
      </c>
      <c r="J654" t="b">
        <f>IFERROR(__xludf.DUMMYFUNCTION("""COMPUTED_VALUE"""),FALSE)</f>
        <v>0</v>
      </c>
      <c r="K654" s="142" t="str">
        <f>IFERROR(__xludf.DUMMYFUNCTION("""COMPUTED_VALUE"""),"Personal Development")</f>
        <v>Personal Development</v>
      </c>
      <c r="L654" s="142" t="str">
        <f>IFERROR(__xludf.DUMMYFUNCTION("""COMPUTED_VALUE"""),"Arts &amp; Creativity")</f>
        <v>Arts &amp; Creativity</v>
      </c>
      <c r="M654" s="140">
        <f>IFERROR(__xludf.DUMMYFUNCTION("""COMPUTED_VALUE"""),324224.0)</f>
        <v>324224</v>
      </c>
      <c r="N654" s="140" t="str">
        <f>IFERROR(__xludf.DUMMYFUNCTION("""COMPUTED_VALUE"""),"Learn to Play the Flute: Beginner Basics to Intermediate")</f>
        <v>Learn to Play the Flute: Beginner Basics to Intermediate</v>
      </c>
    </row>
    <row r="655">
      <c r="A655" s="143">
        <f>IFERROR(__xludf.DUMMYFUNCTION("""COMPUTED_VALUE"""),44442.0)</f>
        <v>44442</v>
      </c>
      <c r="B655" s="141">
        <f>IFERROR(__xludf.DUMMYFUNCTION("""COMPUTED_VALUE"""),44648.0)</f>
        <v>44648</v>
      </c>
      <c r="C655" s="140" t="str">
        <f>IFERROR(__xludf.DUMMYFUNCTION("""COMPUTED_VALUE"""),"ar")</f>
        <v>ar</v>
      </c>
      <c r="D655">
        <f>IFERROR(__xludf.DUMMYFUNCTION("""COMPUTED_VALUE"""),2478258.0)</f>
        <v>2478258</v>
      </c>
      <c r="E655" t="str">
        <f>IFERROR(__xludf.DUMMYFUNCTION("""COMPUTED_VALUE"""),"تعلم لغة HTML5 من الصفر")</f>
        <v>تعلم لغة HTML5 من الصفر</v>
      </c>
      <c r="F655" t="str">
        <f>IFERROR(__xludf.DUMMYFUNCTION("""COMPUTED_VALUE"""),"Learn the HTML5 language from scratch")</f>
        <v>Learn the HTML5 language from scratch</v>
      </c>
      <c r="G655">
        <f>IFERROR(__xludf.DUMMYFUNCTION("""COMPUTED_VALUE"""),5.0762294E7)</f>
        <v>50762294</v>
      </c>
      <c r="H655" t="str">
        <f>IFERROR(__xludf.DUMMYFUNCTION("""COMPUTED_VALUE"""),"Hassan Fulaih")</f>
        <v>Hassan Fulaih</v>
      </c>
      <c r="I655" t="str">
        <f>IFERROR(__xludf.DUMMYFUNCTION("""COMPUTED_VALUE"""),"Instructor Request- Opted Out")</f>
        <v>Instructor Request- Opted Out</v>
      </c>
      <c r="J655" t="b">
        <f>IFERROR(__xludf.DUMMYFUNCTION("""COMPUTED_VALUE"""),FALSE)</f>
        <v>0</v>
      </c>
      <c r="K655" s="142" t="str">
        <f>IFERROR(__xludf.DUMMYFUNCTION("""COMPUTED_VALUE"""),"Development")</f>
        <v>Development</v>
      </c>
      <c r="L655" s="142" t="str">
        <f>IFERROR(__xludf.DUMMYFUNCTION("""COMPUTED_VALUE"""),"Web Development")</f>
        <v>Web Development</v>
      </c>
      <c r="N655" s="140" t="str">
        <f>IFERROR(__xludf.DUMMYFUNCTION("""COMPUTED_VALUE"""),"")</f>
        <v/>
      </c>
      <c r="P655" s="140" t="str">
        <f>IFERROR(__xludf.DUMMYFUNCTION("""COMPUTED_VALUE"""),"")</f>
        <v/>
      </c>
    </row>
    <row r="656">
      <c r="A656" s="143">
        <f>IFERROR(__xludf.DUMMYFUNCTION("""COMPUTED_VALUE"""),44442.0)</f>
        <v>44442</v>
      </c>
      <c r="B656" s="141">
        <f>IFERROR(__xludf.DUMMYFUNCTION("""COMPUTED_VALUE"""),44648.0)</f>
        <v>44648</v>
      </c>
      <c r="C656" s="140" t="str">
        <f>IFERROR(__xludf.DUMMYFUNCTION("""COMPUTED_VALUE"""),"ar")</f>
        <v>ar</v>
      </c>
      <c r="D656">
        <f>IFERROR(__xludf.DUMMYFUNCTION("""COMPUTED_VALUE"""),2478354.0)</f>
        <v>2478354</v>
      </c>
      <c r="E656" t="str">
        <f>IFERROR(__xludf.DUMMYFUNCTION("""COMPUTED_VALUE"""),"تعلم CSS3 من الصفر")</f>
        <v>تعلم CSS3 من الصفر</v>
      </c>
      <c r="F656" t="str">
        <f>IFERROR(__xludf.DUMMYFUNCTION("""COMPUTED_VALUE"""),"Learn CSS3 from scratch")</f>
        <v>Learn CSS3 from scratch</v>
      </c>
      <c r="G656">
        <f>IFERROR(__xludf.DUMMYFUNCTION("""COMPUTED_VALUE"""),5.0762294E7)</f>
        <v>50762294</v>
      </c>
      <c r="H656" t="str">
        <f>IFERROR(__xludf.DUMMYFUNCTION("""COMPUTED_VALUE"""),"Hassan Fulaih")</f>
        <v>Hassan Fulaih</v>
      </c>
      <c r="I656" t="str">
        <f>IFERROR(__xludf.DUMMYFUNCTION("""COMPUTED_VALUE"""),"Instructor Request- Opted Out")</f>
        <v>Instructor Request- Opted Out</v>
      </c>
      <c r="J656" t="b">
        <f>IFERROR(__xludf.DUMMYFUNCTION("""COMPUTED_VALUE"""),FALSE)</f>
        <v>0</v>
      </c>
      <c r="K656" s="142" t="str">
        <f>IFERROR(__xludf.DUMMYFUNCTION("""COMPUTED_VALUE"""),"Development")</f>
        <v>Development</v>
      </c>
      <c r="L656" s="142" t="str">
        <f>IFERROR(__xludf.DUMMYFUNCTION("""COMPUTED_VALUE"""),"Web Development")</f>
        <v>Web Development</v>
      </c>
      <c r="M656" s="140">
        <f>IFERROR(__xludf.DUMMYFUNCTION("""COMPUTED_VALUE"""),4016598.0)</f>
        <v>4016598</v>
      </c>
      <c r="N656" s="140" t="str">
        <f>IFERROR(__xludf.DUMMYFUNCTION("""COMPUTED_VALUE"""),"")</f>
        <v/>
      </c>
      <c r="P656" s="140" t="str">
        <f>IFERROR(__xludf.DUMMYFUNCTION("""COMPUTED_VALUE"""),"")</f>
        <v/>
      </c>
    </row>
    <row r="657">
      <c r="A657" s="143">
        <f>IFERROR(__xludf.DUMMYFUNCTION("""COMPUTED_VALUE"""),44442.0)</f>
        <v>44442</v>
      </c>
      <c r="B657" s="141">
        <f>IFERROR(__xludf.DUMMYFUNCTION("""COMPUTED_VALUE"""),44648.0)</f>
        <v>44648</v>
      </c>
      <c r="C657" s="140" t="str">
        <f>IFERROR(__xludf.DUMMYFUNCTION("""COMPUTED_VALUE"""),"es")</f>
        <v>es</v>
      </c>
      <c r="D657">
        <f>IFERROR(__xludf.DUMMYFUNCTION("""COMPUTED_VALUE"""),233830.0)</f>
        <v>233830</v>
      </c>
      <c r="E657" t="str">
        <f>IFERROR(__xludf.DUMMYFUNCTION("""COMPUTED_VALUE"""),"Crea tu Plan de Marketing Online")</f>
        <v>Crea tu Plan de Marketing Online</v>
      </c>
      <c r="F657" t="str">
        <f>IFERROR(__xludf.DUMMYFUNCTION("""COMPUTED_VALUE"""),"Create online marketing plan")</f>
        <v>Create online marketing plan</v>
      </c>
      <c r="G657">
        <f>IFERROR(__xludf.DUMMYFUNCTION("""COMPUTED_VALUE"""),5036466.0)</f>
        <v>5036466</v>
      </c>
      <c r="H657" t="str">
        <f>IFERROR(__xludf.DUMMYFUNCTION("""COMPUTED_VALUE"""),"Pau Rodrigo Millan")</f>
        <v>Pau Rodrigo Millan</v>
      </c>
      <c r="I657" t="str">
        <f>IFERROR(__xludf.DUMMYFUNCTION("""COMPUTED_VALUE"""),"Instructor Request- Opted Out")</f>
        <v>Instructor Request- Opted Out</v>
      </c>
      <c r="J657" t="b">
        <f>IFERROR(__xludf.DUMMYFUNCTION("""COMPUTED_VALUE"""),FALSE)</f>
        <v>0</v>
      </c>
      <c r="K657" s="142" t="str">
        <f>IFERROR(__xludf.DUMMYFUNCTION("""COMPUTED_VALUE"""),"Marketing")</f>
        <v>Marketing</v>
      </c>
      <c r="L657" s="142" t="str">
        <f>IFERROR(__xludf.DUMMYFUNCTION("""COMPUTED_VALUE"""),"Digital Marketing")</f>
        <v>Digital Marketing</v>
      </c>
      <c r="N657" s="140" t="str">
        <f>IFERROR(__xludf.DUMMYFUNCTION("""COMPUTED_VALUE"""),"")</f>
        <v/>
      </c>
      <c r="P657" s="140" t="str">
        <f>IFERROR(__xludf.DUMMYFUNCTION("""COMPUTED_VALUE"""),"")</f>
        <v/>
      </c>
    </row>
    <row r="658">
      <c r="A658" s="143">
        <f>IFERROR(__xludf.DUMMYFUNCTION("""COMPUTED_VALUE"""),44446.0)</f>
        <v>44446</v>
      </c>
      <c r="B658" s="141">
        <f>IFERROR(__xludf.DUMMYFUNCTION("""COMPUTED_VALUE"""),44648.0)</f>
        <v>44648</v>
      </c>
      <c r="C658" s="140" t="str">
        <f>IFERROR(__xludf.DUMMYFUNCTION("""COMPUTED_VALUE"""),"en")</f>
        <v>en</v>
      </c>
      <c r="D658">
        <f>IFERROR(__xludf.DUMMYFUNCTION("""COMPUTED_VALUE"""),2804061.0)</f>
        <v>2804061</v>
      </c>
      <c r="E658" t="str">
        <f>IFERROR(__xludf.DUMMYFUNCTION("""COMPUTED_VALUE"""),"CCNA 200-301 Pre-Exam Practice Tests")</f>
        <v>CCNA 200-301 Pre-Exam Practice Tests</v>
      </c>
      <c r="F658" t="str">
        <f>IFERROR(__xludf.DUMMYFUNCTION("""COMPUTED_VALUE"""),"CCNA 200-301 Pre-Exam Practice Tests")</f>
        <v>CCNA 200-301 Pre-Exam Practice Tests</v>
      </c>
      <c r="G658">
        <f>IFERROR(__xludf.DUMMYFUNCTION("""COMPUTED_VALUE"""),3.5904346E7)</f>
        <v>35904346</v>
      </c>
      <c r="H658" t="str">
        <f>IFERROR(__xludf.DUMMYFUNCTION("""COMPUTED_VALUE"""),"Shaun Hummel")</f>
        <v>Shaun Hummel</v>
      </c>
      <c r="I658" t="str">
        <f>IFERROR(__xludf.DUMMYFUNCTION("""COMPUTED_VALUE"""),"Instructor Request- Opted Out")</f>
        <v>Instructor Request- Opted Out</v>
      </c>
      <c r="J658" t="b">
        <f>IFERROR(__xludf.DUMMYFUNCTION("""COMPUTED_VALUE"""),FALSE)</f>
        <v>0</v>
      </c>
      <c r="K658" s="142" t="str">
        <f>IFERROR(__xludf.DUMMYFUNCTION("""COMPUTED_VALUE"""),"IT Operations")</f>
        <v>IT Operations</v>
      </c>
      <c r="L658" s="142" t="str">
        <f>IFERROR(__xludf.DUMMYFUNCTION("""COMPUTED_VALUE"""),"IT Certifications")</f>
        <v>IT Certifications</v>
      </c>
      <c r="N658" s="140" t="str">
        <f>IFERROR(__xludf.DUMMYFUNCTION("""COMPUTED_VALUE"""),"")</f>
        <v/>
      </c>
      <c r="P658" s="140" t="str">
        <f>IFERROR(__xludf.DUMMYFUNCTION("""COMPUTED_VALUE"""),"")</f>
        <v/>
      </c>
    </row>
    <row r="659">
      <c r="A659" s="143">
        <f>IFERROR(__xludf.DUMMYFUNCTION("""COMPUTED_VALUE"""),44453.0)</f>
        <v>44453</v>
      </c>
      <c r="B659" s="141">
        <f>IFERROR(__xludf.DUMMYFUNCTION("""COMPUTED_VALUE"""),44648.0)</f>
        <v>44648</v>
      </c>
      <c r="C659" s="140" t="str">
        <f>IFERROR(__xludf.DUMMYFUNCTION("""COMPUTED_VALUE"""),"pt")</f>
        <v>pt</v>
      </c>
      <c r="D659">
        <f>IFERROR(__xludf.DUMMYFUNCTION("""COMPUTED_VALUE"""),2196754.0)</f>
        <v>2196754</v>
      </c>
      <c r="E659" t="str">
        <f>IFERROR(__xludf.DUMMYFUNCTION("""COMPUTED_VALUE"""),"Flutter Essencial")</f>
        <v>Flutter Essencial</v>
      </c>
      <c r="F659" t="str">
        <f>IFERROR(__xludf.DUMMYFUNCTION("""COMPUTED_VALUE"""),"Flutter")</f>
        <v>Flutter</v>
      </c>
      <c r="G659">
        <f>IFERROR(__xludf.DUMMYFUNCTION("""COMPUTED_VALUE"""),5.228235E7)</f>
        <v>52282350</v>
      </c>
      <c r="H659" t="str">
        <f>IFERROR(__xludf.DUMMYFUNCTION("""COMPUTED_VALUE"""),"Ricardo Lecheta")</f>
        <v>Ricardo Lecheta</v>
      </c>
      <c r="I659" t="str">
        <f>IFERROR(__xludf.DUMMYFUNCTION("""COMPUTED_VALUE"""),"Instructor Request- Opted Out")</f>
        <v>Instructor Request- Opted Out</v>
      </c>
      <c r="J659" t="b">
        <f>IFERROR(__xludf.DUMMYFUNCTION("""COMPUTED_VALUE"""),FALSE)</f>
        <v>0</v>
      </c>
      <c r="K659" s="142" t="str">
        <f>IFERROR(__xludf.DUMMYFUNCTION("""COMPUTED_VALUE"""),"Development")</f>
        <v>Development</v>
      </c>
      <c r="L659" s="142" t="str">
        <f>IFERROR(__xludf.DUMMYFUNCTION("""COMPUTED_VALUE"""),"Mobile Development")</f>
        <v>Mobile Development</v>
      </c>
      <c r="N659" s="140" t="str">
        <f>IFERROR(__xludf.DUMMYFUNCTION("""COMPUTED_VALUE"""),"")</f>
        <v/>
      </c>
      <c r="P659" s="140" t="str">
        <f>IFERROR(__xludf.DUMMYFUNCTION("""COMPUTED_VALUE"""),"")</f>
        <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11.71"/>
    <col customWidth="1" min="2" max="2" width="14.43"/>
    <col customWidth="1" min="3" max="3" width="12.57"/>
    <col customWidth="1" min="4" max="4" width="49.29"/>
    <col customWidth="1" min="5" max="6" width="21.43"/>
    <col customWidth="1" min="7" max="7" width="19.57"/>
    <col customWidth="1" min="8" max="8" width="30.43"/>
    <col customWidth="1" min="9" max="9" width="19.57"/>
    <col customWidth="1" min="10" max="10" width="27.43"/>
  </cols>
  <sheetData>
    <row r="1" ht="19.5" customHeight="1">
      <c r="A1" s="146"/>
      <c r="B1" s="147"/>
      <c r="C1" s="73" t="s">
        <v>706</v>
      </c>
      <c r="I1" s="74"/>
      <c r="J1" s="22"/>
    </row>
    <row r="2" ht="47.25" customHeight="1">
      <c r="A2" s="146"/>
      <c r="C2" s="75" t="s">
        <v>707</v>
      </c>
      <c r="J2" s="76"/>
    </row>
    <row r="3">
      <c r="A3" s="25" t="s">
        <v>27</v>
      </c>
      <c r="B3" s="25" t="s">
        <v>28</v>
      </c>
      <c r="C3" s="25" t="s">
        <v>29</v>
      </c>
      <c r="D3" s="25" t="s">
        <v>30</v>
      </c>
      <c r="E3" s="25" t="s">
        <v>31</v>
      </c>
      <c r="F3" s="25" t="s">
        <v>32</v>
      </c>
      <c r="G3" s="25" t="s">
        <v>33</v>
      </c>
      <c r="H3" s="25" t="s">
        <v>34</v>
      </c>
      <c r="I3" s="25" t="s">
        <v>35</v>
      </c>
      <c r="J3" s="25" t="s">
        <v>36</v>
      </c>
    </row>
    <row r="4">
      <c r="A4" s="88">
        <v>3548900.0</v>
      </c>
      <c r="B4" s="117">
        <v>44530.0</v>
      </c>
      <c r="C4" s="123" t="s">
        <v>37</v>
      </c>
      <c r="D4" s="29" t="s">
        <v>1005</v>
      </c>
      <c r="E4" s="30" t="s">
        <v>105</v>
      </c>
      <c r="F4" s="30" t="s">
        <v>212</v>
      </c>
      <c r="G4" s="31"/>
      <c r="H4" s="30" t="s">
        <v>47</v>
      </c>
      <c r="I4" s="31"/>
      <c r="J4" s="30" t="s">
        <v>47</v>
      </c>
    </row>
    <row r="5">
      <c r="A5" s="88">
        <v>2653732.0</v>
      </c>
      <c r="B5" s="117">
        <v>44530.0</v>
      </c>
      <c r="C5" s="123" t="s">
        <v>37</v>
      </c>
      <c r="D5" s="29" t="s">
        <v>1006</v>
      </c>
      <c r="E5" s="30" t="s">
        <v>83</v>
      </c>
      <c r="F5" s="30" t="s">
        <v>285</v>
      </c>
      <c r="G5" s="31"/>
      <c r="H5" s="30" t="s">
        <v>47</v>
      </c>
      <c r="I5" s="31"/>
      <c r="J5" s="30"/>
    </row>
    <row r="6">
      <c r="A6" s="82">
        <v>2889006.0</v>
      </c>
      <c r="B6" s="117">
        <v>44530.0</v>
      </c>
      <c r="C6" s="123" t="s">
        <v>37</v>
      </c>
      <c r="D6" s="29" t="s">
        <v>1007</v>
      </c>
      <c r="E6" s="30" t="s">
        <v>45</v>
      </c>
      <c r="F6" s="30" t="s">
        <v>324</v>
      </c>
      <c r="G6" s="31"/>
      <c r="H6" s="30" t="s">
        <v>47</v>
      </c>
      <c r="I6" s="31"/>
      <c r="J6" s="30"/>
    </row>
    <row r="7">
      <c r="A7" s="82">
        <v>2545905.0</v>
      </c>
      <c r="B7" s="117">
        <v>44530.0</v>
      </c>
      <c r="C7" s="123" t="s">
        <v>43</v>
      </c>
      <c r="D7" s="29" t="s">
        <v>1008</v>
      </c>
      <c r="E7" s="30" t="s">
        <v>96</v>
      </c>
      <c r="F7" s="30" t="s">
        <v>109</v>
      </c>
      <c r="G7" s="31">
        <v>1692552.0</v>
      </c>
      <c r="H7" s="30" t="s">
        <v>1009</v>
      </c>
      <c r="I7" s="31">
        <v>2527928.0</v>
      </c>
      <c r="J7" s="30" t="s">
        <v>1010</v>
      </c>
    </row>
    <row r="8">
      <c r="A8" s="82">
        <v>501290.0</v>
      </c>
      <c r="B8" s="117">
        <v>44530.0</v>
      </c>
      <c r="C8" s="123" t="s">
        <v>37</v>
      </c>
      <c r="D8" s="29" t="s">
        <v>1011</v>
      </c>
      <c r="E8" s="30" t="s">
        <v>105</v>
      </c>
      <c r="F8" s="30" t="s">
        <v>212</v>
      </c>
      <c r="G8" s="31">
        <v>438522.0</v>
      </c>
      <c r="H8" s="30" t="s">
        <v>1012</v>
      </c>
      <c r="I8" s="31"/>
      <c r="J8" s="30" t="s">
        <v>47</v>
      </c>
    </row>
    <row r="9">
      <c r="A9" s="82">
        <v>659250.0</v>
      </c>
      <c r="B9" s="117">
        <v>44530.0</v>
      </c>
      <c r="C9" s="123" t="s">
        <v>43</v>
      </c>
      <c r="D9" s="29" t="s">
        <v>1013</v>
      </c>
      <c r="E9" s="30" t="s">
        <v>39</v>
      </c>
      <c r="F9" s="30" t="s">
        <v>50</v>
      </c>
      <c r="G9" s="31">
        <v>1137616.0</v>
      </c>
      <c r="H9" s="30" t="s">
        <v>1014</v>
      </c>
      <c r="I9" s="31"/>
      <c r="J9" s="30" t="s">
        <v>47</v>
      </c>
    </row>
    <row r="10">
      <c r="A10" s="82">
        <v>1009226.0</v>
      </c>
      <c r="B10" s="117">
        <v>44530.0</v>
      </c>
      <c r="C10" s="123" t="s">
        <v>37</v>
      </c>
      <c r="D10" s="29" t="s">
        <v>1015</v>
      </c>
      <c r="E10" s="30" t="s">
        <v>105</v>
      </c>
      <c r="F10" s="30" t="s">
        <v>106</v>
      </c>
      <c r="G10" s="31"/>
      <c r="H10" s="30" t="s">
        <v>47</v>
      </c>
      <c r="I10" s="31"/>
      <c r="J10" s="30" t="s">
        <v>47</v>
      </c>
    </row>
    <row r="11">
      <c r="A11" s="82">
        <v>1388924.0</v>
      </c>
      <c r="B11" s="117">
        <v>44530.0</v>
      </c>
      <c r="C11" s="123" t="s">
        <v>142</v>
      </c>
      <c r="D11" s="29" t="s">
        <v>1016</v>
      </c>
      <c r="E11" s="30" t="s">
        <v>105</v>
      </c>
      <c r="F11" s="30" t="s">
        <v>316</v>
      </c>
      <c r="G11" s="31">
        <v>1376910.0</v>
      </c>
      <c r="H11" s="30" t="s">
        <v>1017</v>
      </c>
      <c r="I11" s="31"/>
      <c r="J11" s="30" t="s">
        <v>47</v>
      </c>
    </row>
    <row r="12">
      <c r="A12" s="82">
        <v>1619714.0</v>
      </c>
      <c r="B12" s="117">
        <v>44530.0</v>
      </c>
      <c r="C12" s="123" t="s">
        <v>70</v>
      </c>
      <c r="D12" s="29" t="s">
        <v>1018</v>
      </c>
      <c r="E12" s="30" t="s">
        <v>39</v>
      </c>
      <c r="F12" s="30" t="s">
        <v>214</v>
      </c>
      <c r="G12" s="31"/>
      <c r="H12" s="30" t="s">
        <v>47</v>
      </c>
      <c r="I12" s="31"/>
      <c r="J12" s="30" t="s">
        <v>47</v>
      </c>
    </row>
    <row r="13">
      <c r="A13" s="82">
        <v>1778834.0</v>
      </c>
      <c r="B13" s="117">
        <v>44530.0</v>
      </c>
      <c r="C13" s="123" t="s">
        <v>43</v>
      </c>
      <c r="D13" s="29" t="s">
        <v>1019</v>
      </c>
      <c r="E13" s="30" t="s">
        <v>39</v>
      </c>
      <c r="F13" s="30" t="s">
        <v>297</v>
      </c>
      <c r="G13" s="31">
        <v>2680130.0</v>
      </c>
      <c r="H13" s="30" t="s">
        <v>1020</v>
      </c>
      <c r="I13" s="31"/>
      <c r="J13" s="30" t="s">
        <v>47</v>
      </c>
    </row>
    <row r="14">
      <c r="A14" s="82">
        <v>2340578.0</v>
      </c>
      <c r="B14" s="117">
        <v>44530.0</v>
      </c>
      <c r="C14" s="123" t="s">
        <v>43</v>
      </c>
      <c r="D14" s="29" t="s">
        <v>1021</v>
      </c>
      <c r="E14" s="30" t="s">
        <v>79</v>
      </c>
      <c r="F14" s="30" t="s">
        <v>150</v>
      </c>
      <c r="G14" s="31">
        <v>2132906.0</v>
      </c>
      <c r="H14" s="30" t="s">
        <v>1022</v>
      </c>
      <c r="I14" s="31"/>
      <c r="J14" s="30" t="s">
        <v>47</v>
      </c>
    </row>
    <row r="15">
      <c r="A15" s="82">
        <v>871138.0</v>
      </c>
      <c r="B15" s="117">
        <v>44530.0</v>
      </c>
      <c r="C15" s="123" t="s">
        <v>37</v>
      </c>
      <c r="D15" s="29" t="s">
        <v>1023</v>
      </c>
      <c r="E15" s="30" t="s">
        <v>39</v>
      </c>
      <c r="F15" s="30" t="s">
        <v>54</v>
      </c>
      <c r="G15" s="31"/>
      <c r="H15" s="30" t="s">
        <v>47</v>
      </c>
      <c r="I15" s="31"/>
      <c r="J15" s="30" t="s">
        <v>47</v>
      </c>
    </row>
    <row r="16">
      <c r="A16" s="82">
        <v>1262696.0</v>
      </c>
      <c r="B16" s="117">
        <v>44530.0</v>
      </c>
      <c r="C16" s="123" t="s">
        <v>37</v>
      </c>
      <c r="D16" s="29" t="s">
        <v>1024</v>
      </c>
      <c r="E16" s="30" t="s">
        <v>39</v>
      </c>
      <c r="F16" s="30" t="s">
        <v>40</v>
      </c>
      <c r="G16" s="31">
        <v>1138374.0</v>
      </c>
      <c r="H16" s="30" t="s">
        <v>1025</v>
      </c>
      <c r="I16" s="31"/>
      <c r="J16" s="30" t="s">
        <v>47</v>
      </c>
    </row>
    <row r="17">
      <c r="A17" s="82">
        <v>1666930.0</v>
      </c>
      <c r="B17" s="117">
        <v>44530.0</v>
      </c>
      <c r="C17" s="123" t="s">
        <v>37</v>
      </c>
      <c r="D17" s="29" t="s">
        <v>1026</v>
      </c>
      <c r="E17" s="30" t="s">
        <v>39</v>
      </c>
      <c r="F17" s="30" t="s">
        <v>140</v>
      </c>
      <c r="G17" s="31">
        <v>1693392.0</v>
      </c>
      <c r="H17" s="30" t="s">
        <v>1027</v>
      </c>
      <c r="I17" s="31"/>
      <c r="J17" s="30" t="s">
        <v>47</v>
      </c>
    </row>
    <row r="18">
      <c r="A18" s="82">
        <v>2006384.0</v>
      </c>
      <c r="B18" s="117">
        <v>44530.0</v>
      </c>
      <c r="C18" s="123" t="s">
        <v>37</v>
      </c>
      <c r="D18" s="29" t="s">
        <v>1028</v>
      </c>
      <c r="E18" s="30" t="s">
        <v>45</v>
      </c>
      <c r="F18" s="30" t="s">
        <v>46</v>
      </c>
      <c r="G18" s="31"/>
      <c r="H18" s="30" t="s">
        <v>47</v>
      </c>
      <c r="I18" s="31"/>
      <c r="J18" s="30" t="s">
        <v>47</v>
      </c>
    </row>
    <row r="19">
      <c r="A19" s="82">
        <v>2228510.0</v>
      </c>
      <c r="B19" s="117">
        <v>44530.0</v>
      </c>
      <c r="C19" s="123" t="s">
        <v>37</v>
      </c>
      <c r="D19" s="29" t="s">
        <v>1029</v>
      </c>
      <c r="E19" s="30" t="s">
        <v>63</v>
      </c>
      <c r="F19" s="30" t="s">
        <v>64</v>
      </c>
      <c r="G19" s="31">
        <v>1838188.0</v>
      </c>
      <c r="H19" s="30" t="s">
        <v>1030</v>
      </c>
      <c r="I19" s="31">
        <v>2436262.0</v>
      </c>
      <c r="J19" s="30" t="s">
        <v>1031</v>
      </c>
    </row>
    <row r="20">
      <c r="A20" s="82">
        <v>3405088.0</v>
      </c>
      <c r="B20" s="117">
        <v>44530.0</v>
      </c>
      <c r="C20" s="123" t="s">
        <v>37</v>
      </c>
      <c r="D20" s="29" t="s">
        <v>1032</v>
      </c>
      <c r="E20" s="30" t="s">
        <v>39</v>
      </c>
      <c r="F20" s="30" t="s">
        <v>140</v>
      </c>
      <c r="G20" s="31">
        <v>2472180.0</v>
      </c>
      <c r="H20" s="30" t="s">
        <v>1033</v>
      </c>
      <c r="I20" s="31"/>
      <c r="J20" s="30" t="s">
        <v>47</v>
      </c>
    </row>
    <row r="21">
      <c r="A21" s="82">
        <v>3585240.0</v>
      </c>
      <c r="B21" s="117">
        <v>44530.0</v>
      </c>
      <c r="C21" s="123" t="s">
        <v>37</v>
      </c>
      <c r="D21" s="29" t="s">
        <v>604</v>
      </c>
      <c r="E21" s="30" t="s">
        <v>45</v>
      </c>
      <c r="F21" s="30" t="s">
        <v>75</v>
      </c>
      <c r="G21" s="31">
        <v>3021148.0</v>
      </c>
      <c r="H21" s="30" t="s">
        <v>639</v>
      </c>
      <c r="I21" s="31"/>
      <c r="J21" s="30" t="s">
        <v>47</v>
      </c>
    </row>
    <row r="22">
      <c r="A22" s="82">
        <v>3626078.0</v>
      </c>
      <c r="B22" s="117">
        <v>44530.0</v>
      </c>
      <c r="C22" s="123" t="s">
        <v>37</v>
      </c>
      <c r="D22" s="29" t="s">
        <v>1034</v>
      </c>
      <c r="E22" s="30" t="s">
        <v>45</v>
      </c>
      <c r="F22" s="30" t="s">
        <v>46</v>
      </c>
      <c r="G22" s="31"/>
      <c r="H22" s="30" t="s">
        <v>47</v>
      </c>
      <c r="I22" s="31"/>
      <c r="J22" s="30" t="s">
        <v>47</v>
      </c>
    </row>
    <row r="23">
      <c r="A23" s="82">
        <v>3657580.0</v>
      </c>
      <c r="B23" s="117">
        <v>44530.0</v>
      </c>
      <c r="C23" s="123" t="s">
        <v>37</v>
      </c>
      <c r="D23" s="29" t="s">
        <v>650</v>
      </c>
      <c r="E23" s="30" t="s">
        <v>45</v>
      </c>
      <c r="F23" s="30" t="s">
        <v>75</v>
      </c>
      <c r="G23" s="31"/>
      <c r="H23" s="30" t="s">
        <v>47</v>
      </c>
      <c r="I23" s="31"/>
      <c r="J23" s="30" t="s">
        <v>47</v>
      </c>
    </row>
    <row r="24">
      <c r="A24" s="82">
        <v>2396820.0</v>
      </c>
      <c r="B24" s="117">
        <v>44530.0</v>
      </c>
      <c r="C24" s="123" t="s">
        <v>170</v>
      </c>
      <c r="D24" s="29" t="s">
        <v>1035</v>
      </c>
      <c r="E24" s="30" t="s">
        <v>39</v>
      </c>
      <c r="F24" s="30" t="s">
        <v>140</v>
      </c>
      <c r="G24" s="31">
        <v>2563702.0</v>
      </c>
      <c r="H24" s="30" t="s">
        <v>1036</v>
      </c>
      <c r="I24" s="31">
        <v>1697894.0</v>
      </c>
      <c r="J24" s="30" t="s">
        <v>1037</v>
      </c>
    </row>
    <row r="25">
      <c r="A25" s="82">
        <v>3397204.0</v>
      </c>
      <c r="B25" s="117">
        <v>44530.0</v>
      </c>
      <c r="C25" s="123" t="s">
        <v>37</v>
      </c>
      <c r="D25" s="29" t="s">
        <v>1038</v>
      </c>
      <c r="E25" s="30" t="s">
        <v>219</v>
      </c>
      <c r="F25" s="30" t="s">
        <v>220</v>
      </c>
      <c r="G25" s="31"/>
      <c r="H25" s="30" t="s">
        <v>47</v>
      </c>
      <c r="I25" s="31"/>
      <c r="J25" s="30" t="s">
        <v>47</v>
      </c>
    </row>
    <row r="26">
      <c r="A26" s="82">
        <v>3197064.0</v>
      </c>
      <c r="B26" s="117">
        <v>44530.0</v>
      </c>
      <c r="C26" s="123" t="s">
        <v>37</v>
      </c>
      <c r="D26" s="29" t="s">
        <v>1039</v>
      </c>
      <c r="E26" s="30" t="s">
        <v>101</v>
      </c>
      <c r="F26" s="30" t="s">
        <v>754</v>
      </c>
      <c r="G26" s="31">
        <v>2281182.0</v>
      </c>
      <c r="H26" s="30" t="s">
        <v>1040</v>
      </c>
      <c r="I26" s="31"/>
      <c r="J26" s="30" t="s">
        <v>47</v>
      </c>
    </row>
    <row r="27">
      <c r="A27" s="82">
        <v>3233977.0</v>
      </c>
      <c r="B27" s="117">
        <v>44530.0</v>
      </c>
      <c r="C27" s="123" t="s">
        <v>37</v>
      </c>
      <c r="D27" s="29" t="s">
        <v>1041</v>
      </c>
      <c r="E27" s="30" t="s">
        <v>45</v>
      </c>
      <c r="F27" s="30" t="s">
        <v>75</v>
      </c>
      <c r="G27" s="31">
        <v>3346024.0</v>
      </c>
      <c r="H27" s="30" t="s">
        <v>1042</v>
      </c>
      <c r="I27" s="31"/>
      <c r="J27" s="30" t="s">
        <v>47</v>
      </c>
    </row>
    <row r="28">
      <c r="A28" s="83">
        <v>310810.0</v>
      </c>
      <c r="B28" s="117">
        <v>44530.0</v>
      </c>
      <c r="C28" s="123" t="s">
        <v>37</v>
      </c>
      <c r="D28" s="29" t="s">
        <v>1043</v>
      </c>
      <c r="E28" s="30" t="s">
        <v>122</v>
      </c>
      <c r="F28" s="30" t="s">
        <v>127</v>
      </c>
      <c r="G28" s="31"/>
      <c r="H28" s="30"/>
      <c r="I28" s="31"/>
      <c r="J28" s="30"/>
    </row>
    <row r="29">
      <c r="A29" s="84">
        <v>3880856.0</v>
      </c>
      <c r="B29" s="117">
        <v>44511.0</v>
      </c>
      <c r="C29" s="123" t="s">
        <v>187</v>
      </c>
      <c r="D29" s="29" t="s">
        <v>1044</v>
      </c>
      <c r="E29" s="30" t="s">
        <v>101</v>
      </c>
      <c r="F29" s="30" t="s">
        <v>102</v>
      </c>
      <c r="G29" s="31"/>
      <c r="H29" s="30"/>
      <c r="I29" s="31"/>
      <c r="J29" s="30"/>
    </row>
    <row r="30">
      <c r="A30" s="80">
        <v>1162180.0</v>
      </c>
      <c r="B30" s="117">
        <v>44503.0</v>
      </c>
      <c r="C30" s="104" t="s">
        <v>37</v>
      </c>
      <c r="D30" s="29" t="s">
        <v>1045</v>
      </c>
      <c r="E30" s="30" t="s">
        <v>122</v>
      </c>
      <c r="F30" s="30" t="s">
        <v>127</v>
      </c>
      <c r="G30" s="31"/>
      <c r="H30" s="30"/>
      <c r="I30" s="31"/>
      <c r="J30" s="30"/>
    </row>
    <row r="31">
      <c r="A31" s="80">
        <v>1230710.0</v>
      </c>
      <c r="B31" s="117">
        <v>44503.0</v>
      </c>
      <c r="C31" s="104" t="s">
        <v>70</v>
      </c>
      <c r="D31" s="29" t="s">
        <v>1046</v>
      </c>
      <c r="E31" s="30" t="s">
        <v>122</v>
      </c>
      <c r="F31" s="30" t="s">
        <v>127</v>
      </c>
      <c r="G31" s="31"/>
      <c r="H31" s="30"/>
      <c r="I31" s="31"/>
      <c r="J31" s="30"/>
    </row>
    <row r="32">
      <c r="A32" s="80">
        <v>1214088.0</v>
      </c>
      <c r="B32" s="117">
        <v>44503.0</v>
      </c>
      <c r="C32" s="104" t="s">
        <v>70</v>
      </c>
      <c r="D32" s="29" t="s">
        <v>1047</v>
      </c>
      <c r="E32" s="30" t="s">
        <v>219</v>
      </c>
      <c r="F32" s="30" t="s">
        <v>220</v>
      </c>
      <c r="G32" s="31"/>
      <c r="H32" s="30"/>
      <c r="I32" s="31"/>
      <c r="J32" s="30"/>
    </row>
    <row r="33">
      <c r="A33" s="80">
        <v>1670634.0</v>
      </c>
      <c r="B33" s="117">
        <v>44503.0</v>
      </c>
      <c r="C33" s="104" t="s">
        <v>37</v>
      </c>
      <c r="D33" s="29" t="s">
        <v>1048</v>
      </c>
      <c r="E33" s="30" t="s">
        <v>45</v>
      </c>
      <c r="F33" s="30" t="s">
        <v>90</v>
      </c>
      <c r="G33" s="31"/>
      <c r="H33" s="30"/>
      <c r="I33" s="31"/>
      <c r="J33" s="30"/>
    </row>
    <row r="34">
      <c r="A34" s="80">
        <v>2080272.0</v>
      </c>
      <c r="B34" s="117">
        <v>44503.0</v>
      </c>
      <c r="C34" s="104" t="s">
        <v>37</v>
      </c>
      <c r="D34" s="29" t="s">
        <v>1049</v>
      </c>
      <c r="E34" s="30" t="s">
        <v>45</v>
      </c>
      <c r="F34" s="30" t="s">
        <v>75</v>
      </c>
      <c r="G34" s="31"/>
      <c r="H34" s="30"/>
      <c r="I34" s="31"/>
      <c r="J34" s="30"/>
    </row>
    <row r="35">
      <c r="A35" s="80">
        <v>2264930.0</v>
      </c>
      <c r="B35" s="117">
        <v>44503.0</v>
      </c>
      <c r="C35" s="104" t="s">
        <v>37</v>
      </c>
      <c r="D35" s="29" t="s">
        <v>1050</v>
      </c>
      <c r="E35" s="30" t="s">
        <v>45</v>
      </c>
      <c r="F35" s="30" t="s">
        <v>75</v>
      </c>
      <c r="G35" s="31"/>
      <c r="H35" s="30"/>
      <c r="I35" s="31"/>
      <c r="J35" s="30"/>
    </row>
    <row r="36">
      <c r="A36" s="80">
        <v>2088252.0</v>
      </c>
      <c r="B36" s="117">
        <v>44503.0</v>
      </c>
      <c r="C36" s="104" t="s">
        <v>37</v>
      </c>
      <c r="D36" s="29" t="s">
        <v>1051</v>
      </c>
      <c r="E36" s="30" t="s">
        <v>45</v>
      </c>
      <c r="F36" s="30" t="s">
        <v>75</v>
      </c>
      <c r="G36" s="31"/>
      <c r="H36" s="30"/>
      <c r="I36" s="31"/>
      <c r="J36" s="30"/>
    </row>
    <row r="37">
      <c r="A37" s="82">
        <v>2015118.0</v>
      </c>
      <c r="B37" s="117">
        <v>44482.0</v>
      </c>
      <c r="C37" s="104" t="s">
        <v>70</v>
      </c>
      <c r="D37" s="29" t="s">
        <v>1052</v>
      </c>
      <c r="E37" s="30" t="s">
        <v>189</v>
      </c>
      <c r="F37" s="30" t="s">
        <v>337</v>
      </c>
      <c r="G37" s="31">
        <v>2027872.0</v>
      </c>
      <c r="H37" s="30" t="s">
        <v>1053</v>
      </c>
      <c r="I37" s="31"/>
      <c r="J37" s="30"/>
    </row>
    <row r="38">
      <c r="A38" s="82">
        <v>1893356.0</v>
      </c>
      <c r="B38" s="117">
        <v>44482.0</v>
      </c>
      <c r="C38" s="104" t="s">
        <v>70</v>
      </c>
      <c r="D38" s="29" t="s">
        <v>1054</v>
      </c>
      <c r="E38" s="30" t="s">
        <v>79</v>
      </c>
      <c r="F38" s="30" t="s">
        <v>150</v>
      </c>
      <c r="G38" s="31">
        <v>1798680.0</v>
      </c>
      <c r="H38" s="30" t="s">
        <v>1055</v>
      </c>
      <c r="I38" s="31"/>
      <c r="J38" s="30"/>
    </row>
    <row r="39">
      <c r="A39" s="82">
        <v>3939218.0</v>
      </c>
      <c r="B39" s="117">
        <v>44482.0</v>
      </c>
      <c r="C39" s="104" t="s">
        <v>70</v>
      </c>
      <c r="D39" s="29" t="s">
        <v>1056</v>
      </c>
      <c r="E39" s="30" t="s">
        <v>79</v>
      </c>
      <c r="F39" s="30" t="s">
        <v>80</v>
      </c>
      <c r="G39" s="31">
        <v>2027872.0</v>
      </c>
      <c r="H39" s="30" t="s">
        <v>1053</v>
      </c>
      <c r="I39" s="31"/>
      <c r="J39" s="30"/>
    </row>
    <row r="40">
      <c r="A40" s="82">
        <v>3259746.0</v>
      </c>
      <c r="B40" s="117">
        <v>44127.0</v>
      </c>
      <c r="C40" s="104" t="s">
        <v>37</v>
      </c>
      <c r="D40" s="29" t="s">
        <v>1057</v>
      </c>
      <c r="E40" s="30" t="s">
        <v>45</v>
      </c>
      <c r="F40" s="30" t="s">
        <v>75</v>
      </c>
      <c r="G40" s="31">
        <v>2741358.0</v>
      </c>
      <c r="H40" s="30" t="s">
        <v>1058</v>
      </c>
      <c r="I40" s="31">
        <v>2102548.0</v>
      </c>
      <c r="J40" s="30" t="s">
        <v>1059</v>
      </c>
    </row>
    <row r="41">
      <c r="A41" s="82">
        <v>2597566.0</v>
      </c>
      <c r="B41" s="103">
        <v>44200.0</v>
      </c>
      <c r="C41" s="104" t="s">
        <v>37</v>
      </c>
      <c r="D41" s="29" t="s">
        <v>1060</v>
      </c>
      <c r="E41" s="30" t="s">
        <v>63</v>
      </c>
      <c r="F41" s="30" t="s">
        <v>258</v>
      </c>
      <c r="G41" s="31"/>
      <c r="H41" s="30" t="s">
        <v>47</v>
      </c>
      <c r="I41" s="31"/>
      <c r="J41" s="30" t="s">
        <v>47</v>
      </c>
    </row>
    <row r="42">
      <c r="A42" s="82">
        <v>2598664.0</v>
      </c>
      <c r="B42" s="103">
        <v>44200.0</v>
      </c>
      <c r="C42" s="104" t="s">
        <v>37</v>
      </c>
      <c r="D42" s="29" t="s">
        <v>1061</v>
      </c>
      <c r="E42" s="30" t="s">
        <v>45</v>
      </c>
      <c r="F42" s="30" t="s">
        <v>75</v>
      </c>
      <c r="G42" s="31"/>
      <c r="H42" s="30" t="s">
        <v>47</v>
      </c>
      <c r="I42" s="31"/>
      <c r="J42" s="30" t="s">
        <v>47</v>
      </c>
    </row>
    <row r="43">
      <c r="A43" s="82">
        <v>2232500.0</v>
      </c>
      <c r="B43" s="103">
        <v>44202.0</v>
      </c>
      <c r="C43" s="104" t="s">
        <v>37</v>
      </c>
      <c r="D43" s="29" t="s">
        <v>1062</v>
      </c>
      <c r="E43" s="30" t="s">
        <v>144</v>
      </c>
      <c r="F43" s="30" t="s">
        <v>311</v>
      </c>
      <c r="G43" s="31">
        <v>3075068.0</v>
      </c>
      <c r="H43" s="30" t="s">
        <v>1063</v>
      </c>
      <c r="I43" s="31"/>
      <c r="J43" s="30" t="s">
        <v>47</v>
      </c>
    </row>
    <row r="44">
      <c r="A44" s="82">
        <v>539130.0</v>
      </c>
      <c r="B44" s="103">
        <v>44202.0</v>
      </c>
      <c r="C44" s="104" t="s">
        <v>37</v>
      </c>
      <c r="D44" s="29" t="s">
        <v>1064</v>
      </c>
      <c r="E44" s="30" t="s">
        <v>79</v>
      </c>
      <c r="F44" s="30" t="s">
        <v>261</v>
      </c>
      <c r="G44" s="31">
        <v>1361790.0</v>
      </c>
      <c r="H44" s="30" t="s">
        <v>1065</v>
      </c>
      <c r="I44" s="31">
        <v>555696.0</v>
      </c>
      <c r="J44" s="30" t="s">
        <v>1066</v>
      </c>
    </row>
    <row r="45">
      <c r="A45" s="82">
        <v>1541778.0</v>
      </c>
      <c r="B45" s="103">
        <v>44202.0</v>
      </c>
      <c r="C45" s="104" t="s">
        <v>37</v>
      </c>
      <c r="D45" s="29" t="s">
        <v>1067</v>
      </c>
      <c r="E45" s="30" t="s">
        <v>122</v>
      </c>
      <c r="F45" s="30" t="s">
        <v>127</v>
      </c>
      <c r="G45" s="31">
        <v>1266526.0</v>
      </c>
      <c r="H45" s="30" t="s">
        <v>1068</v>
      </c>
      <c r="I45" s="31">
        <v>3475640.0</v>
      </c>
      <c r="J45" s="30" t="s">
        <v>1069</v>
      </c>
    </row>
    <row r="46">
      <c r="A46" s="82">
        <v>564552.0</v>
      </c>
      <c r="B46" s="103">
        <v>44202.0</v>
      </c>
      <c r="C46" s="104" t="s">
        <v>37</v>
      </c>
      <c r="D46" s="29" t="s">
        <v>1070</v>
      </c>
      <c r="E46" s="30" t="s">
        <v>79</v>
      </c>
      <c r="F46" s="30" t="s">
        <v>184</v>
      </c>
      <c r="G46" s="31">
        <v>677348.0</v>
      </c>
      <c r="H46" s="30" t="s">
        <v>1071</v>
      </c>
      <c r="I46" s="31">
        <v>674982.0</v>
      </c>
      <c r="J46" s="30" t="s">
        <v>1072</v>
      </c>
    </row>
    <row r="47">
      <c r="A47" s="82">
        <v>1092712.0</v>
      </c>
      <c r="B47" s="103">
        <v>44202.0</v>
      </c>
      <c r="C47" s="104" t="s">
        <v>37</v>
      </c>
      <c r="D47" s="29" t="s">
        <v>1073</v>
      </c>
      <c r="E47" s="30" t="s">
        <v>79</v>
      </c>
      <c r="F47" s="30" t="s">
        <v>261</v>
      </c>
      <c r="G47" s="31">
        <v>856992.0</v>
      </c>
      <c r="H47" s="30" t="s">
        <v>1074</v>
      </c>
      <c r="I47" s="31">
        <v>1596054.0</v>
      </c>
      <c r="J47" s="30" t="s">
        <v>1075</v>
      </c>
    </row>
    <row r="48">
      <c r="A48" s="82">
        <v>1347730.0</v>
      </c>
      <c r="B48" s="103">
        <v>44202.0</v>
      </c>
      <c r="C48" s="104" t="s">
        <v>37</v>
      </c>
      <c r="D48" s="29" t="s">
        <v>1076</v>
      </c>
      <c r="E48" s="30" t="s">
        <v>45</v>
      </c>
      <c r="F48" s="30" t="s">
        <v>75</v>
      </c>
      <c r="G48" s="31">
        <v>856992.0</v>
      </c>
      <c r="H48" s="30" t="s">
        <v>1074</v>
      </c>
      <c r="I48" s="31"/>
      <c r="J48" s="30" t="s">
        <v>47</v>
      </c>
    </row>
    <row r="49">
      <c r="A49" s="82">
        <v>2788230.0</v>
      </c>
      <c r="B49" s="103">
        <v>44202.0</v>
      </c>
      <c r="C49" s="104" t="s">
        <v>37</v>
      </c>
      <c r="D49" s="29" t="s">
        <v>1077</v>
      </c>
      <c r="E49" s="30" t="s">
        <v>79</v>
      </c>
      <c r="F49" s="30" t="s">
        <v>184</v>
      </c>
      <c r="G49" s="31">
        <v>3370166.0</v>
      </c>
      <c r="H49" s="30" t="s">
        <v>1078</v>
      </c>
      <c r="I49" s="31">
        <v>3446514.0</v>
      </c>
      <c r="J49" s="30" t="s">
        <v>1079</v>
      </c>
    </row>
    <row r="50">
      <c r="A50" s="82">
        <v>382182.0</v>
      </c>
      <c r="B50" s="103">
        <v>44202.0</v>
      </c>
      <c r="C50" s="104" t="s">
        <v>37</v>
      </c>
      <c r="D50" s="29" t="s">
        <v>1080</v>
      </c>
      <c r="E50" s="30" t="s">
        <v>79</v>
      </c>
      <c r="F50" s="30" t="s">
        <v>261</v>
      </c>
      <c r="G50" s="31">
        <v>1361790.0</v>
      </c>
      <c r="H50" s="30" t="s">
        <v>1065</v>
      </c>
      <c r="I50" s="31">
        <v>555696.0</v>
      </c>
      <c r="J50" s="30" t="s">
        <v>1066</v>
      </c>
    </row>
    <row r="51">
      <c r="A51" s="82">
        <v>700868.0</v>
      </c>
      <c r="B51" s="103">
        <v>44202.0</v>
      </c>
      <c r="C51" s="104" t="s">
        <v>37</v>
      </c>
      <c r="D51" s="29" t="s">
        <v>1081</v>
      </c>
      <c r="E51" s="30" t="s">
        <v>58</v>
      </c>
      <c r="F51" s="30" t="s">
        <v>59</v>
      </c>
      <c r="G51" s="31">
        <v>1037646.0</v>
      </c>
      <c r="H51" s="30" t="s">
        <v>1082</v>
      </c>
      <c r="I51" s="31">
        <v>1434492.0</v>
      </c>
      <c r="J51" s="30" t="s">
        <v>1083</v>
      </c>
    </row>
    <row r="52">
      <c r="A52" s="82">
        <v>621364.0</v>
      </c>
      <c r="B52" s="103">
        <v>44202.0</v>
      </c>
      <c r="C52" s="104" t="s">
        <v>37</v>
      </c>
      <c r="D52" s="29" t="s">
        <v>1084</v>
      </c>
      <c r="E52" s="30" t="s">
        <v>79</v>
      </c>
      <c r="F52" s="30" t="s">
        <v>184</v>
      </c>
      <c r="G52" s="31">
        <v>3370166.0</v>
      </c>
      <c r="H52" s="30" t="s">
        <v>1078</v>
      </c>
      <c r="I52" s="31">
        <v>3446514.0</v>
      </c>
      <c r="J52" s="30" t="s">
        <v>1079</v>
      </c>
    </row>
    <row r="53">
      <c r="A53" s="82">
        <v>557894.0</v>
      </c>
      <c r="B53" s="103">
        <v>44202.0</v>
      </c>
      <c r="C53" s="104" t="s">
        <v>37</v>
      </c>
      <c r="D53" s="29" t="s">
        <v>1085</v>
      </c>
      <c r="E53" s="30" t="s">
        <v>122</v>
      </c>
      <c r="F53" s="30" t="s">
        <v>127</v>
      </c>
      <c r="G53" s="31">
        <v>1037646.0</v>
      </c>
      <c r="H53" s="30" t="s">
        <v>1082</v>
      </c>
      <c r="I53" s="31"/>
      <c r="J53" s="30" t="s">
        <v>47</v>
      </c>
    </row>
    <row r="54">
      <c r="A54" s="82">
        <v>496514.0</v>
      </c>
      <c r="B54" s="103">
        <v>44202.0</v>
      </c>
      <c r="C54" s="104" t="s">
        <v>37</v>
      </c>
      <c r="D54" s="29" t="s">
        <v>1086</v>
      </c>
      <c r="E54" s="30" t="s">
        <v>144</v>
      </c>
      <c r="F54" s="30" t="s">
        <v>145</v>
      </c>
      <c r="G54" s="31">
        <v>176878.0</v>
      </c>
      <c r="H54" s="30" t="s">
        <v>1087</v>
      </c>
      <c r="I54" s="31">
        <v>1424258.0</v>
      </c>
      <c r="J54" s="30" t="s">
        <v>1088</v>
      </c>
    </row>
    <row r="55">
      <c r="A55" s="82">
        <v>657730.0</v>
      </c>
      <c r="B55" s="103">
        <v>44202.0</v>
      </c>
      <c r="C55" s="104" t="s">
        <v>37</v>
      </c>
      <c r="D55" s="29" t="s">
        <v>1089</v>
      </c>
      <c r="E55" s="30" t="s">
        <v>58</v>
      </c>
      <c r="F55" s="30" t="s">
        <v>59</v>
      </c>
      <c r="G55" s="31">
        <v>1266526.0</v>
      </c>
      <c r="H55" s="30" t="s">
        <v>1068</v>
      </c>
      <c r="I55" s="31"/>
      <c r="J55" s="30" t="s">
        <v>47</v>
      </c>
    </row>
    <row r="56">
      <c r="A56" s="82">
        <v>548018.0</v>
      </c>
      <c r="B56" s="103">
        <v>44202.0</v>
      </c>
      <c r="C56" s="104" t="s">
        <v>37</v>
      </c>
      <c r="D56" s="29" t="s">
        <v>1090</v>
      </c>
      <c r="E56" s="30" t="s">
        <v>83</v>
      </c>
      <c r="F56" s="30" t="s">
        <v>285</v>
      </c>
      <c r="G56" s="31">
        <v>129118.0</v>
      </c>
      <c r="H56" s="30" t="s">
        <v>1091</v>
      </c>
      <c r="I56" s="31">
        <v>2013542.0</v>
      </c>
      <c r="J56" s="30" t="s">
        <v>1092</v>
      </c>
    </row>
    <row r="57">
      <c r="A57" s="82">
        <v>588442.0</v>
      </c>
      <c r="B57" s="103">
        <v>44202.0</v>
      </c>
      <c r="C57" s="104" t="s">
        <v>37</v>
      </c>
      <c r="D57" s="29" t="s">
        <v>1093</v>
      </c>
      <c r="E57" s="30" t="s">
        <v>122</v>
      </c>
      <c r="F57" s="30" t="s">
        <v>127</v>
      </c>
      <c r="G57" s="31">
        <v>1266526.0</v>
      </c>
      <c r="H57" s="30" t="s">
        <v>1068</v>
      </c>
      <c r="I57" s="31"/>
      <c r="J57" s="30" t="s">
        <v>47</v>
      </c>
    </row>
    <row r="58">
      <c r="A58" s="82">
        <v>490356.0</v>
      </c>
      <c r="B58" s="103">
        <v>44202.0</v>
      </c>
      <c r="C58" s="104" t="s">
        <v>37</v>
      </c>
      <c r="D58" s="29" t="s">
        <v>1094</v>
      </c>
      <c r="E58" s="30" t="s">
        <v>122</v>
      </c>
      <c r="F58" s="30" t="s">
        <v>127</v>
      </c>
      <c r="G58" s="31">
        <v>2489334.0</v>
      </c>
      <c r="H58" s="30" t="s">
        <v>1095</v>
      </c>
      <c r="I58" s="31">
        <v>1435776.0</v>
      </c>
      <c r="J58" s="30" t="s">
        <v>1096</v>
      </c>
    </row>
    <row r="59">
      <c r="A59" s="82">
        <v>3077342.0</v>
      </c>
      <c r="B59" s="103">
        <v>44207.0</v>
      </c>
      <c r="C59" s="104" t="s">
        <v>37</v>
      </c>
      <c r="D59" s="29" t="s">
        <v>1097</v>
      </c>
      <c r="E59" s="30" t="s">
        <v>45</v>
      </c>
      <c r="F59" s="30" t="s">
        <v>90</v>
      </c>
      <c r="G59" s="31">
        <v>2643626.0</v>
      </c>
      <c r="H59" s="30" t="s">
        <v>1098</v>
      </c>
      <c r="I59" s="31"/>
      <c r="J59" s="30" t="s">
        <v>47</v>
      </c>
    </row>
    <row r="60">
      <c r="A60" s="102">
        <v>902674.0</v>
      </c>
      <c r="B60" s="103">
        <v>44210.0</v>
      </c>
      <c r="C60" s="104" t="s">
        <v>43</v>
      </c>
      <c r="D60" s="29" t="s">
        <v>1099</v>
      </c>
      <c r="E60" s="30" t="s">
        <v>58</v>
      </c>
      <c r="F60" s="30" t="s">
        <v>86</v>
      </c>
      <c r="G60" s="31">
        <v>983670.0</v>
      </c>
      <c r="H60" s="30" t="s">
        <v>1100</v>
      </c>
      <c r="I60" s="31"/>
      <c r="J60" s="30" t="s">
        <v>47</v>
      </c>
    </row>
    <row r="61">
      <c r="A61" s="102">
        <v>119262.0</v>
      </c>
      <c r="B61" s="103">
        <v>44210.0</v>
      </c>
      <c r="C61" s="104" t="s">
        <v>37</v>
      </c>
      <c r="D61" s="29" t="s">
        <v>1101</v>
      </c>
      <c r="E61" s="30" t="s">
        <v>39</v>
      </c>
      <c r="F61" s="30" t="s">
        <v>140</v>
      </c>
      <c r="G61" s="31">
        <v>519442.0</v>
      </c>
      <c r="H61" s="30" t="s">
        <v>1102</v>
      </c>
      <c r="I61" s="31"/>
      <c r="J61" s="30" t="s">
        <v>47</v>
      </c>
    </row>
    <row r="62">
      <c r="A62" s="102">
        <v>2432038.0</v>
      </c>
      <c r="B62" s="103">
        <v>44210.0</v>
      </c>
      <c r="C62" s="104" t="s">
        <v>37</v>
      </c>
      <c r="D62" s="29" t="s">
        <v>1103</v>
      </c>
      <c r="E62" s="30" t="s">
        <v>39</v>
      </c>
      <c r="F62" s="30" t="s">
        <v>140</v>
      </c>
      <c r="G62" s="31"/>
      <c r="H62" s="30" t="s">
        <v>47</v>
      </c>
      <c r="I62" s="31"/>
      <c r="J62" s="30" t="s">
        <v>47</v>
      </c>
    </row>
    <row r="63">
      <c r="A63" s="102">
        <v>1334144.0</v>
      </c>
      <c r="B63" s="103">
        <v>44210.0</v>
      </c>
      <c r="C63" s="104" t="s">
        <v>37</v>
      </c>
      <c r="D63" s="29" t="s">
        <v>1104</v>
      </c>
      <c r="E63" s="30" t="s">
        <v>39</v>
      </c>
      <c r="F63" s="30" t="s">
        <v>54</v>
      </c>
      <c r="G63" s="31">
        <v>1767160.0</v>
      </c>
      <c r="H63" s="30" t="s">
        <v>1105</v>
      </c>
      <c r="I63" s="31">
        <v>2170852.0</v>
      </c>
      <c r="J63" s="30" t="s">
        <v>1106</v>
      </c>
    </row>
    <row r="64">
      <c r="A64" s="102">
        <v>1173134.0</v>
      </c>
      <c r="B64" s="103">
        <v>44210.0</v>
      </c>
      <c r="C64" s="104" t="s">
        <v>37</v>
      </c>
      <c r="D64" s="29" t="s">
        <v>1107</v>
      </c>
      <c r="E64" s="30" t="s">
        <v>83</v>
      </c>
      <c r="F64" s="30" t="s">
        <v>330</v>
      </c>
      <c r="G64" s="31"/>
      <c r="H64" s="30" t="s">
        <v>47</v>
      </c>
      <c r="I64" s="31"/>
      <c r="J64" s="30" t="s">
        <v>47</v>
      </c>
    </row>
    <row r="65">
      <c r="A65" s="102">
        <v>2313630.0</v>
      </c>
      <c r="B65" s="103">
        <v>44210.0</v>
      </c>
      <c r="C65" s="104" t="s">
        <v>43</v>
      </c>
      <c r="D65" s="29" t="s">
        <v>1108</v>
      </c>
      <c r="E65" s="30" t="s">
        <v>45</v>
      </c>
      <c r="F65" s="30" t="s">
        <v>90</v>
      </c>
      <c r="G65" s="31"/>
      <c r="H65" s="30" t="s">
        <v>47</v>
      </c>
      <c r="I65" s="31"/>
      <c r="J65" s="30" t="s">
        <v>47</v>
      </c>
    </row>
    <row r="66">
      <c r="A66" s="102">
        <v>1340966.0</v>
      </c>
      <c r="B66" s="103">
        <v>44210.0</v>
      </c>
      <c r="C66" s="104" t="s">
        <v>37</v>
      </c>
      <c r="D66" s="29" t="s">
        <v>1109</v>
      </c>
      <c r="E66" s="30" t="s">
        <v>45</v>
      </c>
      <c r="F66" s="30" t="s">
        <v>90</v>
      </c>
      <c r="G66" s="31">
        <v>1527300.0</v>
      </c>
      <c r="H66" s="30" t="s">
        <v>1110</v>
      </c>
      <c r="I66" s="31"/>
      <c r="J66" s="30" t="s">
        <v>47</v>
      </c>
    </row>
    <row r="67">
      <c r="A67" s="82">
        <v>192004.0</v>
      </c>
      <c r="B67" s="103">
        <v>44211.0</v>
      </c>
      <c r="C67" s="104" t="s">
        <v>37</v>
      </c>
      <c r="D67" s="29" t="s">
        <v>1111</v>
      </c>
      <c r="E67" s="30" t="s">
        <v>122</v>
      </c>
      <c r="F67" s="30" t="s">
        <v>271</v>
      </c>
      <c r="G67" s="31">
        <v>1782908.0</v>
      </c>
      <c r="H67" s="30" t="s">
        <v>1112</v>
      </c>
      <c r="I67" s="31">
        <v>666956.0</v>
      </c>
      <c r="J67" s="30" t="s">
        <v>1113</v>
      </c>
    </row>
    <row r="68">
      <c r="A68" s="82">
        <v>2657354.0</v>
      </c>
      <c r="B68" s="103">
        <v>44216.0</v>
      </c>
      <c r="C68" s="104" t="s">
        <v>37</v>
      </c>
      <c r="D68" s="29" t="s">
        <v>1114</v>
      </c>
      <c r="E68" s="30" t="s">
        <v>39</v>
      </c>
      <c r="F68" s="30" t="s">
        <v>50</v>
      </c>
      <c r="G68" s="31" t="s">
        <v>1115</v>
      </c>
      <c r="H68" s="30" t="s">
        <v>47</v>
      </c>
      <c r="I68" s="31"/>
      <c r="J68" s="30" t="s">
        <v>47</v>
      </c>
    </row>
    <row r="69">
      <c r="A69" s="82">
        <v>3269102.0</v>
      </c>
      <c r="B69" s="103">
        <v>44216.0</v>
      </c>
      <c r="C69" s="104" t="s">
        <v>37</v>
      </c>
      <c r="D69" s="29" t="s">
        <v>1116</v>
      </c>
      <c r="E69" s="30" t="s">
        <v>63</v>
      </c>
      <c r="F69" s="30" t="s">
        <v>64</v>
      </c>
      <c r="G69" s="31">
        <v>2676416.0</v>
      </c>
      <c r="H69" s="30" t="s">
        <v>1117</v>
      </c>
      <c r="I69" s="31"/>
      <c r="J69" s="30" t="s">
        <v>47</v>
      </c>
    </row>
    <row r="70">
      <c r="A70" s="82">
        <v>2408894.0</v>
      </c>
      <c r="B70" s="103">
        <v>44216.0</v>
      </c>
      <c r="C70" s="104" t="s">
        <v>37</v>
      </c>
      <c r="D70" s="29" t="s">
        <v>1118</v>
      </c>
      <c r="E70" s="30" t="s">
        <v>45</v>
      </c>
      <c r="F70" s="30" t="s">
        <v>90</v>
      </c>
      <c r="G70" s="31"/>
      <c r="H70" s="30" t="s">
        <v>47</v>
      </c>
      <c r="I70" s="31"/>
      <c r="J70" s="30" t="s">
        <v>47</v>
      </c>
    </row>
    <row r="71">
      <c r="A71" s="82">
        <v>2636816.0</v>
      </c>
      <c r="B71" s="103">
        <v>44216.0</v>
      </c>
      <c r="C71" s="104" t="s">
        <v>37</v>
      </c>
      <c r="D71" s="29" t="s">
        <v>1119</v>
      </c>
      <c r="E71" s="30" t="s">
        <v>45</v>
      </c>
      <c r="F71" s="30" t="s">
        <v>75</v>
      </c>
      <c r="G71" s="31"/>
      <c r="H71" s="30" t="s">
        <v>47</v>
      </c>
      <c r="I71" s="31"/>
      <c r="J71" s="30" t="s">
        <v>47</v>
      </c>
    </row>
    <row r="72">
      <c r="A72" s="82">
        <v>2738410.0</v>
      </c>
      <c r="B72" s="103">
        <v>44216.0</v>
      </c>
      <c r="C72" s="104" t="s">
        <v>37</v>
      </c>
      <c r="D72" s="29" t="s">
        <v>1120</v>
      </c>
      <c r="E72" s="30" t="s">
        <v>45</v>
      </c>
      <c r="F72" s="30" t="s">
        <v>75</v>
      </c>
      <c r="G72" s="31"/>
      <c r="H72" s="30" t="s">
        <v>47</v>
      </c>
      <c r="I72" s="31"/>
      <c r="J72" s="30" t="s">
        <v>47</v>
      </c>
    </row>
    <row r="73">
      <c r="A73" s="82">
        <v>3111152.0</v>
      </c>
      <c r="B73" s="103">
        <v>44216.0</v>
      </c>
      <c r="C73" s="104" t="s">
        <v>37</v>
      </c>
      <c r="D73" s="29" t="s">
        <v>1121</v>
      </c>
      <c r="E73" s="30" t="s">
        <v>45</v>
      </c>
      <c r="F73" s="30" t="s">
        <v>172</v>
      </c>
      <c r="G73" s="31">
        <v>3067744.0</v>
      </c>
      <c r="H73" s="30" t="s">
        <v>1122</v>
      </c>
      <c r="I73" s="31"/>
      <c r="J73" s="30" t="s">
        <v>47</v>
      </c>
    </row>
    <row r="74">
      <c r="A74" s="148">
        <v>2684152.0</v>
      </c>
      <c r="B74" s="103">
        <v>44217.0</v>
      </c>
      <c r="C74" s="104" t="s">
        <v>37</v>
      </c>
      <c r="D74" s="29" t="s">
        <v>1123</v>
      </c>
      <c r="E74" s="30" t="s">
        <v>101</v>
      </c>
      <c r="F74" s="30" t="s">
        <v>102</v>
      </c>
      <c r="G74" s="31">
        <v>2873370.0</v>
      </c>
      <c r="H74" s="30" t="s">
        <v>1124</v>
      </c>
      <c r="I74" s="31"/>
      <c r="J74" s="30" t="s">
        <v>47</v>
      </c>
    </row>
    <row r="75">
      <c r="A75" s="148">
        <v>38266.0</v>
      </c>
      <c r="B75" s="103">
        <v>44217.0</v>
      </c>
      <c r="C75" s="104" t="s">
        <v>37</v>
      </c>
      <c r="D75" s="29" t="s">
        <v>1125</v>
      </c>
      <c r="E75" s="30" t="s">
        <v>58</v>
      </c>
      <c r="F75" s="30" t="s">
        <v>59</v>
      </c>
      <c r="G75" s="31">
        <v>1401738.0</v>
      </c>
      <c r="H75" s="30" t="s">
        <v>1126</v>
      </c>
      <c r="I75" s="31">
        <v>662362.0</v>
      </c>
      <c r="J75" s="30" t="s">
        <v>1127</v>
      </c>
    </row>
    <row r="76">
      <c r="A76" s="148">
        <v>84792.0</v>
      </c>
      <c r="B76" s="103">
        <v>44217.0</v>
      </c>
      <c r="C76" s="104" t="s">
        <v>37</v>
      </c>
      <c r="D76" s="29" t="s">
        <v>1128</v>
      </c>
      <c r="E76" s="30" t="s">
        <v>58</v>
      </c>
      <c r="F76" s="30" t="s">
        <v>59</v>
      </c>
      <c r="G76" s="31">
        <v>662362.0</v>
      </c>
      <c r="H76" s="30" t="s">
        <v>1127</v>
      </c>
      <c r="I76" s="31">
        <v>1971936.0</v>
      </c>
      <c r="J76" s="30" t="s">
        <v>1129</v>
      </c>
    </row>
    <row r="77">
      <c r="A77" s="148">
        <v>59935.0</v>
      </c>
      <c r="B77" s="103">
        <v>44217.0</v>
      </c>
      <c r="C77" s="104" t="s">
        <v>37</v>
      </c>
      <c r="D77" s="29" t="s">
        <v>1130</v>
      </c>
      <c r="E77" s="30" t="s">
        <v>58</v>
      </c>
      <c r="F77" s="30" t="s">
        <v>59</v>
      </c>
      <c r="G77" s="31">
        <v>1721592.0</v>
      </c>
      <c r="H77" s="30" t="s">
        <v>1131</v>
      </c>
      <c r="I77" s="31"/>
      <c r="J77" s="30" t="s">
        <v>47</v>
      </c>
    </row>
    <row r="78">
      <c r="A78" s="148">
        <v>910996.0</v>
      </c>
      <c r="B78" s="103">
        <v>44217.0</v>
      </c>
      <c r="C78" s="104" t="s">
        <v>37</v>
      </c>
      <c r="D78" s="29" t="s">
        <v>1132</v>
      </c>
      <c r="E78" s="30" t="s">
        <v>122</v>
      </c>
      <c r="F78" s="30" t="s">
        <v>271</v>
      </c>
      <c r="G78" s="31">
        <v>662362.0</v>
      </c>
      <c r="H78" s="30" t="s">
        <v>1127</v>
      </c>
      <c r="I78" s="31">
        <v>1971936.0</v>
      </c>
      <c r="J78" s="30" t="s">
        <v>1129</v>
      </c>
    </row>
    <row r="79">
      <c r="A79" s="148">
        <v>316828.0</v>
      </c>
      <c r="B79" s="103">
        <v>44217.0</v>
      </c>
      <c r="C79" s="104" t="s">
        <v>37</v>
      </c>
      <c r="D79" s="29" t="s">
        <v>1133</v>
      </c>
      <c r="E79" s="30" t="s">
        <v>219</v>
      </c>
      <c r="F79" s="30" t="s">
        <v>220</v>
      </c>
      <c r="G79" s="31">
        <v>662362.0</v>
      </c>
      <c r="H79" s="30" t="s">
        <v>1127</v>
      </c>
      <c r="I79" s="31">
        <v>1971936.0</v>
      </c>
      <c r="J79" s="30" t="s">
        <v>1129</v>
      </c>
    </row>
    <row r="80">
      <c r="A80" s="148">
        <v>2482420.0</v>
      </c>
      <c r="B80" s="103">
        <v>44218.0</v>
      </c>
      <c r="C80" s="104" t="s">
        <v>37</v>
      </c>
      <c r="D80" s="29" t="s">
        <v>1134</v>
      </c>
      <c r="E80" s="30" t="s">
        <v>79</v>
      </c>
      <c r="F80" s="30" t="s">
        <v>261</v>
      </c>
      <c r="G80" s="31">
        <v>1411586.0</v>
      </c>
      <c r="H80" s="30" t="s">
        <v>1135</v>
      </c>
      <c r="I80" s="31">
        <v>1002314.0</v>
      </c>
      <c r="J80" s="30" t="s">
        <v>1136</v>
      </c>
    </row>
    <row r="81">
      <c r="A81" s="148">
        <v>1579986.0</v>
      </c>
      <c r="B81" s="103">
        <v>44218.0</v>
      </c>
      <c r="C81" s="104" t="s">
        <v>37</v>
      </c>
      <c r="D81" s="29" t="s">
        <v>1137</v>
      </c>
      <c r="E81" s="30" t="s">
        <v>79</v>
      </c>
      <c r="F81" s="30" t="s">
        <v>261</v>
      </c>
      <c r="G81" s="31">
        <v>856992.0</v>
      </c>
      <c r="H81" s="30" t="s">
        <v>1074</v>
      </c>
      <c r="I81" s="31">
        <v>1596054.0</v>
      </c>
      <c r="J81" s="30" t="s">
        <v>1075</v>
      </c>
    </row>
    <row r="82">
      <c r="A82" s="148">
        <v>1670398.0</v>
      </c>
      <c r="B82" s="103">
        <v>44218.0</v>
      </c>
      <c r="C82" s="104" t="s">
        <v>37</v>
      </c>
      <c r="D82" s="29" t="s">
        <v>1138</v>
      </c>
      <c r="E82" s="30" t="s">
        <v>58</v>
      </c>
      <c r="F82" s="30" t="s">
        <v>86</v>
      </c>
      <c r="G82" s="31">
        <v>1516152.0</v>
      </c>
      <c r="H82" s="30" t="s">
        <v>1139</v>
      </c>
      <c r="I82" s="31"/>
      <c r="J82" s="30" t="s">
        <v>47</v>
      </c>
    </row>
    <row r="83">
      <c r="A83" s="88">
        <v>520562.0</v>
      </c>
      <c r="B83" s="103">
        <v>44225.0</v>
      </c>
      <c r="C83" s="104" t="s">
        <v>37</v>
      </c>
      <c r="D83" s="29" t="s">
        <v>1140</v>
      </c>
      <c r="E83" s="30" t="s">
        <v>122</v>
      </c>
      <c r="F83" s="30" t="s">
        <v>538</v>
      </c>
      <c r="G83" s="31">
        <v>1475058.0</v>
      </c>
      <c r="H83" s="30" t="s">
        <v>1141</v>
      </c>
      <c r="I83" s="31"/>
      <c r="J83" s="30" t="s">
        <v>47</v>
      </c>
    </row>
    <row r="84">
      <c r="A84" s="88">
        <v>552922.0</v>
      </c>
      <c r="B84" s="103">
        <v>44225.0</v>
      </c>
      <c r="C84" s="104" t="s">
        <v>37</v>
      </c>
      <c r="D84" s="29" t="s">
        <v>1142</v>
      </c>
      <c r="E84" s="30" t="s">
        <v>45</v>
      </c>
      <c r="F84" s="30" t="s">
        <v>172</v>
      </c>
      <c r="G84" s="31"/>
      <c r="H84" s="30" t="s">
        <v>47</v>
      </c>
      <c r="I84" s="31"/>
      <c r="J84" s="30" t="s">
        <v>47</v>
      </c>
    </row>
    <row r="85">
      <c r="A85" s="88">
        <v>394718.0</v>
      </c>
      <c r="B85" s="103">
        <v>44225.0</v>
      </c>
      <c r="C85" s="104" t="s">
        <v>37</v>
      </c>
      <c r="D85" s="29" t="s">
        <v>1143</v>
      </c>
      <c r="E85" s="30" t="s">
        <v>96</v>
      </c>
      <c r="F85" s="30" t="s">
        <v>263</v>
      </c>
      <c r="G85" s="31"/>
      <c r="H85" s="30" t="s">
        <v>47</v>
      </c>
      <c r="I85" s="31"/>
      <c r="J85" s="30" t="s">
        <v>47</v>
      </c>
    </row>
    <row r="86">
      <c r="A86" s="88">
        <v>787226.0</v>
      </c>
      <c r="B86" s="103">
        <v>44225.0</v>
      </c>
      <c r="C86" s="104" t="s">
        <v>37</v>
      </c>
      <c r="D86" s="29" t="s">
        <v>1144</v>
      </c>
      <c r="E86" s="30" t="s">
        <v>39</v>
      </c>
      <c r="F86" s="30" t="s">
        <v>214</v>
      </c>
      <c r="G86" s="31">
        <v>951684.0</v>
      </c>
      <c r="H86" s="30" t="s">
        <v>1145</v>
      </c>
      <c r="I86" s="31">
        <v>1419490.0</v>
      </c>
      <c r="J86" s="30" t="s">
        <v>1146</v>
      </c>
    </row>
    <row r="87">
      <c r="A87" s="88">
        <v>60111.0</v>
      </c>
      <c r="B87" s="103">
        <v>44225.0</v>
      </c>
      <c r="C87" s="104" t="s">
        <v>37</v>
      </c>
      <c r="D87" s="29" t="s">
        <v>1147</v>
      </c>
      <c r="E87" s="30" t="s">
        <v>105</v>
      </c>
      <c r="F87" s="30" t="s">
        <v>212</v>
      </c>
      <c r="G87" s="31">
        <v>1743328.0</v>
      </c>
      <c r="H87" s="30" t="s">
        <v>1148</v>
      </c>
      <c r="I87" s="31">
        <v>2425894.0</v>
      </c>
      <c r="J87" s="30" t="s">
        <v>1149</v>
      </c>
    </row>
    <row r="88">
      <c r="A88" s="88">
        <v>64980.0</v>
      </c>
      <c r="B88" s="103">
        <v>44225.0</v>
      </c>
      <c r="C88" s="104" t="s">
        <v>37</v>
      </c>
      <c r="D88" s="29" t="s">
        <v>1150</v>
      </c>
      <c r="E88" s="30" t="s">
        <v>105</v>
      </c>
      <c r="F88" s="30" t="s">
        <v>212</v>
      </c>
      <c r="G88" s="31">
        <v>1556128.0</v>
      </c>
      <c r="H88" s="30" t="s">
        <v>1151</v>
      </c>
      <c r="I88" s="31">
        <v>732578.0</v>
      </c>
      <c r="J88" s="30" t="s">
        <v>1152</v>
      </c>
    </row>
    <row r="89">
      <c r="A89" s="88">
        <v>60726.0</v>
      </c>
      <c r="B89" s="103">
        <v>44225.0</v>
      </c>
      <c r="C89" s="104" t="s">
        <v>37</v>
      </c>
      <c r="D89" s="29" t="s">
        <v>1153</v>
      </c>
      <c r="E89" s="30" t="s">
        <v>189</v>
      </c>
      <c r="F89" s="30" t="s">
        <v>448</v>
      </c>
      <c r="G89" s="31">
        <v>565120.0</v>
      </c>
      <c r="H89" s="30" t="s">
        <v>1154</v>
      </c>
      <c r="I89" s="31"/>
      <c r="J89" s="30" t="s">
        <v>47</v>
      </c>
    </row>
    <row r="90">
      <c r="A90" s="88">
        <v>285632.0</v>
      </c>
      <c r="B90" s="103">
        <v>44225.0</v>
      </c>
      <c r="C90" s="104" t="s">
        <v>37</v>
      </c>
      <c r="D90" s="29" t="s">
        <v>1155</v>
      </c>
      <c r="E90" s="30" t="s">
        <v>189</v>
      </c>
      <c r="F90" s="30" t="s">
        <v>190</v>
      </c>
      <c r="G90" s="31">
        <v>286076.0</v>
      </c>
      <c r="H90" s="30" t="s">
        <v>47</v>
      </c>
      <c r="I90" s="31"/>
      <c r="J90" s="30" t="s">
        <v>47</v>
      </c>
    </row>
    <row r="91">
      <c r="A91" s="88">
        <v>625098.0</v>
      </c>
      <c r="B91" s="103">
        <v>44225.0</v>
      </c>
      <c r="C91" s="104" t="s">
        <v>37</v>
      </c>
      <c r="D91" s="29" t="s">
        <v>1156</v>
      </c>
      <c r="E91" s="30" t="s">
        <v>45</v>
      </c>
      <c r="F91" s="30" t="s">
        <v>172</v>
      </c>
      <c r="G91" s="31"/>
      <c r="H91" s="30" t="s">
        <v>47</v>
      </c>
      <c r="I91" s="31"/>
      <c r="J91" s="30" t="s">
        <v>47</v>
      </c>
    </row>
    <row r="92">
      <c r="A92" s="88">
        <v>692730.0</v>
      </c>
      <c r="B92" s="103">
        <v>44225.0</v>
      </c>
      <c r="C92" s="104" t="s">
        <v>187</v>
      </c>
      <c r="D92" s="29" t="s">
        <v>1157</v>
      </c>
      <c r="E92" s="30" t="s">
        <v>58</v>
      </c>
      <c r="F92" s="30" t="s">
        <v>86</v>
      </c>
      <c r="G92" s="31"/>
      <c r="H92" s="30" t="s">
        <v>47</v>
      </c>
      <c r="I92" s="31"/>
      <c r="J92" s="30" t="s">
        <v>47</v>
      </c>
    </row>
    <row r="93">
      <c r="A93" s="88">
        <v>2001846.0</v>
      </c>
      <c r="B93" s="103">
        <v>44225.0</v>
      </c>
      <c r="C93" s="104" t="s">
        <v>70</v>
      </c>
      <c r="D93" s="29" t="s">
        <v>1158</v>
      </c>
      <c r="E93" s="30" t="s">
        <v>63</v>
      </c>
      <c r="F93" s="30" t="s">
        <v>294</v>
      </c>
      <c r="G93" s="31"/>
      <c r="H93" s="30" t="s">
        <v>47</v>
      </c>
      <c r="I93" s="31"/>
      <c r="J93" s="30" t="s">
        <v>47</v>
      </c>
    </row>
    <row r="94">
      <c r="A94" s="88">
        <v>2470386.0</v>
      </c>
      <c r="B94" s="103">
        <v>44225.0</v>
      </c>
      <c r="C94" s="104" t="s">
        <v>37</v>
      </c>
      <c r="D94" s="29" t="s">
        <v>1159</v>
      </c>
      <c r="E94" s="30" t="s">
        <v>45</v>
      </c>
      <c r="F94" s="30" t="s">
        <v>75</v>
      </c>
      <c r="G94" s="31">
        <v>1456380.0</v>
      </c>
      <c r="H94" s="30" t="s">
        <v>743</v>
      </c>
      <c r="I94" s="31">
        <v>960368.0</v>
      </c>
      <c r="J94" s="30" t="s">
        <v>1160</v>
      </c>
    </row>
    <row r="95">
      <c r="A95" s="88">
        <v>2290725.0</v>
      </c>
      <c r="B95" s="103">
        <v>44225.0</v>
      </c>
      <c r="C95" s="104" t="s">
        <v>37</v>
      </c>
      <c r="D95" s="29" t="s">
        <v>1161</v>
      </c>
      <c r="E95" s="30" t="s">
        <v>39</v>
      </c>
      <c r="F95" s="30" t="s">
        <v>40</v>
      </c>
      <c r="G95" s="31"/>
      <c r="H95" s="30" t="s">
        <v>47</v>
      </c>
      <c r="I95" s="31"/>
      <c r="J95" s="30" t="s">
        <v>47</v>
      </c>
    </row>
    <row r="96">
      <c r="A96" s="88">
        <v>2473132.0</v>
      </c>
      <c r="B96" s="103">
        <v>44225.0</v>
      </c>
      <c r="C96" s="104" t="s">
        <v>170</v>
      </c>
      <c r="D96" s="29" t="s">
        <v>1162</v>
      </c>
      <c r="E96" s="30" t="s">
        <v>122</v>
      </c>
      <c r="F96" s="30" t="s">
        <v>123</v>
      </c>
      <c r="G96" s="31">
        <v>2530002.0</v>
      </c>
      <c r="H96" s="30" t="s">
        <v>1163</v>
      </c>
      <c r="I96" s="31"/>
      <c r="J96" s="30" t="s">
        <v>47</v>
      </c>
    </row>
    <row r="97">
      <c r="A97" s="88">
        <v>1329914.0</v>
      </c>
      <c r="B97" s="103">
        <v>44225.0</v>
      </c>
      <c r="C97" s="104" t="s">
        <v>37</v>
      </c>
      <c r="D97" s="29" t="s">
        <v>1164</v>
      </c>
      <c r="E97" s="30" t="s">
        <v>105</v>
      </c>
      <c r="F97" s="30" t="s">
        <v>106</v>
      </c>
      <c r="G97" s="31"/>
      <c r="H97" s="30" t="s">
        <v>47</v>
      </c>
      <c r="I97" s="31"/>
      <c r="J97" s="30" t="s">
        <v>47</v>
      </c>
    </row>
    <row r="98">
      <c r="A98" s="88">
        <v>766280.0</v>
      </c>
      <c r="B98" s="103">
        <v>44225.0</v>
      </c>
      <c r="C98" s="104" t="s">
        <v>37</v>
      </c>
      <c r="D98" s="29" t="s">
        <v>1165</v>
      </c>
      <c r="E98" s="30" t="s">
        <v>39</v>
      </c>
      <c r="F98" s="30" t="s">
        <v>214</v>
      </c>
      <c r="G98" s="31">
        <v>1273530.0</v>
      </c>
      <c r="H98" s="30" t="s">
        <v>1166</v>
      </c>
      <c r="I98" s="31"/>
      <c r="J98" s="30" t="s">
        <v>47</v>
      </c>
    </row>
    <row r="99">
      <c r="A99" s="88">
        <v>2062129.0</v>
      </c>
      <c r="B99" s="103">
        <v>44225.0</v>
      </c>
      <c r="C99" s="104" t="s">
        <v>37</v>
      </c>
      <c r="D99" s="29" t="s">
        <v>1167</v>
      </c>
      <c r="E99" s="30" t="s">
        <v>39</v>
      </c>
      <c r="F99" s="30" t="s">
        <v>54</v>
      </c>
      <c r="G99" s="31">
        <v>2200284.0</v>
      </c>
      <c r="H99" s="30" t="s">
        <v>1168</v>
      </c>
      <c r="I99" s="31"/>
      <c r="J99" s="30" t="s">
        <v>47</v>
      </c>
    </row>
    <row r="100">
      <c r="A100" s="88">
        <v>477944.0</v>
      </c>
      <c r="B100" s="103">
        <v>44225.0</v>
      </c>
      <c r="C100" s="104" t="s">
        <v>37</v>
      </c>
      <c r="D100" s="29" t="s">
        <v>1169</v>
      </c>
      <c r="E100" s="30" t="s">
        <v>101</v>
      </c>
      <c r="F100" s="30" t="s">
        <v>203</v>
      </c>
      <c r="G100" s="31"/>
      <c r="H100" s="30" t="s">
        <v>47</v>
      </c>
      <c r="I100" s="31"/>
      <c r="J100" s="30" t="s">
        <v>47</v>
      </c>
    </row>
    <row r="101">
      <c r="A101" s="88">
        <v>835712.0</v>
      </c>
      <c r="B101" s="103">
        <v>44225.0</v>
      </c>
      <c r="C101" s="104" t="s">
        <v>37</v>
      </c>
      <c r="D101" s="29" t="s">
        <v>1170</v>
      </c>
      <c r="E101" s="30" t="s">
        <v>39</v>
      </c>
      <c r="F101" s="30" t="s">
        <v>140</v>
      </c>
      <c r="G101" s="31">
        <v>1399390.0</v>
      </c>
      <c r="H101" s="30" t="s">
        <v>1171</v>
      </c>
      <c r="I101" s="31"/>
      <c r="J101" s="30" t="s">
        <v>47</v>
      </c>
    </row>
    <row r="102">
      <c r="A102" s="88">
        <v>811146.0</v>
      </c>
      <c r="B102" s="103">
        <v>44225.0</v>
      </c>
      <c r="C102" s="104" t="s">
        <v>37</v>
      </c>
      <c r="D102" s="29" t="s">
        <v>1172</v>
      </c>
      <c r="E102" s="30" t="s">
        <v>39</v>
      </c>
      <c r="F102" s="30" t="s">
        <v>40</v>
      </c>
      <c r="G102" s="31"/>
      <c r="H102" s="30" t="s">
        <v>47</v>
      </c>
      <c r="I102" s="31"/>
      <c r="J102" s="30" t="s">
        <v>47</v>
      </c>
    </row>
    <row r="103">
      <c r="A103" s="88">
        <v>1743014.0</v>
      </c>
      <c r="B103" s="103">
        <v>44225.0</v>
      </c>
      <c r="C103" s="104" t="s">
        <v>142</v>
      </c>
      <c r="D103" s="29" t="s">
        <v>1173</v>
      </c>
      <c r="E103" s="30" t="s">
        <v>96</v>
      </c>
      <c r="F103" s="30" t="s">
        <v>109</v>
      </c>
      <c r="G103" s="31"/>
      <c r="H103" s="30" t="s">
        <v>47</v>
      </c>
      <c r="I103" s="31"/>
      <c r="J103" s="30" t="s">
        <v>47</v>
      </c>
    </row>
    <row r="104">
      <c r="A104" s="88">
        <v>608250.0</v>
      </c>
      <c r="B104" s="103">
        <v>44225.0</v>
      </c>
      <c r="C104" s="104" t="s">
        <v>37</v>
      </c>
      <c r="D104" s="29" t="s">
        <v>1174</v>
      </c>
      <c r="E104" s="30" t="s">
        <v>45</v>
      </c>
      <c r="F104" s="30" t="s">
        <v>324</v>
      </c>
      <c r="G104" s="31">
        <v>1419182.0</v>
      </c>
      <c r="H104" s="30" t="s">
        <v>1175</v>
      </c>
      <c r="I104" s="31"/>
      <c r="J104" s="30" t="s">
        <v>47</v>
      </c>
    </row>
    <row r="105">
      <c r="A105" s="88">
        <v>1216850.0</v>
      </c>
      <c r="B105" s="103">
        <v>44225.0</v>
      </c>
      <c r="C105" s="104" t="s">
        <v>70</v>
      </c>
      <c r="D105" s="29" t="s">
        <v>1176</v>
      </c>
      <c r="E105" s="30" t="s">
        <v>39</v>
      </c>
      <c r="F105" s="30" t="s">
        <v>140</v>
      </c>
      <c r="G105" s="31">
        <v>580442.0</v>
      </c>
      <c r="H105" s="30" t="s">
        <v>1177</v>
      </c>
      <c r="I105" s="31"/>
      <c r="J105" s="30" t="s">
        <v>47</v>
      </c>
    </row>
    <row r="106">
      <c r="A106" s="88">
        <v>1350674.0</v>
      </c>
      <c r="B106" s="103">
        <v>44225.0</v>
      </c>
      <c r="C106" s="104" t="s">
        <v>37</v>
      </c>
      <c r="D106" s="29" t="s">
        <v>1178</v>
      </c>
      <c r="E106" s="30" t="s">
        <v>58</v>
      </c>
      <c r="F106" s="30" t="s">
        <v>59</v>
      </c>
      <c r="G106" s="31">
        <v>2488258.0</v>
      </c>
      <c r="H106" s="30" t="s">
        <v>1179</v>
      </c>
      <c r="I106" s="31"/>
      <c r="J106" s="30" t="s">
        <v>47</v>
      </c>
    </row>
    <row r="107">
      <c r="A107" s="88">
        <v>287924.0</v>
      </c>
      <c r="B107" s="103">
        <v>44225.0</v>
      </c>
      <c r="C107" s="104" t="s">
        <v>37</v>
      </c>
      <c r="D107" s="29" t="s">
        <v>1180</v>
      </c>
      <c r="E107" s="30" t="s">
        <v>105</v>
      </c>
      <c r="F107" s="30" t="s">
        <v>316</v>
      </c>
      <c r="G107" s="31">
        <v>1002594.0</v>
      </c>
      <c r="H107" s="30" t="s">
        <v>1181</v>
      </c>
      <c r="I107" s="31">
        <v>1343998.0</v>
      </c>
      <c r="J107" s="30" t="s">
        <v>1182</v>
      </c>
    </row>
    <row r="108">
      <c r="A108" s="88">
        <v>1635930.0</v>
      </c>
      <c r="B108" s="103">
        <v>44225.0</v>
      </c>
      <c r="C108" s="104" t="s">
        <v>187</v>
      </c>
      <c r="D108" s="29" t="s">
        <v>1183</v>
      </c>
      <c r="E108" s="30" t="s">
        <v>189</v>
      </c>
      <c r="F108" s="30" t="s">
        <v>337</v>
      </c>
      <c r="G108" s="31"/>
      <c r="H108" s="30" t="s">
        <v>47</v>
      </c>
      <c r="I108" s="31"/>
      <c r="J108" s="30" t="s">
        <v>47</v>
      </c>
    </row>
    <row r="109">
      <c r="A109" s="88">
        <v>425084.0</v>
      </c>
      <c r="B109" s="103">
        <v>44225.0</v>
      </c>
      <c r="C109" s="104" t="s">
        <v>37</v>
      </c>
      <c r="D109" s="29" t="s">
        <v>1184</v>
      </c>
      <c r="E109" s="30" t="s">
        <v>45</v>
      </c>
      <c r="F109" s="30" t="s">
        <v>324</v>
      </c>
      <c r="G109" s="31">
        <v>1829188.0</v>
      </c>
      <c r="H109" s="30" t="s">
        <v>1185</v>
      </c>
      <c r="I109" s="31"/>
      <c r="J109" s="30" t="s">
        <v>47</v>
      </c>
    </row>
    <row r="110">
      <c r="A110" s="88">
        <v>617158.0</v>
      </c>
      <c r="B110" s="103">
        <v>44225.0</v>
      </c>
      <c r="C110" s="104" t="s">
        <v>37</v>
      </c>
      <c r="D110" s="29" t="s">
        <v>1186</v>
      </c>
      <c r="E110" s="30" t="s">
        <v>39</v>
      </c>
      <c r="F110" s="30" t="s">
        <v>40</v>
      </c>
      <c r="G110" s="31"/>
      <c r="H110" s="30" t="s">
        <v>47</v>
      </c>
      <c r="I110" s="31"/>
      <c r="J110" s="30" t="s">
        <v>47</v>
      </c>
    </row>
    <row r="111">
      <c r="A111" s="88">
        <v>459606.0</v>
      </c>
      <c r="B111" s="103">
        <v>44225.0</v>
      </c>
      <c r="C111" s="104" t="s">
        <v>37</v>
      </c>
      <c r="D111" s="29" t="s">
        <v>1187</v>
      </c>
      <c r="E111" s="30" t="s">
        <v>83</v>
      </c>
      <c r="F111" s="30" t="s">
        <v>153</v>
      </c>
      <c r="G111" s="31">
        <v>1085100.0</v>
      </c>
      <c r="H111" s="30" t="s">
        <v>1188</v>
      </c>
      <c r="I111" s="31"/>
      <c r="J111" s="30" t="s">
        <v>47</v>
      </c>
    </row>
    <row r="112">
      <c r="A112" s="88">
        <v>757918.0</v>
      </c>
      <c r="B112" s="103">
        <v>44225.0</v>
      </c>
      <c r="C112" s="104" t="s">
        <v>37</v>
      </c>
      <c r="D112" s="29" t="s">
        <v>738</v>
      </c>
      <c r="E112" s="30" t="s">
        <v>63</v>
      </c>
      <c r="F112" s="30" t="s">
        <v>115</v>
      </c>
      <c r="G112" s="31">
        <v>1487702.0</v>
      </c>
      <c r="H112" s="30" t="s">
        <v>1189</v>
      </c>
      <c r="I112" s="31"/>
      <c r="J112" s="30" t="s">
        <v>47</v>
      </c>
    </row>
    <row r="113">
      <c r="A113" s="88">
        <v>894556.0</v>
      </c>
      <c r="B113" s="103">
        <v>44225.0</v>
      </c>
      <c r="C113" s="104" t="s">
        <v>37</v>
      </c>
      <c r="D113" s="29" t="s">
        <v>1190</v>
      </c>
      <c r="E113" s="30" t="s">
        <v>39</v>
      </c>
      <c r="F113" s="30" t="s">
        <v>54</v>
      </c>
      <c r="G113" s="31"/>
      <c r="H113" s="30" t="s">
        <v>47</v>
      </c>
      <c r="I113" s="31"/>
      <c r="J113" s="30" t="s">
        <v>47</v>
      </c>
    </row>
    <row r="114">
      <c r="A114" s="88">
        <v>1022780.0</v>
      </c>
      <c r="B114" s="103">
        <v>44225.0</v>
      </c>
      <c r="C114" s="104" t="s">
        <v>142</v>
      </c>
      <c r="D114" s="29" t="s">
        <v>1191</v>
      </c>
      <c r="E114" s="30" t="s">
        <v>83</v>
      </c>
      <c r="F114" s="30" t="s">
        <v>94</v>
      </c>
      <c r="G114" s="31">
        <v>1400460.0</v>
      </c>
      <c r="H114" s="30" t="s">
        <v>1192</v>
      </c>
      <c r="I114" s="31"/>
      <c r="J114" s="30" t="s">
        <v>47</v>
      </c>
    </row>
    <row r="115">
      <c r="A115" s="88">
        <v>682986.0</v>
      </c>
      <c r="B115" s="103">
        <v>44225.0</v>
      </c>
      <c r="C115" s="104" t="s">
        <v>37</v>
      </c>
      <c r="D115" s="29" t="s">
        <v>1193</v>
      </c>
      <c r="E115" s="30" t="s">
        <v>96</v>
      </c>
      <c r="F115" s="30" t="s">
        <v>352</v>
      </c>
      <c r="G115" s="31"/>
      <c r="H115" s="30" t="s">
        <v>47</v>
      </c>
      <c r="I115" s="31"/>
      <c r="J115" s="30" t="s">
        <v>47</v>
      </c>
    </row>
    <row r="116">
      <c r="A116" s="88">
        <v>2589018.0</v>
      </c>
      <c r="B116" s="103">
        <v>44225.0</v>
      </c>
      <c r="C116" s="104" t="s">
        <v>187</v>
      </c>
      <c r="D116" s="29" t="s">
        <v>1194</v>
      </c>
      <c r="E116" s="30" t="s">
        <v>63</v>
      </c>
      <c r="F116" s="30" t="s">
        <v>115</v>
      </c>
      <c r="G116" s="31"/>
      <c r="H116" s="30" t="s">
        <v>47</v>
      </c>
      <c r="I116" s="31"/>
      <c r="J116" s="30" t="s">
        <v>47</v>
      </c>
    </row>
    <row r="117">
      <c r="A117" s="88">
        <v>1470846.0</v>
      </c>
      <c r="B117" s="103">
        <v>44225.0</v>
      </c>
      <c r="C117" s="104" t="s">
        <v>37</v>
      </c>
      <c r="D117" s="29" t="s">
        <v>1195</v>
      </c>
      <c r="E117" s="30" t="s">
        <v>39</v>
      </c>
      <c r="F117" s="30" t="s">
        <v>54</v>
      </c>
      <c r="G117" s="31">
        <v>2168574.0</v>
      </c>
      <c r="H117" s="30" t="s">
        <v>1196</v>
      </c>
      <c r="I117" s="31"/>
      <c r="J117" s="30" t="s">
        <v>47</v>
      </c>
    </row>
    <row r="118">
      <c r="A118" s="88">
        <v>694026.0</v>
      </c>
      <c r="B118" s="103">
        <v>44225.0</v>
      </c>
      <c r="C118" s="104" t="s">
        <v>37</v>
      </c>
      <c r="D118" s="29" t="s">
        <v>1197</v>
      </c>
      <c r="E118" s="30" t="s">
        <v>105</v>
      </c>
      <c r="F118" s="30" t="s">
        <v>106</v>
      </c>
      <c r="G118" s="31"/>
      <c r="H118" s="30" t="s">
        <v>47</v>
      </c>
      <c r="I118" s="31"/>
      <c r="J118" s="30" t="s">
        <v>47</v>
      </c>
    </row>
    <row r="119">
      <c r="A119" s="88">
        <v>1625406.0</v>
      </c>
      <c r="B119" s="103">
        <v>44225.0</v>
      </c>
      <c r="C119" s="104" t="s">
        <v>37</v>
      </c>
      <c r="D119" s="29" t="s">
        <v>1198</v>
      </c>
      <c r="E119" s="30" t="s">
        <v>39</v>
      </c>
      <c r="F119" s="30" t="s">
        <v>297</v>
      </c>
      <c r="G119" s="31">
        <v>1332572.0</v>
      </c>
      <c r="H119" s="30" t="s">
        <v>1199</v>
      </c>
      <c r="I119" s="31"/>
      <c r="J119" s="30" t="s">
        <v>47</v>
      </c>
    </row>
    <row r="120">
      <c r="A120" s="88">
        <v>383042.0</v>
      </c>
      <c r="B120" s="103">
        <v>44225.0</v>
      </c>
      <c r="C120" s="104" t="s">
        <v>37</v>
      </c>
      <c r="D120" s="29" t="s">
        <v>1200</v>
      </c>
      <c r="E120" s="30" t="s">
        <v>39</v>
      </c>
      <c r="F120" s="30" t="s">
        <v>140</v>
      </c>
      <c r="G120" s="31">
        <v>746014.0</v>
      </c>
      <c r="H120" s="30" t="s">
        <v>1201</v>
      </c>
      <c r="I120" s="31"/>
      <c r="J120" s="30" t="s">
        <v>47</v>
      </c>
    </row>
    <row r="121">
      <c r="A121" s="88">
        <v>2534680.0</v>
      </c>
      <c r="B121" s="103">
        <v>44225.0</v>
      </c>
      <c r="C121" s="104" t="s">
        <v>70</v>
      </c>
      <c r="D121" s="29" t="s">
        <v>1202</v>
      </c>
      <c r="E121" s="30" t="s">
        <v>39</v>
      </c>
      <c r="F121" s="30" t="s">
        <v>50</v>
      </c>
      <c r="G121" s="31">
        <v>1704410.0</v>
      </c>
      <c r="H121" s="30" t="s">
        <v>1203</v>
      </c>
      <c r="I121" s="31"/>
      <c r="J121" s="30" t="s">
        <v>47</v>
      </c>
    </row>
    <row r="122">
      <c r="A122" s="88">
        <v>1365480.0</v>
      </c>
      <c r="B122" s="103">
        <v>44225.0</v>
      </c>
      <c r="C122" s="104" t="s">
        <v>37</v>
      </c>
      <c r="D122" s="29" t="s">
        <v>1204</v>
      </c>
      <c r="E122" s="30" t="s">
        <v>39</v>
      </c>
      <c r="F122" s="30" t="s">
        <v>54</v>
      </c>
      <c r="G122" s="31">
        <v>1592094.0</v>
      </c>
      <c r="H122" s="30" t="s">
        <v>1205</v>
      </c>
      <c r="I122" s="31"/>
      <c r="J122" s="30" t="s">
        <v>47</v>
      </c>
    </row>
    <row r="123">
      <c r="A123" s="88">
        <v>298888.0</v>
      </c>
      <c r="B123" s="103">
        <v>44225.0</v>
      </c>
      <c r="C123" s="104" t="s">
        <v>37</v>
      </c>
      <c r="D123" s="29" t="s">
        <v>1206</v>
      </c>
      <c r="E123" s="30" t="s">
        <v>39</v>
      </c>
      <c r="F123" s="30" t="s">
        <v>241</v>
      </c>
      <c r="G123" s="31"/>
      <c r="H123" s="30" t="s">
        <v>47</v>
      </c>
      <c r="I123" s="31"/>
      <c r="J123" s="30" t="s">
        <v>47</v>
      </c>
    </row>
    <row r="124">
      <c r="A124" s="88">
        <v>114564.0</v>
      </c>
      <c r="B124" s="103">
        <v>44225.0</v>
      </c>
      <c r="C124" s="104" t="s">
        <v>37</v>
      </c>
      <c r="D124" s="29" t="s">
        <v>1207</v>
      </c>
      <c r="E124" s="30" t="s">
        <v>189</v>
      </c>
      <c r="F124" s="30" t="s">
        <v>337</v>
      </c>
      <c r="G124" s="31"/>
      <c r="H124" s="30" t="s">
        <v>47</v>
      </c>
      <c r="I124" s="31"/>
      <c r="J124" s="30" t="s">
        <v>47</v>
      </c>
    </row>
    <row r="125">
      <c r="A125" s="88">
        <v>1215682.0</v>
      </c>
      <c r="B125" s="103">
        <v>44225.0</v>
      </c>
      <c r="C125" s="104" t="s">
        <v>37</v>
      </c>
      <c r="D125" s="29" t="s">
        <v>1208</v>
      </c>
      <c r="E125" s="30" t="s">
        <v>39</v>
      </c>
      <c r="F125" s="30" t="s">
        <v>50</v>
      </c>
      <c r="G125" s="31"/>
      <c r="H125" s="30" t="s">
        <v>47</v>
      </c>
      <c r="I125" s="31"/>
      <c r="J125" s="30" t="s">
        <v>47</v>
      </c>
    </row>
    <row r="126">
      <c r="A126" s="88">
        <v>483614.0</v>
      </c>
      <c r="B126" s="103">
        <v>44225.0</v>
      </c>
      <c r="C126" s="104" t="s">
        <v>37</v>
      </c>
      <c r="D126" s="29" t="s">
        <v>1209</v>
      </c>
      <c r="E126" s="30" t="s">
        <v>122</v>
      </c>
      <c r="F126" s="30" t="s">
        <v>271</v>
      </c>
      <c r="G126" s="31">
        <v>2456222.0</v>
      </c>
      <c r="H126" s="30" t="s">
        <v>1210</v>
      </c>
      <c r="I126" s="31"/>
      <c r="J126" s="30" t="s">
        <v>47</v>
      </c>
    </row>
    <row r="127">
      <c r="A127" s="88">
        <v>616854.0</v>
      </c>
      <c r="B127" s="103">
        <v>44225.0</v>
      </c>
      <c r="C127" s="104" t="s">
        <v>37</v>
      </c>
      <c r="D127" s="29" t="s">
        <v>1211</v>
      </c>
      <c r="E127" s="30" t="s">
        <v>63</v>
      </c>
      <c r="F127" s="30" t="s">
        <v>64</v>
      </c>
      <c r="G127" s="31">
        <v>943442.0</v>
      </c>
      <c r="H127" s="30" t="s">
        <v>1212</v>
      </c>
      <c r="I127" s="31"/>
      <c r="J127" s="30" t="s">
        <v>47</v>
      </c>
    </row>
    <row r="128">
      <c r="A128" s="88">
        <v>2267342.0</v>
      </c>
      <c r="B128" s="103">
        <v>44225.0</v>
      </c>
      <c r="C128" s="104" t="s">
        <v>187</v>
      </c>
      <c r="D128" s="29" t="s">
        <v>1213</v>
      </c>
      <c r="E128" s="30" t="s">
        <v>39</v>
      </c>
      <c r="F128" s="30" t="s">
        <v>140</v>
      </c>
      <c r="G128" s="31"/>
      <c r="H128" s="30" t="s">
        <v>47</v>
      </c>
      <c r="I128" s="31"/>
      <c r="J128" s="30" t="s">
        <v>47</v>
      </c>
    </row>
    <row r="129">
      <c r="A129" s="88">
        <v>841552.0</v>
      </c>
      <c r="B129" s="103">
        <v>44225.0</v>
      </c>
      <c r="C129" s="104" t="s">
        <v>37</v>
      </c>
      <c r="D129" s="29" t="s">
        <v>1214</v>
      </c>
      <c r="E129" s="30" t="s">
        <v>122</v>
      </c>
      <c r="F129" s="30" t="s">
        <v>271</v>
      </c>
      <c r="G129" s="31">
        <v>941752.0</v>
      </c>
      <c r="H129" s="30" t="s">
        <v>1215</v>
      </c>
      <c r="I129" s="31">
        <v>1758098.0</v>
      </c>
      <c r="J129" s="30" t="s">
        <v>1216</v>
      </c>
    </row>
    <row r="130">
      <c r="A130" s="88">
        <v>1537362.0</v>
      </c>
      <c r="B130" s="103">
        <v>44225.0</v>
      </c>
      <c r="C130" s="104" t="s">
        <v>37</v>
      </c>
      <c r="D130" s="29" t="s">
        <v>1217</v>
      </c>
      <c r="E130" s="30" t="s">
        <v>63</v>
      </c>
      <c r="F130" s="30" t="s">
        <v>258</v>
      </c>
      <c r="G130" s="31">
        <v>1140660.0</v>
      </c>
      <c r="H130" s="30" t="s">
        <v>1218</v>
      </c>
      <c r="I130" s="31"/>
      <c r="J130" s="30" t="s">
        <v>47</v>
      </c>
    </row>
    <row r="131">
      <c r="A131" s="88">
        <v>2611196.0</v>
      </c>
      <c r="B131" s="103">
        <v>44225.0</v>
      </c>
      <c r="C131" s="104" t="s">
        <v>187</v>
      </c>
      <c r="D131" s="29" t="s">
        <v>1219</v>
      </c>
      <c r="E131" s="30" t="s">
        <v>39</v>
      </c>
      <c r="F131" s="30" t="s">
        <v>140</v>
      </c>
      <c r="G131" s="31">
        <v>2790296.0</v>
      </c>
      <c r="H131" s="30" t="s">
        <v>1220</v>
      </c>
      <c r="I131" s="31"/>
      <c r="J131" s="30" t="s">
        <v>47</v>
      </c>
    </row>
    <row r="132">
      <c r="A132" s="88">
        <v>554622.0</v>
      </c>
      <c r="B132" s="103">
        <v>44225.0</v>
      </c>
      <c r="C132" s="104" t="s">
        <v>37</v>
      </c>
      <c r="D132" s="29" t="s">
        <v>1221</v>
      </c>
      <c r="E132" s="30" t="s">
        <v>58</v>
      </c>
      <c r="F132" s="30" t="s">
        <v>167</v>
      </c>
      <c r="G132" s="31">
        <v>1667390.0</v>
      </c>
      <c r="H132" s="30" t="s">
        <v>1222</v>
      </c>
      <c r="I132" s="31"/>
      <c r="J132" s="30" t="s">
        <v>47</v>
      </c>
    </row>
    <row r="133">
      <c r="A133" s="88">
        <v>1595154.0</v>
      </c>
      <c r="B133" s="103">
        <v>44225.0</v>
      </c>
      <c r="C133" s="104" t="s">
        <v>70</v>
      </c>
      <c r="D133" s="29" t="s">
        <v>1223</v>
      </c>
      <c r="E133" s="30" t="s">
        <v>39</v>
      </c>
      <c r="F133" s="30" t="s">
        <v>140</v>
      </c>
      <c r="G133" s="31">
        <v>1504576.0</v>
      </c>
      <c r="H133" s="30" t="s">
        <v>1224</v>
      </c>
      <c r="I133" s="31"/>
      <c r="J133" s="30" t="s">
        <v>47</v>
      </c>
    </row>
    <row r="134">
      <c r="A134" s="88">
        <v>1976564.0</v>
      </c>
      <c r="B134" s="103">
        <v>44225.0</v>
      </c>
      <c r="C134" s="104" t="s">
        <v>37</v>
      </c>
      <c r="D134" s="29" t="s">
        <v>1225</v>
      </c>
      <c r="E134" s="30" t="s">
        <v>39</v>
      </c>
      <c r="F134" s="30" t="s">
        <v>54</v>
      </c>
      <c r="G134" s="31">
        <v>904462.0</v>
      </c>
      <c r="H134" s="30" t="s">
        <v>1226</v>
      </c>
      <c r="I134" s="31"/>
      <c r="J134" s="30" t="s">
        <v>47</v>
      </c>
    </row>
    <row r="135">
      <c r="A135" s="88">
        <v>678150.0</v>
      </c>
      <c r="B135" s="103">
        <v>44225.0</v>
      </c>
      <c r="C135" s="104" t="s">
        <v>37</v>
      </c>
      <c r="D135" s="29" t="s">
        <v>1227</v>
      </c>
      <c r="E135" s="30" t="s">
        <v>39</v>
      </c>
      <c r="F135" s="30" t="s">
        <v>140</v>
      </c>
      <c r="G135" s="31">
        <v>758582.0</v>
      </c>
      <c r="H135" s="30" t="s">
        <v>1228</v>
      </c>
      <c r="I135" s="31"/>
      <c r="J135" s="30" t="s">
        <v>47</v>
      </c>
    </row>
    <row r="136">
      <c r="A136" s="88">
        <v>1094250.0</v>
      </c>
      <c r="B136" s="103">
        <v>44225.0</v>
      </c>
      <c r="C136" s="104" t="s">
        <v>37</v>
      </c>
      <c r="D136" s="29" t="s">
        <v>1229</v>
      </c>
      <c r="E136" s="30" t="s">
        <v>58</v>
      </c>
      <c r="F136" s="30" t="s">
        <v>234</v>
      </c>
      <c r="G136" s="31">
        <v>2343632.0</v>
      </c>
      <c r="H136" s="30" t="s">
        <v>1230</v>
      </c>
      <c r="I136" s="31">
        <v>329346.0</v>
      </c>
      <c r="J136" s="30" t="s">
        <v>1231</v>
      </c>
    </row>
    <row r="137">
      <c r="A137" s="88">
        <v>1181236.0</v>
      </c>
      <c r="B137" s="103">
        <v>44225.0</v>
      </c>
      <c r="C137" s="104" t="s">
        <v>37</v>
      </c>
      <c r="D137" s="29" t="s">
        <v>1232</v>
      </c>
      <c r="E137" s="30" t="s">
        <v>39</v>
      </c>
      <c r="F137" s="30" t="s">
        <v>50</v>
      </c>
      <c r="G137" s="31"/>
      <c r="H137" s="30" t="s">
        <v>47</v>
      </c>
      <c r="I137" s="31"/>
      <c r="J137" s="30" t="s">
        <v>47</v>
      </c>
    </row>
    <row r="138">
      <c r="A138" s="88">
        <v>1335118.0</v>
      </c>
      <c r="B138" s="103">
        <v>44225.0</v>
      </c>
      <c r="C138" s="104" t="s">
        <v>37</v>
      </c>
      <c r="D138" s="29" t="s">
        <v>1233</v>
      </c>
      <c r="E138" s="30" t="s">
        <v>79</v>
      </c>
      <c r="F138" s="30" t="s">
        <v>184</v>
      </c>
      <c r="G138" s="31"/>
      <c r="H138" s="30" t="s">
        <v>47</v>
      </c>
      <c r="I138" s="31"/>
      <c r="J138" s="30" t="s">
        <v>47</v>
      </c>
    </row>
    <row r="139">
      <c r="A139" s="88">
        <v>2453130.0</v>
      </c>
      <c r="B139" s="103">
        <v>44225.0</v>
      </c>
      <c r="C139" s="104" t="s">
        <v>37</v>
      </c>
      <c r="D139" s="29" t="s">
        <v>1234</v>
      </c>
      <c r="E139" s="30" t="s">
        <v>122</v>
      </c>
      <c r="F139" s="30" t="s">
        <v>271</v>
      </c>
      <c r="G139" s="31">
        <v>1333184.0</v>
      </c>
      <c r="H139" s="30" t="s">
        <v>1235</v>
      </c>
      <c r="I139" s="31"/>
      <c r="J139" s="30" t="s">
        <v>47</v>
      </c>
    </row>
    <row r="140">
      <c r="A140" s="88">
        <v>1361324.0</v>
      </c>
      <c r="B140" s="103">
        <v>44225.0</v>
      </c>
      <c r="C140" s="104" t="s">
        <v>37</v>
      </c>
      <c r="D140" s="29" t="s">
        <v>1236</v>
      </c>
      <c r="E140" s="30" t="s">
        <v>39</v>
      </c>
      <c r="F140" s="30" t="s">
        <v>50</v>
      </c>
      <c r="G140" s="31"/>
      <c r="H140" s="30" t="s">
        <v>47</v>
      </c>
      <c r="I140" s="31"/>
      <c r="J140" s="30" t="s">
        <v>47</v>
      </c>
    </row>
    <row r="141">
      <c r="A141" s="88">
        <v>1529174.0</v>
      </c>
      <c r="B141" s="103">
        <v>44225.0</v>
      </c>
      <c r="C141" s="104" t="s">
        <v>37</v>
      </c>
      <c r="D141" s="29" t="s">
        <v>1237</v>
      </c>
      <c r="E141" s="30" t="s">
        <v>39</v>
      </c>
      <c r="F141" s="30" t="s">
        <v>50</v>
      </c>
      <c r="G141" s="31"/>
      <c r="H141" s="30" t="s">
        <v>47</v>
      </c>
      <c r="I141" s="31"/>
      <c r="J141" s="30" t="s">
        <v>47</v>
      </c>
    </row>
    <row r="142">
      <c r="A142" s="88">
        <v>1380080.0</v>
      </c>
      <c r="B142" s="103">
        <v>44225.0</v>
      </c>
      <c r="C142" s="104" t="s">
        <v>37</v>
      </c>
      <c r="D142" s="29" t="s">
        <v>1238</v>
      </c>
      <c r="E142" s="30" t="s">
        <v>45</v>
      </c>
      <c r="F142" s="30" t="s">
        <v>172</v>
      </c>
      <c r="G142" s="31"/>
      <c r="H142" s="30" t="s">
        <v>47</v>
      </c>
      <c r="I142" s="31"/>
      <c r="J142" s="30" t="s">
        <v>47</v>
      </c>
    </row>
    <row r="143">
      <c r="A143" s="88">
        <v>383374.0</v>
      </c>
      <c r="B143" s="103">
        <v>44225.0</v>
      </c>
      <c r="C143" s="104" t="s">
        <v>37</v>
      </c>
      <c r="D143" s="29" t="s">
        <v>1239</v>
      </c>
      <c r="E143" s="30" t="s">
        <v>219</v>
      </c>
      <c r="F143" s="30" t="s">
        <v>220</v>
      </c>
      <c r="G143" s="31">
        <v>2283542.0</v>
      </c>
      <c r="H143" s="30" t="s">
        <v>1240</v>
      </c>
      <c r="I143" s="31"/>
      <c r="J143" s="30" t="s">
        <v>47</v>
      </c>
    </row>
    <row r="144">
      <c r="A144" s="88">
        <v>943388.0</v>
      </c>
      <c r="B144" s="103">
        <v>44225.0</v>
      </c>
      <c r="C144" s="104" t="s">
        <v>37</v>
      </c>
      <c r="D144" s="29" t="s">
        <v>1241</v>
      </c>
      <c r="E144" s="30" t="s">
        <v>39</v>
      </c>
      <c r="F144" s="30" t="s">
        <v>54</v>
      </c>
      <c r="G144" s="31">
        <v>533682.0</v>
      </c>
      <c r="H144" s="30" t="s">
        <v>1242</v>
      </c>
      <c r="I144" s="31"/>
      <c r="J144" s="30" t="s">
        <v>47</v>
      </c>
    </row>
    <row r="145">
      <c r="A145" s="88">
        <v>846832.0</v>
      </c>
      <c r="B145" s="103">
        <v>44225.0</v>
      </c>
      <c r="C145" s="104" t="s">
        <v>37</v>
      </c>
      <c r="D145" s="29" t="s">
        <v>1243</v>
      </c>
      <c r="E145" s="30" t="s">
        <v>39</v>
      </c>
      <c r="F145" s="30" t="s">
        <v>140</v>
      </c>
      <c r="G145" s="31">
        <v>670034.0</v>
      </c>
      <c r="H145" s="30" t="s">
        <v>1244</v>
      </c>
      <c r="I145" s="31"/>
      <c r="J145" s="30" t="s">
        <v>47</v>
      </c>
    </row>
    <row r="146">
      <c r="A146" s="88">
        <v>1632258.0</v>
      </c>
      <c r="B146" s="103">
        <v>44225.0</v>
      </c>
      <c r="C146" s="104" t="s">
        <v>170</v>
      </c>
      <c r="D146" s="29" t="s">
        <v>1245</v>
      </c>
      <c r="E146" s="30" t="s">
        <v>83</v>
      </c>
      <c r="F146" s="30" t="s">
        <v>153</v>
      </c>
      <c r="G146" s="31">
        <v>2770754.0</v>
      </c>
      <c r="H146" s="30" t="s">
        <v>1246</v>
      </c>
      <c r="I146" s="31"/>
      <c r="J146" s="30" t="s">
        <v>47</v>
      </c>
    </row>
    <row r="147">
      <c r="A147" s="88">
        <v>66143.0</v>
      </c>
      <c r="B147" s="103">
        <v>44225.0</v>
      </c>
      <c r="C147" s="104" t="s">
        <v>37</v>
      </c>
      <c r="D147" s="29" t="s">
        <v>1247</v>
      </c>
      <c r="E147" s="30" t="s">
        <v>83</v>
      </c>
      <c r="F147" s="30" t="s">
        <v>285</v>
      </c>
      <c r="G147" s="31">
        <v>2037952.0</v>
      </c>
      <c r="H147" s="30" t="s">
        <v>1248</v>
      </c>
      <c r="I147" s="31"/>
      <c r="J147" s="30" t="s">
        <v>47</v>
      </c>
    </row>
    <row r="148">
      <c r="A148" s="88">
        <v>28947.0</v>
      </c>
      <c r="B148" s="103">
        <v>44225.0</v>
      </c>
      <c r="C148" s="104" t="s">
        <v>37</v>
      </c>
      <c r="D148" s="29" t="s">
        <v>1249</v>
      </c>
      <c r="E148" s="30" t="s">
        <v>96</v>
      </c>
      <c r="F148" s="30" t="s">
        <v>97</v>
      </c>
      <c r="G148" s="31">
        <v>1517986.0</v>
      </c>
      <c r="H148" s="30" t="s">
        <v>1250</v>
      </c>
      <c r="I148" s="31"/>
      <c r="J148" s="30" t="s">
        <v>47</v>
      </c>
    </row>
    <row r="149">
      <c r="A149" s="88">
        <v>431570.0</v>
      </c>
      <c r="B149" s="103">
        <v>44225.0</v>
      </c>
      <c r="C149" s="104" t="s">
        <v>37</v>
      </c>
      <c r="D149" s="29" t="s">
        <v>1251</v>
      </c>
      <c r="E149" s="30" t="s">
        <v>122</v>
      </c>
      <c r="F149" s="30" t="s">
        <v>127</v>
      </c>
      <c r="G149" s="31"/>
      <c r="H149" s="30" t="s">
        <v>47</v>
      </c>
      <c r="I149" s="31"/>
      <c r="J149" s="30" t="s">
        <v>47</v>
      </c>
    </row>
    <row r="150">
      <c r="A150" s="88">
        <v>997894.0</v>
      </c>
      <c r="B150" s="103">
        <v>44225.0</v>
      </c>
      <c r="C150" s="104" t="s">
        <v>37</v>
      </c>
      <c r="D150" s="29" t="s">
        <v>1252</v>
      </c>
      <c r="E150" s="30" t="s">
        <v>45</v>
      </c>
      <c r="F150" s="30" t="s">
        <v>324</v>
      </c>
      <c r="G150" s="31">
        <v>499534.0</v>
      </c>
      <c r="H150" s="30" t="s">
        <v>1253</v>
      </c>
      <c r="I150" s="31"/>
      <c r="J150" s="30" t="s">
        <v>47</v>
      </c>
    </row>
    <row r="151">
      <c r="A151" s="88">
        <v>26105.0</v>
      </c>
      <c r="B151" s="103">
        <v>44225.0</v>
      </c>
      <c r="C151" s="104" t="s">
        <v>37</v>
      </c>
      <c r="D151" s="29" t="s">
        <v>1254</v>
      </c>
      <c r="E151" s="30" t="s">
        <v>189</v>
      </c>
      <c r="F151" s="30" t="s">
        <v>190</v>
      </c>
      <c r="G151" s="31">
        <v>793796.0</v>
      </c>
      <c r="H151" s="30" t="s">
        <v>863</v>
      </c>
      <c r="I151" s="31"/>
      <c r="J151" s="30" t="s">
        <v>47</v>
      </c>
    </row>
    <row r="152">
      <c r="A152" s="88">
        <v>118042.0</v>
      </c>
      <c r="B152" s="103">
        <v>44225.0</v>
      </c>
      <c r="C152" s="104" t="s">
        <v>37</v>
      </c>
      <c r="D152" s="29" t="s">
        <v>1255</v>
      </c>
      <c r="E152" s="30" t="s">
        <v>45</v>
      </c>
      <c r="F152" s="30" t="s">
        <v>46</v>
      </c>
      <c r="G152" s="31">
        <v>1482442.0</v>
      </c>
      <c r="H152" s="30" t="s">
        <v>1256</v>
      </c>
      <c r="I152" s="31"/>
      <c r="J152" s="30" t="s">
        <v>47</v>
      </c>
    </row>
    <row r="153">
      <c r="A153" s="88">
        <v>1267860.0</v>
      </c>
      <c r="B153" s="103">
        <v>44225.0</v>
      </c>
      <c r="C153" s="104" t="s">
        <v>37</v>
      </c>
      <c r="D153" s="29" t="s">
        <v>1257</v>
      </c>
      <c r="E153" s="30" t="s">
        <v>96</v>
      </c>
      <c r="F153" s="30" t="s">
        <v>109</v>
      </c>
      <c r="G153" s="31">
        <v>1297958.0</v>
      </c>
      <c r="H153" s="30" t="s">
        <v>1258</v>
      </c>
      <c r="I153" s="31"/>
      <c r="J153" s="30" t="s">
        <v>47</v>
      </c>
    </row>
    <row r="154">
      <c r="A154" s="88">
        <v>2500248.0</v>
      </c>
      <c r="B154" s="103">
        <v>44225.0</v>
      </c>
      <c r="C154" s="104" t="s">
        <v>37</v>
      </c>
      <c r="D154" s="29" t="s">
        <v>1259</v>
      </c>
      <c r="E154" s="30" t="s">
        <v>39</v>
      </c>
      <c r="F154" s="30" t="s">
        <v>50</v>
      </c>
      <c r="G154" s="31">
        <v>977360.0</v>
      </c>
      <c r="H154" s="30" t="s">
        <v>835</v>
      </c>
      <c r="I154" s="31">
        <v>2000596.0</v>
      </c>
      <c r="J154" s="30" t="s">
        <v>1260</v>
      </c>
    </row>
    <row r="155">
      <c r="A155" s="88">
        <v>32917.0</v>
      </c>
      <c r="B155" s="103">
        <v>44225.0</v>
      </c>
      <c r="C155" s="104" t="s">
        <v>37</v>
      </c>
      <c r="D155" s="29" t="s">
        <v>1261</v>
      </c>
      <c r="E155" s="30" t="s">
        <v>189</v>
      </c>
      <c r="F155" s="30" t="s">
        <v>190</v>
      </c>
      <c r="G155" s="31">
        <v>793796.0</v>
      </c>
      <c r="H155" s="30" t="s">
        <v>863</v>
      </c>
      <c r="I155" s="31">
        <v>49250.0</v>
      </c>
      <c r="J155" s="30" t="s">
        <v>864</v>
      </c>
    </row>
    <row r="156">
      <c r="A156" s="93">
        <v>3193798.0</v>
      </c>
      <c r="B156" s="103">
        <v>44225.0</v>
      </c>
      <c r="C156" s="104" t="s">
        <v>37</v>
      </c>
      <c r="D156" s="29" t="s">
        <v>1262</v>
      </c>
      <c r="E156" s="30" t="s">
        <v>45</v>
      </c>
      <c r="F156" s="30" t="s">
        <v>75</v>
      </c>
      <c r="G156" s="31">
        <v>1617616.0</v>
      </c>
      <c r="H156" s="30" t="s">
        <v>563</v>
      </c>
      <c r="I156" s="31">
        <v>2736086.0</v>
      </c>
      <c r="J156" s="30" t="s">
        <v>562</v>
      </c>
    </row>
    <row r="157">
      <c r="A157" s="93">
        <v>1414956.0</v>
      </c>
      <c r="B157" s="103">
        <v>44225.0</v>
      </c>
      <c r="C157" s="104" t="s">
        <v>37</v>
      </c>
      <c r="D157" s="29" t="s">
        <v>1263</v>
      </c>
      <c r="E157" s="30" t="s">
        <v>58</v>
      </c>
      <c r="F157" s="30" t="s">
        <v>161</v>
      </c>
      <c r="G157" s="31"/>
      <c r="H157" s="30" t="s">
        <v>47</v>
      </c>
      <c r="I157" s="31"/>
      <c r="J157" s="30" t="s">
        <v>47</v>
      </c>
    </row>
    <row r="158">
      <c r="A158" s="93">
        <v>1350010.0</v>
      </c>
      <c r="B158" s="103">
        <v>44225.0</v>
      </c>
      <c r="C158" s="104" t="s">
        <v>37</v>
      </c>
      <c r="D158" s="29" t="s">
        <v>1264</v>
      </c>
      <c r="E158" s="30" t="s">
        <v>83</v>
      </c>
      <c r="F158" s="30" t="s">
        <v>285</v>
      </c>
      <c r="G158" s="31">
        <v>1435028.0</v>
      </c>
      <c r="H158" s="30" t="s">
        <v>1265</v>
      </c>
      <c r="I158" s="31"/>
      <c r="J158" s="30" t="s">
        <v>47</v>
      </c>
    </row>
    <row r="159">
      <c r="A159" s="93">
        <v>390910.0</v>
      </c>
      <c r="B159" s="103">
        <v>44225.0</v>
      </c>
      <c r="C159" s="104" t="s">
        <v>37</v>
      </c>
      <c r="D159" s="29" t="s">
        <v>1266</v>
      </c>
      <c r="E159" s="30" t="s">
        <v>39</v>
      </c>
      <c r="F159" s="30" t="s">
        <v>54</v>
      </c>
      <c r="G159" s="31">
        <v>1581488.0</v>
      </c>
      <c r="H159" s="30" t="s">
        <v>1267</v>
      </c>
      <c r="I159" s="31"/>
      <c r="J159" s="30" t="s">
        <v>47</v>
      </c>
    </row>
    <row r="160">
      <c r="A160" s="93">
        <v>2010436.0</v>
      </c>
      <c r="B160" s="103">
        <v>44225.0</v>
      </c>
      <c r="C160" s="104" t="s">
        <v>37</v>
      </c>
      <c r="D160" s="29" t="s">
        <v>1268</v>
      </c>
      <c r="E160" s="30" t="s">
        <v>39</v>
      </c>
      <c r="F160" s="30" t="s">
        <v>50</v>
      </c>
      <c r="G160" s="31"/>
      <c r="H160" s="30" t="s">
        <v>47</v>
      </c>
      <c r="I160" s="31"/>
      <c r="J160" s="30" t="s">
        <v>47</v>
      </c>
    </row>
    <row r="161">
      <c r="A161" s="93">
        <v>1592140.0</v>
      </c>
      <c r="B161" s="103">
        <v>44225.0</v>
      </c>
      <c r="C161" s="104" t="s">
        <v>37</v>
      </c>
      <c r="D161" s="29" t="s">
        <v>1269</v>
      </c>
      <c r="E161" s="30" t="s">
        <v>45</v>
      </c>
      <c r="F161" s="30" t="s">
        <v>172</v>
      </c>
      <c r="G161" s="31">
        <v>1320362.0</v>
      </c>
      <c r="H161" s="30" t="s">
        <v>1270</v>
      </c>
      <c r="I161" s="31"/>
      <c r="J161" s="30" t="s">
        <v>47</v>
      </c>
    </row>
    <row r="162">
      <c r="A162" s="93">
        <v>2964426.0</v>
      </c>
      <c r="B162" s="103">
        <v>44225.0</v>
      </c>
      <c r="C162" s="104" t="s">
        <v>37</v>
      </c>
      <c r="D162" s="29" t="s">
        <v>1271</v>
      </c>
      <c r="E162" s="30" t="s">
        <v>39</v>
      </c>
      <c r="F162" s="30" t="s">
        <v>50</v>
      </c>
      <c r="G162" s="31">
        <v>2964426.0</v>
      </c>
      <c r="H162" s="30" t="s">
        <v>47</v>
      </c>
      <c r="I162" s="31">
        <v>1793828.0</v>
      </c>
      <c r="J162" s="30" t="s">
        <v>769</v>
      </c>
    </row>
    <row r="163">
      <c r="A163" s="93">
        <v>535562.0</v>
      </c>
      <c r="B163" s="103">
        <v>44225.0</v>
      </c>
      <c r="C163" s="104" t="s">
        <v>37</v>
      </c>
      <c r="D163" s="29" t="s">
        <v>1272</v>
      </c>
      <c r="E163" s="30" t="s">
        <v>39</v>
      </c>
      <c r="F163" s="30" t="s">
        <v>241</v>
      </c>
      <c r="G163" s="31"/>
      <c r="H163" s="30" t="s">
        <v>47</v>
      </c>
      <c r="I163" s="31"/>
      <c r="J163" s="30" t="s">
        <v>47</v>
      </c>
    </row>
    <row r="164">
      <c r="A164" s="121">
        <v>821360.0</v>
      </c>
      <c r="B164" s="103">
        <v>44225.0</v>
      </c>
      <c r="C164" s="104" t="s">
        <v>37</v>
      </c>
      <c r="D164" s="29" t="s">
        <v>1273</v>
      </c>
      <c r="E164" s="30" t="s">
        <v>45</v>
      </c>
      <c r="F164" s="30" t="s">
        <v>46</v>
      </c>
      <c r="G164" s="31">
        <v>442896.0</v>
      </c>
      <c r="H164" s="30" t="s">
        <v>248</v>
      </c>
      <c r="I164" s="31">
        <v>1741850.0</v>
      </c>
      <c r="J164" s="30" t="s">
        <v>1274</v>
      </c>
    </row>
    <row r="165">
      <c r="A165" s="149">
        <v>949316.0</v>
      </c>
      <c r="B165" s="103">
        <v>44225.0</v>
      </c>
      <c r="C165" s="104" t="s">
        <v>37</v>
      </c>
      <c r="D165" s="29" t="s">
        <v>1275</v>
      </c>
      <c r="E165" s="30" t="s">
        <v>58</v>
      </c>
      <c r="F165" s="30" t="s">
        <v>161</v>
      </c>
      <c r="G165" s="31">
        <v>72964.0</v>
      </c>
      <c r="H165" s="30" t="s">
        <v>1276</v>
      </c>
      <c r="I165" s="31"/>
      <c r="J165" s="30" t="s">
        <v>47</v>
      </c>
    </row>
    <row r="166">
      <c r="A166" s="93">
        <v>735796.0</v>
      </c>
      <c r="B166" s="103">
        <v>44225.0</v>
      </c>
      <c r="C166" s="104" t="s">
        <v>37</v>
      </c>
      <c r="D166" s="29" t="s">
        <v>1277</v>
      </c>
      <c r="E166" s="30" t="s">
        <v>39</v>
      </c>
      <c r="F166" s="30" t="s">
        <v>54</v>
      </c>
      <c r="G166" s="31">
        <v>1576856.0</v>
      </c>
      <c r="H166" s="30" t="s">
        <v>867</v>
      </c>
      <c r="I166" s="31"/>
      <c r="J166" s="30" t="s">
        <v>47</v>
      </c>
    </row>
    <row r="167">
      <c r="A167" s="93">
        <v>656714.0</v>
      </c>
      <c r="B167" s="103">
        <v>44225.0</v>
      </c>
      <c r="C167" s="104" t="s">
        <v>37</v>
      </c>
      <c r="D167" s="29" t="s">
        <v>1278</v>
      </c>
      <c r="E167" s="30" t="s">
        <v>105</v>
      </c>
      <c r="F167" s="30" t="s">
        <v>106</v>
      </c>
      <c r="G167" s="31">
        <v>1691762.0</v>
      </c>
      <c r="H167" s="30" t="s">
        <v>1279</v>
      </c>
      <c r="I167" s="31">
        <v>1271196.0</v>
      </c>
      <c r="J167" s="30" t="s">
        <v>1280</v>
      </c>
    </row>
    <row r="168">
      <c r="A168" s="93">
        <v>711592.0</v>
      </c>
      <c r="B168" s="103">
        <v>44225.0</v>
      </c>
      <c r="C168" s="104" t="s">
        <v>37</v>
      </c>
      <c r="D168" s="29" t="s">
        <v>1281</v>
      </c>
      <c r="E168" s="30" t="s">
        <v>39</v>
      </c>
      <c r="F168" s="30" t="s">
        <v>140</v>
      </c>
      <c r="G168" s="31">
        <v>1470810.0</v>
      </c>
      <c r="H168" s="30" t="s">
        <v>1282</v>
      </c>
      <c r="I168" s="31"/>
      <c r="J168" s="30" t="s">
        <v>47</v>
      </c>
    </row>
    <row r="169">
      <c r="A169" s="93">
        <v>1038568.0</v>
      </c>
      <c r="B169" s="103">
        <v>44225.0</v>
      </c>
      <c r="C169" s="104" t="s">
        <v>37</v>
      </c>
      <c r="D169" s="29" t="s">
        <v>1283</v>
      </c>
      <c r="E169" s="30" t="s">
        <v>105</v>
      </c>
      <c r="F169" s="30" t="s">
        <v>106</v>
      </c>
      <c r="G169" s="31"/>
      <c r="H169" s="30" t="s">
        <v>47</v>
      </c>
      <c r="I169" s="31"/>
      <c r="J169" s="30" t="s">
        <v>47</v>
      </c>
    </row>
    <row r="170">
      <c r="A170" s="93">
        <v>625274.0</v>
      </c>
      <c r="B170" s="103">
        <v>44225.0</v>
      </c>
      <c r="C170" s="104" t="s">
        <v>37</v>
      </c>
      <c r="D170" s="29" t="s">
        <v>1284</v>
      </c>
      <c r="E170" s="30" t="s">
        <v>58</v>
      </c>
      <c r="F170" s="30" t="s">
        <v>234</v>
      </c>
      <c r="G170" s="31">
        <v>395170.0</v>
      </c>
      <c r="H170" s="30" t="s">
        <v>1285</v>
      </c>
      <c r="I170" s="31"/>
      <c r="J170" s="30" t="s">
        <v>47</v>
      </c>
    </row>
    <row r="171">
      <c r="A171" s="93">
        <v>1969944.0</v>
      </c>
      <c r="B171" s="103">
        <v>44225.0</v>
      </c>
      <c r="C171" s="104" t="s">
        <v>37</v>
      </c>
      <c r="D171" s="29" t="s">
        <v>1286</v>
      </c>
      <c r="E171" s="30" t="s">
        <v>45</v>
      </c>
      <c r="F171" s="30" t="s">
        <v>46</v>
      </c>
      <c r="G171" s="31"/>
      <c r="H171" s="30" t="s">
        <v>47</v>
      </c>
      <c r="I171" s="31"/>
      <c r="J171" s="30" t="s">
        <v>47</v>
      </c>
    </row>
    <row r="172">
      <c r="A172" s="93">
        <v>19063.0</v>
      </c>
      <c r="B172" s="103">
        <v>44225.0</v>
      </c>
      <c r="C172" s="104" t="s">
        <v>37</v>
      </c>
      <c r="D172" s="29" t="s">
        <v>1287</v>
      </c>
      <c r="E172" s="30" t="s">
        <v>105</v>
      </c>
      <c r="F172" s="30" t="s">
        <v>106</v>
      </c>
      <c r="G172" s="31">
        <v>1197206.0</v>
      </c>
      <c r="H172" s="30" t="s">
        <v>1288</v>
      </c>
      <c r="I172" s="31"/>
      <c r="J172" s="30" t="s">
        <v>47</v>
      </c>
    </row>
    <row r="173">
      <c r="A173" s="93">
        <v>811172.0</v>
      </c>
      <c r="B173" s="103">
        <v>44225.0</v>
      </c>
      <c r="C173" s="104" t="s">
        <v>37</v>
      </c>
      <c r="D173" s="29" t="s">
        <v>1289</v>
      </c>
      <c r="E173" s="30" t="s">
        <v>45</v>
      </c>
      <c r="F173" s="30" t="s">
        <v>46</v>
      </c>
      <c r="G173" s="31">
        <v>1482442.0</v>
      </c>
      <c r="H173" s="30" t="s">
        <v>1256</v>
      </c>
      <c r="I173" s="31"/>
      <c r="J173" s="30" t="s">
        <v>47</v>
      </c>
    </row>
    <row r="174">
      <c r="A174" s="93">
        <v>1449486.0</v>
      </c>
      <c r="B174" s="103">
        <v>44225.0</v>
      </c>
      <c r="C174" s="104" t="s">
        <v>37</v>
      </c>
      <c r="D174" s="29" t="s">
        <v>1290</v>
      </c>
      <c r="E174" s="30" t="s">
        <v>58</v>
      </c>
      <c r="F174" s="30" t="s">
        <v>161</v>
      </c>
      <c r="G174" s="31"/>
      <c r="H174" s="30" t="s">
        <v>47</v>
      </c>
      <c r="I174" s="31"/>
      <c r="J174" s="30" t="s">
        <v>47</v>
      </c>
    </row>
    <row r="175">
      <c r="A175" s="93">
        <v>1835990.0</v>
      </c>
      <c r="B175" s="103">
        <v>44225.0</v>
      </c>
      <c r="C175" s="104" t="s">
        <v>43</v>
      </c>
      <c r="D175" s="29" t="s">
        <v>1291</v>
      </c>
      <c r="E175" s="30" t="s">
        <v>39</v>
      </c>
      <c r="F175" s="30" t="s">
        <v>50</v>
      </c>
      <c r="G175" s="31">
        <v>1968160.0</v>
      </c>
      <c r="H175" s="30" t="s">
        <v>1292</v>
      </c>
      <c r="I175" s="31"/>
      <c r="J175" s="30" t="s">
        <v>47</v>
      </c>
    </row>
    <row r="176">
      <c r="A176" s="93">
        <v>1052868.0</v>
      </c>
      <c r="B176" s="103">
        <v>44225.0</v>
      </c>
      <c r="C176" s="104" t="s">
        <v>37</v>
      </c>
      <c r="D176" s="29" t="s">
        <v>1293</v>
      </c>
      <c r="E176" s="30" t="s">
        <v>45</v>
      </c>
      <c r="F176" s="30" t="s">
        <v>46</v>
      </c>
      <c r="G176" s="31"/>
      <c r="H176" s="30" t="s">
        <v>47</v>
      </c>
      <c r="I176" s="31"/>
      <c r="J176" s="30" t="s">
        <v>47</v>
      </c>
    </row>
    <row r="177">
      <c r="A177" s="88">
        <v>50274.0</v>
      </c>
      <c r="B177" s="103">
        <v>44225.0</v>
      </c>
      <c r="C177" s="104" t="s">
        <v>37</v>
      </c>
      <c r="D177" s="29" t="s">
        <v>1294</v>
      </c>
      <c r="E177" s="30" t="s">
        <v>45</v>
      </c>
      <c r="F177" s="30" t="s">
        <v>75</v>
      </c>
      <c r="G177" s="31"/>
      <c r="H177" s="30" t="s">
        <v>47</v>
      </c>
      <c r="I177" s="31"/>
      <c r="J177" s="30" t="s">
        <v>47</v>
      </c>
    </row>
    <row r="178">
      <c r="A178" s="88">
        <v>2812949.0</v>
      </c>
      <c r="B178" s="103">
        <v>44232.0</v>
      </c>
      <c r="C178" s="104" t="s">
        <v>37</v>
      </c>
      <c r="D178" s="29" t="s">
        <v>584</v>
      </c>
      <c r="E178" s="30" t="s">
        <v>101</v>
      </c>
      <c r="F178" s="30" t="s">
        <v>102</v>
      </c>
      <c r="G178" s="31"/>
      <c r="H178" s="30" t="s">
        <v>47</v>
      </c>
      <c r="I178" s="31"/>
      <c r="J178" s="30" t="s">
        <v>47</v>
      </c>
    </row>
    <row r="179">
      <c r="A179" s="88">
        <v>3469870.0</v>
      </c>
      <c r="B179" s="103">
        <v>44232.0</v>
      </c>
      <c r="C179" s="104" t="s">
        <v>37</v>
      </c>
      <c r="D179" s="29" t="s">
        <v>635</v>
      </c>
      <c r="E179" s="30" t="s">
        <v>101</v>
      </c>
      <c r="F179" s="30" t="s">
        <v>203</v>
      </c>
      <c r="G179" s="31"/>
      <c r="H179" s="30" t="s">
        <v>47</v>
      </c>
      <c r="I179" s="31"/>
      <c r="J179" s="30" t="s">
        <v>47</v>
      </c>
    </row>
    <row r="180">
      <c r="A180" s="102">
        <v>216298.0</v>
      </c>
      <c r="B180" s="103">
        <v>44237.0</v>
      </c>
      <c r="C180" s="104" t="s">
        <v>187</v>
      </c>
      <c r="D180" s="29" t="s">
        <v>1295</v>
      </c>
      <c r="E180" s="30" t="s">
        <v>58</v>
      </c>
      <c r="F180" s="30" t="s">
        <v>59</v>
      </c>
      <c r="G180" s="31"/>
      <c r="H180" s="30" t="s">
        <v>47</v>
      </c>
      <c r="I180" s="31"/>
      <c r="J180" s="30" t="s">
        <v>47</v>
      </c>
    </row>
    <row r="181">
      <c r="A181" s="102">
        <v>3269102.0</v>
      </c>
      <c r="B181" s="103">
        <v>44243.0</v>
      </c>
      <c r="C181" s="104" t="s">
        <v>37</v>
      </c>
      <c r="D181" s="29" t="s">
        <v>1116</v>
      </c>
      <c r="E181" s="30" t="s">
        <v>63</v>
      </c>
      <c r="F181" s="30" t="s">
        <v>64</v>
      </c>
      <c r="G181" s="31">
        <v>2676416.0</v>
      </c>
      <c r="H181" s="30" t="s">
        <v>1117</v>
      </c>
      <c r="I181" s="31"/>
      <c r="J181" s="30" t="s">
        <v>47</v>
      </c>
    </row>
    <row r="182">
      <c r="A182" s="102">
        <v>1786172.0</v>
      </c>
      <c r="B182" s="103">
        <v>44250.0</v>
      </c>
      <c r="C182" s="104" t="s">
        <v>70</v>
      </c>
      <c r="D182" s="29" t="s">
        <v>1296</v>
      </c>
      <c r="E182" s="30" t="s">
        <v>39</v>
      </c>
      <c r="F182" s="30" t="s">
        <v>297</v>
      </c>
      <c r="G182" s="31">
        <v>2137076.0</v>
      </c>
      <c r="H182" s="30" t="s">
        <v>1297</v>
      </c>
      <c r="I182" s="31">
        <v>2567990.0</v>
      </c>
      <c r="J182" s="30" t="s">
        <v>1298</v>
      </c>
    </row>
    <row r="183">
      <c r="A183" s="102">
        <v>510364.0</v>
      </c>
      <c r="B183" s="103">
        <v>44253.0</v>
      </c>
      <c r="C183" s="104" t="s">
        <v>37</v>
      </c>
      <c r="D183" s="29" t="s">
        <v>1299</v>
      </c>
      <c r="E183" s="30" t="s">
        <v>122</v>
      </c>
      <c r="F183" s="30" t="s">
        <v>127</v>
      </c>
      <c r="G183" s="31">
        <v>526570.0</v>
      </c>
      <c r="H183" s="30" t="s">
        <v>126</v>
      </c>
      <c r="I183" s="31">
        <v>1255050.0</v>
      </c>
      <c r="J183" s="30" t="s">
        <v>128</v>
      </c>
    </row>
    <row r="184">
      <c r="A184" s="107">
        <v>1559004.0</v>
      </c>
      <c r="B184" s="103">
        <v>44253.0</v>
      </c>
      <c r="C184" s="104" t="s">
        <v>142</v>
      </c>
      <c r="D184" s="29" t="s">
        <v>1300</v>
      </c>
      <c r="E184" s="30" t="s">
        <v>122</v>
      </c>
      <c r="F184" s="30" t="s">
        <v>271</v>
      </c>
      <c r="G184" s="31">
        <v>1841008.0</v>
      </c>
      <c r="H184" s="30" t="s">
        <v>1301</v>
      </c>
      <c r="I184" s="31"/>
      <c r="J184" s="30" t="s">
        <v>47</v>
      </c>
    </row>
    <row r="185">
      <c r="A185" s="107">
        <v>304426.0</v>
      </c>
      <c r="B185" s="103">
        <v>44253.0</v>
      </c>
      <c r="C185" s="104" t="s">
        <v>37</v>
      </c>
      <c r="D185" s="29" t="s">
        <v>1302</v>
      </c>
      <c r="E185" s="30" t="s">
        <v>189</v>
      </c>
      <c r="F185" s="30" t="s">
        <v>190</v>
      </c>
      <c r="G185" s="31"/>
      <c r="H185" s="30" t="s">
        <v>47</v>
      </c>
      <c r="I185" s="31"/>
      <c r="J185" s="30" t="s">
        <v>47</v>
      </c>
    </row>
    <row r="186">
      <c r="A186" s="107">
        <v>2825451.0</v>
      </c>
      <c r="B186" s="103">
        <v>44253.0</v>
      </c>
      <c r="C186" s="104" t="s">
        <v>187</v>
      </c>
      <c r="D186" s="29" t="s">
        <v>1303</v>
      </c>
      <c r="E186" s="30" t="s">
        <v>122</v>
      </c>
      <c r="F186" s="30" t="s">
        <v>127</v>
      </c>
      <c r="G186" s="31"/>
      <c r="H186" s="30" t="s">
        <v>47</v>
      </c>
      <c r="I186" s="31"/>
      <c r="J186" s="30" t="s">
        <v>47</v>
      </c>
    </row>
    <row r="187">
      <c r="A187" s="107">
        <v>2608906.0</v>
      </c>
      <c r="B187" s="103">
        <v>44253.0</v>
      </c>
      <c r="C187" s="104" t="s">
        <v>37</v>
      </c>
      <c r="D187" s="29" t="s">
        <v>1304</v>
      </c>
      <c r="E187" s="30" t="s">
        <v>39</v>
      </c>
      <c r="F187" s="30" t="s">
        <v>50</v>
      </c>
      <c r="G187" s="31">
        <v>2510386.0</v>
      </c>
      <c r="H187" s="30" t="s">
        <v>1305</v>
      </c>
      <c r="I187" s="31"/>
      <c r="J187" s="30" t="s">
        <v>47</v>
      </c>
    </row>
    <row r="188">
      <c r="A188" s="107">
        <v>2168574.0</v>
      </c>
      <c r="B188" s="103">
        <v>44253.0</v>
      </c>
      <c r="C188" s="104" t="s">
        <v>37</v>
      </c>
      <c r="D188" s="29" t="s">
        <v>1196</v>
      </c>
      <c r="E188" s="30" t="s">
        <v>63</v>
      </c>
      <c r="F188" s="30" t="s">
        <v>64</v>
      </c>
      <c r="G188" s="31">
        <v>1470846.0</v>
      </c>
      <c r="H188" s="30" t="s">
        <v>47</v>
      </c>
      <c r="I188" s="31"/>
      <c r="J188" s="30" t="s">
        <v>47</v>
      </c>
    </row>
    <row r="189">
      <c r="A189" s="107">
        <v>2329830.0</v>
      </c>
      <c r="B189" s="103">
        <v>44253.0</v>
      </c>
      <c r="C189" s="104" t="s">
        <v>37</v>
      </c>
      <c r="D189" s="29" t="s">
        <v>1306</v>
      </c>
      <c r="E189" s="30" t="s">
        <v>101</v>
      </c>
      <c r="F189" s="30" t="s">
        <v>102</v>
      </c>
      <c r="G189" s="31"/>
      <c r="H189" s="30"/>
      <c r="I189" s="31"/>
      <c r="J189" s="30" t="s">
        <v>47</v>
      </c>
    </row>
    <row r="190">
      <c r="A190" s="107">
        <v>2693266.0</v>
      </c>
      <c r="B190" s="103">
        <v>44253.0</v>
      </c>
      <c r="C190" s="104" t="s">
        <v>37</v>
      </c>
      <c r="D190" s="29" t="s">
        <v>1307</v>
      </c>
      <c r="E190" s="30" t="s">
        <v>219</v>
      </c>
      <c r="F190" s="30" t="s">
        <v>220</v>
      </c>
      <c r="G190" s="31">
        <v>1622298.0</v>
      </c>
      <c r="H190" s="30" t="s">
        <v>1308</v>
      </c>
      <c r="I190" s="31"/>
      <c r="J190" s="30" t="s">
        <v>47</v>
      </c>
    </row>
    <row r="191">
      <c r="A191" s="102">
        <v>1841876.0</v>
      </c>
      <c r="B191" s="103">
        <v>44253.0</v>
      </c>
      <c r="C191" s="104" t="s">
        <v>37</v>
      </c>
      <c r="D191" s="29" t="s">
        <v>1309</v>
      </c>
      <c r="E191" s="30" t="s">
        <v>63</v>
      </c>
      <c r="F191" s="30" t="s">
        <v>64</v>
      </c>
      <c r="G191" s="31"/>
      <c r="H191" s="30" t="s">
        <v>47</v>
      </c>
      <c r="I191" s="31"/>
      <c r="J191" s="30" t="s">
        <v>47</v>
      </c>
    </row>
    <row r="192">
      <c r="A192" s="102">
        <v>749290.0</v>
      </c>
      <c r="B192" s="103">
        <v>44253.0</v>
      </c>
      <c r="C192" s="104" t="s">
        <v>37</v>
      </c>
      <c r="D192" s="29" t="s">
        <v>1310</v>
      </c>
      <c r="E192" s="30" t="s">
        <v>45</v>
      </c>
      <c r="F192" s="30" t="s">
        <v>90</v>
      </c>
      <c r="G192" s="31"/>
      <c r="H192" s="30" t="s">
        <v>47</v>
      </c>
      <c r="I192" s="31"/>
      <c r="J192" s="30" t="s">
        <v>47</v>
      </c>
    </row>
    <row r="193">
      <c r="A193" s="102">
        <v>461362.0</v>
      </c>
      <c r="B193" s="103">
        <v>44253.0</v>
      </c>
      <c r="C193" s="104" t="s">
        <v>37</v>
      </c>
      <c r="D193" s="29" t="s">
        <v>1311</v>
      </c>
      <c r="E193" s="30" t="s">
        <v>45</v>
      </c>
      <c r="F193" s="30" t="s">
        <v>75</v>
      </c>
      <c r="G193" s="31"/>
      <c r="H193" s="30" t="s">
        <v>47</v>
      </c>
      <c r="I193" s="31"/>
      <c r="J193" s="30" t="s">
        <v>47</v>
      </c>
    </row>
    <row r="194">
      <c r="A194" s="102">
        <v>779948.0</v>
      </c>
      <c r="B194" s="103">
        <v>44253.0</v>
      </c>
      <c r="C194" s="104" t="s">
        <v>37</v>
      </c>
      <c r="D194" s="29" t="s">
        <v>1312</v>
      </c>
      <c r="E194" s="30" t="s">
        <v>45</v>
      </c>
      <c r="F194" s="30" t="s">
        <v>75</v>
      </c>
      <c r="G194" s="31"/>
      <c r="H194" s="30" t="s">
        <v>47</v>
      </c>
      <c r="I194" s="31"/>
      <c r="J194" s="30" t="s">
        <v>47</v>
      </c>
    </row>
    <row r="195">
      <c r="A195" s="102">
        <v>2323640.0</v>
      </c>
      <c r="B195" s="103">
        <v>44253.0</v>
      </c>
      <c r="C195" s="104" t="s">
        <v>37</v>
      </c>
      <c r="D195" s="29" t="s">
        <v>1313</v>
      </c>
      <c r="E195" s="30" t="s">
        <v>45</v>
      </c>
      <c r="F195" s="30" t="s">
        <v>75</v>
      </c>
      <c r="G195" s="31"/>
      <c r="H195" s="30" t="s">
        <v>47</v>
      </c>
      <c r="I195" s="31"/>
      <c r="J195" s="30" t="s">
        <v>47</v>
      </c>
    </row>
    <row r="196">
      <c r="A196" s="102">
        <v>1081276.0</v>
      </c>
      <c r="B196" s="103">
        <v>44253.0</v>
      </c>
      <c r="C196" s="104" t="s">
        <v>37</v>
      </c>
      <c r="D196" s="29" t="s">
        <v>1314</v>
      </c>
      <c r="E196" s="30" t="s">
        <v>45</v>
      </c>
      <c r="F196" s="30" t="s">
        <v>75</v>
      </c>
      <c r="G196" s="31"/>
      <c r="H196" s="30" t="s">
        <v>47</v>
      </c>
      <c r="I196" s="31"/>
      <c r="J196" s="30" t="s">
        <v>47</v>
      </c>
    </row>
    <row r="197">
      <c r="A197" s="102">
        <v>315666.0</v>
      </c>
      <c r="B197" s="103">
        <v>44253.0</v>
      </c>
      <c r="C197" s="104" t="s">
        <v>37</v>
      </c>
      <c r="D197" s="29" t="s">
        <v>1315</v>
      </c>
      <c r="E197" s="30" t="s">
        <v>45</v>
      </c>
      <c r="F197" s="30" t="s">
        <v>75</v>
      </c>
      <c r="G197" s="31"/>
      <c r="H197" s="30" t="s">
        <v>47</v>
      </c>
      <c r="I197" s="31"/>
      <c r="J197" s="30" t="s">
        <v>47</v>
      </c>
    </row>
    <row r="198">
      <c r="A198" s="102">
        <v>18573.0</v>
      </c>
      <c r="B198" s="103">
        <v>44253.0</v>
      </c>
      <c r="C198" s="104" t="s">
        <v>37</v>
      </c>
      <c r="D198" s="29" t="s">
        <v>1316</v>
      </c>
      <c r="E198" s="30" t="s">
        <v>45</v>
      </c>
      <c r="F198" s="30" t="s">
        <v>75</v>
      </c>
      <c r="G198" s="31">
        <v>164400.0</v>
      </c>
      <c r="H198" s="30" t="s">
        <v>1317</v>
      </c>
      <c r="I198" s="31"/>
      <c r="J198" s="30" t="s">
        <v>47</v>
      </c>
    </row>
    <row r="199">
      <c r="A199" s="102">
        <v>631746.0</v>
      </c>
      <c r="B199" s="103">
        <v>44253.0</v>
      </c>
      <c r="C199" s="104" t="s">
        <v>37</v>
      </c>
      <c r="D199" s="29" t="s">
        <v>1318</v>
      </c>
      <c r="E199" s="30" t="s">
        <v>45</v>
      </c>
      <c r="F199" s="30" t="s">
        <v>75</v>
      </c>
      <c r="G199" s="31"/>
      <c r="H199" s="30" t="s">
        <v>47</v>
      </c>
      <c r="I199" s="31"/>
      <c r="J199" s="30" t="s">
        <v>47</v>
      </c>
    </row>
    <row r="200">
      <c r="A200" s="102">
        <v>2237748.0</v>
      </c>
      <c r="B200" s="103">
        <v>44253.0</v>
      </c>
      <c r="C200" s="104" t="s">
        <v>37</v>
      </c>
      <c r="D200" s="29" t="s">
        <v>1319</v>
      </c>
      <c r="E200" s="30" t="s">
        <v>45</v>
      </c>
      <c r="F200" s="30" t="s">
        <v>75</v>
      </c>
      <c r="G200" s="31">
        <v>1414996.0</v>
      </c>
      <c r="H200" s="30" t="s">
        <v>1320</v>
      </c>
      <c r="I200" s="31"/>
      <c r="J200" s="30" t="s">
        <v>47</v>
      </c>
    </row>
    <row r="201">
      <c r="A201" s="102">
        <v>1138176.0</v>
      </c>
      <c r="B201" s="103">
        <v>44253.0</v>
      </c>
      <c r="C201" s="104" t="s">
        <v>37</v>
      </c>
      <c r="D201" s="29" t="s">
        <v>1321</v>
      </c>
      <c r="E201" s="30" t="s">
        <v>45</v>
      </c>
      <c r="F201" s="30" t="s">
        <v>75</v>
      </c>
      <c r="G201" s="31"/>
      <c r="H201" s="30" t="s">
        <v>47</v>
      </c>
      <c r="I201" s="31"/>
      <c r="J201" s="30" t="s">
        <v>47</v>
      </c>
    </row>
    <row r="202">
      <c r="A202" s="102">
        <v>692964.0</v>
      </c>
      <c r="B202" s="103">
        <v>44253.0</v>
      </c>
      <c r="C202" s="104" t="s">
        <v>37</v>
      </c>
      <c r="D202" s="29" t="s">
        <v>1322</v>
      </c>
      <c r="E202" s="30" t="s">
        <v>105</v>
      </c>
      <c r="F202" s="30" t="s">
        <v>106</v>
      </c>
      <c r="G202" s="31">
        <v>1832808.0</v>
      </c>
      <c r="H202" s="30" t="s">
        <v>1323</v>
      </c>
      <c r="I202" s="31">
        <v>2258750.0</v>
      </c>
      <c r="J202" s="30" t="s">
        <v>1324</v>
      </c>
    </row>
    <row r="203">
      <c r="A203" s="102">
        <v>626052.0</v>
      </c>
      <c r="B203" s="103">
        <v>44253.0</v>
      </c>
      <c r="C203" s="104" t="s">
        <v>37</v>
      </c>
      <c r="D203" s="29" t="s">
        <v>1325</v>
      </c>
      <c r="E203" s="30" t="s">
        <v>58</v>
      </c>
      <c r="F203" s="30" t="s">
        <v>59</v>
      </c>
      <c r="G203" s="31">
        <v>613626.0</v>
      </c>
      <c r="H203" s="30" t="s">
        <v>1326</v>
      </c>
      <c r="I203" s="31"/>
      <c r="J203" s="30" t="s">
        <v>47</v>
      </c>
    </row>
    <row r="204">
      <c r="A204" s="102">
        <v>739926.0</v>
      </c>
      <c r="B204" s="103">
        <v>44253.0</v>
      </c>
      <c r="C204" s="104" t="s">
        <v>37</v>
      </c>
      <c r="D204" s="29" t="s">
        <v>1327</v>
      </c>
      <c r="E204" s="30" t="s">
        <v>39</v>
      </c>
      <c r="F204" s="30" t="s">
        <v>214</v>
      </c>
      <c r="G204" s="31"/>
      <c r="H204" s="30" t="s">
        <v>47</v>
      </c>
      <c r="I204" s="31"/>
      <c r="J204" s="30" t="s">
        <v>47</v>
      </c>
    </row>
    <row r="205">
      <c r="A205" s="102">
        <v>597768.0</v>
      </c>
      <c r="B205" s="103">
        <v>44253.0</v>
      </c>
      <c r="C205" s="104" t="s">
        <v>37</v>
      </c>
      <c r="D205" s="29" t="s">
        <v>1328</v>
      </c>
      <c r="E205" s="30" t="s">
        <v>83</v>
      </c>
      <c r="F205" s="30" t="s">
        <v>84</v>
      </c>
      <c r="G205" s="31">
        <v>328386.0</v>
      </c>
      <c r="H205" s="30" t="s">
        <v>1329</v>
      </c>
      <c r="I205" s="31">
        <v>613946.0</v>
      </c>
      <c r="J205" s="30" t="s">
        <v>1330</v>
      </c>
    </row>
    <row r="206">
      <c r="A206" s="102">
        <v>1380000.0</v>
      </c>
      <c r="B206" s="103">
        <v>44253.0</v>
      </c>
      <c r="C206" s="104" t="s">
        <v>187</v>
      </c>
      <c r="D206" s="29" t="s">
        <v>1331</v>
      </c>
      <c r="E206" s="30" t="s">
        <v>39</v>
      </c>
      <c r="F206" s="30" t="s">
        <v>54</v>
      </c>
      <c r="G206" s="31"/>
      <c r="H206" s="30" t="s">
        <v>47</v>
      </c>
      <c r="I206" s="31"/>
      <c r="J206" s="30" t="s">
        <v>47</v>
      </c>
    </row>
    <row r="207">
      <c r="A207" s="102">
        <v>2246870.0</v>
      </c>
      <c r="B207" s="103">
        <v>44253.0</v>
      </c>
      <c r="C207" s="104" t="s">
        <v>43</v>
      </c>
      <c r="D207" s="29" t="s">
        <v>1332</v>
      </c>
      <c r="E207" s="30" t="s">
        <v>83</v>
      </c>
      <c r="F207" s="30" t="s">
        <v>153</v>
      </c>
      <c r="G207" s="31">
        <v>1654366.0</v>
      </c>
      <c r="H207" s="30" t="s">
        <v>1333</v>
      </c>
      <c r="I207" s="31">
        <v>2569532.0</v>
      </c>
      <c r="J207" s="30" t="s">
        <v>1334</v>
      </c>
    </row>
    <row r="208">
      <c r="A208" s="102">
        <v>1876906.0</v>
      </c>
      <c r="B208" s="103">
        <v>44253.0</v>
      </c>
      <c r="C208" s="104" t="s">
        <v>187</v>
      </c>
      <c r="D208" s="29" t="s">
        <v>1335</v>
      </c>
      <c r="E208" s="30" t="s">
        <v>58</v>
      </c>
      <c r="F208" s="30" t="s">
        <v>86</v>
      </c>
      <c r="G208" s="31">
        <v>1597448.0</v>
      </c>
      <c r="H208" s="30" t="s">
        <v>1336</v>
      </c>
      <c r="I208" s="31"/>
      <c r="J208" s="30" t="s">
        <v>47</v>
      </c>
    </row>
    <row r="209">
      <c r="A209" s="102">
        <v>2196052.0</v>
      </c>
      <c r="B209" s="103">
        <v>44253.0</v>
      </c>
      <c r="C209" s="104" t="s">
        <v>70</v>
      </c>
      <c r="D209" s="29" t="s">
        <v>1337</v>
      </c>
      <c r="E209" s="30" t="s">
        <v>79</v>
      </c>
      <c r="F209" s="30" t="s">
        <v>184</v>
      </c>
      <c r="G209" s="31"/>
      <c r="H209" s="30" t="s">
        <v>47</v>
      </c>
      <c r="I209" s="31"/>
      <c r="J209" s="30" t="s">
        <v>47</v>
      </c>
    </row>
    <row r="210">
      <c r="A210" s="102">
        <v>844176.0</v>
      </c>
      <c r="B210" s="103">
        <v>44253.0</v>
      </c>
      <c r="C210" s="104" t="s">
        <v>70</v>
      </c>
      <c r="D210" s="29" t="s">
        <v>1338</v>
      </c>
      <c r="E210" s="30" t="s">
        <v>45</v>
      </c>
      <c r="F210" s="30" t="s">
        <v>75</v>
      </c>
      <c r="G210" s="31"/>
      <c r="H210" s="30" t="s">
        <v>47</v>
      </c>
      <c r="I210" s="31"/>
      <c r="J210" s="30" t="s">
        <v>47</v>
      </c>
    </row>
    <row r="211">
      <c r="A211" s="102">
        <v>1897416.0</v>
      </c>
      <c r="B211" s="103">
        <v>44253.0</v>
      </c>
      <c r="C211" s="104" t="s">
        <v>187</v>
      </c>
      <c r="D211" s="29" t="s">
        <v>1339</v>
      </c>
      <c r="E211" s="30" t="s">
        <v>58</v>
      </c>
      <c r="F211" s="30" t="s">
        <v>86</v>
      </c>
      <c r="G211" s="31"/>
      <c r="H211" s="30" t="s">
        <v>47</v>
      </c>
      <c r="I211" s="31"/>
      <c r="J211" s="30" t="s">
        <v>47</v>
      </c>
    </row>
    <row r="212">
      <c r="A212" s="102">
        <v>1888514.0</v>
      </c>
      <c r="B212" s="103">
        <v>44253.0</v>
      </c>
      <c r="C212" s="104" t="s">
        <v>187</v>
      </c>
      <c r="D212" s="29" t="s">
        <v>1340</v>
      </c>
      <c r="E212" s="30" t="s">
        <v>58</v>
      </c>
      <c r="F212" s="30" t="s">
        <v>86</v>
      </c>
      <c r="G212" s="31"/>
      <c r="H212" s="30" t="s">
        <v>47</v>
      </c>
      <c r="I212" s="31"/>
      <c r="J212" s="30" t="s">
        <v>47</v>
      </c>
    </row>
    <row r="213">
      <c r="A213" s="102">
        <v>2136260.0</v>
      </c>
      <c r="B213" s="103">
        <v>44253.0</v>
      </c>
      <c r="C213" s="104" t="s">
        <v>187</v>
      </c>
      <c r="D213" s="29" t="s">
        <v>1341</v>
      </c>
      <c r="E213" s="30" t="s">
        <v>39</v>
      </c>
      <c r="F213" s="30" t="s">
        <v>140</v>
      </c>
      <c r="G213" s="31">
        <v>1312406.0</v>
      </c>
      <c r="H213" s="30" t="s">
        <v>1342</v>
      </c>
      <c r="I213" s="31"/>
      <c r="J213" s="30" t="s">
        <v>47</v>
      </c>
    </row>
    <row r="214">
      <c r="A214" s="102">
        <v>2284600.0</v>
      </c>
      <c r="B214" s="103">
        <v>44253.0</v>
      </c>
      <c r="C214" s="104" t="s">
        <v>37</v>
      </c>
      <c r="D214" s="29" t="s">
        <v>1343</v>
      </c>
      <c r="E214" s="30" t="s">
        <v>58</v>
      </c>
      <c r="F214" s="30" t="s">
        <v>161</v>
      </c>
      <c r="G214" s="31"/>
      <c r="H214" s="30" t="s">
        <v>47</v>
      </c>
      <c r="I214" s="31"/>
      <c r="J214" s="30" t="s">
        <v>47</v>
      </c>
    </row>
    <row r="215">
      <c r="A215" s="102">
        <v>1964340.0</v>
      </c>
      <c r="B215" s="103">
        <v>44253.0</v>
      </c>
      <c r="C215" s="104" t="s">
        <v>43</v>
      </c>
      <c r="D215" s="29" t="s">
        <v>1344</v>
      </c>
      <c r="E215" s="30" t="s">
        <v>45</v>
      </c>
      <c r="F215" s="30" t="s">
        <v>90</v>
      </c>
      <c r="G215" s="31"/>
      <c r="H215" s="30" t="s">
        <v>47</v>
      </c>
      <c r="I215" s="31"/>
      <c r="J215" s="30" t="s">
        <v>47</v>
      </c>
    </row>
    <row r="216">
      <c r="A216" s="102">
        <v>918390.0</v>
      </c>
      <c r="B216" s="103">
        <v>44253.0</v>
      </c>
      <c r="C216" s="104" t="s">
        <v>37</v>
      </c>
      <c r="D216" s="29" t="s">
        <v>1345</v>
      </c>
      <c r="E216" s="30" t="s">
        <v>63</v>
      </c>
      <c r="F216" s="30" t="s">
        <v>258</v>
      </c>
      <c r="G216" s="31"/>
      <c r="H216" s="30" t="s">
        <v>47</v>
      </c>
      <c r="I216" s="31"/>
      <c r="J216" s="30" t="s">
        <v>47</v>
      </c>
    </row>
    <row r="217">
      <c r="A217" s="102">
        <v>2678116.0</v>
      </c>
      <c r="B217" s="103">
        <v>44253.0</v>
      </c>
      <c r="C217" s="104" t="s">
        <v>43</v>
      </c>
      <c r="D217" s="29" t="s">
        <v>1346</v>
      </c>
      <c r="E217" s="30" t="s">
        <v>63</v>
      </c>
      <c r="F217" s="30" t="s">
        <v>64</v>
      </c>
      <c r="G217" s="31"/>
      <c r="H217" s="30" t="s">
        <v>47</v>
      </c>
      <c r="I217" s="31"/>
      <c r="J217" s="30" t="s">
        <v>47</v>
      </c>
    </row>
    <row r="218">
      <c r="A218" s="102">
        <v>1059508.0</v>
      </c>
      <c r="B218" s="103">
        <v>44253.0</v>
      </c>
      <c r="C218" s="104" t="s">
        <v>43</v>
      </c>
      <c r="D218" s="29" t="s">
        <v>1347</v>
      </c>
      <c r="E218" s="30" t="s">
        <v>45</v>
      </c>
      <c r="F218" s="30" t="s">
        <v>90</v>
      </c>
      <c r="G218" s="31"/>
      <c r="H218" s="30" t="s">
        <v>47</v>
      </c>
      <c r="I218" s="31"/>
      <c r="J218" s="30" t="s">
        <v>47</v>
      </c>
    </row>
    <row r="219">
      <c r="A219" s="102">
        <v>825684.0</v>
      </c>
      <c r="B219" s="103">
        <v>44253.0</v>
      </c>
      <c r="C219" s="104" t="s">
        <v>37</v>
      </c>
      <c r="D219" s="29" t="s">
        <v>1348</v>
      </c>
      <c r="E219" s="30" t="s">
        <v>63</v>
      </c>
      <c r="F219" s="30" t="s">
        <v>258</v>
      </c>
      <c r="G219" s="31">
        <v>1754098.0</v>
      </c>
      <c r="H219" s="30" t="s">
        <v>1349</v>
      </c>
      <c r="I219" s="31"/>
      <c r="J219" s="30" t="s">
        <v>47</v>
      </c>
    </row>
    <row r="220">
      <c r="A220" s="105">
        <v>1715338.0</v>
      </c>
      <c r="B220" s="103">
        <v>44253.0</v>
      </c>
      <c r="C220" s="104" t="s">
        <v>37</v>
      </c>
      <c r="D220" s="29" t="s">
        <v>1350</v>
      </c>
      <c r="E220" s="30" t="s">
        <v>45</v>
      </c>
      <c r="F220" s="30" t="s">
        <v>75</v>
      </c>
      <c r="G220" s="31"/>
      <c r="H220" s="30" t="s">
        <v>47</v>
      </c>
      <c r="I220" s="31"/>
      <c r="J220" s="30" t="s">
        <v>47</v>
      </c>
    </row>
    <row r="221">
      <c r="A221" s="106">
        <v>28304.0</v>
      </c>
      <c r="B221" s="103">
        <v>44253.0</v>
      </c>
      <c r="C221" s="104" t="s">
        <v>37</v>
      </c>
      <c r="D221" s="29" t="s">
        <v>1351</v>
      </c>
      <c r="E221" s="30" t="s">
        <v>45</v>
      </c>
      <c r="F221" s="30" t="s">
        <v>172</v>
      </c>
      <c r="G221" s="31">
        <v>35795.0</v>
      </c>
      <c r="H221" s="30" t="s">
        <v>1352</v>
      </c>
      <c r="I221" s="31"/>
      <c r="J221" s="30" t="s">
        <v>47</v>
      </c>
    </row>
    <row r="222">
      <c r="A222" s="107">
        <v>640428.0</v>
      </c>
      <c r="B222" s="103">
        <v>44253.0</v>
      </c>
      <c r="C222" s="104" t="s">
        <v>37</v>
      </c>
      <c r="D222" s="29" t="s">
        <v>1353</v>
      </c>
      <c r="E222" s="30" t="s">
        <v>105</v>
      </c>
      <c r="F222" s="30" t="s">
        <v>198</v>
      </c>
      <c r="G222" s="31">
        <v>502138.0</v>
      </c>
      <c r="H222" s="30" t="s">
        <v>1354</v>
      </c>
      <c r="I222" s="31"/>
      <c r="J222" s="30" t="s">
        <v>47</v>
      </c>
    </row>
    <row r="223">
      <c r="A223" s="107">
        <v>48414.0</v>
      </c>
      <c r="B223" s="103">
        <v>44253.0</v>
      </c>
      <c r="C223" s="104" t="s">
        <v>37</v>
      </c>
      <c r="D223" s="29" t="s">
        <v>1355</v>
      </c>
      <c r="E223" s="30" t="s">
        <v>105</v>
      </c>
      <c r="F223" s="30" t="s">
        <v>106</v>
      </c>
      <c r="G223" s="31">
        <v>1271196.0</v>
      </c>
      <c r="H223" s="30" t="s">
        <v>1280</v>
      </c>
      <c r="I223" s="31"/>
      <c r="J223" s="30" t="s">
        <v>47</v>
      </c>
    </row>
    <row r="224">
      <c r="A224" s="107">
        <v>904500.0</v>
      </c>
      <c r="B224" s="103">
        <v>44253.0</v>
      </c>
      <c r="C224" s="104" t="s">
        <v>37</v>
      </c>
      <c r="D224" s="29" t="s">
        <v>1356</v>
      </c>
      <c r="E224" s="30" t="s">
        <v>83</v>
      </c>
      <c r="F224" s="30" t="s">
        <v>330</v>
      </c>
      <c r="G224" s="31"/>
      <c r="H224" s="30" t="s">
        <v>47</v>
      </c>
      <c r="I224" s="31"/>
      <c r="J224" s="30" t="s">
        <v>47</v>
      </c>
    </row>
    <row r="225">
      <c r="A225" s="107">
        <v>329726.0</v>
      </c>
      <c r="B225" s="103">
        <v>44253.0</v>
      </c>
      <c r="C225" s="104" t="s">
        <v>37</v>
      </c>
      <c r="D225" s="29" t="s">
        <v>1357</v>
      </c>
      <c r="E225" s="30" t="s">
        <v>58</v>
      </c>
      <c r="F225" s="30" t="s">
        <v>161</v>
      </c>
      <c r="G225" s="31">
        <v>1462428.0</v>
      </c>
      <c r="H225" s="30" t="s">
        <v>1358</v>
      </c>
      <c r="I225" s="31">
        <v>1548846.0</v>
      </c>
      <c r="J225" s="30" t="s">
        <v>1359</v>
      </c>
    </row>
    <row r="226">
      <c r="A226" s="107">
        <v>835234.0</v>
      </c>
      <c r="B226" s="103">
        <v>44253.0</v>
      </c>
      <c r="C226" s="104" t="s">
        <v>43</v>
      </c>
      <c r="D226" s="29" t="s">
        <v>1360</v>
      </c>
      <c r="E226" s="30" t="s">
        <v>39</v>
      </c>
      <c r="F226" s="30" t="s">
        <v>140</v>
      </c>
      <c r="G226" s="31">
        <v>1694986.0</v>
      </c>
      <c r="H226" s="30" t="s">
        <v>1361</v>
      </c>
      <c r="I226" s="31"/>
      <c r="J226" s="30" t="s">
        <v>47</v>
      </c>
    </row>
    <row r="227">
      <c r="A227" s="107">
        <v>3732336.0</v>
      </c>
      <c r="B227" s="103">
        <v>44266.0</v>
      </c>
      <c r="C227" s="104" t="s">
        <v>37</v>
      </c>
      <c r="D227" s="29" t="s">
        <v>1362</v>
      </c>
      <c r="E227" s="30" t="s">
        <v>45</v>
      </c>
      <c r="F227" s="30" t="s">
        <v>75</v>
      </c>
      <c r="G227" s="31"/>
      <c r="H227" s="30" t="s">
        <v>47</v>
      </c>
      <c r="I227" s="31"/>
      <c r="J227" s="30" t="s">
        <v>47</v>
      </c>
    </row>
    <row r="228">
      <c r="A228" s="108">
        <v>2066127.0</v>
      </c>
      <c r="B228" s="103">
        <v>44270.0</v>
      </c>
      <c r="C228" s="104" t="s">
        <v>37</v>
      </c>
      <c r="D228" s="29" t="s">
        <v>1363</v>
      </c>
      <c r="E228" s="30" t="s">
        <v>96</v>
      </c>
      <c r="F228" s="30" t="s">
        <v>109</v>
      </c>
      <c r="G228" s="31">
        <v>2076630.0</v>
      </c>
      <c r="H228" s="30" t="s">
        <v>1364</v>
      </c>
      <c r="I228" s="31"/>
      <c r="J228" s="30" t="s">
        <v>47</v>
      </c>
    </row>
    <row r="229">
      <c r="A229" s="109">
        <v>1081670.0</v>
      </c>
      <c r="B229" s="103">
        <v>44277.0</v>
      </c>
      <c r="C229" s="104" t="s">
        <v>37</v>
      </c>
      <c r="D229" s="29" t="s">
        <v>1365</v>
      </c>
      <c r="E229" s="30" t="s">
        <v>45</v>
      </c>
      <c r="F229" s="30" t="s">
        <v>46</v>
      </c>
      <c r="G229" s="31"/>
      <c r="H229" s="30" t="s">
        <v>47</v>
      </c>
      <c r="I229" s="31"/>
      <c r="J229" s="30" t="s">
        <v>47</v>
      </c>
    </row>
    <row r="230">
      <c r="A230" s="110">
        <v>687466.0</v>
      </c>
      <c r="B230" s="103">
        <v>44277.0</v>
      </c>
      <c r="C230" s="104" t="s">
        <v>37</v>
      </c>
      <c r="D230" s="29" t="s">
        <v>1366</v>
      </c>
      <c r="E230" s="30" t="s">
        <v>39</v>
      </c>
      <c r="F230" s="30" t="s">
        <v>140</v>
      </c>
      <c r="G230" s="31"/>
      <c r="H230" s="30" t="s">
        <v>47</v>
      </c>
      <c r="I230" s="31"/>
      <c r="J230" s="30" t="s">
        <v>47</v>
      </c>
    </row>
    <row r="231">
      <c r="A231" s="108">
        <v>2173750.0</v>
      </c>
      <c r="B231" s="103">
        <v>44280.0</v>
      </c>
      <c r="C231" s="104" t="s">
        <v>37</v>
      </c>
      <c r="D231" s="29" t="s">
        <v>1367</v>
      </c>
      <c r="E231" s="30" t="s">
        <v>39</v>
      </c>
      <c r="F231" s="30" t="s">
        <v>241</v>
      </c>
      <c r="G231" s="31">
        <v>258316.0</v>
      </c>
      <c r="H231" s="30" t="s">
        <v>1368</v>
      </c>
      <c r="I231" s="31">
        <v>1178124.0</v>
      </c>
      <c r="J231" s="30" t="s">
        <v>1369</v>
      </c>
    </row>
    <row r="232">
      <c r="A232" s="109">
        <v>3184782.0</v>
      </c>
      <c r="B232" s="103">
        <v>44280.0</v>
      </c>
      <c r="C232" s="104" t="s">
        <v>37</v>
      </c>
      <c r="D232" s="29" t="s">
        <v>1370</v>
      </c>
      <c r="E232" s="30" t="s">
        <v>101</v>
      </c>
      <c r="F232" s="30" t="s">
        <v>102</v>
      </c>
      <c r="G232" s="31"/>
      <c r="H232" s="30" t="s">
        <v>47</v>
      </c>
      <c r="I232" s="31"/>
      <c r="J232" s="30" t="s">
        <v>47</v>
      </c>
    </row>
    <row r="233">
      <c r="A233" s="109">
        <v>3613380.0</v>
      </c>
      <c r="B233" s="103">
        <v>44280.0</v>
      </c>
      <c r="C233" s="104" t="s">
        <v>37</v>
      </c>
      <c r="D233" s="29" t="s">
        <v>1371</v>
      </c>
      <c r="E233" s="30" t="s">
        <v>45</v>
      </c>
      <c r="F233" s="30" t="s">
        <v>75</v>
      </c>
      <c r="G233" s="31">
        <v>3529818.0</v>
      </c>
      <c r="H233" s="30" t="s">
        <v>1372</v>
      </c>
      <c r="I233" s="31">
        <v>3824326.0</v>
      </c>
      <c r="J233" s="30" t="s">
        <v>1373</v>
      </c>
    </row>
    <row r="234">
      <c r="A234" s="109">
        <v>3549576.0</v>
      </c>
      <c r="B234" s="103">
        <v>44280.0</v>
      </c>
      <c r="C234" s="104" t="s">
        <v>37</v>
      </c>
      <c r="D234" s="29" t="s">
        <v>1374</v>
      </c>
      <c r="E234" s="30" t="s">
        <v>45</v>
      </c>
      <c r="F234" s="30" t="s">
        <v>75</v>
      </c>
      <c r="G234" s="31">
        <v>3279690.0</v>
      </c>
      <c r="H234" s="30" t="s">
        <v>1375</v>
      </c>
      <c r="I234" s="31">
        <v>3544070.0</v>
      </c>
      <c r="J234" s="30" t="s">
        <v>1376</v>
      </c>
    </row>
    <row r="235">
      <c r="A235" s="109">
        <v>3646143.0</v>
      </c>
      <c r="B235" s="103">
        <v>44280.0</v>
      </c>
      <c r="C235" s="104" t="s">
        <v>37</v>
      </c>
      <c r="D235" s="29" t="s">
        <v>1377</v>
      </c>
      <c r="E235" s="30" t="s">
        <v>101</v>
      </c>
      <c r="F235" s="30" t="s">
        <v>203</v>
      </c>
      <c r="G235" s="31"/>
      <c r="H235" s="30" t="s">
        <v>47</v>
      </c>
      <c r="I235" s="31"/>
      <c r="J235" s="30" t="s">
        <v>47</v>
      </c>
    </row>
    <row r="236">
      <c r="A236" s="110">
        <v>2870278.0</v>
      </c>
      <c r="B236" s="103">
        <v>44285.0</v>
      </c>
      <c r="C236" s="104" t="s">
        <v>70</v>
      </c>
      <c r="D236" s="29" t="s">
        <v>1378</v>
      </c>
      <c r="E236" s="30" t="s">
        <v>83</v>
      </c>
      <c r="F236" s="30" t="s">
        <v>147</v>
      </c>
      <c r="G236" s="31"/>
      <c r="H236" s="30"/>
      <c r="I236" s="31"/>
      <c r="J236" s="30"/>
    </row>
    <row r="237">
      <c r="A237" s="111">
        <v>1583340.0</v>
      </c>
      <c r="B237" s="103">
        <v>44286.0</v>
      </c>
      <c r="C237" s="112" t="s">
        <v>142</v>
      </c>
      <c r="D237" s="29" t="s">
        <v>1379</v>
      </c>
      <c r="E237" s="30" t="s">
        <v>39</v>
      </c>
      <c r="F237" s="30" t="s">
        <v>140</v>
      </c>
      <c r="G237" s="31">
        <v>1565094.0</v>
      </c>
      <c r="H237" s="30" t="s">
        <v>1380</v>
      </c>
      <c r="I237" s="31"/>
      <c r="J237" s="30" t="s">
        <v>47</v>
      </c>
    </row>
    <row r="238">
      <c r="A238" s="108">
        <v>879532.0</v>
      </c>
      <c r="B238" s="103">
        <v>44286.0</v>
      </c>
      <c r="C238" s="112" t="s">
        <v>37</v>
      </c>
      <c r="D238" s="29" t="s">
        <v>1381</v>
      </c>
      <c r="E238" s="30" t="s">
        <v>105</v>
      </c>
      <c r="F238" s="30" t="s">
        <v>106</v>
      </c>
      <c r="G238" s="31">
        <v>1937920.0</v>
      </c>
      <c r="H238" s="30" t="s">
        <v>1382</v>
      </c>
      <c r="I238" s="31"/>
      <c r="J238" s="30" t="s">
        <v>47</v>
      </c>
    </row>
    <row r="239">
      <c r="A239" s="108">
        <v>713676.0</v>
      </c>
      <c r="B239" s="103">
        <v>44286.0</v>
      </c>
      <c r="C239" s="112" t="s">
        <v>37</v>
      </c>
      <c r="D239" s="29" t="s">
        <v>1383</v>
      </c>
      <c r="E239" s="30" t="s">
        <v>58</v>
      </c>
      <c r="F239" s="30" t="s">
        <v>86</v>
      </c>
      <c r="G239" s="31">
        <v>1654314.0</v>
      </c>
      <c r="H239" s="30" t="s">
        <v>1384</v>
      </c>
      <c r="I239" s="31">
        <v>2110978.0</v>
      </c>
      <c r="J239" s="30" t="s">
        <v>1385</v>
      </c>
    </row>
    <row r="240">
      <c r="A240" s="108">
        <v>1400908.0</v>
      </c>
      <c r="B240" s="103">
        <v>44286.0</v>
      </c>
      <c r="C240" s="112" t="s">
        <v>37</v>
      </c>
      <c r="D240" s="29" t="s">
        <v>1386</v>
      </c>
      <c r="E240" s="30" t="s">
        <v>83</v>
      </c>
      <c r="F240" s="30" t="s">
        <v>153</v>
      </c>
      <c r="G240" s="31"/>
      <c r="H240" s="30" t="s">
        <v>47</v>
      </c>
      <c r="I240" s="31"/>
      <c r="J240" s="30" t="s">
        <v>47</v>
      </c>
    </row>
    <row r="241">
      <c r="A241" s="108">
        <v>2147662.0</v>
      </c>
      <c r="B241" s="103">
        <v>44286.0</v>
      </c>
      <c r="C241" s="112" t="s">
        <v>142</v>
      </c>
      <c r="D241" s="29" t="s">
        <v>1387</v>
      </c>
      <c r="E241" s="30" t="s">
        <v>45</v>
      </c>
      <c r="F241" s="30" t="s">
        <v>46</v>
      </c>
      <c r="G241" s="31"/>
      <c r="H241" s="30" t="s">
        <v>47</v>
      </c>
      <c r="I241" s="31"/>
      <c r="J241" s="30" t="s">
        <v>47</v>
      </c>
    </row>
    <row r="242">
      <c r="A242" s="108">
        <v>1079792.0</v>
      </c>
      <c r="B242" s="103">
        <v>44286.0</v>
      </c>
      <c r="C242" s="112" t="s">
        <v>37</v>
      </c>
      <c r="D242" s="29" t="s">
        <v>1388</v>
      </c>
      <c r="E242" s="30" t="s">
        <v>63</v>
      </c>
      <c r="F242" s="30" t="s">
        <v>64</v>
      </c>
      <c r="G242" s="31"/>
      <c r="H242" s="30" t="s">
        <v>47</v>
      </c>
      <c r="I242" s="31"/>
      <c r="J242" s="30" t="s">
        <v>47</v>
      </c>
    </row>
    <row r="243">
      <c r="A243" s="108">
        <v>373208.0</v>
      </c>
      <c r="B243" s="103">
        <v>44286.0</v>
      </c>
      <c r="C243" s="112" t="s">
        <v>142</v>
      </c>
      <c r="D243" s="29" t="s">
        <v>1389</v>
      </c>
      <c r="E243" s="30" t="s">
        <v>39</v>
      </c>
      <c r="F243" s="30" t="s">
        <v>214</v>
      </c>
      <c r="G243" s="31">
        <v>2365286.0</v>
      </c>
      <c r="H243" s="30" t="s">
        <v>1390</v>
      </c>
      <c r="I243" s="31"/>
      <c r="J243" s="30" t="s">
        <v>47</v>
      </c>
    </row>
    <row r="244">
      <c r="A244" s="108">
        <v>918746.0</v>
      </c>
      <c r="B244" s="103">
        <v>44286.0</v>
      </c>
      <c r="C244" s="112" t="s">
        <v>37</v>
      </c>
      <c r="D244" s="29" t="s">
        <v>1391</v>
      </c>
      <c r="E244" s="30" t="s">
        <v>45</v>
      </c>
      <c r="F244" s="30" t="s">
        <v>75</v>
      </c>
      <c r="G244" s="31"/>
      <c r="H244" s="30" t="s">
        <v>47</v>
      </c>
      <c r="I244" s="31"/>
      <c r="J244" s="30" t="s">
        <v>47</v>
      </c>
    </row>
    <row r="245">
      <c r="A245" s="108">
        <v>2602940.0</v>
      </c>
      <c r="B245" s="103">
        <v>44286.0</v>
      </c>
      <c r="C245" s="112" t="s">
        <v>187</v>
      </c>
      <c r="D245" s="29" t="s">
        <v>1392</v>
      </c>
      <c r="E245" s="30" t="s">
        <v>39</v>
      </c>
      <c r="F245" s="30" t="s">
        <v>140</v>
      </c>
      <c r="G245" s="31"/>
      <c r="H245" s="30" t="s">
        <v>47</v>
      </c>
      <c r="I245" s="31"/>
      <c r="J245" s="30" t="s">
        <v>47</v>
      </c>
    </row>
    <row r="246">
      <c r="A246" s="108">
        <v>442690.0</v>
      </c>
      <c r="B246" s="103">
        <v>44286.0</v>
      </c>
      <c r="C246" s="112" t="s">
        <v>37</v>
      </c>
      <c r="D246" s="29" t="s">
        <v>1393</v>
      </c>
      <c r="E246" s="30" t="s">
        <v>39</v>
      </c>
      <c r="F246" s="30" t="s">
        <v>214</v>
      </c>
      <c r="G246" s="31"/>
      <c r="H246" s="30" t="s">
        <v>47</v>
      </c>
      <c r="I246" s="31"/>
      <c r="J246" s="30" t="s">
        <v>47</v>
      </c>
    </row>
    <row r="247">
      <c r="A247" s="108">
        <v>367778.0</v>
      </c>
      <c r="B247" s="103">
        <v>44286.0</v>
      </c>
      <c r="C247" s="112" t="s">
        <v>37</v>
      </c>
      <c r="D247" s="29" t="s">
        <v>1394</v>
      </c>
      <c r="E247" s="30" t="s">
        <v>83</v>
      </c>
      <c r="F247" s="30" t="s">
        <v>94</v>
      </c>
      <c r="G247" s="31">
        <v>1460800.0</v>
      </c>
      <c r="H247" s="30" t="s">
        <v>1395</v>
      </c>
      <c r="I247" s="31">
        <v>1027180.0</v>
      </c>
      <c r="J247" s="30" t="s">
        <v>1396</v>
      </c>
    </row>
    <row r="248">
      <c r="A248" s="108">
        <v>1908046.0</v>
      </c>
      <c r="B248" s="103">
        <v>44286.0</v>
      </c>
      <c r="C248" s="112" t="s">
        <v>142</v>
      </c>
      <c r="D248" s="29" t="s">
        <v>1397</v>
      </c>
      <c r="E248" s="30" t="s">
        <v>189</v>
      </c>
      <c r="F248" s="30" t="s">
        <v>190</v>
      </c>
      <c r="G248" s="31">
        <v>1094318.0</v>
      </c>
      <c r="H248" s="30" t="s">
        <v>1398</v>
      </c>
      <c r="I248" s="31"/>
      <c r="J248" s="30" t="s">
        <v>47</v>
      </c>
    </row>
    <row r="249">
      <c r="A249" s="108">
        <v>1195806.0</v>
      </c>
      <c r="B249" s="103">
        <v>44286.0</v>
      </c>
      <c r="C249" s="112" t="s">
        <v>142</v>
      </c>
      <c r="D249" s="29" t="s">
        <v>1399</v>
      </c>
      <c r="E249" s="30" t="s">
        <v>83</v>
      </c>
      <c r="F249" s="30" t="s">
        <v>153</v>
      </c>
      <c r="G249" s="31"/>
      <c r="H249" s="30" t="s">
        <v>47</v>
      </c>
      <c r="I249" s="31"/>
      <c r="J249" s="30" t="s">
        <v>47</v>
      </c>
    </row>
    <row r="250">
      <c r="A250" s="108">
        <v>966692.0</v>
      </c>
      <c r="B250" s="103">
        <v>44286.0</v>
      </c>
      <c r="C250" s="112" t="s">
        <v>37</v>
      </c>
      <c r="D250" s="29" t="s">
        <v>1400</v>
      </c>
      <c r="E250" s="30" t="s">
        <v>39</v>
      </c>
      <c r="F250" s="30" t="s">
        <v>214</v>
      </c>
      <c r="G250" s="31"/>
      <c r="H250" s="30" t="s">
        <v>47</v>
      </c>
      <c r="I250" s="31"/>
      <c r="J250" s="30" t="s">
        <v>47</v>
      </c>
    </row>
    <row r="251">
      <c r="A251" s="108">
        <v>1692628.0</v>
      </c>
      <c r="B251" s="103">
        <v>44286.0</v>
      </c>
      <c r="C251" s="112" t="s">
        <v>187</v>
      </c>
      <c r="D251" s="29" t="s">
        <v>1401</v>
      </c>
      <c r="E251" s="30" t="s">
        <v>96</v>
      </c>
      <c r="F251" s="30" t="s">
        <v>352</v>
      </c>
      <c r="G251" s="31">
        <v>1227488.0</v>
      </c>
      <c r="H251" s="30" t="s">
        <v>1402</v>
      </c>
      <c r="I251" s="31"/>
      <c r="J251" s="30" t="s">
        <v>47</v>
      </c>
    </row>
    <row r="252">
      <c r="A252" s="108">
        <v>2801274.0</v>
      </c>
      <c r="B252" s="103">
        <v>44286.0</v>
      </c>
      <c r="C252" s="112" t="s">
        <v>187</v>
      </c>
      <c r="D252" s="29" t="s">
        <v>1403</v>
      </c>
      <c r="E252" s="30" t="s">
        <v>122</v>
      </c>
      <c r="F252" s="30" t="s">
        <v>127</v>
      </c>
      <c r="G252" s="31"/>
      <c r="H252" s="30" t="s">
        <v>47</v>
      </c>
      <c r="I252" s="31"/>
      <c r="J252" s="30" t="s">
        <v>47</v>
      </c>
    </row>
    <row r="253">
      <c r="A253" s="108">
        <v>1895736.0</v>
      </c>
      <c r="B253" s="103">
        <v>44286.0</v>
      </c>
      <c r="C253" s="112" t="s">
        <v>187</v>
      </c>
      <c r="D253" s="29" t="s">
        <v>1404</v>
      </c>
      <c r="E253" s="30" t="s">
        <v>45</v>
      </c>
      <c r="F253" s="30" t="s">
        <v>90</v>
      </c>
      <c r="G253" s="31"/>
      <c r="H253" s="30" t="s">
        <v>47</v>
      </c>
      <c r="I253" s="31"/>
      <c r="J253" s="30" t="s">
        <v>47</v>
      </c>
    </row>
    <row r="254">
      <c r="A254" s="108">
        <v>1694752.0</v>
      </c>
      <c r="B254" s="103">
        <v>44286.0</v>
      </c>
      <c r="C254" s="112" t="s">
        <v>43</v>
      </c>
      <c r="D254" s="29" t="s">
        <v>1405</v>
      </c>
      <c r="E254" s="30" t="s">
        <v>39</v>
      </c>
      <c r="F254" s="30" t="s">
        <v>140</v>
      </c>
      <c r="G254" s="31">
        <v>1755282.0</v>
      </c>
      <c r="H254" s="30" t="s">
        <v>1406</v>
      </c>
      <c r="I254" s="31">
        <v>2214354.0</v>
      </c>
      <c r="J254" s="30" t="s">
        <v>1407</v>
      </c>
    </row>
    <row r="255">
      <c r="A255" s="108">
        <v>1349548.0</v>
      </c>
      <c r="B255" s="103">
        <v>44286.0</v>
      </c>
      <c r="C255" s="112" t="s">
        <v>43</v>
      </c>
      <c r="D255" s="29" t="s">
        <v>1408</v>
      </c>
      <c r="E255" s="30" t="s">
        <v>39</v>
      </c>
      <c r="F255" s="30" t="s">
        <v>140</v>
      </c>
      <c r="G255" s="31">
        <v>1121284.0</v>
      </c>
      <c r="H255" s="30" t="s">
        <v>1409</v>
      </c>
      <c r="I255" s="31"/>
      <c r="J255" s="30" t="s">
        <v>47</v>
      </c>
    </row>
    <row r="256">
      <c r="A256" s="108">
        <v>1477828.0</v>
      </c>
      <c r="B256" s="103">
        <v>44286.0</v>
      </c>
      <c r="C256" s="112" t="s">
        <v>142</v>
      </c>
      <c r="D256" s="29" t="s">
        <v>1410</v>
      </c>
      <c r="E256" s="30" t="s">
        <v>58</v>
      </c>
      <c r="F256" s="30" t="s">
        <v>161</v>
      </c>
      <c r="G256" s="31">
        <v>819560.0</v>
      </c>
      <c r="H256" s="30" t="s">
        <v>1411</v>
      </c>
      <c r="I256" s="31"/>
      <c r="J256" s="30" t="s">
        <v>47</v>
      </c>
    </row>
    <row r="257">
      <c r="A257" s="108">
        <v>2760888.0</v>
      </c>
      <c r="B257" s="103">
        <v>44286.0</v>
      </c>
      <c r="C257" s="112" t="s">
        <v>170</v>
      </c>
      <c r="D257" s="29" t="s">
        <v>1412</v>
      </c>
      <c r="E257" s="30" t="s">
        <v>45</v>
      </c>
      <c r="F257" s="30" t="s">
        <v>90</v>
      </c>
      <c r="G257" s="31"/>
      <c r="H257" s="30" t="s">
        <v>47</v>
      </c>
      <c r="I257" s="31"/>
      <c r="J257" s="30" t="s">
        <v>47</v>
      </c>
    </row>
    <row r="258">
      <c r="A258" s="108">
        <v>2440686.0</v>
      </c>
      <c r="B258" s="103">
        <v>44286.0</v>
      </c>
      <c r="C258" s="112" t="s">
        <v>37</v>
      </c>
      <c r="D258" s="29" t="s">
        <v>1413</v>
      </c>
      <c r="E258" s="30" t="s">
        <v>105</v>
      </c>
      <c r="F258" s="30" t="s">
        <v>106</v>
      </c>
      <c r="G258" s="31"/>
      <c r="H258" s="30" t="s">
        <v>47</v>
      </c>
      <c r="I258" s="31"/>
      <c r="J258" s="30" t="s">
        <v>47</v>
      </c>
    </row>
    <row r="259">
      <c r="A259" s="108">
        <v>944014.0</v>
      </c>
      <c r="B259" s="103">
        <v>44286.0</v>
      </c>
      <c r="C259" s="112" t="s">
        <v>37</v>
      </c>
      <c r="D259" s="29" t="s">
        <v>1414</v>
      </c>
      <c r="E259" s="30" t="s">
        <v>63</v>
      </c>
      <c r="F259" s="30" t="s">
        <v>258</v>
      </c>
      <c r="G259" s="31">
        <v>903744.0</v>
      </c>
      <c r="H259" s="30" t="s">
        <v>1415</v>
      </c>
      <c r="I259" s="31">
        <v>950390.0</v>
      </c>
      <c r="J259" s="30" t="s">
        <v>1416</v>
      </c>
    </row>
    <row r="260">
      <c r="A260" s="108">
        <v>846480.0</v>
      </c>
      <c r="B260" s="103">
        <v>44286.0</v>
      </c>
      <c r="C260" s="112" t="s">
        <v>37</v>
      </c>
      <c r="D260" s="29" t="s">
        <v>1417</v>
      </c>
      <c r="E260" s="30" t="s">
        <v>63</v>
      </c>
      <c r="F260" s="30" t="s">
        <v>258</v>
      </c>
      <c r="G260" s="31">
        <v>671576.0</v>
      </c>
      <c r="H260" s="30" t="s">
        <v>1418</v>
      </c>
      <c r="I260" s="31">
        <v>903744.0</v>
      </c>
      <c r="J260" s="30" t="s">
        <v>1415</v>
      </c>
    </row>
    <row r="261">
      <c r="A261" s="108">
        <v>1041564.0</v>
      </c>
      <c r="B261" s="103">
        <v>44286.0</v>
      </c>
      <c r="C261" s="112" t="s">
        <v>37</v>
      </c>
      <c r="D261" s="29" t="s">
        <v>1419</v>
      </c>
      <c r="E261" s="30" t="s">
        <v>63</v>
      </c>
      <c r="F261" s="30" t="s">
        <v>258</v>
      </c>
      <c r="G261" s="31">
        <v>950390.0</v>
      </c>
      <c r="H261" s="30" t="s">
        <v>1416</v>
      </c>
      <c r="I261" s="31">
        <v>903744.0</v>
      </c>
      <c r="J261" s="30" t="s">
        <v>1415</v>
      </c>
    </row>
    <row r="262">
      <c r="A262" s="108">
        <v>2846712.0</v>
      </c>
      <c r="B262" s="103">
        <v>44286.0</v>
      </c>
      <c r="C262" s="112" t="s">
        <v>43</v>
      </c>
      <c r="D262" s="29" t="s">
        <v>1420</v>
      </c>
      <c r="E262" s="30" t="s">
        <v>39</v>
      </c>
      <c r="F262" s="30" t="s">
        <v>214</v>
      </c>
      <c r="G262" s="31">
        <v>1277248.0</v>
      </c>
      <c r="H262" s="30" t="s">
        <v>1421</v>
      </c>
      <c r="I262" s="31"/>
      <c r="J262" s="30" t="s">
        <v>47</v>
      </c>
    </row>
    <row r="263">
      <c r="A263" s="108">
        <v>3093558.0</v>
      </c>
      <c r="B263" s="103">
        <v>44286.0</v>
      </c>
      <c r="C263" s="112" t="s">
        <v>43</v>
      </c>
      <c r="D263" s="29" t="s">
        <v>1422</v>
      </c>
      <c r="E263" s="30" t="s">
        <v>39</v>
      </c>
      <c r="F263" s="30" t="s">
        <v>113</v>
      </c>
      <c r="G263" s="31">
        <v>2633022.0</v>
      </c>
      <c r="H263" s="30" t="s">
        <v>1423</v>
      </c>
      <c r="I263" s="31"/>
      <c r="J263" s="30" t="s">
        <v>47</v>
      </c>
    </row>
    <row r="264">
      <c r="A264" s="108">
        <v>2702376.0</v>
      </c>
      <c r="B264" s="103">
        <v>44286.0</v>
      </c>
      <c r="C264" s="112" t="s">
        <v>43</v>
      </c>
      <c r="D264" s="29" t="s">
        <v>1424</v>
      </c>
      <c r="E264" s="30" t="s">
        <v>39</v>
      </c>
      <c r="F264" s="30" t="s">
        <v>113</v>
      </c>
      <c r="G264" s="31">
        <v>2633022.0</v>
      </c>
      <c r="H264" s="30" t="s">
        <v>1423</v>
      </c>
      <c r="I264" s="31"/>
      <c r="J264" s="30" t="s">
        <v>47</v>
      </c>
    </row>
    <row r="265">
      <c r="A265" s="108">
        <v>2865598.0</v>
      </c>
      <c r="B265" s="103">
        <v>44286.0</v>
      </c>
      <c r="C265" s="112" t="s">
        <v>37</v>
      </c>
      <c r="D265" s="29" t="s">
        <v>100</v>
      </c>
      <c r="E265" s="30" t="s">
        <v>101</v>
      </c>
      <c r="F265" s="30" t="s">
        <v>102</v>
      </c>
      <c r="G265" s="31">
        <v>2167462.0</v>
      </c>
      <c r="H265" s="30" t="s">
        <v>103</v>
      </c>
      <c r="I265" s="31"/>
      <c r="J265" s="30" t="s">
        <v>47</v>
      </c>
    </row>
    <row r="266">
      <c r="A266" s="108">
        <v>3040786.0</v>
      </c>
      <c r="B266" s="103">
        <v>44286.0</v>
      </c>
      <c r="C266" s="112" t="s">
        <v>37</v>
      </c>
      <c r="D266" s="29" t="s">
        <v>1425</v>
      </c>
      <c r="E266" s="30" t="s">
        <v>39</v>
      </c>
      <c r="F266" s="30" t="s">
        <v>140</v>
      </c>
      <c r="G266" s="31">
        <v>1455016.0</v>
      </c>
      <c r="H266" s="30" t="s">
        <v>1426</v>
      </c>
      <c r="I266" s="31">
        <v>3134552.0</v>
      </c>
      <c r="J266" s="30" t="s">
        <v>1427</v>
      </c>
    </row>
    <row r="267">
      <c r="A267" s="108">
        <v>1343872.0</v>
      </c>
      <c r="B267" s="103">
        <v>44286.0</v>
      </c>
      <c r="C267" s="112" t="s">
        <v>43</v>
      </c>
      <c r="D267" s="29" t="s">
        <v>1428</v>
      </c>
      <c r="E267" s="30" t="s">
        <v>39</v>
      </c>
      <c r="F267" s="30" t="s">
        <v>140</v>
      </c>
      <c r="G267" s="31">
        <v>1616938.0</v>
      </c>
      <c r="H267" s="30" t="s">
        <v>1429</v>
      </c>
      <c r="I267" s="31"/>
      <c r="J267" s="30" t="s">
        <v>47</v>
      </c>
    </row>
    <row r="268">
      <c r="A268" s="108">
        <v>1176204.0</v>
      </c>
      <c r="B268" s="103">
        <v>44286.0</v>
      </c>
      <c r="C268" s="112" t="s">
        <v>43</v>
      </c>
      <c r="D268" s="29" t="s">
        <v>1430</v>
      </c>
      <c r="E268" s="30" t="s">
        <v>39</v>
      </c>
      <c r="F268" s="30" t="s">
        <v>140</v>
      </c>
      <c r="G268" s="31">
        <v>1176204.0</v>
      </c>
      <c r="H268" s="30" t="s">
        <v>1430</v>
      </c>
      <c r="I268" s="31"/>
      <c r="J268" s="30" t="s">
        <v>47</v>
      </c>
    </row>
    <row r="269">
      <c r="A269" s="108">
        <v>1458018.0</v>
      </c>
      <c r="B269" s="103">
        <v>44286.0</v>
      </c>
      <c r="C269" s="112" t="s">
        <v>43</v>
      </c>
      <c r="D269" s="29" t="s">
        <v>1431</v>
      </c>
      <c r="E269" s="30" t="s">
        <v>39</v>
      </c>
      <c r="F269" s="30" t="s">
        <v>140</v>
      </c>
      <c r="G269" s="31">
        <v>2413902.0</v>
      </c>
      <c r="H269" s="30" t="s">
        <v>1432</v>
      </c>
      <c r="I269" s="31">
        <v>1341268.0</v>
      </c>
      <c r="J269" s="30" t="s">
        <v>1433</v>
      </c>
    </row>
    <row r="270">
      <c r="A270" s="108">
        <v>2642432.0</v>
      </c>
      <c r="B270" s="103">
        <v>44286.0</v>
      </c>
      <c r="C270" s="112" t="s">
        <v>37</v>
      </c>
      <c r="D270" s="29" t="s">
        <v>1434</v>
      </c>
      <c r="E270" s="30" t="s">
        <v>45</v>
      </c>
      <c r="F270" s="30" t="s">
        <v>90</v>
      </c>
      <c r="G270" s="31">
        <v>857010.0</v>
      </c>
      <c r="H270" s="30" t="s">
        <v>1435</v>
      </c>
      <c r="I270" s="31">
        <v>614772.0</v>
      </c>
      <c r="J270" s="30" t="s">
        <v>1436</v>
      </c>
    </row>
    <row r="271">
      <c r="A271" s="108">
        <v>3246640.0</v>
      </c>
      <c r="B271" s="103">
        <v>44286.0</v>
      </c>
      <c r="C271" s="112" t="s">
        <v>37</v>
      </c>
      <c r="D271" s="29" t="s">
        <v>1437</v>
      </c>
      <c r="E271" s="30" t="s">
        <v>45</v>
      </c>
      <c r="F271" s="30" t="s">
        <v>90</v>
      </c>
      <c r="G271" s="31">
        <v>2418356.0</v>
      </c>
      <c r="H271" s="30" t="s">
        <v>1438</v>
      </c>
      <c r="I271" s="31">
        <v>1343556.0</v>
      </c>
      <c r="J271" s="30" t="s">
        <v>1439</v>
      </c>
    </row>
    <row r="272">
      <c r="A272" s="108">
        <v>2994784.0</v>
      </c>
      <c r="B272" s="103">
        <v>44286.0</v>
      </c>
      <c r="C272" s="112" t="s">
        <v>37</v>
      </c>
      <c r="D272" s="29" t="s">
        <v>1440</v>
      </c>
      <c r="E272" s="30" t="s">
        <v>45</v>
      </c>
      <c r="F272" s="30" t="s">
        <v>90</v>
      </c>
      <c r="G272" s="31">
        <v>2818117.0</v>
      </c>
      <c r="H272" s="30" t="s">
        <v>1441</v>
      </c>
      <c r="I272" s="31"/>
      <c r="J272" s="30" t="s">
        <v>47</v>
      </c>
    </row>
    <row r="273">
      <c r="A273" s="108">
        <v>1756916.0</v>
      </c>
      <c r="B273" s="103">
        <v>44286.0</v>
      </c>
      <c r="C273" s="112" t="s">
        <v>37</v>
      </c>
      <c r="D273" s="29" t="s">
        <v>1442</v>
      </c>
      <c r="E273" s="30" t="s">
        <v>45</v>
      </c>
      <c r="F273" s="30" t="s">
        <v>324</v>
      </c>
      <c r="G273" s="31"/>
      <c r="H273" s="30" t="s">
        <v>47</v>
      </c>
      <c r="I273" s="31"/>
      <c r="J273" s="30" t="s">
        <v>47</v>
      </c>
    </row>
    <row r="274">
      <c r="A274" s="108">
        <v>1590434.0</v>
      </c>
      <c r="B274" s="103">
        <v>44286.0</v>
      </c>
      <c r="C274" s="112" t="s">
        <v>37</v>
      </c>
      <c r="D274" s="29" t="s">
        <v>1443</v>
      </c>
      <c r="E274" s="30" t="s">
        <v>45</v>
      </c>
      <c r="F274" s="30" t="s">
        <v>324</v>
      </c>
      <c r="G274" s="31"/>
      <c r="H274" s="30" t="s">
        <v>47</v>
      </c>
      <c r="I274" s="31"/>
      <c r="J274" s="30" t="s">
        <v>47</v>
      </c>
    </row>
    <row r="275">
      <c r="A275" s="108">
        <v>2131360.0</v>
      </c>
      <c r="B275" s="103">
        <v>44286.0</v>
      </c>
      <c r="C275" s="112" t="s">
        <v>37</v>
      </c>
      <c r="D275" s="29" t="s">
        <v>1444</v>
      </c>
      <c r="E275" s="30" t="s">
        <v>219</v>
      </c>
      <c r="F275" s="30" t="s">
        <v>220</v>
      </c>
      <c r="G275" s="31">
        <v>563478.0</v>
      </c>
      <c r="H275" s="30" t="s">
        <v>1445</v>
      </c>
      <c r="I275" s="31">
        <v>671150.0</v>
      </c>
      <c r="J275" s="30" t="s">
        <v>1446</v>
      </c>
    </row>
    <row r="276">
      <c r="A276" s="108">
        <v>2016620.0</v>
      </c>
      <c r="B276" s="103">
        <v>44286.0</v>
      </c>
      <c r="C276" s="112" t="s">
        <v>37</v>
      </c>
      <c r="D276" s="29" t="s">
        <v>1447</v>
      </c>
      <c r="E276" s="30" t="s">
        <v>39</v>
      </c>
      <c r="F276" s="30" t="s">
        <v>54</v>
      </c>
      <c r="G276" s="31">
        <v>3472712.0</v>
      </c>
      <c r="H276" s="30" t="s">
        <v>1448</v>
      </c>
      <c r="I276" s="31"/>
      <c r="J276" s="30" t="s">
        <v>47</v>
      </c>
    </row>
    <row r="277">
      <c r="A277" s="108">
        <v>2467848.0</v>
      </c>
      <c r="B277" s="103">
        <v>44286.0</v>
      </c>
      <c r="C277" s="112" t="s">
        <v>37</v>
      </c>
      <c r="D277" s="29" t="s">
        <v>1449</v>
      </c>
      <c r="E277" s="30" t="s">
        <v>39</v>
      </c>
      <c r="F277" s="30" t="s">
        <v>140</v>
      </c>
      <c r="G277" s="31">
        <v>3310480.0</v>
      </c>
      <c r="H277" s="30" t="s">
        <v>1450</v>
      </c>
      <c r="I277" s="31">
        <v>3310734.0</v>
      </c>
      <c r="J277" s="30" t="s">
        <v>1451</v>
      </c>
    </row>
    <row r="278">
      <c r="A278" s="108">
        <v>1636508.0</v>
      </c>
      <c r="B278" s="103">
        <v>44286.0</v>
      </c>
      <c r="C278" s="112" t="s">
        <v>142</v>
      </c>
      <c r="D278" s="29" t="s">
        <v>1452</v>
      </c>
      <c r="E278" s="30" t="s">
        <v>45</v>
      </c>
      <c r="F278" s="30" t="s">
        <v>172</v>
      </c>
      <c r="G278" s="31">
        <v>2803851.0</v>
      </c>
      <c r="H278" s="30" t="s">
        <v>1453</v>
      </c>
      <c r="I278" s="31"/>
      <c r="J278" s="30" t="s">
        <v>47</v>
      </c>
    </row>
    <row r="279">
      <c r="A279" s="108">
        <v>2063191.0</v>
      </c>
      <c r="B279" s="103">
        <v>44286.0</v>
      </c>
      <c r="C279" s="112" t="s">
        <v>142</v>
      </c>
      <c r="D279" s="29" t="s">
        <v>1454</v>
      </c>
      <c r="E279" s="30" t="s">
        <v>45</v>
      </c>
      <c r="F279" s="30" t="s">
        <v>172</v>
      </c>
      <c r="G279" s="31"/>
      <c r="H279" s="30" t="s">
        <v>47</v>
      </c>
      <c r="I279" s="31"/>
      <c r="J279" s="30" t="s">
        <v>47</v>
      </c>
    </row>
    <row r="280">
      <c r="A280" s="108">
        <v>1690424.0</v>
      </c>
      <c r="B280" s="103">
        <v>44286.0</v>
      </c>
      <c r="C280" s="112" t="s">
        <v>142</v>
      </c>
      <c r="D280" s="29" t="s">
        <v>1455</v>
      </c>
      <c r="E280" s="30" t="s">
        <v>45</v>
      </c>
      <c r="F280" s="30" t="s">
        <v>90</v>
      </c>
      <c r="G280" s="31"/>
      <c r="H280" s="30" t="s">
        <v>47</v>
      </c>
      <c r="I280" s="31"/>
      <c r="J280" s="30" t="s">
        <v>47</v>
      </c>
    </row>
    <row r="281">
      <c r="A281" s="108">
        <v>2184250.0</v>
      </c>
      <c r="B281" s="103">
        <v>44286.0</v>
      </c>
      <c r="C281" s="112" t="s">
        <v>142</v>
      </c>
      <c r="D281" s="29" t="s">
        <v>1456</v>
      </c>
      <c r="E281" s="30" t="s">
        <v>45</v>
      </c>
      <c r="F281" s="30" t="s">
        <v>172</v>
      </c>
      <c r="G281" s="31"/>
      <c r="H281" s="30" t="s">
        <v>47</v>
      </c>
      <c r="I281" s="31"/>
      <c r="J281" s="30" t="s">
        <v>47</v>
      </c>
    </row>
    <row r="282">
      <c r="A282" s="108">
        <v>1790062.0</v>
      </c>
      <c r="B282" s="103">
        <v>44286.0</v>
      </c>
      <c r="C282" s="112" t="s">
        <v>142</v>
      </c>
      <c r="D282" s="29" t="s">
        <v>1457</v>
      </c>
      <c r="E282" s="30" t="s">
        <v>45</v>
      </c>
      <c r="F282" s="30" t="s">
        <v>172</v>
      </c>
      <c r="G282" s="31"/>
      <c r="H282" s="30" t="s">
        <v>47</v>
      </c>
      <c r="I282" s="31"/>
      <c r="J282" s="30" t="s">
        <v>47</v>
      </c>
    </row>
    <row r="283">
      <c r="A283" s="108">
        <v>1230766.0</v>
      </c>
      <c r="B283" s="103">
        <v>44286.0</v>
      </c>
      <c r="C283" s="112" t="s">
        <v>142</v>
      </c>
      <c r="D283" s="29" t="s">
        <v>1458</v>
      </c>
      <c r="E283" s="30" t="s">
        <v>45</v>
      </c>
      <c r="F283" s="30" t="s">
        <v>75</v>
      </c>
      <c r="G283" s="31"/>
      <c r="H283" s="30" t="s">
        <v>47</v>
      </c>
      <c r="I283" s="31"/>
      <c r="J283" s="30" t="s">
        <v>47</v>
      </c>
    </row>
    <row r="284">
      <c r="A284" s="108">
        <v>1442826.0</v>
      </c>
      <c r="B284" s="103">
        <v>44286.0</v>
      </c>
      <c r="C284" s="112" t="s">
        <v>142</v>
      </c>
      <c r="D284" s="29" t="s">
        <v>1459</v>
      </c>
      <c r="E284" s="30" t="s">
        <v>45</v>
      </c>
      <c r="F284" s="30" t="s">
        <v>172</v>
      </c>
      <c r="G284" s="31"/>
      <c r="H284" s="30" t="s">
        <v>47</v>
      </c>
      <c r="I284" s="31"/>
      <c r="J284" s="30" t="s">
        <v>47</v>
      </c>
    </row>
    <row r="285">
      <c r="A285" s="108">
        <v>2073306.0</v>
      </c>
      <c r="B285" s="103">
        <v>44286.0</v>
      </c>
      <c r="C285" s="112" t="s">
        <v>142</v>
      </c>
      <c r="D285" s="29" t="s">
        <v>1460</v>
      </c>
      <c r="E285" s="30" t="s">
        <v>45</v>
      </c>
      <c r="F285" s="30" t="s">
        <v>172</v>
      </c>
      <c r="G285" s="31"/>
      <c r="H285" s="30" t="s">
        <v>47</v>
      </c>
      <c r="I285" s="31"/>
      <c r="J285" s="30" t="s">
        <v>47</v>
      </c>
    </row>
    <row r="286">
      <c r="A286" s="108">
        <v>1393876.0</v>
      </c>
      <c r="B286" s="103">
        <v>44286.0</v>
      </c>
      <c r="C286" s="112" t="s">
        <v>142</v>
      </c>
      <c r="D286" s="29" t="s">
        <v>1461</v>
      </c>
      <c r="E286" s="30" t="s">
        <v>45</v>
      </c>
      <c r="F286" s="30" t="s">
        <v>90</v>
      </c>
      <c r="G286" s="31">
        <v>1160810.0</v>
      </c>
      <c r="H286" s="30" t="s">
        <v>1462</v>
      </c>
      <c r="I286" s="31"/>
      <c r="J286" s="30" t="s">
        <v>47</v>
      </c>
    </row>
    <row r="287">
      <c r="A287" s="108">
        <v>1949902.0</v>
      </c>
      <c r="B287" s="103">
        <v>44286.0</v>
      </c>
      <c r="C287" s="112" t="s">
        <v>142</v>
      </c>
      <c r="D287" s="29" t="s">
        <v>1463</v>
      </c>
      <c r="E287" s="30" t="s">
        <v>45</v>
      </c>
      <c r="F287" s="30" t="s">
        <v>75</v>
      </c>
      <c r="G287" s="31"/>
      <c r="H287" s="30" t="s">
        <v>47</v>
      </c>
      <c r="I287" s="31"/>
      <c r="J287" s="30" t="s">
        <v>47</v>
      </c>
    </row>
    <row r="288">
      <c r="A288" s="108">
        <v>1741342.0</v>
      </c>
      <c r="B288" s="103">
        <v>44286.0</v>
      </c>
      <c r="C288" s="112" t="s">
        <v>142</v>
      </c>
      <c r="D288" s="29" t="s">
        <v>1464</v>
      </c>
      <c r="E288" s="30" t="s">
        <v>45</v>
      </c>
      <c r="F288" s="30" t="s">
        <v>90</v>
      </c>
      <c r="G288" s="31"/>
      <c r="H288" s="30" t="s">
        <v>47</v>
      </c>
      <c r="I288" s="31"/>
      <c r="J288" s="30" t="s">
        <v>47</v>
      </c>
    </row>
    <row r="289">
      <c r="A289" s="108">
        <v>2332022.0</v>
      </c>
      <c r="B289" s="103">
        <v>44286.0</v>
      </c>
      <c r="C289" s="112" t="s">
        <v>142</v>
      </c>
      <c r="D289" s="29" t="s">
        <v>1465</v>
      </c>
      <c r="E289" s="30" t="s">
        <v>45</v>
      </c>
      <c r="F289" s="30" t="s">
        <v>172</v>
      </c>
      <c r="G289" s="31"/>
      <c r="H289" s="30" t="s">
        <v>47</v>
      </c>
      <c r="I289" s="31"/>
      <c r="J289" s="30" t="s">
        <v>47</v>
      </c>
    </row>
    <row r="290">
      <c r="A290" s="108">
        <v>2508988.0</v>
      </c>
      <c r="B290" s="103">
        <v>44286.0</v>
      </c>
      <c r="C290" s="112" t="s">
        <v>142</v>
      </c>
      <c r="D290" s="29" t="s">
        <v>1466</v>
      </c>
      <c r="E290" s="30" t="s">
        <v>189</v>
      </c>
      <c r="F290" s="30" t="s">
        <v>289</v>
      </c>
      <c r="G290" s="31"/>
      <c r="H290" s="30" t="s">
        <v>47</v>
      </c>
      <c r="I290" s="31"/>
      <c r="J290" s="30" t="s">
        <v>47</v>
      </c>
    </row>
    <row r="291">
      <c r="A291" s="108">
        <v>1413584.0</v>
      </c>
      <c r="B291" s="103">
        <v>44286.0</v>
      </c>
      <c r="C291" s="112" t="s">
        <v>142</v>
      </c>
      <c r="D291" s="29" t="s">
        <v>1467</v>
      </c>
      <c r="E291" s="30" t="s">
        <v>45</v>
      </c>
      <c r="F291" s="30" t="s">
        <v>90</v>
      </c>
      <c r="G291" s="31">
        <v>1160930.0</v>
      </c>
      <c r="H291" s="30" t="s">
        <v>1468</v>
      </c>
      <c r="I291" s="31"/>
      <c r="J291" s="30" t="s">
        <v>47</v>
      </c>
    </row>
    <row r="292">
      <c r="A292" s="108">
        <v>1823602.0</v>
      </c>
      <c r="B292" s="103">
        <v>44286.0</v>
      </c>
      <c r="C292" s="112" t="s">
        <v>142</v>
      </c>
      <c r="D292" s="29" t="s">
        <v>1469</v>
      </c>
      <c r="E292" s="30" t="s">
        <v>45</v>
      </c>
      <c r="F292" s="30" t="s">
        <v>90</v>
      </c>
      <c r="G292" s="31"/>
      <c r="H292" s="30" t="s">
        <v>47</v>
      </c>
      <c r="I292" s="31"/>
      <c r="J292" s="30" t="s">
        <v>47</v>
      </c>
    </row>
    <row r="293">
      <c r="A293" s="108">
        <v>2342920.0</v>
      </c>
      <c r="B293" s="103">
        <v>44286.0</v>
      </c>
      <c r="C293" s="112" t="s">
        <v>142</v>
      </c>
      <c r="D293" s="29" t="s">
        <v>1470</v>
      </c>
      <c r="E293" s="30" t="s">
        <v>45</v>
      </c>
      <c r="F293" s="30" t="s">
        <v>75</v>
      </c>
      <c r="G293" s="31"/>
      <c r="H293" s="30" t="s">
        <v>47</v>
      </c>
      <c r="I293" s="31"/>
      <c r="J293" s="30" t="s">
        <v>47</v>
      </c>
    </row>
    <row r="294">
      <c r="A294" s="108">
        <v>1989796.0</v>
      </c>
      <c r="B294" s="103">
        <v>44286.0</v>
      </c>
      <c r="C294" s="112" t="s">
        <v>142</v>
      </c>
      <c r="D294" s="29" t="s">
        <v>1471</v>
      </c>
      <c r="E294" s="30" t="s">
        <v>45</v>
      </c>
      <c r="F294" s="30" t="s">
        <v>75</v>
      </c>
      <c r="G294" s="31"/>
      <c r="H294" s="30" t="s">
        <v>47</v>
      </c>
      <c r="I294" s="31"/>
      <c r="J294" s="30" t="s">
        <v>47</v>
      </c>
    </row>
    <row r="295">
      <c r="A295" s="108">
        <v>2238136.0</v>
      </c>
      <c r="B295" s="103">
        <v>44286.0</v>
      </c>
      <c r="C295" s="112" t="s">
        <v>142</v>
      </c>
      <c r="D295" s="29" t="s">
        <v>1472</v>
      </c>
      <c r="E295" s="30" t="s">
        <v>45</v>
      </c>
      <c r="F295" s="30" t="s">
        <v>75</v>
      </c>
      <c r="G295" s="31"/>
      <c r="H295" s="30" t="s">
        <v>47</v>
      </c>
      <c r="I295" s="31"/>
      <c r="J295" s="30" t="s">
        <v>47</v>
      </c>
    </row>
    <row r="296">
      <c r="A296" s="108">
        <v>1641204.0</v>
      </c>
      <c r="B296" s="103">
        <v>44286.0</v>
      </c>
      <c r="C296" s="112" t="s">
        <v>142</v>
      </c>
      <c r="D296" s="29" t="s">
        <v>1473</v>
      </c>
      <c r="E296" s="30" t="s">
        <v>189</v>
      </c>
      <c r="F296" s="30" t="s">
        <v>289</v>
      </c>
      <c r="G296" s="31"/>
      <c r="H296" s="30" t="s">
        <v>47</v>
      </c>
      <c r="I296" s="31"/>
      <c r="J296" s="30" t="s">
        <v>47</v>
      </c>
    </row>
    <row r="297">
      <c r="A297" s="108">
        <v>1739246.0</v>
      </c>
      <c r="B297" s="103">
        <v>44286.0</v>
      </c>
      <c r="C297" s="112" t="s">
        <v>70</v>
      </c>
      <c r="D297" s="29" t="s">
        <v>1474</v>
      </c>
      <c r="E297" s="30" t="s">
        <v>83</v>
      </c>
      <c r="F297" s="30" t="s">
        <v>153</v>
      </c>
      <c r="G297" s="31">
        <v>1610186.0</v>
      </c>
      <c r="H297" s="30" t="s">
        <v>1475</v>
      </c>
      <c r="I297" s="31">
        <v>1714668.0</v>
      </c>
      <c r="J297" s="30" t="s">
        <v>1476</v>
      </c>
    </row>
    <row r="298">
      <c r="A298" s="108">
        <v>1629208.0</v>
      </c>
      <c r="B298" s="103">
        <v>44286.0</v>
      </c>
      <c r="C298" s="112" t="s">
        <v>43</v>
      </c>
      <c r="D298" s="29" t="s">
        <v>1477</v>
      </c>
      <c r="E298" s="30" t="s">
        <v>39</v>
      </c>
      <c r="F298" s="30" t="s">
        <v>241</v>
      </c>
      <c r="G298" s="31">
        <v>1594508.0</v>
      </c>
      <c r="H298" s="30" t="s">
        <v>1478</v>
      </c>
      <c r="I298" s="31"/>
      <c r="J298" s="30" t="s">
        <v>47</v>
      </c>
    </row>
    <row r="299">
      <c r="A299" s="108">
        <v>1120244.0</v>
      </c>
      <c r="B299" s="103">
        <v>44286.0</v>
      </c>
      <c r="C299" s="112" t="s">
        <v>37</v>
      </c>
      <c r="D299" s="29" t="s">
        <v>1479</v>
      </c>
      <c r="E299" s="30" t="s">
        <v>45</v>
      </c>
      <c r="F299" s="30" t="s">
        <v>75</v>
      </c>
      <c r="G299" s="31">
        <v>948368.0</v>
      </c>
      <c r="H299" s="30" t="s">
        <v>1480</v>
      </c>
      <c r="I299" s="31">
        <v>1614078.0</v>
      </c>
      <c r="J299" s="30" t="s">
        <v>1481</v>
      </c>
    </row>
    <row r="300">
      <c r="A300" s="108">
        <v>806536.0</v>
      </c>
      <c r="B300" s="103">
        <v>44286.0</v>
      </c>
      <c r="C300" s="112" t="s">
        <v>37</v>
      </c>
      <c r="D300" s="29" t="s">
        <v>1482</v>
      </c>
      <c r="E300" s="30" t="s">
        <v>39</v>
      </c>
      <c r="F300" s="30" t="s">
        <v>140</v>
      </c>
      <c r="G300" s="31"/>
      <c r="H300" s="30" t="s">
        <v>47</v>
      </c>
      <c r="I300" s="31"/>
      <c r="J300" s="30" t="s">
        <v>47</v>
      </c>
    </row>
    <row r="301">
      <c r="A301" s="108">
        <v>692244.0</v>
      </c>
      <c r="B301" s="103">
        <v>44286.0</v>
      </c>
      <c r="C301" s="112" t="s">
        <v>37</v>
      </c>
      <c r="D301" s="29" t="s">
        <v>1483</v>
      </c>
      <c r="E301" s="30" t="s">
        <v>39</v>
      </c>
      <c r="F301" s="30" t="s">
        <v>297</v>
      </c>
      <c r="G301" s="31"/>
      <c r="H301" s="30" t="s">
        <v>47</v>
      </c>
      <c r="I301" s="31"/>
      <c r="J301" s="30" t="s">
        <v>47</v>
      </c>
    </row>
    <row r="302">
      <c r="A302" s="108">
        <v>898918.0</v>
      </c>
      <c r="B302" s="103">
        <v>44286.0</v>
      </c>
      <c r="C302" s="112" t="s">
        <v>37</v>
      </c>
      <c r="D302" s="29" t="s">
        <v>1484</v>
      </c>
      <c r="E302" s="30" t="s">
        <v>39</v>
      </c>
      <c r="F302" s="30" t="s">
        <v>297</v>
      </c>
      <c r="G302" s="31"/>
      <c r="H302" s="30" t="s">
        <v>47</v>
      </c>
      <c r="I302" s="31"/>
      <c r="J302" s="30" t="s">
        <v>47</v>
      </c>
    </row>
    <row r="303">
      <c r="A303" s="108">
        <v>945712.0</v>
      </c>
      <c r="B303" s="103">
        <v>44286.0</v>
      </c>
      <c r="C303" s="112" t="s">
        <v>37</v>
      </c>
      <c r="D303" s="29" t="s">
        <v>1485</v>
      </c>
      <c r="E303" s="30" t="s">
        <v>39</v>
      </c>
      <c r="F303" s="30" t="s">
        <v>297</v>
      </c>
      <c r="G303" s="31"/>
      <c r="H303" s="30" t="s">
        <v>47</v>
      </c>
      <c r="I303" s="31"/>
      <c r="J303" s="30" t="s">
        <v>47</v>
      </c>
    </row>
    <row r="304">
      <c r="A304" s="108">
        <v>916436.0</v>
      </c>
      <c r="B304" s="103">
        <v>44286.0</v>
      </c>
      <c r="C304" s="112" t="s">
        <v>37</v>
      </c>
      <c r="D304" s="29" t="s">
        <v>1486</v>
      </c>
      <c r="E304" s="30" t="s">
        <v>39</v>
      </c>
      <c r="F304" s="30" t="s">
        <v>297</v>
      </c>
      <c r="G304" s="31"/>
      <c r="H304" s="30" t="s">
        <v>47</v>
      </c>
      <c r="I304" s="31"/>
      <c r="J304" s="30" t="s">
        <v>47</v>
      </c>
    </row>
    <row r="305">
      <c r="A305" s="108">
        <v>219064.0</v>
      </c>
      <c r="B305" s="103">
        <v>44286.0</v>
      </c>
      <c r="C305" s="112" t="s">
        <v>37</v>
      </c>
      <c r="D305" s="29" t="s">
        <v>1487</v>
      </c>
      <c r="E305" s="30" t="s">
        <v>96</v>
      </c>
      <c r="F305" s="30" t="s">
        <v>131</v>
      </c>
      <c r="G305" s="31">
        <v>516446.0</v>
      </c>
      <c r="H305" s="30" t="s">
        <v>1488</v>
      </c>
      <c r="I305" s="31"/>
      <c r="J305" s="30" t="s">
        <v>47</v>
      </c>
    </row>
    <row r="306">
      <c r="A306" s="108">
        <v>219058.0</v>
      </c>
      <c r="B306" s="103">
        <v>44286.0</v>
      </c>
      <c r="C306" s="112" t="s">
        <v>37</v>
      </c>
      <c r="D306" s="29" t="s">
        <v>1489</v>
      </c>
      <c r="E306" s="30" t="s">
        <v>189</v>
      </c>
      <c r="F306" s="30" t="s">
        <v>190</v>
      </c>
      <c r="G306" s="31">
        <v>516446.0</v>
      </c>
      <c r="H306" s="30" t="s">
        <v>1488</v>
      </c>
      <c r="I306" s="31"/>
      <c r="J306" s="30" t="s">
        <v>47</v>
      </c>
    </row>
    <row r="307">
      <c r="A307" s="108">
        <v>219060.0</v>
      </c>
      <c r="B307" s="103">
        <v>44286.0</v>
      </c>
      <c r="C307" s="112" t="s">
        <v>37</v>
      </c>
      <c r="D307" s="29" t="s">
        <v>1490</v>
      </c>
      <c r="E307" s="30" t="s">
        <v>96</v>
      </c>
      <c r="F307" s="30" t="s">
        <v>131</v>
      </c>
      <c r="G307" s="31">
        <v>516446.0</v>
      </c>
      <c r="H307" s="30" t="s">
        <v>1488</v>
      </c>
      <c r="I307" s="31"/>
      <c r="J307" s="30" t="s">
        <v>47</v>
      </c>
    </row>
    <row r="308">
      <c r="A308" s="108">
        <v>60792.0</v>
      </c>
      <c r="B308" s="103">
        <v>44286.0</v>
      </c>
      <c r="C308" s="112" t="s">
        <v>37</v>
      </c>
      <c r="D308" s="29" t="s">
        <v>1491</v>
      </c>
      <c r="E308" s="30" t="s">
        <v>39</v>
      </c>
      <c r="F308" s="30" t="s">
        <v>140</v>
      </c>
      <c r="G308" s="31">
        <v>812588.0</v>
      </c>
      <c r="H308" s="30" t="s">
        <v>1492</v>
      </c>
      <c r="I308" s="31">
        <v>379722.0</v>
      </c>
      <c r="J308" s="30" t="s">
        <v>1493</v>
      </c>
    </row>
    <row r="309">
      <c r="A309" s="108">
        <v>829184.0</v>
      </c>
      <c r="B309" s="103">
        <v>44286.0</v>
      </c>
      <c r="C309" s="112" t="s">
        <v>37</v>
      </c>
      <c r="D309" s="29" t="s">
        <v>1494</v>
      </c>
      <c r="E309" s="30" t="s">
        <v>63</v>
      </c>
      <c r="F309" s="30" t="s">
        <v>115</v>
      </c>
      <c r="G309" s="31"/>
      <c r="H309" s="30" t="s">
        <v>47</v>
      </c>
      <c r="I309" s="31"/>
      <c r="J309" s="30" t="s">
        <v>47</v>
      </c>
    </row>
    <row r="310">
      <c r="A310" s="108">
        <v>863512.0</v>
      </c>
      <c r="B310" s="103">
        <v>44286.0</v>
      </c>
      <c r="C310" s="112" t="s">
        <v>37</v>
      </c>
      <c r="D310" s="29" t="s">
        <v>1495</v>
      </c>
      <c r="E310" s="30" t="s">
        <v>63</v>
      </c>
      <c r="F310" s="30" t="s">
        <v>256</v>
      </c>
      <c r="G310" s="31">
        <v>1575562.0</v>
      </c>
      <c r="H310" s="30" t="s">
        <v>1496</v>
      </c>
      <c r="I310" s="31"/>
      <c r="J310" s="30" t="s">
        <v>47</v>
      </c>
    </row>
    <row r="311">
      <c r="A311" s="108">
        <v>1183316.0</v>
      </c>
      <c r="B311" s="103">
        <v>44286.0</v>
      </c>
      <c r="C311" s="112" t="s">
        <v>37</v>
      </c>
      <c r="D311" s="29" t="s">
        <v>1497</v>
      </c>
      <c r="E311" s="30" t="s">
        <v>58</v>
      </c>
      <c r="F311" s="30" t="s">
        <v>59</v>
      </c>
      <c r="G311" s="31">
        <v>655608.0</v>
      </c>
      <c r="H311" s="30" t="s">
        <v>1498</v>
      </c>
      <c r="I311" s="31">
        <v>1434492.0</v>
      </c>
      <c r="J311" s="30" t="s">
        <v>1083</v>
      </c>
    </row>
    <row r="312">
      <c r="A312" s="108">
        <v>146156.0</v>
      </c>
      <c r="B312" s="103">
        <v>44286.0</v>
      </c>
      <c r="C312" s="112" t="s">
        <v>37</v>
      </c>
      <c r="D312" s="29" t="s">
        <v>1499</v>
      </c>
      <c r="E312" s="30" t="s">
        <v>39</v>
      </c>
      <c r="F312" s="30" t="s">
        <v>214</v>
      </c>
      <c r="G312" s="31">
        <v>951618.0</v>
      </c>
      <c r="H312" s="30" t="s">
        <v>1500</v>
      </c>
      <c r="I312" s="31">
        <v>1405812.0</v>
      </c>
      <c r="J312" s="30" t="s">
        <v>1501</v>
      </c>
    </row>
    <row r="313">
      <c r="A313" s="108">
        <v>1228376.0</v>
      </c>
      <c r="B313" s="103">
        <v>44286.0</v>
      </c>
      <c r="C313" s="112" t="s">
        <v>37</v>
      </c>
      <c r="D313" s="29" t="s">
        <v>1502</v>
      </c>
      <c r="E313" s="30" t="s">
        <v>39</v>
      </c>
      <c r="F313" s="30" t="s">
        <v>54</v>
      </c>
      <c r="G313" s="31">
        <v>919872.0</v>
      </c>
      <c r="H313" s="30" t="s">
        <v>1503</v>
      </c>
      <c r="I313" s="31"/>
      <c r="J313" s="30" t="s">
        <v>47</v>
      </c>
    </row>
    <row r="314">
      <c r="A314" s="108">
        <v>1320446.0</v>
      </c>
      <c r="B314" s="103">
        <v>44286.0</v>
      </c>
      <c r="C314" s="112" t="s">
        <v>37</v>
      </c>
      <c r="D314" s="29" t="s">
        <v>1504</v>
      </c>
      <c r="E314" s="30" t="s">
        <v>39</v>
      </c>
      <c r="F314" s="30" t="s">
        <v>140</v>
      </c>
      <c r="G314" s="31"/>
      <c r="H314" s="30" t="s">
        <v>47</v>
      </c>
      <c r="I314" s="31"/>
      <c r="J314" s="30" t="s">
        <v>47</v>
      </c>
    </row>
    <row r="315">
      <c r="A315" s="108">
        <v>1206948.0</v>
      </c>
      <c r="B315" s="103">
        <v>44286.0</v>
      </c>
      <c r="C315" s="112" t="s">
        <v>37</v>
      </c>
      <c r="D315" s="29" t="s">
        <v>1505</v>
      </c>
      <c r="E315" s="30" t="s">
        <v>39</v>
      </c>
      <c r="F315" s="30" t="s">
        <v>214</v>
      </c>
      <c r="G315" s="31">
        <v>1070124.0</v>
      </c>
      <c r="H315" s="30" t="s">
        <v>1506</v>
      </c>
      <c r="I315" s="31"/>
      <c r="J315" s="30" t="s">
        <v>47</v>
      </c>
    </row>
    <row r="316">
      <c r="A316" s="108">
        <v>1210972.0</v>
      </c>
      <c r="B316" s="103">
        <v>44286.0</v>
      </c>
      <c r="C316" s="112" t="s">
        <v>37</v>
      </c>
      <c r="D316" s="29" t="s">
        <v>1507</v>
      </c>
      <c r="E316" s="30" t="s">
        <v>45</v>
      </c>
      <c r="F316" s="30" t="s">
        <v>46</v>
      </c>
      <c r="G316" s="31"/>
      <c r="H316" s="30" t="s">
        <v>47</v>
      </c>
      <c r="I316" s="31"/>
      <c r="J316" s="30" t="s">
        <v>47</v>
      </c>
    </row>
    <row r="317">
      <c r="A317" s="108">
        <v>1368610.0</v>
      </c>
      <c r="B317" s="103">
        <v>44286.0</v>
      </c>
      <c r="C317" s="112" t="s">
        <v>37</v>
      </c>
      <c r="D317" s="29" t="s">
        <v>1508</v>
      </c>
      <c r="E317" s="30" t="s">
        <v>45</v>
      </c>
      <c r="F317" s="30" t="s">
        <v>46</v>
      </c>
      <c r="G317" s="31"/>
      <c r="H317" s="30" t="s">
        <v>47</v>
      </c>
      <c r="I317" s="31"/>
      <c r="J317" s="30" t="s">
        <v>47</v>
      </c>
    </row>
    <row r="318">
      <c r="A318" s="108">
        <v>1211046.0</v>
      </c>
      <c r="B318" s="103">
        <v>44286.0</v>
      </c>
      <c r="C318" s="112" t="s">
        <v>37</v>
      </c>
      <c r="D318" s="29" t="s">
        <v>1509</v>
      </c>
      <c r="E318" s="30" t="s">
        <v>45</v>
      </c>
      <c r="F318" s="30" t="s">
        <v>46</v>
      </c>
      <c r="G318" s="31"/>
      <c r="H318" s="30" t="s">
        <v>47</v>
      </c>
      <c r="I318" s="31"/>
      <c r="J318" s="30" t="s">
        <v>47</v>
      </c>
    </row>
    <row r="319">
      <c r="A319" s="108">
        <v>785328.0</v>
      </c>
      <c r="B319" s="103">
        <v>44286.0</v>
      </c>
      <c r="C319" s="112" t="s">
        <v>37</v>
      </c>
      <c r="D319" s="29" t="s">
        <v>1510</v>
      </c>
      <c r="E319" s="30" t="s">
        <v>105</v>
      </c>
      <c r="F319" s="30" t="s">
        <v>198</v>
      </c>
      <c r="G319" s="31"/>
      <c r="H319" s="30" t="s">
        <v>47</v>
      </c>
      <c r="I319" s="31"/>
      <c r="J319" s="30" t="s">
        <v>47</v>
      </c>
    </row>
    <row r="320">
      <c r="A320" s="108">
        <v>778108.0</v>
      </c>
      <c r="B320" s="103">
        <v>44286.0</v>
      </c>
      <c r="C320" s="112" t="s">
        <v>37</v>
      </c>
      <c r="D320" s="29" t="s">
        <v>1511</v>
      </c>
      <c r="E320" s="30" t="s">
        <v>83</v>
      </c>
      <c r="F320" s="30" t="s">
        <v>94</v>
      </c>
      <c r="G320" s="31">
        <v>1575836.0</v>
      </c>
      <c r="H320" s="30" t="s">
        <v>1512</v>
      </c>
      <c r="I320" s="31"/>
      <c r="J320" s="30" t="s">
        <v>47</v>
      </c>
    </row>
    <row r="321">
      <c r="A321" s="108">
        <v>29752.0</v>
      </c>
      <c r="B321" s="103">
        <v>44286.0</v>
      </c>
      <c r="C321" s="112" t="s">
        <v>37</v>
      </c>
      <c r="D321" s="29" t="s">
        <v>1513</v>
      </c>
      <c r="E321" s="30" t="s">
        <v>189</v>
      </c>
      <c r="F321" s="30" t="s">
        <v>300</v>
      </c>
      <c r="G321" s="31">
        <v>969148.0</v>
      </c>
      <c r="H321" s="30" t="s">
        <v>1514</v>
      </c>
      <c r="I321" s="31"/>
      <c r="J321" s="30" t="s">
        <v>47</v>
      </c>
    </row>
    <row r="322">
      <c r="A322" s="108">
        <v>1194910.0</v>
      </c>
      <c r="B322" s="103">
        <v>44286.0</v>
      </c>
      <c r="C322" s="112" t="s">
        <v>37</v>
      </c>
      <c r="D322" s="29" t="s">
        <v>1515</v>
      </c>
      <c r="E322" s="30" t="s">
        <v>105</v>
      </c>
      <c r="F322" s="30" t="s">
        <v>778</v>
      </c>
      <c r="G322" s="31">
        <v>2668106.0</v>
      </c>
      <c r="H322" s="30" t="s">
        <v>1516</v>
      </c>
      <c r="I322" s="31">
        <v>678658.0</v>
      </c>
      <c r="J322" s="30" t="s">
        <v>1517</v>
      </c>
    </row>
    <row r="323">
      <c r="A323" s="108">
        <v>1597758.0</v>
      </c>
      <c r="B323" s="103">
        <v>44286.0</v>
      </c>
      <c r="C323" s="112" t="s">
        <v>37</v>
      </c>
      <c r="D323" s="29" t="s">
        <v>1518</v>
      </c>
      <c r="E323" s="30" t="s">
        <v>63</v>
      </c>
      <c r="F323" s="30" t="s">
        <v>256</v>
      </c>
      <c r="G323" s="31"/>
      <c r="H323" s="30" t="s">
        <v>47</v>
      </c>
      <c r="I323" s="31"/>
      <c r="J323" s="30" t="s">
        <v>47</v>
      </c>
    </row>
    <row r="324">
      <c r="A324" s="108">
        <v>617922.0</v>
      </c>
      <c r="B324" s="103">
        <v>44286.0</v>
      </c>
      <c r="C324" s="112" t="s">
        <v>37</v>
      </c>
      <c r="D324" s="29" t="s">
        <v>1519</v>
      </c>
      <c r="E324" s="30" t="s">
        <v>58</v>
      </c>
      <c r="F324" s="30" t="s">
        <v>59</v>
      </c>
      <c r="G324" s="31"/>
      <c r="H324" s="30" t="s">
        <v>47</v>
      </c>
      <c r="I324" s="31"/>
      <c r="J324" s="30" t="s">
        <v>47</v>
      </c>
    </row>
    <row r="325">
      <c r="A325" s="108">
        <v>33844.0</v>
      </c>
      <c r="B325" s="103">
        <v>44286.0</v>
      </c>
      <c r="C325" s="112" t="s">
        <v>37</v>
      </c>
      <c r="D325" s="29" t="s">
        <v>1520</v>
      </c>
      <c r="E325" s="30" t="s">
        <v>58</v>
      </c>
      <c r="F325" s="30" t="s">
        <v>167</v>
      </c>
      <c r="G325" s="31"/>
      <c r="H325" s="30" t="s">
        <v>47</v>
      </c>
      <c r="I325" s="31"/>
      <c r="J325" s="30" t="s">
        <v>47</v>
      </c>
    </row>
    <row r="326">
      <c r="A326" s="108">
        <v>242244.0</v>
      </c>
      <c r="B326" s="103">
        <v>44286.0</v>
      </c>
      <c r="C326" s="112" t="s">
        <v>37</v>
      </c>
      <c r="D326" s="29" t="s">
        <v>1521</v>
      </c>
      <c r="E326" s="30" t="s">
        <v>58</v>
      </c>
      <c r="F326" s="30" t="s">
        <v>59</v>
      </c>
      <c r="G326" s="31"/>
      <c r="H326" s="30" t="s">
        <v>47</v>
      </c>
      <c r="I326" s="31"/>
      <c r="J326" s="30" t="s">
        <v>47</v>
      </c>
    </row>
    <row r="327">
      <c r="A327" s="108">
        <v>2531378.0</v>
      </c>
      <c r="B327" s="103">
        <v>44286.0</v>
      </c>
      <c r="C327" s="112" t="s">
        <v>37</v>
      </c>
      <c r="D327" s="29" t="s">
        <v>1522</v>
      </c>
      <c r="E327" s="30" t="s">
        <v>105</v>
      </c>
      <c r="F327" s="30" t="s">
        <v>106</v>
      </c>
      <c r="G327" s="31">
        <v>2339098.0</v>
      </c>
      <c r="H327" s="30" t="s">
        <v>1523</v>
      </c>
      <c r="I327" s="31"/>
      <c r="J327" s="30" t="s">
        <v>47</v>
      </c>
    </row>
    <row r="328">
      <c r="A328" s="108">
        <v>507078.0</v>
      </c>
      <c r="B328" s="103">
        <v>44286.0</v>
      </c>
      <c r="C328" s="112" t="s">
        <v>37</v>
      </c>
      <c r="D328" s="29" t="s">
        <v>356</v>
      </c>
      <c r="E328" s="30" t="s">
        <v>63</v>
      </c>
      <c r="F328" s="30" t="s">
        <v>64</v>
      </c>
      <c r="G328" s="31"/>
      <c r="H328" s="30" t="s">
        <v>47</v>
      </c>
      <c r="I328" s="31"/>
      <c r="J328" s="30" t="s">
        <v>47</v>
      </c>
    </row>
    <row r="329">
      <c r="A329" s="108">
        <v>238788.0</v>
      </c>
      <c r="B329" s="103">
        <v>44286.0</v>
      </c>
      <c r="C329" s="112" t="s">
        <v>37</v>
      </c>
      <c r="D329" s="29" t="s">
        <v>1524</v>
      </c>
      <c r="E329" s="30" t="s">
        <v>58</v>
      </c>
      <c r="F329" s="30" t="s">
        <v>59</v>
      </c>
      <c r="G329" s="31">
        <v>613214.0</v>
      </c>
      <c r="H329" s="30" t="s">
        <v>1525</v>
      </c>
      <c r="I329" s="31">
        <v>2397370.0</v>
      </c>
      <c r="J329" s="30" t="s">
        <v>1526</v>
      </c>
    </row>
    <row r="330">
      <c r="A330" s="108">
        <v>943296.0</v>
      </c>
      <c r="B330" s="103">
        <v>44286.0</v>
      </c>
      <c r="C330" s="112" t="s">
        <v>37</v>
      </c>
      <c r="D330" s="29" t="s">
        <v>1527</v>
      </c>
      <c r="E330" s="30" t="s">
        <v>39</v>
      </c>
      <c r="F330" s="30" t="s">
        <v>50</v>
      </c>
      <c r="G330" s="31">
        <v>1428208.0</v>
      </c>
      <c r="H330" s="30" t="s">
        <v>1528</v>
      </c>
      <c r="I330" s="31"/>
      <c r="J330" s="30" t="s">
        <v>47</v>
      </c>
    </row>
    <row r="331">
      <c r="A331" s="108">
        <v>2327498.0</v>
      </c>
      <c r="B331" s="103">
        <v>44286.0</v>
      </c>
      <c r="C331" s="112" t="s">
        <v>37</v>
      </c>
      <c r="D331" s="29" t="s">
        <v>1529</v>
      </c>
      <c r="E331" s="30" t="s">
        <v>63</v>
      </c>
      <c r="F331" s="30" t="s">
        <v>256</v>
      </c>
      <c r="G331" s="31">
        <v>567828.0</v>
      </c>
      <c r="H331" s="30" t="s">
        <v>1530</v>
      </c>
      <c r="I331" s="31">
        <v>950390.0</v>
      </c>
      <c r="J331" s="30" t="s">
        <v>1416</v>
      </c>
    </row>
    <row r="332">
      <c r="A332" s="108">
        <v>435062.0</v>
      </c>
      <c r="B332" s="103">
        <v>44286.0</v>
      </c>
      <c r="C332" s="112" t="s">
        <v>37</v>
      </c>
      <c r="D332" s="29" t="s">
        <v>1531</v>
      </c>
      <c r="E332" s="30" t="s">
        <v>189</v>
      </c>
      <c r="F332" s="30" t="s">
        <v>222</v>
      </c>
      <c r="G332" s="31"/>
      <c r="H332" s="30" t="s">
        <v>47</v>
      </c>
      <c r="I332" s="31"/>
      <c r="J332" s="30" t="s">
        <v>47</v>
      </c>
    </row>
    <row r="333">
      <c r="A333" s="108">
        <v>499676.0</v>
      </c>
      <c r="B333" s="103">
        <v>44286.0</v>
      </c>
      <c r="C333" s="112" t="s">
        <v>37</v>
      </c>
      <c r="D333" s="29" t="s">
        <v>1532</v>
      </c>
      <c r="E333" s="30" t="s">
        <v>63</v>
      </c>
      <c r="F333" s="30" t="s">
        <v>64</v>
      </c>
      <c r="G333" s="31"/>
      <c r="H333" s="30" t="s">
        <v>47</v>
      </c>
      <c r="I333" s="31"/>
      <c r="J333" s="30" t="s">
        <v>47</v>
      </c>
    </row>
    <row r="334">
      <c r="A334" s="108">
        <v>1753350.0</v>
      </c>
      <c r="B334" s="103">
        <v>44286.0</v>
      </c>
      <c r="C334" s="112" t="s">
        <v>37</v>
      </c>
      <c r="D334" s="29" t="s">
        <v>1533</v>
      </c>
      <c r="E334" s="30" t="s">
        <v>39</v>
      </c>
      <c r="F334" s="30" t="s">
        <v>54</v>
      </c>
      <c r="G334" s="31">
        <v>851712.0</v>
      </c>
      <c r="H334" s="30" t="s">
        <v>1534</v>
      </c>
      <c r="I334" s="31">
        <v>2508942.0</v>
      </c>
      <c r="J334" s="30" t="s">
        <v>1535</v>
      </c>
    </row>
    <row r="335">
      <c r="A335" s="108">
        <v>194754.0</v>
      </c>
      <c r="B335" s="103">
        <v>44286.0</v>
      </c>
      <c r="C335" s="112" t="s">
        <v>37</v>
      </c>
      <c r="D335" s="29" t="s">
        <v>1536</v>
      </c>
      <c r="E335" s="30" t="s">
        <v>83</v>
      </c>
      <c r="F335" s="30" t="s">
        <v>153</v>
      </c>
      <c r="G335" s="31">
        <v>403314.0</v>
      </c>
      <c r="H335" s="30" t="s">
        <v>1537</v>
      </c>
      <c r="I335" s="31">
        <v>987428.0</v>
      </c>
      <c r="J335" s="30" t="s">
        <v>1538</v>
      </c>
    </row>
    <row r="336">
      <c r="A336" s="108">
        <v>675770.0</v>
      </c>
      <c r="B336" s="103">
        <v>44286.0</v>
      </c>
      <c r="C336" s="112" t="s">
        <v>37</v>
      </c>
      <c r="D336" s="29" t="s">
        <v>1539</v>
      </c>
      <c r="E336" s="30" t="s">
        <v>105</v>
      </c>
      <c r="F336" s="30" t="s">
        <v>106</v>
      </c>
      <c r="G336" s="31"/>
      <c r="H336" s="30" t="s">
        <v>47</v>
      </c>
      <c r="I336" s="31"/>
      <c r="J336" s="30" t="s">
        <v>47</v>
      </c>
    </row>
    <row r="337">
      <c r="A337" s="108">
        <v>958132.0</v>
      </c>
      <c r="B337" s="103">
        <v>44286.0</v>
      </c>
      <c r="C337" s="112" t="s">
        <v>37</v>
      </c>
      <c r="D337" s="29" t="s">
        <v>1540</v>
      </c>
      <c r="E337" s="30" t="s">
        <v>39</v>
      </c>
      <c r="F337" s="30" t="s">
        <v>140</v>
      </c>
      <c r="G337" s="31">
        <v>812588.0</v>
      </c>
      <c r="H337" s="30" t="s">
        <v>1492</v>
      </c>
      <c r="I337" s="31"/>
      <c r="J337" s="30" t="s">
        <v>47</v>
      </c>
    </row>
    <row r="338">
      <c r="A338" s="108">
        <v>763774.0</v>
      </c>
      <c r="B338" s="103">
        <v>44286.0</v>
      </c>
      <c r="C338" s="112" t="s">
        <v>37</v>
      </c>
      <c r="D338" s="29" t="s">
        <v>1541</v>
      </c>
      <c r="E338" s="30" t="s">
        <v>39</v>
      </c>
      <c r="F338" s="30" t="s">
        <v>214</v>
      </c>
      <c r="G338" s="31">
        <v>535562.0</v>
      </c>
      <c r="H338" s="30" t="s">
        <v>47</v>
      </c>
      <c r="I338" s="31">
        <v>2231706.0</v>
      </c>
      <c r="J338" s="30" t="s">
        <v>1542</v>
      </c>
    </row>
    <row r="339">
      <c r="A339" s="108">
        <v>1221906.0</v>
      </c>
      <c r="B339" s="103">
        <v>44286.0</v>
      </c>
      <c r="C339" s="112" t="s">
        <v>37</v>
      </c>
      <c r="D339" s="29" t="s">
        <v>1543</v>
      </c>
      <c r="E339" s="30" t="s">
        <v>39</v>
      </c>
      <c r="F339" s="30" t="s">
        <v>54</v>
      </c>
      <c r="G339" s="31">
        <v>515220.0</v>
      </c>
      <c r="H339" s="30" t="s">
        <v>1544</v>
      </c>
      <c r="I339" s="31"/>
      <c r="J339" s="30" t="s">
        <v>47</v>
      </c>
    </row>
    <row r="340">
      <c r="A340" s="108">
        <v>765282.0</v>
      </c>
      <c r="B340" s="103">
        <v>44286.0</v>
      </c>
      <c r="C340" s="112" t="s">
        <v>37</v>
      </c>
      <c r="D340" s="29" t="s">
        <v>1545</v>
      </c>
      <c r="E340" s="30" t="s">
        <v>58</v>
      </c>
      <c r="F340" s="30" t="s">
        <v>86</v>
      </c>
      <c r="G340" s="31">
        <v>260490.0</v>
      </c>
      <c r="H340" s="30" t="s">
        <v>1546</v>
      </c>
      <c r="I340" s="31">
        <v>1055828.0</v>
      </c>
      <c r="J340" s="30" t="s">
        <v>1547</v>
      </c>
    </row>
    <row r="341">
      <c r="A341" s="108">
        <v>646934.0</v>
      </c>
      <c r="B341" s="103">
        <v>44286.0</v>
      </c>
      <c r="C341" s="112" t="s">
        <v>37</v>
      </c>
      <c r="D341" s="29" t="s">
        <v>1548</v>
      </c>
      <c r="E341" s="30" t="s">
        <v>45</v>
      </c>
      <c r="F341" s="30" t="s">
        <v>172</v>
      </c>
      <c r="G341" s="31">
        <v>755984.0</v>
      </c>
      <c r="H341" s="30" t="s">
        <v>1549</v>
      </c>
      <c r="I341" s="31">
        <v>1680940.0</v>
      </c>
      <c r="J341" s="30" t="s">
        <v>1550</v>
      </c>
    </row>
    <row r="342">
      <c r="A342" s="108">
        <v>561454.0</v>
      </c>
      <c r="B342" s="103">
        <v>44286.0</v>
      </c>
      <c r="C342" s="112" t="s">
        <v>37</v>
      </c>
      <c r="D342" s="29" t="s">
        <v>1551</v>
      </c>
      <c r="E342" s="30" t="s">
        <v>189</v>
      </c>
      <c r="F342" s="30" t="s">
        <v>222</v>
      </c>
      <c r="G342" s="31">
        <v>565120.0</v>
      </c>
      <c r="H342" s="30" t="s">
        <v>1154</v>
      </c>
      <c r="I342" s="31"/>
      <c r="J342" s="30" t="s">
        <v>47</v>
      </c>
    </row>
    <row r="343">
      <c r="A343" s="111">
        <v>3681038.0</v>
      </c>
      <c r="B343" s="103">
        <v>44287.0</v>
      </c>
      <c r="C343" s="112" t="s">
        <v>37</v>
      </c>
      <c r="D343" s="29" t="s">
        <v>1552</v>
      </c>
      <c r="E343" s="30" t="s">
        <v>45</v>
      </c>
      <c r="F343" s="30" t="s">
        <v>75</v>
      </c>
      <c r="G343" s="31"/>
      <c r="H343" s="30"/>
      <c r="I343" s="31"/>
      <c r="J343" s="30"/>
    </row>
    <row r="344">
      <c r="A344" s="111">
        <v>3401208.0</v>
      </c>
      <c r="B344" s="103">
        <v>44301.0</v>
      </c>
      <c r="C344" s="112" t="s">
        <v>37</v>
      </c>
      <c r="D344" s="29" t="s">
        <v>175</v>
      </c>
      <c r="E344" s="30" t="s">
        <v>45</v>
      </c>
      <c r="F344" s="30" t="s">
        <v>90</v>
      </c>
      <c r="G344" s="31"/>
      <c r="H344" s="30"/>
      <c r="I344" s="31"/>
      <c r="J344" s="30"/>
    </row>
    <row r="345">
      <c r="A345" s="111">
        <v>1004588.0</v>
      </c>
      <c r="B345" s="103">
        <v>44315.0</v>
      </c>
      <c r="C345" s="112" t="s">
        <v>70</v>
      </c>
      <c r="D345" s="29" t="s">
        <v>1553</v>
      </c>
      <c r="E345" s="30" t="s">
        <v>45</v>
      </c>
      <c r="F345" s="30" t="s">
        <v>90</v>
      </c>
      <c r="G345" s="31"/>
      <c r="H345" s="30" t="s">
        <v>47</v>
      </c>
      <c r="I345" s="31"/>
      <c r="J345" s="30" t="s">
        <v>47</v>
      </c>
    </row>
    <row r="346">
      <c r="A346" s="111">
        <v>613912.0</v>
      </c>
      <c r="B346" s="103">
        <v>44315.0</v>
      </c>
      <c r="C346" s="112" t="s">
        <v>43</v>
      </c>
      <c r="D346" s="29" t="s">
        <v>1554</v>
      </c>
      <c r="E346" s="30" t="s">
        <v>39</v>
      </c>
      <c r="F346" s="30" t="s">
        <v>140</v>
      </c>
      <c r="G346" s="31"/>
      <c r="H346" s="30" t="s">
        <v>47</v>
      </c>
      <c r="I346" s="31"/>
      <c r="J346" s="30" t="s">
        <v>47</v>
      </c>
    </row>
    <row r="347">
      <c r="A347" s="111">
        <v>3313604.0</v>
      </c>
      <c r="B347" s="103">
        <v>44315.0</v>
      </c>
      <c r="C347" s="112" t="s">
        <v>37</v>
      </c>
      <c r="D347" s="29" t="s">
        <v>1555</v>
      </c>
      <c r="E347" s="30" t="s">
        <v>45</v>
      </c>
      <c r="F347" s="30" t="s">
        <v>75</v>
      </c>
      <c r="G347" s="31"/>
      <c r="H347" s="30" t="s">
        <v>47</v>
      </c>
      <c r="I347" s="31"/>
      <c r="J347" s="30" t="s">
        <v>47</v>
      </c>
    </row>
    <row r="348">
      <c r="A348" s="111">
        <v>92308.0</v>
      </c>
      <c r="B348" s="103">
        <v>44315.0</v>
      </c>
      <c r="C348" s="112" t="s">
        <v>37</v>
      </c>
      <c r="D348" s="29" t="s">
        <v>1556</v>
      </c>
      <c r="E348" s="30" t="s">
        <v>45</v>
      </c>
      <c r="F348" s="30" t="s">
        <v>75</v>
      </c>
      <c r="G348" s="31"/>
      <c r="H348" s="30" t="s">
        <v>47</v>
      </c>
      <c r="I348" s="31"/>
      <c r="J348" s="30" t="s">
        <v>47</v>
      </c>
    </row>
    <row r="349">
      <c r="A349" s="111">
        <v>67332.0</v>
      </c>
      <c r="B349" s="103">
        <v>44315.0</v>
      </c>
      <c r="C349" s="112" t="s">
        <v>37</v>
      </c>
      <c r="D349" s="29" t="s">
        <v>1557</v>
      </c>
      <c r="E349" s="30" t="s">
        <v>45</v>
      </c>
      <c r="F349" s="30" t="s">
        <v>75</v>
      </c>
      <c r="G349" s="31">
        <v>790516.0</v>
      </c>
      <c r="H349" s="30" t="s">
        <v>1558</v>
      </c>
      <c r="I349" s="31">
        <v>1311648.0</v>
      </c>
      <c r="J349" s="30" t="s">
        <v>1559</v>
      </c>
    </row>
    <row r="350">
      <c r="A350" s="111">
        <v>1171824.0</v>
      </c>
      <c r="B350" s="103">
        <v>44315.0</v>
      </c>
      <c r="C350" s="112" t="s">
        <v>37</v>
      </c>
      <c r="D350" s="29" t="s">
        <v>1560</v>
      </c>
      <c r="E350" s="30" t="s">
        <v>45</v>
      </c>
      <c r="F350" s="30" t="s">
        <v>75</v>
      </c>
      <c r="G350" s="31"/>
      <c r="H350" s="30" t="s">
        <v>47</v>
      </c>
      <c r="I350" s="31"/>
      <c r="J350" s="30" t="s">
        <v>47</v>
      </c>
    </row>
    <row r="351">
      <c r="A351" s="111">
        <v>889978.0</v>
      </c>
      <c r="B351" s="103">
        <v>44315.0</v>
      </c>
      <c r="C351" s="112" t="s">
        <v>37</v>
      </c>
      <c r="D351" s="29" t="s">
        <v>1561</v>
      </c>
      <c r="E351" s="30" t="s">
        <v>45</v>
      </c>
      <c r="F351" s="30" t="s">
        <v>75</v>
      </c>
      <c r="G351" s="31"/>
      <c r="H351" s="30" t="s">
        <v>47</v>
      </c>
      <c r="I351" s="31"/>
      <c r="J351" s="30" t="s">
        <v>47</v>
      </c>
    </row>
    <row r="352">
      <c r="A352" s="111">
        <v>948368.0</v>
      </c>
      <c r="B352" s="103">
        <v>44315.0</v>
      </c>
      <c r="C352" s="112" t="s">
        <v>37</v>
      </c>
      <c r="D352" s="29" t="s">
        <v>1480</v>
      </c>
      <c r="E352" s="30" t="s">
        <v>45</v>
      </c>
      <c r="F352" s="30" t="s">
        <v>75</v>
      </c>
      <c r="G352" s="31"/>
      <c r="H352" s="30" t="s">
        <v>47</v>
      </c>
      <c r="I352" s="31"/>
      <c r="J352" s="30" t="s">
        <v>47</v>
      </c>
    </row>
    <row r="353">
      <c r="A353" s="111">
        <v>403190.0</v>
      </c>
      <c r="B353" s="103">
        <v>44315.0</v>
      </c>
      <c r="C353" s="112" t="s">
        <v>37</v>
      </c>
      <c r="D353" s="29" t="s">
        <v>1562</v>
      </c>
      <c r="E353" s="30" t="s">
        <v>45</v>
      </c>
      <c r="F353" s="30" t="s">
        <v>75</v>
      </c>
      <c r="G353" s="31"/>
      <c r="H353" s="30" t="s">
        <v>47</v>
      </c>
      <c r="I353" s="31"/>
      <c r="J353" s="30" t="s">
        <v>47</v>
      </c>
    </row>
    <row r="354">
      <c r="A354" s="111">
        <v>2022160.0</v>
      </c>
      <c r="B354" s="103">
        <v>44315.0</v>
      </c>
      <c r="C354" s="112" t="s">
        <v>37</v>
      </c>
      <c r="D354" s="29" t="s">
        <v>1563</v>
      </c>
      <c r="E354" s="30" t="s">
        <v>45</v>
      </c>
      <c r="F354" s="30" t="s">
        <v>75</v>
      </c>
      <c r="G354" s="31"/>
      <c r="H354" s="30" t="s">
        <v>47</v>
      </c>
      <c r="I354" s="31"/>
      <c r="J354" s="30" t="s">
        <v>47</v>
      </c>
    </row>
    <row r="355">
      <c r="A355" s="111">
        <v>52700.0</v>
      </c>
      <c r="B355" s="103">
        <v>44315.0</v>
      </c>
      <c r="C355" s="112" t="s">
        <v>37</v>
      </c>
      <c r="D355" s="29" t="s">
        <v>1564</v>
      </c>
      <c r="E355" s="30" t="s">
        <v>45</v>
      </c>
      <c r="F355" s="30" t="s">
        <v>75</v>
      </c>
      <c r="G355" s="31"/>
      <c r="H355" s="30" t="s">
        <v>47</v>
      </c>
      <c r="I355" s="31"/>
      <c r="J355" s="30" t="s">
        <v>47</v>
      </c>
    </row>
    <row r="356">
      <c r="A356" s="111">
        <v>236710.0</v>
      </c>
      <c r="B356" s="103">
        <v>44315.0</v>
      </c>
      <c r="C356" s="112" t="s">
        <v>37</v>
      </c>
      <c r="D356" s="29" t="s">
        <v>1565</v>
      </c>
      <c r="E356" s="30" t="s">
        <v>45</v>
      </c>
      <c r="F356" s="30" t="s">
        <v>90</v>
      </c>
      <c r="G356" s="31">
        <v>739854.0</v>
      </c>
      <c r="H356" s="30" t="s">
        <v>1566</v>
      </c>
      <c r="I356" s="31"/>
      <c r="J356" s="30" t="s">
        <v>47</v>
      </c>
    </row>
    <row r="357">
      <c r="A357" s="111">
        <v>2362326.0</v>
      </c>
      <c r="B357" s="103">
        <v>44315.0</v>
      </c>
      <c r="C357" s="112" t="s">
        <v>43</v>
      </c>
      <c r="D357" s="29" t="s">
        <v>1567</v>
      </c>
      <c r="E357" s="30" t="s">
        <v>45</v>
      </c>
      <c r="F357" s="30" t="s">
        <v>90</v>
      </c>
      <c r="G357" s="31">
        <v>3250050.0</v>
      </c>
      <c r="H357" s="30" t="s">
        <v>1568</v>
      </c>
      <c r="I357" s="31"/>
      <c r="J357" s="30" t="s">
        <v>47</v>
      </c>
    </row>
    <row r="358">
      <c r="A358" s="111">
        <v>1432972.0</v>
      </c>
      <c r="B358" s="103">
        <v>44315.0</v>
      </c>
      <c r="C358" s="112" t="s">
        <v>70</v>
      </c>
      <c r="D358" s="29" t="s">
        <v>1569</v>
      </c>
      <c r="E358" s="30" t="s">
        <v>45</v>
      </c>
      <c r="F358" s="30" t="s">
        <v>90</v>
      </c>
      <c r="G358" s="31">
        <v>2907042.0</v>
      </c>
      <c r="H358" s="30" t="s">
        <v>1570</v>
      </c>
      <c r="I358" s="31"/>
      <c r="J358" s="30" t="s">
        <v>47</v>
      </c>
    </row>
    <row r="359">
      <c r="A359" s="111">
        <v>548592.0</v>
      </c>
      <c r="B359" s="103">
        <v>44315.0</v>
      </c>
      <c r="C359" s="112" t="s">
        <v>37</v>
      </c>
      <c r="D359" s="29" t="s">
        <v>1571</v>
      </c>
      <c r="E359" s="30" t="s">
        <v>39</v>
      </c>
      <c r="F359" s="30" t="s">
        <v>297</v>
      </c>
      <c r="G359" s="31">
        <v>762768.0</v>
      </c>
      <c r="H359" s="30" t="s">
        <v>1572</v>
      </c>
      <c r="I359" s="31"/>
      <c r="J359" s="30" t="s">
        <v>47</v>
      </c>
    </row>
    <row r="360">
      <c r="A360" s="111">
        <v>720508.0</v>
      </c>
      <c r="B360" s="103">
        <v>44315.0</v>
      </c>
      <c r="C360" s="112" t="s">
        <v>142</v>
      </c>
      <c r="D360" s="29" t="s">
        <v>1573</v>
      </c>
      <c r="E360" s="30" t="s">
        <v>39</v>
      </c>
      <c r="F360" s="30" t="s">
        <v>214</v>
      </c>
      <c r="G360" s="31"/>
      <c r="H360" s="30" t="s">
        <v>47</v>
      </c>
      <c r="I360" s="31"/>
      <c r="J360" s="30" t="s">
        <v>47</v>
      </c>
    </row>
    <row r="361">
      <c r="A361" s="111">
        <v>508228.0</v>
      </c>
      <c r="B361" s="103">
        <v>44315.0</v>
      </c>
      <c r="C361" s="112" t="s">
        <v>37</v>
      </c>
      <c r="D361" s="29" t="s">
        <v>1574</v>
      </c>
      <c r="E361" s="30" t="s">
        <v>101</v>
      </c>
      <c r="F361" s="30" t="s">
        <v>102</v>
      </c>
      <c r="G361" s="31">
        <v>622466.0</v>
      </c>
      <c r="H361" s="30" t="s">
        <v>1575</v>
      </c>
      <c r="I361" s="31">
        <v>758738.0</v>
      </c>
      <c r="J361" s="30" t="s">
        <v>1576</v>
      </c>
    </row>
    <row r="362">
      <c r="A362" s="111">
        <v>2337088.0</v>
      </c>
      <c r="B362" s="103">
        <v>44315.0</v>
      </c>
      <c r="C362" s="112" t="s">
        <v>70</v>
      </c>
      <c r="D362" s="29" t="s">
        <v>1577</v>
      </c>
      <c r="E362" s="30" t="s">
        <v>83</v>
      </c>
      <c r="F362" s="30" t="s">
        <v>147</v>
      </c>
      <c r="G362" s="31">
        <v>932624.0</v>
      </c>
      <c r="H362" s="30" t="s">
        <v>1578</v>
      </c>
      <c r="I362" s="31"/>
      <c r="J362" s="30" t="s">
        <v>47</v>
      </c>
    </row>
    <row r="363">
      <c r="A363" s="111">
        <v>1823290.0</v>
      </c>
      <c r="B363" s="103">
        <v>44315.0</v>
      </c>
      <c r="C363" s="112" t="s">
        <v>37</v>
      </c>
      <c r="D363" s="29" t="s">
        <v>1579</v>
      </c>
      <c r="E363" s="30" t="s">
        <v>39</v>
      </c>
      <c r="F363" s="30" t="s">
        <v>54</v>
      </c>
      <c r="G363" s="31">
        <v>1049954.0</v>
      </c>
      <c r="H363" s="30" t="s">
        <v>1580</v>
      </c>
      <c r="I363" s="31">
        <v>1557782.0</v>
      </c>
      <c r="J363" s="30" t="s">
        <v>1581</v>
      </c>
    </row>
    <row r="364">
      <c r="A364" s="111">
        <v>511424.0</v>
      </c>
      <c r="B364" s="103">
        <v>44315.0</v>
      </c>
      <c r="C364" s="112" t="s">
        <v>37</v>
      </c>
      <c r="D364" s="29" t="s">
        <v>1582</v>
      </c>
      <c r="E364" s="30" t="s">
        <v>39</v>
      </c>
      <c r="F364" s="30" t="s">
        <v>214</v>
      </c>
      <c r="G364" s="31"/>
      <c r="H364" s="30" t="s">
        <v>47</v>
      </c>
      <c r="I364" s="31"/>
      <c r="J364" s="30" t="s">
        <v>47</v>
      </c>
    </row>
    <row r="365">
      <c r="A365" s="111">
        <v>1575168.0</v>
      </c>
      <c r="B365" s="103">
        <v>44315.0</v>
      </c>
      <c r="C365" s="112" t="s">
        <v>142</v>
      </c>
      <c r="D365" s="29" t="s">
        <v>1583</v>
      </c>
      <c r="E365" s="30" t="s">
        <v>58</v>
      </c>
      <c r="F365" s="30" t="s">
        <v>59</v>
      </c>
      <c r="G365" s="31">
        <v>3068162.0</v>
      </c>
      <c r="H365" s="30" t="s">
        <v>1584</v>
      </c>
      <c r="I365" s="31">
        <v>857368.0</v>
      </c>
      <c r="J365" s="30" t="s">
        <v>1585</v>
      </c>
    </row>
    <row r="366">
      <c r="A366" s="111">
        <v>23911.0</v>
      </c>
      <c r="B366" s="103">
        <v>44315.0</v>
      </c>
      <c r="C366" s="112" t="s">
        <v>37</v>
      </c>
      <c r="D366" s="29" t="s">
        <v>1586</v>
      </c>
      <c r="E366" s="30" t="s">
        <v>219</v>
      </c>
      <c r="F366" s="30" t="s">
        <v>220</v>
      </c>
      <c r="G366" s="31">
        <v>1397390.0</v>
      </c>
      <c r="H366" s="30" t="s">
        <v>1587</v>
      </c>
      <c r="I366" s="31"/>
      <c r="J366" s="30" t="s">
        <v>47</v>
      </c>
    </row>
    <row r="367">
      <c r="A367" s="111">
        <v>436674.0</v>
      </c>
      <c r="B367" s="103">
        <v>44315.0</v>
      </c>
      <c r="C367" s="112" t="s">
        <v>37</v>
      </c>
      <c r="D367" s="29" t="s">
        <v>1588</v>
      </c>
      <c r="E367" s="30" t="s">
        <v>1589</v>
      </c>
      <c r="F367" s="30" t="s">
        <v>1590</v>
      </c>
      <c r="G367" s="31">
        <v>613808.0</v>
      </c>
      <c r="H367" s="30" t="s">
        <v>1591</v>
      </c>
      <c r="I367" s="31"/>
      <c r="J367" s="30" t="s">
        <v>47</v>
      </c>
    </row>
    <row r="368">
      <c r="A368" s="111">
        <v>1660096.0</v>
      </c>
      <c r="B368" s="103">
        <v>44315.0</v>
      </c>
      <c r="C368" s="112" t="s">
        <v>70</v>
      </c>
      <c r="D368" s="29" t="s">
        <v>1592</v>
      </c>
      <c r="E368" s="30" t="s">
        <v>83</v>
      </c>
      <c r="F368" s="30" t="s">
        <v>94</v>
      </c>
      <c r="G368" s="31">
        <v>2217998.0</v>
      </c>
      <c r="H368" s="30" t="s">
        <v>237</v>
      </c>
      <c r="I368" s="31">
        <v>1685330.0</v>
      </c>
      <c r="J368" s="30" t="s">
        <v>1593</v>
      </c>
    </row>
    <row r="369">
      <c r="A369" s="111">
        <v>2286077.0</v>
      </c>
      <c r="B369" s="103">
        <v>44315.0</v>
      </c>
      <c r="C369" s="112" t="s">
        <v>37</v>
      </c>
      <c r="D369" s="29" t="s">
        <v>1594</v>
      </c>
      <c r="E369" s="30" t="s">
        <v>39</v>
      </c>
      <c r="F369" s="30" t="s">
        <v>140</v>
      </c>
      <c r="G369" s="31"/>
      <c r="H369" s="30" t="s">
        <v>47</v>
      </c>
      <c r="I369" s="31"/>
      <c r="J369" s="30" t="s">
        <v>47</v>
      </c>
    </row>
    <row r="370">
      <c r="A370" s="111">
        <v>876738.0</v>
      </c>
      <c r="B370" s="103">
        <v>44315.0</v>
      </c>
      <c r="C370" s="112" t="s">
        <v>37</v>
      </c>
      <c r="D370" s="29" t="s">
        <v>1595</v>
      </c>
      <c r="E370" s="30" t="s">
        <v>39</v>
      </c>
      <c r="F370" s="30" t="s">
        <v>214</v>
      </c>
      <c r="G370" s="31"/>
      <c r="H370" s="30" t="s">
        <v>47</v>
      </c>
      <c r="I370" s="31"/>
      <c r="J370" s="30" t="s">
        <v>47</v>
      </c>
    </row>
    <row r="371">
      <c r="A371" s="111">
        <v>2228866.0</v>
      </c>
      <c r="B371" s="103">
        <v>44315.0</v>
      </c>
      <c r="C371" s="112" t="s">
        <v>170</v>
      </c>
      <c r="D371" s="29" t="s">
        <v>1596</v>
      </c>
      <c r="E371" s="30" t="s">
        <v>83</v>
      </c>
      <c r="F371" s="30" t="s">
        <v>285</v>
      </c>
      <c r="G371" s="31"/>
      <c r="H371" s="30" t="s">
        <v>47</v>
      </c>
      <c r="I371" s="31"/>
      <c r="J371" s="30" t="s">
        <v>47</v>
      </c>
    </row>
    <row r="372">
      <c r="A372" s="111">
        <v>1253556.0</v>
      </c>
      <c r="B372" s="103">
        <v>44315.0</v>
      </c>
      <c r="C372" s="112" t="s">
        <v>37</v>
      </c>
      <c r="D372" s="29" t="s">
        <v>1597</v>
      </c>
      <c r="E372" s="30" t="s">
        <v>63</v>
      </c>
      <c r="F372" s="30" t="s">
        <v>64</v>
      </c>
      <c r="G372" s="31">
        <v>1259060.0</v>
      </c>
      <c r="H372" s="30" t="s">
        <v>1598</v>
      </c>
      <c r="I372" s="31"/>
      <c r="J372" s="30" t="s">
        <v>47</v>
      </c>
    </row>
    <row r="373">
      <c r="A373" s="111">
        <v>467470.0</v>
      </c>
      <c r="B373" s="103">
        <v>44315.0</v>
      </c>
      <c r="C373" s="112" t="s">
        <v>70</v>
      </c>
      <c r="D373" s="29" t="s">
        <v>1599</v>
      </c>
      <c r="E373" s="30" t="s">
        <v>39</v>
      </c>
      <c r="F373" s="30" t="s">
        <v>140</v>
      </c>
      <c r="G373" s="31"/>
      <c r="H373" s="30" t="s">
        <v>47</v>
      </c>
      <c r="I373" s="31"/>
      <c r="J373" s="30" t="s">
        <v>47</v>
      </c>
    </row>
    <row r="374">
      <c r="A374" s="111">
        <v>1145678.0</v>
      </c>
      <c r="B374" s="103">
        <v>44315.0</v>
      </c>
      <c r="C374" s="112" t="s">
        <v>70</v>
      </c>
      <c r="D374" s="29" t="s">
        <v>1600</v>
      </c>
      <c r="E374" s="30" t="s">
        <v>39</v>
      </c>
      <c r="F374" s="30" t="s">
        <v>214</v>
      </c>
      <c r="G374" s="31"/>
      <c r="H374" s="30" t="s">
        <v>47</v>
      </c>
      <c r="I374" s="31"/>
      <c r="J374" s="30" t="s">
        <v>47</v>
      </c>
    </row>
    <row r="375">
      <c r="A375" s="111">
        <v>1713366.0</v>
      </c>
      <c r="B375" s="103">
        <v>44315.0</v>
      </c>
      <c r="C375" s="112" t="s">
        <v>37</v>
      </c>
      <c r="D375" s="29" t="s">
        <v>1601</v>
      </c>
      <c r="E375" s="30" t="s">
        <v>79</v>
      </c>
      <c r="F375" s="30" t="s">
        <v>184</v>
      </c>
      <c r="G375" s="31"/>
      <c r="H375" s="30" t="s">
        <v>47</v>
      </c>
      <c r="I375" s="31"/>
      <c r="J375" s="30" t="s">
        <v>47</v>
      </c>
    </row>
    <row r="376">
      <c r="A376" s="111">
        <v>432262.0</v>
      </c>
      <c r="B376" s="103">
        <v>44315.0</v>
      </c>
      <c r="C376" s="112" t="s">
        <v>37</v>
      </c>
      <c r="D376" s="29" t="s">
        <v>1602</v>
      </c>
      <c r="E376" s="30" t="s">
        <v>83</v>
      </c>
      <c r="F376" s="30" t="s">
        <v>876</v>
      </c>
      <c r="G376" s="31">
        <v>1983870.0</v>
      </c>
      <c r="H376" s="30" t="s">
        <v>1603</v>
      </c>
      <c r="I376" s="31"/>
      <c r="J376" s="30" t="s">
        <v>47</v>
      </c>
    </row>
    <row r="377">
      <c r="A377" s="111">
        <v>1886084.0</v>
      </c>
      <c r="B377" s="103">
        <v>44315.0</v>
      </c>
      <c r="C377" s="112" t="s">
        <v>43</v>
      </c>
      <c r="D377" s="29" t="s">
        <v>1604</v>
      </c>
      <c r="E377" s="30" t="s">
        <v>79</v>
      </c>
      <c r="F377" s="30" t="s">
        <v>184</v>
      </c>
      <c r="G377" s="31"/>
      <c r="H377" s="30" t="s">
        <v>47</v>
      </c>
      <c r="I377" s="31"/>
      <c r="J377" s="30" t="s">
        <v>47</v>
      </c>
    </row>
    <row r="378">
      <c r="A378" s="111">
        <v>2401416.0</v>
      </c>
      <c r="B378" s="103">
        <v>44315.0</v>
      </c>
      <c r="C378" s="112" t="s">
        <v>37</v>
      </c>
      <c r="D378" s="29" t="s">
        <v>1605</v>
      </c>
      <c r="E378" s="30" t="s">
        <v>79</v>
      </c>
      <c r="F378" s="30" t="s">
        <v>80</v>
      </c>
      <c r="G378" s="31"/>
      <c r="H378" s="30" t="s">
        <v>47</v>
      </c>
      <c r="I378" s="31"/>
      <c r="J378" s="30" t="s">
        <v>47</v>
      </c>
    </row>
    <row r="379">
      <c r="A379" s="111">
        <v>2397668.0</v>
      </c>
      <c r="B379" s="103">
        <v>44315.0</v>
      </c>
      <c r="C379" s="112" t="s">
        <v>37</v>
      </c>
      <c r="D379" s="29" t="s">
        <v>1606</v>
      </c>
      <c r="E379" s="30" t="s">
        <v>58</v>
      </c>
      <c r="F379" s="30" t="s">
        <v>59</v>
      </c>
      <c r="G379" s="31">
        <v>2315630.0</v>
      </c>
      <c r="H379" s="30" t="s">
        <v>1607</v>
      </c>
      <c r="I379" s="31"/>
      <c r="J379" s="30" t="s">
        <v>47</v>
      </c>
    </row>
    <row r="380">
      <c r="A380" s="111">
        <v>2794640.0</v>
      </c>
      <c r="B380" s="103">
        <v>44315.0</v>
      </c>
      <c r="C380" s="112" t="s">
        <v>37</v>
      </c>
      <c r="D380" s="29" t="s">
        <v>1608</v>
      </c>
      <c r="E380" s="30" t="s">
        <v>39</v>
      </c>
      <c r="F380" s="30" t="s">
        <v>241</v>
      </c>
      <c r="G380" s="31"/>
      <c r="H380" s="30" t="s">
        <v>47</v>
      </c>
      <c r="I380" s="31"/>
      <c r="J380" s="30" t="s">
        <v>47</v>
      </c>
    </row>
    <row r="381">
      <c r="A381" s="111">
        <v>2029742.0</v>
      </c>
      <c r="B381" s="103">
        <v>44315.0</v>
      </c>
      <c r="C381" s="112" t="s">
        <v>142</v>
      </c>
      <c r="D381" s="29" t="s">
        <v>1609</v>
      </c>
      <c r="E381" s="30" t="s">
        <v>105</v>
      </c>
      <c r="F381" s="30" t="s">
        <v>198</v>
      </c>
      <c r="G381" s="31"/>
      <c r="H381" s="30" t="s">
        <v>47</v>
      </c>
      <c r="I381" s="31"/>
      <c r="J381" s="30" t="s">
        <v>47</v>
      </c>
    </row>
    <row r="382">
      <c r="A382" s="111">
        <v>1737068.0</v>
      </c>
      <c r="B382" s="103">
        <v>44315.0</v>
      </c>
      <c r="C382" s="112" t="s">
        <v>70</v>
      </c>
      <c r="D382" s="29" t="s">
        <v>1610</v>
      </c>
      <c r="E382" s="30" t="s">
        <v>96</v>
      </c>
      <c r="F382" s="30" t="s">
        <v>109</v>
      </c>
      <c r="G382" s="31"/>
      <c r="H382" s="30" t="s">
        <v>47</v>
      </c>
      <c r="I382" s="31"/>
      <c r="J382" s="30" t="s">
        <v>47</v>
      </c>
    </row>
    <row r="383">
      <c r="A383" s="111">
        <v>3196352.0</v>
      </c>
      <c r="B383" s="103">
        <v>44315.0</v>
      </c>
      <c r="C383" s="112" t="s">
        <v>37</v>
      </c>
      <c r="D383" s="29" t="s">
        <v>1611</v>
      </c>
      <c r="E383" s="30" t="s">
        <v>79</v>
      </c>
      <c r="F383" s="30" t="s">
        <v>184</v>
      </c>
      <c r="G383" s="31"/>
      <c r="H383" s="30" t="s">
        <v>47</v>
      </c>
      <c r="I383" s="31"/>
      <c r="J383" s="30" t="s">
        <v>47</v>
      </c>
    </row>
    <row r="384">
      <c r="A384" s="111">
        <v>1131852.0</v>
      </c>
      <c r="B384" s="103">
        <v>44315.0</v>
      </c>
      <c r="C384" s="112" t="s">
        <v>70</v>
      </c>
      <c r="D384" s="29" t="s">
        <v>1612</v>
      </c>
      <c r="E384" s="30" t="s">
        <v>39</v>
      </c>
      <c r="F384" s="30" t="s">
        <v>50</v>
      </c>
      <c r="G384" s="31"/>
      <c r="H384" s="30" t="s">
        <v>47</v>
      </c>
      <c r="I384" s="31"/>
      <c r="J384" s="30" t="s">
        <v>47</v>
      </c>
    </row>
    <row r="385">
      <c r="A385" s="111">
        <v>1347248.0</v>
      </c>
      <c r="B385" s="103">
        <v>44315.0</v>
      </c>
      <c r="C385" s="112" t="s">
        <v>43</v>
      </c>
      <c r="D385" s="29" t="s">
        <v>1613</v>
      </c>
      <c r="E385" s="30" t="s">
        <v>39</v>
      </c>
      <c r="F385" s="30" t="s">
        <v>40</v>
      </c>
      <c r="G385" s="31">
        <v>2286517.0</v>
      </c>
      <c r="H385" s="30" t="s">
        <v>1614</v>
      </c>
      <c r="I385" s="31"/>
      <c r="J385" s="30" t="s">
        <v>47</v>
      </c>
    </row>
    <row r="386">
      <c r="A386" s="111">
        <v>3642154.0</v>
      </c>
      <c r="B386" s="103">
        <v>44319.0</v>
      </c>
      <c r="C386" s="112" t="s">
        <v>37</v>
      </c>
      <c r="D386" s="29" t="s">
        <v>1615</v>
      </c>
      <c r="E386" s="30" t="s">
        <v>45</v>
      </c>
      <c r="F386" s="30" t="s">
        <v>75</v>
      </c>
      <c r="G386" s="31"/>
      <c r="H386" s="30"/>
      <c r="I386" s="31"/>
      <c r="J386" s="30"/>
    </row>
    <row r="387">
      <c r="A387" s="111">
        <v>472444.0</v>
      </c>
      <c r="B387" s="103">
        <v>44327.0</v>
      </c>
      <c r="C387" s="112" t="s">
        <v>37</v>
      </c>
      <c r="D387" s="29" t="s">
        <v>1616</v>
      </c>
      <c r="E387" s="30" t="s">
        <v>45</v>
      </c>
      <c r="F387" s="30" t="s">
        <v>75</v>
      </c>
      <c r="G387" s="31">
        <v>3824370.0</v>
      </c>
      <c r="H387" s="30" t="s">
        <v>1617</v>
      </c>
      <c r="I387" s="31"/>
      <c r="J387" s="30"/>
    </row>
    <row r="388">
      <c r="A388" s="111">
        <v>1314986.0</v>
      </c>
      <c r="B388" s="103">
        <v>44330.0</v>
      </c>
      <c r="C388" s="112" t="s">
        <v>215</v>
      </c>
      <c r="D388" s="29" t="s">
        <v>1618</v>
      </c>
      <c r="E388" s="30" t="s">
        <v>39</v>
      </c>
      <c r="F388" s="30" t="s">
        <v>54</v>
      </c>
      <c r="G388" s="31">
        <v>2734880.0</v>
      </c>
      <c r="H388" s="30" t="s">
        <v>1619</v>
      </c>
      <c r="I388" s="31"/>
      <c r="J388" s="30"/>
    </row>
    <row r="389">
      <c r="A389" s="111">
        <v>1421288.0</v>
      </c>
      <c r="B389" s="103">
        <v>44330.0</v>
      </c>
      <c r="C389" s="112" t="s">
        <v>37</v>
      </c>
      <c r="D389" s="29" t="s">
        <v>1620</v>
      </c>
      <c r="E389" s="30" t="s">
        <v>58</v>
      </c>
      <c r="F389" s="30" t="s">
        <v>59</v>
      </c>
      <c r="G389" s="31">
        <v>591930.0</v>
      </c>
      <c r="H389" s="30" t="s">
        <v>60</v>
      </c>
      <c r="I389" s="31">
        <v>571876.0</v>
      </c>
      <c r="J389" s="30" t="s">
        <v>61</v>
      </c>
    </row>
    <row r="390">
      <c r="A390" s="111">
        <v>2976966.0</v>
      </c>
      <c r="B390" s="103">
        <v>44330.0</v>
      </c>
      <c r="C390" s="112" t="s">
        <v>215</v>
      </c>
      <c r="D390" s="29" t="s">
        <v>1621</v>
      </c>
      <c r="E390" s="30" t="s">
        <v>39</v>
      </c>
      <c r="F390" s="30" t="s">
        <v>50</v>
      </c>
      <c r="G390" s="31">
        <v>2293755.0</v>
      </c>
      <c r="H390" s="30" t="s">
        <v>1622</v>
      </c>
      <c r="I390" s="31">
        <v>2300078.0</v>
      </c>
      <c r="J390" s="30" t="s">
        <v>1623</v>
      </c>
    </row>
    <row r="391">
      <c r="A391" s="111">
        <v>3914646.0</v>
      </c>
      <c r="B391" s="103">
        <v>44340.0</v>
      </c>
      <c r="C391" s="112" t="s">
        <v>37</v>
      </c>
      <c r="D391" s="29" t="s">
        <v>1624</v>
      </c>
      <c r="E391" s="30" t="s">
        <v>63</v>
      </c>
      <c r="F391" s="30" t="s">
        <v>64</v>
      </c>
      <c r="G391" s="31">
        <v>1754098.0</v>
      </c>
      <c r="H391" s="30" t="s">
        <v>1349</v>
      </c>
      <c r="I391" s="31">
        <v>2511476.0</v>
      </c>
      <c r="J391" s="30" t="s">
        <v>1625</v>
      </c>
    </row>
    <row r="392">
      <c r="A392" s="111">
        <v>413618.0</v>
      </c>
      <c r="B392" s="103">
        <v>44347.0</v>
      </c>
      <c r="C392" s="112" t="s">
        <v>37</v>
      </c>
      <c r="D392" s="29" t="s">
        <v>1626</v>
      </c>
      <c r="E392" s="30" t="s">
        <v>39</v>
      </c>
      <c r="F392" s="30" t="s">
        <v>140</v>
      </c>
      <c r="G392" s="31"/>
      <c r="H392" s="30"/>
      <c r="I392" s="31"/>
      <c r="J392" s="30"/>
    </row>
    <row r="393">
      <c r="A393" s="111">
        <v>3671038.0</v>
      </c>
      <c r="B393" s="103">
        <v>44351.0</v>
      </c>
      <c r="C393" s="112" t="s">
        <v>37</v>
      </c>
      <c r="D393" s="29" t="s">
        <v>1627</v>
      </c>
      <c r="E393" s="30" t="s">
        <v>79</v>
      </c>
      <c r="F393" s="30" t="s">
        <v>184</v>
      </c>
      <c r="G393" s="31">
        <v>2340560.0</v>
      </c>
      <c r="H393" s="30" t="s">
        <v>1628</v>
      </c>
      <c r="I393" s="31"/>
      <c r="J393" s="30"/>
    </row>
    <row r="394">
      <c r="A394" s="113">
        <v>1081670.0</v>
      </c>
      <c r="B394" s="103">
        <v>44351.0</v>
      </c>
      <c r="C394" s="112" t="s">
        <v>37</v>
      </c>
      <c r="D394" s="29" t="s">
        <v>1365</v>
      </c>
      <c r="E394" s="30" t="s">
        <v>45</v>
      </c>
      <c r="F394" s="30" t="s">
        <v>46</v>
      </c>
      <c r="G394" s="31"/>
      <c r="H394" s="30" t="s">
        <v>47</v>
      </c>
      <c r="I394" s="31"/>
      <c r="J394" s="30" t="s">
        <v>47</v>
      </c>
    </row>
    <row r="395">
      <c r="A395" s="113">
        <v>3118336.0</v>
      </c>
      <c r="B395" s="103">
        <v>44358.0</v>
      </c>
      <c r="C395" s="112" t="s">
        <v>37</v>
      </c>
      <c r="D395" s="29" t="s">
        <v>1629</v>
      </c>
      <c r="E395" s="30" t="s">
        <v>96</v>
      </c>
      <c r="F395" s="30" t="s">
        <v>97</v>
      </c>
      <c r="G395" s="31">
        <v>2942738.0</v>
      </c>
      <c r="H395" s="30" t="s">
        <v>1630</v>
      </c>
      <c r="I395" s="31"/>
      <c r="J395" s="30"/>
    </row>
    <row r="396">
      <c r="A396" s="113">
        <v>2236572.0</v>
      </c>
      <c r="B396" s="103">
        <v>44361.0</v>
      </c>
      <c r="C396" s="112" t="s">
        <v>37</v>
      </c>
      <c r="D396" s="29" t="s">
        <v>1631</v>
      </c>
      <c r="E396" s="30" t="s">
        <v>39</v>
      </c>
      <c r="F396" s="30" t="s">
        <v>50</v>
      </c>
      <c r="G396" s="31">
        <v>3321604.0</v>
      </c>
      <c r="H396" s="30" t="s">
        <v>1632</v>
      </c>
      <c r="I396" s="31"/>
      <c r="J396" s="30"/>
    </row>
    <row r="397">
      <c r="A397" s="113">
        <v>964656.0</v>
      </c>
      <c r="B397" s="103">
        <v>44361.0</v>
      </c>
      <c r="C397" s="112" t="s">
        <v>37</v>
      </c>
      <c r="D397" s="29" t="s">
        <v>1633</v>
      </c>
      <c r="E397" s="30" t="s">
        <v>101</v>
      </c>
      <c r="F397" s="30" t="s">
        <v>754</v>
      </c>
      <c r="G397" s="31">
        <v>1108858.0</v>
      </c>
      <c r="H397" s="30" t="s">
        <v>1634</v>
      </c>
      <c r="I397" s="31">
        <v>3329962.0</v>
      </c>
      <c r="J397" s="30" t="s">
        <v>1635</v>
      </c>
    </row>
    <row r="398">
      <c r="A398" s="113">
        <v>1845824.0</v>
      </c>
      <c r="B398" s="103">
        <v>44361.0</v>
      </c>
      <c r="C398" s="112" t="s">
        <v>37</v>
      </c>
      <c r="D398" s="29" t="s">
        <v>266</v>
      </c>
      <c r="E398" s="30" t="s">
        <v>45</v>
      </c>
      <c r="F398" s="30" t="s">
        <v>75</v>
      </c>
      <c r="G398" s="31">
        <v>2196488.0</v>
      </c>
      <c r="H398" s="30" t="s">
        <v>1636</v>
      </c>
      <c r="I398" s="31"/>
      <c r="J398" s="30"/>
    </row>
    <row r="399">
      <c r="A399" s="111">
        <v>1824298.0</v>
      </c>
      <c r="B399" s="103">
        <v>44361.0</v>
      </c>
      <c r="C399" s="112" t="s">
        <v>37</v>
      </c>
      <c r="D399" s="29" t="s">
        <v>1637</v>
      </c>
      <c r="E399" s="30" t="s">
        <v>45</v>
      </c>
      <c r="F399" s="30" t="s">
        <v>75</v>
      </c>
      <c r="G399" s="31">
        <v>1921420.0</v>
      </c>
      <c r="H399" s="30" t="s">
        <v>1638</v>
      </c>
      <c r="I399" s="31"/>
      <c r="J399" s="30"/>
    </row>
    <row r="400">
      <c r="A400" s="111">
        <v>1466834.0</v>
      </c>
      <c r="B400" s="103">
        <v>44361.0</v>
      </c>
      <c r="C400" s="112" t="s">
        <v>37</v>
      </c>
      <c r="D400" s="29" t="s">
        <v>1639</v>
      </c>
      <c r="E400" s="30" t="s">
        <v>45</v>
      </c>
      <c r="F400" s="30" t="s">
        <v>75</v>
      </c>
      <c r="G400" s="31">
        <v>3142166.0</v>
      </c>
      <c r="H400" s="30" t="s">
        <v>608</v>
      </c>
      <c r="I400" s="31"/>
      <c r="J400" s="30"/>
    </row>
    <row r="401">
      <c r="A401" s="111">
        <v>1311068.0</v>
      </c>
      <c r="B401" s="103">
        <v>44361.0</v>
      </c>
      <c r="C401" s="112" t="s">
        <v>37</v>
      </c>
      <c r="D401" s="29" t="s">
        <v>1640</v>
      </c>
      <c r="E401" s="30" t="s">
        <v>45</v>
      </c>
      <c r="F401" s="30" t="s">
        <v>75</v>
      </c>
      <c r="G401" s="31">
        <v>1523066.0</v>
      </c>
      <c r="H401" s="30" t="s">
        <v>819</v>
      </c>
      <c r="I401" s="31"/>
      <c r="J401" s="30"/>
    </row>
    <row r="402">
      <c r="A402" s="111">
        <v>2231112.0</v>
      </c>
      <c r="B402" s="103">
        <v>44361.0</v>
      </c>
      <c r="C402" s="112" t="s">
        <v>37</v>
      </c>
      <c r="D402" s="29" t="s">
        <v>1641</v>
      </c>
      <c r="E402" s="30" t="s">
        <v>101</v>
      </c>
      <c r="F402" s="30" t="s">
        <v>754</v>
      </c>
      <c r="G402" s="31">
        <v>3329962.0</v>
      </c>
      <c r="H402" s="30" t="s">
        <v>1635</v>
      </c>
      <c r="I402" s="31"/>
      <c r="J402" s="30"/>
    </row>
    <row r="403">
      <c r="A403" s="111">
        <v>1047358.0</v>
      </c>
      <c r="B403" s="103">
        <v>44361.0</v>
      </c>
      <c r="C403" s="112" t="s">
        <v>37</v>
      </c>
      <c r="D403" s="29" t="s">
        <v>1642</v>
      </c>
      <c r="E403" s="30" t="s">
        <v>101</v>
      </c>
      <c r="F403" s="30" t="s">
        <v>754</v>
      </c>
      <c r="G403" s="31">
        <v>3511854.0</v>
      </c>
      <c r="H403" s="30" t="s">
        <v>1643</v>
      </c>
      <c r="I403" s="31">
        <v>2604078.0</v>
      </c>
      <c r="J403" s="30" t="s">
        <v>1644</v>
      </c>
    </row>
    <row r="404">
      <c r="A404" s="111">
        <v>1905402.0</v>
      </c>
      <c r="B404" s="103">
        <v>44361.0</v>
      </c>
      <c r="C404" s="112" t="s">
        <v>37</v>
      </c>
      <c r="D404" s="29" t="s">
        <v>1645</v>
      </c>
      <c r="E404" s="30" t="s">
        <v>45</v>
      </c>
      <c r="F404" s="30" t="s">
        <v>75</v>
      </c>
      <c r="G404" s="31">
        <v>2051741.0</v>
      </c>
      <c r="H404" s="30" t="s">
        <v>1646</v>
      </c>
      <c r="I404" s="31"/>
      <c r="J404" s="30"/>
    </row>
    <row r="405">
      <c r="A405" s="111">
        <v>1435072.0</v>
      </c>
      <c r="B405" s="103">
        <v>44361.0</v>
      </c>
      <c r="C405" s="112" t="s">
        <v>37</v>
      </c>
      <c r="D405" s="29" t="s">
        <v>1647</v>
      </c>
      <c r="E405" s="30" t="s">
        <v>101</v>
      </c>
      <c r="F405" s="30" t="s">
        <v>754</v>
      </c>
      <c r="G405" s="31">
        <v>3329962.0</v>
      </c>
      <c r="H405" s="30" t="s">
        <v>1635</v>
      </c>
      <c r="I405" s="31"/>
      <c r="J405" s="30"/>
    </row>
    <row r="406">
      <c r="A406" s="111">
        <v>4095874.0</v>
      </c>
      <c r="B406" s="103">
        <v>44369.0</v>
      </c>
      <c r="C406" s="112" t="s">
        <v>37</v>
      </c>
      <c r="D406" s="29" t="s">
        <v>776</v>
      </c>
      <c r="E406" s="30" t="s">
        <v>45</v>
      </c>
      <c r="F406" s="30" t="s">
        <v>75</v>
      </c>
      <c r="G406" s="31">
        <v>3386922.0</v>
      </c>
      <c r="H406" s="30" t="s">
        <v>570</v>
      </c>
      <c r="I406" s="31"/>
      <c r="J406" s="30"/>
    </row>
    <row r="407">
      <c r="A407" s="111">
        <v>1518650.0</v>
      </c>
      <c r="B407" s="103">
        <v>44371.0</v>
      </c>
      <c r="C407" s="112" t="s">
        <v>43</v>
      </c>
      <c r="D407" s="29" t="s">
        <v>1648</v>
      </c>
      <c r="E407" s="30" t="s">
        <v>79</v>
      </c>
      <c r="F407" s="30" t="s">
        <v>261</v>
      </c>
      <c r="G407" s="31">
        <v>1030206.0</v>
      </c>
      <c r="H407" s="30" t="s">
        <v>1649</v>
      </c>
      <c r="I407" s="31"/>
      <c r="J407" s="30" t="s">
        <v>47</v>
      </c>
    </row>
    <row r="408">
      <c r="A408" s="111">
        <v>2490968.0</v>
      </c>
      <c r="B408" s="103">
        <v>44371.0</v>
      </c>
      <c r="C408" s="112" t="s">
        <v>37</v>
      </c>
      <c r="D408" s="29" t="s">
        <v>1650</v>
      </c>
      <c r="E408" s="30" t="s">
        <v>63</v>
      </c>
      <c r="F408" s="30" t="s">
        <v>64</v>
      </c>
      <c r="G408" s="31"/>
      <c r="H408" s="30" t="s">
        <v>47</v>
      </c>
      <c r="I408" s="31"/>
      <c r="J408" s="30" t="s">
        <v>47</v>
      </c>
    </row>
    <row r="409">
      <c r="A409" s="111">
        <v>974264.0</v>
      </c>
      <c r="B409" s="103">
        <v>44371.0</v>
      </c>
      <c r="C409" s="112" t="s">
        <v>142</v>
      </c>
      <c r="D409" s="29" t="s">
        <v>1651</v>
      </c>
      <c r="E409" s="30" t="s">
        <v>39</v>
      </c>
      <c r="F409" s="30" t="s">
        <v>140</v>
      </c>
      <c r="G409" s="31">
        <v>1565094.0</v>
      </c>
      <c r="H409" s="30" t="s">
        <v>1380</v>
      </c>
      <c r="I409" s="31">
        <v>1012816.0</v>
      </c>
      <c r="J409" s="30" t="s">
        <v>1652</v>
      </c>
    </row>
    <row r="410">
      <c r="A410" s="111">
        <v>1649658.0</v>
      </c>
      <c r="B410" s="103">
        <v>44371.0</v>
      </c>
      <c r="C410" s="112" t="s">
        <v>43</v>
      </c>
      <c r="D410" s="29" t="s">
        <v>1653</v>
      </c>
      <c r="E410" s="30" t="s">
        <v>122</v>
      </c>
      <c r="F410" s="30" t="s">
        <v>127</v>
      </c>
      <c r="G410" s="31"/>
      <c r="H410" s="30" t="s">
        <v>47</v>
      </c>
      <c r="I410" s="31"/>
      <c r="J410" s="30" t="s">
        <v>47</v>
      </c>
    </row>
    <row r="411">
      <c r="A411" s="111">
        <v>1145300.0</v>
      </c>
      <c r="B411" s="103">
        <v>44371.0</v>
      </c>
      <c r="C411" s="112" t="s">
        <v>43</v>
      </c>
      <c r="D411" s="29" t="s">
        <v>1654</v>
      </c>
      <c r="E411" s="30" t="s">
        <v>105</v>
      </c>
      <c r="F411" s="30" t="s">
        <v>778</v>
      </c>
      <c r="G411" s="31">
        <v>1566242.0</v>
      </c>
      <c r="H411" s="30" t="s">
        <v>1655</v>
      </c>
      <c r="I411" s="31">
        <v>1862698.0</v>
      </c>
      <c r="J411" s="30" t="s">
        <v>1656</v>
      </c>
    </row>
    <row r="412">
      <c r="A412" s="111">
        <v>1255236.0</v>
      </c>
      <c r="B412" s="103">
        <v>44371.0</v>
      </c>
      <c r="C412" s="112" t="s">
        <v>142</v>
      </c>
      <c r="D412" s="29" t="s">
        <v>1657</v>
      </c>
      <c r="E412" s="30" t="s">
        <v>83</v>
      </c>
      <c r="F412" s="30" t="s">
        <v>147</v>
      </c>
      <c r="G412" s="31">
        <v>1219236.0</v>
      </c>
      <c r="H412" s="30" t="s">
        <v>1658</v>
      </c>
      <c r="I412" s="31"/>
      <c r="J412" s="30" t="s">
        <v>47</v>
      </c>
    </row>
    <row r="413">
      <c r="A413" s="114">
        <v>2954952.0</v>
      </c>
      <c r="B413" s="103">
        <v>44371.0</v>
      </c>
      <c r="C413" s="112" t="s">
        <v>37</v>
      </c>
      <c r="D413" s="29" t="s">
        <v>1659</v>
      </c>
      <c r="E413" s="30" t="s">
        <v>96</v>
      </c>
      <c r="F413" s="30" t="s">
        <v>109</v>
      </c>
      <c r="G413" s="31">
        <v>1255136.0</v>
      </c>
      <c r="H413" s="30" t="s">
        <v>1660</v>
      </c>
      <c r="I413" s="31"/>
      <c r="J413" s="30" t="s">
        <v>47</v>
      </c>
    </row>
    <row r="414">
      <c r="A414" s="111">
        <v>1577518.0</v>
      </c>
      <c r="B414" s="103">
        <v>44371.0</v>
      </c>
      <c r="C414" s="112" t="s">
        <v>37</v>
      </c>
      <c r="D414" s="29" t="s">
        <v>1661</v>
      </c>
      <c r="E414" s="30" t="s">
        <v>45</v>
      </c>
      <c r="F414" s="30" t="s">
        <v>75</v>
      </c>
      <c r="G414" s="31"/>
      <c r="H414" s="30" t="s">
        <v>47</v>
      </c>
      <c r="I414" s="31"/>
      <c r="J414" s="30" t="s">
        <v>47</v>
      </c>
    </row>
    <row r="415">
      <c r="A415" s="111">
        <v>2369426.0</v>
      </c>
      <c r="B415" s="103">
        <v>44371.0</v>
      </c>
      <c r="C415" s="112" t="s">
        <v>37</v>
      </c>
      <c r="D415" s="29" t="s">
        <v>1662</v>
      </c>
      <c r="E415" s="30" t="s">
        <v>39</v>
      </c>
      <c r="F415" s="30" t="s">
        <v>140</v>
      </c>
      <c r="G415" s="31"/>
      <c r="H415" s="30" t="s">
        <v>47</v>
      </c>
      <c r="I415" s="31"/>
      <c r="J415" s="30" t="s">
        <v>47</v>
      </c>
    </row>
    <row r="416">
      <c r="A416" s="111">
        <v>950614.0</v>
      </c>
      <c r="B416" s="103">
        <v>44371.0</v>
      </c>
      <c r="C416" s="112" t="s">
        <v>37</v>
      </c>
      <c r="D416" s="29" t="s">
        <v>1663</v>
      </c>
      <c r="E416" s="30" t="s">
        <v>63</v>
      </c>
      <c r="F416" s="30" t="s">
        <v>258</v>
      </c>
      <c r="G416" s="31">
        <v>1982382.0</v>
      </c>
      <c r="H416" s="30" t="s">
        <v>1664</v>
      </c>
      <c r="I416" s="31"/>
      <c r="J416" s="30" t="s">
        <v>47</v>
      </c>
    </row>
    <row r="417">
      <c r="A417" s="111">
        <v>1701332.0</v>
      </c>
      <c r="B417" s="103">
        <v>44371.0</v>
      </c>
      <c r="C417" s="112" t="s">
        <v>37</v>
      </c>
      <c r="D417" s="29" t="s">
        <v>1665</v>
      </c>
      <c r="E417" s="30" t="s">
        <v>39</v>
      </c>
      <c r="F417" s="30" t="s">
        <v>297</v>
      </c>
      <c r="G417" s="31"/>
      <c r="H417" s="30" t="s">
        <v>47</v>
      </c>
      <c r="I417" s="31"/>
      <c r="J417" s="30" t="s">
        <v>47</v>
      </c>
    </row>
    <row r="418">
      <c r="A418" s="111">
        <v>2362076.0</v>
      </c>
      <c r="B418" s="103">
        <v>44371.0</v>
      </c>
      <c r="C418" s="112" t="s">
        <v>37</v>
      </c>
      <c r="D418" s="29" t="s">
        <v>1666</v>
      </c>
      <c r="E418" s="30" t="s">
        <v>45</v>
      </c>
      <c r="F418" s="30" t="s">
        <v>75</v>
      </c>
      <c r="G418" s="31"/>
      <c r="H418" s="30" t="s">
        <v>47</v>
      </c>
      <c r="I418" s="31"/>
      <c r="J418" s="30" t="s">
        <v>47</v>
      </c>
    </row>
    <row r="419">
      <c r="A419" s="111">
        <v>826352.0</v>
      </c>
      <c r="B419" s="103">
        <v>44371.0</v>
      </c>
      <c r="C419" s="112" t="s">
        <v>37</v>
      </c>
      <c r="D419" s="29" t="s">
        <v>1667</v>
      </c>
      <c r="E419" s="30" t="s">
        <v>63</v>
      </c>
      <c r="F419" s="30" t="s">
        <v>64</v>
      </c>
      <c r="G419" s="31"/>
      <c r="H419" s="30" t="s">
        <v>47</v>
      </c>
      <c r="I419" s="31"/>
      <c r="J419" s="30" t="s">
        <v>47</v>
      </c>
    </row>
    <row r="420">
      <c r="A420" s="111">
        <v>2779654.0</v>
      </c>
      <c r="B420" s="103">
        <v>44371.0</v>
      </c>
      <c r="C420" s="112" t="s">
        <v>37</v>
      </c>
      <c r="D420" s="29" t="s">
        <v>1668</v>
      </c>
      <c r="E420" s="30" t="s">
        <v>45</v>
      </c>
      <c r="F420" s="30" t="s">
        <v>75</v>
      </c>
      <c r="G420" s="31">
        <v>2131244.0</v>
      </c>
      <c r="H420" s="30" t="s">
        <v>1669</v>
      </c>
      <c r="I420" s="31">
        <v>1927250.0</v>
      </c>
      <c r="J420" s="30" t="s">
        <v>1670</v>
      </c>
    </row>
    <row r="421">
      <c r="A421" s="111">
        <v>1386964.0</v>
      </c>
      <c r="B421" s="103">
        <v>44371.0</v>
      </c>
      <c r="C421" s="112" t="s">
        <v>37</v>
      </c>
      <c r="D421" s="29" t="s">
        <v>1671</v>
      </c>
      <c r="E421" s="30" t="s">
        <v>144</v>
      </c>
      <c r="F421" s="30" t="s">
        <v>339</v>
      </c>
      <c r="G421" s="31">
        <v>1434700.0</v>
      </c>
      <c r="H421" s="30" t="s">
        <v>1672</v>
      </c>
      <c r="I421" s="31">
        <v>312042.0</v>
      </c>
      <c r="J421" s="30" t="s">
        <v>1673</v>
      </c>
    </row>
    <row r="422">
      <c r="A422" s="111">
        <v>1993270.0</v>
      </c>
      <c r="B422" s="103">
        <v>44371.0</v>
      </c>
      <c r="C422" s="112" t="s">
        <v>37</v>
      </c>
      <c r="D422" s="29" t="s">
        <v>1674</v>
      </c>
      <c r="E422" s="30" t="s">
        <v>45</v>
      </c>
      <c r="F422" s="30" t="s">
        <v>90</v>
      </c>
      <c r="G422" s="31"/>
      <c r="H422" s="30" t="s">
        <v>47</v>
      </c>
      <c r="I422" s="31"/>
      <c r="J422" s="30" t="s">
        <v>47</v>
      </c>
    </row>
    <row r="423">
      <c r="A423" s="111">
        <v>2355222.0</v>
      </c>
      <c r="B423" s="103">
        <v>44371.0</v>
      </c>
      <c r="C423" s="112" t="s">
        <v>37</v>
      </c>
      <c r="D423" s="29" t="s">
        <v>1675</v>
      </c>
      <c r="E423" s="30" t="s">
        <v>39</v>
      </c>
      <c r="F423" s="30" t="s">
        <v>50</v>
      </c>
      <c r="G423" s="31"/>
      <c r="H423" s="30" t="s">
        <v>47</v>
      </c>
      <c r="I423" s="31"/>
      <c r="J423" s="30" t="s">
        <v>47</v>
      </c>
    </row>
    <row r="424">
      <c r="A424" s="111">
        <v>1892340.0</v>
      </c>
      <c r="B424" s="103">
        <v>44371.0</v>
      </c>
      <c r="C424" s="112" t="s">
        <v>37</v>
      </c>
      <c r="D424" s="29" t="s">
        <v>1676</v>
      </c>
      <c r="E424" s="30" t="s">
        <v>45</v>
      </c>
      <c r="F424" s="30" t="s">
        <v>46</v>
      </c>
      <c r="G424" s="31"/>
      <c r="H424" s="30" t="s">
        <v>47</v>
      </c>
      <c r="I424" s="31"/>
      <c r="J424" s="30" t="s">
        <v>47</v>
      </c>
    </row>
    <row r="425">
      <c r="A425" s="111">
        <v>933482.0</v>
      </c>
      <c r="B425" s="103">
        <v>44371.0</v>
      </c>
      <c r="C425" s="112" t="s">
        <v>37</v>
      </c>
      <c r="D425" s="29" t="s">
        <v>1677</v>
      </c>
      <c r="E425" s="30" t="s">
        <v>83</v>
      </c>
      <c r="F425" s="30" t="s">
        <v>876</v>
      </c>
      <c r="G425" s="31">
        <v>253804.0</v>
      </c>
      <c r="H425" s="30" t="s">
        <v>1678</v>
      </c>
      <c r="I425" s="31"/>
      <c r="J425" s="30" t="s">
        <v>47</v>
      </c>
    </row>
    <row r="426">
      <c r="A426" s="111">
        <v>3062318.0</v>
      </c>
      <c r="B426" s="103">
        <v>44371.0</v>
      </c>
      <c r="C426" s="112" t="s">
        <v>37</v>
      </c>
      <c r="D426" s="29" t="s">
        <v>1679</v>
      </c>
      <c r="E426" s="30" t="s">
        <v>144</v>
      </c>
      <c r="F426" s="30" t="s">
        <v>311</v>
      </c>
      <c r="G426" s="31">
        <v>379374.0</v>
      </c>
      <c r="H426" s="30" t="s">
        <v>1680</v>
      </c>
      <c r="I426" s="31"/>
      <c r="J426" s="30" t="s">
        <v>47</v>
      </c>
    </row>
    <row r="427">
      <c r="A427" s="111">
        <v>63115.0</v>
      </c>
      <c r="B427" s="103">
        <v>44371.0</v>
      </c>
      <c r="C427" s="112" t="s">
        <v>37</v>
      </c>
      <c r="D427" s="29" t="s">
        <v>1681</v>
      </c>
      <c r="E427" s="30" t="s">
        <v>96</v>
      </c>
      <c r="F427" s="30" t="s">
        <v>352</v>
      </c>
      <c r="G427" s="31">
        <v>700080.0</v>
      </c>
      <c r="H427" s="30" t="s">
        <v>1682</v>
      </c>
      <c r="I427" s="31"/>
      <c r="J427" s="30" t="s">
        <v>47</v>
      </c>
    </row>
    <row r="428">
      <c r="A428" s="111">
        <v>2514076.0</v>
      </c>
      <c r="B428" s="103">
        <v>44371.0</v>
      </c>
      <c r="C428" s="112" t="s">
        <v>37</v>
      </c>
      <c r="D428" s="29" t="s">
        <v>1683</v>
      </c>
      <c r="E428" s="30" t="s">
        <v>101</v>
      </c>
      <c r="F428" s="30" t="s">
        <v>102</v>
      </c>
      <c r="G428" s="31">
        <v>1299656.0</v>
      </c>
      <c r="H428" s="30" t="s">
        <v>1684</v>
      </c>
      <c r="I428" s="31"/>
      <c r="J428" s="30" t="s">
        <v>47</v>
      </c>
    </row>
    <row r="429">
      <c r="A429" s="111">
        <v>1278524.0</v>
      </c>
      <c r="B429" s="103">
        <v>44371.0</v>
      </c>
      <c r="C429" s="112" t="s">
        <v>37</v>
      </c>
      <c r="D429" s="29" t="s">
        <v>1685</v>
      </c>
      <c r="E429" s="30" t="s">
        <v>45</v>
      </c>
      <c r="F429" s="30" t="s">
        <v>75</v>
      </c>
      <c r="G429" s="31"/>
      <c r="H429" s="30" t="s">
        <v>47</v>
      </c>
      <c r="I429" s="31"/>
      <c r="J429" s="30" t="s">
        <v>47</v>
      </c>
    </row>
    <row r="430">
      <c r="A430" s="111">
        <v>935288.0</v>
      </c>
      <c r="B430" s="103">
        <v>44371.0</v>
      </c>
      <c r="C430" s="112" t="s">
        <v>37</v>
      </c>
      <c r="D430" s="29" t="s">
        <v>1686</v>
      </c>
      <c r="E430" s="30" t="s">
        <v>58</v>
      </c>
      <c r="F430" s="30" t="s">
        <v>59</v>
      </c>
      <c r="G430" s="31">
        <v>376472.0</v>
      </c>
      <c r="H430" s="30" t="s">
        <v>1687</v>
      </c>
      <c r="I430" s="31"/>
      <c r="J430" s="30" t="s">
        <v>47</v>
      </c>
    </row>
    <row r="431">
      <c r="A431" s="111">
        <v>1326122.0</v>
      </c>
      <c r="B431" s="103">
        <v>44371.0</v>
      </c>
      <c r="C431" s="112" t="s">
        <v>37</v>
      </c>
      <c r="D431" s="29" t="s">
        <v>1688</v>
      </c>
      <c r="E431" s="30" t="s">
        <v>79</v>
      </c>
      <c r="F431" s="30" t="s">
        <v>184</v>
      </c>
      <c r="G431" s="31">
        <v>1049210.0</v>
      </c>
      <c r="H431" s="30" t="s">
        <v>81</v>
      </c>
      <c r="I431" s="31">
        <v>942882.0</v>
      </c>
      <c r="J431" s="30" t="s">
        <v>1689</v>
      </c>
    </row>
    <row r="432">
      <c r="A432" s="111">
        <v>756296.0</v>
      </c>
      <c r="B432" s="103">
        <v>44371.0</v>
      </c>
      <c r="C432" s="112" t="s">
        <v>37</v>
      </c>
      <c r="D432" s="29" t="s">
        <v>1690</v>
      </c>
      <c r="E432" s="30" t="s">
        <v>189</v>
      </c>
      <c r="F432" s="30" t="s">
        <v>337</v>
      </c>
      <c r="G432" s="31">
        <v>646452.0</v>
      </c>
      <c r="H432" s="30" t="s">
        <v>1691</v>
      </c>
      <c r="I432" s="31"/>
      <c r="J432" s="30" t="s">
        <v>47</v>
      </c>
    </row>
    <row r="433">
      <c r="A433" s="111">
        <v>1573030.0</v>
      </c>
      <c r="B433" s="103">
        <v>44371.0</v>
      </c>
      <c r="C433" s="112" t="s">
        <v>37</v>
      </c>
      <c r="D433" s="29" t="s">
        <v>1692</v>
      </c>
      <c r="E433" s="30" t="s">
        <v>45</v>
      </c>
      <c r="F433" s="30" t="s">
        <v>90</v>
      </c>
      <c r="G433" s="31">
        <v>2642432.0</v>
      </c>
      <c r="H433" s="30" t="s">
        <v>47</v>
      </c>
      <c r="I433" s="31">
        <v>1289926.0</v>
      </c>
      <c r="J433" s="30" t="s">
        <v>1693</v>
      </c>
    </row>
    <row r="434">
      <c r="A434" s="111">
        <v>2815357.0</v>
      </c>
      <c r="B434" s="103">
        <v>44371.0</v>
      </c>
      <c r="C434" s="112" t="s">
        <v>37</v>
      </c>
      <c r="D434" s="29" t="s">
        <v>1694</v>
      </c>
      <c r="E434" s="30" t="s">
        <v>39</v>
      </c>
      <c r="F434" s="30" t="s">
        <v>140</v>
      </c>
      <c r="G434" s="31">
        <v>1362070.0</v>
      </c>
      <c r="H434" s="30" t="s">
        <v>1695</v>
      </c>
      <c r="I434" s="31"/>
      <c r="J434" s="30" t="s">
        <v>47</v>
      </c>
    </row>
    <row r="435">
      <c r="A435" s="111">
        <v>395378.0</v>
      </c>
      <c r="B435" s="103">
        <v>44371.0</v>
      </c>
      <c r="C435" s="112" t="s">
        <v>37</v>
      </c>
      <c r="D435" s="29" t="s">
        <v>1696</v>
      </c>
      <c r="E435" s="30" t="s">
        <v>219</v>
      </c>
      <c r="F435" s="30" t="s">
        <v>220</v>
      </c>
      <c r="G435" s="31">
        <v>1449746.0</v>
      </c>
      <c r="H435" s="30" t="s">
        <v>1697</v>
      </c>
      <c r="I435" s="31">
        <v>1426364.0</v>
      </c>
      <c r="J435" s="30" t="s">
        <v>1698</v>
      </c>
    </row>
    <row r="436">
      <c r="A436" s="111">
        <v>1029244.0</v>
      </c>
      <c r="B436" s="103">
        <v>44371.0</v>
      </c>
      <c r="C436" s="112" t="s">
        <v>37</v>
      </c>
      <c r="D436" s="29" t="s">
        <v>1699</v>
      </c>
      <c r="E436" s="30" t="s">
        <v>45</v>
      </c>
      <c r="F436" s="30" t="s">
        <v>75</v>
      </c>
      <c r="G436" s="31"/>
      <c r="H436" s="30" t="s">
        <v>47</v>
      </c>
      <c r="I436" s="31"/>
      <c r="J436" s="30" t="s">
        <v>47</v>
      </c>
    </row>
    <row r="437">
      <c r="A437" s="111">
        <v>1412464.0</v>
      </c>
      <c r="B437" s="103">
        <v>44371.0</v>
      </c>
      <c r="C437" s="112" t="s">
        <v>37</v>
      </c>
      <c r="D437" s="29" t="s">
        <v>1700</v>
      </c>
      <c r="E437" s="30" t="s">
        <v>39</v>
      </c>
      <c r="F437" s="30" t="s">
        <v>113</v>
      </c>
      <c r="G437" s="31">
        <v>1917546.0</v>
      </c>
      <c r="H437" s="30" t="s">
        <v>1701</v>
      </c>
      <c r="I437" s="31">
        <v>2121018.0</v>
      </c>
      <c r="J437" s="30" t="s">
        <v>1702</v>
      </c>
    </row>
    <row r="438">
      <c r="A438" s="111">
        <v>1392722.0</v>
      </c>
      <c r="B438" s="103">
        <v>44371.0</v>
      </c>
      <c r="C438" s="112" t="s">
        <v>37</v>
      </c>
      <c r="D438" s="29" t="s">
        <v>1703</v>
      </c>
      <c r="E438" s="30" t="s">
        <v>79</v>
      </c>
      <c r="F438" s="30" t="s">
        <v>184</v>
      </c>
      <c r="G438" s="31">
        <v>1897892.0</v>
      </c>
      <c r="H438" s="30" t="s">
        <v>1704</v>
      </c>
      <c r="I438" s="31"/>
      <c r="J438" s="30" t="s">
        <v>47</v>
      </c>
    </row>
    <row r="439">
      <c r="A439" s="111">
        <v>1916776.0</v>
      </c>
      <c r="B439" s="103">
        <v>44371.0</v>
      </c>
      <c r="C439" s="112" t="s">
        <v>37</v>
      </c>
      <c r="D439" s="29" t="s">
        <v>1705</v>
      </c>
      <c r="E439" s="30" t="s">
        <v>79</v>
      </c>
      <c r="F439" s="30" t="s">
        <v>261</v>
      </c>
      <c r="G439" s="31">
        <v>2503124.0</v>
      </c>
      <c r="H439" s="30" t="s">
        <v>1706</v>
      </c>
      <c r="I439" s="31"/>
      <c r="J439" s="30" t="s">
        <v>47</v>
      </c>
    </row>
    <row r="440">
      <c r="A440" s="111">
        <v>1192724.0</v>
      </c>
      <c r="B440" s="103">
        <v>44371.0</v>
      </c>
      <c r="C440" s="112" t="s">
        <v>70</v>
      </c>
      <c r="D440" s="29" t="s">
        <v>1707</v>
      </c>
      <c r="E440" s="30" t="s">
        <v>83</v>
      </c>
      <c r="F440" s="30" t="s">
        <v>84</v>
      </c>
      <c r="G440" s="31">
        <v>2217998.0</v>
      </c>
      <c r="H440" s="30" t="s">
        <v>237</v>
      </c>
      <c r="I440" s="31"/>
      <c r="J440" s="30" t="s">
        <v>47</v>
      </c>
    </row>
    <row r="441">
      <c r="A441" s="111">
        <v>1759390.0</v>
      </c>
      <c r="B441" s="103">
        <v>44371.0</v>
      </c>
      <c r="C441" s="112" t="s">
        <v>142</v>
      </c>
      <c r="D441" s="29" t="s">
        <v>1708</v>
      </c>
      <c r="E441" s="30" t="s">
        <v>39</v>
      </c>
      <c r="F441" s="30" t="s">
        <v>140</v>
      </c>
      <c r="G441" s="31"/>
      <c r="H441" s="30" t="s">
        <v>47</v>
      </c>
      <c r="I441" s="31"/>
      <c r="J441" s="30" t="s">
        <v>47</v>
      </c>
    </row>
    <row r="442">
      <c r="A442" s="111">
        <v>1099324.0</v>
      </c>
      <c r="B442" s="103">
        <v>44371.0</v>
      </c>
      <c r="C442" s="112" t="s">
        <v>43</v>
      </c>
      <c r="D442" s="29" t="s">
        <v>1709</v>
      </c>
      <c r="E442" s="30" t="s">
        <v>101</v>
      </c>
      <c r="F442" s="30" t="s">
        <v>754</v>
      </c>
      <c r="G442" s="31">
        <v>1802016.0</v>
      </c>
      <c r="H442" s="30" t="s">
        <v>1710</v>
      </c>
      <c r="I442" s="31"/>
      <c r="J442" s="30" t="s">
        <v>47</v>
      </c>
    </row>
    <row r="443">
      <c r="A443" s="111">
        <v>3156278.0</v>
      </c>
      <c r="B443" s="103">
        <v>44371.0</v>
      </c>
      <c r="C443" s="112" t="s">
        <v>187</v>
      </c>
      <c r="D443" s="29" t="s">
        <v>1711</v>
      </c>
      <c r="E443" s="30" t="s">
        <v>189</v>
      </c>
      <c r="F443" s="30" t="s">
        <v>337</v>
      </c>
      <c r="G443" s="31"/>
      <c r="H443" s="30" t="s">
        <v>47</v>
      </c>
      <c r="I443" s="31"/>
      <c r="J443" s="30" t="s">
        <v>47</v>
      </c>
    </row>
    <row r="444">
      <c r="A444" s="111">
        <v>1317912.0</v>
      </c>
      <c r="B444" s="103">
        <v>44371.0</v>
      </c>
      <c r="C444" s="112" t="s">
        <v>187</v>
      </c>
      <c r="D444" s="29" t="s">
        <v>1712</v>
      </c>
      <c r="E444" s="30" t="s">
        <v>83</v>
      </c>
      <c r="F444" s="30" t="s">
        <v>147</v>
      </c>
      <c r="G444" s="31"/>
      <c r="H444" s="30" t="s">
        <v>47</v>
      </c>
      <c r="I444" s="31"/>
      <c r="J444" s="30" t="s">
        <v>47</v>
      </c>
    </row>
    <row r="445">
      <c r="A445" s="111">
        <v>1723362.0</v>
      </c>
      <c r="B445" s="103">
        <v>44371.0</v>
      </c>
      <c r="C445" s="112" t="s">
        <v>43</v>
      </c>
      <c r="D445" s="29" t="s">
        <v>1713</v>
      </c>
      <c r="E445" s="30" t="s">
        <v>83</v>
      </c>
      <c r="F445" s="30" t="s">
        <v>94</v>
      </c>
      <c r="G445" s="31"/>
      <c r="H445" s="30" t="s">
        <v>47</v>
      </c>
      <c r="I445" s="31"/>
      <c r="J445" s="30" t="s">
        <v>47</v>
      </c>
    </row>
    <row r="446">
      <c r="A446" s="111">
        <v>1958442.0</v>
      </c>
      <c r="B446" s="103">
        <v>44371.0</v>
      </c>
      <c r="C446" s="112" t="s">
        <v>43</v>
      </c>
      <c r="D446" s="29" t="s">
        <v>1714</v>
      </c>
      <c r="E446" s="30" t="s">
        <v>83</v>
      </c>
      <c r="F446" s="30" t="s">
        <v>285</v>
      </c>
      <c r="G446" s="31">
        <v>2110806.0</v>
      </c>
      <c r="H446" s="30" t="s">
        <v>1715</v>
      </c>
      <c r="I446" s="31">
        <v>1684832.0</v>
      </c>
      <c r="J446" s="30" t="s">
        <v>1716</v>
      </c>
    </row>
    <row r="447">
      <c r="A447" s="111">
        <v>1521426.0</v>
      </c>
      <c r="B447" s="103">
        <v>44371.0</v>
      </c>
      <c r="C447" s="112" t="s">
        <v>170</v>
      </c>
      <c r="D447" s="29" t="s">
        <v>1717</v>
      </c>
      <c r="E447" s="30" t="s">
        <v>45</v>
      </c>
      <c r="F447" s="30" t="s">
        <v>75</v>
      </c>
      <c r="G447" s="31"/>
      <c r="H447" s="30" t="s">
        <v>47</v>
      </c>
      <c r="I447" s="31"/>
      <c r="J447" s="30" t="s">
        <v>47</v>
      </c>
    </row>
    <row r="448">
      <c r="A448" s="111">
        <v>225170.0</v>
      </c>
      <c r="B448" s="103">
        <v>44371.0</v>
      </c>
      <c r="C448" s="112" t="s">
        <v>70</v>
      </c>
      <c r="D448" s="29" t="s">
        <v>1718</v>
      </c>
      <c r="E448" s="30" t="s">
        <v>39</v>
      </c>
      <c r="F448" s="30" t="s">
        <v>54</v>
      </c>
      <c r="G448" s="31"/>
      <c r="H448" s="30" t="s">
        <v>47</v>
      </c>
      <c r="I448" s="31"/>
      <c r="J448" s="30" t="s">
        <v>47</v>
      </c>
    </row>
    <row r="449">
      <c r="A449" s="111">
        <v>1696802.0</v>
      </c>
      <c r="B449" s="103">
        <v>44371.0</v>
      </c>
      <c r="C449" s="112" t="s">
        <v>70</v>
      </c>
      <c r="D449" s="29" t="s">
        <v>1719</v>
      </c>
      <c r="E449" s="30" t="s">
        <v>39</v>
      </c>
      <c r="F449" s="30" t="s">
        <v>54</v>
      </c>
      <c r="G449" s="31">
        <v>1192848.0</v>
      </c>
      <c r="H449" s="30" t="s">
        <v>1720</v>
      </c>
      <c r="I449" s="31"/>
      <c r="J449" s="30" t="s">
        <v>47</v>
      </c>
    </row>
    <row r="450">
      <c r="A450" s="111">
        <v>1864090.0</v>
      </c>
      <c r="B450" s="103">
        <v>44371.0</v>
      </c>
      <c r="C450" s="112" t="s">
        <v>70</v>
      </c>
      <c r="D450" s="29" t="s">
        <v>1721</v>
      </c>
      <c r="E450" s="30" t="s">
        <v>39</v>
      </c>
      <c r="F450" s="30" t="s">
        <v>214</v>
      </c>
      <c r="G450" s="31"/>
      <c r="H450" s="30" t="s">
        <v>47</v>
      </c>
      <c r="I450" s="31"/>
      <c r="J450" s="30" t="s">
        <v>47</v>
      </c>
    </row>
    <row r="451">
      <c r="A451" s="111">
        <v>555262.0</v>
      </c>
      <c r="B451" s="103">
        <v>44371.0</v>
      </c>
      <c r="C451" s="112" t="s">
        <v>142</v>
      </c>
      <c r="D451" s="29" t="s">
        <v>1722</v>
      </c>
      <c r="E451" s="30" t="s">
        <v>189</v>
      </c>
      <c r="F451" s="30" t="s">
        <v>337</v>
      </c>
      <c r="G451" s="31"/>
      <c r="H451" s="30" t="s">
        <v>47</v>
      </c>
      <c r="I451" s="31"/>
      <c r="J451" s="30" t="s">
        <v>47</v>
      </c>
    </row>
    <row r="452">
      <c r="A452" s="111">
        <v>1152720.0</v>
      </c>
      <c r="B452" s="103">
        <v>44371.0</v>
      </c>
      <c r="C452" s="112" t="s">
        <v>142</v>
      </c>
      <c r="D452" s="29" t="s">
        <v>1723</v>
      </c>
      <c r="E452" s="30" t="s">
        <v>39</v>
      </c>
      <c r="F452" s="30" t="s">
        <v>214</v>
      </c>
      <c r="G452" s="31"/>
      <c r="H452" s="30" t="s">
        <v>47</v>
      </c>
      <c r="I452" s="31"/>
      <c r="J452" s="30" t="s">
        <v>47</v>
      </c>
    </row>
    <row r="453">
      <c r="A453" s="111">
        <v>2182570.0</v>
      </c>
      <c r="B453" s="103">
        <v>44371.0</v>
      </c>
      <c r="C453" s="112" t="s">
        <v>142</v>
      </c>
      <c r="D453" s="29" t="s">
        <v>1724</v>
      </c>
      <c r="E453" s="30" t="s">
        <v>58</v>
      </c>
      <c r="F453" s="30" t="s">
        <v>59</v>
      </c>
      <c r="G453" s="31">
        <v>976538.0</v>
      </c>
      <c r="H453" s="30" t="s">
        <v>1725</v>
      </c>
      <c r="I453" s="31">
        <v>748718.0</v>
      </c>
      <c r="J453" s="30" t="s">
        <v>1726</v>
      </c>
    </row>
    <row r="454">
      <c r="A454" s="111">
        <v>413618.0</v>
      </c>
      <c r="B454" s="103">
        <v>44371.0</v>
      </c>
      <c r="C454" s="112" t="s">
        <v>37</v>
      </c>
      <c r="D454" s="29" t="s">
        <v>1626</v>
      </c>
      <c r="E454" s="30" t="s">
        <v>39</v>
      </c>
      <c r="F454" s="30" t="s">
        <v>140</v>
      </c>
      <c r="G454" s="31"/>
      <c r="H454" s="30"/>
      <c r="I454" s="31"/>
      <c r="J454" s="30"/>
    </row>
    <row r="455">
      <c r="A455" s="111">
        <v>585496.0</v>
      </c>
      <c r="B455" s="103">
        <v>44371.0</v>
      </c>
      <c r="C455" s="112" t="s">
        <v>37</v>
      </c>
      <c r="D455" s="29" t="s">
        <v>1727</v>
      </c>
      <c r="E455" s="30" t="s">
        <v>39</v>
      </c>
      <c r="F455" s="30" t="s">
        <v>140</v>
      </c>
      <c r="G455" s="31">
        <v>289230.0</v>
      </c>
      <c r="H455" s="30" t="s">
        <v>1728</v>
      </c>
      <c r="I455" s="31"/>
      <c r="J455" s="30" t="s">
        <v>47</v>
      </c>
    </row>
    <row r="456">
      <c r="A456" s="111">
        <v>1267792.0</v>
      </c>
      <c r="B456" s="103">
        <v>44371.0</v>
      </c>
      <c r="C456" s="112" t="s">
        <v>37</v>
      </c>
      <c r="D456" s="29" t="s">
        <v>1729</v>
      </c>
      <c r="E456" s="30" t="s">
        <v>105</v>
      </c>
      <c r="F456" s="30" t="s">
        <v>316</v>
      </c>
      <c r="G456" s="31"/>
      <c r="H456" s="30" t="s">
        <v>47</v>
      </c>
      <c r="I456" s="31"/>
      <c r="J456" s="30" t="s">
        <v>47</v>
      </c>
    </row>
    <row r="457">
      <c r="A457" s="111">
        <v>1320788.0</v>
      </c>
      <c r="B457" s="103">
        <v>44371.0</v>
      </c>
      <c r="C457" s="112" t="s">
        <v>37</v>
      </c>
      <c r="D457" s="29" t="s">
        <v>1730</v>
      </c>
      <c r="E457" s="30" t="s">
        <v>39</v>
      </c>
      <c r="F457" s="30" t="s">
        <v>140</v>
      </c>
      <c r="G457" s="31"/>
      <c r="H457" s="30" t="s">
        <v>47</v>
      </c>
      <c r="I457" s="31"/>
      <c r="J457" s="30" t="s">
        <v>47</v>
      </c>
    </row>
    <row r="458">
      <c r="A458" s="111">
        <v>1377538.0</v>
      </c>
      <c r="B458" s="103">
        <v>44371.0</v>
      </c>
      <c r="C458" s="112" t="s">
        <v>37</v>
      </c>
      <c r="D458" s="29" t="s">
        <v>1731</v>
      </c>
      <c r="E458" s="30" t="s">
        <v>39</v>
      </c>
      <c r="F458" s="30" t="s">
        <v>40</v>
      </c>
      <c r="G458" s="31"/>
      <c r="H458" s="30" t="s">
        <v>47</v>
      </c>
      <c r="I458" s="31"/>
      <c r="J458" s="30" t="s">
        <v>47</v>
      </c>
    </row>
    <row r="459">
      <c r="A459" s="111">
        <v>1534200.0</v>
      </c>
      <c r="B459" s="103">
        <v>44371.0</v>
      </c>
      <c r="C459" s="112" t="s">
        <v>37</v>
      </c>
      <c r="D459" s="29" t="s">
        <v>1732</v>
      </c>
      <c r="E459" s="30" t="s">
        <v>45</v>
      </c>
      <c r="F459" s="30" t="s">
        <v>75</v>
      </c>
      <c r="G459" s="31"/>
      <c r="H459" s="30" t="s">
        <v>47</v>
      </c>
      <c r="I459" s="31"/>
      <c r="J459" s="30" t="s">
        <v>47</v>
      </c>
    </row>
    <row r="460">
      <c r="A460" s="111">
        <v>3459188.0</v>
      </c>
      <c r="B460" s="103">
        <v>44371.0</v>
      </c>
      <c r="C460" s="112" t="s">
        <v>37</v>
      </c>
      <c r="D460" s="29" t="s">
        <v>1733</v>
      </c>
      <c r="E460" s="30" t="s">
        <v>45</v>
      </c>
      <c r="F460" s="30" t="s">
        <v>75</v>
      </c>
      <c r="G460" s="31">
        <v>2644586.0</v>
      </c>
      <c r="H460" s="30" t="s">
        <v>596</v>
      </c>
      <c r="I460" s="31"/>
      <c r="J460" s="30" t="s">
        <v>47</v>
      </c>
    </row>
    <row r="461">
      <c r="A461" s="111">
        <v>2526860.0</v>
      </c>
      <c r="B461" s="103">
        <v>44371.0</v>
      </c>
      <c r="C461" s="112" t="s">
        <v>37</v>
      </c>
      <c r="D461" s="29" t="s">
        <v>1734</v>
      </c>
      <c r="E461" s="30" t="s">
        <v>45</v>
      </c>
      <c r="F461" s="30" t="s">
        <v>46</v>
      </c>
      <c r="G461" s="31">
        <v>2132994.0</v>
      </c>
      <c r="H461" s="30" t="s">
        <v>956</v>
      </c>
      <c r="I461" s="31">
        <v>683406.0</v>
      </c>
      <c r="J461" s="30" t="s">
        <v>1735</v>
      </c>
    </row>
    <row r="462">
      <c r="A462" s="111">
        <v>2945452.0</v>
      </c>
      <c r="B462" s="103">
        <v>44371.0</v>
      </c>
      <c r="C462" s="112" t="s">
        <v>37</v>
      </c>
      <c r="D462" s="29" t="s">
        <v>1736</v>
      </c>
      <c r="E462" s="30" t="s">
        <v>45</v>
      </c>
      <c r="F462" s="30" t="s">
        <v>46</v>
      </c>
      <c r="G462" s="31">
        <v>2132994.0</v>
      </c>
      <c r="H462" s="30" t="s">
        <v>956</v>
      </c>
      <c r="I462" s="31">
        <v>683406.0</v>
      </c>
      <c r="J462" s="30" t="s">
        <v>1735</v>
      </c>
    </row>
    <row r="463">
      <c r="A463" s="111">
        <v>2476576.0</v>
      </c>
      <c r="B463" s="103">
        <v>44371.0</v>
      </c>
      <c r="C463" s="112" t="s">
        <v>37</v>
      </c>
      <c r="D463" s="29" t="s">
        <v>1737</v>
      </c>
      <c r="E463" s="30" t="s">
        <v>45</v>
      </c>
      <c r="F463" s="30" t="s">
        <v>75</v>
      </c>
      <c r="G463" s="31"/>
      <c r="H463" s="30" t="s">
        <v>47</v>
      </c>
      <c r="I463" s="31"/>
      <c r="J463" s="30" t="s">
        <v>47</v>
      </c>
    </row>
    <row r="464">
      <c r="A464" s="111">
        <v>2382139.0</v>
      </c>
      <c r="B464" s="103">
        <v>44371.0</v>
      </c>
      <c r="C464" s="112" t="s">
        <v>37</v>
      </c>
      <c r="D464" s="29" t="s">
        <v>1738</v>
      </c>
      <c r="E464" s="30" t="s">
        <v>45</v>
      </c>
      <c r="F464" s="30" t="s">
        <v>90</v>
      </c>
      <c r="G464" s="31"/>
      <c r="H464" s="30" t="s">
        <v>47</v>
      </c>
      <c r="I464" s="31"/>
      <c r="J464" s="30" t="s">
        <v>47</v>
      </c>
    </row>
    <row r="465">
      <c r="A465" s="111">
        <v>1213804.0</v>
      </c>
      <c r="B465" s="103">
        <v>44371.0</v>
      </c>
      <c r="C465" s="112" t="s">
        <v>37</v>
      </c>
      <c r="D465" s="29" t="s">
        <v>1739</v>
      </c>
      <c r="E465" s="30" t="s">
        <v>45</v>
      </c>
      <c r="F465" s="30" t="s">
        <v>90</v>
      </c>
      <c r="G465" s="31"/>
      <c r="H465" s="30" t="s">
        <v>47</v>
      </c>
      <c r="I465" s="31"/>
      <c r="J465" s="30" t="s">
        <v>47</v>
      </c>
    </row>
    <row r="466">
      <c r="A466" s="111">
        <v>1942834.0</v>
      </c>
      <c r="B466" s="103">
        <v>44371.0</v>
      </c>
      <c r="C466" s="112" t="s">
        <v>37</v>
      </c>
      <c r="D466" s="29" t="s">
        <v>1740</v>
      </c>
      <c r="E466" s="30" t="s">
        <v>45</v>
      </c>
      <c r="F466" s="30" t="s">
        <v>90</v>
      </c>
      <c r="G466" s="31"/>
      <c r="H466" s="30" t="s">
        <v>47</v>
      </c>
      <c r="I466" s="31"/>
      <c r="J466" s="30" t="s">
        <v>47</v>
      </c>
    </row>
    <row r="467">
      <c r="A467" s="111">
        <v>2347582.0</v>
      </c>
      <c r="B467" s="103">
        <v>44371.0</v>
      </c>
      <c r="C467" s="112" t="s">
        <v>37</v>
      </c>
      <c r="D467" s="29" t="s">
        <v>1741</v>
      </c>
      <c r="E467" s="30" t="s">
        <v>45</v>
      </c>
      <c r="F467" s="30" t="s">
        <v>90</v>
      </c>
      <c r="G467" s="31"/>
      <c r="H467" s="30" t="s">
        <v>47</v>
      </c>
      <c r="I467" s="31"/>
      <c r="J467" s="30" t="s">
        <v>47</v>
      </c>
    </row>
    <row r="468">
      <c r="A468" s="111">
        <v>1319432.0</v>
      </c>
      <c r="B468" s="103">
        <v>44371.0</v>
      </c>
      <c r="C468" s="112" t="s">
        <v>37</v>
      </c>
      <c r="D468" s="29" t="s">
        <v>1742</v>
      </c>
      <c r="E468" s="30" t="s">
        <v>45</v>
      </c>
      <c r="F468" s="30" t="s">
        <v>90</v>
      </c>
      <c r="G468" s="31">
        <v>2373480.0</v>
      </c>
      <c r="H468" s="30" t="s">
        <v>1743</v>
      </c>
      <c r="I468" s="31"/>
      <c r="J468" s="30" t="s">
        <v>47</v>
      </c>
    </row>
    <row r="469">
      <c r="A469" s="111">
        <v>1399984.0</v>
      </c>
      <c r="B469" s="103">
        <v>44371.0</v>
      </c>
      <c r="C469" s="112" t="s">
        <v>170</v>
      </c>
      <c r="D469" s="29" t="s">
        <v>1744</v>
      </c>
      <c r="E469" s="30" t="s">
        <v>122</v>
      </c>
      <c r="F469" s="30" t="s">
        <v>123</v>
      </c>
      <c r="G469" s="31">
        <v>2860286.0</v>
      </c>
      <c r="H469" s="30" t="s">
        <v>1745</v>
      </c>
      <c r="I469" s="31"/>
      <c r="J469" s="30" t="s">
        <v>47</v>
      </c>
    </row>
    <row r="470">
      <c r="A470" s="111">
        <v>1105678.0</v>
      </c>
      <c r="B470" s="103">
        <v>44371.0</v>
      </c>
      <c r="C470" s="112" t="s">
        <v>43</v>
      </c>
      <c r="D470" s="29" t="s">
        <v>1746</v>
      </c>
      <c r="E470" s="30" t="s">
        <v>63</v>
      </c>
      <c r="F470" s="30" t="s">
        <v>64</v>
      </c>
      <c r="G470" s="31"/>
      <c r="H470" s="30" t="s">
        <v>47</v>
      </c>
      <c r="I470" s="31"/>
      <c r="J470" s="30" t="s">
        <v>47</v>
      </c>
    </row>
    <row r="471">
      <c r="A471" s="111">
        <v>2917868.0</v>
      </c>
      <c r="B471" s="103">
        <v>44371.0</v>
      </c>
      <c r="C471" s="112" t="s">
        <v>37</v>
      </c>
      <c r="D471" s="29" t="s">
        <v>1747</v>
      </c>
      <c r="E471" s="30" t="s">
        <v>45</v>
      </c>
      <c r="F471" s="30" t="s">
        <v>172</v>
      </c>
      <c r="G471" s="31"/>
      <c r="H471" s="30" t="s">
        <v>47</v>
      </c>
      <c r="I471" s="31"/>
      <c r="J471" s="30" t="s">
        <v>47</v>
      </c>
    </row>
    <row r="472">
      <c r="A472" s="111">
        <v>2246722.0</v>
      </c>
      <c r="B472" s="103">
        <v>44371.0</v>
      </c>
      <c r="C472" s="112" t="s">
        <v>43</v>
      </c>
      <c r="D472" s="29" t="s">
        <v>1748</v>
      </c>
      <c r="E472" s="30" t="s">
        <v>39</v>
      </c>
      <c r="F472" s="30" t="s">
        <v>140</v>
      </c>
      <c r="G472" s="31">
        <v>1529576.0</v>
      </c>
      <c r="H472" s="30" t="s">
        <v>1749</v>
      </c>
      <c r="I472" s="31">
        <v>411462.0</v>
      </c>
      <c r="J472" s="30" t="s">
        <v>1750</v>
      </c>
    </row>
    <row r="473">
      <c r="A473" s="111">
        <v>2173004.0</v>
      </c>
      <c r="B473" s="103">
        <v>44371.0</v>
      </c>
      <c r="C473" s="112" t="s">
        <v>43</v>
      </c>
      <c r="D473" s="29" t="s">
        <v>1751</v>
      </c>
      <c r="E473" s="30" t="s">
        <v>39</v>
      </c>
      <c r="F473" s="30" t="s">
        <v>214</v>
      </c>
      <c r="G473" s="31">
        <v>2710728.0</v>
      </c>
      <c r="H473" s="30" t="s">
        <v>1752</v>
      </c>
      <c r="I473" s="31"/>
      <c r="J473" s="30" t="s">
        <v>47</v>
      </c>
    </row>
    <row r="474">
      <c r="A474" s="111">
        <v>2228938.0</v>
      </c>
      <c r="B474" s="103">
        <v>44371.0</v>
      </c>
      <c r="C474" s="112" t="s">
        <v>37</v>
      </c>
      <c r="D474" s="29" t="s">
        <v>1753</v>
      </c>
      <c r="E474" s="30" t="s">
        <v>45</v>
      </c>
      <c r="F474" s="30" t="s">
        <v>90</v>
      </c>
      <c r="G474" s="31">
        <v>1568078.0</v>
      </c>
      <c r="H474" s="30" t="s">
        <v>1754</v>
      </c>
      <c r="I474" s="31"/>
      <c r="J474" s="30" t="s">
        <v>47</v>
      </c>
    </row>
    <row r="475">
      <c r="A475" s="111">
        <v>364530.0</v>
      </c>
      <c r="B475" s="103">
        <v>44371.0</v>
      </c>
      <c r="C475" s="112" t="s">
        <v>37</v>
      </c>
      <c r="D475" s="29" t="s">
        <v>1755</v>
      </c>
      <c r="E475" s="30" t="s">
        <v>63</v>
      </c>
      <c r="F475" s="30" t="s">
        <v>64</v>
      </c>
      <c r="G475" s="31"/>
      <c r="H475" s="30" t="s">
        <v>47</v>
      </c>
      <c r="I475" s="31"/>
      <c r="J475" s="30" t="s">
        <v>47</v>
      </c>
    </row>
    <row r="476">
      <c r="A476" s="111">
        <v>2985506.0</v>
      </c>
      <c r="B476" s="103">
        <v>44371.0</v>
      </c>
      <c r="C476" s="112" t="s">
        <v>37</v>
      </c>
      <c r="D476" s="29" t="s">
        <v>1756</v>
      </c>
      <c r="E476" s="30" t="s">
        <v>39</v>
      </c>
      <c r="F476" s="30" t="s">
        <v>50</v>
      </c>
      <c r="G476" s="31"/>
      <c r="H476" s="30" t="s">
        <v>47</v>
      </c>
      <c r="I476" s="31"/>
      <c r="J476" s="30" t="s">
        <v>47</v>
      </c>
    </row>
    <row r="477">
      <c r="A477" s="111">
        <v>2420386.0</v>
      </c>
      <c r="B477" s="103">
        <v>44371.0</v>
      </c>
      <c r="C477" s="112" t="s">
        <v>37</v>
      </c>
      <c r="D477" s="29" t="s">
        <v>1757</v>
      </c>
      <c r="E477" s="30" t="s">
        <v>79</v>
      </c>
      <c r="F477" s="30" t="s">
        <v>184</v>
      </c>
      <c r="G477" s="31"/>
      <c r="H477" s="30" t="s">
        <v>47</v>
      </c>
      <c r="I477" s="31"/>
      <c r="J477" s="30" t="s">
        <v>47</v>
      </c>
    </row>
    <row r="478">
      <c r="A478" s="111">
        <v>3734400.0</v>
      </c>
      <c r="B478" s="103">
        <v>44371.0</v>
      </c>
      <c r="C478" s="112" t="s">
        <v>37</v>
      </c>
      <c r="D478" s="29" t="s">
        <v>1758</v>
      </c>
      <c r="E478" s="30" t="s">
        <v>79</v>
      </c>
      <c r="F478" s="30" t="s">
        <v>261</v>
      </c>
      <c r="G478" s="31"/>
      <c r="H478" s="30"/>
      <c r="I478" s="31"/>
      <c r="J478" s="30"/>
    </row>
    <row r="479">
      <c r="A479" s="111">
        <v>3734432.0</v>
      </c>
      <c r="B479" s="103">
        <v>44371.0</v>
      </c>
      <c r="C479" s="112" t="s">
        <v>37</v>
      </c>
      <c r="D479" s="29" t="s">
        <v>1759</v>
      </c>
      <c r="E479" s="30" t="s">
        <v>79</v>
      </c>
      <c r="F479" s="30" t="s">
        <v>261</v>
      </c>
      <c r="G479" s="31"/>
      <c r="H479" s="30"/>
      <c r="I479" s="31"/>
      <c r="J479" s="30"/>
    </row>
    <row r="480">
      <c r="A480" s="111">
        <v>3710188.0</v>
      </c>
      <c r="B480" s="103">
        <v>44375.0</v>
      </c>
      <c r="C480" s="112" t="s">
        <v>37</v>
      </c>
      <c r="D480" s="29" t="s">
        <v>1760</v>
      </c>
      <c r="E480" s="30" t="s">
        <v>45</v>
      </c>
      <c r="F480" s="30" t="s">
        <v>46</v>
      </c>
      <c r="G480" s="31"/>
      <c r="H480" s="30"/>
      <c r="I480" s="31"/>
      <c r="J480" s="30"/>
    </row>
    <row r="481">
      <c r="A481" s="111">
        <v>983670.0</v>
      </c>
      <c r="B481" s="103">
        <v>44377.0</v>
      </c>
      <c r="C481" s="112" t="s">
        <v>43</v>
      </c>
      <c r="D481" s="29" t="s">
        <v>1100</v>
      </c>
      <c r="E481" s="30" t="s">
        <v>58</v>
      </c>
      <c r="F481" s="30" t="s">
        <v>86</v>
      </c>
      <c r="G481" s="31"/>
      <c r="H481" s="30" t="s">
        <v>47</v>
      </c>
      <c r="I481" s="31"/>
      <c r="J481" s="30" t="s">
        <v>47</v>
      </c>
    </row>
    <row r="482">
      <c r="A482" s="111">
        <v>2725272.0</v>
      </c>
      <c r="B482" s="103">
        <v>44377.0</v>
      </c>
      <c r="C482" s="112" t="s">
        <v>37</v>
      </c>
      <c r="D482" s="29" t="s">
        <v>1761</v>
      </c>
      <c r="E482" s="30" t="s">
        <v>39</v>
      </c>
      <c r="F482" s="30" t="s">
        <v>140</v>
      </c>
      <c r="G482" s="31">
        <v>2019358.0</v>
      </c>
      <c r="H482" s="30" t="s">
        <v>519</v>
      </c>
      <c r="I482" s="31">
        <v>2000856.0</v>
      </c>
      <c r="J482" s="30" t="s">
        <v>1762</v>
      </c>
    </row>
    <row r="483">
      <c r="A483" s="111">
        <v>222628.0</v>
      </c>
      <c r="B483" s="103">
        <v>44377.0</v>
      </c>
      <c r="C483" s="112" t="s">
        <v>37</v>
      </c>
      <c r="D483" s="29" t="s">
        <v>1763</v>
      </c>
      <c r="E483" s="30" t="s">
        <v>39</v>
      </c>
      <c r="F483" s="30" t="s">
        <v>54</v>
      </c>
      <c r="G483" s="31">
        <v>2043700.0</v>
      </c>
      <c r="H483" s="30" t="s">
        <v>1764</v>
      </c>
      <c r="I483" s="31"/>
      <c r="J483" s="30" t="s">
        <v>47</v>
      </c>
    </row>
    <row r="484">
      <c r="A484" s="111">
        <v>861106.0</v>
      </c>
      <c r="B484" s="103">
        <v>44377.0</v>
      </c>
      <c r="C484" s="112" t="s">
        <v>37</v>
      </c>
      <c r="D484" s="29" t="s">
        <v>1765</v>
      </c>
      <c r="E484" s="30" t="s">
        <v>105</v>
      </c>
      <c r="F484" s="30" t="s">
        <v>212</v>
      </c>
      <c r="G484" s="31">
        <v>2738212.0</v>
      </c>
      <c r="H484" s="30" t="s">
        <v>47</v>
      </c>
      <c r="I484" s="31"/>
      <c r="J484" s="30" t="s">
        <v>47</v>
      </c>
    </row>
    <row r="485">
      <c r="A485" s="111">
        <v>944172.0</v>
      </c>
      <c r="B485" s="103">
        <v>44377.0</v>
      </c>
      <c r="C485" s="112" t="s">
        <v>37</v>
      </c>
      <c r="D485" s="29" t="s">
        <v>1766</v>
      </c>
      <c r="E485" s="30" t="s">
        <v>45</v>
      </c>
      <c r="F485" s="30" t="s">
        <v>75</v>
      </c>
      <c r="G485" s="31"/>
      <c r="H485" s="30" t="s">
        <v>47</v>
      </c>
      <c r="I485" s="31"/>
      <c r="J485" s="30" t="s">
        <v>47</v>
      </c>
    </row>
    <row r="486">
      <c r="A486" s="111">
        <v>128964.0</v>
      </c>
      <c r="B486" s="103">
        <v>44377.0</v>
      </c>
      <c r="C486" s="112" t="s">
        <v>37</v>
      </c>
      <c r="D486" s="29" t="s">
        <v>1767</v>
      </c>
      <c r="E486" s="30" t="s">
        <v>39</v>
      </c>
      <c r="F486" s="30" t="s">
        <v>140</v>
      </c>
      <c r="G486" s="31"/>
      <c r="H486" s="30" t="s">
        <v>47</v>
      </c>
      <c r="I486" s="31"/>
      <c r="J486" s="30" t="s">
        <v>47</v>
      </c>
    </row>
    <row r="487">
      <c r="A487" s="111">
        <v>515332.0</v>
      </c>
      <c r="B487" s="103">
        <v>44377.0</v>
      </c>
      <c r="C487" s="112" t="s">
        <v>37</v>
      </c>
      <c r="D487" s="29" t="s">
        <v>1768</v>
      </c>
      <c r="E487" s="30" t="s">
        <v>122</v>
      </c>
      <c r="F487" s="30" t="s">
        <v>127</v>
      </c>
      <c r="G487" s="31"/>
      <c r="H487" s="30" t="s">
        <v>47</v>
      </c>
      <c r="I487" s="31"/>
      <c r="J487" s="30" t="s">
        <v>47</v>
      </c>
    </row>
    <row r="488">
      <c r="A488" s="111">
        <v>705934.0</v>
      </c>
      <c r="B488" s="103">
        <v>44377.0</v>
      </c>
      <c r="C488" s="112" t="s">
        <v>37</v>
      </c>
      <c r="D488" s="29" t="s">
        <v>1769</v>
      </c>
      <c r="E488" s="30" t="s">
        <v>39</v>
      </c>
      <c r="F488" s="30" t="s">
        <v>214</v>
      </c>
      <c r="G488" s="31">
        <v>951618.0</v>
      </c>
      <c r="H488" s="30" t="s">
        <v>1500</v>
      </c>
      <c r="I488" s="31"/>
      <c r="J488" s="30" t="s">
        <v>47</v>
      </c>
    </row>
    <row r="489">
      <c r="A489" s="111">
        <v>867198.0</v>
      </c>
      <c r="B489" s="103">
        <v>44377.0</v>
      </c>
      <c r="C489" s="112" t="s">
        <v>37</v>
      </c>
      <c r="D489" s="29" t="s">
        <v>1770</v>
      </c>
      <c r="E489" s="30" t="s">
        <v>105</v>
      </c>
      <c r="F489" s="30" t="s">
        <v>778</v>
      </c>
      <c r="G489" s="31"/>
      <c r="H489" s="30" t="s">
        <v>47</v>
      </c>
      <c r="I489" s="31"/>
      <c r="J489" s="30" t="s">
        <v>47</v>
      </c>
    </row>
    <row r="490">
      <c r="A490" s="111">
        <v>927046.0</v>
      </c>
      <c r="B490" s="103">
        <v>44377.0</v>
      </c>
      <c r="C490" s="112" t="s">
        <v>170</v>
      </c>
      <c r="D490" s="29" t="s">
        <v>1771</v>
      </c>
      <c r="E490" s="30" t="s">
        <v>122</v>
      </c>
      <c r="F490" s="30" t="s">
        <v>123</v>
      </c>
      <c r="G490" s="31"/>
      <c r="H490" s="30" t="s">
        <v>47</v>
      </c>
      <c r="I490" s="31"/>
      <c r="J490" s="30" t="s">
        <v>47</v>
      </c>
    </row>
    <row r="491">
      <c r="A491" s="111">
        <v>990674.0</v>
      </c>
      <c r="B491" s="103">
        <v>44377.0</v>
      </c>
      <c r="C491" s="112" t="s">
        <v>70</v>
      </c>
      <c r="D491" s="29" t="s">
        <v>1772</v>
      </c>
      <c r="E491" s="30" t="s">
        <v>39</v>
      </c>
      <c r="F491" s="30" t="s">
        <v>140</v>
      </c>
      <c r="G491" s="31">
        <v>867948.0</v>
      </c>
      <c r="H491" s="30" t="s">
        <v>1773</v>
      </c>
      <c r="I491" s="31"/>
      <c r="J491" s="30" t="s">
        <v>47</v>
      </c>
    </row>
    <row r="492">
      <c r="A492" s="111">
        <v>1573728.0</v>
      </c>
      <c r="B492" s="103">
        <v>44377.0</v>
      </c>
      <c r="C492" s="112" t="s">
        <v>37</v>
      </c>
      <c r="D492" s="29" t="s">
        <v>1774</v>
      </c>
      <c r="E492" s="30" t="s">
        <v>58</v>
      </c>
      <c r="F492" s="30" t="s">
        <v>169</v>
      </c>
      <c r="G492" s="31">
        <v>123238.0</v>
      </c>
      <c r="H492" s="30" t="s">
        <v>1775</v>
      </c>
      <c r="I492" s="31"/>
      <c r="J492" s="30" t="s">
        <v>47</v>
      </c>
    </row>
    <row r="493">
      <c r="A493" s="111">
        <v>1954786.0</v>
      </c>
      <c r="B493" s="103">
        <v>44377.0</v>
      </c>
      <c r="C493" s="112" t="s">
        <v>37</v>
      </c>
      <c r="D493" s="29" t="s">
        <v>1776</v>
      </c>
      <c r="E493" s="30" t="s">
        <v>45</v>
      </c>
      <c r="F493" s="30" t="s">
        <v>90</v>
      </c>
      <c r="G493" s="31">
        <v>755984.0</v>
      </c>
      <c r="H493" s="30" t="s">
        <v>1549</v>
      </c>
      <c r="I493" s="31"/>
      <c r="J493" s="30" t="s">
        <v>47</v>
      </c>
    </row>
    <row r="494">
      <c r="A494" s="111">
        <v>2133570.0</v>
      </c>
      <c r="B494" s="103">
        <v>44377.0</v>
      </c>
      <c r="C494" s="112" t="s">
        <v>142</v>
      </c>
      <c r="D494" s="29" t="s">
        <v>1777</v>
      </c>
      <c r="E494" s="30" t="s">
        <v>83</v>
      </c>
      <c r="F494" s="30" t="s">
        <v>153</v>
      </c>
      <c r="G494" s="31"/>
      <c r="H494" s="30" t="s">
        <v>47</v>
      </c>
      <c r="I494" s="31"/>
      <c r="J494" s="30" t="s">
        <v>47</v>
      </c>
    </row>
    <row r="495">
      <c r="A495" s="111">
        <v>2146650.0</v>
      </c>
      <c r="B495" s="103">
        <v>44377.0</v>
      </c>
      <c r="C495" s="112" t="s">
        <v>187</v>
      </c>
      <c r="D495" s="29" t="s">
        <v>1778</v>
      </c>
      <c r="E495" s="30" t="s">
        <v>39</v>
      </c>
      <c r="F495" s="30" t="s">
        <v>54</v>
      </c>
      <c r="G495" s="31"/>
      <c r="H495" s="30" t="s">
        <v>47</v>
      </c>
      <c r="I495" s="31"/>
      <c r="J495" s="30" t="s">
        <v>47</v>
      </c>
    </row>
    <row r="496">
      <c r="A496" s="111">
        <v>2570764.0</v>
      </c>
      <c r="B496" s="103">
        <v>44377.0</v>
      </c>
      <c r="C496" s="112" t="s">
        <v>142</v>
      </c>
      <c r="D496" s="29" t="s">
        <v>1779</v>
      </c>
      <c r="E496" s="30" t="s">
        <v>39</v>
      </c>
      <c r="F496" s="30" t="s">
        <v>140</v>
      </c>
      <c r="G496" s="31"/>
      <c r="H496" s="30" t="s">
        <v>47</v>
      </c>
      <c r="I496" s="31"/>
      <c r="J496" s="30" t="s">
        <v>47</v>
      </c>
    </row>
    <row r="497">
      <c r="A497" s="111">
        <v>2488744.0</v>
      </c>
      <c r="B497" s="103">
        <v>44377.0</v>
      </c>
      <c r="C497" s="112" t="s">
        <v>37</v>
      </c>
      <c r="D497" s="29" t="s">
        <v>1780</v>
      </c>
      <c r="E497" s="30" t="s">
        <v>45</v>
      </c>
      <c r="F497" s="30" t="s">
        <v>90</v>
      </c>
      <c r="G497" s="31"/>
      <c r="H497" s="30" t="s">
        <v>47</v>
      </c>
      <c r="I497" s="31"/>
      <c r="J497" s="30" t="s">
        <v>47</v>
      </c>
    </row>
    <row r="498">
      <c r="A498" s="111">
        <v>2142064.0</v>
      </c>
      <c r="B498" s="103">
        <v>44377.0</v>
      </c>
      <c r="C498" s="112" t="s">
        <v>37</v>
      </c>
      <c r="D498" s="29" t="s">
        <v>1781</v>
      </c>
      <c r="E498" s="30" t="s">
        <v>45</v>
      </c>
      <c r="F498" s="30" t="s">
        <v>46</v>
      </c>
      <c r="G498" s="31"/>
      <c r="H498" s="30" t="s">
        <v>47</v>
      </c>
      <c r="I498" s="31"/>
      <c r="J498" s="30" t="s">
        <v>47</v>
      </c>
    </row>
    <row r="499">
      <c r="A499" s="111">
        <v>1204520.0</v>
      </c>
      <c r="B499" s="103">
        <v>44377.0</v>
      </c>
      <c r="C499" s="112" t="s">
        <v>37</v>
      </c>
      <c r="D499" s="29" t="s">
        <v>1782</v>
      </c>
      <c r="E499" s="30" t="s">
        <v>45</v>
      </c>
      <c r="F499" s="30" t="s">
        <v>46</v>
      </c>
      <c r="G499" s="31"/>
      <c r="H499" s="30" t="s">
        <v>47</v>
      </c>
      <c r="I499" s="31"/>
      <c r="J499" s="30" t="s">
        <v>47</v>
      </c>
    </row>
    <row r="500">
      <c r="A500" s="111">
        <v>1832650.0</v>
      </c>
      <c r="B500" s="103">
        <v>44377.0</v>
      </c>
      <c r="C500" s="112" t="s">
        <v>37</v>
      </c>
      <c r="D500" s="29" t="s">
        <v>1783</v>
      </c>
      <c r="E500" s="30" t="s">
        <v>45</v>
      </c>
      <c r="F500" s="30" t="s">
        <v>90</v>
      </c>
      <c r="G500" s="31"/>
      <c r="H500" s="30" t="s">
        <v>47</v>
      </c>
      <c r="I500" s="31"/>
      <c r="J500" s="30" t="s">
        <v>47</v>
      </c>
    </row>
    <row r="501">
      <c r="A501" s="111">
        <v>65618.0</v>
      </c>
      <c r="B501" s="103">
        <v>44377.0</v>
      </c>
      <c r="C501" s="112" t="s">
        <v>37</v>
      </c>
      <c r="D501" s="29" t="s">
        <v>1784</v>
      </c>
      <c r="E501" s="30" t="s">
        <v>45</v>
      </c>
      <c r="F501" s="30" t="s">
        <v>90</v>
      </c>
      <c r="G501" s="31"/>
      <c r="H501" s="30" t="s">
        <v>47</v>
      </c>
      <c r="I501" s="31"/>
      <c r="J501" s="30" t="s">
        <v>47</v>
      </c>
    </row>
    <row r="502">
      <c r="A502" s="111">
        <v>865936.0</v>
      </c>
      <c r="B502" s="103">
        <v>44377.0</v>
      </c>
      <c r="C502" s="112" t="s">
        <v>37</v>
      </c>
      <c r="D502" s="29" t="s">
        <v>1785</v>
      </c>
      <c r="E502" s="30" t="s">
        <v>45</v>
      </c>
      <c r="F502" s="30" t="s">
        <v>172</v>
      </c>
      <c r="G502" s="31"/>
      <c r="H502" s="30" t="s">
        <v>47</v>
      </c>
      <c r="I502" s="31"/>
      <c r="J502" s="30" t="s">
        <v>47</v>
      </c>
    </row>
    <row r="503">
      <c r="A503" s="111">
        <v>854042.0</v>
      </c>
      <c r="B503" s="103">
        <v>44377.0</v>
      </c>
      <c r="C503" s="112" t="s">
        <v>37</v>
      </c>
      <c r="D503" s="29" t="s">
        <v>1786</v>
      </c>
      <c r="E503" s="30" t="s">
        <v>45</v>
      </c>
      <c r="F503" s="30" t="s">
        <v>90</v>
      </c>
      <c r="G503" s="31"/>
      <c r="H503" s="30" t="s">
        <v>47</v>
      </c>
      <c r="I503" s="31"/>
      <c r="J503" s="30" t="s">
        <v>47</v>
      </c>
    </row>
    <row r="504">
      <c r="A504" s="111">
        <v>2787982.0</v>
      </c>
      <c r="B504" s="103">
        <v>44377.0</v>
      </c>
      <c r="C504" s="112" t="s">
        <v>37</v>
      </c>
      <c r="D504" s="29" t="s">
        <v>1787</v>
      </c>
      <c r="E504" s="30" t="s">
        <v>39</v>
      </c>
      <c r="F504" s="30" t="s">
        <v>54</v>
      </c>
      <c r="G504" s="31">
        <v>1923998.0</v>
      </c>
      <c r="H504" s="30" t="s">
        <v>1788</v>
      </c>
      <c r="I504" s="31"/>
      <c r="J504" s="30" t="s">
        <v>47</v>
      </c>
    </row>
    <row r="505">
      <c r="A505" s="111">
        <v>2653142.0</v>
      </c>
      <c r="B505" s="103">
        <v>44377.0</v>
      </c>
      <c r="C505" s="112" t="s">
        <v>37</v>
      </c>
      <c r="D505" s="29" t="s">
        <v>1789</v>
      </c>
      <c r="E505" s="30" t="s">
        <v>39</v>
      </c>
      <c r="F505" s="30" t="s">
        <v>40</v>
      </c>
      <c r="G505" s="31"/>
      <c r="H505" s="30" t="s">
        <v>47</v>
      </c>
      <c r="I505" s="31"/>
      <c r="J505" s="30" t="s">
        <v>47</v>
      </c>
    </row>
    <row r="506">
      <c r="A506" s="111">
        <v>1461592.0</v>
      </c>
      <c r="B506" s="103">
        <v>44377.0</v>
      </c>
      <c r="C506" s="112" t="s">
        <v>37</v>
      </c>
      <c r="D506" s="29" t="s">
        <v>1790</v>
      </c>
      <c r="E506" s="30" t="s">
        <v>45</v>
      </c>
      <c r="F506" s="30" t="s">
        <v>75</v>
      </c>
      <c r="G506" s="31">
        <v>2196488.0</v>
      </c>
      <c r="H506" s="30" t="s">
        <v>1636</v>
      </c>
      <c r="I506" s="31">
        <v>2469516.0</v>
      </c>
      <c r="J506" s="30" t="s">
        <v>1791</v>
      </c>
    </row>
    <row r="507">
      <c r="A507" s="111">
        <v>2331576.0</v>
      </c>
      <c r="B507" s="103">
        <v>44377.0</v>
      </c>
      <c r="C507" s="112" t="s">
        <v>37</v>
      </c>
      <c r="D507" s="29" t="s">
        <v>1792</v>
      </c>
      <c r="E507" s="30" t="s">
        <v>105</v>
      </c>
      <c r="F507" s="30" t="s">
        <v>106</v>
      </c>
      <c r="G507" s="31">
        <v>1271196.0</v>
      </c>
      <c r="H507" s="30" t="s">
        <v>1280</v>
      </c>
      <c r="I507" s="31"/>
      <c r="J507" s="30" t="s">
        <v>47</v>
      </c>
    </row>
    <row r="508">
      <c r="A508" s="111">
        <v>1664482.0</v>
      </c>
      <c r="B508" s="103">
        <v>44377.0</v>
      </c>
      <c r="C508" s="112" t="s">
        <v>37</v>
      </c>
      <c r="D508" s="29" t="s">
        <v>1793</v>
      </c>
      <c r="E508" s="30" t="s">
        <v>63</v>
      </c>
      <c r="F508" s="30" t="s">
        <v>115</v>
      </c>
      <c r="G508" s="31"/>
      <c r="H508" s="30" t="s">
        <v>47</v>
      </c>
      <c r="I508" s="31"/>
      <c r="J508" s="30" t="s">
        <v>47</v>
      </c>
    </row>
    <row r="509">
      <c r="A509" s="111">
        <v>1528508.0</v>
      </c>
      <c r="B509" s="103">
        <v>44377.0</v>
      </c>
      <c r="C509" s="112" t="s">
        <v>37</v>
      </c>
      <c r="D509" s="29" t="s">
        <v>1794</v>
      </c>
      <c r="E509" s="30" t="s">
        <v>105</v>
      </c>
      <c r="F509" s="30" t="s">
        <v>778</v>
      </c>
      <c r="G509" s="31">
        <v>1533210.0</v>
      </c>
      <c r="H509" s="30" t="s">
        <v>1795</v>
      </c>
      <c r="I509" s="31"/>
      <c r="J509" s="30" t="s">
        <v>47</v>
      </c>
    </row>
    <row r="510">
      <c r="A510" s="111">
        <v>1380708.0</v>
      </c>
      <c r="B510" s="103">
        <v>44377.0</v>
      </c>
      <c r="C510" s="112" t="s">
        <v>37</v>
      </c>
      <c r="D510" s="29" t="s">
        <v>1796</v>
      </c>
      <c r="E510" s="30" t="s">
        <v>105</v>
      </c>
      <c r="F510" s="30" t="s">
        <v>106</v>
      </c>
      <c r="G510" s="31">
        <v>295705.0</v>
      </c>
      <c r="H510" s="30" t="s">
        <v>1797</v>
      </c>
      <c r="I510" s="31"/>
      <c r="J510" s="30" t="s">
        <v>47</v>
      </c>
    </row>
    <row r="511">
      <c r="A511" s="111">
        <v>832716.0</v>
      </c>
      <c r="B511" s="103">
        <v>44377.0</v>
      </c>
      <c r="C511" s="112" t="s">
        <v>37</v>
      </c>
      <c r="D511" s="29" t="s">
        <v>1798</v>
      </c>
      <c r="E511" s="30" t="s">
        <v>144</v>
      </c>
      <c r="F511" s="30" t="s">
        <v>145</v>
      </c>
      <c r="G511" s="31">
        <v>1691534.0</v>
      </c>
      <c r="H511" s="30" t="s">
        <v>1799</v>
      </c>
      <c r="I511" s="31"/>
      <c r="J511" s="30" t="s">
        <v>47</v>
      </c>
    </row>
    <row r="512">
      <c r="A512" s="111">
        <v>430152.0</v>
      </c>
      <c r="B512" s="103">
        <v>44377.0</v>
      </c>
      <c r="C512" s="112" t="s">
        <v>37</v>
      </c>
      <c r="D512" s="29" t="s">
        <v>1800</v>
      </c>
      <c r="E512" s="30" t="s">
        <v>144</v>
      </c>
      <c r="F512" s="30" t="s">
        <v>145</v>
      </c>
      <c r="G512" s="31">
        <v>435882.0</v>
      </c>
      <c r="H512" s="30" t="s">
        <v>1801</v>
      </c>
      <c r="I512" s="31"/>
      <c r="J512" s="30" t="s">
        <v>47</v>
      </c>
    </row>
    <row r="513">
      <c r="A513" s="111">
        <v>956380.0</v>
      </c>
      <c r="B513" s="103">
        <v>44377.0</v>
      </c>
      <c r="C513" s="112" t="s">
        <v>37</v>
      </c>
      <c r="D513" s="29" t="s">
        <v>1802</v>
      </c>
      <c r="E513" s="30" t="s">
        <v>45</v>
      </c>
      <c r="F513" s="30" t="s">
        <v>46</v>
      </c>
      <c r="G513" s="31">
        <v>425522.0</v>
      </c>
      <c r="H513" s="30" t="s">
        <v>1803</v>
      </c>
      <c r="I513" s="31"/>
      <c r="J513" s="30" t="s">
        <v>47</v>
      </c>
    </row>
    <row r="514">
      <c r="A514" s="111">
        <v>186420.0</v>
      </c>
      <c r="B514" s="103">
        <v>44377.0</v>
      </c>
      <c r="C514" s="112" t="s">
        <v>37</v>
      </c>
      <c r="D514" s="29" t="s">
        <v>1804</v>
      </c>
      <c r="E514" s="30" t="s">
        <v>45</v>
      </c>
      <c r="F514" s="30" t="s">
        <v>46</v>
      </c>
      <c r="G514" s="31">
        <v>761780.0</v>
      </c>
      <c r="H514" s="30" t="s">
        <v>1805</v>
      </c>
      <c r="I514" s="31"/>
      <c r="J514" s="30" t="s">
        <v>47</v>
      </c>
    </row>
    <row r="515">
      <c r="A515" s="111">
        <v>1946068.0</v>
      </c>
      <c r="B515" s="103">
        <v>44377.0</v>
      </c>
      <c r="C515" s="112" t="s">
        <v>37</v>
      </c>
      <c r="D515" s="29" t="s">
        <v>1806</v>
      </c>
      <c r="E515" s="30" t="s">
        <v>45</v>
      </c>
      <c r="F515" s="30" t="s">
        <v>90</v>
      </c>
      <c r="G515" s="31">
        <v>296510.0</v>
      </c>
      <c r="H515" s="30" t="s">
        <v>1807</v>
      </c>
      <c r="I515" s="31"/>
      <c r="J515" s="30" t="s">
        <v>47</v>
      </c>
    </row>
    <row r="516">
      <c r="A516" s="111">
        <v>118284.0</v>
      </c>
      <c r="B516" s="103">
        <v>44377.0</v>
      </c>
      <c r="C516" s="112" t="s">
        <v>37</v>
      </c>
      <c r="D516" s="29" t="s">
        <v>1808</v>
      </c>
      <c r="E516" s="30" t="s">
        <v>96</v>
      </c>
      <c r="F516" s="30" t="s">
        <v>97</v>
      </c>
      <c r="G516" s="31">
        <v>627760.0</v>
      </c>
      <c r="H516" s="30" t="s">
        <v>1809</v>
      </c>
      <c r="I516" s="31"/>
      <c r="J516" s="30" t="s">
        <v>47</v>
      </c>
    </row>
    <row r="517">
      <c r="A517" s="111">
        <v>1490828.0</v>
      </c>
      <c r="B517" s="103">
        <v>44377.0</v>
      </c>
      <c r="C517" s="112" t="s">
        <v>37</v>
      </c>
      <c r="D517" s="29" t="s">
        <v>1810</v>
      </c>
      <c r="E517" s="30" t="s">
        <v>45</v>
      </c>
      <c r="F517" s="30" t="s">
        <v>90</v>
      </c>
      <c r="G517" s="31">
        <v>1264466.0</v>
      </c>
      <c r="H517" s="30" t="s">
        <v>1811</v>
      </c>
      <c r="I517" s="31"/>
      <c r="J517" s="30" t="s">
        <v>47</v>
      </c>
    </row>
    <row r="518">
      <c r="A518" s="111">
        <v>1341536.0</v>
      </c>
      <c r="B518" s="103">
        <v>44377.0</v>
      </c>
      <c r="C518" s="112" t="s">
        <v>37</v>
      </c>
      <c r="D518" s="29" t="s">
        <v>1812</v>
      </c>
      <c r="E518" s="30" t="s">
        <v>45</v>
      </c>
      <c r="F518" s="30" t="s">
        <v>90</v>
      </c>
      <c r="G518" s="31"/>
      <c r="H518" s="30" t="s">
        <v>47</v>
      </c>
      <c r="I518" s="31"/>
      <c r="J518" s="30" t="s">
        <v>47</v>
      </c>
    </row>
    <row r="519">
      <c r="A519" s="111">
        <v>635302.0</v>
      </c>
      <c r="B519" s="103">
        <v>44377.0</v>
      </c>
      <c r="C519" s="112" t="s">
        <v>37</v>
      </c>
      <c r="D519" s="29" t="s">
        <v>1813</v>
      </c>
      <c r="E519" s="30" t="s">
        <v>45</v>
      </c>
      <c r="F519" s="30" t="s">
        <v>172</v>
      </c>
      <c r="G519" s="31">
        <v>1219330.0</v>
      </c>
      <c r="H519" s="30" t="s">
        <v>1814</v>
      </c>
      <c r="I519" s="31"/>
      <c r="J519" s="30" t="s">
        <v>47</v>
      </c>
    </row>
    <row r="520">
      <c r="A520" s="111">
        <v>1780364.0</v>
      </c>
      <c r="B520" s="103">
        <v>44377.0</v>
      </c>
      <c r="C520" s="112" t="s">
        <v>43</v>
      </c>
      <c r="D520" s="29" t="s">
        <v>1815</v>
      </c>
      <c r="E520" s="30" t="s">
        <v>122</v>
      </c>
      <c r="F520" s="30" t="s">
        <v>271</v>
      </c>
      <c r="G520" s="31">
        <v>3858926.0</v>
      </c>
      <c r="H520" s="30" t="s">
        <v>1816</v>
      </c>
      <c r="I520" s="31"/>
      <c r="J520" s="30" t="s">
        <v>47</v>
      </c>
    </row>
    <row r="521">
      <c r="A521" s="111">
        <v>2295997.0</v>
      </c>
      <c r="B521" s="103">
        <v>44377.0</v>
      </c>
      <c r="C521" s="112" t="s">
        <v>43</v>
      </c>
      <c r="D521" s="29" t="s">
        <v>1817</v>
      </c>
      <c r="E521" s="30" t="s">
        <v>79</v>
      </c>
      <c r="F521" s="30" t="s">
        <v>80</v>
      </c>
      <c r="G521" s="31"/>
      <c r="H521" s="30" t="s">
        <v>47</v>
      </c>
      <c r="I521" s="31"/>
      <c r="J521" s="30" t="s">
        <v>47</v>
      </c>
    </row>
    <row r="522">
      <c r="A522" s="111">
        <v>1511314.0</v>
      </c>
      <c r="B522" s="103">
        <v>44377.0</v>
      </c>
      <c r="C522" s="112" t="s">
        <v>43</v>
      </c>
      <c r="D522" s="29" t="s">
        <v>1818</v>
      </c>
      <c r="E522" s="30" t="s">
        <v>79</v>
      </c>
      <c r="F522" s="30" t="s">
        <v>184</v>
      </c>
      <c r="G522" s="31"/>
      <c r="H522" s="30" t="s">
        <v>47</v>
      </c>
      <c r="I522" s="31"/>
      <c r="J522" s="30" t="s">
        <v>47</v>
      </c>
    </row>
    <row r="523">
      <c r="A523" s="111">
        <v>1612806.0</v>
      </c>
      <c r="B523" s="103">
        <v>44391.0</v>
      </c>
      <c r="C523" s="112" t="s">
        <v>37</v>
      </c>
      <c r="D523" s="29" t="s">
        <v>1819</v>
      </c>
      <c r="E523" s="30" t="s">
        <v>122</v>
      </c>
      <c r="F523" s="30" t="s">
        <v>127</v>
      </c>
      <c r="G523" s="31">
        <v>2266662.0</v>
      </c>
      <c r="H523" s="30" t="s">
        <v>750</v>
      </c>
      <c r="I523" s="31">
        <v>1337472.0</v>
      </c>
      <c r="J523" s="30" t="s">
        <v>1820</v>
      </c>
    </row>
    <row r="524">
      <c r="A524" s="111">
        <v>3742998.0</v>
      </c>
      <c r="B524" s="103">
        <v>44392.0</v>
      </c>
      <c r="C524" s="112" t="s">
        <v>37</v>
      </c>
      <c r="D524" s="29" t="s">
        <v>771</v>
      </c>
      <c r="E524" s="30" t="s">
        <v>105</v>
      </c>
      <c r="F524" s="30" t="s">
        <v>106</v>
      </c>
      <c r="G524" s="31"/>
      <c r="H524" s="30"/>
      <c r="I524" s="31"/>
      <c r="J524" s="30"/>
    </row>
    <row r="525">
      <c r="A525" s="111">
        <v>3461878.0</v>
      </c>
      <c r="B525" s="103">
        <v>44405.0</v>
      </c>
      <c r="C525" s="112" t="s">
        <v>37</v>
      </c>
      <c r="D525" s="29" t="s">
        <v>1821</v>
      </c>
      <c r="E525" s="30" t="s">
        <v>45</v>
      </c>
      <c r="F525" s="30" t="s">
        <v>75</v>
      </c>
      <c r="G525" s="31"/>
      <c r="H525" s="30"/>
      <c r="I525" s="31"/>
      <c r="J525" s="30"/>
    </row>
    <row r="526">
      <c r="A526" s="111">
        <v>3647856.0</v>
      </c>
      <c r="B526" s="103">
        <v>44405.0</v>
      </c>
      <c r="C526" s="112" t="s">
        <v>37</v>
      </c>
      <c r="D526" s="29" t="s">
        <v>1822</v>
      </c>
      <c r="E526" s="30" t="s">
        <v>45</v>
      </c>
      <c r="F526" s="30" t="s">
        <v>75</v>
      </c>
      <c r="G526" s="31"/>
      <c r="H526" s="30"/>
      <c r="I526" s="31"/>
      <c r="J526" s="30"/>
    </row>
    <row r="527">
      <c r="A527" s="111">
        <v>1244360.0</v>
      </c>
      <c r="B527" s="103">
        <v>44407.0</v>
      </c>
      <c r="C527" s="112" t="s">
        <v>37</v>
      </c>
      <c r="D527" s="29" t="s">
        <v>1823</v>
      </c>
      <c r="E527" s="30" t="s">
        <v>96</v>
      </c>
      <c r="F527" s="30" t="s">
        <v>263</v>
      </c>
      <c r="G527" s="31">
        <v>1531082.0</v>
      </c>
      <c r="H527" s="30" t="s">
        <v>1824</v>
      </c>
      <c r="I527" s="31"/>
      <c r="J527" s="30" t="s">
        <v>47</v>
      </c>
    </row>
    <row r="528">
      <c r="A528" s="111">
        <v>2825199.0</v>
      </c>
      <c r="B528" s="103">
        <v>44407.0</v>
      </c>
      <c r="C528" s="112" t="s">
        <v>170</v>
      </c>
      <c r="D528" s="29" t="s">
        <v>1825</v>
      </c>
      <c r="E528" s="30" t="s">
        <v>39</v>
      </c>
      <c r="F528" s="30" t="s">
        <v>54</v>
      </c>
      <c r="G528" s="31">
        <v>1364900.0</v>
      </c>
      <c r="H528" s="30" t="s">
        <v>1826</v>
      </c>
      <c r="I528" s="31"/>
      <c r="J528" s="30" t="s">
        <v>47</v>
      </c>
    </row>
    <row r="529">
      <c r="A529" s="111">
        <v>115204.0</v>
      </c>
      <c r="B529" s="103">
        <v>44407.0</v>
      </c>
      <c r="C529" s="112" t="s">
        <v>70</v>
      </c>
      <c r="D529" s="29" t="s">
        <v>1827</v>
      </c>
      <c r="E529" s="30" t="s">
        <v>39</v>
      </c>
      <c r="F529" s="30" t="s">
        <v>113</v>
      </c>
      <c r="G529" s="31"/>
      <c r="H529" s="30" t="s">
        <v>47</v>
      </c>
      <c r="I529" s="31"/>
      <c r="J529" s="30" t="s">
        <v>47</v>
      </c>
    </row>
    <row r="530">
      <c r="A530" s="111">
        <v>287862.0</v>
      </c>
      <c r="B530" s="103">
        <v>44407.0</v>
      </c>
      <c r="C530" s="112" t="s">
        <v>37</v>
      </c>
      <c r="D530" s="29" t="s">
        <v>1828</v>
      </c>
      <c r="E530" s="30" t="s">
        <v>83</v>
      </c>
      <c r="F530" s="30" t="s">
        <v>285</v>
      </c>
      <c r="G530" s="31">
        <v>1149896.0</v>
      </c>
      <c r="H530" s="30" t="s">
        <v>1829</v>
      </c>
      <c r="I530" s="31"/>
      <c r="J530" s="30" t="s">
        <v>47</v>
      </c>
    </row>
    <row r="531">
      <c r="A531" s="111">
        <v>379644.0</v>
      </c>
      <c r="B531" s="103">
        <v>44407.0</v>
      </c>
      <c r="C531" s="112" t="s">
        <v>37</v>
      </c>
      <c r="D531" s="29" t="s">
        <v>1830</v>
      </c>
      <c r="E531" s="30" t="s">
        <v>45</v>
      </c>
      <c r="F531" s="30" t="s">
        <v>90</v>
      </c>
      <c r="G531" s="31"/>
      <c r="H531" s="30" t="s">
        <v>47</v>
      </c>
      <c r="I531" s="31"/>
      <c r="J531" s="30" t="s">
        <v>47</v>
      </c>
    </row>
    <row r="532">
      <c r="A532" s="111">
        <v>447734.0</v>
      </c>
      <c r="B532" s="103">
        <v>44407.0</v>
      </c>
      <c r="C532" s="112" t="s">
        <v>37</v>
      </c>
      <c r="D532" s="29" t="s">
        <v>1831</v>
      </c>
      <c r="E532" s="30" t="s">
        <v>39</v>
      </c>
      <c r="F532" s="30" t="s">
        <v>140</v>
      </c>
      <c r="G532" s="31">
        <v>939962.0</v>
      </c>
      <c r="H532" s="30" t="s">
        <v>1832</v>
      </c>
      <c r="I532" s="31"/>
      <c r="J532" s="30" t="s">
        <v>47</v>
      </c>
    </row>
    <row r="533">
      <c r="A533" s="111">
        <v>775472.0</v>
      </c>
      <c r="B533" s="111">
        <v>775472.0</v>
      </c>
      <c r="C533" s="112" t="s">
        <v>37</v>
      </c>
      <c r="D533" s="29" t="s">
        <v>1833</v>
      </c>
      <c r="E533" s="30" t="s">
        <v>219</v>
      </c>
      <c r="F533" s="30" t="s">
        <v>220</v>
      </c>
      <c r="G533" s="31"/>
      <c r="H533" s="30" t="s">
        <v>47</v>
      </c>
      <c r="I533" s="31"/>
      <c r="J533" s="30" t="s">
        <v>47</v>
      </c>
    </row>
    <row r="534">
      <c r="A534" s="111">
        <v>804700.0</v>
      </c>
      <c r="B534" s="103">
        <v>44407.0</v>
      </c>
      <c r="C534" s="112" t="s">
        <v>37</v>
      </c>
      <c r="D534" s="29" t="s">
        <v>1834</v>
      </c>
      <c r="E534" s="30" t="s">
        <v>96</v>
      </c>
      <c r="F534" s="30" t="s">
        <v>97</v>
      </c>
      <c r="G534" s="31">
        <v>826352.0</v>
      </c>
      <c r="H534" s="30" t="s">
        <v>1667</v>
      </c>
      <c r="I534" s="31"/>
      <c r="J534" s="30" t="s">
        <v>47</v>
      </c>
    </row>
    <row r="535">
      <c r="A535" s="111">
        <v>817926.0</v>
      </c>
      <c r="B535" s="103">
        <v>44407.0</v>
      </c>
      <c r="C535" s="112" t="s">
        <v>37</v>
      </c>
      <c r="D535" s="29" t="s">
        <v>1835</v>
      </c>
      <c r="E535" s="30" t="s">
        <v>39</v>
      </c>
      <c r="F535" s="30" t="s">
        <v>214</v>
      </c>
      <c r="G535" s="31">
        <v>980770.0</v>
      </c>
      <c r="H535" s="30" t="s">
        <v>1836</v>
      </c>
      <c r="I535" s="31">
        <v>1328572.0</v>
      </c>
      <c r="J535" s="30" t="s">
        <v>1837</v>
      </c>
    </row>
    <row r="536">
      <c r="A536" s="111">
        <v>986552.0</v>
      </c>
      <c r="B536" s="103">
        <v>44407.0</v>
      </c>
      <c r="C536" s="112" t="s">
        <v>37</v>
      </c>
      <c r="D536" s="29" t="s">
        <v>1838</v>
      </c>
      <c r="E536" s="30" t="s">
        <v>45</v>
      </c>
      <c r="F536" s="30" t="s">
        <v>75</v>
      </c>
      <c r="G536" s="31">
        <v>1348924.0</v>
      </c>
      <c r="H536" s="30" t="s">
        <v>1839</v>
      </c>
      <c r="I536" s="31"/>
      <c r="J536" s="30" t="s">
        <v>47</v>
      </c>
    </row>
    <row r="537">
      <c r="A537" s="111">
        <v>1052294.0</v>
      </c>
      <c r="B537" s="103">
        <v>44407.0</v>
      </c>
      <c r="C537" s="112" t="s">
        <v>37</v>
      </c>
      <c r="D537" s="29" t="s">
        <v>1840</v>
      </c>
      <c r="E537" s="30" t="s">
        <v>58</v>
      </c>
      <c r="F537" s="30" t="s">
        <v>59</v>
      </c>
      <c r="G537" s="31"/>
      <c r="H537" s="30" t="s">
        <v>47</v>
      </c>
      <c r="I537" s="31"/>
      <c r="J537" s="30" t="s">
        <v>47</v>
      </c>
    </row>
    <row r="538">
      <c r="A538" s="111">
        <v>1053272.0</v>
      </c>
      <c r="B538" s="103">
        <v>44407.0</v>
      </c>
      <c r="C538" s="112" t="s">
        <v>37</v>
      </c>
      <c r="D538" s="29" t="s">
        <v>1841</v>
      </c>
      <c r="E538" s="30" t="s">
        <v>96</v>
      </c>
      <c r="F538" s="30" t="s">
        <v>131</v>
      </c>
      <c r="G538" s="31">
        <v>648826.0</v>
      </c>
      <c r="H538" s="30" t="s">
        <v>1842</v>
      </c>
      <c r="I538" s="31"/>
      <c r="J538" s="30" t="s">
        <v>47</v>
      </c>
    </row>
    <row r="539">
      <c r="A539" s="111">
        <v>1075954.0</v>
      </c>
      <c r="B539" s="103">
        <v>44407.0</v>
      </c>
      <c r="C539" s="112" t="s">
        <v>37</v>
      </c>
      <c r="D539" s="29" t="s">
        <v>1843</v>
      </c>
      <c r="E539" s="30" t="s">
        <v>63</v>
      </c>
      <c r="F539" s="30" t="s">
        <v>256</v>
      </c>
      <c r="G539" s="31">
        <v>1923998.0</v>
      </c>
      <c r="H539" s="30" t="s">
        <v>1788</v>
      </c>
      <c r="I539" s="31"/>
      <c r="J539" s="30" t="s">
        <v>47</v>
      </c>
    </row>
    <row r="540">
      <c r="A540" s="111">
        <v>1138374.0</v>
      </c>
      <c r="B540" s="103">
        <v>44407.0</v>
      </c>
      <c r="C540" s="112" t="s">
        <v>37</v>
      </c>
      <c r="D540" s="29" t="s">
        <v>1025</v>
      </c>
      <c r="E540" s="30" t="s">
        <v>39</v>
      </c>
      <c r="F540" s="30" t="s">
        <v>50</v>
      </c>
      <c r="G540" s="31"/>
      <c r="H540" s="30" t="s">
        <v>47</v>
      </c>
      <c r="I540" s="31"/>
      <c r="J540" s="30" t="s">
        <v>47</v>
      </c>
    </row>
    <row r="541">
      <c r="A541" s="111">
        <v>1177364.0</v>
      </c>
      <c r="B541" s="103">
        <v>44407.0</v>
      </c>
      <c r="C541" s="112" t="s">
        <v>37</v>
      </c>
      <c r="D541" s="29" t="s">
        <v>1844</v>
      </c>
      <c r="E541" s="30" t="s">
        <v>63</v>
      </c>
      <c r="F541" s="30" t="s">
        <v>64</v>
      </c>
      <c r="G541" s="31"/>
      <c r="H541" s="30" t="s">
        <v>47</v>
      </c>
      <c r="I541" s="31"/>
      <c r="J541" s="30" t="s">
        <v>47</v>
      </c>
    </row>
    <row r="542">
      <c r="A542" s="111">
        <v>1297046.0</v>
      </c>
      <c r="B542" s="103">
        <v>44407.0</v>
      </c>
      <c r="C542" s="112" t="s">
        <v>37</v>
      </c>
      <c r="D542" s="29" t="s">
        <v>1845</v>
      </c>
      <c r="E542" s="30" t="s">
        <v>122</v>
      </c>
      <c r="F542" s="30" t="s">
        <v>123</v>
      </c>
      <c r="G542" s="31">
        <v>1349100.0</v>
      </c>
      <c r="H542" s="30" t="s">
        <v>1846</v>
      </c>
      <c r="I542" s="31">
        <v>1211916.0</v>
      </c>
      <c r="J542" s="30" t="s">
        <v>1847</v>
      </c>
    </row>
    <row r="543">
      <c r="A543" s="111">
        <v>1315926.0</v>
      </c>
      <c r="B543" s="103">
        <v>44407.0</v>
      </c>
      <c r="C543" s="112" t="s">
        <v>187</v>
      </c>
      <c r="D543" s="29" t="s">
        <v>1848</v>
      </c>
      <c r="E543" s="30" t="s">
        <v>63</v>
      </c>
      <c r="F543" s="30" t="s">
        <v>258</v>
      </c>
      <c r="G543" s="31"/>
      <c r="H543" s="30" t="s">
        <v>47</v>
      </c>
      <c r="I543" s="31"/>
      <c r="J543" s="30" t="s">
        <v>47</v>
      </c>
    </row>
    <row r="544">
      <c r="A544" s="111">
        <v>1317696.0</v>
      </c>
      <c r="B544" s="103">
        <v>44407.0</v>
      </c>
      <c r="C544" s="112" t="s">
        <v>142</v>
      </c>
      <c r="D544" s="29" t="s">
        <v>1849</v>
      </c>
      <c r="E544" s="30" t="s">
        <v>39</v>
      </c>
      <c r="F544" s="30" t="s">
        <v>140</v>
      </c>
      <c r="G544" s="31">
        <v>2014020.0</v>
      </c>
      <c r="H544" s="30" t="s">
        <v>1850</v>
      </c>
      <c r="I544" s="31"/>
      <c r="J544" s="30" t="s">
        <v>47</v>
      </c>
    </row>
    <row r="545">
      <c r="A545" s="111">
        <v>1435028.0</v>
      </c>
      <c r="B545" s="103">
        <v>44407.0</v>
      </c>
      <c r="C545" s="112" t="s">
        <v>37</v>
      </c>
      <c r="D545" s="29" t="s">
        <v>1265</v>
      </c>
      <c r="E545" s="30" t="s">
        <v>83</v>
      </c>
      <c r="F545" s="30" t="s">
        <v>285</v>
      </c>
      <c r="G545" s="31">
        <v>3594684.0</v>
      </c>
      <c r="H545" s="30" t="s">
        <v>1851</v>
      </c>
      <c r="I545" s="31">
        <v>636806.0</v>
      </c>
      <c r="J545" s="30" t="s">
        <v>1852</v>
      </c>
    </row>
    <row r="546">
      <c r="A546" s="111">
        <v>1465626.0</v>
      </c>
      <c r="B546" s="103">
        <v>44407.0</v>
      </c>
      <c r="C546" s="112" t="s">
        <v>37</v>
      </c>
      <c r="D546" s="29" t="s">
        <v>1853</v>
      </c>
      <c r="E546" s="30" t="s">
        <v>96</v>
      </c>
      <c r="F546" s="30" t="s">
        <v>352</v>
      </c>
      <c r="G546" s="31"/>
      <c r="H546" s="30" t="s">
        <v>47</v>
      </c>
      <c r="I546" s="31"/>
      <c r="J546" s="30" t="s">
        <v>47</v>
      </c>
    </row>
    <row r="547">
      <c r="A547" s="111">
        <v>1580296.0</v>
      </c>
      <c r="B547" s="103">
        <v>44407.0</v>
      </c>
      <c r="C547" s="112" t="s">
        <v>37</v>
      </c>
      <c r="D547" s="29" t="s">
        <v>1854</v>
      </c>
      <c r="E547" s="30" t="s">
        <v>83</v>
      </c>
      <c r="F547" s="30" t="s">
        <v>153</v>
      </c>
      <c r="G547" s="31">
        <v>484606.0</v>
      </c>
      <c r="H547" s="30" t="s">
        <v>1855</v>
      </c>
      <c r="I547" s="31">
        <v>1692684.0</v>
      </c>
      <c r="J547" s="30" t="s">
        <v>1856</v>
      </c>
    </row>
    <row r="548">
      <c r="A548" s="111">
        <v>1608456.0</v>
      </c>
      <c r="B548" s="103">
        <v>44407.0</v>
      </c>
      <c r="C548" s="112" t="s">
        <v>37</v>
      </c>
      <c r="D548" s="29" t="s">
        <v>1857</v>
      </c>
      <c r="E548" s="30" t="s">
        <v>45</v>
      </c>
      <c r="F548" s="30" t="s">
        <v>75</v>
      </c>
      <c r="G548" s="31">
        <v>2311262.0</v>
      </c>
      <c r="H548" s="30" t="s">
        <v>1858</v>
      </c>
      <c r="I548" s="31"/>
      <c r="J548" s="30" t="s">
        <v>47</v>
      </c>
    </row>
    <row r="549">
      <c r="A549" s="111">
        <v>1641996.0</v>
      </c>
      <c r="B549" s="103">
        <v>44407.0</v>
      </c>
      <c r="C549" s="112" t="s">
        <v>37</v>
      </c>
      <c r="D549" s="29" t="s">
        <v>1859</v>
      </c>
      <c r="E549" s="30" t="s">
        <v>79</v>
      </c>
      <c r="F549" s="30" t="s">
        <v>184</v>
      </c>
      <c r="G549" s="31">
        <v>1627590.0</v>
      </c>
      <c r="H549" s="30" t="s">
        <v>1860</v>
      </c>
      <c r="I549" s="31"/>
      <c r="J549" s="30" t="s">
        <v>47</v>
      </c>
    </row>
    <row r="550">
      <c r="A550" s="111">
        <v>1824816.0</v>
      </c>
      <c r="B550" s="103">
        <v>44407.0</v>
      </c>
      <c r="C550" s="112" t="s">
        <v>37</v>
      </c>
      <c r="D550" s="29" t="s">
        <v>1861</v>
      </c>
      <c r="E550" s="30" t="s">
        <v>79</v>
      </c>
      <c r="F550" s="30" t="s">
        <v>184</v>
      </c>
      <c r="G550" s="31"/>
      <c r="H550" s="30" t="s">
        <v>47</v>
      </c>
      <c r="I550" s="31"/>
      <c r="J550" s="30" t="s">
        <v>47</v>
      </c>
    </row>
    <row r="551">
      <c r="A551" s="111">
        <v>1851456.0</v>
      </c>
      <c r="B551" s="103">
        <v>44407.0</v>
      </c>
      <c r="C551" s="112" t="s">
        <v>187</v>
      </c>
      <c r="D551" s="29" t="s">
        <v>1862</v>
      </c>
      <c r="E551" s="30" t="s">
        <v>45</v>
      </c>
      <c r="F551" s="30" t="s">
        <v>46</v>
      </c>
      <c r="G551" s="31"/>
      <c r="H551" s="30" t="s">
        <v>47</v>
      </c>
      <c r="I551" s="31"/>
      <c r="J551" s="30" t="s">
        <v>47</v>
      </c>
    </row>
    <row r="552">
      <c r="A552" s="111">
        <v>1919594.0</v>
      </c>
      <c r="B552" s="103">
        <v>44407.0</v>
      </c>
      <c r="C552" s="112" t="s">
        <v>37</v>
      </c>
      <c r="D552" s="29" t="s">
        <v>1863</v>
      </c>
      <c r="E552" s="30" t="s">
        <v>63</v>
      </c>
      <c r="F552" s="30" t="s">
        <v>64</v>
      </c>
      <c r="G552" s="31">
        <v>1721218.0</v>
      </c>
      <c r="H552" s="30" t="s">
        <v>1864</v>
      </c>
      <c r="I552" s="31"/>
      <c r="J552" s="30" t="s">
        <v>47</v>
      </c>
    </row>
    <row r="553">
      <c r="A553" s="111">
        <v>2276255.0</v>
      </c>
      <c r="B553" s="103">
        <v>44407.0</v>
      </c>
      <c r="C553" s="112" t="s">
        <v>37</v>
      </c>
      <c r="D553" s="29" t="s">
        <v>1865</v>
      </c>
      <c r="E553" s="30" t="s">
        <v>96</v>
      </c>
      <c r="F553" s="30" t="s">
        <v>263</v>
      </c>
      <c r="G553" s="31"/>
      <c r="H553" s="30" t="s">
        <v>47</v>
      </c>
      <c r="I553" s="31"/>
      <c r="J553" s="30" t="s">
        <v>47</v>
      </c>
    </row>
    <row r="554">
      <c r="A554" s="111">
        <v>2399596.0</v>
      </c>
      <c r="B554" s="103">
        <v>44407.0</v>
      </c>
      <c r="C554" s="112" t="s">
        <v>37</v>
      </c>
      <c r="D554" s="29" t="s">
        <v>1866</v>
      </c>
      <c r="E554" s="30" t="s">
        <v>45</v>
      </c>
      <c r="F554" s="30" t="s">
        <v>324</v>
      </c>
      <c r="G554" s="31"/>
      <c r="H554" s="30" t="s">
        <v>47</v>
      </c>
      <c r="I554" s="31"/>
      <c r="J554" s="30" t="s">
        <v>47</v>
      </c>
    </row>
    <row r="555">
      <c r="A555" s="111">
        <v>2425526.0</v>
      </c>
      <c r="B555" s="103">
        <v>44407.0</v>
      </c>
      <c r="C555" s="112" t="s">
        <v>37</v>
      </c>
      <c r="D555" s="29" t="s">
        <v>1867</v>
      </c>
      <c r="E555" s="30" t="s">
        <v>45</v>
      </c>
      <c r="F555" s="30" t="s">
        <v>75</v>
      </c>
      <c r="G555" s="31"/>
      <c r="H555" s="30" t="s">
        <v>47</v>
      </c>
      <c r="I555" s="31"/>
      <c r="J555" s="30" t="s">
        <v>47</v>
      </c>
    </row>
    <row r="556">
      <c r="A556" s="111">
        <v>2558896.0</v>
      </c>
      <c r="B556" s="103">
        <v>44407.0</v>
      </c>
      <c r="C556" s="112" t="s">
        <v>37</v>
      </c>
      <c r="D556" s="29" t="s">
        <v>1868</v>
      </c>
      <c r="E556" s="30" t="s">
        <v>39</v>
      </c>
      <c r="F556" s="30" t="s">
        <v>54</v>
      </c>
      <c r="G556" s="31">
        <v>1309202.0</v>
      </c>
      <c r="H556" s="30" t="s">
        <v>1869</v>
      </c>
      <c r="I556" s="31">
        <v>2413006.0</v>
      </c>
      <c r="J556" s="30" t="s">
        <v>1870</v>
      </c>
    </row>
    <row r="557">
      <c r="A557" s="111">
        <v>2778790.0</v>
      </c>
      <c r="B557" s="103">
        <v>44407.0</v>
      </c>
      <c r="C557" s="112" t="s">
        <v>142</v>
      </c>
      <c r="D557" s="29" t="s">
        <v>1871</v>
      </c>
      <c r="E557" s="30" t="s">
        <v>39</v>
      </c>
      <c r="F557" s="30" t="s">
        <v>140</v>
      </c>
      <c r="G557" s="31"/>
      <c r="H557" s="30" t="s">
        <v>47</v>
      </c>
      <c r="I557" s="31"/>
      <c r="J557" s="30" t="s">
        <v>47</v>
      </c>
    </row>
    <row r="558">
      <c r="A558" s="111">
        <v>84676.0</v>
      </c>
      <c r="B558" s="103">
        <v>44407.0</v>
      </c>
      <c r="C558" s="112" t="s">
        <v>70</v>
      </c>
      <c r="D558" s="29" t="s">
        <v>1872</v>
      </c>
      <c r="E558" s="30" t="s">
        <v>39</v>
      </c>
      <c r="F558" s="30" t="s">
        <v>54</v>
      </c>
      <c r="G558" s="31">
        <v>2558556.0</v>
      </c>
      <c r="H558" s="30" t="s">
        <v>1873</v>
      </c>
      <c r="I558" s="31">
        <v>1187500.0</v>
      </c>
      <c r="J558" s="30" t="s">
        <v>1874</v>
      </c>
    </row>
    <row r="559">
      <c r="A559" s="111">
        <v>132138.0</v>
      </c>
      <c r="B559" s="103">
        <v>44407.0</v>
      </c>
      <c r="C559" s="112" t="s">
        <v>37</v>
      </c>
      <c r="D559" s="29" t="s">
        <v>1875</v>
      </c>
      <c r="E559" s="30" t="s">
        <v>45</v>
      </c>
      <c r="F559" s="30" t="s">
        <v>324</v>
      </c>
      <c r="G559" s="31">
        <v>1637872.0</v>
      </c>
      <c r="H559" s="30" t="s">
        <v>1876</v>
      </c>
      <c r="I559" s="31"/>
      <c r="J559" s="30" t="s">
        <v>47</v>
      </c>
    </row>
    <row r="560">
      <c r="A560" s="111">
        <v>449900.0</v>
      </c>
      <c r="B560" s="103">
        <v>44407.0</v>
      </c>
      <c r="C560" s="112" t="s">
        <v>37</v>
      </c>
      <c r="D560" s="29" t="s">
        <v>1877</v>
      </c>
      <c r="E560" s="30" t="s">
        <v>39</v>
      </c>
      <c r="F560" s="30" t="s">
        <v>140</v>
      </c>
      <c r="G560" s="31">
        <v>648408.0</v>
      </c>
      <c r="H560" s="30" t="s">
        <v>1878</v>
      </c>
      <c r="I560" s="31">
        <v>680088.0</v>
      </c>
      <c r="J560" s="30" t="s">
        <v>1879</v>
      </c>
    </row>
    <row r="561">
      <c r="A561" s="111">
        <v>495990.0</v>
      </c>
      <c r="B561" s="103">
        <v>44407.0</v>
      </c>
      <c r="C561" s="112" t="s">
        <v>142</v>
      </c>
      <c r="D561" s="29" t="s">
        <v>1880</v>
      </c>
      <c r="E561" s="30" t="s">
        <v>39</v>
      </c>
      <c r="F561" s="30" t="s">
        <v>54</v>
      </c>
      <c r="G561" s="31">
        <v>1315502.0</v>
      </c>
      <c r="H561" s="30" t="s">
        <v>1881</v>
      </c>
      <c r="I561" s="31"/>
      <c r="J561" s="30" t="s">
        <v>47</v>
      </c>
    </row>
    <row r="562">
      <c r="A562" s="111">
        <v>735854.0</v>
      </c>
      <c r="B562" s="103">
        <v>44407.0</v>
      </c>
      <c r="C562" s="112" t="s">
        <v>142</v>
      </c>
      <c r="D562" s="29" t="s">
        <v>1882</v>
      </c>
      <c r="E562" s="30" t="s">
        <v>45</v>
      </c>
      <c r="F562" s="30" t="s">
        <v>90</v>
      </c>
      <c r="G562" s="31"/>
      <c r="H562" s="30" t="s">
        <v>47</v>
      </c>
      <c r="I562" s="31"/>
      <c r="J562" s="30" t="s">
        <v>47</v>
      </c>
    </row>
    <row r="563">
      <c r="A563" s="111">
        <v>780640.0</v>
      </c>
      <c r="B563" s="103">
        <v>44407.0</v>
      </c>
      <c r="C563" s="112" t="s">
        <v>37</v>
      </c>
      <c r="D563" s="29" t="s">
        <v>1883</v>
      </c>
      <c r="E563" s="30" t="s">
        <v>45</v>
      </c>
      <c r="F563" s="30" t="s">
        <v>324</v>
      </c>
      <c r="G563" s="31"/>
      <c r="H563" s="30" t="s">
        <v>47</v>
      </c>
      <c r="I563" s="31"/>
      <c r="J563" s="30" t="s">
        <v>47</v>
      </c>
    </row>
    <row r="564">
      <c r="A564" s="111">
        <v>1051702.0</v>
      </c>
      <c r="B564" s="103">
        <v>44407.0</v>
      </c>
      <c r="C564" s="112" t="s">
        <v>70</v>
      </c>
      <c r="D564" s="29" t="s">
        <v>1884</v>
      </c>
      <c r="E564" s="30" t="s">
        <v>122</v>
      </c>
      <c r="F564" s="30" t="s">
        <v>271</v>
      </c>
      <c r="G564" s="31">
        <v>899216.0</v>
      </c>
      <c r="H564" s="30" t="s">
        <v>1885</v>
      </c>
      <c r="I564" s="31">
        <v>1868882.0</v>
      </c>
      <c r="J564" s="30" t="s">
        <v>1886</v>
      </c>
    </row>
    <row r="565">
      <c r="A565" s="111">
        <v>1185096.0</v>
      </c>
      <c r="B565" s="103">
        <v>44407.0</v>
      </c>
      <c r="C565" s="112" t="s">
        <v>70</v>
      </c>
      <c r="D565" s="29" t="s">
        <v>1887</v>
      </c>
      <c r="E565" s="30" t="s">
        <v>39</v>
      </c>
      <c r="F565" s="30" t="s">
        <v>140</v>
      </c>
      <c r="G565" s="31"/>
      <c r="H565" s="30" t="s">
        <v>47</v>
      </c>
      <c r="I565" s="31"/>
      <c r="J565" s="30" t="s">
        <v>47</v>
      </c>
    </row>
    <row r="566">
      <c r="A566" s="111">
        <v>1426848.0</v>
      </c>
      <c r="B566" s="103">
        <v>44407.0</v>
      </c>
      <c r="C566" s="112" t="s">
        <v>70</v>
      </c>
      <c r="D566" s="29" t="s">
        <v>1888</v>
      </c>
      <c r="E566" s="30" t="s">
        <v>105</v>
      </c>
      <c r="F566" s="30" t="s">
        <v>106</v>
      </c>
      <c r="G566" s="31">
        <v>1784656.0</v>
      </c>
      <c r="H566" s="30" t="s">
        <v>1889</v>
      </c>
      <c r="I566" s="31"/>
      <c r="J566" s="30" t="s">
        <v>47</v>
      </c>
    </row>
    <row r="567">
      <c r="A567" s="111">
        <v>1500692.0</v>
      </c>
      <c r="B567" s="103">
        <v>44407.0</v>
      </c>
      <c r="C567" s="112" t="s">
        <v>142</v>
      </c>
      <c r="D567" s="29" t="s">
        <v>1890</v>
      </c>
      <c r="E567" s="30" t="s">
        <v>39</v>
      </c>
      <c r="F567" s="30" t="s">
        <v>140</v>
      </c>
      <c r="G567" s="31"/>
      <c r="H567" s="30" t="s">
        <v>47</v>
      </c>
      <c r="I567" s="31"/>
      <c r="J567" s="30" t="s">
        <v>47</v>
      </c>
    </row>
    <row r="568">
      <c r="A568" s="111">
        <v>1573940.0</v>
      </c>
      <c r="B568" s="103">
        <v>44407.0</v>
      </c>
      <c r="C568" s="112" t="s">
        <v>37</v>
      </c>
      <c r="D568" s="29" t="s">
        <v>1891</v>
      </c>
      <c r="E568" s="30" t="s">
        <v>45</v>
      </c>
      <c r="F568" s="30" t="s">
        <v>324</v>
      </c>
      <c r="G568" s="31"/>
      <c r="H568" s="30" t="s">
        <v>47</v>
      </c>
      <c r="I568" s="31"/>
      <c r="J568" s="30" t="s">
        <v>47</v>
      </c>
    </row>
    <row r="569">
      <c r="A569" s="111">
        <v>1673162.0</v>
      </c>
      <c r="B569" s="103">
        <v>44407.0</v>
      </c>
      <c r="C569" s="112" t="s">
        <v>70</v>
      </c>
      <c r="D569" s="29" t="s">
        <v>1892</v>
      </c>
      <c r="E569" s="30" t="s">
        <v>83</v>
      </c>
      <c r="F569" s="30" t="s">
        <v>147</v>
      </c>
      <c r="G569" s="31">
        <v>1316648.0</v>
      </c>
      <c r="H569" s="30" t="s">
        <v>1893</v>
      </c>
      <c r="I569" s="31"/>
      <c r="J569" s="30" t="s">
        <v>47</v>
      </c>
    </row>
    <row r="570">
      <c r="A570" s="111">
        <v>1824856.0</v>
      </c>
      <c r="B570" s="103">
        <v>44407.0</v>
      </c>
      <c r="C570" s="112" t="s">
        <v>187</v>
      </c>
      <c r="D570" s="29" t="s">
        <v>1894</v>
      </c>
      <c r="E570" s="30" t="s">
        <v>39</v>
      </c>
      <c r="F570" s="30" t="s">
        <v>214</v>
      </c>
      <c r="G570" s="31"/>
      <c r="H570" s="30" t="s">
        <v>47</v>
      </c>
      <c r="I570" s="31"/>
      <c r="J570" s="30" t="s">
        <v>47</v>
      </c>
    </row>
    <row r="571">
      <c r="A571" s="111">
        <v>1861088.0</v>
      </c>
      <c r="B571" s="103">
        <v>44407.0</v>
      </c>
      <c r="C571" s="112" t="s">
        <v>37</v>
      </c>
      <c r="D571" s="29" t="s">
        <v>1895</v>
      </c>
      <c r="E571" s="30" t="s">
        <v>39</v>
      </c>
      <c r="F571" s="30" t="s">
        <v>214</v>
      </c>
      <c r="G571" s="31">
        <v>1070124.0</v>
      </c>
      <c r="H571" s="30" t="s">
        <v>1506</v>
      </c>
      <c r="I571" s="31"/>
      <c r="J571" s="30" t="s">
        <v>47</v>
      </c>
    </row>
    <row r="572">
      <c r="A572" s="111">
        <v>1876670.0</v>
      </c>
      <c r="B572" s="103">
        <v>44407.0</v>
      </c>
      <c r="C572" s="112" t="s">
        <v>43</v>
      </c>
      <c r="D572" s="29" t="s">
        <v>1896</v>
      </c>
      <c r="E572" s="30" t="s">
        <v>122</v>
      </c>
      <c r="F572" s="30" t="s">
        <v>123</v>
      </c>
      <c r="G572" s="31">
        <v>1039944.0</v>
      </c>
      <c r="H572" s="30" t="s">
        <v>1897</v>
      </c>
      <c r="I572" s="31">
        <v>939842.0</v>
      </c>
      <c r="J572" s="30" t="s">
        <v>1898</v>
      </c>
    </row>
    <row r="573">
      <c r="A573" s="111">
        <v>2231456.0</v>
      </c>
      <c r="B573" s="103">
        <v>44407.0</v>
      </c>
      <c r="C573" s="112" t="s">
        <v>43</v>
      </c>
      <c r="D573" s="29" t="s">
        <v>1899</v>
      </c>
      <c r="E573" s="30" t="s">
        <v>63</v>
      </c>
      <c r="F573" s="30" t="s">
        <v>115</v>
      </c>
      <c r="G573" s="31">
        <v>1419916.0</v>
      </c>
      <c r="H573" s="30" t="s">
        <v>1900</v>
      </c>
      <c r="I573" s="31">
        <v>2531236.0</v>
      </c>
      <c r="J573" s="30" t="s">
        <v>1901</v>
      </c>
    </row>
    <row r="574">
      <c r="A574" s="111">
        <v>3034862.0</v>
      </c>
      <c r="B574" s="103">
        <v>44407.0</v>
      </c>
      <c r="C574" s="112" t="s">
        <v>37</v>
      </c>
      <c r="D574" s="29" t="s">
        <v>1902</v>
      </c>
      <c r="E574" s="30" t="s">
        <v>39</v>
      </c>
      <c r="F574" s="30" t="s">
        <v>140</v>
      </c>
      <c r="G574" s="31">
        <v>1650610.0</v>
      </c>
      <c r="H574" s="30" t="s">
        <v>1903</v>
      </c>
      <c r="I574" s="31"/>
      <c r="J574" s="30" t="s">
        <v>47</v>
      </c>
    </row>
    <row r="575">
      <c r="A575" s="111">
        <v>1899018.0</v>
      </c>
      <c r="B575" s="103">
        <v>44407.0</v>
      </c>
      <c r="C575" s="112" t="s">
        <v>43</v>
      </c>
      <c r="D575" s="29" t="s">
        <v>1904</v>
      </c>
      <c r="E575" s="30" t="s">
        <v>39</v>
      </c>
      <c r="F575" s="30" t="s">
        <v>140</v>
      </c>
      <c r="G575" s="31">
        <v>2397400.0</v>
      </c>
      <c r="H575" s="30" t="s">
        <v>1905</v>
      </c>
      <c r="I575" s="31"/>
      <c r="J575" s="30" t="s">
        <v>47</v>
      </c>
    </row>
    <row r="576">
      <c r="A576" s="111">
        <v>872834.0</v>
      </c>
      <c r="B576" s="103">
        <v>44407.0</v>
      </c>
      <c r="C576" s="112" t="s">
        <v>37</v>
      </c>
      <c r="D576" s="29" t="s">
        <v>1906</v>
      </c>
      <c r="E576" s="30" t="s">
        <v>63</v>
      </c>
      <c r="F576" s="30" t="s">
        <v>258</v>
      </c>
      <c r="G576" s="31"/>
      <c r="H576" s="30" t="s">
        <v>47</v>
      </c>
      <c r="I576" s="31"/>
      <c r="J576" s="30" t="s">
        <v>47</v>
      </c>
    </row>
    <row r="577">
      <c r="A577" s="111">
        <v>2020688.0</v>
      </c>
      <c r="B577" s="103">
        <v>44407.0</v>
      </c>
      <c r="C577" s="112" t="s">
        <v>37</v>
      </c>
      <c r="D577" s="29" t="s">
        <v>1907</v>
      </c>
      <c r="E577" s="30" t="s">
        <v>63</v>
      </c>
      <c r="F577" s="30" t="s">
        <v>258</v>
      </c>
      <c r="G577" s="31">
        <v>903744.0</v>
      </c>
      <c r="H577" s="30" t="s">
        <v>1415</v>
      </c>
      <c r="I577" s="31"/>
      <c r="J577" s="30" t="s">
        <v>47</v>
      </c>
    </row>
    <row r="578">
      <c r="A578" s="111">
        <v>1281492.0</v>
      </c>
      <c r="B578" s="103">
        <v>44407.0</v>
      </c>
      <c r="C578" s="112" t="s">
        <v>37</v>
      </c>
      <c r="D578" s="29" t="s">
        <v>1908</v>
      </c>
      <c r="E578" s="30" t="s">
        <v>63</v>
      </c>
      <c r="F578" s="30" t="s">
        <v>258</v>
      </c>
      <c r="G578" s="31"/>
      <c r="H578" s="30" t="s">
        <v>47</v>
      </c>
      <c r="I578" s="31"/>
      <c r="J578" s="30" t="s">
        <v>47</v>
      </c>
    </row>
    <row r="579">
      <c r="A579" s="111">
        <v>1070824.0</v>
      </c>
      <c r="B579" s="103">
        <v>44407.0</v>
      </c>
      <c r="C579" s="112" t="s">
        <v>37</v>
      </c>
      <c r="D579" s="29" t="s">
        <v>1909</v>
      </c>
      <c r="E579" s="30" t="s">
        <v>45</v>
      </c>
      <c r="F579" s="30" t="s">
        <v>90</v>
      </c>
      <c r="G579" s="31"/>
      <c r="H579" s="30" t="s">
        <v>47</v>
      </c>
      <c r="I579" s="31"/>
      <c r="J579" s="30" t="s">
        <v>47</v>
      </c>
    </row>
    <row r="580">
      <c r="A580" s="111">
        <v>1205570.0</v>
      </c>
      <c r="B580" s="103">
        <v>44407.0</v>
      </c>
      <c r="C580" s="112" t="s">
        <v>37</v>
      </c>
      <c r="D580" s="29" t="s">
        <v>1910</v>
      </c>
      <c r="E580" s="30" t="s">
        <v>45</v>
      </c>
      <c r="F580" s="30" t="s">
        <v>90</v>
      </c>
      <c r="G580" s="31">
        <v>2351336.0</v>
      </c>
      <c r="H580" s="30" t="s">
        <v>1911</v>
      </c>
      <c r="I580" s="31"/>
      <c r="J580" s="30" t="s">
        <v>47</v>
      </c>
    </row>
    <row r="581">
      <c r="A581" s="111">
        <v>2313274.0</v>
      </c>
      <c r="B581" s="103">
        <v>44407.0</v>
      </c>
      <c r="C581" s="112" t="s">
        <v>37</v>
      </c>
      <c r="D581" s="29" t="s">
        <v>1912</v>
      </c>
      <c r="E581" s="30" t="s">
        <v>105</v>
      </c>
      <c r="F581" s="30" t="s">
        <v>106</v>
      </c>
      <c r="G581" s="31"/>
      <c r="H581" s="30" t="s">
        <v>47</v>
      </c>
      <c r="I581" s="31"/>
      <c r="J581" s="30" t="s">
        <v>47</v>
      </c>
    </row>
    <row r="582">
      <c r="A582" s="111">
        <v>1411952.0</v>
      </c>
      <c r="B582" s="103">
        <v>44407.0</v>
      </c>
      <c r="C582" s="112" t="s">
        <v>37</v>
      </c>
      <c r="D582" s="29" t="s">
        <v>1913</v>
      </c>
      <c r="E582" s="30" t="s">
        <v>105</v>
      </c>
      <c r="F582" s="30" t="s">
        <v>106</v>
      </c>
      <c r="G582" s="31"/>
      <c r="H582" s="30" t="s">
        <v>47</v>
      </c>
      <c r="I582" s="31"/>
      <c r="J582" s="30" t="s">
        <v>47</v>
      </c>
    </row>
    <row r="583">
      <c r="A583" s="111">
        <v>839384.0</v>
      </c>
      <c r="B583" s="103">
        <v>44407.0</v>
      </c>
      <c r="C583" s="112" t="s">
        <v>37</v>
      </c>
      <c r="D583" s="29" t="s">
        <v>1914</v>
      </c>
      <c r="E583" s="30" t="s">
        <v>105</v>
      </c>
      <c r="F583" s="30" t="s">
        <v>198</v>
      </c>
      <c r="G583" s="31"/>
      <c r="H583" s="30" t="s">
        <v>47</v>
      </c>
      <c r="I583" s="31"/>
      <c r="J583" s="30" t="s">
        <v>47</v>
      </c>
    </row>
    <row r="584">
      <c r="A584" s="111">
        <v>794572.0</v>
      </c>
      <c r="B584" s="103">
        <v>44407.0</v>
      </c>
      <c r="C584" s="112" t="s">
        <v>37</v>
      </c>
      <c r="D584" s="29" t="s">
        <v>1915</v>
      </c>
      <c r="E584" s="30" t="s">
        <v>105</v>
      </c>
      <c r="F584" s="30" t="s">
        <v>198</v>
      </c>
      <c r="G584" s="31"/>
      <c r="H584" s="30" t="s">
        <v>47</v>
      </c>
      <c r="I584" s="31"/>
      <c r="J584" s="30" t="s">
        <v>47</v>
      </c>
    </row>
    <row r="585">
      <c r="A585" s="111">
        <v>1725776.0</v>
      </c>
      <c r="B585" s="103">
        <v>44407.0</v>
      </c>
      <c r="C585" s="112" t="s">
        <v>170</v>
      </c>
      <c r="D585" s="29" t="s">
        <v>1916</v>
      </c>
      <c r="E585" s="30" t="s">
        <v>79</v>
      </c>
      <c r="F585" s="30" t="s">
        <v>261</v>
      </c>
      <c r="G585" s="31"/>
      <c r="H585" s="30" t="s">
        <v>47</v>
      </c>
      <c r="I585" s="31"/>
      <c r="J585" s="30" t="s">
        <v>47</v>
      </c>
    </row>
    <row r="586">
      <c r="A586" s="113">
        <v>1488132.0</v>
      </c>
      <c r="B586" s="103">
        <v>44407.0</v>
      </c>
      <c r="C586" s="112" t="s">
        <v>37</v>
      </c>
      <c r="D586" s="29" t="s">
        <v>1917</v>
      </c>
      <c r="E586" s="30" t="s">
        <v>39</v>
      </c>
      <c r="F586" s="30" t="s">
        <v>50</v>
      </c>
      <c r="G586" s="31">
        <v>2755630.0</v>
      </c>
      <c r="H586" s="30" t="s">
        <v>1918</v>
      </c>
      <c r="I586" s="31"/>
      <c r="J586" s="30" t="s">
        <v>47</v>
      </c>
    </row>
    <row r="587">
      <c r="A587" s="113">
        <v>1831792.0</v>
      </c>
      <c r="B587" s="103">
        <v>44407.0</v>
      </c>
      <c r="C587" s="112" t="s">
        <v>70</v>
      </c>
      <c r="D587" s="29" t="s">
        <v>1919</v>
      </c>
      <c r="E587" s="30" t="s">
        <v>58</v>
      </c>
      <c r="F587" s="30" t="s">
        <v>86</v>
      </c>
      <c r="G587" s="31">
        <v>1159626.0</v>
      </c>
      <c r="H587" s="30" t="s">
        <v>1920</v>
      </c>
      <c r="I587" s="31"/>
      <c r="J587" s="30" t="s">
        <v>47</v>
      </c>
    </row>
    <row r="588">
      <c r="A588" s="113">
        <v>3487918.0</v>
      </c>
      <c r="B588" s="103">
        <v>44407.0</v>
      </c>
      <c r="C588" s="112" t="s">
        <v>37</v>
      </c>
      <c r="D588" s="29" t="s">
        <v>1921</v>
      </c>
      <c r="E588" s="30" t="s">
        <v>45</v>
      </c>
      <c r="F588" s="30" t="s">
        <v>46</v>
      </c>
      <c r="G588" s="31"/>
      <c r="H588" s="30" t="s">
        <v>47</v>
      </c>
      <c r="I588" s="31"/>
      <c r="J588" s="30" t="s">
        <v>47</v>
      </c>
    </row>
    <row r="589">
      <c r="A589" s="113">
        <v>3158102.0</v>
      </c>
      <c r="B589" s="103">
        <v>44407.0</v>
      </c>
      <c r="C589" s="112" t="s">
        <v>37</v>
      </c>
      <c r="D589" s="29" t="s">
        <v>1922</v>
      </c>
      <c r="E589" s="30" t="s">
        <v>45</v>
      </c>
      <c r="F589" s="30" t="s">
        <v>90</v>
      </c>
      <c r="G589" s="31"/>
      <c r="H589" s="30" t="s">
        <v>47</v>
      </c>
      <c r="I589" s="31"/>
      <c r="J589" s="30" t="s">
        <v>47</v>
      </c>
    </row>
    <row r="590">
      <c r="A590" s="113">
        <v>3248294.0</v>
      </c>
      <c r="B590" s="103">
        <v>44407.0</v>
      </c>
      <c r="C590" s="112" t="s">
        <v>43</v>
      </c>
      <c r="D590" s="29" t="s">
        <v>1923</v>
      </c>
      <c r="E590" s="30" t="s">
        <v>58</v>
      </c>
      <c r="F590" s="30" t="s">
        <v>86</v>
      </c>
      <c r="G590" s="31">
        <v>1306760.0</v>
      </c>
      <c r="H590" s="30" t="s">
        <v>1924</v>
      </c>
      <c r="I590" s="31"/>
      <c r="J590" s="30" t="s">
        <v>47</v>
      </c>
    </row>
    <row r="591">
      <c r="A591" s="111">
        <v>3054580.0</v>
      </c>
      <c r="B591" s="103">
        <v>44407.0</v>
      </c>
      <c r="C591" s="112" t="s">
        <v>170</v>
      </c>
      <c r="D591" s="29" t="s">
        <v>1925</v>
      </c>
      <c r="E591" s="30" t="s">
        <v>45</v>
      </c>
      <c r="F591" s="30" t="s">
        <v>90</v>
      </c>
      <c r="G591" s="31"/>
      <c r="H591" s="30" t="s">
        <v>47</v>
      </c>
      <c r="I591" s="31"/>
      <c r="J591" s="30" t="s">
        <v>47</v>
      </c>
    </row>
    <row r="592">
      <c r="A592" s="111">
        <v>1762176.0</v>
      </c>
      <c r="B592" s="103">
        <v>44407.0</v>
      </c>
      <c r="C592" s="112" t="s">
        <v>37</v>
      </c>
      <c r="D592" s="29" t="s">
        <v>1926</v>
      </c>
      <c r="E592" s="30" t="s">
        <v>105</v>
      </c>
      <c r="F592" s="30" t="s">
        <v>106</v>
      </c>
      <c r="G592" s="31">
        <v>1951990.0</v>
      </c>
      <c r="H592" s="30" t="s">
        <v>1927</v>
      </c>
      <c r="I592" s="31">
        <v>1005210.0</v>
      </c>
      <c r="J592" s="30" t="s">
        <v>827</v>
      </c>
    </row>
    <row r="593">
      <c r="A593" s="111">
        <v>2386938.0</v>
      </c>
      <c r="B593" s="103">
        <v>44417.0</v>
      </c>
      <c r="C593" s="112" t="s">
        <v>37</v>
      </c>
      <c r="D593" s="29" t="s">
        <v>1928</v>
      </c>
      <c r="E593" s="30" t="s">
        <v>39</v>
      </c>
      <c r="F593" s="30" t="s">
        <v>50</v>
      </c>
      <c r="G593" s="31">
        <v>1299854.0</v>
      </c>
      <c r="H593" s="30" t="s">
        <v>1929</v>
      </c>
      <c r="I593" s="31">
        <v>2573662.0</v>
      </c>
      <c r="J593" s="30" t="s">
        <v>1930</v>
      </c>
    </row>
    <row r="594">
      <c r="A594" s="111">
        <v>3725930.0</v>
      </c>
      <c r="B594" s="103">
        <v>44417.0</v>
      </c>
      <c r="C594" s="112" t="s">
        <v>689</v>
      </c>
      <c r="D594" s="29" t="s">
        <v>1931</v>
      </c>
      <c r="E594" s="30"/>
      <c r="F594" s="30"/>
      <c r="G594" s="31"/>
      <c r="H594" s="30"/>
      <c r="I594" s="31"/>
      <c r="J594" s="30"/>
    </row>
    <row r="595">
      <c r="A595" s="115">
        <v>3732628.0</v>
      </c>
      <c r="B595" s="103">
        <v>44424.0</v>
      </c>
      <c r="C595" s="112" t="s">
        <v>37</v>
      </c>
      <c r="D595" s="29" t="s">
        <v>1932</v>
      </c>
      <c r="E595" s="30" t="s">
        <v>45</v>
      </c>
      <c r="F595" s="30" t="s">
        <v>75</v>
      </c>
      <c r="G595" s="31"/>
      <c r="H595" s="30"/>
      <c r="I595" s="31"/>
      <c r="J595" s="30"/>
    </row>
    <row r="596">
      <c r="A596" s="116">
        <v>1716630.0</v>
      </c>
      <c r="B596" s="117">
        <v>44427.0</v>
      </c>
      <c r="C596" s="150" t="s">
        <v>37</v>
      </c>
      <c r="D596" s="29" t="s">
        <v>1933</v>
      </c>
      <c r="E596" s="30" t="s">
        <v>39</v>
      </c>
      <c r="F596" s="30" t="s">
        <v>113</v>
      </c>
      <c r="G596" s="31">
        <v>3302726.0</v>
      </c>
      <c r="H596" s="30" t="s">
        <v>1934</v>
      </c>
      <c r="I596" s="31"/>
      <c r="J596" s="30"/>
    </row>
    <row r="597">
      <c r="A597" s="119">
        <v>2249104.0</v>
      </c>
      <c r="B597" s="117">
        <v>44427.0</v>
      </c>
      <c r="C597" s="150" t="s">
        <v>37</v>
      </c>
      <c r="D597" s="29" t="s">
        <v>1935</v>
      </c>
      <c r="E597" s="30" t="s">
        <v>39</v>
      </c>
      <c r="F597" s="30" t="s">
        <v>113</v>
      </c>
      <c r="G597" s="31">
        <v>2811919.0</v>
      </c>
      <c r="H597" s="30" t="s">
        <v>1936</v>
      </c>
      <c r="I597" s="31"/>
      <c r="J597" s="30"/>
    </row>
    <row r="598">
      <c r="A598" s="116">
        <v>1548060.0</v>
      </c>
      <c r="B598" s="117">
        <v>44427.0</v>
      </c>
      <c r="C598" s="150" t="s">
        <v>37</v>
      </c>
      <c r="D598" s="29" t="s">
        <v>1937</v>
      </c>
      <c r="E598" s="30" t="s">
        <v>39</v>
      </c>
      <c r="F598" s="30" t="s">
        <v>113</v>
      </c>
      <c r="G598" s="31">
        <v>3951580.0</v>
      </c>
      <c r="H598" s="30" t="s">
        <v>1938</v>
      </c>
      <c r="I598" s="31">
        <v>2064941.0</v>
      </c>
      <c r="J598" s="30" t="s">
        <v>1939</v>
      </c>
    </row>
    <row r="599">
      <c r="A599" s="120">
        <v>665152.0</v>
      </c>
      <c r="B599" s="117">
        <v>44435.0</v>
      </c>
      <c r="C599" s="150" t="s">
        <v>37</v>
      </c>
      <c r="D599" s="29" t="s">
        <v>1940</v>
      </c>
      <c r="E599" s="30" t="s">
        <v>79</v>
      </c>
      <c r="F599" s="30" t="s">
        <v>150</v>
      </c>
      <c r="G599" s="31">
        <v>864146.0</v>
      </c>
      <c r="H599" s="30" t="s">
        <v>1941</v>
      </c>
      <c r="I599" s="31">
        <v>2002862.0</v>
      </c>
      <c r="J599" s="30" t="s">
        <v>1942</v>
      </c>
    </row>
    <row r="600">
      <c r="A600" s="120">
        <v>3911056.0</v>
      </c>
      <c r="B600" s="117">
        <v>44435.0</v>
      </c>
      <c r="C600" s="150" t="s">
        <v>37</v>
      </c>
      <c r="D600" s="29" t="s">
        <v>1943</v>
      </c>
      <c r="E600" s="30" t="s">
        <v>39</v>
      </c>
      <c r="F600" s="30" t="s">
        <v>50</v>
      </c>
      <c r="G600" s="31">
        <v>3236235.0</v>
      </c>
      <c r="H600" s="30" t="s">
        <v>1944</v>
      </c>
      <c r="I600" s="31">
        <v>2499720.0</v>
      </c>
      <c r="J600" s="30" t="s">
        <v>1945</v>
      </c>
    </row>
    <row r="601">
      <c r="A601" s="121">
        <v>968472.0</v>
      </c>
      <c r="B601" s="117">
        <v>44439.0</v>
      </c>
      <c r="C601" s="150" t="s">
        <v>37</v>
      </c>
      <c r="D601" s="29" t="s">
        <v>1946</v>
      </c>
      <c r="E601" s="30" t="s">
        <v>144</v>
      </c>
      <c r="F601" s="30" t="s">
        <v>145</v>
      </c>
      <c r="G601" s="31">
        <v>4077322.0</v>
      </c>
      <c r="H601" s="30" t="s">
        <v>1947</v>
      </c>
      <c r="I601" s="31"/>
      <c r="J601" s="30"/>
    </row>
    <row r="602">
      <c r="A602" s="121">
        <v>968470.0</v>
      </c>
      <c r="B602" s="117">
        <v>44439.0</v>
      </c>
      <c r="C602" s="150" t="s">
        <v>37</v>
      </c>
      <c r="D602" s="29" t="s">
        <v>1948</v>
      </c>
      <c r="E602" s="30" t="s">
        <v>144</v>
      </c>
      <c r="F602" s="30" t="s">
        <v>145</v>
      </c>
      <c r="G602" s="31">
        <v>4077322.0</v>
      </c>
      <c r="H602" s="30" t="s">
        <v>1947</v>
      </c>
      <c r="I602" s="31"/>
      <c r="J602" s="30"/>
    </row>
    <row r="603">
      <c r="A603" s="121">
        <v>1036600.0</v>
      </c>
      <c r="B603" s="117">
        <v>44439.0</v>
      </c>
      <c r="C603" s="150" t="s">
        <v>37</v>
      </c>
      <c r="D603" s="29" t="s">
        <v>1949</v>
      </c>
      <c r="E603" s="30" t="s">
        <v>144</v>
      </c>
      <c r="F603" s="30" t="s">
        <v>145</v>
      </c>
      <c r="G603" s="31">
        <v>4077322.0</v>
      </c>
      <c r="H603" s="30" t="s">
        <v>1947</v>
      </c>
      <c r="I603" s="31"/>
      <c r="J603" s="30"/>
    </row>
    <row r="604">
      <c r="A604" s="121">
        <v>993462.0</v>
      </c>
      <c r="B604" s="117">
        <v>44439.0</v>
      </c>
      <c r="C604" s="150" t="s">
        <v>37</v>
      </c>
      <c r="D604" s="29" t="s">
        <v>1950</v>
      </c>
      <c r="E604" s="30" t="s">
        <v>144</v>
      </c>
      <c r="F604" s="30" t="s">
        <v>145</v>
      </c>
      <c r="G604" s="31">
        <v>4077322.0</v>
      </c>
      <c r="H604" s="30" t="s">
        <v>1947</v>
      </c>
      <c r="I604" s="31"/>
      <c r="J604" s="30"/>
    </row>
    <row r="605">
      <c r="A605" s="121">
        <v>968468.0</v>
      </c>
      <c r="B605" s="117">
        <v>44439.0</v>
      </c>
      <c r="C605" s="150" t="s">
        <v>37</v>
      </c>
      <c r="D605" s="29" t="s">
        <v>1951</v>
      </c>
      <c r="E605" s="30" t="s">
        <v>144</v>
      </c>
      <c r="F605" s="30" t="s">
        <v>145</v>
      </c>
      <c r="G605" s="31">
        <v>4077322.0</v>
      </c>
      <c r="H605" s="30" t="s">
        <v>1947</v>
      </c>
      <c r="I605" s="31"/>
      <c r="J605" s="30"/>
    </row>
    <row r="606">
      <c r="A606" s="121">
        <v>1122312.0</v>
      </c>
      <c r="B606" s="117">
        <v>44439.0</v>
      </c>
      <c r="C606" s="150" t="s">
        <v>37</v>
      </c>
      <c r="D606" s="29" t="s">
        <v>1952</v>
      </c>
      <c r="E606" s="30" t="s">
        <v>144</v>
      </c>
      <c r="F606" s="30" t="s">
        <v>145</v>
      </c>
      <c r="G606" s="31">
        <v>4077322.0</v>
      </c>
      <c r="H606" s="30" t="s">
        <v>1947</v>
      </c>
      <c r="I606" s="31"/>
      <c r="J606" s="30"/>
    </row>
    <row r="607">
      <c r="A607" s="119">
        <v>2549459.0</v>
      </c>
      <c r="B607" s="117">
        <v>44439.0</v>
      </c>
      <c r="C607" s="150" t="s">
        <v>37</v>
      </c>
      <c r="D607" s="29" t="s">
        <v>1953</v>
      </c>
      <c r="E607" s="30" t="s">
        <v>101</v>
      </c>
      <c r="F607" s="30" t="s">
        <v>754</v>
      </c>
      <c r="G607" s="31">
        <v>1346052.0</v>
      </c>
      <c r="H607" s="30" t="s">
        <v>1954</v>
      </c>
      <c r="I607" s="31"/>
      <c r="J607" s="30"/>
    </row>
    <row r="608">
      <c r="A608" s="119">
        <v>3337838.0</v>
      </c>
      <c r="B608" s="117">
        <v>44439.0</v>
      </c>
      <c r="C608" s="150" t="s">
        <v>43</v>
      </c>
      <c r="D608" s="29" t="s">
        <v>1955</v>
      </c>
      <c r="E608" s="30" t="s">
        <v>39</v>
      </c>
      <c r="F608" s="30" t="s">
        <v>214</v>
      </c>
      <c r="G608" s="31"/>
      <c r="H608" s="30"/>
      <c r="I608" s="31"/>
      <c r="J608" s="30"/>
    </row>
    <row r="609">
      <c r="A609" s="122">
        <v>3617880.0</v>
      </c>
      <c r="B609" s="117">
        <v>44439.0</v>
      </c>
      <c r="C609" s="150" t="s">
        <v>187</v>
      </c>
      <c r="D609" s="29" t="s">
        <v>1956</v>
      </c>
      <c r="E609" s="30" t="s">
        <v>39</v>
      </c>
      <c r="F609" s="30" t="s">
        <v>54</v>
      </c>
      <c r="G609" s="31"/>
      <c r="H609" s="30"/>
      <c r="I609" s="31"/>
      <c r="J609" s="30"/>
    </row>
    <row r="610">
      <c r="A610" s="109">
        <v>2789244.0</v>
      </c>
      <c r="B610" s="117">
        <v>44439.0</v>
      </c>
      <c r="C610" s="150" t="s">
        <v>37</v>
      </c>
      <c r="D610" s="29" t="s">
        <v>1957</v>
      </c>
      <c r="E610" s="30" t="s">
        <v>39</v>
      </c>
      <c r="F610" s="30" t="s">
        <v>40</v>
      </c>
      <c r="G610" s="31"/>
      <c r="H610" s="30"/>
      <c r="I610" s="31"/>
      <c r="J610" s="30"/>
    </row>
    <row r="611">
      <c r="A611" s="109">
        <v>3566813.0</v>
      </c>
      <c r="B611" s="117">
        <v>44439.0</v>
      </c>
      <c r="C611" s="150" t="s">
        <v>37</v>
      </c>
      <c r="D611" s="29" t="s">
        <v>1958</v>
      </c>
      <c r="E611" s="30" t="s">
        <v>58</v>
      </c>
      <c r="F611" s="30" t="s">
        <v>169</v>
      </c>
      <c r="G611" s="31"/>
      <c r="H611" s="30"/>
      <c r="I611" s="31"/>
      <c r="J611" s="30"/>
    </row>
    <row r="612">
      <c r="A612" s="119">
        <v>3165438.0</v>
      </c>
      <c r="B612" s="117">
        <v>44439.0</v>
      </c>
      <c r="C612" s="150" t="s">
        <v>37</v>
      </c>
      <c r="D612" s="29" t="s">
        <v>1959</v>
      </c>
      <c r="E612" s="30" t="s">
        <v>58</v>
      </c>
      <c r="F612" s="30" t="s">
        <v>169</v>
      </c>
      <c r="G612" s="31"/>
      <c r="H612" s="30"/>
      <c r="I612" s="31"/>
      <c r="J612" s="30"/>
    </row>
    <row r="613">
      <c r="A613" s="119">
        <v>3560791.0</v>
      </c>
      <c r="B613" s="117">
        <v>44439.0</v>
      </c>
      <c r="C613" s="150" t="s">
        <v>37</v>
      </c>
      <c r="D613" s="29" t="s">
        <v>1960</v>
      </c>
      <c r="E613" s="30" t="s">
        <v>45</v>
      </c>
      <c r="F613" s="30" t="s">
        <v>75</v>
      </c>
      <c r="G613" s="31"/>
      <c r="H613" s="30"/>
      <c r="I613" s="31"/>
      <c r="J613" s="30"/>
    </row>
    <row r="614">
      <c r="A614" s="119">
        <v>2629780.0</v>
      </c>
      <c r="B614" s="117">
        <v>44439.0</v>
      </c>
      <c r="C614" s="150" t="s">
        <v>43</v>
      </c>
      <c r="D614" s="29" t="s">
        <v>1961</v>
      </c>
      <c r="E614" s="30" t="s">
        <v>189</v>
      </c>
      <c r="F614" s="30" t="s">
        <v>190</v>
      </c>
      <c r="G614" s="31">
        <v>1680824.0</v>
      </c>
      <c r="H614" s="30" t="s">
        <v>1962</v>
      </c>
      <c r="I614" s="31">
        <v>818104.0</v>
      </c>
      <c r="J614" s="30" t="s">
        <v>1963</v>
      </c>
    </row>
    <row r="615">
      <c r="A615" s="119">
        <v>3597496.0</v>
      </c>
      <c r="B615" s="117">
        <v>44439.0</v>
      </c>
      <c r="C615" s="150" t="s">
        <v>37</v>
      </c>
      <c r="D615" s="29" t="s">
        <v>1964</v>
      </c>
      <c r="E615" s="30" t="s">
        <v>39</v>
      </c>
      <c r="F615" s="30" t="s">
        <v>50</v>
      </c>
      <c r="G615" s="31"/>
      <c r="H615" s="30"/>
      <c r="I615" s="31"/>
      <c r="J615" s="30"/>
    </row>
    <row r="616">
      <c r="A616" s="119">
        <v>2741630.0</v>
      </c>
      <c r="B616" s="117">
        <v>44439.0</v>
      </c>
      <c r="C616" s="150" t="s">
        <v>170</v>
      </c>
      <c r="D616" s="29" t="s">
        <v>1965</v>
      </c>
      <c r="E616" s="30" t="s">
        <v>83</v>
      </c>
      <c r="F616" s="30" t="s">
        <v>285</v>
      </c>
      <c r="G616" s="31"/>
      <c r="H616" s="30"/>
      <c r="I616" s="31"/>
      <c r="J616" s="30"/>
    </row>
    <row r="617">
      <c r="A617" s="42">
        <v>1212244.0</v>
      </c>
      <c r="B617" s="117">
        <v>44439.0</v>
      </c>
      <c r="C617" s="150" t="s">
        <v>37</v>
      </c>
      <c r="D617" s="29" t="s">
        <v>1966</v>
      </c>
      <c r="E617" s="30" t="s">
        <v>39</v>
      </c>
      <c r="F617" s="30" t="s">
        <v>214</v>
      </c>
      <c r="G617" s="31"/>
      <c r="H617" s="30"/>
      <c r="I617" s="31"/>
      <c r="J617" s="30"/>
    </row>
    <row r="618">
      <c r="A618" s="42">
        <v>1112962.0</v>
      </c>
      <c r="B618" s="117">
        <v>44439.0</v>
      </c>
      <c r="C618" s="150" t="s">
        <v>142</v>
      </c>
      <c r="D618" s="29" t="s">
        <v>1967</v>
      </c>
      <c r="E618" s="30" t="s">
        <v>96</v>
      </c>
      <c r="F618" s="30" t="s">
        <v>352</v>
      </c>
      <c r="G618" s="31"/>
      <c r="H618" s="30"/>
      <c r="I618" s="31"/>
      <c r="J618" s="30"/>
    </row>
    <row r="619">
      <c r="A619" s="42">
        <v>2244980.0</v>
      </c>
      <c r="B619" s="117">
        <v>44439.0</v>
      </c>
      <c r="C619" s="150" t="s">
        <v>43</v>
      </c>
      <c r="D619" s="29" t="s">
        <v>1968</v>
      </c>
      <c r="E619" s="30" t="s">
        <v>45</v>
      </c>
      <c r="F619" s="30" t="s">
        <v>172</v>
      </c>
      <c r="G619" s="31"/>
      <c r="H619" s="30"/>
      <c r="I619" s="31"/>
      <c r="J619" s="30"/>
    </row>
    <row r="620">
      <c r="A620" s="42">
        <v>215104.0</v>
      </c>
      <c r="B620" s="117">
        <v>44439.0</v>
      </c>
      <c r="C620" s="150" t="s">
        <v>37</v>
      </c>
      <c r="D620" s="29" t="s">
        <v>1969</v>
      </c>
      <c r="E620" s="30" t="s">
        <v>63</v>
      </c>
      <c r="F620" s="30" t="s">
        <v>64</v>
      </c>
      <c r="G620" s="31"/>
      <c r="H620" s="30"/>
      <c r="I620" s="31"/>
      <c r="J620" s="30"/>
    </row>
    <row r="621">
      <c r="A621" s="42">
        <v>315996.0</v>
      </c>
      <c r="B621" s="117">
        <v>44439.0</v>
      </c>
      <c r="C621" s="150" t="s">
        <v>37</v>
      </c>
      <c r="D621" s="29" t="s">
        <v>1970</v>
      </c>
      <c r="E621" s="30" t="s">
        <v>45</v>
      </c>
      <c r="F621" s="30" t="s">
        <v>75</v>
      </c>
      <c r="G621" s="31"/>
      <c r="H621" s="30"/>
      <c r="I621" s="31"/>
      <c r="J621" s="30"/>
    </row>
    <row r="622">
      <c r="A622" s="42">
        <v>549848.0</v>
      </c>
      <c r="B622" s="117">
        <v>44439.0</v>
      </c>
      <c r="C622" s="150" t="s">
        <v>37</v>
      </c>
      <c r="D622" s="29" t="s">
        <v>1971</v>
      </c>
      <c r="E622" s="30" t="s">
        <v>58</v>
      </c>
      <c r="F622" s="30" t="s">
        <v>167</v>
      </c>
      <c r="G622" s="31">
        <v>1484840.0</v>
      </c>
      <c r="H622" s="30" t="s">
        <v>1972</v>
      </c>
      <c r="I622" s="31"/>
      <c r="J622" s="30"/>
    </row>
    <row r="623">
      <c r="A623" s="42">
        <v>860394.0</v>
      </c>
      <c r="B623" s="117">
        <v>44439.0</v>
      </c>
      <c r="C623" s="150" t="s">
        <v>37</v>
      </c>
      <c r="D623" s="29" t="s">
        <v>1973</v>
      </c>
      <c r="E623" s="30" t="s">
        <v>39</v>
      </c>
      <c r="F623" s="30" t="s">
        <v>54</v>
      </c>
      <c r="G623" s="31">
        <v>2043700.0</v>
      </c>
      <c r="H623" s="30" t="s">
        <v>1764</v>
      </c>
      <c r="I623" s="31"/>
      <c r="J623" s="30"/>
    </row>
    <row r="624">
      <c r="A624" s="42">
        <v>1149892.0</v>
      </c>
      <c r="B624" s="117">
        <v>44439.0</v>
      </c>
      <c r="C624" s="150" t="s">
        <v>37</v>
      </c>
      <c r="D624" s="29" t="s">
        <v>1974</v>
      </c>
      <c r="E624" s="30" t="s">
        <v>63</v>
      </c>
      <c r="F624" s="30" t="s">
        <v>256</v>
      </c>
      <c r="G624" s="31">
        <v>693188.0</v>
      </c>
      <c r="H624" s="30" t="s">
        <v>1975</v>
      </c>
      <c r="I624" s="31"/>
      <c r="J624" s="30"/>
    </row>
    <row r="625">
      <c r="A625" s="42">
        <v>1248900.0</v>
      </c>
      <c r="B625" s="117">
        <v>44439.0</v>
      </c>
      <c r="C625" s="150" t="s">
        <v>37</v>
      </c>
      <c r="D625" s="29" t="s">
        <v>1976</v>
      </c>
      <c r="E625" s="30" t="s">
        <v>83</v>
      </c>
      <c r="F625" s="30" t="s">
        <v>147</v>
      </c>
      <c r="G625" s="31">
        <v>914296.0</v>
      </c>
      <c r="H625" s="30" t="s">
        <v>1977</v>
      </c>
      <c r="I625" s="31"/>
      <c r="J625" s="30"/>
    </row>
    <row r="626">
      <c r="A626" s="42">
        <v>1379518.0</v>
      </c>
      <c r="B626" s="117">
        <v>44439.0</v>
      </c>
      <c r="C626" s="150" t="s">
        <v>37</v>
      </c>
      <c r="D626" s="29" t="s">
        <v>1978</v>
      </c>
      <c r="E626" s="30" t="s">
        <v>122</v>
      </c>
      <c r="F626" s="30" t="s">
        <v>123</v>
      </c>
      <c r="G626" s="31">
        <v>2246852.0</v>
      </c>
      <c r="H626" s="30" t="s">
        <v>1979</v>
      </c>
      <c r="I626" s="31"/>
      <c r="J626" s="30"/>
    </row>
    <row r="627">
      <c r="A627" s="42">
        <v>1426968.0</v>
      </c>
      <c r="B627" s="117">
        <v>44439.0</v>
      </c>
      <c r="C627" s="150" t="s">
        <v>37</v>
      </c>
      <c r="D627" s="29" t="s">
        <v>1980</v>
      </c>
      <c r="E627" s="30" t="s">
        <v>144</v>
      </c>
      <c r="F627" s="30" t="s">
        <v>339</v>
      </c>
      <c r="G627" s="31"/>
      <c r="H627" s="30"/>
      <c r="I627" s="31"/>
      <c r="J627" s="30"/>
    </row>
    <row r="628">
      <c r="A628" s="42">
        <v>1498936.0</v>
      </c>
      <c r="B628" s="117">
        <v>44439.0</v>
      </c>
      <c r="C628" s="150" t="s">
        <v>37</v>
      </c>
      <c r="D628" s="29" t="s">
        <v>1981</v>
      </c>
      <c r="E628" s="30" t="s">
        <v>79</v>
      </c>
      <c r="F628" s="30" t="s">
        <v>184</v>
      </c>
      <c r="G628" s="31"/>
      <c r="H628" s="30"/>
      <c r="I628" s="31"/>
      <c r="J628" s="30"/>
    </row>
    <row r="629">
      <c r="A629" s="42">
        <v>1627224.0</v>
      </c>
      <c r="B629" s="117">
        <v>44439.0</v>
      </c>
      <c r="C629" s="150" t="s">
        <v>37</v>
      </c>
      <c r="D629" s="29" t="s">
        <v>1982</v>
      </c>
      <c r="E629" s="30" t="s">
        <v>63</v>
      </c>
      <c r="F629" s="30" t="s">
        <v>64</v>
      </c>
      <c r="G629" s="31">
        <v>690058.0</v>
      </c>
      <c r="H629" s="30" t="s">
        <v>1983</v>
      </c>
      <c r="I629" s="31"/>
      <c r="J629" s="30"/>
    </row>
    <row r="630">
      <c r="A630" s="42">
        <v>1694750.0</v>
      </c>
      <c r="B630" s="117">
        <v>44439.0</v>
      </c>
      <c r="C630" s="150" t="s">
        <v>37</v>
      </c>
      <c r="D630" s="29" t="s">
        <v>1984</v>
      </c>
      <c r="E630" s="30" t="s">
        <v>45</v>
      </c>
      <c r="F630" s="30" t="s">
        <v>172</v>
      </c>
      <c r="G630" s="31">
        <v>826870.0</v>
      </c>
      <c r="H630" s="30" t="s">
        <v>1985</v>
      </c>
      <c r="I630" s="31"/>
      <c r="J630" s="30"/>
    </row>
    <row r="631">
      <c r="A631" s="109">
        <v>1963306.0</v>
      </c>
      <c r="B631" s="117">
        <v>44439.0</v>
      </c>
      <c r="C631" s="150" t="s">
        <v>142</v>
      </c>
      <c r="D631" s="29" t="s">
        <v>1986</v>
      </c>
      <c r="E631" s="30" t="s">
        <v>45</v>
      </c>
      <c r="F631" s="30" t="s">
        <v>90</v>
      </c>
      <c r="G631" s="31"/>
      <c r="H631" s="30"/>
      <c r="I631" s="31"/>
      <c r="J631" s="30"/>
    </row>
    <row r="632">
      <c r="A632" s="42">
        <v>2019022.0</v>
      </c>
      <c r="B632" s="117">
        <v>44439.0</v>
      </c>
      <c r="C632" s="150" t="s">
        <v>37</v>
      </c>
      <c r="D632" s="29" t="s">
        <v>1987</v>
      </c>
      <c r="E632" s="30" t="s">
        <v>58</v>
      </c>
      <c r="F632" s="30" t="s">
        <v>169</v>
      </c>
      <c r="G632" s="31"/>
      <c r="H632" s="30"/>
      <c r="I632" s="31"/>
      <c r="J632" s="30"/>
    </row>
    <row r="633">
      <c r="A633" s="42">
        <v>2360318.0</v>
      </c>
      <c r="B633" s="117">
        <v>44439.0</v>
      </c>
      <c r="C633" s="150" t="s">
        <v>37</v>
      </c>
      <c r="D633" s="29" t="s">
        <v>1988</v>
      </c>
      <c r="E633" s="30" t="s">
        <v>58</v>
      </c>
      <c r="F633" s="30" t="s">
        <v>169</v>
      </c>
      <c r="G633" s="31"/>
      <c r="H633" s="30"/>
      <c r="I633" s="31"/>
      <c r="J633" s="30"/>
    </row>
    <row r="634">
      <c r="A634" s="109">
        <v>2435670.0</v>
      </c>
      <c r="B634" s="117">
        <v>44439.0</v>
      </c>
      <c r="C634" s="150" t="s">
        <v>37</v>
      </c>
      <c r="D634" s="29" t="s">
        <v>1989</v>
      </c>
      <c r="E634" s="30" t="s">
        <v>39</v>
      </c>
      <c r="F634" s="30" t="s">
        <v>297</v>
      </c>
      <c r="G634" s="31">
        <v>2392642.0</v>
      </c>
      <c r="H634" s="30" t="s">
        <v>1990</v>
      </c>
      <c r="I634" s="31">
        <v>2891890.0</v>
      </c>
      <c r="J634" s="30" t="s">
        <v>1991</v>
      </c>
    </row>
    <row r="635">
      <c r="A635" s="109">
        <v>2490106.0</v>
      </c>
      <c r="B635" s="117">
        <v>44439.0</v>
      </c>
      <c r="C635" s="150" t="s">
        <v>37</v>
      </c>
      <c r="D635" s="29" t="s">
        <v>1992</v>
      </c>
      <c r="E635" s="30" t="s">
        <v>39</v>
      </c>
      <c r="F635" s="30" t="s">
        <v>54</v>
      </c>
      <c r="G635" s="31">
        <v>2357210.0</v>
      </c>
      <c r="H635" s="30" t="s">
        <v>1993</v>
      </c>
      <c r="I635" s="31">
        <v>1409440.0</v>
      </c>
      <c r="J635" s="30" t="s">
        <v>1994</v>
      </c>
    </row>
    <row r="636">
      <c r="A636" s="109">
        <v>2517920.0</v>
      </c>
      <c r="B636" s="117">
        <v>44439.0</v>
      </c>
      <c r="C636" s="150" t="s">
        <v>37</v>
      </c>
      <c r="D636" s="29" t="s">
        <v>1995</v>
      </c>
      <c r="E636" s="30" t="s">
        <v>63</v>
      </c>
      <c r="F636" s="30" t="s">
        <v>258</v>
      </c>
      <c r="G636" s="31">
        <v>1420956.0</v>
      </c>
      <c r="H636" s="30" t="s">
        <v>1996</v>
      </c>
      <c r="I636" s="31">
        <v>2517884.0</v>
      </c>
      <c r="J636" s="30" t="s">
        <v>1997</v>
      </c>
    </row>
    <row r="637">
      <c r="A637" s="109">
        <v>2518086.0</v>
      </c>
      <c r="B637" s="117">
        <v>44439.0</v>
      </c>
      <c r="C637" s="150" t="s">
        <v>37</v>
      </c>
      <c r="D637" s="29" t="s">
        <v>1998</v>
      </c>
      <c r="E637" s="30" t="s">
        <v>39</v>
      </c>
      <c r="F637" s="30" t="s">
        <v>50</v>
      </c>
      <c r="G637" s="31"/>
      <c r="H637" s="30"/>
      <c r="I637" s="31"/>
      <c r="J637" s="30"/>
    </row>
    <row r="638">
      <c r="A638" s="42">
        <v>2557786.0</v>
      </c>
      <c r="B638" s="117">
        <v>44439.0</v>
      </c>
      <c r="C638" s="150" t="s">
        <v>37</v>
      </c>
      <c r="D638" s="29" t="s">
        <v>1999</v>
      </c>
      <c r="E638" s="30" t="s">
        <v>101</v>
      </c>
      <c r="F638" s="30" t="s">
        <v>102</v>
      </c>
      <c r="G638" s="31">
        <v>3325392.0</v>
      </c>
      <c r="H638" s="30" t="s">
        <v>2000</v>
      </c>
      <c r="I638" s="31">
        <v>2406648.0</v>
      </c>
      <c r="J638" s="30" t="s">
        <v>2001</v>
      </c>
    </row>
    <row r="639">
      <c r="A639" s="119">
        <v>2595736.0</v>
      </c>
      <c r="B639" s="117">
        <v>44439.0</v>
      </c>
      <c r="C639" s="150" t="s">
        <v>37</v>
      </c>
      <c r="D639" s="29" t="s">
        <v>2002</v>
      </c>
      <c r="E639" s="30" t="s">
        <v>39</v>
      </c>
      <c r="F639" s="30" t="s">
        <v>214</v>
      </c>
      <c r="G639" s="31"/>
      <c r="H639" s="30"/>
      <c r="I639" s="31"/>
      <c r="J639" s="30"/>
    </row>
    <row r="640">
      <c r="A640" s="119">
        <v>2654280.0</v>
      </c>
      <c r="B640" s="117">
        <v>44439.0</v>
      </c>
      <c r="C640" s="150" t="s">
        <v>37</v>
      </c>
      <c r="D640" s="29" t="s">
        <v>2003</v>
      </c>
      <c r="E640" s="30" t="s">
        <v>45</v>
      </c>
      <c r="F640" s="30" t="s">
        <v>172</v>
      </c>
      <c r="G640" s="31">
        <v>1549562.0</v>
      </c>
      <c r="H640" s="30" t="s">
        <v>2004</v>
      </c>
      <c r="I640" s="31"/>
      <c r="J640" s="30"/>
    </row>
    <row r="641">
      <c r="A641" s="119">
        <v>3065398.0</v>
      </c>
      <c r="B641" s="117">
        <v>44439.0</v>
      </c>
      <c r="C641" s="150" t="s">
        <v>37</v>
      </c>
      <c r="D641" s="29" t="s">
        <v>2005</v>
      </c>
      <c r="E641" s="30" t="s">
        <v>101</v>
      </c>
      <c r="F641" s="30" t="s">
        <v>102</v>
      </c>
      <c r="G641" s="31"/>
      <c r="H641" s="30"/>
      <c r="I641" s="31"/>
      <c r="J641" s="30"/>
    </row>
    <row r="642">
      <c r="A642" s="119">
        <v>3250806.0</v>
      </c>
      <c r="B642" s="117">
        <v>44439.0</v>
      </c>
      <c r="C642" s="150" t="s">
        <v>37</v>
      </c>
      <c r="D642" s="29" t="s">
        <v>2006</v>
      </c>
      <c r="E642" s="30" t="s">
        <v>122</v>
      </c>
      <c r="F642" s="30" t="s">
        <v>271</v>
      </c>
      <c r="G642" s="31">
        <v>256646.0</v>
      </c>
      <c r="H642" s="30" t="s">
        <v>2007</v>
      </c>
      <c r="I642" s="31"/>
      <c r="J642" s="30"/>
    </row>
    <row r="643">
      <c r="A643" s="119">
        <v>3350964.0</v>
      </c>
      <c r="B643" s="117">
        <v>44439.0</v>
      </c>
      <c r="C643" s="150" t="s">
        <v>142</v>
      </c>
      <c r="D643" s="29" t="s">
        <v>2008</v>
      </c>
      <c r="E643" s="30" t="s">
        <v>39</v>
      </c>
      <c r="F643" s="30" t="s">
        <v>113</v>
      </c>
      <c r="G643" s="31"/>
      <c r="H643" s="30"/>
      <c r="I643" s="31"/>
      <c r="J643" s="30"/>
    </row>
    <row r="644">
      <c r="A644" s="119">
        <v>3444948.0</v>
      </c>
      <c r="B644" s="117">
        <v>44439.0</v>
      </c>
      <c r="C644" s="150" t="s">
        <v>37</v>
      </c>
      <c r="D644" s="29" t="s">
        <v>2009</v>
      </c>
      <c r="E644" s="30" t="s">
        <v>45</v>
      </c>
      <c r="F644" s="30" t="s">
        <v>75</v>
      </c>
      <c r="G644" s="31"/>
      <c r="H644" s="30"/>
      <c r="I644" s="31"/>
      <c r="J644" s="30"/>
    </row>
    <row r="645">
      <c r="A645" s="119">
        <v>413494.0</v>
      </c>
      <c r="B645" s="117">
        <v>44439.0</v>
      </c>
      <c r="C645" s="150" t="s">
        <v>37</v>
      </c>
      <c r="D645" s="29" t="s">
        <v>2010</v>
      </c>
      <c r="E645" s="30" t="s">
        <v>39</v>
      </c>
      <c r="F645" s="30" t="s">
        <v>140</v>
      </c>
      <c r="G645" s="31"/>
      <c r="H645" s="30"/>
      <c r="I645" s="31"/>
      <c r="J645" s="30"/>
    </row>
    <row r="646">
      <c r="A646" s="119">
        <v>536328.0</v>
      </c>
      <c r="B646" s="117">
        <v>44439.0</v>
      </c>
      <c r="C646" s="150" t="s">
        <v>70</v>
      </c>
      <c r="D646" s="29" t="s">
        <v>2011</v>
      </c>
      <c r="E646" s="30" t="s">
        <v>83</v>
      </c>
      <c r="F646" s="30" t="s">
        <v>285</v>
      </c>
      <c r="G646" s="31"/>
      <c r="H646" s="30"/>
      <c r="I646" s="31"/>
      <c r="J646" s="30"/>
    </row>
    <row r="647">
      <c r="A647" s="119">
        <v>1019086.0</v>
      </c>
      <c r="B647" s="117">
        <v>44439.0</v>
      </c>
      <c r="C647" s="150" t="s">
        <v>142</v>
      </c>
      <c r="D647" s="29" t="s">
        <v>359</v>
      </c>
      <c r="E647" s="30" t="s">
        <v>58</v>
      </c>
      <c r="F647" s="30" t="s">
        <v>161</v>
      </c>
      <c r="G647" s="31">
        <v>213670.0</v>
      </c>
      <c r="H647" s="30" t="s">
        <v>2012</v>
      </c>
      <c r="I647" s="31">
        <v>3538960.0</v>
      </c>
      <c r="J647" s="30" t="s">
        <v>2013</v>
      </c>
    </row>
    <row r="648">
      <c r="A648" s="119">
        <v>1022932.0</v>
      </c>
      <c r="B648" s="117">
        <v>44439.0</v>
      </c>
      <c r="C648" s="150" t="s">
        <v>142</v>
      </c>
      <c r="D648" s="29" t="s">
        <v>2014</v>
      </c>
      <c r="E648" s="30" t="s">
        <v>105</v>
      </c>
      <c r="F648" s="30" t="s">
        <v>106</v>
      </c>
      <c r="G648" s="31">
        <v>2393178.0</v>
      </c>
      <c r="H648" s="30" t="s">
        <v>2015</v>
      </c>
      <c r="I648" s="31">
        <v>3109388.0</v>
      </c>
      <c r="J648" s="30" t="s">
        <v>2016</v>
      </c>
    </row>
    <row r="649">
      <c r="A649" s="119">
        <v>1321492.0</v>
      </c>
      <c r="B649" s="117">
        <v>44439.0</v>
      </c>
      <c r="C649" s="150" t="s">
        <v>142</v>
      </c>
      <c r="D649" s="29" t="s">
        <v>362</v>
      </c>
      <c r="E649" s="30" t="s">
        <v>83</v>
      </c>
      <c r="F649" s="30" t="s">
        <v>330</v>
      </c>
      <c r="G649" s="31"/>
      <c r="H649" s="30"/>
      <c r="I649" s="31"/>
      <c r="J649" s="30"/>
    </row>
    <row r="650">
      <c r="A650" s="119">
        <v>1334218.0</v>
      </c>
      <c r="B650" s="117">
        <v>44439.0</v>
      </c>
      <c r="C650" s="150" t="s">
        <v>37</v>
      </c>
      <c r="D650" s="29" t="s">
        <v>2017</v>
      </c>
      <c r="E650" s="30" t="s">
        <v>39</v>
      </c>
      <c r="F650" s="30" t="s">
        <v>140</v>
      </c>
      <c r="G650" s="31">
        <v>1182936.0</v>
      </c>
      <c r="H650" s="30" t="s">
        <v>2018</v>
      </c>
      <c r="I650" s="31"/>
      <c r="J650" s="30"/>
    </row>
    <row r="651">
      <c r="A651" s="119">
        <v>1432192.0</v>
      </c>
      <c r="B651" s="117">
        <v>44439.0</v>
      </c>
      <c r="C651" s="150" t="s">
        <v>37</v>
      </c>
      <c r="D651" s="29" t="s">
        <v>2019</v>
      </c>
      <c r="E651" s="30" t="s">
        <v>39</v>
      </c>
      <c r="F651" s="30" t="s">
        <v>54</v>
      </c>
      <c r="G651" s="31">
        <v>758582.0</v>
      </c>
      <c r="H651" s="30" t="s">
        <v>1228</v>
      </c>
      <c r="I651" s="31">
        <v>2020278.0</v>
      </c>
      <c r="J651" s="30" t="s">
        <v>2020</v>
      </c>
    </row>
    <row r="652">
      <c r="A652" s="119">
        <v>1776200.0</v>
      </c>
      <c r="B652" s="117">
        <v>44439.0</v>
      </c>
      <c r="C652" s="150" t="s">
        <v>70</v>
      </c>
      <c r="D652" s="29" t="s">
        <v>2021</v>
      </c>
      <c r="E652" s="30" t="s">
        <v>83</v>
      </c>
      <c r="F652" s="30" t="s">
        <v>94</v>
      </c>
      <c r="G652" s="31">
        <v>2440972.0</v>
      </c>
      <c r="H652" s="30" t="s">
        <v>2022</v>
      </c>
      <c r="I652" s="31"/>
      <c r="J652" s="30"/>
    </row>
    <row r="653">
      <c r="A653" s="119">
        <v>1988526.0</v>
      </c>
      <c r="B653" s="117">
        <v>44439.0</v>
      </c>
      <c r="C653" s="150" t="s">
        <v>37</v>
      </c>
      <c r="D653" s="29" t="s">
        <v>2023</v>
      </c>
      <c r="E653" s="30" t="s">
        <v>105</v>
      </c>
      <c r="F653" s="30" t="s">
        <v>212</v>
      </c>
      <c r="G653" s="31">
        <v>3749424.0</v>
      </c>
      <c r="H653" s="30" t="s">
        <v>2024</v>
      </c>
      <c r="I653" s="31">
        <v>1784614.0</v>
      </c>
      <c r="J653" s="30" t="s">
        <v>2025</v>
      </c>
    </row>
    <row r="654">
      <c r="A654" s="119">
        <v>2027530.0</v>
      </c>
      <c r="B654" s="117">
        <v>44439.0</v>
      </c>
      <c r="C654" s="150" t="s">
        <v>37</v>
      </c>
      <c r="D654" s="29" t="s">
        <v>2026</v>
      </c>
      <c r="E654" s="30" t="s">
        <v>45</v>
      </c>
      <c r="F654" s="30" t="s">
        <v>324</v>
      </c>
      <c r="G654" s="31">
        <v>2523048.0</v>
      </c>
      <c r="H654" s="30" t="s">
        <v>2027</v>
      </c>
      <c r="I654" s="31"/>
      <c r="J654" s="30"/>
    </row>
    <row r="655">
      <c r="A655" s="119">
        <v>2364990.0</v>
      </c>
      <c r="B655" s="117">
        <v>44439.0</v>
      </c>
      <c r="C655" s="150" t="s">
        <v>37</v>
      </c>
      <c r="D655" s="29" t="s">
        <v>2028</v>
      </c>
      <c r="E655" s="30" t="s">
        <v>219</v>
      </c>
      <c r="F655" s="30" t="s">
        <v>220</v>
      </c>
      <c r="G655" s="31">
        <v>1393266.0</v>
      </c>
      <c r="H655" s="30" t="s">
        <v>2029</v>
      </c>
      <c r="I655" s="31">
        <v>2040268.0</v>
      </c>
      <c r="J655" s="30" t="s">
        <v>2030</v>
      </c>
    </row>
    <row r="656">
      <c r="A656" s="119">
        <v>2399972.0</v>
      </c>
      <c r="B656" s="117">
        <v>44439.0</v>
      </c>
      <c r="C656" s="150" t="s">
        <v>37</v>
      </c>
      <c r="D656" s="29" t="s">
        <v>2031</v>
      </c>
      <c r="E656" s="30" t="s">
        <v>45</v>
      </c>
      <c r="F656" s="30" t="s">
        <v>90</v>
      </c>
      <c r="G656" s="31"/>
      <c r="H656" s="30"/>
      <c r="I656" s="31"/>
      <c r="J656" s="30"/>
    </row>
    <row r="657">
      <c r="A657" s="119">
        <v>2585714.0</v>
      </c>
      <c r="B657" s="117">
        <v>44439.0</v>
      </c>
      <c r="C657" s="150" t="s">
        <v>43</v>
      </c>
      <c r="D657" s="29" t="s">
        <v>2032</v>
      </c>
      <c r="E657" s="30" t="s">
        <v>39</v>
      </c>
      <c r="F657" s="30" t="s">
        <v>140</v>
      </c>
      <c r="G657" s="31">
        <v>3437390.0</v>
      </c>
      <c r="H657" s="30" t="s">
        <v>2033</v>
      </c>
      <c r="I657" s="31"/>
      <c r="J657" s="30"/>
    </row>
    <row r="658">
      <c r="A658" s="119">
        <v>2826329.0</v>
      </c>
      <c r="B658" s="117">
        <v>44439.0</v>
      </c>
      <c r="C658" s="150" t="s">
        <v>170</v>
      </c>
      <c r="D658" s="29" t="s">
        <v>2034</v>
      </c>
      <c r="E658" s="30" t="s">
        <v>45</v>
      </c>
      <c r="F658" s="30" t="s">
        <v>75</v>
      </c>
      <c r="G658" s="31"/>
      <c r="H658" s="30"/>
      <c r="I658" s="31"/>
      <c r="J658" s="30"/>
    </row>
    <row r="659">
      <c r="A659" s="119">
        <v>2975316.0</v>
      </c>
      <c r="B659" s="117">
        <v>44439.0</v>
      </c>
      <c r="C659" s="150" t="s">
        <v>142</v>
      </c>
      <c r="D659" s="29" t="s">
        <v>373</v>
      </c>
      <c r="E659" s="30" t="s">
        <v>39</v>
      </c>
      <c r="F659" s="30" t="s">
        <v>113</v>
      </c>
      <c r="G659" s="31"/>
      <c r="H659" s="30"/>
      <c r="I659" s="31"/>
      <c r="J659" s="30"/>
    </row>
    <row r="660">
      <c r="A660" s="119">
        <v>3083514.0</v>
      </c>
      <c r="B660" s="117">
        <v>44439.0</v>
      </c>
      <c r="C660" s="150" t="s">
        <v>142</v>
      </c>
      <c r="D660" s="29" t="s">
        <v>374</v>
      </c>
      <c r="E660" s="30" t="s">
        <v>122</v>
      </c>
      <c r="F660" s="30" t="s">
        <v>123</v>
      </c>
      <c r="G660" s="31"/>
      <c r="H660" s="30"/>
      <c r="I660" s="31"/>
      <c r="J660" s="30"/>
    </row>
    <row r="661">
      <c r="A661" s="119">
        <v>3709858.0</v>
      </c>
      <c r="B661" s="117">
        <v>44439.0</v>
      </c>
      <c r="C661" s="150" t="s">
        <v>37</v>
      </c>
      <c r="D661" s="29" t="s">
        <v>2035</v>
      </c>
      <c r="E661" s="30" t="s">
        <v>58</v>
      </c>
      <c r="F661" s="30" t="s">
        <v>161</v>
      </c>
      <c r="G661" s="31"/>
      <c r="H661" s="30"/>
      <c r="I661" s="31"/>
      <c r="J661" s="30"/>
    </row>
    <row r="662">
      <c r="A662" s="122">
        <v>2418356.0</v>
      </c>
      <c r="B662" s="117">
        <v>44439.0</v>
      </c>
      <c r="C662" s="150" t="s">
        <v>37</v>
      </c>
      <c r="D662" s="29" t="s">
        <v>1438</v>
      </c>
      <c r="E662" s="30" t="s">
        <v>45</v>
      </c>
      <c r="F662" s="30" t="s">
        <v>90</v>
      </c>
      <c r="G662" s="31">
        <v>3246640.0</v>
      </c>
      <c r="H662" s="30"/>
      <c r="I662" s="31"/>
      <c r="J662" s="30"/>
    </row>
    <row r="663">
      <c r="A663" s="122">
        <v>2818117.0</v>
      </c>
      <c r="B663" s="117">
        <v>44439.0</v>
      </c>
      <c r="C663" s="150" t="s">
        <v>37</v>
      </c>
      <c r="D663" s="29" t="s">
        <v>1441</v>
      </c>
      <c r="E663" s="30" t="s">
        <v>45</v>
      </c>
      <c r="F663" s="30" t="s">
        <v>90</v>
      </c>
      <c r="G663" s="31">
        <v>2994784.0</v>
      </c>
      <c r="H663" s="30"/>
      <c r="I663" s="31"/>
      <c r="J663" s="30"/>
    </row>
    <row r="664">
      <c r="A664" s="119">
        <v>1887746.0</v>
      </c>
      <c r="B664" s="117">
        <v>44439.0</v>
      </c>
      <c r="C664" s="150" t="s">
        <v>43</v>
      </c>
      <c r="D664" s="29" t="s">
        <v>2036</v>
      </c>
      <c r="E664" s="30" t="s">
        <v>105</v>
      </c>
      <c r="F664" s="30" t="s">
        <v>198</v>
      </c>
      <c r="G664" s="31"/>
      <c r="H664" s="30"/>
      <c r="I664" s="31"/>
      <c r="J664" s="30"/>
    </row>
    <row r="665">
      <c r="A665" s="116">
        <v>3129246.0</v>
      </c>
      <c r="B665" s="117">
        <v>44440.0</v>
      </c>
      <c r="C665" s="150" t="s">
        <v>215</v>
      </c>
      <c r="D665" s="29" t="s">
        <v>2037</v>
      </c>
      <c r="E665" s="30" t="s">
        <v>39</v>
      </c>
      <c r="F665" s="30" t="s">
        <v>54</v>
      </c>
      <c r="G665" s="31"/>
      <c r="H665" s="30"/>
      <c r="I665" s="31"/>
      <c r="J665" s="30"/>
    </row>
    <row r="666">
      <c r="A666" s="116">
        <v>89186.0</v>
      </c>
      <c r="B666" s="117">
        <v>44440.0</v>
      </c>
      <c r="C666" s="150" t="s">
        <v>70</v>
      </c>
      <c r="D666" s="29" t="s">
        <v>2038</v>
      </c>
      <c r="E666" s="30" t="s">
        <v>39</v>
      </c>
      <c r="F666" s="30" t="s">
        <v>54</v>
      </c>
      <c r="G666" s="31">
        <v>376402.0</v>
      </c>
      <c r="H666" s="30" t="s">
        <v>2039</v>
      </c>
      <c r="I666" s="31">
        <v>376402.0</v>
      </c>
      <c r="J666" s="30" t="s">
        <v>2039</v>
      </c>
    </row>
    <row r="667">
      <c r="A667" s="116">
        <v>1265942.0</v>
      </c>
      <c r="B667" s="117">
        <v>44440.0</v>
      </c>
      <c r="C667" s="150" t="s">
        <v>70</v>
      </c>
      <c r="D667" s="29" t="s">
        <v>2040</v>
      </c>
      <c r="E667" s="30" t="s">
        <v>39</v>
      </c>
      <c r="F667" s="30" t="s">
        <v>54</v>
      </c>
      <c r="G667" s="31">
        <v>802946.0</v>
      </c>
      <c r="H667" s="30" t="s">
        <v>2041</v>
      </c>
      <c r="I667" s="31">
        <v>3078492.0</v>
      </c>
      <c r="J667" s="30" t="s">
        <v>2042</v>
      </c>
    </row>
    <row r="668">
      <c r="A668" s="121">
        <v>1303122.0</v>
      </c>
      <c r="B668" s="117">
        <v>44440.0</v>
      </c>
      <c r="C668" s="150" t="s">
        <v>70</v>
      </c>
      <c r="D668" s="29" t="s">
        <v>2043</v>
      </c>
      <c r="E668" s="30" t="s">
        <v>39</v>
      </c>
      <c r="F668" s="30" t="s">
        <v>54</v>
      </c>
      <c r="G668" s="31">
        <v>1187500.0</v>
      </c>
      <c r="H668" s="30" t="s">
        <v>1874</v>
      </c>
      <c r="I668" s="31">
        <v>781696.0</v>
      </c>
      <c r="J668" s="30" t="s">
        <v>141</v>
      </c>
    </row>
    <row r="669">
      <c r="A669" s="116">
        <v>1426148.0</v>
      </c>
      <c r="B669" s="117">
        <v>44440.0</v>
      </c>
      <c r="C669" s="150" t="s">
        <v>70</v>
      </c>
      <c r="D669" s="29" t="s">
        <v>2044</v>
      </c>
      <c r="E669" s="30" t="s">
        <v>39</v>
      </c>
      <c r="F669" s="30" t="s">
        <v>54</v>
      </c>
      <c r="G669" s="31">
        <v>802946.0</v>
      </c>
      <c r="H669" s="30" t="s">
        <v>2041</v>
      </c>
      <c r="I669" s="31">
        <v>3078492.0</v>
      </c>
      <c r="J669" s="30" t="s">
        <v>2042</v>
      </c>
    </row>
    <row r="670">
      <c r="A670" s="116">
        <v>1551656.0</v>
      </c>
      <c r="B670" s="117">
        <v>44440.0</v>
      </c>
      <c r="C670" s="150" t="s">
        <v>70</v>
      </c>
      <c r="D670" s="29" t="s">
        <v>2045</v>
      </c>
      <c r="E670" s="30" t="s">
        <v>39</v>
      </c>
      <c r="F670" s="30" t="s">
        <v>54</v>
      </c>
      <c r="G670" s="31">
        <v>1148468.0</v>
      </c>
      <c r="H670" s="30" t="s">
        <v>2046</v>
      </c>
      <c r="I670" s="31">
        <v>89186.0</v>
      </c>
      <c r="J670" s="30" t="s">
        <v>2038</v>
      </c>
    </row>
    <row r="671">
      <c r="A671" s="116">
        <v>2071191.0</v>
      </c>
      <c r="B671" s="117">
        <v>44440.0</v>
      </c>
      <c r="C671" s="150" t="s">
        <v>70</v>
      </c>
      <c r="D671" s="29" t="s">
        <v>2047</v>
      </c>
      <c r="E671" s="30" t="s">
        <v>39</v>
      </c>
      <c r="F671" s="30" t="s">
        <v>54</v>
      </c>
      <c r="G671" s="31">
        <v>802946.0</v>
      </c>
      <c r="H671" s="30" t="s">
        <v>2041</v>
      </c>
      <c r="I671" s="31">
        <v>3078492.0</v>
      </c>
      <c r="J671" s="30" t="s">
        <v>2048</v>
      </c>
    </row>
    <row r="672">
      <c r="A672" s="116">
        <v>2105384.0</v>
      </c>
      <c r="B672" s="117">
        <v>44440.0</v>
      </c>
      <c r="C672" s="150" t="s">
        <v>70</v>
      </c>
      <c r="D672" s="29" t="s">
        <v>2049</v>
      </c>
      <c r="E672" s="30" t="s">
        <v>39</v>
      </c>
      <c r="F672" s="30" t="s">
        <v>54</v>
      </c>
      <c r="G672" s="31">
        <v>3662358.0</v>
      </c>
      <c r="H672" s="30" t="s">
        <v>2050</v>
      </c>
      <c r="I672" s="31">
        <v>1156926.0</v>
      </c>
      <c r="J672" s="30" t="s">
        <v>2051</v>
      </c>
    </row>
    <row r="673">
      <c r="A673" s="116">
        <v>2244912.0</v>
      </c>
      <c r="B673" s="117">
        <v>44440.0</v>
      </c>
      <c r="C673" s="150" t="s">
        <v>70</v>
      </c>
      <c r="D673" s="29" t="s">
        <v>2052</v>
      </c>
      <c r="E673" s="30" t="s">
        <v>39</v>
      </c>
      <c r="F673" s="30" t="s">
        <v>54</v>
      </c>
      <c r="G673" s="31">
        <v>1337000.0</v>
      </c>
      <c r="H673" s="30" t="s">
        <v>2053</v>
      </c>
      <c r="I673" s="31">
        <v>2680160.0</v>
      </c>
      <c r="J673" s="30" t="s">
        <v>2054</v>
      </c>
    </row>
    <row r="674">
      <c r="A674" s="116">
        <v>2558556.0</v>
      </c>
      <c r="B674" s="117">
        <v>44440.0</v>
      </c>
      <c r="C674" s="150" t="s">
        <v>70</v>
      </c>
      <c r="D674" s="29" t="s">
        <v>1873</v>
      </c>
      <c r="E674" s="30" t="s">
        <v>39</v>
      </c>
      <c r="F674" s="30" t="s">
        <v>54</v>
      </c>
      <c r="G674" s="31">
        <v>1478318.0</v>
      </c>
      <c r="H674" s="30" t="s">
        <v>2055</v>
      </c>
      <c r="I674" s="31">
        <v>802946.0</v>
      </c>
      <c r="J674" s="30" t="s">
        <v>2041</v>
      </c>
    </row>
    <row r="675">
      <c r="A675" s="116">
        <v>2675212.0</v>
      </c>
      <c r="B675" s="117">
        <v>44440.0</v>
      </c>
      <c r="C675" s="150" t="s">
        <v>70</v>
      </c>
      <c r="D675" s="29" t="s">
        <v>2056</v>
      </c>
      <c r="E675" s="30" t="s">
        <v>39</v>
      </c>
      <c r="F675" s="30" t="s">
        <v>54</v>
      </c>
      <c r="G675" s="31">
        <v>2773566.0</v>
      </c>
      <c r="H675" s="30" t="s">
        <v>2057</v>
      </c>
      <c r="I675" s="31">
        <v>3078492.0</v>
      </c>
      <c r="J675" s="30" t="s">
        <v>2058</v>
      </c>
    </row>
    <row r="676">
      <c r="A676" s="116">
        <v>2823069.0</v>
      </c>
      <c r="B676" s="117">
        <v>44440.0</v>
      </c>
      <c r="C676" s="150" t="s">
        <v>70</v>
      </c>
      <c r="D676" s="29" t="s">
        <v>2059</v>
      </c>
      <c r="E676" s="30" t="s">
        <v>39</v>
      </c>
      <c r="F676" s="30" t="s">
        <v>54</v>
      </c>
      <c r="G676" s="31">
        <v>1388250.0</v>
      </c>
      <c r="H676" s="30" t="s">
        <v>2060</v>
      </c>
      <c r="I676" s="31">
        <v>1148468.0</v>
      </c>
      <c r="J676" s="30" t="s">
        <v>2046</v>
      </c>
    </row>
    <row r="677">
      <c r="A677" s="116">
        <v>2867812.0</v>
      </c>
      <c r="B677" s="117">
        <v>44440.0</v>
      </c>
      <c r="C677" s="150" t="s">
        <v>70</v>
      </c>
      <c r="D677" s="29" t="s">
        <v>2061</v>
      </c>
      <c r="E677" s="30" t="s">
        <v>39</v>
      </c>
      <c r="F677" s="30" t="s">
        <v>54</v>
      </c>
      <c r="G677" s="31">
        <v>2264216.0</v>
      </c>
      <c r="H677" s="30" t="s">
        <v>2062</v>
      </c>
      <c r="I677" s="31">
        <v>2697582.0</v>
      </c>
      <c r="J677" s="30" t="s">
        <v>2063</v>
      </c>
    </row>
    <row r="678">
      <c r="A678" s="116">
        <v>3895716.0</v>
      </c>
      <c r="B678" s="117">
        <v>44440.0</v>
      </c>
      <c r="C678" s="150" t="s">
        <v>70</v>
      </c>
      <c r="D678" s="29" t="s">
        <v>2064</v>
      </c>
      <c r="E678" s="30" t="s">
        <v>39</v>
      </c>
      <c r="F678" s="30" t="s">
        <v>54</v>
      </c>
      <c r="G678" s="31">
        <v>980450.0</v>
      </c>
      <c r="H678" s="30" t="s">
        <v>2065</v>
      </c>
      <c r="I678" s="31">
        <v>782428.0</v>
      </c>
      <c r="J678" s="30" t="s">
        <v>2066</v>
      </c>
    </row>
    <row r="679">
      <c r="A679" s="116">
        <v>1601592.0</v>
      </c>
      <c r="B679" s="117">
        <v>44441.0</v>
      </c>
      <c r="C679" s="123" t="s">
        <v>37</v>
      </c>
      <c r="D679" s="29" t="s">
        <v>2067</v>
      </c>
      <c r="E679" s="30" t="s">
        <v>58</v>
      </c>
      <c r="F679" s="30" t="s">
        <v>59</v>
      </c>
      <c r="G679" s="31"/>
      <c r="H679" s="30"/>
      <c r="I679" s="31"/>
      <c r="J679" s="30"/>
    </row>
    <row r="680">
      <c r="A680" s="121">
        <v>615778.0</v>
      </c>
      <c r="B680" s="117">
        <v>44453.0</v>
      </c>
      <c r="C680" s="123" t="s">
        <v>37</v>
      </c>
      <c r="D680" s="29" t="s">
        <v>2068</v>
      </c>
      <c r="E680" s="30" t="s">
        <v>83</v>
      </c>
      <c r="F680" s="30" t="s">
        <v>153</v>
      </c>
      <c r="G680" s="31">
        <v>1406996.0</v>
      </c>
      <c r="H680" s="30" t="s">
        <v>47</v>
      </c>
      <c r="I680" s="31"/>
      <c r="J680" s="30"/>
    </row>
    <row r="681">
      <c r="A681" s="151">
        <v>2537858.0</v>
      </c>
      <c r="B681" s="117">
        <v>44462.0</v>
      </c>
      <c r="C681" s="104" t="s">
        <v>37</v>
      </c>
      <c r="D681" s="29" t="s">
        <v>2069</v>
      </c>
      <c r="E681" s="30" t="s">
        <v>101</v>
      </c>
      <c r="F681" s="30" t="s">
        <v>203</v>
      </c>
      <c r="G681" s="31">
        <v>2392642.0</v>
      </c>
      <c r="H681" s="30" t="s">
        <v>1990</v>
      </c>
      <c r="I681" s="31">
        <v>3685634.0</v>
      </c>
      <c r="J681" s="30" t="s">
        <v>2070</v>
      </c>
    </row>
    <row r="682">
      <c r="A682" s="119">
        <v>2891890.0</v>
      </c>
      <c r="B682" s="117">
        <v>44462.0</v>
      </c>
      <c r="C682" s="104" t="s">
        <v>37</v>
      </c>
      <c r="D682" s="29" t="s">
        <v>1991</v>
      </c>
      <c r="E682" s="30" t="s">
        <v>39</v>
      </c>
      <c r="F682" s="30" t="s">
        <v>297</v>
      </c>
      <c r="G682" s="31">
        <v>3611140.0</v>
      </c>
      <c r="H682" s="30" t="s">
        <v>2071</v>
      </c>
      <c r="I682" s="31">
        <v>4160316.0</v>
      </c>
      <c r="J682" s="30" t="s">
        <v>2072</v>
      </c>
    </row>
    <row r="683">
      <c r="A683" s="119">
        <v>3108680.0</v>
      </c>
      <c r="B683" s="117">
        <v>44462.0</v>
      </c>
      <c r="C683" s="104" t="s">
        <v>37</v>
      </c>
      <c r="D683" s="29" t="s">
        <v>2073</v>
      </c>
      <c r="E683" s="30" t="s">
        <v>101</v>
      </c>
      <c r="F683" s="30" t="s">
        <v>203</v>
      </c>
      <c r="G683" s="31">
        <v>3685634.0</v>
      </c>
      <c r="H683" s="30" t="s">
        <v>2074</v>
      </c>
      <c r="I683" s="31">
        <v>4160316.0</v>
      </c>
      <c r="J683" s="30" t="s">
        <v>2072</v>
      </c>
    </row>
    <row r="684">
      <c r="A684" s="119">
        <v>3296346.0</v>
      </c>
      <c r="B684" s="117">
        <v>44462.0</v>
      </c>
      <c r="C684" s="104" t="s">
        <v>37</v>
      </c>
      <c r="D684" s="29" t="s">
        <v>2075</v>
      </c>
      <c r="E684" s="30" t="s">
        <v>101</v>
      </c>
      <c r="F684" s="30" t="s">
        <v>203</v>
      </c>
      <c r="G684" s="31"/>
      <c r="H684" s="30"/>
      <c r="I684" s="31"/>
      <c r="J684" s="30"/>
    </row>
    <row r="685">
      <c r="A685" s="119">
        <v>3377424.0</v>
      </c>
      <c r="B685" s="117">
        <v>44462.0</v>
      </c>
      <c r="C685" s="104" t="s">
        <v>37</v>
      </c>
      <c r="D685" s="29" t="s">
        <v>2076</v>
      </c>
      <c r="E685" s="30" t="s">
        <v>45</v>
      </c>
      <c r="F685" s="30" t="s">
        <v>75</v>
      </c>
      <c r="G685" s="31"/>
      <c r="H685" s="30"/>
      <c r="I685" s="31"/>
      <c r="J685" s="30"/>
    </row>
    <row r="686">
      <c r="A686" s="119">
        <v>3469954.0</v>
      </c>
      <c r="B686" s="117">
        <v>44462.0</v>
      </c>
      <c r="C686" s="104" t="s">
        <v>37</v>
      </c>
      <c r="D686" s="29" t="s">
        <v>2077</v>
      </c>
      <c r="E686" s="30" t="s">
        <v>39</v>
      </c>
      <c r="F686" s="30" t="s">
        <v>297</v>
      </c>
      <c r="G686" s="31"/>
      <c r="H686" s="30"/>
      <c r="I686" s="31"/>
      <c r="J686" s="30"/>
    </row>
    <row r="687">
      <c r="A687" s="119">
        <v>3644002.0</v>
      </c>
      <c r="B687" s="117">
        <v>44462.0</v>
      </c>
      <c r="C687" s="104" t="s">
        <v>37</v>
      </c>
      <c r="D687" s="29" t="s">
        <v>2078</v>
      </c>
      <c r="E687" s="30" t="s">
        <v>101</v>
      </c>
      <c r="F687" s="30" t="s">
        <v>203</v>
      </c>
      <c r="G687" s="31">
        <v>3279690.0</v>
      </c>
      <c r="H687" s="30" t="s">
        <v>1375</v>
      </c>
      <c r="I687" s="31"/>
      <c r="J687" s="30"/>
    </row>
    <row r="688">
      <c r="A688" s="119">
        <v>4070820.0</v>
      </c>
      <c r="B688" s="117">
        <v>44462.0</v>
      </c>
      <c r="C688" s="104" t="s">
        <v>37</v>
      </c>
      <c r="D688" s="29" t="s">
        <v>2079</v>
      </c>
      <c r="E688" s="30" t="s">
        <v>45</v>
      </c>
      <c r="F688" s="30" t="s">
        <v>75</v>
      </c>
      <c r="G688" s="31">
        <v>3829288.0</v>
      </c>
      <c r="H688" s="30" t="s">
        <v>2080</v>
      </c>
      <c r="I688" s="31">
        <v>3824326.0</v>
      </c>
      <c r="J688" s="30" t="s">
        <v>1373</v>
      </c>
    </row>
    <row r="689">
      <c r="A689" s="151">
        <v>4138528.0</v>
      </c>
      <c r="B689" s="117">
        <v>44462.0</v>
      </c>
      <c r="C689" s="104" t="s">
        <v>37</v>
      </c>
      <c r="D689" s="29" t="s">
        <v>2081</v>
      </c>
      <c r="E689" s="30" t="s">
        <v>45</v>
      </c>
      <c r="F689" s="30" t="s">
        <v>75</v>
      </c>
      <c r="G689" s="31"/>
      <c r="H689" s="30"/>
      <c r="I689" s="31"/>
      <c r="J689" s="30"/>
    </row>
    <row r="690">
      <c r="A690" s="124">
        <v>1401432.0</v>
      </c>
      <c r="B690" s="117">
        <v>44462.0</v>
      </c>
      <c r="C690" s="150" t="s">
        <v>70</v>
      </c>
      <c r="D690" s="29" t="s">
        <v>2082</v>
      </c>
      <c r="E690" s="30" t="s">
        <v>79</v>
      </c>
      <c r="F690" s="30" t="s">
        <v>261</v>
      </c>
      <c r="G690" s="31">
        <v>1722740.0</v>
      </c>
      <c r="H690" s="30" t="s">
        <v>2083</v>
      </c>
      <c r="I690" s="31">
        <v>2428004.0</v>
      </c>
      <c r="J690" s="30" t="s">
        <v>2084</v>
      </c>
    </row>
    <row r="691">
      <c r="A691" s="116">
        <v>1977760.0</v>
      </c>
      <c r="B691" s="117">
        <v>44462.0</v>
      </c>
      <c r="C691" s="150" t="s">
        <v>70</v>
      </c>
      <c r="D691" s="29" t="s">
        <v>2085</v>
      </c>
      <c r="E691" s="30" t="s">
        <v>79</v>
      </c>
      <c r="F691" s="30" t="s">
        <v>261</v>
      </c>
      <c r="G691" s="31">
        <v>1841658.0</v>
      </c>
      <c r="H691" s="30" t="s">
        <v>2086</v>
      </c>
      <c r="I691" s="31"/>
      <c r="J691" s="30"/>
    </row>
    <row r="692">
      <c r="A692" s="116">
        <v>2422754.0</v>
      </c>
      <c r="B692" s="117">
        <v>44462.0</v>
      </c>
      <c r="C692" s="150" t="s">
        <v>70</v>
      </c>
      <c r="D692" s="29" t="s">
        <v>2087</v>
      </c>
      <c r="E692" s="30" t="s">
        <v>58</v>
      </c>
      <c r="F692" s="30" t="s">
        <v>59</v>
      </c>
      <c r="G692" s="31">
        <v>1552544.0</v>
      </c>
      <c r="H692" s="30" t="s">
        <v>2088</v>
      </c>
      <c r="I692" s="31"/>
      <c r="J692" s="30"/>
    </row>
    <row r="693">
      <c r="A693" s="116">
        <v>2626702.0</v>
      </c>
      <c r="B693" s="117">
        <v>44462.0</v>
      </c>
      <c r="C693" s="150" t="s">
        <v>70</v>
      </c>
      <c r="D693" s="29" t="s">
        <v>2089</v>
      </c>
      <c r="E693" s="30" t="s">
        <v>79</v>
      </c>
      <c r="F693" s="30" t="s">
        <v>261</v>
      </c>
      <c r="G693" s="31"/>
      <c r="H693" s="30"/>
      <c r="I693" s="31"/>
      <c r="J693" s="30"/>
    </row>
    <row r="694">
      <c r="A694" s="116">
        <v>3139700.0</v>
      </c>
      <c r="B694" s="117">
        <v>44462.0</v>
      </c>
      <c r="C694" s="150" t="s">
        <v>70</v>
      </c>
      <c r="D694" s="29" t="s">
        <v>2090</v>
      </c>
      <c r="E694" s="30" t="s">
        <v>79</v>
      </c>
      <c r="F694" s="30" t="s">
        <v>261</v>
      </c>
      <c r="G694" s="31"/>
      <c r="H694" s="30"/>
      <c r="I694" s="31"/>
      <c r="J694" s="30"/>
    </row>
    <row r="695">
      <c r="A695" s="121">
        <v>3809436.0</v>
      </c>
      <c r="B695" s="117">
        <v>44462.0</v>
      </c>
      <c r="C695" s="150" t="s">
        <v>70</v>
      </c>
      <c r="D695" s="29" t="s">
        <v>2091</v>
      </c>
      <c r="E695" s="30" t="s">
        <v>79</v>
      </c>
      <c r="F695" s="30" t="s">
        <v>261</v>
      </c>
      <c r="G695" s="31"/>
      <c r="H695" s="30"/>
      <c r="I695" s="31"/>
      <c r="J695" s="30"/>
    </row>
    <row r="696">
      <c r="A696" s="116">
        <v>3969932.0</v>
      </c>
      <c r="B696" s="117">
        <v>44462.0</v>
      </c>
      <c r="C696" s="123" t="s">
        <v>37</v>
      </c>
      <c r="D696" s="29" t="s">
        <v>2092</v>
      </c>
      <c r="E696" s="30" t="s">
        <v>45</v>
      </c>
      <c r="F696" s="30" t="s">
        <v>75</v>
      </c>
      <c r="G696" s="31">
        <v>2102548.0</v>
      </c>
      <c r="H696" s="30" t="s">
        <v>2093</v>
      </c>
      <c r="I696" s="31"/>
      <c r="J696" s="30"/>
    </row>
    <row r="697">
      <c r="A697" s="116">
        <v>3903580.0</v>
      </c>
      <c r="B697" s="117">
        <v>44462.0</v>
      </c>
      <c r="C697" s="123" t="s">
        <v>37</v>
      </c>
      <c r="D697" s="29" t="s">
        <v>2094</v>
      </c>
      <c r="E697" s="30" t="s">
        <v>45</v>
      </c>
      <c r="F697" s="30" t="s">
        <v>75</v>
      </c>
      <c r="G697" s="31">
        <v>802578.0</v>
      </c>
      <c r="H697" s="30" t="s">
        <v>2095</v>
      </c>
      <c r="I697" s="31"/>
      <c r="J697" s="30"/>
    </row>
    <row r="698">
      <c r="A698" s="116">
        <v>3557781.0</v>
      </c>
      <c r="B698" s="117">
        <v>44462.0</v>
      </c>
      <c r="C698" s="123" t="s">
        <v>37</v>
      </c>
      <c r="D698" s="29" t="s">
        <v>2096</v>
      </c>
      <c r="E698" s="30" t="s">
        <v>45</v>
      </c>
      <c r="F698" s="30" t="s">
        <v>75</v>
      </c>
      <c r="G698" s="31">
        <v>2290167.0</v>
      </c>
      <c r="H698" s="30" t="s">
        <v>2097</v>
      </c>
      <c r="I698" s="31"/>
      <c r="J698" s="30"/>
    </row>
    <row r="699">
      <c r="A699" s="116">
        <v>3325392.0</v>
      </c>
      <c r="B699" s="117">
        <v>44462.0</v>
      </c>
      <c r="C699" s="123" t="s">
        <v>37</v>
      </c>
      <c r="D699" s="29" t="s">
        <v>2000</v>
      </c>
      <c r="E699" s="30" t="s">
        <v>45</v>
      </c>
      <c r="F699" s="30" t="s">
        <v>75</v>
      </c>
      <c r="G699" s="31">
        <v>2394982.0</v>
      </c>
      <c r="H699" s="30" t="s">
        <v>2098</v>
      </c>
      <c r="I699" s="31"/>
      <c r="J699" s="30"/>
    </row>
    <row r="700">
      <c r="A700" s="121">
        <v>3287268.0</v>
      </c>
      <c r="B700" s="117">
        <v>44462.0</v>
      </c>
      <c r="C700" s="123" t="s">
        <v>37</v>
      </c>
      <c r="D700" s="29" t="s">
        <v>2099</v>
      </c>
      <c r="E700" s="30" t="s">
        <v>45</v>
      </c>
      <c r="F700" s="30" t="s">
        <v>75</v>
      </c>
      <c r="G700" s="31">
        <v>2290167.0</v>
      </c>
      <c r="H700" s="30" t="s">
        <v>2097</v>
      </c>
      <c r="I700" s="31"/>
      <c r="J700" s="30"/>
    </row>
    <row r="701">
      <c r="A701" s="116">
        <v>2468060.0</v>
      </c>
      <c r="B701" s="117">
        <v>44462.0</v>
      </c>
      <c r="C701" s="123" t="s">
        <v>37</v>
      </c>
      <c r="D701" s="29" t="s">
        <v>2100</v>
      </c>
      <c r="E701" s="30" t="s">
        <v>45</v>
      </c>
      <c r="F701" s="30" t="s">
        <v>75</v>
      </c>
      <c r="G701" s="31">
        <v>2394982.0</v>
      </c>
      <c r="H701" s="30" t="s">
        <v>2098</v>
      </c>
      <c r="I701" s="31"/>
      <c r="J701" s="30"/>
    </row>
    <row r="702">
      <c r="A702" s="121">
        <v>2412964.0</v>
      </c>
      <c r="B702" s="117">
        <v>44462.0</v>
      </c>
      <c r="C702" s="123" t="s">
        <v>37</v>
      </c>
      <c r="D702" s="29" t="s">
        <v>2101</v>
      </c>
      <c r="E702" s="30" t="s">
        <v>45</v>
      </c>
      <c r="F702" s="30" t="s">
        <v>75</v>
      </c>
      <c r="G702" s="31"/>
      <c r="H702" s="30"/>
      <c r="I702" s="31"/>
      <c r="J702" s="30"/>
    </row>
    <row r="703">
      <c r="A703" s="116">
        <v>1319432.0</v>
      </c>
      <c r="B703" s="117">
        <v>44462.0</v>
      </c>
      <c r="C703" s="123" t="s">
        <v>37</v>
      </c>
      <c r="D703" s="29" t="s">
        <v>1742</v>
      </c>
      <c r="E703" s="30" t="s">
        <v>45</v>
      </c>
      <c r="F703" s="30" t="s">
        <v>90</v>
      </c>
      <c r="G703" s="31">
        <v>2373480.0</v>
      </c>
      <c r="H703" s="30" t="s">
        <v>1743</v>
      </c>
      <c r="I703" s="31"/>
      <c r="J703" s="30" t="s">
        <v>47</v>
      </c>
    </row>
    <row r="704">
      <c r="A704" s="116">
        <v>1288246.0</v>
      </c>
      <c r="B704" s="117">
        <v>44462.0</v>
      </c>
      <c r="C704" s="123" t="s">
        <v>37</v>
      </c>
      <c r="D704" s="29" t="s">
        <v>2102</v>
      </c>
      <c r="E704" s="30" t="s">
        <v>45</v>
      </c>
      <c r="F704" s="30" t="s">
        <v>90</v>
      </c>
      <c r="G704" s="31">
        <v>2512970.0</v>
      </c>
      <c r="H704" s="30" t="s">
        <v>2103</v>
      </c>
      <c r="I704" s="31"/>
      <c r="J704" s="30"/>
    </row>
    <row r="705">
      <c r="A705" s="116">
        <v>3384832.0</v>
      </c>
      <c r="B705" s="117">
        <v>44462.0</v>
      </c>
      <c r="C705" s="123" t="s">
        <v>37</v>
      </c>
      <c r="D705" s="29" t="s">
        <v>2104</v>
      </c>
      <c r="E705" s="30"/>
      <c r="F705" s="30"/>
      <c r="G705" s="31"/>
      <c r="H705" s="30"/>
      <c r="I705" s="31"/>
      <c r="J705" s="30"/>
    </row>
    <row r="706">
      <c r="A706" s="116">
        <v>2158472.0</v>
      </c>
      <c r="B706" s="117">
        <v>44462.0</v>
      </c>
      <c r="C706" s="123" t="s">
        <v>37</v>
      </c>
      <c r="D706" s="29" t="s">
        <v>2105</v>
      </c>
      <c r="E706" s="30" t="s">
        <v>45</v>
      </c>
      <c r="F706" s="30" t="s">
        <v>90</v>
      </c>
      <c r="G706" s="31"/>
      <c r="H706" s="30"/>
      <c r="I706" s="31"/>
      <c r="J706" s="30"/>
    </row>
    <row r="707">
      <c r="A707" s="116">
        <v>2379820.0</v>
      </c>
      <c r="B707" s="117">
        <v>44462.0</v>
      </c>
      <c r="C707" s="123" t="s">
        <v>37</v>
      </c>
      <c r="D707" s="29" t="s">
        <v>2106</v>
      </c>
      <c r="E707" s="30" t="s">
        <v>45</v>
      </c>
      <c r="F707" s="30" t="s">
        <v>75</v>
      </c>
      <c r="G707" s="31">
        <v>1522272.0</v>
      </c>
      <c r="H707" s="30" t="s">
        <v>2107</v>
      </c>
      <c r="I707" s="31"/>
      <c r="J707" s="30"/>
    </row>
    <row r="708">
      <c r="A708" s="116">
        <v>3064624.0</v>
      </c>
      <c r="B708" s="117">
        <v>44462.0</v>
      </c>
      <c r="C708" s="123" t="s">
        <v>37</v>
      </c>
      <c r="D708" s="29" t="s">
        <v>2108</v>
      </c>
      <c r="E708" s="30" t="s">
        <v>45</v>
      </c>
      <c r="F708" s="30" t="s">
        <v>75</v>
      </c>
      <c r="G708" s="31">
        <v>3370362.0</v>
      </c>
      <c r="H708" s="30" t="s">
        <v>2109</v>
      </c>
      <c r="I708" s="31"/>
      <c r="J708" s="30"/>
    </row>
    <row r="709">
      <c r="A709" s="116">
        <v>3541220.0</v>
      </c>
      <c r="B709" s="117">
        <v>44462.0</v>
      </c>
      <c r="C709" s="123" t="s">
        <v>37</v>
      </c>
      <c r="D709" s="29" t="s">
        <v>2110</v>
      </c>
      <c r="E709" s="30" t="s">
        <v>45</v>
      </c>
      <c r="F709" s="30" t="s">
        <v>90</v>
      </c>
      <c r="G709" s="31"/>
      <c r="H709" s="30"/>
      <c r="I709" s="31"/>
      <c r="J709" s="30"/>
    </row>
    <row r="710">
      <c r="A710" s="116">
        <v>3521608.0</v>
      </c>
      <c r="B710" s="117">
        <v>44462.0</v>
      </c>
      <c r="C710" s="123" t="s">
        <v>37</v>
      </c>
      <c r="D710" s="29" t="s">
        <v>2111</v>
      </c>
      <c r="E710" s="30" t="s">
        <v>45</v>
      </c>
      <c r="F710" s="30" t="s">
        <v>75</v>
      </c>
      <c r="G710" s="31">
        <v>2687366.0</v>
      </c>
      <c r="H710" s="30" t="s">
        <v>2112</v>
      </c>
      <c r="I710" s="31"/>
      <c r="J710" s="30"/>
    </row>
    <row r="711">
      <c r="A711" s="121">
        <v>3529818.0</v>
      </c>
      <c r="B711" s="117">
        <v>44462.0</v>
      </c>
      <c r="C711" s="123" t="s">
        <v>37</v>
      </c>
      <c r="D711" s="29" t="s">
        <v>1372</v>
      </c>
      <c r="E711" s="30" t="s">
        <v>45</v>
      </c>
      <c r="F711" s="30" t="s">
        <v>75</v>
      </c>
      <c r="G711" s="31">
        <v>3824326.0</v>
      </c>
      <c r="H711" s="30" t="s">
        <v>2113</v>
      </c>
      <c r="I711" s="31"/>
      <c r="J711" s="30"/>
    </row>
    <row r="712">
      <c r="A712" s="116">
        <v>3544070.0</v>
      </c>
      <c r="B712" s="117">
        <v>44462.0</v>
      </c>
      <c r="C712" s="123" t="s">
        <v>37</v>
      </c>
      <c r="D712" s="29" t="s">
        <v>1376</v>
      </c>
      <c r="E712" s="30" t="s">
        <v>45</v>
      </c>
      <c r="F712" s="30" t="s">
        <v>75</v>
      </c>
      <c r="G712" s="31">
        <v>3644002.0</v>
      </c>
      <c r="H712" s="30" t="s">
        <v>2114</v>
      </c>
      <c r="I712" s="31"/>
      <c r="J712" s="30"/>
    </row>
    <row r="713">
      <c r="A713" s="116">
        <v>3645529.0</v>
      </c>
      <c r="B713" s="117">
        <v>44462.0</v>
      </c>
      <c r="C713" s="123" t="s">
        <v>37</v>
      </c>
      <c r="D713" s="29" t="s">
        <v>2115</v>
      </c>
      <c r="E713" s="30" t="s">
        <v>45</v>
      </c>
      <c r="F713" s="30" t="s">
        <v>75</v>
      </c>
      <c r="G713" s="31"/>
      <c r="H713" s="30"/>
      <c r="I713" s="31"/>
      <c r="J713" s="30"/>
    </row>
    <row r="714">
      <c r="A714" s="116">
        <v>3647561.0</v>
      </c>
      <c r="B714" s="117">
        <v>44462.0</v>
      </c>
      <c r="C714" s="123" t="s">
        <v>37</v>
      </c>
      <c r="D714" s="29" t="s">
        <v>2116</v>
      </c>
      <c r="E714" s="30" t="s">
        <v>45</v>
      </c>
      <c r="F714" s="30" t="s">
        <v>75</v>
      </c>
      <c r="G714" s="31">
        <v>3756774.0</v>
      </c>
      <c r="H714" s="30" t="s">
        <v>2117</v>
      </c>
      <c r="I714" s="31"/>
      <c r="J714" s="30"/>
    </row>
    <row r="715">
      <c r="A715" s="116">
        <v>3699718.0</v>
      </c>
      <c r="B715" s="117">
        <v>44462.0</v>
      </c>
      <c r="C715" s="123" t="s">
        <v>37</v>
      </c>
      <c r="D715" s="29" t="s">
        <v>2118</v>
      </c>
      <c r="E715" s="30" t="s">
        <v>45</v>
      </c>
      <c r="F715" s="30" t="s">
        <v>75</v>
      </c>
      <c r="G715" s="31">
        <v>2555316.0</v>
      </c>
      <c r="H715" s="30" t="s">
        <v>2119</v>
      </c>
      <c r="I715" s="31"/>
      <c r="J715" s="30"/>
    </row>
    <row r="716">
      <c r="A716" s="116">
        <v>1236626.0</v>
      </c>
      <c r="B716" s="117">
        <v>44462.0</v>
      </c>
      <c r="C716" s="123" t="s">
        <v>37</v>
      </c>
      <c r="D716" s="29" t="s">
        <v>2120</v>
      </c>
      <c r="E716" s="30" t="s">
        <v>45</v>
      </c>
      <c r="F716" s="30" t="s">
        <v>75</v>
      </c>
      <c r="G716" s="31"/>
      <c r="H716" s="30"/>
      <c r="I716" s="31"/>
      <c r="J716" s="30"/>
    </row>
    <row r="717">
      <c r="A717" s="116">
        <v>1477998.0</v>
      </c>
      <c r="B717" s="117">
        <v>44462.0</v>
      </c>
      <c r="C717" s="123" t="s">
        <v>37</v>
      </c>
      <c r="D717" s="29" t="s">
        <v>2121</v>
      </c>
      <c r="E717" s="30" t="s">
        <v>45</v>
      </c>
      <c r="F717" s="30" t="s">
        <v>75</v>
      </c>
      <c r="G717" s="31"/>
      <c r="H717" s="30"/>
      <c r="I717" s="31"/>
      <c r="J717" s="30"/>
    </row>
    <row r="718">
      <c r="A718" s="116">
        <v>1777616.0</v>
      </c>
      <c r="B718" s="117">
        <v>44462.0</v>
      </c>
      <c r="C718" s="123" t="s">
        <v>37</v>
      </c>
      <c r="D718" s="29" t="s">
        <v>2122</v>
      </c>
      <c r="E718" s="30" t="s">
        <v>45</v>
      </c>
      <c r="F718" s="30" t="s">
        <v>75</v>
      </c>
      <c r="G718" s="31"/>
      <c r="H718" s="30"/>
      <c r="I718" s="31"/>
      <c r="J718" s="30"/>
    </row>
    <row r="719">
      <c r="A719" s="116">
        <v>1791362.0</v>
      </c>
      <c r="B719" s="117">
        <v>44462.0</v>
      </c>
      <c r="C719" s="123" t="s">
        <v>37</v>
      </c>
      <c r="D719" s="29" t="s">
        <v>2123</v>
      </c>
      <c r="E719" s="30" t="s">
        <v>45</v>
      </c>
      <c r="F719" s="30" t="s">
        <v>75</v>
      </c>
      <c r="G719" s="31"/>
      <c r="H719" s="30"/>
      <c r="I719" s="31"/>
      <c r="J719" s="30"/>
    </row>
    <row r="720">
      <c r="A720" s="116">
        <v>2059535.0</v>
      </c>
      <c r="B720" s="117">
        <v>44462.0</v>
      </c>
      <c r="C720" s="123" t="s">
        <v>37</v>
      </c>
      <c r="D720" s="29" t="s">
        <v>2124</v>
      </c>
      <c r="E720" s="30" t="s">
        <v>45</v>
      </c>
      <c r="F720" s="30" t="s">
        <v>75</v>
      </c>
      <c r="G720" s="31">
        <v>2193468.0</v>
      </c>
      <c r="H720" s="30" t="s">
        <v>2125</v>
      </c>
      <c r="I720" s="31"/>
      <c r="J720" s="30"/>
    </row>
    <row r="721">
      <c r="A721" s="121">
        <v>2539828.0</v>
      </c>
      <c r="B721" s="117">
        <v>44462.0</v>
      </c>
      <c r="C721" s="123" t="s">
        <v>37</v>
      </c>
      <c r="D721" s="29" t="s">
        <v>2126</v>
      </c>
      <c r="E721" s="30" t="s">
        <v>45</v>
      </c>
      <c r="F721" s="30" t="s">
        <v>75</v>
      </c>
      <c r="G721" s="31">
        <v>802574.0</v>
      </c>
      <c r="H721" s="30" t="s">
        <v>2127</v>
      </c>
      <c r="I721" s="31"/>
      <c r="J721" s="30"/>
    </row>
    <row r="722">
      <c r="A722" s="121">
        <v>2741358.0</v>
      </c>
      <c r="B722" s="117">
        <v>44462.0</v>
      </c>
      <c r="C722" s="123" t="s">
        <v>37</v>
      </c>
      <c r="D722" s="29" t="s">
        <v>603</v>
      </c>
      <c r="E722" s="30" t="s">
        <v>45</v>
      </c>
      <c r="F722" s="30" t="s">
        <v>75</v>
      </c>
      <c r="G722" s="31">
        <v>2311352.0</v>
      </c>
      <c r="H722" s="30" t="s">
        <v>2128</v>
      </c>
      <c r="I722" s="31"/>
      <c r="J722" s="30"/>
    </row>
    <row r="723">
      <c r="A723" s="121">
        <v>2782102.0</v>
      </c>
      <c r="B723" s="117">
        <v>44462.0</v>
      </c>
      <c r="C723" s="123" t="s">
        <v>37</v>
      </c>
      <c r="D723" s="29" t="s">
        <v>2129</v>
      </c>
      <c r="E723" s="30" t="s">
        <v>45</v>
      </c>
      <c r="F723" s="30" t="s">
        <v>75</v>
      </c>
      <c r="G723" s="31"/>
      <c r="H723" s="30"/>
      <c r="I723" s="31"/>
      <c r="J723" s="30"/>
    </row>
    <row r="724">
      <c r="A724" s="121">
        <v>3492150.0</v>
      </c>
      <c r="B724" s="117">
        <v>44462.0</v>
      </c>
      <c r="C724" s="123" t="s">
        <v>37</v>
      </c>
      <c r="D724" s="29" t="s">
        <v>621</v>
      </c>
      <c r="E724" s="30" t="s">
        <v>45</v>
      </c>
      <c r="F724" s="30" t="s">
        <v>75</v>
      </c>
      <c r="G724" s="31"/>
      <c r="H724" s="30"/>
      <c r="I724" s="31"/>
      <c r="J724" s="30"/>
    </row>
    <row r="725">
      <c r="A725" s="121">
        <v>3611140.0</v>
      </c>
      <c r="B725" s="117">
        <v>44462.0</v>
      </c>
      <c r="C725" s="123" t="s">
        <v>37</v>
      </c>
      <c r="D725" s="29" t="s">
        <v>2071</v>
      </c>
      <c r="E725" s="30" t="s">
        <v>45</v>
      </c>
      <c r="F725" s="30" t="s">
        <v>75</v>
      </c>
      <c r="G725" s="31">
        <v>3644002.0</v>
      </c>
      <c r="H725" s="30" t="s">
        <v>2114</v>
      </c>
      <c r="I725" s="31"/>
      <c r="J725" s="30"/>
    </row>
    <row r="726">
      <c r="A726" s="121">
        <v>3829288.0</v>
      </c>
      <c r="B726" s="117">
        <v>44462.0</v>
      </c>
      <c r="C726" s="123" t="s">
        <v>37</v>
      </c>
      <c r="D726" s="29" t="s">
        <v>2080</v>
      </c>
      <c r="E726" s="30" t="s">
        <v>45</v>
      </c>
      <c r="F726" s="30" t="s">
        <v>75</v>
      </c>
      <c r="G726" s="31">
        <v>3824326.0</v>
      </c>
      <c r="H726" s="30" t="s">
        <v>2113</v>
      </c>
      <c r="I726" s="31"/>
      <c r="J726" s="30"/>
    </row>
    <row r="727">
      <c r="A727" s="121">
        <v>3211579.0</v>
      </c>
      <c r="B727" s="117">
        <v>44462.0</v>
      </c>
      <c r="C727" s="123" t="s">
        <v>37</v>
      </c>
      <c r="D727" s="29" t="s">
        <v>2130</v>
      </c>
      <c r="E727" s="30" t="s">
        <v>45</v>
      </c>
      <c r="F727" s="30" t="s">
        <v>75</v>
      </c>
      <c r="G727" s="31">
        <v>802578.0</v>
      </c>
      <c r="H727" s="30" t="s">
        <v>2095</v>
      </c>
      <c r="I727" s="31"/>
      <c r="J727" s="30"/>
    </row>
    <row r="728">
      <c r="A728" s="121">
        <v>3300394.0</v>
      </c>
      <c r="B728" s="117">
        <v>44462.0</v>
      </c>
      <c r="C728" s="123" t="s">
        <v>37</v>
      </c>
      <c r="D728" s="29" t="s">
        <v>2131</v>
      </c>
      <c r="E728" s="30" t="s">
        <v>45</v>
      </c>
      <c r="F728" s="30" t="s">
        <v>75</v>
      </c>
      <c r="G728" s="31">
        <v>2311352.0</v>
      </c>
      <c r="H728" s="30" t="s">
        <v>2132</v>
      </c>
      <c r="I728" s="31"/>
      <c r="J728" s="30"/>
    </row>
    <row r="729">
      <c r="A729" s="116">
        <v>3471566.0</v>
      </c>
      <c r="B729" s="117">
        <v>44462.0</v>
      </c>
      <c r="C729" s="123" t="s">
        <v>37</v>
      </c>
      <c r="D729" s="29" t="s">
        <v>2133</v>
      </c>
      <c r="E729" s="30" t="s">
        <v>45</v>
      </c>
      <c r="F729" s="30" t="s">
        <v>75</v>
      </c>
      <c r="G729" s="31">
        <v>2507564.0</v>
      </c>
      <c r="H729" s="30" t="s">
        <v>2134</v>
      </c>
      <c r="I729" s="31"/>
      <c r="J729" s="30"/>
    </row>
    <row r="730">
      <c r="A730" s="116">
        <v>3606786.0</v>
      </c>
      <c r="B730" s="117">
        <v>44462.0</v>
      </c>
      <c r="C730" s="123" t="s">
        <v>37</v>
      </c>
      <c r="D730" s="29" t="s">
        <v>2135</v>
      </c>
      <c r="E730" s="30" t="s">
        <v>45</v>
      </c>
      <c r="F730" s="30" t="s">
        <v>75</v>
      </c>
      <c r="G730" s="31">
        <v>802574.0</v>
      </c>
      <c r="H730" s="30" t="s">
        <v>2136</v>
      </c>
      <c r="I730" s="31"/>
      <c r="J730" s="30"/>
    </row>
    <row r="731">
      <c r="A731" s="116">
        <v>3800024.0</v>
      </c>
      <c r="B731" s="117">
        <v>44462.0</v>
      </c>
      <c r="C731" s="123" t="s">
        <v>37</v>
      </c>
      <c r="D731" s="29" t="s">
        <v>2137</v>
      </c>
      <c r="E731" s="30" t="s">
        <v>45</v>
      </c>
      <c r="F731" s="30" t="s">
        <v>75</v>
      </c>
      <c r="G731" s="31">
        <v>2873370.0</v>
      </c>
      <c r="H731" s="30" t="s">
        <v>2138</v>
      </c>
      <c r="I731" s="31"/>
      <c r="J731" s="30"/>
    </row>
    <row r="732">
      <c r="A732" s="116">
        <v>4140050.0</v>
      </c>
      <c r="B732" s="117">
        <v>44462.0</v>
      </c>
      <c r="C732" s="123" t="s">
        <v>37</v>
      </c>
      <c r="D732" s="29" t="s">
        <v>2139</v>
      </c>
      <c r="E732" s="30" t="s">
        <v>45</v>
      </c>
      <c r="F732" s="30" t="s">
        <v>75</v>
      </c>
      <c r="G732" s="31">
        <v>3386922.0</v>
      </c>
      <c r="H732" s="30" t="s">
        <v>2140</v>
      </c>
      <c r="I732" s="31"/>
      <c r="J732" s="30"/>
    </row>
    <row r="733">
      <c r="A733" s="116">
        <v>3520898.0</v>
      </c>
      <c r="B733" s="117">
        <v>44462.0</v>
      </c>
      <c r="C733" s="123" t="s">
        <v>37</v>
      </c>
      <c r="D733" s="29" t="s">
        <v>2141</v>
      </c>
      <c r="E733" s="30" t="s">
        <v>45</v>
      </c>
      <c r="F733" s="30" t="s">
        <v>75</v>
      </c>
      <c r="G733" s="31"/>
      <c r="H733" s="30"/>
      <c r="I733" s="31"/>
      <c r="J733" s="30"/>
    </row>
    <row r="734">
      <c r="A734" s="97">
        <v>3597800.0</v>
      </c>
      <c r="B734" s="117">
        <v>44468.0</v>
      </c>
      <c r="C734" s="152" t="s">
        <v>206</v>
      </c>
      <c r="D734" s="29" t="s">
        <v>2142</v>
      </c>
      <c r="E734" s="30"/>
      <c r="F734" s="30"/>
      <c r="G734" s="31"/>
      <c r="H734" s="30"/>
      <c r="I734" s="31"/>
      <c r="J734" s="30"/>
    </row>
    <row r="735">
      <c r="A735" s="97">
        <v>3683196.0</v>
      </c>
      <c r="B735" s="117">
        <v>44468.0</v>
      </c>
      <c r="C735" s="152" t="s">
        <v>206</v>
      </c>
      <c r="D735" s="29" t="s">
        <v>2143</v>
      </c>
      <c r="E735" s="30"/>
      <c r="F735" s="30"/>
      <c r="G735" s="31"/>
      <c r="H735" s="30"/>
      <c r="I735" s="31"/>
      <c r="J735" s="30"/>
    </row>
    <row r="736">
      <c r="A736" s="97">
        <v>2380976.0</v>
      </c>
      <c r="B736" s="117">
        <v>44468.0</v>
      </c>
      <c r="C736" s="152" t="s">
        <v>206</v>
      </c>
      <c r="D736" s="29" t="s">
        <v>2144</v>
      </c>
      <c r="E736" s="30"/>
      <c r="F736" s="30"/>
      <c r="G736" s="31"/>
      <c r="H736" s="30"/>
      <c r="I736" s="31"/>
      <c r="J736" s="30"/>
    </row>
    <row r="737">
      <c r="A737" s="97">
        <v>3440448.0</v>
      </c>
      <c r="B737" s="117">
        <v>44468.0</v>
      </c>
      <c r="C737" s="152" t="s">
        <v>206</v>
      </c>
      <c r="D737" s="29" t="s">
        <v>2145</v>
      </c>
      <c r="E737" s="30"/>
      <c r="F737" s="30"/>
      <c r="G737" s="31"/>
      <c r="H737" s="30"/>
      <c r="I737" s="31"/>
      <c r="J737" s="30"/>
    </row>
    <row r="738">
      <c r="A738" s="97">
        <v>2419484.0</v>
      </c>
      <c r="B738" s="117">
        <v>44468.0</v>
      </c>
      <c r="C738" s="152" t="s">
        <v>206</v>
      </c>
      <c r="D738" s="29" t="s">
        <v>2146</v>
      </c>
      <c r="E738" s="30"/>
      <c r="F738" s="30"/>
      <c r="G738" s="31"/>
      <c r="H738" s="30"/>
      <c r="I738" s="31"/>
      <c r="J738" s="30"/>
    </row>
    <row r="739">
      <c r="A739" s="97">
        <v>2996962.0</v>
      </c>
      <c r="B739" s="117">
        <v>44468.0</v>
      </c>
      <c r="C739" s="152" t="s">
        <v>206</v>
      </c>
      <c r="D739" s="29" t="s">
        <v>2147</v>
      </c>
      <c r="E739" s="30"/>
      <c r="F739" s="30"/>
      <c r="G739" s="31"/>
      <c r="H739" s="30"/>
      <c r="I739" s="31"/>
      <c r="J739" s="30"/>
    </row>
    <row r="740">
      <c r="A740" s="127">
        <v>1638736.0</v>
      </c>
      <c r="B740" s="117">
        <v>44469.0</v>
      </c>
      <c r="C740" s="128" t="s">
        <v>37</v>
      </c>
      <c r="D740" s="29" t="s">
        <v>680</v>
      </c>
      <c r="E740" s="30" t="s">
        <v>45</v>
      </c>
      <c r="F740" s="30" t="s">
        <v>90</v>
      </c>
      <c r="G740" s="31">
        <v>869724.0</v>
      </c>
      <c r="H740" s="30" t="s">
        <v>2148</v>
      </c>
      <c r="I740" s="31"/>
      <c r="J740" s="30" t="s">
        <v>47</v>
      </c>
    </row>
    <row r="741">
      <c r="A741" s="127">
        <v>1679542.0</v>
      </c>
      <c r="B741" s="117">
        <v>44469.0</v>
      </c>
      <c r="C741" s="128" t="s">
        <v>37</v>
      </c>
      <c r="D741" s="29" t="s">
        <v>2149</v>
      </c>
      <c r="E741" s="30" t="s">
        <v>45</v>
      </c>
      <c r="F741" s="30" t="s">
        <v>172</v>
      </c>
      <c r="G741" s="31"/>
      <c r="H741" s="30" t="s">
        <v>47</v>
      </c>
      <c r="I741" s="31"/>
      <c r="J741" s="30" t="s">
        <v>47</v>
      </c>
    </row>
    <row r="742">
      <c r="A742" s="127">
        <v>1745270.0</v>
      </c>
      <c r="B742" s="117">
        <v>44469.0</v>
      </c>
      <c r="C742" s="128" t="s">
        <v>37</v>
      </c>
      <c r="D742" s="29" t="s">
        <v>2150</v>
      </c>
      <c r="E742" s="30" t="s">
        <v>45</v>
      </c>
      <c r="F742" s="30" t="s">
        <v>90</v>
      </c>
      <c r="G742" s="31"/>
      <c r="H742" s="30" t="s">
        <v>47</v>
      </c>
      <c r="I742" s="31"/>
      <c r="J742" s="30" t="s">
        <v>47</v>
      </c>
    </row>
    <row r="743">
      <c r="A743" s="127">
        <v>3599780.0</v>
      </c>
      <c r="B743" s="117">
        <v>44469.0</v>
      </c>
      <c r="C743" s="128" t="s">
        <v>37</v>
      </c>
      <c r="D743" s="29" t="s">
        <v>2151</v>
      </c>
      <c r="E743" s="30" t="s">
        <v>79</v>
      </c>
      <c r="F743" s="30" t="s">
        <v>261</v>
      </c>
      <c r="G743" s="31">
        <v>2702812.0</v>
      </c>
      <c r="H743" s="30" t="s">
        <v>2152</v>
      </c>
      <c r="I743" s="31"/>
      <c r="J743" s="30" t="s">
        <v>47</v>
      </c>
    </row>
    <row r="744">
      <c r="A744" s="129">
        <v>2593518.0</v>
      </c>
      <c r="B744" s="117">
        <v>44469.0</v>
      </c>
      <c r="C744" s="128" t="s">
        <v>37</v>
      </c>
      <c r="D744" s="29" t="s">
        <v>2153</v>
      </c>
      <c r="E744" s="30" t="s">
        <v>39</v>
      </c>
      <c r="F744" s="30" t="s">
        <v>140</v>
      </c>
      <c r="G744" s="31">
        <v>1562632.0</v>
      </c>
      <c r="H744" s="30" t="s">
        <v>2154</v>
      </c>
      <c r="I744" s="31"/>
      <c r="J744" s="30" t="s">
        <v>47</v>
      </c>
    </row>
    <row r="745">
      <c r="A745" s="129">
        <v>2603366.0</v>
      </c>
      <c r="B745" s="117">
        <v>44469.0</v>
      </c>
      <c r="C745" s="130" t="s">
        <v>37</v>
      </c>
      <c r="D745" s="29" t="s">
        <v>2155</v>
      </c>
      <c r="E745" s="30" t="s">
        <v>189</v>
      </c>
      <c r="F745" s="30" t="s">
        <v>448</v>
      </c>
      <c r="G745" s="31">
        <v>384496.0</v>
      </c>
      <c r="H745" s="30" t="s">
        <v>2156</v>
      </c>
      <c r="I745" s="31"/>
      <c r="J745" s="30" t="s">
        <v>47</v>
      </c>
    </row>
    <row r="746">
      <c r="A746" s="129">
        <v>1543984.0</v>
      </c>
      <c r="B746" s="117">
        <v>44469.0</v>
      </c>
      <c r="C746" s="130" t="s">
        <v>37</v>
      </c>
      <c r="D746" s="29" t="s">
        <v>2157</v>
      </c>
      <c r="E746" s="30" t="s">
        <v>96</v>
      </c>
      <c r="F746" s="30" t="s">
        <v>109</v>
      </c>
      <c r="G746" s="31">
        <v>148902.0</v>
      </c>
      <c r="H746" s="30" t="s">
        <v>2158</v>
      </c>
      <c r="I746" s="31"/>
      <c r="J746" s="30" t="s">
        <v>47</v>
      </c>
    </row>
    <row r="747">
      <c r="A747" s="129">
        <v>64605.0</v>
      </c>
      <c r="B747" s="117">
        <v>44469.0</v>
      </c>
      <c r="C747" s="130" t="s">
        <v>37</v>
      </c>
      <c r="D747" s="29" t="s">
        <v>2159</v>
      </c>
      <c r="E747" s="30" t="s">
        <v>39</v>
      </c>
      <c r="F747" s="30" t="s">
        <v>140</v>
      </c>
      <c r="G747" s="31">
        <v>1561458.0</v>
      </c>
      <c r="H747" s="30" t="s">
        <v>2160</v>
      </c>
      <c r="I747" s="31"/>
      <c r="J747" s="30" t="s">
        <v>47</v>
      </c>
    </row>
    <row r="748">
      <c r="A748" s="129">
        <v>2692016.0</v>
      </c>
      <c r="B748" s="117">
        <v>44469.0</v>
      </c>
      <c r="C748" s="130" t="s">
        <v>37</v>
      </c>
      <c r="D748" s="29" t="s">
        <v>2161</v>
      </c>
      <c r="E748" s="30" t="s">
        <v>39</v>
      </c>
      <c r="F748" s="30" t="s">
        <v>54</v>
      </c>
      <c r="G748" s="31">
        <v>1278360.0</v>
      </c>
      <c r="H748" s="30" t="s">
        <v>2162</v>
      </c>
      <c r="I748" s="31"/>
      <c r="J748" s="30" t="s">
        <v>47</v>
      </c>
    </row>
    <row r="749">
      <c r="A749" s="129">
        <v>2314740.0</v>
      </c>
      <c r="B749" s="117">
        <v>44469.0</v>
      </c>
      <c r="C749" s="130" t="s">
        <v>37</v>
      </c>
      <c r="D749" s="29" t="s">
        <v>2163</v>
      </c>
      <c r="E749" s="30" t="s">
        <v>96</v>
      </c>
      <c r="F749" s="30" t="s">
        <v>109</v>
      </c>
      <c r="G749" s="31">
        <v>148902.0</v>
      </c>
      <c r="H749" s="30" t="s">
        <v>2158</v>
      </c>
      <c r="I749" s="31"/>
      <c r="J749" s="30" t="s">
        <v>47</v>
      </c>
    </row>
    <row r="750">
      <c r="A750" s="127">
        <v>72262.0</v>
      </c>
      <c r="B750" s="117">
        <v>44469.0</v>
      </c>
      <c r="C750" s="130" t="s">
        <v>37</v>
      </c>
      <c r="D750" s="29" t="s">
        <v>2164</v>
      </c>
      <c r="E750" s="30" t="s">
        <v>39</v>
      </c>
      <c r="F750" s="30" t="s">
        <v>140</v>
      </c>
      <c r="G750" s="31">
        <v>812588.0</v>
      </c>
      <c r="H750" s="30" t="s">
        <v>1492</v>
      </c>
      <c r="I750" s="31"/>
      <c r="J750" s="30" t="s">
        <v>47</v>
      </c>
    </row>
    <row r="751">
      <c r="A751" s="129">
        <v>1518034.0</v>
      </c>
      <c r="B751" s="117">
        <v>44469.0</v>
      </c>
      <c r="C751" s="130" t="s">
        <v>37</v>
      </c>
      <c r="D751" s="29" t="s">
        <v>2165</v>
      </c>
      <c r="E751" s="30" t="s">
        <v>96</v>
      </c>
      <c r="F751" s="30" t="s">
        <v>109</v>
      </c>
      <c r="G751" s="31"/>
      <c r="H751" s="30" t="s">
        <v>47</v>
      </c>
      <c r="I751" s="31"/>
      <c r="J751" s="30" t="s">
        <v>47</v>
      </c>
    </row>
    <row r="752">
      <c r="A752" s="129">
        <v>3765958.0</v>
      </c>
      <c r="B752" s="117">
        <v>44469.0</v>
      </c>
      <c r="C752" s="130" t="s">
        <v>37</v>
      </c>
      <c r="D752" s="29" t="s">
        <v>2166</v>
      </c>
      <c r="E752" s="30" t="s">
        <v>39</v>
      </c>
      <c r="F752" s="30" t="s">
        <v>50</v>
      </c>
      <c r="G752" s="31">
        <v>1747524.0</v>
      </c>
      <c r="H752" s="30" t="s">
        <v>427</v>
      </c>
      <c r="I752" s="31"/>
      <c r="J752" s="30" t="s">
        <v>47</v>
      </c>
    </row>
    <row r="753">
      <c r="A753" s="129">
        <v>816772.0</v>
      </c>
      <c r="B753" s="117">
        <v>44469.0</v>
      </c>
      <c r="C753" s="130" t="s">
        <v>37</v>
      </c>
      <c r="D753" s="29" t="s">
        <v>2167</v>
      </c>
      <c r="E753" s="30" t="s">
        <v>105</v>
      </c>
      <c r="F753" s="30" t="s">
        <v>106</v>
      </c>
      <c r="G753" s="31">
        <v>1188972.0</v>
      </c>
      <c r="H753" s="30" t="s">
        <v>2168</v>
      </c>
      <c r="I753" s="31"/>
      <c r="J753" s="30" t="s">
        <v>47</v>
      </c>
    </row>
    <row r="754">
      <c r="A754" s="129">
        <v>1209910.0</v>
      </c>
      <c r="B754" s="117">
        <v>44469.0</v>
      </c>
      <c r="C754" s="128" t="s">
        <v>37</v>
      </c>
      <c r="D754" s="29" t="s">
        <v>2169</v>
      </c>
      <c r="E754" s="30" t="s">
        <v>189</v>
      </c>
      <c r="F754" s="30" t="s">
        <v>300</v>
      </c>
      <c r="G754" s="31">
        <v>648530.0</v>
      </c>
      <c r="H754" s="30" t="s">
        <v>2170</v>
      </c>
      <c r="I754" s="31"/>
      <c r="J754" s="30" t="s">
        <v>47</v>
      </c>
    </row>
    <row r="755">
      <c r="A755" s="129">
        <v>1358653.0</v>
      </c>
      <c r="B755" s="117">
        <v>44469.0</v>
      </c>
      <c r="C755" s="128" t="s">
        <v>37</v>
      </c>
      <c r="D755" s="29" t="s">
        <v>2171</v>
      </c>
      <c r="E755" s="30" t="s">
        <v>58</v>
      </c>
      <c r="F755" s="30" t="s">
        <v>161</v>
      </c>
      <c r="G755" s="31">
        <v>1324768.0</v>
      </c>
      <c r="H755" s="30" t="s">
        <v>2172</v>
      </c>
      <c r="I755" s="31"/>
      <c r="J755" s="30" t="s">
        <v>47</v>
      </c>
    </row>
    <row r="756">
      <c r="A756" s="127">
        <v>2912472.0</v>
      </c>
      <c r="B756" s="117">
        <v>44469.0</v>
      </c>
      <c r="C756" s="128" t="s">
        <v>37</v>
      </c>
      <c r="D756" s="29" t="s">
        <v>2173</v>
      </c>
      <c r="E756" s="30" t="s">
        <v>39</v>
      </c>
      <c r="F756" s="30" t="s">
        <v>140</v>
      </c>
      <c r="G756" s="31">
        <v>1265410.0</v>
      </c>
      <c r="H756" s="30" t="s">
        <v>2174</v>
      </c>
      <c r="I756" s="31"/>
      <c r="J756" s="30" t="s">
        <v>47</v>
      </c>
    </row>
    <row r="757">
      <c r="A757" s="127">
        <v>874754.0</v>
      </c>
      <c r="B757" s="117">
        <v>44469.0</v>
      </c>
      <c r="C757" s="128" t="s">
        <v>37</v>
      </c>
      <c r="D757" s="29" t="s">
        <v>2175</v>
      </c>
      <c r="E757" s="30" t="s">
        <v>144</v>
      </c>
      <c r="F757" s="30" t="s">
        <v>145</v>
      </c>
      <c r="G757" s="31"/>
      <c r="H757" s="30" t="s">
        <v>47</v>
      </c>
      <c r="I757" s="31"/>
      <c r="J757" s="30" t="s">
        <v>47</v>
      </c>
    </row>
    <row r="758">
      <c r="A758" s="127">
        <v>86322.0</v>
      </c>
      <c r="B758" s="117">
        <v>44469.0</v>
      </c>
      <c r="C758" s="128" t="s">
        <v>37</v>
      </c>
      <c r="D758" s="29" t="s">
        <v>2176</v>
      </c>
      <c r="E758" s="30" t="s">
        <v>45</v>
      </c>
      <c r="F758" s="30" t="s">
        <v>172</v>
      </c>
      <c r="G758" s="31"/>
      <c r="H758" s="30" t="s">
        <v>47</v>
      </c>
      <c r="I758" s="31"/>
      <c r="J758" s="30" t="s">
        <v>47</v>
      </c>
    </row>
    <row r="759">
      <c r="A759" s="129">
        <v>552594.0</v>
      </c>
      <c r="B759" s="117">
        <v>44469.0</v>
      </c>
      <c r="C759" s="128" t="s">
        <v>37</v>
      </c>
      <c r="D759" s="29" t="s">
        <v>2177</v>
      </c>
      <c r="E759" s="30" t="s">
        <v>39</v>
      </c>
      <c r="F759" s="30" t="s">
        <v>140</v>
      </c>
      <c r="G759" s="31">
        <v>2135894.0</v>
      </c>
      <c r="H759" s="30" t="s">
        <v>2178</v>
      </c>
      <c r="I759" s="31"/>
      <c r="J759" s="30" t="s">
        <v>47</v>
      </c>
    </row>
    <row r="760">
      <c r="A760" s="129">
        <v>727210.0</v>
      </c>
      <c r="B760" s="117">
        <v>44469.0</v>
      </c>
      <c r="C760" s="128" t="s">
        <v>37</v>
      </c>
      <c r="D760" s="29" t="s">
        <v>2179</v>
      </c>
      <c r="E760" s="30" t="s">
        <v>45</v>
      </c>
      <c r="F760" s="30" t="s">
        <v>172</v>
      </c>
      <c r="G760" s="31"/>
      <c r="H760" s="30" t="s">
        <v>47</v>
      </c>
      <c r="I760" s="31"/>
      <c r="J760" s="30" t="s">
        <v>47</v>
      </c>
    </row>
    <row r="761">
      <c r="A761" s="129">
        <v>1007632.0</v>
      </c>
      <c r="B761" s="117">
        <v>44469.0</v>
      </c>
      <c r="C761" s="128" t="s">
        <v>37</v>
      </c>
      <c r="D761" s="29" t="s">
        <v>2180</v>
      </c>
      <c r="E761" s="30" t="s">
        <v>45</v>
      </c>
      <c r="F761" s="30" t="s">
        <v>75</v>
      </c>
      <c r="G761" s="31"/>
      <c r="H761" s="30" t="s">
        <v>47</v>
      </c>
      <c r="I761" s="31"/>
      <c r="J761" s="30" t="s">
        <v>47</v>
      </c>
    </row>
    <row r="762">
      <c r="A762" s="129">
        <v>1116196.0</v>
      </c>
      <c r="B762" s="117">
        <v>44469.0</v>
      </c>
      <c r="C762" s="128" t="s">
        <v>37</v>
      </c>
      <c r="D762" s="29" t="s">
        <v>2181</v>
      </c>
      <c r="E762" s="30" t="s">
        <v>58</v>
      </c>
      <c r="F762" s="30" t="s">
        <v>161</v>
      </c>
      <c r="G762" s="31">
        <v>42271.0</v>
      </c>
      <c r="H762" s="30" t="s">
        <v>2182</v>
      </c>
      <c r="I762" s="31"/>
      <c r="J762" s="30" t="s">
        <v>47</v>
      </c>
    </row>
    <row r="763">
      <c r="A763" s="129">
        <v>1343564.0</v>
      </c>
      <c r="B763" s="117">
        <v>44469.0</v>
      </c>
      <c r="C763" s="128" t="s">
        <v>37</v>
      </c>
      <c r="D763" s="29" t="s">
        <v>2183</v>
      </c>
      <c r="E763" s="30" t="s">
        <v>45</v>
      </c>
      <c r="F763" s="30" t="s">
        <v>46</v>
      </c>
      <c r="G763" s="31"/>
      <c r="H763" s="30" t="s">
        <v>47</v>
      </c>
      <c r="I763" s="31"/>
      <c r="J763" s="30" t="s">
        <v>47</v>
      </c>
    </row>
    <row r="764">
      <c r="A764" s="129">
        <v>1346052.0</v>
      </c>
      <c r="B764" s="117">
        <v>44469.0</v>
      </c>
      <c r="C764" s="128" t="s">
        <v>37</v>
      </c>
      <c r="D764" s="29" t="s">
        <v>1954</v>
      </c>
      <c r="E764" s="30" t="s">
        <v>101</v>
      </c>
      <c r="F764" s="30" t="s">
        <v>203</v>
      </c>
      <c r="G764" s="31"/>
      <c r="H764" s="30" t="s">
        <v>47</v>
      </c>
      <c r="I764" s="31"/>
      <c r="J764" s="30" t="s">
        <v>47</v>
      </c>
    </row>
    <row r="765">
      <c r="A765" s="129">
        <v>1436714.0</v>
      </c>
      <c r="B765" s="117">
        <v>44469.0</v>
      </c>
      <c r="C765" s="128" t="s">
        <v>37</v>
      </c>
      <c r="D765" s="29" t="s">
        <v>2184</v>
      </c>
      <c r="E765" s="30" t="s">
        <v>122</v>
      </c>
      <c r="F765" s="30" t="s">
        <v>127</v>
      </c>
      <c r="G765" s="31">
        <v>2409722.0</v>
      </c>
      <c r="H765" s="30" t="s">
        <v>2185</v>
      </c>
      <c r="I765" s="31"/>
      <c r="J765" s="30" t="s">
        <v>47</v>
      </c>
    </row>
    <row r="766">
      <c r="A766" s="129">
        <v>1550684.0</v>
      </c>
      <c r="B766" s="117">
        <v>44469.0</v>
      </c>
      <c r="C766" s="128" t="s">
        <v>37</v>
      </c>
      <c r="D766" s="29" t="s">
        <v>2186</v>
      </c>
      <c r="E766" s="30" t="s">
        <v>63</v>
      </c>
      <c r="F766" s="30" t="s">
        <v>256</v>
      </c>
      <c r="G766" s="31"/>
      <c r="H766" s="30" t="s">
        <v>47</v>
      </c>
      <c r="I766" s="31"/>
      <c r="J766" s="30" t="s">
        <v>47</v>
      </c>
    </row>
    <row r="767">
      <c r="A767" s="129">
        <v>1562686.0</v>
      </c>
      <c r="B767" s="117">
        <v>44469.0</v>
      </c>
      <c r="C767" s="128" t="s">
        <v>37</v>
      </c>
      <c r="D767" s="29" t="s">
        <v>2187</v>
      </c>
      <c r="E767" s="30" t="s">
        <v>96</v>
      </c>
      <c r="F767" s="30" t="s">
        <v>131</v>
      </c>
      <c r="G767" s="31"/>
      <c r="H767" s="30" t="s">
        <v>47</v>
      </c>
      <c r="I767" s="31"/>
      <c r="J767" s="30" t="s">
        <v>47</v>
      </c>
    </row>
    <row r="768">
      <c r="A768" s="129">
        <v>1608616.0</v>
      </c>
      <c r="B768" s="117">
        <v>44469.0</v>
      </c>
      <c r="C768" s="128" t="s">
        <v>37</v>
      </c>
      <c r="D768" s="29" t="s">
        <v>2188</v>
      </c>
      <c r="E768" s="30" t="s">
        <v>39</v>
      </c>
      <c r="F768" s="30" t="s">
        <v>50</v>
      </c>
      <c r="G768" s="31"/>
      <c r="H768" s="30" t="s">
        <v>47</v>
      </c>
      <c r="I768" s="31"/>
      <c r="J768" s="30" t="s">
        <v>47</v>
      </c>
    </row>
    <row r="769">
      <c r="A769" s="129">
        <v>1709722.0</v>
      </c>
      <c r="B769" s="117">
        <v>44469.0</v>
      </c>
      <c r="C769" s="128" t="s">
        <v>37</v>
      </c>
      <c r="D769" s="29" t="s">
        <v>2189</v>
      </c>
      <c r="E769" s="30" t="s">
        <v>45</v>
      </c>
      <c r="F769" s="30" t="s">
        <v>90</v>
      </c>
      <c r="G769" s="31"/>
      <c r="H769" s="30" t="s">
        <v>47</v>
      </c>
      <c r="I769" s="31"/>
      <c r="J769" s="30" t="s">
        <v>47</v>
      </c>
    </row>
    <row r="770">
      <c r="A770" s="129">
        <v>1911248.0</v>
      </c>
      <c r="B770" s="117">
        <v>44469.0</v>
      </c>
      <c r="C770" s="128" t="s">
        <v>37</v>
      </c>
      <c r="D770" s="29" t="s">
        <v>2190</v>
      </c>
      <c r="E770" s="30" t="s">
        <v>45</v>
      </c>
      <c r="F770" s="30" t="s">
        <v>75</v>
      </c>
      <c r="G770" s="31">
        <v>2597160.0</v>
      </c>
      <c r="H770" s="30" t="s">
        <v>591</v>
      </c>
      <c r="I770" s="31"/>
      <c r="J770" s="30" t="s">
        <v>47</v>
      </c>
    </row>
    <row r="771">
      <c r="A771" s="129">
        <v>2151006.0</v>
      </c>
      <c r="B771" s="117">
        <v>44469.0</v>
      </c>
      <c r="C771" s="128" t="s">
        <v>37</v>
      </c>
      <c r="D771" s="29" t="s">
        <v>2191</v>
      </c>
      <c r="E771" s="30" t="s">
        <v>219</v>
      </c>
      <c r="F771" s="30" t="s">
        <v>506</v>
      </c>
      <c r="G771" s="31"/>
      <c r="H771" s="30" t="s">
        <v>47</v>
      </c>
      <c r="I771" s="31"/>
      <c r="J771" s="30" t="s">
        <v>47</v>
      </c>
    </row>
    <row r="772">
      <c r="A772" s="129">
        <v>2283238.0</v>
      </c>
      <c r="B772" s="117">
        <v>44469.0</v>
      </c>
      <c r="C772" s="128" t="s">
        <v>37</v>
      </c>
      <c r="D772" s="29" t="s">
        <v>2192</v>
      </c>
      <c r="E772" s="30" t="s">
        <v>39</v>
      </c>
      <c r="F772" s="30" t="s">
        <v>54</v>
      </c>
      <c r="G772" s="31">
        <v>1423634.0</v>
      </c>
      <c r="H772" s="30" t="s">
        <v>2193</v>
      </c>
      <c r="I772" s="31"/>
      <c r="J772" s="30" t="s">
        <v>47</v>
      </c>
    </row>
    <row r="773">
      <c r="A773" s="129">
        <v>2395424.0</v>
      </c>
      <c r="B773" s="117">
        <v>44469.0</v>
      </c>
      <c r="C773" s="128" t="s">
        <v>37</v>
      </c>
      <c r="D773" s="29" t="s">
        <v>2194</v>
      </c>
      <c r="E773" s="30" t="s">
        <v>79</v>
      </c>
      <c r="F773" s="30" t="s">
        <v>998</v>
      </c>
      <c r="G773" s="31"/>
      <c r="H773" s="30" t="s">
        <v>47</v>
      </c>
      <c r="I773" s="31"/>
      <c r="J773" s="30" t="s">
        <v>47</v>
      </c>
    </row>
    <row r="774">
      <c r="A774" s="129">
        <v>2523606.0</v>
      </c>
      <c r="B774" s="117">
        <v>44469.0</v>
      </c>
      <c r="C774" s="128" t="s">
        <v>37</v>
      </c>
      <c r="D774" s="29" t="s">
        <v>2195</v>
      </c>
      <c r="E774" s="30" t="s">
        <v>83</v>
      </c>
      <c r="F774" s="30" t="s">
        <v>147</v>
      </c>
      <c r="G774" s="31"/>
      <c r="H774" s="30" t="s">
        <v>47</v>
      </c>
      <c r="I774" s="31"/>
      <c r="J774" s="30" t="s">
        <v>47</v>
      </c>
    </row>
    <row r="775">
      <c r="A775" s="129">
        <v>2544521.0</v>
      </c>
      <c r="B775" s="117">
        <v>44469.0</v>
      </c>
      <c r="C775" s="128" t="s">
        <v>37</v>
      </c>
      <c r="D775" s="29" t="s">
        <v>2196</v>
      </c>
      <c r="E775" s="30" t="s">
        <v>39</v>
      </c>
      <c r="F775" s="30" t="s">
        <v>214</v>
      </c>
      <c r="G775" s="31"/>
      <c r="H775" s="30" t="s">
        <v>47</v>
      </c>
      <c r="I775" s="31"/>
      <c r="J775" s="30" t="s">
        <v>47</v>
      </c>
    </row>
    <row r="776">
      <c r="A776" s="129">
        <v>2645068.0</v>
      </c>
      <c r="B776" s="117">
        <v>44469.0</v>
      </c>
      <c r="C776" s="128" t="s">
        <v>37</v>
      </c>
      <c r="D776" s="29" t="s">
        <v>2197</v>
      </c>
      <c r="E776" s="30" t="s">
        <v>79</v>
      </c>
      <c r="F776" s="30" t="s">
        <v>184</v>
      </c>
      <c r="G776" s="31"/>
      <c r="H776" s="30" t="s">
        <v>47</v>
      </c>
      <c r="I776" s="31"/>
      <c r="J776" s="30" t="s">
        <v>47</v>
      </c>
    </row>
    <row r="777">
      <c r="A777" s="129">
        <v>2744814.0</v>
      </c>
      <c r="B777" s="117">
        <v>44469.0</v>
      </c>
      <c r="C777" s="128" t="s">
        <v>37</v>
      </c>
      <c r="D777" s="29" t="s">
        <v>2198</v>
      </c>
      <c r="E777" s="30" t="s">
        <v>45</v>
      </c>
      <c r="F777" s="30" t="s">
        <v>75</v>
      </c>
      <c r="G777" s="31"/>
      <c r="H777" s="30" t="s">
        <v>47</v>
      </c>
      <c r="I777" s="31"/>
      <c r="J777" s="30" t="s">
        <v>47</v>
      </c>
    </row>
    <row r="778">
      <c r="A778" s="129">
        <v>33524.0</v>
      </c>
      <c r="B778" s="117">
        <v>44469.0</v>
      </c>
      <c r="C778" s="128" t="s">
        <v>37</v>
      </c>
      <c r="D778" s="29" t="s">
        <v>2199</v>
      </c>
      <c r="E778" s="30" t="s">
        <v>189</v>
      </c>
      <c r="F778" s="30" t="s">
        <v>300</v>
      </c>
      <c r="G778" s="31"/>
      <c r="H778" s="30" t="s">
        <v>47</v>
      </c>
      <c r="I778" s="31"/>
      <c r="J778" s="30" t="s">
        <v>47</v>
      </c>
    </row>
    <row r="779">
      <c r="A779" s="129">
        <v>540916.0</v>
      </c>
      <c r="B779" s="117">
        <v>44469.0</v>
      </c>
      <c r="C779" s="128" t="s">
        <v>37</v>
      </c>
      <c r="D779" s="29" t="s">
        <v>2200</v>
      </c>
      <c r="E779" s="30" t="s">
        <v>39</v>
      </c>
      <c r="F779" s="30" t="s">
        <v>214</v>
      </c>
      <c r="G779" s="31"/>
      <c r="H779" s="30" t="s">
        <v>47</v>
      </c>
      <c r="I779" s="31"/>
      <c r="J779" s="30" t="s">
        <v>47</v>
      </c>
    </row>
    <row r="780">
      <c r="A780" s="129">
        <v>697910.0</v>
      </c>
      <c r="B780" s="117">
        <v>44469.0</v>
      </c>
      <c r="C780" s="128" t="s">
        <v>37</v>
      </c>
      <c r="D780" s="29" t="s">
        <v>2201</v>
      </c>
      <c r="E780" s="30" t="s">
        <v>83</v>
      </c>
      <c r="F780" s="30" t="s">
        <v>94</v>
      </c>
      <c r="G780" s="31">
        <v>1575836.0</v>
      </c>
      <c r="H780" s="30" t="s">
        <v>1512</v>
      </c>
      <c r="I780" s="31"/>
      <c r="J780" s="30" t="s">
        <v>47</v>
      </c>
    </row>
    <row r="781">
      <c r="A781" s="129">
        <v>818136.0</v>
      </c>
      <c r="B781" s="117">
        <v>44469.0</v>
      </c>
      <c r="C781" s="128" t="s">
        <v>37</v>
      </c>
      <c r="D781" s="29" t="s">
        <v>2202</v>
      </c>
      <c r="E781" s="30" t="s">
        <v>39</v>
      </c>
      <c r="F781" s="30" t="s">
        <v>140</v>
      </c>
      <c r="G781" s="31"/>
      <c r="H781" s="30" t="s">
        <v>47</v>
      </c>
      <c r="I781" s="31"/>
      <c r="J781" s="30" t="s">
        <v>47</v>
      </c>
    </row>
    <row r="782">
      <c r="A782" s="129">
        <v>828670.0</v>
      </c>
      <c r="B782" s="117">
        <v>44469.0</v>
      </c>
      <c r="C782" s="128" t="s">
        <v>37</v>
      </c>
      <c r="D782" s="29" t="s">
        <v>2203</v>
      </c>
      <c r="E782" s="30" t="s">
        <v>219</v>
      </c>
      <c r="F782" s="30" t="s">
        <v>220</v>
      </c>
      <c r="G782" s="31"/>
      <c r="H782" s="30" t="s">
        <v>47</v>
      </c>
      <c r="I782" s="31"/>
      <c r="J782" s="30" t="s">
        <v>47</v>
      </c>
    </row>
    <row r="783">
      <c r="A783" s="129">
        <v>970634.0</v>
      </c>
      <c r="B783" s="117">
        <v>44469.0</v>
      </c>
      <c r="C783" s="128" t="s">
        <v>37</v>
      </c>
      <c r="D783" s="29" t="s">
        <v>2204</v>
      </c>
      <c r="E783" s="30" t="s">
        <v>189</v>
      </c>
      <c r="F783" s="30" t="s">
        <v>337</v>
      </c>
      <c r="G783" s="31">
        <v>274770.0</v>
      </c>
      <c r="H783" s="30" t="s">
        <v>2205</v>
      </c>
      <c r="I783" s="31"/>
      <c r="J783" s="30" t="s">
        <v>47</v>
      </c>
    </row>
    <row r="784">
      <c r="A784" s="129">
        <v>1091494.0</v>
      </c>
      <c r="B784" s="117">
        <v>44469.0</v>
      </c>
      <c r="C784" s="128" t="s">
        <v>37</v>
      </c>
      <c r="D784" s="29" t="s">
        <v>2206</v>
      </c>
      <c r="E784" s="30" t="s">
        <v>39</v>
      </c>
      <c r="F784" s="30" t="s">
        <v>297</v>
      </c>
      <c r="G784" s="31">
        <v>1637872.0</v>
      </c>
      <c r="H784" s="30" t="s">
        <v>1876</v>
      </c>
      <c r="I784" s="31"/>
      <c r="J784" s="30" t="s">
        <v>47</v>
      </c>
    </row>
    <row r="785">
      <c r="A785" s="129">
        <v>1276650.0</v>
      </c>
      <c r="B785" s="117">
        <v>44469.0</v>
      </c>
      <c r="C785" s="128" t="s">
        <v>37</v>
      </c>
      <c r="D785" s="29" t="s">
        <v>2207</v>
      </c>
      <c r="E785" s="30" t="s">
        <v>39</v>
      </c>
      <c r="F785" s="30" t="s">
        <v>113</v>
      </c>
      <c r="G785" s="31">
        <v>2579842.0</v>
      </c>
      <c r="H785" s="30" t="s">
        <v>2208</v>
      </c>
      <c r="I785" s="31"/>
      <c r="J785" s="30" t="s">
        <v>47</v>
      </c>
    </row>
    <row r="786">
      <c r="A786" s="129">
        <v>1326668.0</v>
      </c>
      <c r="B786" s="117">
        <v>44469.0</v>
      </c>
      <c r="C786" s="128" t="s">
        <v>37</v>
      </c>
      <c r="D786" s="29" t="s">
        <v>2209</v>
      </c>
      <c r="E786" s="30" t="s">
        <v>83</v>
      </c>
      <c r="F786" s="30" t="s">
        <v>84</v>
      </c>
      <c r="G786" s="31">
        <v>1915496.0</v>
      </c>
      <c r="H786" s="30" t="s">
        <v>2210</v>
      </c>
      <c r="I786" s="31"/>
      <c r="J786" s="30" t="s">
        <v>47</v>
      </c>
    </row>
    <row r="787">
      <c r="A787" s="129">
        <v>2925580.0</v>
      </c>
      <c r="B787" s="117">
        <v>44469.0</v>
      </c>
      <c r="C787" s="128" t="s">
        <v>37</v>
      </c>
      <c r="D787" s="29" t="s">
        <v>2211</v>
      </c>
      <c r="E787" s="30" t="s">
        <v>45</v>
      </c>
      <c r="F787" s="30" t="s">
        <v>46</v>
      </c>
      <c r="G787" s="31">
        <v>3487918.0</v>
      </c>
      <c r="H787" s="30" t="s">
        <v>1921</v>
      </c>
      <c r="I787" s="31"/>
      <c r="J787" s="30" t="s">
        <v>47</v>
      </c>
    </row>
    <row r="788">
      <c r="A788" s="129">
        <v>3038260.0</v>
      </c>
      <c r="B788" s="117">
        <v>44469.0</v>
      </c>
      <c r="C788" s="128" t="s">
        <v>37</v>
      </c>
      <c r="D788" s="29" t="s">
        <v>2212</v>
      </c>
      <c r="E788" s="30" t="s">
        <v>96</v>
      </c>
      <c r="F788" s="30" t="s">
        <v>2213</v>
      </c>
      <c r="G788" s="31"/>
      <c r="H788" s="30" t="s">
        <v>47</v>
      </c>
      <c r="I788" s="31"/>
      <c r="J788" s="30" t="s">
        <v>47</v>
      </c>
    </row>
    <row r="789">
      <c r="A789" s="129">
        <v>3321936.0</v>
      </c>
      <c r="B789" s="117">
        <v>44469.0</v>
      </c>
      <c r="C789" s="128" t="s">
        <v>37</v>
      </c>
      <c r="D789" s="29" t="s">
        <v>2214</v>
      </c>
      <c r="E789" s="30" t="s">
        <v>63</v>
      </c>
      <c r="F789" s="30" t="s">
        <v>64</v>
      </c>
      <c r="G789" s="31">
        <v>3852530.0</v>
      </c>
      <c r="H789" s="30" t="s">
        <v>631</v>
      </c>
      <c r="I789" s="31"/>
      <c r="J789" s="30" t="s">
        <v>47</v>
      </c>
    </row>
    <row r="790">
      <c r="A790" s="129">
        <v>3340536.0</v>
      </c>
      <c r="B790" s="117">
        <v>44469.0</v>
      </c>
      <c r="C790" s="128" t="s">
        <v>37</v>
      </c>
      <c r="D790" s="29" t="s">
        <v>2215</v>
      </c>
      <c r="E790" s="30" t="s">
        <v>101</v>
      </c>
      <c r="F790" s="30" t="s">
        <v>102</v>
      </c>
      <c r="G790" s="31"/>
      <c r="H790" s="30" t="s">
        <v>47</v>
      </c>
      <c r="I790" s="31"/>
      <c r="J790" s="30" t="s">
        <v>47</v>
      </c>
    </row>
    <row r="791">
      <c r="A791" s="129">
        <v>3678616.0</v>
      </c>
      <c r="B791" s="117">
        <v>44469.0</v>
      </c>
      <c r="C791" s="128" t="s">
        <v>37</v>
      </c>
      <c r="D791" s="29" t="s">
        <v>2216</v>
      </c>
      <c r="E791" s="30" t="s">
        <v>45</v>
      </c>
      <c r="F791" s="30" t="s">
        <v>46</v>
      </c>
      <c r="G791" s="31"/>
      <c r="H791" s="30" t="s">
        <v>47</v>
      </c>
      <c r="I791" s="31"/>
      <c r="J791" s="30" t="s">
        <v>47</v>
      </c>
    </row>
    <row r="792">
      <c r="A792" s="129">
        <v>1691786.0</v>
      </c>
      <c r="B792" s="117">
        <v>44469.0</v>
      </c>
      <c r="C792" s="128" t="s">
        <v>37</v>
      </c>
      <c r="D792" s="29" t="s">
        <v>2217</v>
      </c>
      <c r="E792" s="30" t="s">
        <v>101</v>
      </c>
      <c r="F792" s="30" t="s">
        <v>203</v>
      </c>
      <c r="G792" s="31">
        <v>1625530.0</v>
      </c>
      <c r="H792" s="30" t="s">
        <v>2218</v>
      </c>
      <c r="I792" s="31"/>
      <c r="J792" s="30" t="s">
        <v>47</v>
      </c>
    </row>
    <row r="793">
      <c r="A793" s="129">
        <v>1855058.0</v>
      </c>
      <c r="B793" s="117">
        <v>44469.0</v>
      </c>
      <c r="C793" s="128" t="s">
        <v>37</v>
      </c>
      <c r="D793" s="29" t="s">
        <v>2219</v>
      </c>
      <c r="E793" s="30" t="s">
        <v>58</v>
      </c>
      <c r="F793" s="30" t="s">
        <v>167</v>
      </c>
      <c r="G793" s="31"/>
      <c r="H793" s="30" t="s">
        <v>47</v>
      </c>
      <c r="I793" s="31"/>
      <c r="J793" s="30" t="s">
        <v>47</v>
      </c>
    </row>
    <row r="794">
      <c r="A794" s="129">
        <v>2073424.0</v>
      </c>
      <c r="B794" s="117">
        <v>44469.0</v>
      </c>
      <c r="C794" s="128" t="s">
        <v>37</v>
      </c>
      <c r="D794" s="29" t="s">
        <v>2220</v>
      </c>
      <c r="E794" s="30" t="s">
        <v>39</v>
      </c>
      <c r="F794" s="30" t="s">
        <v>297</v>
      </c>
      <c r="G794" s="31">
        <v>1138374.0</v>
      </c>
      <c r="H794" s="30" t="s">
        <v>1025</v>
      </c>
      <c r="I794" s="31"/>
      <c r="J794" s="30" t="s">
        <v>47</v>
      </c>
    </row>
    <row r="795">
      <c r="A795" s="129">
        <v>2254618.0</v>
      </c>
      <c r="B795" s="117">
        <v>44469.0</v>
      </c>
      <c r="C795" s="128" t="s">
        <v>37</v>
      </c>
      <c r="D795" s="29" t="s">
        <v>2221</v>
      </c>
      <c r="E795" s="30" t="s">
        <v>105</v>
      </c>
      <c r="F795" s="30" t="s">
        <v>106</v>
      </c>
      <c r="G795" s="31"/>
      <c r="H795" s="30" t="s">
        <v>47</v>
      </c>
      <c r="I795" s="31"/>
      <c r="J795" s="30" t="s">
        <v>47</v>
      </c>
    </row>
    <row r="796">
      <c r="A796" s="129">
        <v>2473936.0</v>
      </c>
      <c r="B796" s="117">
        <v>44469.0</v>
      </c>
      <c r="C796" s="128" t="s">
        <v>37</v>
      </c>
      <c r="D796" s="29" t="s">
        <v>2222</v>
      </c>
      <c r="E796" s="30" t="s">
        <v>58</v>
      </c>
      <c r="F796" s="30" t="s">
        <v>86</v>
      </c>
      <c r="G796" s="31">
        <v>1439914.0</v>
      </c>
      <c r="H796" s="30" t="s">
        <v>2223</v>
      </c>
      <c r="I796" s="31"/>
      <c r="J796" s="30" t="s">
        <v>47</v>
      </c>
    </row>
    <row r="797">
      <c r="A797" s="129">
        <v>2479964.0</v>
      </c>
      <c r="B797" s="117">
        <v>44469.0</v>
      </c>
      <c r="C797" s="128" t="s">
        <v>37</v>
      </c>
      <c r="D797" s="29" t="s">
        <v>2224</v>
      </c>
      <c r="E797" s="30" t="s">
        <v>39</v>
      </c>
      <c r="F797" s="30" t="s">
        <v>50</v>
      </c>
      <c r="G797" s="31">
        <v>2043700.0</v>
      </c>
      <c r="H797" s="30" t="s">
        <v>1764</v>
      </c>
      <c r="I797" s="31"/>
      <c r="J797" s="30" t="s">
        <v>47</v>
      </c>
    </row>
    <row r="798">
      <c r="A798" s="129">
        <v>58309.0</v>
      </c>
      <c r="B798" s="117">
        <v>44469.0</v>
      </c>
      <c r="C798" s="128" t="s">
        <v>37</v>
      </c>
      <c r="D798" s="29" t="s">
        <v>2225</v>
      </c>
      <c r="E798" s="30" t="s">
        <v>144</v>
      </c>
      <c r="F798" s="30" t="s">
        <v>467</v>
      </c>
      <c r="G798" s="31">
        <v>76978.0</v>
      </c>
      <c r="H798" s="30" t="s">
        <v>2226</v>
      </c>
      <c r="I798" s="31"/>
      <c r="J798" s="30" t="s">
        <v>47</v>
      </c>
    </row>
    <row r="799">
      <c r="A799" s="129">
        <v>515004.0</v>
      </c>
      <c r="B799" s="117">
        <v>44469.0</v>
      </c>
      <c r="C799" s="128" t="s">
        <v>37</v>
      </c>
      <c r="D799" s="29" t="s">
        <v>2227</v>
      </c>
      <c r="E799" s="30" t="s">
        <v>63</v>
      </c>
      <c r="F799" s="30" t="s">
        <v>294</v>
      </c>
      <c r="G799" s="31"/>
      <c r="H799" s="30" t="s">
        <v>47</v>
      </c>
      <c r="I799" s="31"/>
      <c r="J799" s="30" t="s">
        <v>47</v>
      </c>
    </row>
    <row r="800">
      <c r="A800" s="88">
        <v>2504556.0</v>
      </c>
      <c r="B800" s="117">
        <v>44469.0</v>
      </c>
      <c r="C800" s="118" t="s">
        <v>142</v>
      </c>
      <c r="D800" s="29" t="s">
        <v>2228</v>
      </c>
      <c r="E800" s="30" t="s">
        <v>39</v>
      </c>
      <c r="F800" s="30" t="s">
        <v>140</v>
      </c>
      <c r="G800" s="31"/>
      <c r="H800" s="30" t="s">
        <v>47</v>
      </c>
      <c r="I800" s="31"/>
      <c r="J800" s="30"/>
    </row>
    <row r="801">
      <c r="A801" s="82">
        <v>530940.0</v>
      </c>
      <c r="B801" s="117">
        <v>44469.0</v>
      </c>
      <c r="C801" s="118" t="s">
        <v>142</v>
      </c>
      <c r="D801" s="29" t="s">
        <v>2229</v>
      </c>
      <c r="E801" s="30" t="s">
        <v>58</v>
      </c>
      <c r="F801" s="30" t="s">
        <v>59</v>
      </c>
      <c r="G801" s="31"/>
      <c r="H801" s="30" t="s">
        <v>47</v>
      </c>
      <c r="I801" s="31"/>
      <c r="J801" s="30"/>
    </row>
    <row r="802">
      <c r="A802" s="82">
        <v>1085478.0</v>
      </c>
      <c r="B802" s="117">
        <v>44469.0</v>
      </c>
      <c r="C802" s="118" t="s">
        <v>142</v>
      </c>
      <c r="D802" s="29" t="s">
        <v>2230</v>
      </c>
      <c r="E802" s="30" t="s">
        <v>189</v>
      </c>
      <c r="F802" s="30" t="s">
        <v>448</v>
      </c>
      <c r="G802" s="31">
        <v>2288577.0</v>
      </c>
      <c r="H802" s="30" t="s">
        <v>2231</v>
      </c>
      <c r="I802" s="31"/>
      <c r="J802" s="30"/>
    </row>
    <row r="803">
      <c r="A803" s="82">
        <v>1622072.0</v>
      </c>
      <c r="B803" s="117">
        <v>44469.0</v>
      </c>
      <c r="C803" s="118" t="s">
        <v>142</v>
      </c>
      <c r="D803" s="29" t="s">
        <v>2232</v>
      </c>
      <c r="E803" s="30" t="s">
        <v>83</v>
      </c>
      <c r="F803" s="30" t="s">
        <v>153</v>
      </c>
      <c r="G803" s="31">
        <v>1573650.0</v>
      </c>
      <c r="H803" s="30" t="s">
        <v>146</v>
      </c>
      <c r="I803" s="31"/>
      <c r="J803" s="30"/>
    </row>
    <row r="804">
      <c r="A804" s="88">
        <v>3577641.0</v>
      </c>
      <c r="B804" s="117">
        <v>44469.0</v>
      </c>
      <c r="C804" s="118" t="s">
        <v>142</v>
      </c>
      <c r="D804" s="29" t="s">
        <v>2233</v>
      </c>
      <c r="E804" s="30" t="s">
        <v>122</v>
      </c>
      <c r="F804" s="30" t="s">
        <v>123</v>
      </c>
      <c r="G804" s="31"/>
      <c r="H804" s="30" t="s">
        <v>47</v>
      </c>
      <c r="I804" s="31"/>
      <c r="J804" s="30"/>
    </row>
    <row r="805">
      <c r="A805" s="82">
        <v>2286997.0</v>
      </c>
      <c r="B805" s="117">
        <v>44469.0</v>
      </c>
      <c r="C805" s="118" t="s">
        <v>142</v>
      </c>
      <c r="D805" s="29" t="s">
        <v>2234</v>
      </c>
      <c r="E805" s="30" t="s">
        <v>83</v>
      </c>
      <c r="F805" s="30" t="s">
        <v>153</v>
      </c>
      <c r="G805" s="31"/>
      <c r="H805" s="30" t="s">
        <v>47</v>
      </c>
      <c r="I805" s="31"/>
      <c r="J805" s="30"/>
    </row>
    <row r="806">
      <c r="A806" s="129">
        <v>1317256.0</v>
      </c>
      <c r="B806" s="117">
        <v>44469.0</v>
      </c>
      <c r="C806" s="118" t="s">
        <v>70</v>
      </c>
      <c r="D806" s="29" t="s">
        <v>2235</v>
      </c>
      <c r="E806" s="30" t="s">
        <v>39</v>
      </c>
      <c r="F806" s="30" t="s">
        <v>54</v>
      </c>
      <c r="G806" s="31">
        <v>781696.0</v>
      </c>
      <c r="H806" s="30" t="s">
        <v>141</v>
      </c>
      <c r="I806" s="31"/>
      <c r="J806" s="30" t="s">
        <v>47</v>
      </c>
    </row>
    <row r="807">
      <c r="A807" s="129">
        <v>1392412.0</v>
      </c>
      <c r="B807" s="117">
        <v>44469.0</v>
      </c>
      <c r="C807" s="118" t="s">
        <v>70</v>
      </c>
      <c r="D807" s="29" t="s">
        <v>2236</v>
      </c>
      <c r="E807" s="30" t="s">
        <v>39</v>
      </c>
      <c r="F807" s="30" t="s">
        <v>54</v>
      </c>
      <c r="G807" s="31">
        <v>1266742.0</v>
      </c>
      <c r="H807" s="30" t="s">
        <v>2237</v>
      </c>
      <c r="I807" s="31">
        <v>1692790.0</v>
      </c>
      <c r="J807" s="30" t="s">
        <v>2238</v>
      </c>
    </row>
    <row r="808">
      <c r="A808" s="129">
        <v>1657034.0</v>
      </c>
      <c r="B808" s="117">
        <v>44469.0</v>
      </c>
      <c r="C808" s="118" t="s">
        <v>70</v>
      </c>
      <c r="D808" s="29" t="s">
        <v>2239</v>
      </c>
      <c r="E808" s="30" t="s">
        <v>101</v>
      </c>
      <c r="F808" s="30" t="s">
        <v>102</v>
      </c>
      <c r="G808" s="31">
        <v>1531520.0</v>
      </c>
      <c r="H808" s="30" t="s">
        <v>2240</v>
      </c>
      <c r="I808" s="31"/>
      <c r="J808" s="30" t="s">
        <v>47</v>
      </c>
    </row>
    <row r="809">
      <c r="A809" s="129">
        <v>1451342.0</v>
      </c>
      <c r="B809" s="117">
        <v>44469.0</v>
      </c>
      <c r="C809" s="118" t="s">
        <v>70</v>
      </c>
      <c r="D809" s="29" t="s">
        <v>2241</v>
      </c>
      <c r="E809" s="30" t="s">
        <v>83</v>
      </c>
      <c r="F809" s="30" t="s">
        <v>330</v>
      </c>
      <c r="G809" s="31">
        <v>1238042.0</v>
      </c>
      <c r="H809" s="30" t="s">
        <v>2242</v>
      </c>
      <c r="I809" s="31"/>
      <c r="J809" s="30" t="s">
        <v>47</v>
      </c>
    </row>
    <row r="810">
      <c r="A810" s="129">
        <v>1422250.0</v>
      </c>
      <c r="B810" s="117">
        <v>44469.0</v>
      </c>
      <c r="C810" s="118" t="s">
        <v>70</v>
      </c>
      <c r="D810" s="29" t="s">
        <v>2243</v>
      </c>
      <c r="E810" s="30" t="s">
        <v>83</v>
      </c>
      <c r="F810" s="30" t="s">
        <v>84</v>
      </c>
      <c r="G810" s="31"/>
      <c r="H810" s="30" t="s">
        <v>47</v>
      </c>
      <c r="I810" s="31"/>
      <c r="J810" s="30" t="s">
        <v>47</v>
      </c>
    </row>
    <row r="811">
      <c r="A811" s="129">
        <v>1451316.0</v>
      </c>
      <c r="B811" s="117">
        <v>44469.0</v>
      </c>
      <c r="C811" s="118" t="s">
        <v>70</v>
      </c>
      <c r="D811" s="29" t="s">
        <v>2244</v>
      </c>
      <c r="E811" s="30" t="s">
        <v>83</v>
      </c>
      <c r="F811" s="30" t="s">
        <v>153</v>
      </c>
      <c r="G811" s="31">
        <v>740200.0</v>
      </c>
      <c r="H811" s="30" t="s">
        <v>2245</v>
      </c>
      <c r="I811" s="31"/>
      <c r="J811" s="30" t="s">
        <v>47</v>
      </c>
    </row>
    <row r="812">
      <c r="A812" s="129">
        <v>1079988.0</v>
      </c>
      <c r="B812" s="117">
        <v>44469.0</v>
      </c>
      <c r="C812" s="118" t="s">
        <v>70</v>
      </c>
      <c r="D812" s="29" t="s">
        <v>2246</v>
      </c>
      <c r="E812" s="30" t="s">
        <v>83</v>
      </c>
      <c r="F812" s="30" t="s">
        <v>147</v>
      </c>
      <c r="G812" s="31">
        <v>1316648.0</v>
      </c>
      <c r="H812" s="30" t="s">
        <v>1893</v>
      </c>
      <c r="I812" s="31"/>
      <c r="J812" s="30" t="s">
        <v>47</v>
      </c>
    </row>
    <row r="813">
      <c r="A813" s="129">
        <v>2004612.0</v>
      </c>
      <c r="B813" s="117">
        <v>44469.0</v>
      </c>
      <c r="C813" s="118" t="s">
        <v>170</v>
      </c>
      <c r="D813" s="29" t="s">
        <v>2247</v>
      </c>
      <c r="E813" s="30" t="s">
        <v>105</v>
      </c>
      <c r="F813" s="30" t="s">
        <v>106</v>
      </c>
      <c r="G813" s="31">
        <v>1348478.0</v>
      </c>
      <c r="H813" s="30" t="s">
        <v>2248</v>
      </c>
      <c r="I813" s="31"/>
      <c r="J813" s="30"/>
    </row>
    <row r="814">
      <c r="A814" s="129">
        <v>2551675.0</v>
      </c>
      <c r="B814" s="117">
        <v>44469.0</v>
      </c>
      <c r="C814" s="118" t="s">
        <v>170</v>
      </c>
      <c r="D814" s="29" t="s">
        <v>2249</v>
      </c>
      <c r="E814" s="30" t="s">
        <v>83</v>
      </c>
      <c r="F814" s="30" t="s">
        <v>84</v>
      </c>
      <c r="G814" s="31"/>
      <c r="H814" s="30" t="s">
        <v>47</v>
      </c>
      <c r="I814" s="31"/>
      <c r="J814" s="30"/>
    </row>
    <row r="815">
      <c r="A815" s="129">
        <v>1358625.0</v>
      </c>
      <c r="B815" s="117">
        <v>44469.0</v>
      </c>
      <c r="C815" s="118" t="s">
        <v>187</v>
      </c>
      <c r="D815" s="29" t="s">
        <v>2250</v>
      </c>
      <c r="E815" s="30" t="s">
        <v>63</v>
      </c>
      <c r="F815" s="30" t="s">
        <v>258</v>
      </c>
      <c r="G815" s="31">
        <v>1475808.0</v>
      </c>
      <c r="H815" s="30" t="s">
        <v>2251</v>
      </c>
      <c r="I815" s="31"/>
      <c r="J815" s="30"/>
    </row>
    <row r="816">
      <c r="A816" s="129">
        <v>1210800.0</v>
      </c>
      <c r="B816" s="117">
        <v>44469.0</v>
      </c>
      <c r="C816" s="118" t="s">
        <v>43</v>
      </c>
      <c r="D816" s="29" t="s">
        <v>2252</v>
      </c>
      <c r="E816" s="30" t="s">
        <v>79</v>
      </c>
      <c r="F816" s="30" t="s">
        <v>184</v>
      </c>
      <c r="G816" s="31"/>
      <c r="H816" s="30" t="s">
        <v>47</v>
      </c>
      <c r="I816" s="31"/>
      <c r="J816" s="30" t="s">
        <v>47</v>
      </c>
    </row>
    <row r="817">
      <c r="A817" s="129">
        <v>2041290.0</v>
      </c>
      <c r="B817" s="117">
        <v>44469.0</v>
      </c>
      <c r="C817" s="118" t="s">
        <v>43</v>
      </c>
      <c r="D817" s="29" t="s">
        <v>2253</v>
      </c>
      <c r="E817" s="30" t="s">
        <v>105</v>
      </c>
      <c r="F817" s="30" t="s">
        <v>316</v>
      </c>
      <c r="G817" s="31">
        <v>1902952.0</v>
      </c>
      <c r="H817" s="30" t="s">
        <v>2254</v>
      </c>
      <c r="I817" s="31"/>
      <c r="J817" s="30" t="s">
        <v>47</v>
      </c>
    </row>
    <row r="818">
      <c r="A818" s="129">
        <v>1628192.0</v>
      </c>
      <c r="B818" s="117">
        <v>44469.0</v>
      </c>
      <c r="C818" s="118" t="s">
        <v>43</v>
      </c>
      <c r="D818" s="29" t="s">
        <v>2255</v>
      </c>
      <c r="E818" s="30" t="s">
        <v>58</v>
      </c>
      <c r="F818" s="30" t="s">
        <v>86</v>
      </c>
      <c r="G818" s="31">
        <v>2017662.0</v>
      </c>
      <c r="H818" s="30" t="s">
        <v>2256</v>
      </c>
      <c r="I818" s="31"/>
      <c r="J818" s="30" t="s">
        <v>47</v>
      </c>
    </row>
    <row r="819">
      <c r="A819" s="129">
        <v>2522724.0</v>
      </c>
      <c r="B819" s="117">
        <v>44469.0</v>
      </c>
      <c r="C819" s="118" t="s">
        <v>43</v>
      </c>
      <c r="D819" s="29" t="s">
        <v>2257</v>
      </c>
      <c r="E819" s="30" t="s">
        <v>83</v>
      </c>
      <c r="F819" s="30" t="s">
        <v>94</v>
      </c>
      <c r="G819" s="31">
        <v>2739146.0</v>
      </c>
      <c r="H819" s="30" t="s">
        <v>2258</v>
      </c>
      <c r="I819" s="31"/>
      <c r="J819" s="30" t="s">
        <v>47</v>
      </c>
    </row>
    <row r="820">
      <c r="A820" s="129">
        <v>2700756.0</v>
      </c>
      <c r="B820" s="117">
        <v>44469.0</v>
      </c>
      <c r="C820" s="118" t="s">
        <v>43</v>
      </c>
      <c r="D820" s="29" t="s">
        <v>2259</v>
      </c>
      <c r="E820" s="30" t="s">
        <v>45</v>
      </c>
      <c r="F820" s="30" t="s">
        <v>90</v>
      </c>
      <c r="G820" s="31">
        <v>1606472.0</v>
      </c>
      <c r="H820" s="30" t="s">
        <v>2260</v>
      </c>
      <c r="I820" s="31"/>
      <c r="J820" s="30" t="s">
        <v>47</v>
      </c>
    </row>
    <row r="821">
      <c r="A821" s="83">
        <v>3597800.0</v>
      </c>
      <c r="B821" s="117">
        <v>44468.0</v>
      </c>
      <c r="C821" s="123" t="s">
        <v>206</v>
      </c>
      <c r="D821" s="29" t="s">
        <v>2142</v>
      </c>
      <c r="E821" s="30"/>
      <c r="F821" s="30"/>
      <c r="G821" s="31"/>
      <c r="H821" s="30"/>
      <c r="I821" s="31"/>
      <c r="J821" s="30"/>
    </row>
    <row r="822">
      <c r="A822" s="83">
        <v>3683196.0</v>
      </c>
      <c r="B822" s="117">
        <v>44468.0</v>
      </c>
      <c r="C822" s="123" t="s">
        <v>206</v>
      </c>
      <c r="D822" s="29" t="s">
        <v>2143</v>
      </c>
      <c r="E822" s="30"/>
      <c r="F822" s="30"/>
      <c r="G822" s="31"/>
      <c r="H822" s="30"/>
      <c r="I822" s="31"/>
      <c r="J822" s="30"/>
    </row>
    <row r="823">
      <c r="A823" s="83">
        <v>2380976.0</v>
      </c>
      <c r="B823" s="117">
        <v>44468.0</v>
      </c>
      <c r="C823" s="123" t="s">
        <v>206</v>
      </c>
      <c r="D823" s="29" t="s">
        <v>2144</v>
      </c>
      <c r="E823" s="30"/>
      <c r="F823" s="30"/>
      <c r="G823" s="31"/>
      <c r="H823" s="30"/>
      <c r="I823" s="31"/>
      <c r="J823" s="30"/>
    </row>
    <row r="824">
      <c r="A824" s="83">
        <v>3440448.0</v>
      </c>
      <c r="B824" s="117">
        <v>44468.0</v>
      </c>
      <c r="C824" s="123" t="s">
        <v>206</v>
      </c>
      <c r="D824" s="29" t="s">
        <v>2145</v>
      </c>
      <c r="E824" s="30"/>
      <c r="F824" s="30"/>
      <c r="G824" s="31"/>
      <c r="H824" s="30"/>
      <c r="I824" s="31"/>
      <c r="J824" s="30"/>
    </row>
    <row r="825">
      <c r="A825" s="83">
        <v>2419484.0</v>
      </c>
      <c r="B825" s="117">
        <v>44468.0</v>
      </c>
      <c r="C825" s="123" t="s">
        <v>206</v>
      </c>
      <c r="D825" s="29" t="s">
        <v>2146</v>
      </c>
      <c r="E825" s="30"/>
      <c r="F825" s="30"/>
      <c r="G825" s="31"/>
      <c r="H825" s="30"/>
      <c r="I825" s="31"/>
      <c r="J825" s="30"/>
    </row>
    <row r="826">
      <c r="A826" s="83">
        <v>2996962.0</v>
      </c>
      <c r="B826" s="117">
        <v>44468.0</v>
      </c>
      <c r="C826" s="123" t="s">
        <v>206</v>
      </c>
      <c r="D826" s="29" t="s">
        <v>2147</v>
      </c>
      <c r="E826" s="30"/>
      <c r="F826" s="30"/>
      <c r="G826" s="31"/>
      <c r="H826" s="30"/>
      <c r="I826" s="31"/>
      <c r="J826" s="30"/>
    </row>
    <row r="827">
      <c r="A827" s="132">
        <v>274816.0</v>
      </c>
      <c r="B827" s="133">
        <v>44500.0</v>
      </c>
      <c r="C827" s="134" t="s">
        <v>37</v>
      </c>
      <c r="D827" s="29" t="s">
        <v>2261</v>
      </c>
      <c r="E827" s="30" t="s">
        <v>122</v>
      </c>
      <c r="F827" s="30" t="s">
        <v>123</v>
      </c>
      <c r="G827" s="31">
        <v>673574.0</v>
      </c>
      <c r="H827" s="30" t="s">
        <v>2262</v>
      </c>
      <c r="I827" s="31">
        <v>672754.0</v>
      </c>
      <c r="J827" s="30" t="s">
        <v>2263</v>
      </c>
    </row>
    <row r="828">
      <c r="A828" s="132">
        <v>949868.0</v>
      </c>
      <c r="B828" s="133">
        <v>44500.0</v>
      </c>
      <c r="C828" s="134" t="s">
        <v>70</v>
      </c>
      <c r="D828" s="29" t="s">
        <v>2264</v>
      </c>
      <c r="E828" s="30" t="s">
        <v>39</v>
      </c>
      <c r="F828" s="30" t="s">
        <v>140</v>
      </c>
      <c r="G828" s="31">
        <v>1237204.0</v>
      </c>
      <c r="H828" s="30" t="s">
        <v>2265</v>
      </c>
      <c r="I828" s="31">
        <v>2201832.0</v>
      </c>
      <c r="J828" s="30" t="s">
        <v>2266</v>
      </c>
    </row>
    <row r="829">
      <c r="A829" s="132">
        <v>2966136.0</v>
      </c>
      <c r="B829" s="133">
        <v>44500.0</v>
      </c>
      <c r="C829" s="134" t="s">
        <v>43</v>
      </c>
      <c r="D829" s="29" t="s">
        <v>2267</v>
      </c>
      <c r="E829" s="30" t="s">
        <v>219</v>
      </c>
      <c r="F829" s="30" t="s">
        <v>220</v>
      </c>
      <c r="G829" s="31">
        <v>3412302.0</v>
      </c>
      <c r="H829" s="30" t="s">
        <v>2268</v>
      </c>
      <c r="I829" s="31"/>
      <c r="J829" s="30" t="s">
        <v>47</v>
      </c>
    </row>
    <row r="830">
      <c r="A830" s="132">
        <v>864768.0</v>
      </c>
      <c r="B830" s="133">
        <v>44500.0</v>
      </c>
      <c r="C830" s="134" t="s">
        <v>43</v>
      </c>
      <c r="D830" s="29" t="s">
        <v>2269</v>
      </c>
      <c r="E830" s="30" t="s">
        <v>58</v>
      </c>
      <c r="F830" s="30" t="s">
        <v>59</v>
      </c>
      <c r="G830" s="31">
        <v>1947948.0</v>
      </c>
      <c r="H830" s="30" t="s">
        <v>2270</v>
      </c>
      <c r="I830" s="31">
        <v>2311268.0</v>
      </c>
      <c r="J830" s="30" t="s">
        <v>2271</v>
      </c>
    </row>
    <row r="831">
      <c r="A831" s="132">
        <v>405440.0</v>
      </c>
      <c r="B831" s="133">
        <v>44500.0</v>
      </c>
      <c r="C831" s="134" t="s">
        <v>37</v>
      </c>
      <c r="D831" s="29" t="s">
        <v>2272</v>
      </c>
      <c r="E831" s="30" t="s">
        <v>1589</v>
      </c>
      <c r="F831" s="30" t="s">
        <v>2273</v>
      </c>
      <c r="G831" s="31"/>
      <c r="H831" s="30" t="s">
        <v>47</v>
      </c>
      <c r="I831" s="31"/>
      <c r="J831" s="30" t="s">
        <v>47</v>
      </c>
    </row>
    <row r="832">
      <c r="A832" s="132">
        <v>1501104.0</v>
      </c>
      <c r="B832" s="133">
        <v>44500.0</v>
      </c>
      <c r="C832" s="134" t="s">
        <v>37</v>
      </c>
      <c r="D832" s="29" t="s">
        <v>2274</v>
      </c>
      <c r="E832" s="30" t="s">
        <v>39</v>
      </c>
      <c r="F832" s="30" t="s">
        <v>54</v>
      </c>
      <c r="G832" s="31">
        <v>1072420.0</v>
      </c>
      <c r="H832" s="30" t="s">
        <v>2275</v>
      </c>
      <c r="I832" s="31">
        <v>2508942.0</v>
      </c>
      <c r="J832" s="30" t="s">
        <v>1535</v>
      </c>
    </row>
    <row r="833">
      <c r="A833" s="132">
        <v>2771350.0</v>
      </c>
      <c r="B833" s="133">
        <v>44500.0</v>
      </c>
      <c r="C833" s="134" t="s">
        <v>37</v>
      </c>
      <c r="D833" s="29" t="s">
        <v>532</v>
      </c>
      <c r="E833" s="30" t="s">
        <v>58</v>
      </c>
      <c r="F833" s="30" t="s">
        <v>59</v>
      </c>
      <c r="G833" s="31">
        <v>684420.0</v>
      </c>
      <c r="H833" s="30" t="s">
        <v>2276</v>
      </c>
      <c r="I833" s="31">
        <v>3633804.0</v>
      </c>
      <c r="J833" s="30" t="s">
        <v>2277</v>
      </c>
    </row>
    <row r="834">
      <c r="A834" s="132">
        <v>2851942.0</v>
      </c>
      <c r="B834" s="133">
        <v>44500.0</v>
      </c>
      <c r="C834" s="134" t="s">
        <v>37</v>
      </c>
      <c r="D834" s="29" t="s">
        <v>2278</v>
      </c>
      <c r="E834" s="30" t="s">
        <v>39</v>
      </c>
      <c r="F834" s="30" t="s">
        <v>297</v>
      </c>
      <c r="G834" s="31">
        <v>762616.0</v>
      </c>
      <c r="H834" s="30" t="s">
        <v>2279</v>
      </c>
      <c r="I834" s="31">
        <v>838406.0</v>
      </c>
      <c r="J834" s="30" t="s">
        <v>2280</v>
      </c>
    </row>
    <row r="835">
      <c r="A835" s="132">
        <v>1650610.0</v>
      </c>
      <c r="B835" s="133">
        <v>44500.0</v>
      </c>
      <c r="C835" s="134" t="s">
        <v>37</v>
      </c>
      <c r="D835" s="29" t="s">
        <v>1903</v>
      </c>
      <c r="E835" s="30" t="s">
        <v>39</v>
      </c>
      <c r="F835" s="30" t="s">
        <v>140</v>
      </c>
      <c r="G835" s="31">
        <v>2508942.0</v>
      </c>
      <c r="H835" s="30" t="s">
        <v>1535</v>
      </c>
      <c r="I835" s="31">
        <v>1719174.0</v>
      </c>
      <c r="J835" s="30" t="s">
        <v>2281</v>
      </c>
    </row>
    <row r="836">
      <c r="A836" s="132">
        <v>3138058.0</v>
      </c>
      <c r="B836" s="133">
        <v>44500.0</v>
      </c>
      <c r="C836" s="134" t="s">
        <v>37</v>
      </c>
      <c r="D836" s="29" t="s">
        <v>2282</v>
      </c>
      <c r="E836" s="30" t="s">
        <v>39</v>
      </c>
      <c r="F836" s="30" t="s">
        <v>54</v>
      </c>
      <c r="G836" s="31">
        <v>1879018.0</v>
      </c>
      <c r="H836" s="30" t="s">
        <v>2283</v>
      </c>
      <c r="I836" s="31"/>
      <c r="J836" s="30" t="s">
        <v>47</v>
      </c>
    </row>
    <row r="837">
      <c r="A837" s="132">
        <v>3228865.0</v>
      </c>
      <c r="B837" s="133">
        <v>44500.0</v>
      </c>
      <c r="C837" s="134" t="s">
        <v>37</v>
      </c>
      <c r="D837" s="29" t="s">
        <v>2284</v>
      </c>
      <c r="E837" s="30" t="s">
        <v>39</v>
      </c>
      <c r="F837" s="30" t="s">
        <v>140</v>
      </c>
      <c r="G837" s="31">
        <v>1349576.0</v>
      </c>
      <c r="H837" s="30" t="s">
        <v>2285</v>
      </c>
      <c r="I837" s="31"/>
      <c r="J837" s="30" t="s">
        <v>47</v>
      </c>
    </row>
    <row r="838">
      <c r="A838" s="132">
        <v>3494200.0</v>
      </c>
      <c r="B838" s="133">
        <v>44500.0</v>
      </c>
      <c r="C838" s="134" t="s">
        <v>37</v>
      </c>
      <c r="D838" s="29" t="s">
        <v>2286</v>
      </c>
      <c r="E838" s="30" t="s">
        <v>45</v>
      </c>
      <c r="F838" s="30" t="s">
        <v>90</v>
      </c>
      <c r="G838" s="31">
        <v>3336462.0</v>
      </c>
      <c r="H838" s="30" t="s">
        <v>2287</v>
      </c>
      <c r="I838" s="31">
        <v>3320248.0</v>
      </c>
      <c r="J838" s="30" t="s">
        <v>2288</v>
      </c>
    </row>
    <row r="839">
      <c r="A839" s="132">
        <v>2666930.0</v>
      </c>
      <c r="B839" s="133">
        <v>44500.0</v>
      </c>
      <c r="C839" s="134" t="s">
        <v>170</v>
      </c>
      <c r="D839" s="29" t="s">
        <v>2289</v>
      </c>
      <c r="E839" s="30" t="s">
        <v>39</v>
      </c>
      <c r="F839" s="30" t="s">
        <v>140</v>
      </c>
      <c r="G839" s="31"/>
      <c r="H839" s="30" t="s">
        <v>47</v>
      </c>
      <c r="I839" s="31"/>
      <c r="J839" s="30" t="s">
        <v>47</v>
      </c>
    </row>
    <row r="840">
      <c r="A840" s="132">
        <v>1708482.0</v>
      </c>
      <c r="B840" s="133">
        <v>44500.0</v>
      </c>
      <c r="C840" s="134" t="s">
        <v>37</v>
      </c>
      <c r="D840" s="29" t="s">
        <v>2290</v>
      </c>
      <c r="E840" s="30" t="s">
        <v>58</v>
      </c>
      <c r="F840" s="30" t="s">
        <v>161</v>
      </c>
      <c r="G840" s="31">
        <v>238934.0</v>
      </c>
      <c r="H840" s="30" t="s">
        <v>2291</v>
      </c>
      <c r="I840" s="31"/>
      <c r="J840" s="30" t="s">
        <v>47</v>
      </c>
    </row>
    <row r="841">
      <c r="A841" s="132">
        <v>2082504.0</v>
      </c>
      <c r="B841" s="133">
        <v>44500.0</v>
      </c>
      <c r="C841" s="134" t="s">
        <v>37</v>
      </c>
      <c r="D841" s="29" t="s">
        <v>2292</v>
      </c>
      <c r="E841" s="30" t="s">
        <v>58</v>
      </c>
      <c r="F841" s="30" t="s">
        <v>161</v>
      </c>
      <c r="G841" s="31">
        <v>238934.0</v>
      </c>
      <c r="H841" s="30" t="s">
        <v>2291</v>
      </c>
      <c r="I841" s="31"/>
      <c r="J841" s="30" t="s">
        <v>47</v>
      </c>
    </row>
    <row r="842">
      <c r="A842" s="132">
        <v>1300540.0</v>
      </c>
      <c r="B842" s="133">
        <v>44500.0</v>
      </c>
      <c r="C842" s="134" t="s">
        <v>43</v>
      </c>
      <c r="D842" s="29" t="s">
        <v>2293</v>
      </c>
      <c r="E842" s="30" t="s">
        <v>79</v>
      </c>
      <c r="F842" s="30" t="s">
        <v>184</v>
      </c>
      <c r="G842" s="31"/>
      <c r="H842" s="30" t="s">
        <v>47</v>
      </c>
      <c r="I842" s="31"/>
      <c r="J842" s="30" t="s">
        <v>47</v>
      </c>
    </row>
    <row r="843">
      <c r="A843" s="132">
        <v>3667146.0</v>
      </c>
      <c r="B843" s="133">
        <v>44500.0</v>
      </c>
      <c r="C843" s="134" t="s">
        <v>37</v>
      </c>
      <c r="D843" s="29" t="s">
        <v>2294</v>
      </c>
      <c r="E843" s="30" t="s">
        <v>45</v>
      </c>
      <c r="F843" s="30" t="s">
        <v>90</v>
      </c>
      <c r="G843" s="31"/>
      <c r="H843" s="30" t="s">
        <v>47</v>
      </c>
      <c r="I843" s="31"/>
      <c r="J843" s="30" t="s">
        <v>47</v>
      </c>
    </row>
    <row r="844">
      <c r="A844" s="132">
        <v>2992804.0</v>
      </c>
      <c r="B844" s="133">
        <v>44500.0</v>
      </c>
      <c r="C844" s="134" t="s">
        <v>70</v>
      </c>
      <c r="D844" s="29" t="s">
        <v>2295</v>
      </c>
      <c r="E844" s="30" t="s">
        <v>122</v>
      </c>
      <c r="F844" s="30" t="s">
        <v>127</v>
      </c>
      <c r="G844" s="31"/>
      <c r="H844" s="30" t="s">
        <v>47</v>
      </c>
      <c r="I844" s="31"/>
      <c r="J844" s="30" t="s">
        <v>47</v>
      </c>
    </row>
    <row r="845">
      <c r="A845" s="132">
        <v>1247234.0</v>
      </c>
      <c r="B845" s="133">
        <v>44500.0</v>
      </c>
      <c r="C845" s="134" t="s">
        <v>142</v>
      </c>
      <c r="D845" s="29" t="s">
        <v>2296</v>
      </c>
      <c r="E845" s="30" t="s">
        <v>39</v>
      </c>
      <c r="F845" s="30" t="s">
        <v>140</v>
      </c>
      <c r="G845" s="31"/>
      <c r="H845" s="30" t="s">
        <v>47</v>
      </c>
      <c r="I845" s="31"/>
      <c r="J845" s="30" t="s">
        <v>47</v>
      </c>
    </row>
    <row r="846">
      <c r="A846" s="132">
        <v>1470462.0</v>
      </c>
      <c r="B846" s="133">
        <v>44500.0</v>
      </c>
      <c r="C846" s="134" t="s">
        <v>37</v>
      </c>
      <c r="D846" s="29" t="s">
        <v>2297</v>
      </c>
      <c r="E846" s="30" t="s">
        <v>39</v>
      </c>
      <c r="F846" s="30" t="s">
        <v>241</v>
      </c>
      <c r="G846" s="31">
        <v>258316.0</v>
      </c>
      <c r="H846" s="30" t="s">
        <v>1368</v>
      </c>
      <c r="I846" s="31"/>
      <c r="J846" s="30" t="s">
        <v>47</v>
      </c>
    </row>
    <row r="847">
      <c r="A847" s="132">
        <v>1455848.0</v>
      </c>
      <c r="B847" s="133">
        <v>44500.0</v>
      </c>
      <c r="C847" s="134" t="s">
        <v>37</v>
      </c>
      <c r="D847" s="29" t="s">
        <v>2298</v>
      </c>
      <c r="E847" s="30" t="s">
        <v>39</v>
      </c>
      <c r="F847" s="30" t="s">
        <v>214</v>
      </c>
      <c r="G847" s="31">
        <v>1279620.0</v>
      </c>
      <c r="H847" s="30" t="s">
        <v>2299</v>
      </c>
      <c r="I847" s="31"/>
      <c r="J847" s="30" t="s">
        <v>47</v>
      </c>
    </row>
    <row r="848">
      <c r="A848" s="132">
        <v>3567325.0</v>
      </c>
      <c r="B848" s="133">
        <v>44500.0</v>
      </c>
      <c r="C848" s="134" t="s">
        <v>142</v>
      </c>
      <c r="D848" s="29" t="s">
        <v>2300</v>
      </c>
      <c r="E848" s="30" t="s">
        <v>39</v>
      </c>
      <c r="F848" s="30" t="s">
        <v>140</v>
      </c>
      <c r="G848" s="31"/>
      <c r="H848" s="30" t="s">
        <v>47</v>
      </c>
      <c r="I848" s="31"/>
      <c r="J848" s="30" t="s">
        <v>47</v>
      </c>
    </row>
    <row r="849">
      <c r="A849" s="132">
        <v>2846104.0</v>
      </c>
      <c r="B849" s="133">
        <v>44500.0</v>
      </c>
      <c r="C849" s="134" t="s">
        <v>142</v>
      </c>
      <c r="D849" s="29" t="s">
        <v>2301</v>
      </c>
      <c r="E849" s="30" t="s">
        <v>39</v>
      </c>
      <c r="F849" s="30" t="s">
        <v>140</v>
      </c>
      <c r="G849" s="31"/>
      <c r="H849" s="30" t="s">
        <v>47</v>
      </c>
      <c r="I849" s="31"/>
      <c r="J849" s="30" t="s">
        <v>47</v>
      </c>
    </row>
    <row r="850">
      <c r="A850" s="132">
        <v>2031410.0</v>
      </c>
      <c r="B850" s="133">
        <v>44500.0</v>
      </c>
      <c r="C850" s="134" t="s">
        <v>170</v>
      </c>
      <c r="D850" s="29" t="s">
        <v>2302</v>
      </c>
      <c r="E850" s="30" t="s">
        <v>58</v>
      </c>
      <c r="F850" s="30" t="s">
        <v>59</v>
      </c>
      <c r="G850" s="31">
        <v>2343838.0</v>
      </c>
      <c r="H850" s="30" t="s">
        <v>2303</v>
      </c>
      <c r="I850" s="31"/>
      <c r="J850" s="30" t="s">
        <v>47</v>
      </c>
    </row>
    <row r="851">
      <c r="A851" s="132">
        <v>2511024.0</v>
      </c>
      <c r="B851" s="133">
        <v>44500.0</v>
      </c>
      <c r="C851" s="134" t="s">
        <v>170</v>
      </c>
      <c r="D851" s="29" t="s">
        <v>2304</v>
      </c>
      <c r="E851" s="30" t="s">
        <v>58</v>
      </c>
      <c r="F851" s="30" t="s">
        <v>59</v>
      </c>
      <c r="G851" s="31">
        <v>2449224.0</v>
      </c>
      <c r="H851" s="30" t="s">
        <v>2305</v>
      </c>
      <c r="I851" s="31"/>
      <c r="J851" s="30" t="s">
        <v>47</v>
      </c>
    </row>
    <row r="852">
      <c r="A852" s="132">
        <v>578328.0</v>
      </c>
      <c r="B852" s="133">
        <v>44500.0</v>
      </c>
      <c r="C852" s="134" t="s">
        <v>37</v>
      </c>
      <c r="D852" s="29" t="s">
        <v>2306</v>
      </c>
      <c r="E852" s="30" t="s">
        <v>39</v>
      </c>
      <c r="F852" s="30" t="s">
        <v>297</v>
      </c>
      <c r="G852" s="31"/>
      <c r="H852" s="30" t="s">
        <v>47</v>
      </c>
      <c r="I852" s="31"/>
      <c r="J852" s="30" t="s">
        <v>47</v>
      </c>
    </row>
    <row r="853">
      <c r="A853" s="132">
        <v>741386.0</v>
      </c>
      <c r="B853" s="133">
        <v>44500.0</v>
      </c>
      <c r="C853" s="134" t="s">
        <v>37</v>
      </c>
      <c r="D853" s="29" t="s">
        <v>2307</v>
      </c>
      <c r="E853" s="30" t="s">
        <v>58</v>
      </c>
      <c r="F853" s="30" t="s">
        <v>161</v>
      </c>
      <c r="G853" s="31">
        <v>1462428.0</v>
      </c>
      <c r="H853" s="30" t="s">
        <v>1358</v>
      </c>
      <c r="I853" s="31"/>
      <c r="J853" s="30" t="s">
        <v>47</v>
      </c>
    </row>
    <row r="854">
      <c r="A854" s="132">
        <v>1078520.0</v>
      </c>
      <c r="B854" s="133">
        <v>44500.0</v>
      </c>
      <c r="C854" s="134" t="s">
        <v>37</v>
      </c>
      <c r="D854" s="29" t="s">
        <v>2308</v>
      </c>
      <c r="E854" s="30" t="s">
        <v>79</v>
      </c>
      <c r="F854" s="30" t="s">
        <v>184</v>
      </c>
      <c r="G854" s="31"/>
      <c r="H854" s="30" t="s">
        <v>47</v>
      </c>
      <c r="I854" s="31"/>
      <c r="J854" s="30" t="s">
        <v>47</v>
      </c>
    </row>
    <row r="855">
      <c r="A855" s="132">
        <v>1243400.0</v>
      </c>
      <c r="B855" s="133">
        <v>44500.0</v>
      </c>
      <c r="C855" s="134" t="s">
        <v>142</v>
      </c>
      <c r="D855" s="29" t="s">
        <v>2309</v>
      </c>
      <c r="E855" s="30" t="s">
        <v>122</v>
      </c>
      <c r="F855" s="30" t="s">
        <v>127</v>
      </c>
      <c r="G855" s="31"/>
      <c r="H855" s="30" t="s">
        <v>47</v>
      </c>
      <c r="I855" s="31"/>
      <c r="J855" s="30" t="s">
        <v>47</v>
      </c>
    </row>
    <row r="856">
      <c r="A856" s="132">
        <v>1284216.0</v>
      </c>
      <c r="B856" s="133">
        <v>44500.0</v>
      </c>
      <c r="C856" s="134" t="s">
        <v>70</v>
      </c>
      <c r="D856" s="29" t="s">
        <v>2310</v>
      </c>
      <c r="E856" s="30" t="s">
        <v>39</v>
      </c>
      <c r="F856" s="30" t="s">
        <v>140</v>
      </c>
      <c r="G856" s="31">
        <v>1712652.0</v>
      </c>
      <c r="H856" s="30" t="s">
        <v>2311</v>
      </c>
      <c r="I856" s="31"/>
      <c r="J856" s="30" t="s">
        <v>47</v>
      </c>
    </row>
    <row r="857">
      <c r="A857" s="132">
        <v>1369820.0</v>
      </c>
      <c r="B857" s="133">
        <v>44500.0</v>
      </c>
      <c r="C857" s="134" t="s">
        <v>37</v>
      </c>
      <c r="D857" s="29" t="s">
        <v>2312</v>
      </c>
      <c r="E857" s="30" t="s">
        <v>83</v>
      </c>
      <c r="F857" s="30" t="s">
        <v>285</v>
      </c>
      <c r="G857" s="31">
        <v>914296.0</v>
      </c>
      <c r="H857" s="30" t="s">
        <v>1977</v>
      </c>
      <c r="I857" s="31">
        <v>1931752.0</v>
      </c>
      <c r="J857" s="30" t="s">
        <v>2313</v>
      </c>
    </row>
    <row r="858">
      <c r="A858" s="132">
        <v>1558668.0</v>
      </c>
      <c r="B858" s="133">
        <v>44500.0</v>
      </c>
      <c r="C858" s="134" t="s">
        <v>37</v>
      </c>
      <c r="D858" s="29" t="s">
        <v>2314</v>
      </c>
      <c r="E858" s="30" t="s">
        <v>63</v>
      </c>
      <c r="F858" s="30" t="s">
        <v>64</v>
      </c>
      <c r="G858" s="31"/>
      <c r="H858" s="30" t="s">
        <v>47</v>
      </c>
      <c r="I858" s="31"/>
      <c r="J858" s="30" t="s">
        <v>47</v>
      </c>
    </row>
    <row r="859">
      <c r="A859" s="132">
        <v>1692020.0</v>
      </c>
      <c r="B859" s="133">
        <v>44500.0</v>
      </c>
      <c r="C859" s="134" t="s">
        <v>37</v>
      </c>
      <c r="D859" s="29" t="s">
        <v>2315</v>
      </c>
      <c r="E859" s="30" t="s">
        <v>83</v>
      </c>
      <c r="F859" s="30" t="s">
        <v>94</v>
      </c>
      <c r="G859" s="31">
        <v>1575836.0</v>
      </c>
      <c r="H859" s="30" t="s">
        <v>1512</v>
      </c>
      <c r="I859" s="31">
        <v>1466432.0</v>
      </c>
      <c r="J859" s="30" t="s">
        <v>2316</v>
      </c>
    </row>
    <row r="860">
      <c r="A860" s="132">
        <v>2445446.0</v>
      </c>
      <c r="B860" s="133">
        <v>44500.0</v>
      </c>
      <c r="C860" s="134" t="s">
        <v>43</v>
      </c>
      <c r="D860" s="29" t="s">
        <v>2317</v>
      </c>
      <c r="E860" s="30" t="s">
        <v>83</v>
      </c>
      <c r="F860" s="30" t="s">
        <v>94</v>
      </c>
      <c r="G860" s="31">
        <v>1723362.0</v>
      </c>
      <c r="H860" s="30" t="s">
        <v>1713</v>
      </c>
      <c r="I860" s="31">
        <v>2739146.0</v>
      </c>
      <c r="J860" s="30" t="s">
        <v>2258</v>
      </c>
    </row>
    <row r="861">
      <c r="A861" s="132">
        <v>2801274.0</v>
      </c>
      <c r="B861" s="133">
        <v>44500.0</v>
      </c>
      <c r="C861" s="134" t="s">
        <v>187</v>
      </c>
      <c r="D861" s="29" t="s">
        <v>1403</v>
      </c>
      <c r="E861" s="30" t="s">
        <v>122</v>
      </c>
      <c r="F861" s="30" t="s">
        <v>127</v>
      </c>
      <c r="G861" s="31"/>
      <c r="H861" s="30" t="s">
        <v>47</v>
      </c>
      <c r="I861" s="31"/>
      <c r="J861" s="30" t="s">
        <v>47</v>
      </c>
    </row>
    <row r="862">
      <c r="A862" s="132">
        <v>2775928.0</v>
      </c>
      <c r="B862" s="133">
        <v>44500.0</v>
      </c>
      <c r="C862" s="134" t="s">
        <v>142</v>
      </c>
      <c r="D862" s="29" t="s">
        <v>2318</v>
      </c>
      <c r="E862" s="30" t="s">
        <v>83</v>
      </c>
      <c r="F862" s="30" t="s">
        <v>94</v>
      </c>
      <c r="G862" s="31">
        <v>1065450.0</v>
      </c>
      <c r="H862" s="30" t="s">
        <v>2319</v>
      </c>
      <c r="I862" s="31"/>
      <c r="J862" s="30" t="s">
        <v>47</v>
      </c>
    </row>
    <row r="863">
      <c r="A863" s="132">
        <v>3276416.0</v>
      </c>
      <c r="B863" s="133">
        <v>44500.0</v>
      </c>
      <c r="C863" s="134" t="s">
        <v>37</v>
      </c>
      <c r="D863" s="29" t="s">
        <v>2320</v>
      </c>
      <c r="E863" s="30" t="s">
        <v>39</v>
      </c>
      <c r="F863" s="30" t="s">
        <v>50</v>
      </c>
      <c r="G863" s="31">
        <v>3212235.0</v>
      </c>
      <c r="H863" s="30" t="s">
        <v>2321</v>
      </c>
      <c r="I863" s="31">
        <v>3373278.0</v>
      </c>
      <c r="J863" s="30" t="s">
        <v>2322</v>
      </c>
    </row>
    <row r="864">
      <c r="A864" s="132">
        <v>3515418.0</v>
      </c>
      <c r="B864" s="133">
        <v>44500.0</v>
      </c>
      <c r="C864" s="134" t="s">
        <v>37</v>
      </c>
      <c r="D864" s="29" t="s">
        <v>2323</v>
      </c>
      <c r="E864" s="30" t="s">
        <v>39</v>
      </c>
      <c r="F864" s="30" t="s">
        <v>113</v>
      </c>
      <c r="G864" s="31">
        <v>1861396.0</v>
      </c>
      <c r="H864" s="30" t="s">
        <v>2324</v>
      </c>
      <c r="I864" s="31">
        <v>2383216.0</v>
      </c>
      <c r="J864" s="30" t="s">
        <v>2325</v>
      </c>
    </row>
    <row r="865">
      <c r="A865" s="132">
        <v>3564921.0</v>
      </c>
      <c r="B865" s="133">
        <v>44500.0</v>
      </c>
      <c r="C865" s="134" t="s">
        <v>37</v>
      </c>
      <c r="D865" s="29" t="s">
        <v>2326</v>
      </c>
      <c r="E865" s="30" t="s">
        <v>144</v>
      </c>
      <c r="F865" s="30" t="s">
        <v>311</v>
      </c>
      <c r="G865" s="31"/>
      <c r="H865" s="30" t="s">
        <v>47</v>
      </c>
      <c r="I865" s="31"/>
      <c r="J865" s="30" t="s">
        <v>47</v>
      </c>
    </row>
    <row r="866">
      <c r="A866" s="132">
        <v>49779.0</v>
      </c>
      <c r="B866" s="133">
        <v>44500.0</v>
      </c>
      <c r="C866" s="134" t="s">
        <v>37</v>
      </c>
      <c r="D866" s="29" t="s">
        <v>2327</v>
      </c>
      <c r="E866" s="30" t="s">
        <v>189</v>
      </c>
      <c r="F866" s="30" t="s">
        <v>300</v>
      </c>
      <c r="G866" s="31">
        <v>726230.0</v>
      </c>
      <c r="H866" s="30" t="s">
        <v>2328</v>
      </c>
      <c r="I866" s="31"/>
      <c r="J866" s="30" t="s">
        <v>47</v>
      </c>
    </row>
    <row r="867">
      <c r="A867" s="132">
        <v>65830.0</v>
      </c>
      <c r="B867" s="133">
        <v>44500.0</v>
      </c>
      <c r="C867" s="134" t="s">
        <v>37</v>
      </c>
      <c r="D867" s="29" t="s">
        <v>2329</v>
      </c>
      <c r="E867" s="30" t="s">
        <v>39</v>
      </c>
      <c r="F867" s="30" t="s">
        <v>140</v>
      </c>
      <c r="G867" s="31">
        <v>1535678.0</v>
      </c>
      <c r="H867" s="30" t="s">
        <v>2330</v>
      </c>
      <c r="I867" s="31">
        <v>684824.0</v>
      </c>
      <c r="J867" s="30" t="s">
        <v>2331</v>
      </c>
    </row>
    <row r="868">
      <c r="A868" s="132">
        <v>280806.0</v>
      </c>
      <c r="B868" s="133">
        <v>44500.0</v>
      </c>
      <c r="C868" s="134" t="s">
        <v>37</v>
      </c>
      <c r="D868" s="29" t="s">
        <v>2332</v>
      </c>
      <c r="E868" s="30" t="s">
        <v>219</v>
      </c>
      <c r="F868" s="30" t="s">
        <v>220</v>
      </c>
      <c r="G868" s="31">
        <v>1137854.0</v>
      </c>
      <c r="H868" s="30" t="s">
        <v>2333</v>
      </c>
      <c r="I868" s="31"/>
      <c r="J868" s="30" t="s">
        <v>47</v>
      </c>
    </row>
    <row r="869">
      <c r="A869" s="132">
        <v>381850.0</v>
      </c>
      <c r="B869" s="133">
        <v>44500.0</v>
      </c>
      <c r="C869" s="134" t="s">
        <v>37</v>
      </c>
      <c r="D869" s="29" t="s">
        <v>134</v>
      </c>
      <c r="E869" s="30" t="s">
        <v>105</v>
      </c>
      <c r="F869" s="30" t="s">
        <v>106</v>
      </c>
      <c r="G869" s="31">
        <v>371074.0</v>
      </c>
      <c r="H869" s="30" t="s">
        <v>2334</v>
      </c>
      <c r="I869" s="31">
        <v>1855830.0</v>
      </c>
      <c r="J869" s="30" t="s">
        <v>2335</v>
      </c>
    </row>
    <row r="870">
      <c r="A870" s="132">
        <v>482996.0</v>
      </c>
      <c r="B870" s="133">
        <v>44500.0</v>
      </c>
      <c r="C870" s="134" t="s">
        <v>37</v>
      </c>
      <c r="D870" s="29" t="s">
        <v>2336</v>
      </c>
      <c r="E870" s="30" t="s">
        <v>58</v>
      </c>
      <c r="F870" s="30" t="s">
        <v>167</v>
      </c>
      <c r="G870" s="31">
        <v>833782.0</v>
      </c>
      <c r="H870" s="30" t="s">
        <v>2337</v>
      </c>
      <c r="I870" s="31">
        <v>3713134.0</v>
      </c>
      <c r="J870" s="30" t="s">
        <v>2338</v>
      </c>
    </row>
    <row r="871">
      <c r="A871" s="132">
        <v>792660.0</v>
      </c>
      <c r="B871" s="133">
        <v>44500.0</v>
      </c>
      <c r="C871" s="134" t="s">
        <v>142</v>
      </c>
      <c r="D871" s="29" t="s">
        <v>2339</v>
      </c>
      <c r="E871" s="30" t="s">
        <v>122</v>
      </c>
      <c r="F871" s="30" t="s">
        <v>271</v>
      </c>
      <c r="G871" s="31">
        <v>1065502.0</v>
      </c>
      <c r="H871" s="30" t="s">
        <v>2340</v>
      </c>
      <c r="I871" s="31"/>
      <c r="J871" s="30" t="s">
        <v>47</v>
      </c>
    </row>
    <row r="872">
      <c r="A872" s="132">
        <v>931628.0</v>
      </c>
      <c r="B872" s="133">
        <v>44500.0</v>
      </c>
      <c r="C872" s="134" t="s">
        <v>37</v>
      </c>
      <c r="D872" s="29" t="s">
        <v>2341</v>
      </c>
      <c r="E872" s="30" t="s">
        <v>79</v>
      </c>
      <c r="F872" s="30" t="s">
        <v>184</v>
      </c>
      <c r="G872" s="31"/>
      <c r="H872" s="30" t="s">
        <v>47</v>
      </c>
      <c r="I872" s="31"/>
      <c r="J872" s="30" t="s">
        <v>47</v>
      </c>
    </row>
    <row r="873">
      <c r="A873" s="132">
        <v>1193330.0</v>
      </c>
      <c r="B873" s="133">
        <v>44500.0</v>
      </c>
      <c r="C873" s="134" t="s">
        <v>37</v>
      </c>
      <c r="D873" s="29" t="s">
        <v>2342</v>
      </c>
      <c r="E873" s="30" t="s">
        <v>39</v>
      </c>
      <c r="F873" s="30" t="s">
        <v>214</v>
      </c>
      <c r="G873" s="31">
        <v>970894.0</v>
      </c>
      <c r="H873" s="30" t="s">
        <v>2343</v>
      </c>
      <c r="I873" s="31"/>
      <c r="J873" s="30" t="s">
        <v>47</v>
      </c>
    </row>
    <row r="874">
      <c r="A874" s="132">
        <v>1280880.0</v>
      </c>
      <c r="B874" s="133">
        <v>44500.0</v>
      </c>
      <c r="C874" s="134" t="s">
        <v>142</v>
      </c>
      <c r="D874" s="29" t="s">
        <v>2344</v>
      </c>
      <c r="E874" s="30" t="s">
        <v>58</v>
      </c>
      <c r="F874" s="30" t="s">
        <v>161</v>
      </c>
      <c r="G874" s="31">
        <v>1774922.0</v>
      </c>
      <c r="H874" s="30" t="s">
        <v>2345</v>
      </c>
      <c r="I874" s="31"/>
      <c r="J874" s="30" t="s">
        <v>47</v>
      </c>
    </row>
    <row r="875">
      <c r="A875" s="132">
        <v>1350012.0</v>
      </c>
      <c r="B875" s="133">
        <v>44500.0</v>
      </c>
      <c r="C875" s="134" t="s">
        <v>70</v>
      </c>
      <c r="D875" s="29" t="s">
        <v>2346</v>
      </c>
      <c r="E875" s="30" t="s">
        <v>45</v>
      </c>
      <c r="F875" s="30" t="s">
        <v>75</v>
      </c>
      <c r="G875" s="31"/>
      <c r="H875" s="30" t="s">
        <v>47</v>
      </c>
      <c r="I875" s="31"/>
      <c r="J875" s="30" t="s">
        <v>47</v>
      </c>
    </row>
    <row r="876">
      <c r="A876" s="132">
        <v>1472750.0</v>
      </c>
      <c r="B876" s="133">
        <v>44500.0</v>
      </c>
      <c r="C876" s="134" t="s">
        <v>142</v>
      </c>
      <c r="D876" s="29" t="s">
        <v>2347</v>
      </c>
      <c r="E876" s="30" t="s">
        <v>83</v>
      </c>
      <c r="F876" s="30" t="s">
        <v>330</v>
      </c>
      <c r="G876" s="31">
        <v>1935242.0</v>
      </c>
      <c r="H876" s="30" t="s">
        <v>2348</v>
      </c>
      <c r="I876" s="31"/>
      <c r="J876" s="30" t="s">
        <v>47</v>
      </c>
    </row>
    <row r="877">
      <c r="A877" s="132">
        <v>1536640.0</v>
      </c>
      <c r="B877" s="133">
        <v>44500.0</v>
      </c>
      <c r="C877" s="134" t="s">
        <v>70</v>
      </c>
      <c r="D877" s="29" t="s">
        <v>2349</v>
      </c>
      <c r="E877" s="30" t="s">
        <v>83</v>
      </c>
      <c r="F877" s="30" t="s">
        <v>330</v>
      </c>
      <c r="G877" s="31"/>
      <c r="H877" s="30" t="s">
        <v>47</v>
      </c>
      <c r="I877" s="31"/>
      <c r="J877" s="30" t="s">
        <v>47</v>
      </c>
    </row>
    <row r="878">
      <c r="A878" s="132">
        <v>1596850.0</v>
      </c>
      <c r="B878" s="133">
        <v>44500.0</v>
      </c>
      <c r="C878" s="134" t="s">
        <v>37</v>
      </c>
      <c r="D878" s="29" t="s">
        <v>2350</v>
      </c>
      <c r="E878" s="30" t="s">
        <v>39</v>
      </c>
      <c r="F878" s="30" t="s">
        <v>140</v>
      </c>
      <c r="G878" s="31"/>
      <c r="H878" s="30" t="s">
        <v>47</v>
      </c>
      <c r="I878" s="31"/>
      <c r="J878" s="30" t="s">
        <v>47</v>
      </c>
    </row>
    <row r="879">
      <c r="A879" s="132">
        <v>1609536.0</v>
      </c>
      <c r="B879" s="133">
        <v>44500.0</v>
      </c>
      <c r="C879" s="134" t="s">
        <v>142</v>
      </c>
      <c r="D879" s="29" t="s">
        <v>2351</v>
      </c>
      <c r="E879" s="30" t="s">
        <v>122</v>
      </c>
      <c r="F879" s="30" t="s">
        <v>271</v>
      </c>
      <c r="G879" s="31">
        <v>895066.0</v>
      </c>
      <c r="H879" s="30" t="s">
        <v>2352</v>
      </c>
      <c r="I879" s="31">
        <v>3683216.0</v>
      </c>
      <c r="J879" s="30" t="s">
        <v>2353</v>
      </c>
    </row>
    <row r="880">
      <c r="A880" s="132">
        <v>1774266.0</v>
      </c>
      <c r="B880" s="133">
        <v>44500.0</v>
      </c>
      <c r="C880" s="134" t="s">
        <v>142</v>
      </c>
      <c r="D880" s="29" t="s">
        <v>2354</v>
      </c>
      <c r="E880" s="30" t="s">
        <v>105</v>
      </c>
      <c r="F880" s="30" t="s">
        <v>198</v>
      </c>
      <c r="G880" s="31">
        <v>1759662.0</v>
      </c>
      <c r="H880" s="30" t="s">
        <v>2355</v>
      </c>
      <c r="I880" s="31">
        <v>760520.0</v>
      </c>
      <c r="J880" s="30" t="s">
        <v>2356</v>
      </c>
    </row>
    <row r="881">
      <c r="A881" s="132">
        <v>1877906.0</v>
      </c>
      <c r="B881" s="133">
        <v>44500.0</v>
      </c>
      <c r="C881" s="134" t="s">
        <v>37</v>
      </c>
      <c r="D881" s="29" t="s">
        <v>2357</v>
      </c>
      <c r="E881" s="30" t="s">
        <v>39</v>
      </c>
      <c r="F881" s="30" t="s">
        <v>214</v>
      </c>
      <c r="G881" s="31">
        <v>951618.0</v>
      </c>
      <c r="H881" s="30" t="s">
        <v>1500</v>
      </c>
      <c r="I881" s="31"/>
      <c r="J881" s="30" t="s">
        <v>47</v>
      </c>
    </row>
    <row r="882">
      <c r="A882" s="132">
        <v>2323290.0</v>
      </c>
      <c r="B882" s="133">
        <v>44500.0</v>
      </c>
      <c r="C882" s="134" t="s">
        <v>170</v>
      </c>
      <c r="D882" s="29" t="s">
        <v>2358</v>
      </c>
      <c r="E882" s="30" t="s">
        <v>39</v>
      </c>
      <c r="F882" s="30" t="s">
        <v>140</v>
      </c>
      <c r="G882" s="31"/>
      <c r="H882" s="30" t="s">
        <v>47</v>
      </c>
      <c r="I882" s="31"/>
      <c r="J882" s="30" t="s">
        <v>47</v>
      </c>
    </row>
    <row r="883">
      <c r="A883" s="132">
        <v>2844718.0</v>
      </c>
      <c r="B883" s="133">
        <v>44500.0</v>
      </c>
      <c r="C883" s="134" t="s">
        <v>37</v>
      </c>
      <c r="D883" s="29" t="s">
        <v>2359</v>
      </c>
      <c r="E883" s="30" t="s">
        <v>96</v>
      </c>
      <c r="F883" s="30" t="s">
        <v>2213</v>
      </c>
      <c r="G883" s="31"/>
      <c r="H883" s="30" t="s">
        <v>47</v>
      </c>
      <c r="I883" s="31"/>
      <c r="J883" s="30" t="s">
        <v>47</v>
      </c>
    </row>
    <row r="884">
      <c r="A884" s="132">
        <v>2290195.0</v>
      </c>
      <c r="B884" s="133">
        <v>44500.0</v>
      </c>
      <c r="C884" s="134" t="s">
        <v>37</v>
      </c>
      <c r="D884" s="29" t="s">
        <v>2360</v>
      </c>
      <c r="E884" s="30" t="s">
        <v>45</v>
      </c>
      <c r="F884" s="30" t="s">
        <v>90</v>
      </c>
      <c r="G884" s="31"/>
      <c r="H884" s="30" t="s">
        <v>47</v>
      </c>
      <c r="I884" s="31"/>
      <c r="J884" s="30" t="s">
        <v>47</v>
      </c>
    </row>
    <row r="885">
      <c r="A885" s="132">
        <v>2629780.0</v>
      </c>
      <c r="B885" s="133">
        <v>44500.0</v>
      </c>
      <c r="C885" s="134" t="s">
        <v>43</v>
      </c>
      <c r="D885" s="29" t="s">
        <v>1961</v>
      </c>
      <c r="E885" s="30" t="s">
        <v>189</v>
      </c>
      <c r="F885" s="30" t="s">
        <v>190</v>
      </c>
      <c r="G885" s="31">
        <v>1680824.0</v>
      </c>
      <c r="H885" s="30" t="s">
        <v>1962</v>
      </c>
      <c r="I885" s="31">
        <v>818104.0</v>
      </c>
      <c r="J885" s="30" t="s">
        <v>1963</v>
      </c>
    </row>
    <row r="886">
      <c r="A886" s="132">
        <v>3808474.0</v>
      </c>
      <c r="B886" s="133">
        <v>44508.0</v>
      </c>
      <c r="C886" s="134" t="s">
        <v>170</v>
      </c>
      <c r="D886" s="29" t="s">
        <v>2361</v>
      </c>
      <c r="E886" s="30" t="s">
        <v>45</v>
      </c>
      <c r="F886" s="30" t="s">
        <v>75</v>
      </c>
      <c r="G886" s="31"/>
      <c r="H886" s="30"/>
      <c r="I886" s="31"/>
      <c r="J886" s="30"/>
    </row>
    <row r="887">
      <c r="A887" s="80">
        <v>2771350.0</v>
      </c>
      <c r="B887" s="153">
        <v>44517.0</v>
      </c>
      <c r="C887" s="137" t="s">
        <v>2362</v>
      </c>
      <c r="D887" s="29" t="s">
        <v>532</v>
      </c>
      <c r="E887" s="30" t="s">
        <v>58</v>
      </c>
      <c r="F887" s="30" t="s">
        <v>59</v>
      </c>
      <c r="G887" s="31">
        <v>684420.0</v>
      </c>
      <c r="H887" s="30" t="s">
        <v>2276</v>
      </c>
      <c r="I887" s="31">
        <v>3633804.0</v>
      </c>
      <c r="J887" s="30" t="s">
        <v>2277</v>
      </c>
    </row>
    <row r="888">
      <c r="A888" s="138">
        <v>1501104.0</v>
      </c>
      <c r="B888" s="133">
        <v>44523.0</v>
      </c>
      <c r="C888" s="104" t="s">
        <v>37</v>
      </c>
      <c r="D888" s="29" t="s">
        <v>2274</v>
      </c>
      <c r="E888" s="30" t="s">
        <v>39</v>
      </c>
      <c r="F888" s="30" t="s">
        <v>54</v>
      </c>
      <c r="G888" s="31">
        <v>1072420.0</v>
      </c>
      <c r="H888" s="30" t="s">
        <v>2275</v>
      </c>
      <c r="I888" s="31">
        <v>2508942.0</v>
      </c>
      <c r="J888" s="30" t="s">
        <v>1535</v>
      </c>
    </row>
    <row r="889">
      <c r="A889" s="132">
        <v>4326172.0</v>
      </c>
      <c r="B889" s="133">
        <v>44524.0</v>
      </c>
      <c r="C889" s="104" t="s">
        <v>37</v>
      </c>
      <c r="D889" s="29" t="s">
        <v>2363</v>
      </c>
      <c r="E889" s="30" t="s">
        <v>45</v>
      </c>
      <c r="F889" s="30" t="s">
        <v>75</v>
      </c>
      <c r="G889" s="31">
        <v>3142166.0</v>
      </c>
      <c r="H889" s="30" t="s">
        <v>608</v>
      </c>
      <c r="I889" s="31"/>
      <c r="J889" s="30"/>
    </row>
    <row r="890">
      <c r="A890" s="138">
        <v>2774884.0</v>
      </c>
      <c r="B890" s="133">
        <v>44530.0</v>
      </c>
      <c r="C890" s="104" t="s">
        <v>37</v>
      </c>
      <c r="D890" s="29" t="s">
        <v>2364</v>
      </c>
      <c r="E890" s="30" t="s">
        <v>96</v>
      </c>
      <c r="F890" s="30" t="s">
        <v>109</v>
      </c>
      <c r="G890" s="31">
        <v>965832.0</v>
      </c>
      <c r="H890" s="30" t="s">
        <v>2365</v>
      </c>
      <c r="I890" s="31"/>
      <c r="J890" s="30"/>
    </row>
    <row r="891">
      <c r="A891" s="132">
        <v>1945428.0</v>
      </c>
      <c r="B891" s="133">
        <v>44531.0</v>
      </c>
      <c r="C891" s="104" t="s">
        <v>70</v>
      </c>
      <c r="D891" s="29" t="s">
        <v>2366</v>
      </c>
      <c r="E891" s="30" t="s">
        <v>79</v>
      </c>
      <c r="F891" s="30" t="s">
        <v>184</v>
      </c>
      <c r="G891" s="31">
        <v>3790052.0</v>
      </c>
      <c r="H891" s="30" t="s">
        <v>2367</v>
      </c>
      <c r="I891" s="31"/>
      <c r="J891" s="30"/>
    </row>
    <row r="892">
      <c r="A892" s="132">
        <v>2116096.0</v>
      </c>
      <c r="B892" s="133">
        <v>44539.0</v>
      </c>
      <c r="C892" s="104" t="s">
        <v>70</v>
      </c>
      <c r="D892" s="29" t="s">
        <v>2368</v>
      </c>
      <c r="E892" s="30" t="s">
        <v>2369</v>
      </c>
      <c r="F892" s="30" t="s">
        <v>86</v>
      </c>
      <c r="G892" s="31"/>
      <c r="H892" s="30"/>
      <c r="I892" s="31"/>
      <c r="J892" s="30"/>
    </row>
    <row r="893">
      <c r="A893" s="80">
        <v>2771350.0</v>
      </c>
      <c r="B893" s="153">
        <v>44546.0</v>
      </c>
      <c r="C893" s="137" t="s">
        <v>2362</v>
      </c>
      <c r="D893" s="29" t="s">
        <v>532</v>
      </c>
      <c r="E893" s="30" t="s">
        <v>58</v>
      </c>
      <c r="F893" s="30" t="s">
        <v>59</v>
      </c>
      <c r="G893" s="31">
        <v>684420.0</v>
      </c>
      <c r="H893" s="30" t="s">
        <v>2276</v>
      </c>
      <c r="I893" s="31">
        <v>3633804.0</v>
      </c>
      <c r="J893" s="30" t="s">
        <v>2277</v>
      </c>
    </row>
    <row r="894">
      <c r="A894" s="138">
        <v>1501104.0</v>
      </c>
      <c r="B894" s="153">
        <v>44546.0</v>
      </c>
      <c r="C894" s="104" t="s">
        <v>37</v>
      </c>
      <c r="D894" s="29" t="s">
        <v>2274</v>
      </c>
      <c r="E894" s="30" t="s">
        <v>39</v>
      </c>
      <c r="F894" s="30" t="s">
        <v>54</v>
      </c>
      <c r="G894" s="31">
        <v>1072420.0</v>
      </c>
      <c r="H894" s="30" t="s">
        <v>2275</v>
      </c>
      <c r="I894" s="31">
        <v>2508942.0</v>
      </c>
      <c r="J894" s="30" t="s">
        <v>1535</v>
      </c>
    </row>
    <row r="895">
      <c r="A895" s="132">
        <v>2366876.0</v>
      </c>
      <c r="B895" s="153">
        <v>44546.0</v>
      </c>
      <c r="C895" s="104" t="s">
        <v>2370</v>
      </c>
      <c r="D895" s="29" t="s">
        <v>2371</v>
      </c>
      <c r="E895" s="30" t="s">
        <v>105</v>
      </c>
      <c r="F895" s="30" t="s">
        <v>212</v>
      </c>
      <c r="G895" s="31"/>
      <c r="H895" s="30"/>
      <c r="I895" s="31"/>
      <c r="J895" s="30"/>
    </row>
    <row r="896">
      <c r="A896" s="132">
        <v>2931868.0</v>
      </c>
      <c r="B896" s="153">
        <v>44546.0</v>
      </c>
      <c r="C896" s="104" t="s">
        <v>2370</v>
      </c>
      <c r="D896" s="29" t="s">
        <v>2372</v>
      </c>
      <c r="E896" s="30" t="s">
        <v>39</v>
      </c>
      <c r="F896" s="30" t="s">
        <v>140</v>
      </c>
      <c r="G896" s="31"/>
      <c r="H896" s="30"/>
      <c r="I896" s="31"/>
      <c r="J896" s="30"/>
    </row>
    <row r="897">
      <c r="A897" s="132">
        <v>1595354.0</v>
      </c>
      <c r="B897" s="153">
        <v>44546.0</v>
      </c>
      <c r="C897" s="104" t="s">
        <v>2370</v>
      </c>
      <c r="D897" s="29" t="s">
        <v>2373</v>
      </c>
      <c r="E897" s="30" t="s">
        <v>45</v>
      </c>
      <c r="F897" s="30" t="s">
        <v>90</v>
      </c>
      <c r="G897" s="31"/>
      <c r="H897" s="30"/>
      <c r="I897" s="31"/>
      <c r="J897" s="30"/>
    </row>
    <row r="898">
      <c r="A898" s="132">
        <v>2666348.0</v>
      </c>
      <c r="B898" s="153">
        <v>44546.0</v>
      </c>
      <c r="C898" s="104" t="s">
        <v>2370</v>
      </c>
      <c r="D898" s="29" t="s">
        <v>2374</v>
      </c>
      <c r="E898" s="30" t="s">
        <v>105</v>
      </c>
      <c r="F898" s="30" t="s">
        <v>198</v>
      </c>
      <c r="G898" s="31"/>
      <c r="H898" s="30"/>
      <c r="I898" s="31"/>
      <c r="J898" s="30"/>
    </row>
    <row r="899">
      <c r="A899" s="132">
        <v>3525178.0</v>
      </c>
      <c r="B899" s="153">
        <v>44546.0</v>
      </c>
      <c r="C899" s="104" t="s">
        <v>2370</v>
      </c>
      <c r="D899" s="29" t="s">
        <v>2375</v>
      </c>
      <c r="E899" s="30" t="s">
        <v>219</v>
      </c>
      <c r="F899" s="30" t="s">
        <v>506</v>
      </c>
      <c r="G899" s="31"/>
      <c r="H899" s="30"/>
      <c r="I899" s="31"/>
      <c r="J899" s="30"/>
    </row>
    <row r="900">
      <c r="A900" s="132">
        <v>3714102.0</v>
      </c>
      <c r="B900" s="153">
        <v>44546.0</v>
      </c>
      <c r="C900" s="104" t="s">
        <v>2370</v>
      </c>
      <c r="D900" s="29" t="s">
        <v>2376</v>
      </c>
      <c r="E900" s="30" t="s">
        <v>45</v>
      </c>
      <c r="F900" s="30" t="s">
        <v>75</v>
      </c>
      <c r="G900" s="31"/>
      <c r="H900" s="30"/>
      <c r="I900" s="31"/>
      <c r="J900" s="30"/>
    </row>
    <row r="901">
      <c r="A901" s="132">
        <v>3982688.0</v>
      </c>
      <c r="B901" s="153">
        <v>44546.0</v>
      </c>
      <c r="C901" s="104" t="s">
        <v>2370</v>
      </c>
      <c r="D901" s="29" t="s">
        <v>2377</v>
      </c>
      <c r="E901" s="30" t="s">
        <v>122</v>
      </c>
      <c r="F901" s="30" t="s">
        <v>271</v>
      </c>
      <c r="G901" s="31"/>
      <c r="H901" s="30"/>
      <c r="I901" s="31"/>
      <c r="J901" s="30"/>
    </row>
    <row r="902">
      <c r="A902" s="132">
        <v>930804.0</v>
      </c>
      <c r="B902" s="153">
        <v>44546.0</v>
      </c>
      <c r="C902" s="104" t="s">
        <v>2370</v>
      </c>
      <c r="D902" s="29" t="s">
        <v>2378</v>
      </c>
      <c r="E902" s="30" t="s">
        <v>63</v>
      </c>
      <c r="F902" s="30" t="s">
        <v>258</v>
      </c>
      <c r="G902" s="31"/>
      <c r="H902" s="30"/>
      <c r="I902" s="31"/>
      <c r="J902" s="30"/>
    </row>
    <row r="903">
      <c r="A903" s="83">
        <v>4160286.0</v>
      </c>
      <c r="B903" s="133">
        <v>44550.0</v>
      </c>
      <c r="C903" s="150" t="s">
        <v>206</v>
      </c>
      <c r="D903" s="29" t="s">
        <v>2379</v>
      </c>
      <c r="E903" s="30" t="s">
        <v>105</v>
      </c>
      <c r="F903" s="30" t="s">
        <v>106</v>
      </c>
      <c r="G903" s="31"/>
      <c r="H903" s="30"/>
      <c r="I903" s="31"/>
      <c r="J903" s="30"/>
    </row>
    <row r="904">
      <c r="A904" s="88">
        <v>599828.0</v>
      </c>
      <c r="B904" s="133">
        <v>44561.0</v>
      </c>
      <c r="C904" s="134" t="s">
        <v>37</v>
      </c>
      <c r="D904" s="29" t="s">
        <v>2380</v>
      </c>
      <c r="E904" s="30" t="s">
        <v>45</v>
      </c>
      <c r="F904" s="30" t="s">
        <v>75</v>
      </c>
      <c r="G904" s="31">
        <v>269394.0</v>
      </c>
      <c r="H904" s="30" t="s">
        <v>2381</v>
      </c>
      <c r="I904" s="31"/>
      <c r="J904" s="30" t="s">
        <v>47</v>
      </c>
    </row>
    <row r="905">
      <c r="A905" s="88">
        <v>1657806.0</v>
      </c>
      <c r="B905" s="133">
        <v>44561.0</v>
      </c>
      <c r="C905" s="134" t="s">
        <v>142</v>
      </c>
      <c r="D905" s="29" t="s">
        <v>2382</v>
      </c>
      <c r="E905" s="30" t="s">
        <v>83</v>
      </c>
      <c r="F905" s="30" t="s">
        <v>285</v>
      </c>
      <c r="G905" s="31"/>
      <c r="H905" s="30" t="s">
        <v>47</v>
      </c>
      <c r="I905" s="31"/>
      <c r="J905" s="30" t="s">
        <v>47</v>
      </c>
    </row>
    <row r="906">
      <c r="A906" s="88">
        <v>1857524.0</v>
      </c>
      <c r="B906" s="133">
        <v>44561.0</v>
      </c>
      <c r="C906" s="134" t="s">
        <v>142</v>
      </c>
      <c r="D906" s="29" t="s">
        <v>2383</v>
      </c>
      <c r="E906" s="30" t="s">
        <v>122</v>
      </c>
      <c r="F906" s="30" t="s">
        <v>538</v>
      </c>
      <c r="G906" s="31">
        <v>2141938.0</v>
      </c>
      <c r="H906" s="30" t="s">
        <v>2384</v>
      </c>
      <c r="I906" s="31"/>
      <c r="J906" s="30" t="s">
        <v>47</v>
      </c>
    </row>
    <row r="907">
      <c r="A907" s="88">
        <v>2488744.0</v>
      </c>
      <c r="B907" s="133">
        <v>44561.0</v>
      </c>
      <c r="C907" s="134" t="s">
        <v>37</v>
      </c>
      <c r="D907" s="29" t="s">
        <v>1780</v>
      </c>
      <c r="E907" s="30" t="s">
        <v>45</v>
      </c>
      <c r="F907" s="30" t="s">
        <v>90</v>
      </c>
      <c r="G907" s="31"/>
      <c r="H907" s="30" t="s">
        <v>47</v>
      </c>
      <c r="I907" s="31"/>
      <c r="J907" s="30" t="s">
        <v>47</v>
      </c>
    </row>
    <row r="908">
      <c r="A908" s="88">
        <v>1941658.0</v>
      </c>
      <c r="B908" s="133">
        <v>44561.0</v>
      </c>
      <c r="C908" s="134" t="s">
        <v>37</v>
      </c>
      <c r="D908" s="29" t="s">
        <v>2385</v>
      </c>
      <c r="E908" s="30" t="s">
        <v>39</v>
      </c>
      <c r="F908" s="30" t="s">
        <v>50</v>
      </c>
      <c r="G908" s="31">
        <v>3259666.0</v>
      </c>
      <c r="H908" s="30" t="s">
        <v>2386</v>
      </c>
      <c r="I908" s="31"/>
      <c r="J908" s="30" t="s">
        <v>47</v>
      </c>
    </row>
    <row r="909">
      <c r="A909" s="82">
        <v>181470.0</v>
      </c>
      <c r="B909" s="133">
        <v>44561.0</v>
      </c>
      <c r="C909" s="134" t="s">
        <v>170</v>
      </c>
      <c r="D909" s="29" t="s">
        <v>2387</v>
      </c>
      <c r="E909" s="30" t="s">
        <v>58</v>
      </c>
      <c r="F909" s="30" t="s">
        <v>86</v>
      </c>
      <c r="G909" s="31"/>
      <c r="H909" s="30"/>
      <c r="I909" s="31"/>
      <c r="J909" s="30"/>
    </row>
    <row r="910">
      <c r="A910" s="88">
        <v>470752.0</v>
      </c>
      <c r="B910" s="133">
        <v>44561.0</v>
      </c>
      <c r="C910" s="134" t="s">
        <v>37</v>
      </c>
      <c r="D910" s="29" t="s">
        <v>2388</v>
      </c>
      <c r="E910" s="30" t="s">
        <v>45</v>
      </c>
      <c r="F910" s="30" t="s">
        <v>172</v>
      </c>
      <c r="G910" s="31"/>
      <c r="H910" s="30"/>
      <c r="I910" s="31"/>
      <c r="J910" s="30"/>
    </row>
    <row r="911">
      <c r="A911" s="88">
        <v>515220.0</v>
      </c>
      <c r="B911" s="133">
        <v>44561.0</v>
      </c>
      <c r="C911" s="134" t="s">
        <v>37</v>
      </c>
      <c r="D911" s="29" t="s">
        <v>1544</v>
      </c>
      <c r="E911" s="30" t="s">
        <v>39</v>
      </c>
      <c r="F911" s="30" t="s">
        <v>54</v>
      </c>
      <c r="G911" s="31"/>
      <c r="H911" s="30"/>
      <c r="I911" s="31"/>
      <c r="J911" s="30"/>
    </row>
    <row r="912">
      <c r="A912" s="88">
        <v>739888.0</v>
      </c>
      <c r="B912" s="133">
        <v>44561.0</v>
      </c>
      <c r="C912" s="134" t="s">
        <v>37</v>
      </c>
      <c r="D912" s="29" t="s">
        <v>2389</v>
      </c>
      <c r="E912" s="30" t="s">
        <v>79</v>
      </c>
      <c r="F912" s="30" t="s">
        <v>184</v>
      </c>
      <c r="G912" s="31">
        <v>3386602.0</v>
      </c>
      <c r="H912" s="30" t="s">
        <v>2390</v>
      </c>
      <c r="I912" s="31"/>
      <c r="J912" s="30"/>
    </row>
    <row r="913">
      <c r="A913" s="88">
        <v>1451418.0</v>
      </c>
      <c r="B913" s="133">
        <v>44561.0</v>
      </c>
      <c r="C913" s="134" t="s">
        <v>37</v>
      </c>
      <c r="D913" s="29" t="s">
        <v>2391</v>
      </c>
      <c r="E913" s="30" t="s">
        <v>96</v>
      </c>
      <c r="F913" s="30" t="s">
        <v>109</v>
      </c>
      <c r="G913" s="31"/>
      <c r="H913" s="30"/>
      <c r="I913" s="31"/>
      <c r="J913" s="30"/>
    </row>
    <row r="914">
      <c r="A914" s="88">
        <v>1612984.0</v>
      </c>
      <c r="B914" s="133">
        <v>44561.0</v>
      </c>
      <c r="C914" s="134" t="s">
        <v>37</v>
      </c>
      <c r="D914" s="29" t="s">
        <v>2392</v>
      </c>
      <c r="E914" s="30" t="s">
        <v>219</v>
      </c>
      <c r="F914" s="30" t="s">
        <v>506</v>
      </c>
      <c r="G914" s="31">
        <v>3461878.0</v>
      </c>
      <c r="H914" s="30" t="s">
        <v>1821</v>
      </c>
      <c r="I914" s="31"/>
      <c r="J914" s="30"/>
    </row>
    <row r="915">
      <c r="A915" s="88">
        <v>1621090.0</v>
      </c>
      <c r="B915" s="133">
        <v>44561.0</v>
      </c>
      <c r="C915" s="134" t="s">
        <v>37</v>
      </c>
      <c r="D915" s="29" t="s">
        <v>2393</v>
      </c>
      <c r="E915" s="30" t="s">
        <v>39</v>
      </c>
      <c r="F915" s="30" t="s">
        <v>50</v>
      </c>
      <c r="G915" s="31">
        <v>1218790.0</v>
      </c>
      <c r="H915" s="30" t="s">
        <v>2394</v>
      </c>
      <c r="I915" s="31"/>
      <c r="J915" s="30"/>
    </row>
    <row r="916">
      <c r="A916" s="88">
        <v>1895736.0</v>
      </c>
      <c r="B916" s="133">
        <v>44561.0</v>
      </c>
      <c r="C916" s="134" t="s">
        <v>187</v>
      </c>
      <c r="D916" s="29" t="s">
        <v>1404</v>
      </c>
      <c r="E916" s="30" t="s">
        <v>45</v>
      </c>
      <c r="F916" s="30" t="s">
        <v>90</v>
      </c>
      <c r="G916" s="31"/>
      <c r="H916" s="30" t="s">
        <v>47</v>
      </c>
      <c r="I916" s="31"/>
      <c r="J916" s="30" t="s">
        <v>47</v>
      </c>
    </row>
    <row r="917">
      <c r="A917" s="88">
        <v>2031694.0</v>
      </c>
      <c r="B917" s="133">
        <v>44561.0</v>
      </c>
      <c r="C917" s="134" t="s">
        <v>37</v>
      </c>
      <c r="D917" s="29" t="s">
        <v>2395</v>
      </c>
      <c r="E917" s="30" t="s">
        <v>105</v>
      </c>
      <c r="F917" s="30" t="s">
        <v>106</v>
      </c>
      <c r="G917" s="31"/>
      <c r="H917" s="30" t="s">
        <v>47</v>
      </c>
      <c r="I917" s="31"/>
      <c r="J917" s="30" t="s">
        <v>47</v>
      </c>
    </row>
    <row r="918">
      <c r="A918" s="88">
        <v>2399412.0</v>
      </c>
      <c r="B918" s="133">
        <v>44561.0</v>
      </c>
      <c r="C918" s="134" t="s">
        <v>187</v>
      </c>
      <c r="D918" s="29" t="s">
        <v>2396</v>
      </c>
      <c r="E918" s="30" t="s">
        <v>45</v>
      </c>
      <c r="F918" s="30" t="s">
        <v>172</v>
      </c>
      <c r="G918" s="31"/>
      <c r="H918" s="30" t="s">
        <v>47</v>
      </c>
      <c r="I918" s="31"/>
      <c r="J918" s="30" t="s">
        <v>47</v>
      </c>
    </row>
    <row r="919">
      <c r="A919" s="88">
        <v>2621544.0</v>
      </c>
      <c r="B919" s="133">
        <v>44561.0</v>
      </c>
      <c r="C919" s="134" t="s">
        <v>37</v>
      </c>
      <c r="D919" s="29" t="s">
        <v>2397</v>
      </c>
      <c r="E919" s="30" t="s">
        <v>39</v>
      </c>
      <c r="F919" s="30" t="s">
        <v>241</v>
      </c>
      <c r="G919" s="31"/>
      <c r="H919" s="30" t="s">
        <v>47</v>
      </c>
      <c r="I919" s="31"/>
      <c r="J919" s="30" t="s">
        <v>47</v>
      </c>
    </row>
    <row r="920">
      <c r="A920" s="88">
        <v>2929044.0</v>
      </c>
      <c r="B920" s="133">
        <v>44561.0</v>
      </c>
      <c r="C920" s="134" t="s">
        <v>37</v>
      </c>
      <c r="D920" s="29" t="s">
        <v>2398</v>
      </c>
      <c r="E920" s="30" t="s">
        <v>96</v>
      </c>
      <c r="F920" s="30" t="s">
        <v>97</v>
      </c>
      <c r="G920" s="31"/>
      <c r="H920" s="30" t="s">
        <v>47</v>
      </c>
      <c r="I920" s="31"/>
      <c r="J920" s="30" t="s">
        <v>47</v>
      </c>
    </row>
    <row r="921">
      <c r="A921" s="88">
        <v>559976.0</v>
      </c>
      <c r="B921" s="133">
        <v>44561.0</v>
      </c>
      <c r="C921" s="134" t="s">
        <v>37</v>
      </c>
      <c r="D921" s="29" t="s">
        <v>2399</v>
      </c>
      <c r="E921" s="30" t="s">
        <v>45</v>
      </c>
      <c r="F921" s="30" t="s">
        <v>172</v>
      </c>
      <c r="G921" s="31"/>
      <c r="H921" s="30" t="s">
        <v>47</v>
      </c>
      <c r="I921" s="31"/>
      <c r="J921" s="30" t="s">
        <v>47</v>
      </c>
    </row>
    <row r="922">
      <c r="A922" s="88">
        <v>771198.0</v>
      </c>
      <c r="B922" s="133">
        <v>44561.0</v>
      </c>
      <c r="C922" s="134" t="s">
        <v>37</v>
      </c>
      <c r="D922" s="29" t="s">
        <v>2400</v>
      </c>
      <c r="E922" s="30" t="s">
        <v>39</v>
      </c>
      <c r="F922" s="30" t="s">
        <v>140</v>
      </c>
      <c r="G922" s="31">
        <v>1619356.0</v>
      </c>
      <c r="H922" s="30" t="s">
        <v>2401</v>
      </c>
      <c r="I922" s="31"/>
      <c r="J922" s="30" t="s">
        <v>47</v>
      </c>
    </row>
    <row r="923">
      <c r="A923" s="88">
        <v>852158.0</v>
      </c>
      <c r="B923" s="133">
        <v>44561.0</v>
      </c>
      <c r="C923" s="134" t="s">
        <v>43</v>
      </c>
      <c r="D923" s="29" t="s">
        <v>2402</v>
      </c>
      <c r="E923" s="30" t="s">
        <v>105</v>
      </c>
      <c r="F923" s="30" t="s">
        <v>212</v>
      </c>
      <c r="G923" s="31">
        <v>1480378.0</v>
      </c>
      <c r="H923" s="30" t="s">
        <v>2403</v>
      </c>
      <c r="I923" s="31"/>
      <c r="J923" s="30" t="s">
        <v>47</v>
      </c>
    </row>
    <row r="924">
      <c r="A924" s="88">
        <v>1318134.0</v>
      </c>
      <c r="B924" s="133">
        <v>44561.0</v>
      </c>
      <c r="C924" s="134" t="s">
        <v>142</v>
      </c>
      <c r="D924" s="29" t="s">
        <v>2404</v>
      </c>
      <c r="E924" s="30" t="s">
        <v>58</v>
      </c>
      <c r="F924" s="30" t="s">
        <v>59</v>
      </c>
      <c r="G924" s="31">
        <v>862886.0</v>
      </c>
      <c r="H924" s="30" t="s">
        <v>2405</v>
      </c>
      <c r="I924" s="31"/>
      <c r="J924" s="30" t="s">
        <v>47</v>
      </c>
    </row>
    <row r="925">
      <c r="A925" s="88">
        <v>1393734.0</v>
      </c>
      <c r="B925" s="133">
        <v>44561.0</v>
      </c>
      <c r="C925" s="134" t="s">
        <v>37</v>
      </c>
      <c r="D925" s="29" t="s">
        <v>2406</v>
      </c>
      <c r="E925" s="30" t="s">
        <v>39</v>
      </c>
      <c r="F925" s="30" t="s">
        <v>140</v>
      </c>
      <c r="G925" s="31">
        <v>533682.0</v>
      </c>
      <c r="H925" s="30" t="s">
        <v>2407</v>
      </c>
      <c r="I925" s="31"/>
      <c r="J925" s="30" t="s">
        <v>47</v>
      </c>
    </row>
    <row r="926">
      <c r="A926" s="88">
        <v>1509090.0</v>
      </c>
      <c r="B926" s="133">
        <v>44561.0</v>
      </c>
      <c r="C926" s="134" t="s">
        <v>37</v>
      </c>
      <c r="D926" s="29" t="s">
        <v>2408</v>
      </c>
      <c r="E926" s="30" t="s">
        <v>83</v>
      </c>
      <c r="F926" s="30" t="s">
        <v>84</v>
      </c>
      <c r="G926" s="31"/>
      <c r="H926" s="30" t="s">
        <v>47</v>
      </c>
      <c r="I926" s="31"/>
      <c r="J926" s="30" t="s">
        <v>47</v>
      </c>
    </row>
    <row r="927">
      <c r="A927" s="88">
        <v>1581552.0</v>
      </c>
      <c r="B927" s="133">
        <v>44561.0</v>
      </c>
      <c r="C927" s="134" t="s">
        <v>37</v>
      </c>
      <c r="D927" s="29" t="s">
        <v>2409</v>
      </c>
      <c r="E927" s="30" t="s">
        <v>219</v>
      </c>
      <c r="F927" s="30" t="s">
        <v>220</v>
      </c>
      <c r="G927" s="31">
        <v>1393266.0</v>
      </c>
      <c r="H927" s="30" t="s">
        <v>2029</v>
      </c>
      <c r="I927" s="31"/>
      <c r="J927" s="30" t="s">
        <v>47</v>
      </c>
    </row>
    <row r="928">
      <c r="A928" s="88">
        <v>1603282.0</v>
      </c>
      <c r="B928" s="133">
        <v>44561.0</v>
      </c>
      <c r="C928" s="134" t="s">
        <v>142</v>
      </c>
      <c r="D928" s="29" t="s">
        <v>2410</v>
      </c>
      <c r="E928" s="30" t="s">
        <v>83</v>
      </c>
      <c r="F928" s="30" t="s">
        <v>147</v>
      </c>
      <c r="G928" s="31">
        <v>1622104.0</v>
      </c>
      <c r="H928" s="30" t="s">
        <v>154</v>
      </c>
      <c r="I928" s="31">
        <v>1493316.0</v>
      </c>
      <c r="J928" s="30" t="s">
        <v>2411</v>
      </c>
    </row>
    <row r="929">
      <c r="A929" s="88">
        <v>1631156.0</v>
      </c>
      <c r="B929" s="133">
        <v>44561.0</v>
      </c>
      <c r="C929" s="134" t="s">
        <v>37</v>
      </c>
      <c r="D929" s="29" t="s">
        <v>2412</v>
      </c>
      <c r="E929" s="30" t="s">
        <v>83</v>
      </c>
      <c r="F929" s="30" t="s">
        <v>94</v>
      </c>
      <c r="G929" s="31">
        <v>802116.0</v>
      </c>
      <c r="H929" s="30" t="s">
        <v>2413</v>
      </c>
      <c r="I929" s="31"/>
      <c r="J929" s="30" t="s">
        <v>47</v>
      </c>
    </row>
    <row r="930">
      <c r="A930" s="88">
        <v>2129116.0</v>
      </c>
      <c r="B930" s="133">
        <v>44561.0</v>
      </c>
      <c r="C930" s="134" t="s">
        <v>170</v>
      </c>
      <c r="D930" s="29" t="s">
        <v>2414</v>
      </c>
      <c r="E930" s="30" t="s">
        <v>83</v>
      </c>
      <c r="F930" s="30" t="s">
        <v>153</v>
      </c>
      <c r="G930" s="31"/>
      <c r="H930" s="30" t="s">
        <v>47</v>
      </c>
      <c r="I930" s="31"/>
      <c r="J930" s="30" t="s">
        <v>47</v>
      </c>
    </row>
    <row r="931">
      <c r="A931" s="88">
        <v>3255704.0</v>
      </c>
      <c r="B931" s="133">
        <v>44561.0</v>
      </c>
      <c r="C931" s="134" t="s">
        <v>37</v>
      </c>
      <c r="D931" s="29" t="s">
        <v>2415</v>
      </c>
      <c r="E931" s="30" t="s">
        <v>101</v>
      </c>
      <c r="F931" s="30" t="s">
        <v>203</v>
      </c>
      <c r="G931" s="31">
        <v>3340536.0</v>
      </c>
      <c r="H931" s="30" t="s">
        <v>47</v>
      </c>
      <c r="I931" s="31"/>
      <c r="J931" s="30" t="s">
        <v>47</v>
      </c>
    </row>
    <row r="932">
      <c r="A932" s="88">
        <v>3355948.0</v>
      </c>
      <c r="B932" s="133">
        <v>44561.0</v>
      </c>
      <c r="C932" s="134" t="s">
        <v>37</v>
      </c>
      <c r="D932" s="29" t="s">
        <v>630</v>
      </c>
      <c r="E932" s="30" t="s">
        <v>219</v>
      </c>
      <c r="F932" s="30" t="s">
        <v>220</v>
      </c>
      <c r="G932" s="31">
        <v>3340536.0</v>
      </c>
      <c r="H932" s="30" t="s">
        <v>47</v>
      </c>
      <c r="I932" s="31"/>
      <c r="J932" s="30" t="s">
        <v>47</v>
      </c>
    </row>
    <row r="933">
      <c r="A933" s="88">
        <v>3384352.0</v>
      </c>
      <c r="B933" s="133">
        <v>44561.0</v>
      </c>
      <c r="C933" s="134" t="s">
        <v>37</v>
      </c>
      <c r="D933" s="29" t="s">
        <v>2416</v>
      </c>
      <c r="E933" s="30" t="s">
        <v>45</v>
      </c>
      <c r="F933" s="30" t="s">
        <v>90</v>
      </c>
      <c r="G933" s="31">
        <v>3932106.0</v>
      </c>
      <c r="H933" s="30" t="s">
        <v>2417</v>
      </c>
      <c r="I933" s="31"/>
      <c r="J933" s="30" t="s">
        <v>47</v>
      </c>
    </row>
    <row r="934">
      <c r="A934" s="88">
        <v>332248.0</v>
      </c>
      <c r="B934" s="133">
        <v>44561.0</v>
      </c>
      <c r="C934" s="134" t="s">
        <v>37</v>
      </c>
      <c r="D934" s="29" t="s">
        <v>2418</v>
      </c>
      <c r="E934" s="30" t="s">
        <v>1589</v>
      </c>
      <c r="F934" s="30" t="s">
        <v>2273</v>
      </c>
      <c r="G934" s="31"/>
      <c r="H934" s="30" t="s">
        <v>47</v>
      </c>
      <c r="I934" s="31"/>
      <c r="J934" s="30" t="s">
        <v>47</v>
      </c>
    </row>
    <row r="935">
      <c r="A935" s="88">
        <v>865978.0</v>
      </c>
      <c r="B935" s="133">
        <v>44561.0</v>
      </c>
      <c r="C935" s="134" t="s">
        <v>37</v>
      </c>
      <c r="D935" s="29" t="s">
        <v>2419</v>
      </c>
      <c r="E935" s="30" t="s">
        <v>45</v>
      </c>
      <c r="F935" s="30" t="s">
        <v>75</v>
      </c>
      <c r="G935" s="31"/>
      <c r="H935" s="30" t="s">
        <v>47</v>
      </c>
      <c r="I935" s="31"/>
      <c r="J935" s="30" t="s">
        <v>47</v>
      </c>
    </row>
    <row r="936">
      <c r="A936" s="88">
        <v>865984.0</v>
      </c>
      <c r="B936" s="133">
        <v>44561.0</v>
      </c>
      <c r="C936" s="134" t="s">
        <v>37</v>
      </c>
      <c r="D936" s="29" t="s">
        <v>2420</v>
      </c>
      <c r="E936" s="30" t="s">
        <v>45</v>
      </c>
      <c r="F936" s="30" t="s">
        <v>75</v>
      </c>
      <c r="G936" s="31"/>
      <c r="H936" s="30" t="s">
        <v>47</v>
      </c>
      <c r="I936" s="31"/>
      <c r="J936" s="30" t="s">
        <v>47</v>
      </c>
    </row>
    <row r="937">
      <c r="A937" s="88">
        <v>865976.0</v>
      </c>
      <c r="B937" s="133">
        <v>44561.0</v>
      </c>
      <c r="C937" s="134" t="s">
        <v>37</v>
      </c>
      <c r="D937" s="29" t="s">
        <v>2421</v>
      </c>
      <c r="E937" s="30" t="s">
        <v>45</v>
      </c>
      <c r="F937" s="30" t="s">
        <v>75</v>
      </c>
      <c r="G937" s="31"/>
      <c r="H937" s="30" t="s">
        <v>47</v>
      </c>
      <c r="I937" s="31"/>
      <c r="J937" s="30" t="s">
        <v>47</v>
      </c>
    </row>
    <row r="938">
      <c r="A938" s="88">
        <v>436900.0</v>
      </c>
      <c r="B938" s="133">
        <v>44561.0</v>
      </c>
      <c r="C938" s="134" t="s">
        <v>37</v>
      </c>
      <c r="D938" s="29" t="s">
        <v>2422</v>
      </c>
      <c r="E938" s="30" t="s">
        <v>1589</v>
      </c>
      <c r="F938" s="30" t="s">
        <v>2273</v>
      </c>
      <c r="G938" s="31">
        <v>372624.0</v>
      </c>
      <c r="H938" s="30" t="s">
        <v>2423</v>
      </c>
      <c r="I938" s="31"/>
      <c r="J938" s="30" t="s">
        <v>47</v>
      </c>
    </row>
    <row r="939">
      <c r="A939" s="88">
        <v>332140.0</v>
      </c>
      <c r="B939" s="133">
        <v>44561.0</v>
      </c>
      <c r="C939" s="134" t="s">
        <v>37</v>
      </c>
      <c r="D939" s="29" t="s">
        <v>2424</v>
      </c>
      <c r="E939" s="30" t="s">
        <v>1589</v>
      </c>
      <c r="F939" s="30" t="s">
        <v>2273</v>
      </c>
      <c r="G939" s="31">
        <v>1556346.0</v>
      </c>
      <c r="H939" s="30" t="s">
        <v>2425</v>
      </c>
      <c r="I939" s="31"/>
      <c r="J939" s="30" t="s">
        <v>47</v>
      </c>
    </row>
    <row r="940">
      <c r="A940" s="88">
        <v>357216.0</v>
      </c>
      <c r="B940" s="133">
        <v>44561.0</v>
      </c>
      <c r="C940" s="134" t="s">
        <v>37</v>
      </c>
      <c r="D940" s="29" t="s">
        <v>2426</v>
      </c>
      <c r="E940" s="30" t="s">
        <v>1589</v>
      </c>
      <c r="F940" s="30" t="s">
        <v>2273</v>
      </c>
      <c r="G940" s="31">
        <v>1551970.0</v>
      </c>
      <c r="H940" s="30" t="s">
        <v>2427</v>
      </c>
      <c r="I940" s="31"/>
      <c r="J940" s="30" t="s">
        <v>47</v>
      </c>
    </row>
    <row r="941">
      <c r="A941" s="88">
        <v>427152.0</v>
      </c>
      <c r="B941" s="133">
        <v>44561.0</v>
      </c>
      <c r="C941" s="134" t="s">
        <v>37</v>
      </c>
      <c r="D941" s="29" t="s">
        <v>2428</v>
      </c>
      <c r="E941" s="30" t="s">
        <v>1589</v>
      </c>
      <c r="F941" s="30" t="s">
        <v>2273</v>
      </c>
      <c r="G941" s="31">
        <v>429062.0</v>
      </c>
      <c r="H941" s="30" t="s">
        <v>2429</v>
      </c>
      <c r="I941" s="31"/>
      <c r="J941" s="30" t="s">
        <v>47</v>
      </c>
    </row>
    <row r="942">
      <c r="A942" s="88">
        <v>631827.0</v>
      </c>
      <c r="B942" s="133">
        <v>44561.0</v>
      </c>
      <c r="C942" s="134" t="s">
        <v>37</v>
      </c>
      <c r="D942" s="29" t="s">
        <v>2430</v>
      </c>
      <c r="E942" s="30" t="s">
        <v>45</v>
      </c>
      <c r="F942" s="30" t="s">
        <v>75</v>
      </c>
      <c r="G942" s="31"/>
      <c r="H942" s="30" t="s">
        <v>47</v>
      </c>
      <c r="I942" s="31"/>
      <c r="J942" s="30" t="s">
        <v>47</v>
      </c>
    </row>
    <row r="943">
      <c r="A943" s="88">
        <v>332928.0</v>
      </c>
      <c r="B943" s="133">
        <v>44561.0</v>
      </c>
      <c r="C943" s="134" t="s">
        <v>37</v>
      </c>
      <c r="D943" s="29" t="s">
        <v>2431</v>
      </c>
      <c r="E943" s="30" t="s">
        <v>144</v>
      </c>
      <c r="F943" s="30" t="s">
        <v>377</v>
      </c>
      <c r="G943" s="31">
        <v>415612.0</v>
      </c>
      <c r="H943" s="30" t="s">
        <v>2432</v>
      </c>
      <c r="I943" s="31"/>
      <c r="J943" s="30" t="s">
        <v>47</v>
      </c>
    </row>
    <row r="944">
      <c r="A944" s="88">
        <v>437860.0</v>
      </c>
      <c r="B944" s="133">
        <v>44561.0</v>
      </c>
      <c r="C944" s="134" t="s">
        <v>37</v>
      </c>
      <c r="D944" s="29" t="s">
        <v>2433</v>
      </c>
      <c r="E944" s="30" t="s">
        <v>1589</v>
      </c>
      <c r="F944" s="30" t="s">
        <v>2273</v>
      </c>
      <c r="G944" s="31">
        <v>1349100.0</v>
      </c>
      <c r="H944" s="30"/>
      <c r="I944" s="31"/>
      <c r="J944" s="30"/>
    </row>
    <row r="945">
      <c r="A945" s="88">
        <v>512304.0</v>
      </c>
      <c r="B945" s="133">
        <v>44561.0</v>
      </c>
      <c r="C945" s="134" t="s">
        <v>37</v>
      </c>
      <c r="D945" s="29" t="s">
        <v>2434</v>
      </c>
      <c r="E945" s="30" t="s">
        <v>144</v>
      </c>
      <c r="F945" s="30" t="s">
        <v>377</v>
      </c>
      <c r="G945" s="31"/>
      <c r="H945" s="30" t="s">
        <v>47</v>
      </c>
      <c r="I945" s="31"/>
      <c r="J945" s="30" t="s">
        <v>47</v>
      </c>
    </row>
    <row r="946">
      <c r="A946" s="88">
        <v>641410.0</v>
      </c>
      <c r="B946" s="133">
        <v>44561.0</v>
      </c>
      <c r="C946" s="134" t="s">
        <v>37</v>
      </c>
      <c r="D946" s="29" t="s">
        <v>2435</v>
      </c>
      <c r="E946" s="30" t="s">
        <v>45</v>
      </c>
      <c r="F946" s="30" t="s">
        <v>75</v>
      </c>
      <c r="G946" s="31"/>
      <c r="H946" s="30" t="s">
        <v>47</v>
      </c>
      <c r="I946" s="31"/>
      <c r="J946" s="30" t="s">
        <v>47</v>
      </c>
    </row>
    <row r="947">
      <c r="A947" s="88">
        <v>646038.0</v>
      </c>
      <c r="B947" s="133">
        <v>44561.0</v>
      </c>
      <c r="C947" s="134" t="s">
        <v>37</v>
      </c>
      <c r="D947" s="29" t="s">
        <v>2436</v>
      </c>
      <c r="E947" s="30" t="s">
        <v>45</v>
      </c>
      <c r="F947" s="30" t="s">
        <v>75</v>
      </c>
      <c r="G947" s="31"/>
      <c r="H947" s="30" t="s">
        <v>47</v>
      </c>
      <c r="I947" s="31"/>
      <c r="J947" s="30" t="s">
        <v>47</v>
      </c>
    </row>
    <row r="948">
      <c r="A948" s="88">
        <v>587890.0</v>
      </c>
      <c r="B948" s="133">
        <v>44561.0</v>
      </c>
      <c r="C948" s="134" t="s">
        <v>37</v>
      </c>
      <c r="D948" s="29" t="s">
        <v>2437</v>
      </c>
      <c r="E948" s="30" t="s">
        <v>189</v>
      </c>
      <c r="F948" s="30" t="s">
        <v>222</v>
      </c>
      <c r="G948" s="31">
        <v>3507196.0</v>
      </c>
      <c r="H948" s="30" t="s">
        <v>2438</v>
      </c>
      <c r="I948" s="31"/>
      <c r="J948" s="30" t="s">
        <v>47</v>
      </c>
    </row>
    <row r="949">
      <c r="A949" s="88">
        <v>636184.0</v>
      </c>
      <c r="B949" s="133">
        <v>44561.0</v>
      </c>
      <c r="C949" s="134" t="s">
        <v>37</v>
      </c>
      <c r="D949" s="29" t="s">
        <v>2439</v>
      </c>
      <c r="E949" s="30" t="s">
        <v>45</v>
      </c>
      <c r="F949" s="30" t="s">
        <v>75</v>
      </c>
      <c r="G949" s="31"/>
      <c r="H949" s="30" t="s">
        <v>47</v>
      </c>
      <c r="I949" s="31"/>
      <c r="J949" s="30" t="s">
        <v>47</v>
      </c>
    </row>
    <row r="950">
      <c r="A950" s="88">
        <v>1152164.0</v>
      </c>
      <c r="B950" s="133">
        <v>44561.0</v>
      </c>
      <c r="C950" s="134" t="s">
        <v>37</v>
      </c>
      <c r="D950" s="29" t="s">
        <v>2440</v>
      </c>
      <c r="E950" s="30" t="s">
        <v>45</v>
      </c>
      <c r="F950" s="30" t="s">
        <v>75</v>
      </c>
      <c r="G950" s="31"/>
      <c r="H950" s="30" t="s">
        <v>47</v>
      </c>
      <c r="I950" s="31"/>
      <c r="J950" s="30" t="s">
        <v>47</v>
      </c>
    </row>
    <row r="951">
      <c r="A951" s="88">
        <v>2434620.0</v>
      </c>
      <c r="B951" s="133">
        <v>44561.0</v>
      </c>
      <c r="C951" s="134" t="s">
        <v>37</v>
      </c>
      <c r="D951" s="29" t="s">
        <v>2441</v>
      </c>
      <c r="E951" s="30" t="s">
        <v>39</v>
      </c>
      <c r="F951" s="30" t="s">
        <v>140</v>
      </c>
      <c r="G951" s="31">
        <v>2019358.0</v>
      </c>
      <c r="H951" s="30" t="s">
        <v>519</v>
      </c>
      <c r="I951" s="31"/>
      <c r="J951" s="30" t="s">
        <v>47</v>
      </c>
    </row>
    <row r="952">
      <c r="A952" s="83">
        <v>1820254.0</v>
      </c>
      <c r="B952" s="133">
        <v>44561.0</v>
      </c>
      <c r="C952" s="134" t="s">
        <v>37</v>
      </c>
      <c r="D952" s="29" t="s">
        <v>2442</v>
      </c>
      <c r="E952" s="30" t="s">
        <v>144</v>
      </c>
      <c r="F952" s="30" t="s">
        <v>377</v>
      </c>
      <c r="G952" s="31" t="s">
        <v>656</v>
      </c>
      <c r="H952" s="30" t="s">
        <v>656</v>
      </c>
      <c r="I952" s="31"/>
      <c r="J952" s="30"/>
    </row>
    <row r="953">
      <c r="A953" s="83">
        <v>2920846.0</v>
      </c>
      <c r="B953" s="133">
        <v>44561.0</v>
      </c>
      <c r="C953" s="134" t="s">
        <v>206</v>
      </c>
      <c r="D953" s="29" t="s">
        <v>2443</v>
      </c>
      <c r="E953" s="30" t="s">
        <v>83</v>
      </c>
      <c r="F953" s="30" t="s">
        <v>285</v>
      </c>
      <c r="G953" s="31"/>
      <c r="H953" s="30"/>
      <c r="I953" s="31"/>
      <c r="J953" s="30"/>
    </row>
    <row r="954">
      <c r="A954" s="83">
        <v>2921398.0</v>
      </c>
      <c r="B954" s="133">
        <v>44561.0</v>
      </c>
      <c r="C954" s="134" t="s">
        <v>206</v>
      </c>
      <c r="D954" s="29" t="s">
        <v>2444</v>
      </c>
      <c r="E954" s="30" t="s">
        <v>83</v>
      </c>
      <c r="F954" s="30" t="s">
        <v>285</v>
      </c>
      <c r="G954" s="31"/>
      <c r="H954" s="30"/>
      <c r="I954" s="31"/>
      <c r="J954" s="30"/>
    </row>
    <row r="955">
      <c r="A955" s="83">
        <v>2067309.0</v>
      </c>
      <c r="B955" s="133">
        <v>44561.0</v>
      </c>
      <c r="C955" s="134" t="s">
        <v>206</v>
      </c>
      <c r="D955" s="29" t="s">
        <v>2445</v>
      </c>
      <c r="E955" s="30" t="s">
        <v>219</v>
      </c>
      <c r="F955" s="30" t="s">
        <v>220</v>
      </c>
      <c r="G955" s="31"/>
      <c r="H955" s="30"/>
      <c r="I955" s="31"/>
      <c r="J955" s="30"/>
    </row>
  </sheetData>
  <mergeCells count="3">
    <mergeCell ref="B1:B2"/>
    <mergeCell ref="C1:H1"/>
    <mergeCell ref="C2:I2"/>
  </mergeCells>
  <conditionalFormatting sqref="A3 B3:J3">
    <cfRule type="expression" dxfId="0" priority="1">
      <formula>countif(A:A,A3)&gt;1</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4" t="str">
        <f>IFERROR(__xludf.DUMMYFUNCTION("IMPORTRANGE(""https://docs.google.com/spreadsheets/d/1-PGtQfbeuiWnM5yK4JbSPcN2oBJ9Xk5oQx_g5stVnf0/edit#gid=982786439"",""Retired 2021!A:P"")"),"date")</f>
        <v>date</v>
      </c>
      <c r="B1" t="str">
        <f>IFERROR(__xludf.DUMMYFUNCTION("""COMPUTED_VALUE"""),"courseid")</f>
        <v>courseid</v>
      </c>
      <c r="C1" t="str">
        <f>IFERROR(__xludf.DUMMYFUNCTION("""COMPUTED_VALUE"""),"language")</f>
        <v>language</v>
      </c>
      <c r="D1" t="str">
        <f>IFERROR(__xludf.DUMMYFUNCTION("""COMPUTED_VALUE"""),"Course Title")</f>
        <v>Course Title</v>
      </c>
      <c r="E1" t="str">
        <f>IFERROR(__xludf.DUMMYFUNCTION("""COMPUTED_VALUE"""),"Translated Title")</f>
        <v>Translated Title</v>
      </c>
      <c r="F1" t="str">
        <f>IFERROR(__xludf.DUMMYFUNCTION("""COMPUTED_VALUE"""),"Instructor User ID")</f>
        <v>Instructor User ID</v>
      </c>
      <c r="G1" t="str">
        <f>IFERROR(__xludf.DUMMYFUNCTION("""COMPUTED_VALUE"""),"Instructor")</f>
        <v>Instructor</v>
      </c>
      <c r="H1" t="str">
        <f>IFERROR(__xludf.DUMMYFUNCTION("""COMPUTED_VALUE"""),"reason")</f>
        <v>reason</v>
      </c>
      <c r="I1" t="str">
        <f>IFERROR(__xludf.DUMMYFUNCTION("""COMPUTED_VALUE"""),"Category")</f>
        <v>Category</v>
      </c>
      <c r="J1" t="str">
        <f>IFERROR(__xludf.DUMMYFUNCTION("""COMPUTED_VALUE"""),"Subcategory")</f>
        <v>Subcategory</v>
      </c>
      <c r="K1" t="str">
        <f>IFERROR(__xludf.DUMMYFUNCTION("""COMPUTED_VALUE"""),"replacement_courseid_1")</f>
        <v>replacement_courseid_1</v>
      </c>
      <c r="L1" t="str">
        <f>IFERROR(__xludf.DUMMYFUNCTION("""COMPUTED_VALUE"""),"Replacement Course Title 1")</f>
        <v>Replacement Course Title 1</v>
      </c>
      <c r="M1" t="str">
        <f>IFERROR(__xludf.DUMMYFUNCTION("""COMPUTED_VALUE"""),"replacement_courseid_2")</f>
        <v>replacement_courseid_2</v>
      </c>
      <c r="N1" t="str">
        <f>IFERROR(__xludf.DUMMYFUNCTION("""COMPUTED_VALUE"""),"Replacement Course Title 2")</f>
        <v>Replacement Course Title 2</v>
      </c>
      <c r="O1" t="str">
        <f>IFERROR(__xludf.DUMMYFUNCTION("""COMPUTED_VALUE"""),"Notes")</f>
        <v>Notes</v>
      </c>
    </row>
    <row r="2">
      <c r="A2" s="143">
        <f>IFERROR(__xludf.DUMMYFUNCTION("""COMPUTED_VALUE"""),44530.0)</f>
        <v>44530</v>
      </c>
      <c r="B2">
        <f>IFERROR(__xludf.DUMMYFUNCTION("""COMPUTED_VALUE"""),3548900.0)</f>
        <v>3548900</v>
      </c>
      <c r="C2" t="str">
        <f>IFERROR(__xludf.DUMMYFUNCTION("""COMPUTED_VALUE"""),"en")</f>
        <v>en</v>
      </c>
      <c r="D2" t="str">
        <f>IFERROR(__xludf.DUMMYFUNCTION("""COMPUTED_VALUE"""),"Medical Imaging, 3D Modelling and 3D Printing - Beginners")</f>
        <v>Medical Imaging, 3D Modelling and 3D Printing - Beginners</v>
      </c>
      <c r="E2" t="str">
        <f>IFERROR(__xludf.DUMMYFUNCTION("""COMPUTED_VALUE"""),"Medical Imaging, 3D Modelling and 3D Printing - Beginners")</f>
        <v>Medical Imaging, 3D Modelling and 3D Printing - Beginners</v>
      </c>
      <c r="F2">
        <f>IFERROR(__xludf.DUMMYFUNCTION("""COMPUTED_VALUE"""),1.32641026E8)</f>
        <v>132641026</v>
      </c>
      <c r="G2" t="str">
        <f>IFERROR(__xludf.DUMMYFUNCTION("""COMPUTED_VALUE"""),"Firoza Kothari")</f>
        <v>Firoza Kothari</v>
      </c>
      <c r="H2" t="str">
        <f>IFERROR(__xludf.DUMMYFUNCTION("""COMPUTED_VALUE"""),"Instructor Request- Opted Out")</f>
        <v>Instructor Request- Opted Out</v>
      </c>
      <c r="I2" s="142" t="str">
        <f>IFERROR(__xludf.DUMMYFUNCTION("""COMPUTED_VALUE"""),"Design")</f>
        <v>Design</v>
      </c>
      <c r="J2" s="142" t="str">
        <f>IFERROR(__xludf.DUMMYFUNCTION("""COMPUTED_VALUE"""),"3D &amp; Animation")</f>
        <v>3D &amp; Animation</v>
      </c>
      <c r="L2" s="140" t="str">
        <f>IFERROR(__xludf.DUMMYFUNCTION("""COMPUTED_VALUE"""),"")</f>
        <v/>
      </c>
      <c r="N2" s="140" t="str">
        <f>IFERROR(__xludf.DUMMYFUNCTION("""COMPUTED_VALUE"""),"")</f>
        <v/>
      </c>
      <c r="O2" s="140" t="str">
        <f>IFERROR(__xludf.DUMMYFUNCTION("""COMPUTED_VALUE"""),"No Alternatives in Collection- 7/31/2021")</f>
        <v>No Alternatives in Collection- 7/31/2021</v>
      </c>
    </row>
    <row r="3">
      <c r="A3" s="143">
        <f>IFERROR(__xludf.DUMMYFUNCTION("""COMPUTED_VALUE"""),44530.0)</f>
        <v>44530</v>
      </c>
      <c r="B3">
        <f>IFERROR(__xludf.DUMMYFUNCTION("""COMPUTED_VALUE"""),2653732.0)</f>
        <v>2653732</v>
      </c>
      <c r="C3" t="str">
        <f>IFERROR(__xludf.DUMMYFUNCTION("""COMPUTED_VALUE"""),"en")</f>
        <v>en</v>
      </c>
      <c r="D3" t="str">
        <f>IFERROR(__xludf.DUMMYFUNCTION("""COMPUTED_VALUE"""),"Behavioral Economics &amp; Consumer Psychology in Marketing")</f>
        <v>Behavioral Economics &amp; Consumer Psychology in Marketing</v>
      </c>
      <c r="E3" t="str">
        <f>IFERROR(__xludf.DUMMYFUNCTION("""COMPUTED_VALUE"""),"Behavioral Economics &amp; Consumer Psychology in Marketing")</f>
        <v>Behavioral Economics &amp; Consumer Psychology in Marketing</v>
      </c>
      <c r="F3">
        <f>IFERROR(__xludf.DUMMYFUNCTION("""COMPUTED_VALUE"""),8.715143E7)</f>
        <v>87151430</v>
      </c>
      <c r="G3" t="str">
        <f>IFERROR(__xludf.DUMMYFUNCTION("""COMPUTED_VALUE"""),"MINDWORX Academy")</f>
        <v>MINDWORX Academy</v>
      </c>
      <c r="H3" t="str">
        <f>IFERROR(__xludf.DUMMYFUNCTION("""COMPUTED_VALUE"""),"Instructor Request- Opted Out")</f>
        <v>Instructor Request- Opted Out</v>
      </c>
      <c r="I3" s="142" t="str">
        <f>IFERROR(__xludf.DUMMYFUNCTION("""COMPUTED_VALUE"""),"Marketing")</f>
        <v>Marketing</v>
      </c>
      <c r="J3" s="142" t="str">
        <f>IFERROR(__xludf.DUMMYFUNCTION("""COMPUTED_VALUE"""),"Marketing Strategy")</f>
        <v>Marketing Strategy</v>
      </c>
      <c r="L3" s="140" t="str">
        <f>IFERROR(__xludf.DUMMYFUNCTION("""COMPUTED_VALUE"""),"")</f>
        <v/>
      </c>
      <c r="N3" s="140" t="str">
        <f>IFERROR(__xludf.DUMMYFUNCTION("""COMPUTED_VALUE"""),"")</f>
        <v/>
      </c>
      <c r="O3" s="140" t="str">
        <f>IFERROR(__xludf.DUMMYFUNCTION("""COMPUTED_VALUE"""),"No Alternatives in Collection- 7/31/2021")</f>
        <v>No Alternatives in Collection- 7/31/2021</v>
      </c>
    </row>
    <row r="4">
      <c r="A4" s="143">
        <f>IFERROR(__xludf.DUMMYFUNCTION("""COMPUTED_VALUE"""),44530.0)</f>
        <v>44530</v>
      </c>
      <c r="B4">
        <f>IFERROR(__xludf.DUMMYFUNCTION("""COMPUTED_VALUE"""),2889006.0)</f>
        <v>2889006</v>
      </c>
      <c r="C4" t="str">
        <f>IFERROR(__xludf.DUMMYFUNCTION("""COMPUTED_VALUE"""),"en")</f>
        <v>en</v>
      </c>
      <c r="D4" t="str">
        <f>IFERROR(__xludf.DUMMYFUNCTION("""COMPUTED_VALUE"""),"Oracle Fusion Smart View / Financial Reporting Studio / OTBI")</f>
        <v>Oracle Fusion Smart View / Financial Reporting Studio / OTBI</v>
      </c>
      <c r="E4" t="str">
        <f>IFERROR(__xludf.DUMMYFUNCTION("""COMPUTED_VALUE"""),"Oracle Fusion Smart View / Financial Reporting Studio / OTBI")</f>
        <v>Oracle Fusion Smart View / Financial Reporting Studio / OTBI</v>
      </c>
      <c r="F4">
        <f>IFERROR(__xludf.DUMMYFUNCTION("""COMPUTED_VALUE"""),3.7985102E7)</f>
        <v>37985102</v>
      </c>
      <c r="G4" t="str">
        <f>IFERROR(__xludf.DUMMYFUNCTION("""COMPUTED_VALUE"""),"Vikas Handa")</f>
        <v>Vikas Handa</v>
      </c>
      <c r="H4" t="str">
        <f>IFERROR(__xludf.DUMMYFUNCTION("""COMPUTED_VALUE"""),"Instructor Request- Opted Out")</f>
        <v>Instructor Request- Opted Out</v>
      </c>
      <c r="I4" s="142" t="str">
        <f>IFERROR(__xludf.DUMMYFUNCTION("""COMPUTED_VALUE"""),"IT Operations")</f>
        <v>IT Operations</v>
      </c>
      <c r="J4" s="142" t="str">
        <f>IFERROR(__xludf.DUMMYFUNCTION("""COMPUTED_VALUE"""),"Database Administration")</f>
        <v>Database Administration</v>
      </c>
      <c r="L4" s="140" t="str">
        <f>IFERROR(__xludf.DUMMYFUNCTION("""COMPUTED_VALUE"""),"")</f>
        <v/>
      </c>
      <c r="N4" s="140" t="str">
        <f>IFERROR(__xludf.DUMMYFUNCTION("""COMPUTED_VALUE"""),"")</f>
        <v/>
      </c>
      <c r="O4" s="140" t="str">
        <f>IFERROR(__xludf.DUMMYFUNCTION("""COMPUTED_VALUE"""),"No Alternatives in Collection- 7/01/2021")</f>
        <v>No Alternatives in Collection- 7/01/2021</v>
      </c>
    </row>
    <row r="5">
      <c r="A5" s="143">
        <f>IFERROR(__xludf.DUMMYFUNCTION("""COMPUTED_VALUE"""),44530.0)</f>
        <v>44530</v>
      </c>
      <c r="B5">
        <f>IFERROR(__xludf.DUMMYFUNCTION("""COMPUTED_VALUE"""),2545905.0)</f>
        <v>2545905</v>
      </c>
      <c r="C5" t="str">
        <f>IFERROR(__xludf.DUMMYFUNCTION("""COMPUTED_VALUE"""),"pt")</f>
        <v>pt</v>
      </c>
      <c r="D5" t="str">
        <f>IFERROR(__xludf.DUMMYFUNCTION("""COMPUTED_VALUE"""),"Curso de Day Trade Avançado no Mini Índice")</f>
        <v>Curso de Day Trade Avançado no Mini Índice</v>
      </c>
      <c r="E5" t="str">
        <f>IFERROR(__xludf.DUMMYFUNCTION("""COMPUTED_VALUE"""),"Day Trade Travel Advanced in Mini Index")</f>
        <v>Day Trade Travel Advanced in Mini Index</v>
      </c>
      <c r="F5">
        <f>IFERROR(__xludf.DUMMYFUNCTION("""COMPUTED_VALUE"""),8.1474997E7)</f>
        <v>81474997</v>
      </c>
      <c r="G5" t="str">
        <f>IFERROR(__xludf.DUMMYFUNCTION("""COMPUTED_VALUE"""),"Diego Lopes de Faria")</f>
        <v>Diego Lopes de Faria</v>
      </c>
      <c r="H5" t="str">
        <f>IFERROR(__xludf.DUMMYFUNCTION("""COMPUTED_VALUE"""),"Instructor Request- Opted Out")</f>
        <v>Instructor Request- Opted Out</v>
      </c>
      <c r="I5" s="142" t="str">
        <f>IFERROR(__xludf.DUMMYFUNCTION("""COMPUTED_VALUE"""),"Finance &amp; Accounting")</f>
        <v>Finance &amp; Accounting</v>
      </c>
      <c r="J5" s="142" t="str">
        <f>IFERROR(__xludf.DUMMYFUNCTION("""COMPUTED_VALUE"""),"Investing &amp; Trading")</f>
        <v>Investing &amp; Trading</v>
      </c>
      <c r="K5">
        <f>IFERROR(__xludf.DUMMYFUNCTION("""COMPUTED_VALUE"""),1692552.0)</f>
        <v>1692552</v>
      </c>
      <c r="L5" s="140" t="str">
        <f>IFERROR(__xludf.DUMMYFUNCTION("""COMPUTED_VALUE"""),"Day Trade e Swing Trade com Análise Técnica")</f>
        <v>Day Trade e Swing Trade com Análise Técnica</v>
      </c>
      <c r="M5" s="155">
        <f>IFERROR(__xludf.DUMMYFUNCTION("""COMPUTED_VALUE"""),2527928.0)</f>
        <v>2527928</v>
      </c>
      <c r="N5" s="140" t="str">
        <f>IFERROR(__xludf.DUMMYFUNCTION("""COMPUTED_VALUE"""),"Day Trading")</f>
        <v>Day Trading</v>
      </c>
    </row>
    <row r="6">
      <c r="A6" s="143">
        <f>IFERROR(__xludf.DUMMYFUNCTION("""COMPUTED_VALUE"""),44530.0)</f>
        <v>44530</v>
      </c>
      <c r="B6">
        <f>IFERROR(__xludf.DUMMYFUNCTION("""COMPUTED_VALUE"""),501290.0)</f>
        <v>501290</v>
      </c>
      <c r="C6" t="str">
        <f>IFERROR(__xludf.DUMMYFUNCTION("""COMPUTED_VALUE"""),"en")</f>
        <v>en</v>
      </c>
      <c r="D6" t="str">
        <f>IFERROR(__xludf.DUMMYFUNCTION("""COMPUTED_VALUE"""),"Blender 3D Complete Volume One")</f>
        <v>Blender 3D Complete Volume One</v>
      </c>
      <c r="E6" t="str">
        <f>IFERROR(__xludf.DUMMYFUNCTION("""COMPUTED_VALUE"""),"Blender 3D Complete Volume One")</f>
        <v>Blender 3D Complete Volume One</v>
      </c>
      <c r="F6">
        <f>IFERROR(__xludf.DUMMYFUNCTION("""COMPUTED_VALUE"""),2154592.0)</f>
        <v>2154592</v>
      </c>
      <c r="G6" t="str">
        <f>IFERROR(__xludf.DUMMYFUNCTION("""COMPUTED_VALUE"""),"3D BUZZ Programming and Digital Art training")</f>
        <v>3D BUZZ Programming and Digital Art training</v>
      </c>
      <c r="H6" t="str">
        <f>IFERROR(__xludf.DUMMYFUNCTION("""COMPUTED_VALUE"""),"3 Flags")</f>
        <v>3 Flags</v>
      </c>
      <c r="I6" s="142" t="str">
        <f>IFERROR(__xludf.DUMMYFUNCTION("""COMPUTED_VALUE"""),"Design")</f>
        <v>Design</v>
      </c>
      <c r="J6" s="142" t="str">
        <f>IFERROR(__xludf.DUMMYFUNCTION("""COMPUTED_VALUE"""),"3D &amp; Animation")</f>
        <v>3D &amp; Animation</v>
      </c>
      <c r="K6">
        <f>IFERROR(__xludf.DUMMYFUNCTION("""COMPUTED_VALUE"""),438522.0)</f>
        <v>438522</v>
      </c>
      <c r="L6" s="140" t="str">
        <f>IFERROR(__xludf.DUMMYFUNCTION("""COMPUTED_VALUE"""),"Complete Blender Creator: Learn 3D Modelling for Beginners")</f>
        <v>Complete Blender Creator: Learn 3D Modelling for Beginners</v>
      </c>
      <c r="N6" s="140" t="str">
        <f>IFERROR(__xludf.DUMMYFUNCTION("""COMPUTED_VALUE"""),"")</f>
        <v/>
      </c>
    </row>
    <row r="7">
      <c r="A7" s="143">
        <f>IFERROR(__xludf.DUMMYFUNCTION("""COMPUTED_VALUE"""),44530.0)</f>
        <v>44530</v>
      </c>
      <c r="B7">
        <f>IFERROR(__xludf.DUMMYFUNCTION("""COMPUTED_VALUE"""),659250.0)</f>
        <v>659250</v>
      </c>
      <c r="C7" t="str">
        <f>IFERROR(__xludf.DUMMYFUNCTION("""COMPUTED_VALUE"""),"pt")</f>
        <v>pt</v>
      </c>
      <c r="D7" t="str">
        <f>IFERROR(__xludf.DUMMYFUNCTION("""COMPUTED_VALUE"""),"Docker: Compreendendo e utilizando !")</f>
        <v>Docker: Compreendendo e utilizando !</v>
      </c>
      <c r="E7" t="str">
        <f>IFERROR(__xludf.DUMMYFUNCTION("""COMPUTED_VALUE"""),"Docker: Understanding and Using!")</f>
        <v>Docker: Understanding and Using!</v>
      </c>
      <c r="F7">
        <f>IFERROR(__xludf.DUMMYFUNCTION("""COMPUTED_VALUE"""),1.7285536E7)</f>
        <v>17285536</v>
      </c>
      <c r="G7" t="str">
        <f>IFERROR(__xludf.DUMMYFUNCTION("""COMPUTED_VALUE"""),"Leandro Augusto Bucardi")</f>
        <v>Leandro Augusto Bucardi</v>
      </c>
      <c r="H7" t="str">
        <f>IFERROR(__xludf.DUMMYFUNCTION("""COMPUTED_VALUE"""),"3 Flags")</f>
        <v>3 Flags</v>
      </c>
      <c r="I7" s="142" t="str">
        <f>IFERROR(__xludf.DUMMYFUNCTION("""COMPUTED_VALUE"""),"Development")</f>
        <v>Development</v>
      </c>
      <c r="J7" s="142" t="str">
        <f>IFERROR(__xludf.DUMMYFUNCTION("""COMPUTED_VALUE"""),"Development Tools")</f>
        <v>Development Tools</v>
      </c>
      <c r="K7">
        <f>IFERROR(__xludf.DUMMYFUNCTION("""COMPUTED_VALUE"""),1137616.0)</f>
        <v>1137616</v>
      </c>
      <c r="L7" s="140" t="str">
        <f>IFERROR(__xludf.DUMMYFUNCTION("""COMPUTED_VALUE"""),"Docker: Ferramenta essencial para Desenvolvedores")</f>
        <v>Docker: Ferramenta essencial para Desenvolvedores</v>
      </c>
      <c r="N7" s="140" t="str">
        <f>IFERROR(__xludf.DUMMYFUNCTION("""COMPUTED_VALUE"""),"")</f>
        <v/>
      </c>
    </row>
    <row r="8">
      <c r="A8" s="143">
        <f>IFERROR(__xludf.DUMMYFUNCTION("""COMPUTED_VALUE"""),44530.0)</f>
        <v>44530</v>
      </c>
      <c r="B8">
        <f>IFERROR(__xludf.DUMMYFUNCTION("""COMPUTED_VALUE"""),1009226.0)</f>
        <v>1009226</v>
      </c>
      <c r="C8" t="str">
        <f>IFERROR(__xludf.DUMMYFUNCTION("""COMPUTED_VALUE"""),"en")</f>
        <v>en</v>
      </c>
      <c r="D8" t="str">
        <f>IFERROR(__xludf.DUMMYFUNCTION("""COMPUTED_VALUE"""),"Mobile Product Design: From Napkin to Launch")</f>
        <v>Mobile Product Design: From Napkin to Launch</v>
      </c>
      <c r="E8" t="str">
        <f>IFERROR(__xludf.DUMMYFUNCTION("""COMPUTED_VALUE"""),"Mobile Product Design: From Napkin to Launch")</f>
        <v>Mobile Product Design: From Napkin to Launch</v>
      </c>
      <c r="F8">
        <f>IFERROR(__xludf.DUMMYFUNCTION("""COMPUTED_VALUE"""),1.421449E7)</f>
        <v>14214490</v>
      </c>
      <c r="G8" t="str">
        <f>IFERROR(__xludf.DUMMYFUNCTION("""COMPUTED_VALUE"""),"Mark Wahlbeck")</f>
        <v>Mark Wahlbeck</v>
      </c>
      <c r="H8" t="str">
        <f>IFERROR(__xludf.DUMMYFUNCTION("""COMPUTED_VALUE"""),"3 Flags")</f>
        <v>3 Flags</v>
      </c>
      <c r="I8" s="142" t="str">
        <f>IFERROR(__xludf.DUMMYFUNCTION("""COMPUTED_VALUE"""),"Design")</f>
        <v>Design</v>
      </c>
      <c r="J8" s="142" t="str">
        <f>IFERROR(__xludf.DUMMYFUNCTION("""COMPUTED_VALUE"""),"Design Tools")</f>
        <v>Design Tools</v>
      </c>
      <c r="L8" s="140" t="str">
        <f>IFERROR(__xludf.DUMMYFUNCTION("""COMPUTED_VALUE"""),"")</f>
        <v/>
      </c>
      <c r="N8" s="140" t="str">
        <f>IFERROR(__xludf.DUMMYFUNCTION("""COMPUTED_VALUE"""),"")</f>
        <v/>
      </c>
      <c r="O8" s="140" t="str">
        <f>IFERROR(__xludf.DUMMYFUNCTION("""COMPUTED_VALUE"""),"No Alternatives in Collection- 5/17/2021")</f>
        <v>No Alternatives in Collection- 5/17/2021</v>
      </c>
    </row>
    <row r="9">
      <c r="A9" s="143">
        <f>IFERROR(__xludf.DUMMYFUNCTION("""COMPUTED_VALUE"""),44530.0)</f>
        <v>44530</v>
      </c>
      <c r="B9">
        <f>IFERROR(__xludf.DUMMYFUNCTION("""COMPUTED_VALUE"""),1388924.0)</f>
        <v>1388924</v>
      </c>
      <c r="C9" t="str">
        <f>IFERROR(__xludf.DUMMYFUNCTION("""COMPUTED_VALUE"""),"de")</f>
        <v>de</v>
      </c>
      <c r="D9" t="str">
        <f>IFERROR(__xludf.DUMMYFUNCTION("""COMPUTED_VALUE"""),"Adobe Photoshop CC: Der große Webdesign-Praxis Kurs!")</f>
        <v>Adobe Photoshop CC: Der große Webdesign-Praxis Kurs!</v>
      </c>
      <c r="E9" t="str">
        <f>IFERROR(__xludf.DUMMYFUNCTION("""COMPUTED_VALUE"""),"Adobe Photoshop CC: The Great Web Design Practice Course!")</f>
        <v>Adobe Photoshop CC: The Great Web Design Practice Course!</v>
      </c>
      <c r="F9">
        <f>IFERROR(__xludf.DUMMYFUNCTION("""COMPUTED_VALUE"""),2.7518898E7)</f>
        <v>27518898</v>
      </c>
      <c r="G9" t="str">
        <f>IFERROR(__xludf.DUMMYFUNCTION("""COMPUTED_VALUE"""),"Laith Wahab")</f>
        <v>Laith Wahab</v>
      </c>
      <c r="H9" t="str">
        <f>IFERROR(__xludf.DUMMYFUNCTION("""COMPUTED_VALUE"""),"3 Flags")</f>
        <v>3 Flags</v>
      </c>
      <c r="I9" s="142" t="str">
        <f>IFERROR(__xludf.DUMMYFUNCTION("""COMPUTED_VALUE"""),"Design")</f>
        <v>Design</v>
      </c>
      <c r="J9" s="142" t="str">
        <f>IFERROR(__xludf.DUMMYFUNCTION("""COMPUTED_VALUE"""),"Web Design")</f>
        <v>Web Design</v>
      </c>
      <c r="K9">
        <f>IFERROR(__xludf.DUMMYFUNCTION("""COMPUTED_VALUE"""),1376910.0)</f>
        <v>1376910</v>
      </c>
      <c r="L9" s="140" t="str">
        <f>IFERROR(__xludf.DUMMYFUNCTION("""COMPUTED_VALUE"""),"Adobe Photoshop CC Masterclass — Vom Einsteiger zum Profi")</f>
        <v>Adobe Photoshop CC Masterclass — Vom Einsteiger zum Profi</v>
      </c>
      <c r="N9" s="140" t="str">
        <f>IFERROR(__xludf.DUMMYFUNCTION("""COMPUTED_VALUE"""),"")</f>
        <v/>
      </c>
    </row>
    <row r="10">
      <c r="A10" s="143">
        <f>IFERROR(__xludf.DUMMYFUNCTION("""COMPUTED_VALUE"""),44530.0)</f>
        <v>44530</v>
      </c>
      <c r="B10">
        <f>IFERROR(__xludf.DUMMYFUNCTION("""COMPUTED_VALUE"""),1619714.0)</f>
        <v>1619714</v>
      </c>
      <c r="C10" t="str">
        <f>IFERROR(__xludf.DUMMYFUNCTION("""COMPUTED_VALUE"""),"es")</f>
        <v>es</v>
      </c>
      <c r="D10" t="str">
        <f>IFERROR(__xludf.DUMMYFUNCTION("""COMPUTED_VALUE"""),"Curso Android UI - Mejora la Interfaz de Usuario de tus Apps")</f>
        <v>Curso Android UI - Mejora la Interfaz de Usuario de tus Apps</v>
      </c>
      <c r="E10" t="str">
        <f>IFERROR(__xludf.DUMMYFUNCTION("""COMPUTED_VALUE"""),"Android Ui Course - Improves the user interface of your Apps")</f>
        <v>Android Ui Course - Improves the user interface of your Apps</v>
      </c>
      <c r="F10">
        <f>IFERROR(__xludf.DUMMYFUNCTION("""COMPUTED_VALUE"""),2.3191974E7)</f>
        <v>23191974</v>
      </c>
      <c r="G10" t="str">
        <f>IFERROR(__xludf.DUMMYFUNCTION("""COMPUTED_VALUE"""),"Alberto Palomar")</f>
        <v>Alberto Palomar</v>
      </c>
      <c r="H10" t="str">
        <f>IFERROR(__xludf.DUMMYFUNCTION("""COMPUTED_VALUE"""),"3 Flags")</f>
        <v>3 Flags</v>
      </c>
      <c r="I10" s="142" t="str">
        <f>IFERROR(__xludf.DUMMYFUNCTION("""COMPUTED_VALUE"""),"Development")</f>
        <v>Development</v>
      </c>
      <c r="J10" s="142" t="str">
        <f>IFERROR(__xludf.DUMMYFUNCTION("""COMPUTED_VALUE"""),"Mobile Development")</f>
        <v>Mobile Development</v>
      </c>
      <c r="L10" s="140" t="str">
        <f>IFERROR(__xludf.DUMMYFUNCTION("""COMPUTED_VALUE"""),"")</f>
        <v/>
      </c>
      <c r="N10" s="140" t="str">
        <f>IFERROR(__xludf.DUMMYFUNCTION("""COMPUTED_VALUE"""),"")</f>
        <v/>
      </c>
      <c r="O10" s="140" t="str">
        <f>IFERROR(__xludf.DUMMYFUNCTION("""COMPUTED_VALUE"""),"No Alternatives in Collection- 5/17/2021")</f>
        <v>No Alternatives in Collection- 5/17/2021</v>
      </c>
    </row>
    <row r="11">
      <c r="A11" s="143">
        <f>IFERROR(__xludf.DUMMYFUNCTION("""COMPUTED_VALUE"""),44530.0)</f>
        <v>44530</v>
      </c>
      <c r="B11">
        <f>IFERROR(__xludf.DUMMYFUNCTION("""COMPUTED_VALUE"""),1778834.0)</f>
        <v>1778834</v>
      </c>
      <c r="C11" t="str">
        <f>IFERROR(__xludf.DUMMYFUNCTION("""COMPUTED_VALUE"""),"pt")</f>
        <v>pt</v>
      </c>
      <c r="D11" t="str">
        <f>IFERROR(__xludf.DUMMYFUNCTION("""COMPUTED_VALUE"""),"Curso de MySQL para iniciantes - com módulo avançado!")</f>
        <v>Curso de MySQL para iniciantes - com módulo avançado!</v>
      </c>
      <c r="E11" t="str">
        <f>IFERROR(__xludf.DUMMYFUNCTION("""COMPUTED_VALUE"""),"MySQL course for beginners - with advanced module!")</f>
        <v>MySQL course for beginners - with advanced module!</v>
      </c>
      <c r="F11">
        <f>IFERROR(__xludf.DUMMYFUNCTION("""COMPUTED_VALUE"""),2.4435926E7)</f>
        <v>24435926</v>
      </c>
      <c r="G11" t="str">
        <f>IFERROR(__xludf.DUMMYFUNCTION("""COMPUTED_VALUE"""),"Aylton Inacio")</f>
        <v>Aylton Inacio</v>
      </c>
      <c r="H11" t="str">
        <f>IFERROR(__xludf.DUMMYFUNCTION("""COMPUTED_VALUE"""),"3 Flags")</f>
        <v>3 Flags</v>
      </c>
      <c r="I11" s="142" t="str">
        <f>IFERROR(__xludf.DUMMYFUNCTION("""COMPUTED_VALUE"""),"Development")</f>
        <v>Development</v>
      </c>
      <c r="J11" s="142" t="str">
        <f>IFERROR(__xludf.DUMMYFUNCTION("""COMPUTED_VALUE"""),"Database Design &amp; Development")</f>
        <v>Database Design &amp; Development</v>
      </c>
      <c r="K11">
        <f>IFERROR(__xludf.DUMMYFUNCTION("""COMPUTED_VALUE"""),2680130.0)</f>
        <v>2680130</v>
      </c>
      <c r="L11" s="140" t="str">
        <f>IFERROR(__xludf.DUMMYFUNCTION("""COMPUTED_VALUE"""),"MySQL - Guia para iniciantes do zero (Curso Rápido)")</f>
        <v>MySQL - Guia para iniciantes do zero (Curso Rápido)</v>
      </c>
      <c r="N11" s="140" t="str">
        <f>IFERROR(__xludf.DUMMYFUNCTION("""COMPUTED_VALUE"""),"")</f>
        <v/>
      </c>
    </row>
    <row r="12">
      <c r="A12" s="143">
        <f>IFERROR(__xludf.DUMMYFUNCTION("""COMPUTED_VALUE"""),44530.0)</f>
        <v>44530</v>
      </c>
      <c r="B12">
        <f>IFERROR(__xludf.DUMMYFUNCTION("""COMPUTED_VALUE"""),2340578.0)</f>
        <v>2340578</v>
      </c>
      <c r="C12" t="str">
        <f>IFERROR(__xludf.DUMMYFUNCTION("""COMPUTED_VALUE"""),"pt")</f>
        <v>pt</v>
      </c>
      <c r="D12" t="str">
        <f>IFERROR(__xludf.DUMMYFUNCTION("""COMPUTED_VALUE"""),"Do Waterfall ao Scrum: Acerte na Mudança do Modelo de Gestão")</f>
        <v>Do Waterfall ao Scrum: Acerte na Mudança do Modelo de Gestão</v>
      </c>
      <c r="E12" t="str">
        <f>IFERROR(__xludf.DUMMYFUNCTION("""COMPUTED_VALUE"""),"Waterfall to Scrum: Hold on change of management model")</f>
        <v>Waterfall to Scrum: Hold on change of management model</v>
      </c>
      <c r="F12">
        <f>IFERROR(__xludf.DUMMYFUNCTION("""COMPUTED_VALUE"""),4.7834422E7)</f>
        <v>47834422</v>
      </c>
      <c r="G12" t="str">
        <f>IFERROR(__xludf.DUMMYFUNCTION("""COMPUTED_VALUE"""),"Leandro Costa")</f>
        <v>Leandro Costa</v>
      </c>
      <c r="H12" t="str">
        <f>IFERROR(__xludf.DUMMYFUNCTION("""COMPUTED_VALUE"""),"3 Flags")</f>
        <v>3 Flags</v>
      </c>
      <c r="I12" s="142" t="str">
        <f>IFERROR(__xludf.DUMMYFUNCTION("""COMPUTED_VALUE"""),"Project Management &amp; Operations")</f>
        <v>Project Management &amp; Operations</v>
      </c>
      <c r="J12" s="142" t="str">
        <f>IFERROR(__xludf.DUMMYFUNCTION("""COMPUTED_VALUE"""),"Agile &amp; Scrum")</f>
        <v>Agile &amp; Scrum</v>
      </c>
      <c r="K12">
        <f>IFERROR(__xludf.DUMMYFUNCTION("""COMPUTED_VALUE"""),2132906.0)</f>
        <v>2132906</v>
      </c>
      <c r="L12" s="140" t="str">
        <f>IFERROR(__xludf.DUMMYFUNCTION("""COMPUTED_VALUE"""),"Certificação Scrum Product Owner: Preparatório COMPLETO")</f>
        <v>Certificação Scrum Product Owner: Preparatório COMPLETO</v>
      </c>
      <c r="N12" s="140" t="str">
        <f>IFERROR(__xludf.DUMMYFUNCTION("""COMPUTED_VALUE"""),"")</f>
        <v/>
      </c>
    </row>
    <row r="13">
      <c r="A13" s="143">
        <f>IFERROR(__xludf.DUMMYFUNCTION("""COMPUTED_VALUE"""),44530.0)</f>
        <v>44530</v>
      </c>
      <c r="B13">
        <f>IFERROR(__xludf.DUMMYFUNCTION("""COMPUTED_VALUE"""),871138.0)</f>
        <v>871138</v>
      </c>
      <c r="C13" t="str">
        <f>IFERROR(__xludf.DUMMYFUNCTION("""COMPUTED_VALUE"""),"en")</f>
        <v>en</v>
      </c>
      <c r="D13" t="str">
        <f>IFERROR(__xludf.DUMMYFUNCTION("""COMPUTED_VALUE"""),"Java Network Programming - TCP/IP Socket Programming")</f>
        <v>Java Network Programming - TCP/IP Socket Programming</v>
      </c>
      <c r="E13" t="str">
        <f>IFERROR(__xludf.DUMMYFUNCTION("""COMPUTED_VALUE"""),"Java Network Programming - TCP/IP Socket Programming")</f>
        <v>Java Network Programming - TCP/IP Socket Programming</v>
      </c>
      <c r="F13">
        <f>IFERROR(__xludf.DUMMYFUNCTION("""COMPUTED_VALUE"""),1.29815E7)</f>
        <v>12981500</v>
      </c>
      <c r="G13" t="str">
        <f>IFERROR(__xludf.DUMMYFUNCTION("""COMPUTED_VALUE"""),"Catalin Baba")</f>
        <v>Catalin Baba</v>
      </c>
      <c r="H13" t="str">
        <f>IFERROR(__xludf.DUMMYFUNCTION("""COMPUTED_VALUE"""),"Low Rating")</f>
        <v>Low Rating</v>
      </c>
      <c r="I13" s="142" t="str">
        <f>IFERROR(__xludf.DUMMYFUNCTION("""COMPUTED_VALUE"""),"Development")</f>
        <v>Development</v>
      </c>
      <c r="J13" s="142" t="str">
        <f>IFERROR(__xludf.DUMMYFUNCTION("""COMPUTED_VALUE"""),"Programming Languages")</f>
        <v>Programming Languages</v>
      </c>
      <c r="L13" s="140" t="str">
        <f>IFERROR(__xludf.DUMMYFUNCTION("""COMPUTED_VALUE"""),"")</f>
        <v/>
      </c>
      <c r="N13" s="140" t="str">
        <f>IFERROR(__xludf.DUMMYFUNCTION("""COMPUTED_VALUE"""),"")</f>
        <v/>
      </c>
      <c r="O13" s="140" t="str">
        <f>IFERROR(__xludf.DUMMYFUNCTION("""COMPUTED_VALUE"""),"No Alternatives in Collection - 5/17")</f>
        <v>No Alternatives in Collection - 5/17</v>
      </c>
    </row>
    <row r="14">
      <c r="A14" s="143">
        <f>IFERROR(__xludf.DUMMYFUNCTION("""COMPUTED_VALUE"""),44530.0)</f>
        <v>44530</v>
      </c>
      <c r="B14">
        <f>IFERROR(__xludf.DUMMYFUNCTION("""COMPUTED_VALUE"""),1262696.0)</f>
        <v>1262696</v>
      </c>
      <c r="C14" t="str">
        <f>IFERROR(__xludf.DUMMYFUNCTION("""COMPUTED_VALUE"""),"en")</f>
        <v>en</v>
      </c>
      <c r="D14" t="str">
        <f>IFERROR(__xludf.DUMMYFUNCTION("""COMPUTED_VALUE"""),"UI Automation with Serenity BDD (Selenium, Cucumber, Junit)")</f>
        <v>UI Automation with Serenity BDD (Selenium, Cucumber, Junit)</v>
      </c>
      <c r="E14" t="str">
        <f>IFERROR(__xludf.DUMMYFUNCTION("""COMPUTED_VALUE"""),"UI Automation with Serenity BDD (Selenium, Cucumber, Junit)")</f>
        <v>UI Automation with Serenity BDD (Selenium, Cucumber, Junit)</v>
      </c>
      <c r="F14">
        <f>IFERROR(__xludf.DUMMYFUNCTION("""COMPUTED_VALUE"""),2.7522982E7)</f>
        <v>27522982</v>
      </c>
      <c r="G14" t="str">
        <f>IFERROR(__xludf.DUMMYFUNCTION("""COMPUTED_VALUE"""),"Tejasvi Hegde")</f>
        <v>Tejasvi Hegde</v>
      </c>
      <c r="H14" t="str">
        <f>IFERROR(__xludf.DUMMYFUNCTION("""COMPUTED_VALUE"""),"Low Rating")</f>
        <v>Low Rating</v>
      </c>
      <c r="I14" s="142" t="str">
        <f>IFERROR(__xludf.DUMMYFUNCTION("""COMPUTED_VALUE"""),"Development")</f>
        <v>Development</v>
      </c>
      <c r="J14" s="142" t="str">
        <f>IFERROR(__xludf.DUMMYFUNCTION("""COMPUTED_VALUE"""),"Software Testing")</f>
        <v>Software Testing</v>
      </c>
      <c r="K14">
        <f>IFERROR(__xludf.DUMMYFUNCTION("""COMPUTED_VALUE"""),1138374.0)</f>
        <v>1138374</v>
      </c>
      <c r="L14" s="140" t="str">
        <f>IFERROR(__xludf.DUMMYFUNCTION("""COMPUTED_VALUE"""),"REST API Automation:REST Assured,Serenity BDD Framework")</f>
        <v>REST API Automation:REST Assured,Serenity BDD Framework</v>
      </c>
      <c r="N14" s="140" t="str">
        <f>IFERROR(__xludf.DUMMYFUNCTION("""COMPUTED_VALUE"""),"")</f>
        <v/>
      </c>
    </row>
    <row r="15">
      <c r="A15" s="143">
        <f>IFERROR(__xludf.DUMMYFUNCTION("""COMPUTED_VALUE"""),44530.0)</f>
        <v>44530</v>
      </c>
      <c r="B15">
        <f>IFERROR(__xludf.DUMMYFUNCTION("""COMPUTED_VALUE"""),1666930.0)</f>
        <v>1666930</v>
      </c>
      <c r="C15" t="str">
        <f>IFERROR(__xludf.DUMMYFUNCTION("""COMPUTED_VALUE"""),"en")</f>
        <v>en</v>
      </c>
      <c r="D15" t="str">
        <f>IFERROR(__xludf.DUMMYFUNCTION("""COMPUTED_VALUE"""),"Learn PHP Symfony Hands-On Creating Real World Application")</f>
        <v>Learn PHP Symfony Hands-On Creating Real World Application</v>
      </c>
      <c r="E15" t="str">
        <f>IFERROR(__xludf.DUMMYFUNCTION("""COMPUTED_VALUE"""),"Learn PHP Symfony Hands-On Creating Real World Application")</f>
        <v>Learn PHP Symfony Hands-On Creating Real World Application</v>
      </c>
      <c r="F15">
        <f>IFERROR(__xludf.DUMMYFUNCTION("""COMPUTED_VALUE"""),7220442.0)</f>
        <v>7220442</v>
      </c>
      <c r="G15" t="str">
        <f>IFERROR(__xludf.DUMMYFUNCTION("""COMPUTED_VALUE"""),"Piotr Jura")</f>
        <v>Piotr Jura</v>
      </c>
      <c r="H15" t="str">
        <f>IFERROR(__xludf.DUMMYFUNCTION("""COMPUTED_VALUE"""),"Low Rating")</f>
        <v>Low Rating</v>
      </c>
      <c r="I15" s="142" t="str">
        <f>IFERROR(__xludf.DUMMYFUNCTION("""COMPUTED_VALUE"""),"Development")</f>
        <v>Development</v>
      </c>
      <c r="J15" s="142" t="str">
        <f>IFERROR(__xludf.DUMMYFUNCTION("""COMPUTED_VALUE"""),"Web Development")</f>
        <v>Web Development</v>
      </c>
      <c r="K15">
        <f>IFERROR(__xludf.DUMMYFUNCTION("""COMPUTED_VALUE"""),1693392.0)</f>
        <v>1693392</v>
      </c>
      <c r="L15" s="140" t="str">
        <f>IFERROR(__xludf.DUMMYFUNCTION("""COMPUTED_VALUE"""),"Symfony API Platform with React Full Stack Masterclass")</f>
        <v>Symfony API Platform with React Full Stack Masterclass</v>
      </c>
      <c r="N15" s="140" t="str">
        <f>IFERROR(__xludf.DUMMYFUNCTION("""COMPUTED_VALUE"""),"")</f>
        <v/>
      </c>
    </row>
    <row r="16">
      <c r="A16" s="143">
        <f>IFERROR(__xludf.DUMMYFUNCTION("""COMPUTED_VALUE"""),44530.0)</f>
        <v>44530</v>
      </c>
      <c r="B16">
        <f>IFERROR(__xludf.DUMMYFUNCTION("""COMPUTED_VALUE"""),2006384.0)</f>
        <v>2006384</v>
      </c>
      <c r="C16" t="str">
        <f>IFERROR(__xludf.DUMMYFUNCTION("""COMPUTED_VALUE"""),"en")</f>
        <v>en</v>
      </c>
      <c r="D16" t="str">
        <f>IFERROR(__xludf.DUMMYFUNCTION("""COMPUTED_VALUE"""),"Python Digital Image Processing From Ground Up™")</f>
        <v>Python Digital Image Processing From Ground Up™</v>
      </c>
      <c r="E16" t="str">
        <f>IFERROR(__xludf.DUMMYFUNCTION("""COMPUTED_VALUE"""),"Python Digital Image Processing From Ground Up™")</f>
        <v>Python Digital Image Processing From Ground Up™</v>
      </c>
      <c r="F16">
        <f>IFERROR(__xludf.DUMMYFUNCTION("""COMPUTED_VALUE"""),2.4388648E7)</f>
        <v>24388648</v>
      </c>
      <c r="G16" t="str">
        <f>IFERROR(__xludf.DUMMYFUNCTION("""COMPUTED_VALUE"""),"Israel Gbati")</f>
        <v>Israel Gbati</v>
      </c>
      <c r="H16" t="str">
        <f>IFERROR(__xludf.DUMMYFUNCTION("""COMPUTED_VALUE"""),"Low Rating")</f>
        <v>Low Rating</v>
      </c>
      <c r="I16" s="142" t="str">
        <f>IFERROR(__xludf.DUMMYFUNCTION("""COMPUTED_VALUE"""),"IT Operations")</f>
        <v>IT Operations</v>
      </c>
      <c r="J16" s="142" t="str">
        <f>IFERROR(__xludf.DUMMYFUNCTION("""COMPUTED_VALUE"""),"Hardware")</f>
        <v>Hardware</v>
      </c>
      <c r="L16" s="140" t="str">
        <f>IFERROR(__xludf.DUMMYFUNCTION("""COMPUTED_VALUE"""),"")</f>
        <v/>
      </c>
      <c r="N16" s="140" t="str">
        <f>IFERROR(__xludf.DUMMYFUNCTION("""COMPUTED_VALUE"""),"")</f>
        <v/>
      </c>
      <c r="O16" s="140" t="str">
        <f>IFERROR(__xludf.DUMMYFUNCTION("""COMPUTED_VALUE"""),"No Alternatives in Collection - 5/17")</f>
        <v>No Alternatives in Collection - 5/17</v>
      </c>
    </row>
    <row r="17">
      <c r="A17" s="143">
        <f>IFERROR(__xludf.DUMMYFUNCTION("""COMPUTED_VALUE"""),44530.0)</f>
        <v>44530</v>
      </c>
      <c r="B17">
        <f>IFERROR(__xludf.DUMMYFUNCTION("""COMPUTED_VALUE"""),2228510.0)</f>
        <v>2228510</v>
      </c>
      <c r="C17" t="str">
        <f>IFERROR(__xludf.DUMMYFUNCTION("""COMPUTED_VALUE"""),"en")</f>
        <v>en</v>
      </c>
      <c r="D17" t="str">
        <f>IFERROR(__xludf.DUMMYFUNCTION("""COMPUTED_VALUE"""),"Splunk Hands-on - The Complete Data Analytics using Splunk")</f>
        <v>Splunk Hands-on - The Complete Data Analytics using Splunk</v>
      </c>
      <c r="E17" t="str">
        <f>IFERROR(__xludf.DUMMYFUNCTION("""COMPUTED_VALUE"""),"Splunk Hands-on - The Complete Data Analytics using Splunk")</f>
        <v>Splunk Hands-on - The Complete Data Analytics using Splunk</v>
      </c>
      <c r="F17">
        <f>IFERROR(__xludf.DUMMYFUNCTION("""COMPUTED_VALUE"""),6.032492E7)</f>
        <v>60324920</v>
      </c>
      <c r="G17" t="str">
        <f>IFERROR(__xludf.DUMMYFUNCTION("""COMPUTED_VALUE"""),"Smart Coders Hub")</f>
        <v>Smart Coders Hub</v>
      </c>
      <c r="H17" t="str">
        <f>IFERROR(__xludf.DUMMYFUNCTION("""COMPUTED_VALUE"""),"Low Rating")</f>
        <v>Low Rating</v>
      </c>
      <c r="I17" s="142" t="str">
        <f>IFERROR(__xludf.DUMMYFUNCTION("""COMPUTED_VALUE"""),"Data Science")</f>
        <v>Data Science</v>
      </c>
      <c r="J17" s="142" t="str">
        <f>IFERROR(__xludf.DUMMYFUNCTION("""COMPUTED_VALUE"""),"Analytics")</f>
        <v>Analytics</v>
      </c>
      <c r="K17">
        <f>IFERROR(__xludf.DUMMYFUNCTION("""COMPUTED_VALUE"""),1838188.0)</f>
        <v>1838188</v>
      </c>
      <c r="L17" s="140" t="str">
        <f>IFERROR(__xludf.DUMMYFUNCTION("""COMPUTED_VALUE"""),"Splunk 2021 - Beginner to Architect")</f>
        <v>Splunk 2021 - Beginner to Architect</v>
      </c>
      <c r="M17" s="155">
        <f>IFERROR(__xludf.DUMMYFUNCTION("""COMPUTED_VALUE"""),2436262.0)</f>
        <v>2436262</v>
      </c>
      <c r="N17" s="140" t="str">
        <f>IFERROR(__xludf.DUMMYFUNCTION("""COMPUTED_VALUE"""),"The Complete Splunk Enterprise Certified Admin Course 2021")</f>
        <v>The Complete Splunk Enterprise Certified Admin Course 2021</v>
      </c>
    </row>
    <row r="18">
      <c r="A18" s="143">
        <f>IFERROR(__xludf.DUMMYFUNCTION("""COMPUTED_VALUE"""),44530.0)</f>
        <v>44530</v>
      </c>
      <c r="B18">
        <f>IFERROR(__xludf.DUMMYFUNCTION("""COMPUTED_VALUE"""),3405088.0)</f>
        <v>3405088</v>
      </c>
      <c r="C18" t="str">
        <f>IFERROR(__xludf.DUMMYFUNCTION("""COMPUTED_VALUE"""),"en")</f>
        <v>en</v>
      </c>
      <c r="D18" t="str">
        <f>IFERROR(__xludf.DUMMYFUNCTION("""COMPUTED_VALUE"""),"MobX In Depth With React(Hooks+TypeScript)")</f>
        <v>MobX In Depth With React(Hooks+TypeScript)</v>
      </c>
      <c r="E18" t="str">
        <f>IFERROR(__xludf.DUMMYFUNCTION("""COMPUTED_VALUE"""),"MobX In Depth With React(Hooks+TypeScript)")</f>
        <v>MobX In Depth With React(Hooks+TypeScript)</v>
      </c>
      <c r="F18">
        <f>IFERROR(__xludf.DUMMYFUNCTION("""COMPUTED_VALUE"""),2.6272942E7)</f>
        <v>26272942</v>
      </c>
      <c r="G18" t="str">
        <f>IFERROR(__xludf.DUMMYFUNCTION("""COMPUTED_VALUE"""),"Georgy Glezer")</f>
        <v>Georgy Glezer</v>
      </c>
      <c r="H18" t="str">
        <f>IFERROR(__xludf.DUMMYFUNCTION("""COMPUTED_VALUE"""),"Low Rating")</f>
        <v>Low Rating</v>
      </c>
      <c r="I18" s="142" t="str">
        <f>IFERROR(__xludf.DUMMYFUNCTION("""COMPUTED_VALUE"""),"Development")</f>
        <v>Development</v>
      </c>
      <c r="J18" s="142" t="str">
        <f>IFERROR(__xludf.DUMMYFUNCTION("""COMPUTED_VALUE"""),"Web Development")</f>
        <v>Web Development</v>
      </c>
      <c r="K18">
        <f>IFERROR(__xludf.DUMMYFUNCTION("""COMPUTED_VALUE"""),2472180.0)</f>
        <v>2472180</v>
      </c>
      <c r="L18" s="140" t="str">
        <f>IFERROR(__xludf.DUMMYFUNCTION("""COMPUTED_VALUE"""),"Complete guide to building an app with .Net Core and React")</f>
        <v>Complete guide to building an app with .Net Core and React</v>
      </c>
      <c r="N18" s="140" t="str">
        <f>IFERROR(__xludf.DUMMYFUNCTION("""COMPUTED_VALUE"""),"")</f>
        <v/>
      </c>
    </row>
    <row r="19">
      <c r="A19" s="143">
        <f>IFERROR(__xludf.DUMMYFUNCTION("""COMPUTED_VALUE"""),44530.0)</f>
        <v>44530</v>
      </c>
      <c r="B19">
        <f>IFERROR(__xludf.DUMMYFUNCTION("""COMPUTED_VALUE"""),3585240.0)</f>
        <v>3585240</v>
      </c>
      <c r="C19" t="str">
        <f>IFERROR(__xludf.DUMMYFUNCTION("""COMPUTED_VALUE"""),"en")</f>
        <v>en</v>
      </c>
      <c r="D19" t="str">
        <f>IFERROR(__xludf.DUMMYFUNCTION("""COMPUTED_VALUE"""),"PCEP Python certification practice test")</f>
        <v>PCEP Python certification practice test</v>
      </c>
      <c r="E19" t="str">
        <f>IFERROR(__xludf.DUMMYFUNCTION("""COMPUTED_VALUE"""),"PCEP Python certification practice test")</f>
        <v>PCEP Python certification practice test</v>
      </c>
      <c r="F19">
        <f>IFERROR(__xludf.DUMMYFUNCTION("""COMPUTED_VALUE"""),5.6757386E7)</f>
        <v>56757386</v>
      </c>
      <c r="G19" t="str">
        <f>IFERROR(__xludf.DUMMYFUNCTION("""COMPUTED_VALUE"""),"Rameel Ahmed")</f>
        <v>Rameel Ahmed</v>
      </c>
      <c r="H19" t="str">
        <f>IFERROR(__xludf.DUMMYFUNCTION("""COMPUTED_VALUE"""),"Low Rating")</f>
        <v>Low Rating</v>
      </c>
      <c r="I19" s="142" t="str">
        <f>IFERROR(__xludf.DUMMYFUNCTION("""COMPUTED_VALUE"""),"IT Operations")</f>
        <v>IT Operations</v>
      </c>
      <c r="J19" s="142" t="str">
        <f>IFERROR(__xludf.DUMMYFUNCTION("""COMPUTED_VALUE"""),"IT Certifications")</f>
        <v>IT Certifications</v>
      </c>
      <c r="K19">
        <f>IFERROR(__xludf.DUMMYFUNCTION("""COMPUTED_VALUE"""),3021148.0)</f>
        <v>3021148</v>
      </c>
      <c r="L19" s="140" t="str">
        <f>IFERROR(__xludf.DUMMYFUNCTION("""COMPUTED_VALUE"""),"Python PCEP Certification Practice Tests")</f>
        <v>Python PCEP Certification Practice Tests</v>
      </c>
      <c r="N19" s="140" t="str">
        <f>IFERROR(__xludf.DUMMYFUNCTION("""COMPUTED_VALUE"""),"")</f>
        <v/>
      </c>
    </row>
    <row r="20">
      <c r="A20" s="143">
        <f>IFERROR(__xludf.DUMMYFUNCTION("""COMPUTED_VALUE"""),44530.0)</f>
        <v>44530</v>
      </c>
      <c r="B20">
        <f>IFERROR(__xludf.DUMMYFUNCTION("""COMPUTED_VALUE"""),3626078.0)</f>
        <v>3626078</v>
      </c>
      <c r="C20" t="str">
        <f>IFERROR(__xludf.DUMMYFUNCTION("""COMPUTED_VALUE"""),"en")</f>
        <v>en</v>
      </c>
      <c r="D20" t="str">
        <f>IFERROR(__xludf.DUMMYFUNCTION("""COMPUTED_VALUE"""),"Lithium Ion Batteries-Fundamentals and Applications")</f>
        <v>Lithium Ion Batteries-Fundamentals and Applications</v>
      </c>
      <c r="E20" t="str">
        <f>IFERROR(__xludf.DUMMYFUNCTION("""COMPUTED_VALUE"""),"Lithium Ion Batteries-Fundamentals and Applications")</f>
        <v>Lithium Ion Batteries-Fundamentals and Applications</v>
      </c>
      <c r="F20">
        <f>IFERROR(__xludf.DUMMYFUNCTION("""COMPUTED_VALUE"""),1.36724567E8)</f>
        <v>136724567</v>
      </c>
      <c r="G20" t="str">
        <f>IFERROR(__xludf.DUMMYFUNCTION("""COMPUTED_VALUE"""),"Dr. Muhammad Naeem")</f>
        <v>Dr. Muhammad Naeem</v>
      </c>
      <c r="H20" t="str">
        <f>IFERROR(__xludf.DUMMYFUNCTION("""COMPUTED_VALUE"""),"Low Rating")</f>
        <v>Low Rating</v>
      </c>
      <c r="I20" s="142" t="str">
        <f>IFERROR(__xludf.DUMMYFUNCTION("""COMPUTED_VALUE"""),"IT Operations")</f>
        <v>IT Operations</v>
      </c>
      <c r="J20" s="142" t="str">
        <f>IFERROR(__xludf.DUMMYFUNCTION("""COMPUTED_VALUE"""),"Hardware")</f>
        <v>Hardware</v>
      </c>
      <c r="L20" s="140" t="str">
        <f>IFERROR(__xludf.DUMMYFUNCTION("""COMPUTED_VALUE"""),"")</f>
        <v/>
      </c>
      <c r="N20" s="140" t="str">
        <f>IFERROR(__xludf.DUMMYFUNCTION("""COMPUTED_VALUE"""),"")</f>
        <v/>
      </c>
      <c r="O20" s="140" t="str">
        <f>IFERROR(__xludf.DUMMYFUNCTION("""COMPUTED_VALUE"""),"No Alternatives in Collection - 5/17")</f>
        <v>No Alternatives in Collection - 5/17</v>
      </c>
    </row>
    <row r="21">
      <c r="A21" s="143">
        <f>IFERROR(__xludf.DUMMYFUNCTION("""COMPUTED_VALUE"""),44530.0)</f>
        <v>44530</v>
      </c>
      <c r="B21">
        <f>IFERROR(__xludf.DUMMYFUNCTION("""COMPUTED_VALUE"""),3657580.0)</f>
        <v>3657580</v>
      </c>
      <c r="C21" t="str">
        <f>IFERROR(__xludf.DUMMYFUNCTION("""COMPUTED_VALUE"""),"en")</f>
        <v>en</v>
      </c>
      <c r="D21" t="str">
        <f>IFERROR(__xludf.DUMMYFUNCTION("""COMPUTED_VALUE"""),"CyberArk Certification - Defender &amp; Sentry Practice Exam")</f>
        <v>CyberArk Certification - Defender &amp; Sentry Practice Exam</v>
      </c>
      <c r="E21" t="str">
        <f>IFERROR(__xludf.DUMMYFUNCTION("""COMPUTED_VALUE"""),"CyberArk Certification - Defender &amp; Sentry Practice Exam")</f>
        <v>CyberArk Certification - Defender &amp; Sentry Practice Exam</v>
      </c>
      <c r="F21">
        <f>IFERROR(__xludf.DUMMYFUNCTION("""COMPUTED_VALUE"""),3.430493E7)</f>
        <v>34304930</v>
      </c>
      <c r="G21" t="str">
        <f>IFERROR(__xludf.DUMMYFUNCTION("""COMPUTED_VALUE"""),"Ali Muhammad")</f>
        <v>Ali Muhammad</v>
      </c>
      <c r="H21" t="str">
        <f>IFERROR(__xludf.DUMMYFUNCTION("""COMPUTED_VALUE"""),"Low Rating")</f>
        <v>Low Rating</v>
      </c>
      <c r="I21" s="142" t="str">
        <f>IFERROR(__xludf.DUMMYFUNCTION("""COMPUTED_VALUE"""),"IT Operations")</f>
        <v>IT Operations</v>
      </c>
      <c r="J21" s="142" t="str">
        <f>IFERROR(__xludf.DUMMYFUNCTION("""COMPUTED_VALUE"""),"IT Certifications")</f>
        <v>IT Certifications</v>
      </c>
      <c r="L21" s="140" t="str">
        <f>IFERROR(__xludf.DUMMYFUNCTION("""COMPUTED_VALUE"""),"")</f>
        <v/>
      </c>
      <c r="N21" s="140" t="str">
        <f>IFERROR(__xludf.DUMMYFUNCTION("""COMPUTED_VALUE"""),"")</f>
        <v/>
      </c>
      <c r="O21" s="140" t="str">
        <f>IFERROR(__xludf.DUMMYFUNCTION("""COMPUTED_VALUE"""),"No Alternatives in Collection - 5/17")</f>
        <v>No Alternatives in Collection - 5/17</v>
      </c>
    </row>
    <row r="22">
      <c r="A22" s="143">
        <f>IFERROR(__xludf.DUMMYFUNCTION("""COMPUTED_VALUE"""),44530.0)</f>
        <v>44530</v>
      </c>
      <c r="B22">
        <f>IFERROR(__xludf.DUMMYFUNCTION("""COMPUTED_VALUE"""),2396820.0)</f>
        <v>2396820</v>
      </c>
      <c r="C22" t="str">
        <f>IFERROR(__xludf.DUMMYFUNCTION("""COMPUTED_VALUE"""),"fr")</f>
        <v>fr</v>
      </c>
      <c r="D22" t="str">
        <f>IFERROR(__xludf.DUMMYFUNCTION("""COMPUTED_VALUE"""),"Créez des animations javascript avec l'HTML Canvas")</f>
        <v>Créez des animations javascript avec l'HTML Canvas</v>
      </c>
      <c r="E22" t="str">
        <f>IFERROR(__xludf.DUMMYFUNCTION("""COMPUTED_VALUE"""),"Create JavaScript entertainment with HTML Canvas")</f>
        <v>Create JavaScript entertainment with HTML Canvas</v>
      </c>
      <c r="F22">
        <f>IFERROR(__xludf.DUMMYFUNCTION("""COMPUTED_VALUE"""),3.6184952E7)</f>
        <v>36184952</v>
      </c>
      <c r="G22" t="str">
        <f>IFERROR(__xludf.DUMMYFUNCTION("""COMPUTED_VALUE"""),"Enzo Ustariz")</f>
        <v>Enzo Ustariz</v>
      </c>
      <c r="H22" t="str">
        <f>IFERROR(__xludf.DUMMYFUNCTION("""COMPUTED_VALUE"""),"Instructor Request- Opted Out")</f>
        <v>Instructor Request- Opted Out</v>
      </c>
      <c r="I22" s="142" t="str">
        <f>IFERROR(__xludf.DUMMYFUNCTION("""COMPUTED_VALUE"""),"Development")</f>
        <v>Development</v>
      </c>
      <c r="J22" s="142" t="str">
        <f>IFERROR(__xludf.DUMMYFUNCTION("""COMPUTED_VALUE"""),"Web Development")</f>
        <v>Web Development</v>
      </c>
      <c r="K22">
        <f>IFERROR(__xludf.DUMMYFUNCTION("""COMPUTED_VALUE"""),2563702.0)</f>
        <v>2563702</v>
      </c>
      <c r="L22" s="140" t="str">
        <f>IFERROR(__xludf.DUMMYFUNCTION("""COMPUTED_VALUE"""),"Apprendre le HTML5 et CSS3 | Débutant à Expert Guide complet")</f>
        <v>Apprendre le HTML5 et CSS3 | Débutant à Expert Guide complet</v>
      </c>
      <c r="M22" s="155">
        <f>IFERROR(__xludf.DUMMYFUNCTION("""COMPUTED_VALUE"""),1697894.0)</f>
        <v>1697894</v>
      </c>
      <c r="N22" s="140" t="str">
        <f>IFERROR(__xludf.DUMMYFUNCTION("""COMPUTED_VALUE"""),"HTML5 et CSS3 : la formation ULTIME")</f>
        <v>HTML5 et CSS3 : la formation ULTIME</v>
      </c>
    </row>
    <row r="23">
      <c r="A23" s="143">
        <f>IFERROR(__xludf.DUMMYFUNCTION("""COMPUTED_VALUE"""),44530.0)</f>
        <v>44530</v>
      </c>
      <c r="B23">
        <f>IFERROR(__xludf.DUMMYFUNCTION("""COMPUTED_VALUE"""),3397204.0)</f>
        <v>3397204</v>
      </c>
      <c r="C23" t="str">
        <f>IFERROR(__xludf.DUMMYFUNCTION("""COMPUTED_VALUE"""),"en")</f>
        <v>en</v>
      </c>
      <c r="D23" t="str">
        <f>IFERROR(__xludf.DUMMYFUNCTION("""COMPUTED_VALUE"""),"SAP - C_CPE_12 Certification - Practice Questions")</f>
        <v>SAP - C_CPE_12 Certification - Practice Questions</v>
      </c>
      <c r="E23" t="str">
        <f>IFERROR(__xludf.DUMMYFUNCTION("""COMPUTED_VALUE"""),"SAP - C_CPE_12 Certification - Practice Questions")</f>
        <v>SAP - C_CPE_12 Certification - Practice Questions</v>
      </c>
      <c r="F23">
        <f>IFERROR(__xludf.DUMMYFUNCTION("""COMPUTED_VALUE"""),1.20517144E8)</f>
        <v>120517144</v>
      </c>
      <c r="G23" t="str">
        <f>IFERROR(__xludf.DUMMYFUNCTION("""COMPUTED_VALUE"""),"Tobias Steckenborn")</f>
        <v>Tobias Steckenborn</v>
      </c>
      <c r="H23" t="str">
        <f>IFERROR(__xludf.DUMMYFUNCTION("""COMPUTED_VALUE"""),"Instructor Request- Opted Out")</f>
        <v>Instructor Request- Opted Out</v>
      </c>
      <c r="I23" s="142" t="str">
        <f>IFERROR(__xludf.DUMMYFUNCTION("""COMPUTED_VALUE"""),"Sales")</f>
        <v>Sales</v>
      </c>
      <c r="J23" s="142" t="str">
        <f>IFERROR(__xludf.DUMMYFUNCTION("""COMPUTED_VALUE"""),"Sales Skills &amp; Tools")</f>
        <v>Sales Skills &amp; Tools</v>
      </c>
      <c r="L23" s="140" t="str">
        <f>IFERROR(__xludf.DUMMYFUNCTION("""COMPUTED_VALUE"""),"")</f>
        <v/>
      </c>
      <c r="N23" s="140" t="str">
        <f>IFERROR(__xludf.DUMMYFUNCTION("""COMPUTED_VALUE"""),"")</f>
        <v/>
      </c>
      <c r="O23" s="140" t="str">
        <f>IFERROR(__xludf.DUMMYFUNCTION("""COMPUTED_VALUE"""),"No Alternatives in Collection- 5/17/2021")</f>
        <v>No Alternatives in Collection- 5/17/2021</v>
      </c>
    </row>
    <row r="24">
      <c r="A24" s="143">
        <f>IFERROR(__xludf.DUMMYFUNCTION("""COMPUTED_VALUE"""),44530.0)</f>
        <v>44530</v>
      </c>
      <c r="B24">
        <f>IFERROR(__xludf.DUMMYFUNCTION("""COMPUTED_VALUE"""),3197064.0)</f>
        <v>3197064</v>
      </c>
      <c r="C24" t="str">
        <f>IFERROR(__xludf.DUMMYFUNCTION("""COMPUTED_VALUE"""),"en")</f>
        <v>en</v>
      </c>
      <c r="D24" t="str">
        <f>IFERROR(__xludf.DUMMYFUNCTION("""COMPUTED_VALUE"""),"SAP - C_CPI_13 Certification - Practice Questions")</f>
        <v>SAP - C_CPI_13 Certification - Practice Questions</v>
      </c>
      <c r="E24" t="str">
        <f>IFERROR(__xludf.DUMMYFUNCTION("""COMPUTED_VALUE"""),"SAP - C_CPI_13 Certification - Practice Questions")</f>
        <v>SAP - C_CPI_13 Certification - Practice Questions</v>
      </c>
      <c r="F24">
        <f>IFERROR(__xludf.DUMMYFUNCTION("""COMPUTED_VALUE"""),1.20517144E8)</f>
        <v>120517144</v>
      </c>
      <c r="G24" t="str">
        <f>IFERROR(__xludf.DUMMYFUNCTION("""COMPUTED_VALUE"""),"Tobias Steckenborn")</f>
        <v>Tobias Steckenborn</v>
      </c>
      <c r="H24" t="str">
        <f>IFERROR(__xludf.DUMMYFUNCTION("""COMPUTED_VALUE"""),"Instructor Request- Opted Out")</f>
        <v>Instructor Request- Opted Out</v>
      </c>
      <c r="I24" s="142" t="str">
        <f>IFERROR(__xludf.DUMMYFUNCTION("""COMPUTED_VALUE"""),"Cloud Computing")</f>
        <v>Cloud Computing</v>
      </c>
      <c r="J24" s="142" t="str">
        <f>IFERROR(__xludf.DUMMYFUNCTION("""COMPUTED_VALUE"""),"Cloud Fundamentals")</f>
        <v>Cloud Fundamentals</v>
      </c>
      <c r="K24">
        <f>IFERROR(__xludf.DUMMYFUNCTION("""COMPUTED_VALUE"""),2281182.0)</f>
        <v>2281182</v>
      </c>
      <c r="L24" s="140" t="str">
        <f>IFERROR(__xludf.DUMMYFUNCTION("""COMPUTED_VALUE"""),"SAP CPI: Overview of SAP Cloud Platform Integration")</f>
        <v>SAP CPI: Overview of SAP Cloud Platform Integration</v>
      </c>
      <c r="N24" s="140" t="str">
        <f>IFERROR(__xludf.DUMMYFUNCTION("""COMPUTED_VALUE"""),"")</f>
        <v/>
      </c>
    </row>
    <row r="25">
      <c r="A25" s="143">
        <f>IFERROR(__xludf.DUMMYFUNCTION("""COMPUTED_VALUE"""),44530.0)</f>
        <v>44530</v>
      </c>
      <c r="B25">
        <f>IFERROR(__xludf.DUMMYFUNCTION("""COMPUTED_VALUE"""),3233977.0)</f>
        <v>3233977</v>
      </c>
      <c r="C25" t="str">
        <f>IFERROR(__xludf.DUMMYFUNCTION("""COMPUTED_VALUE"""),"en")</f>
        <v>en</v>
      </c>
      <c r="D25" t="str">
        <f>IFERROR(__xludf.DUMMYFUNCTION("""COMPUTED_VALUE"""),"SAP - C_ACTIVATE12 Certification - Practice Questions")</f>
        <v>SAP - C_ACTIVATE12 Certification - Practice Questions</v>
      </c>
      <c r="E25" t="str">
        <f>IFERROR(__xludf.DUMMYFUNCTION("""COMPUTED_VALUE"""),"SAP - C_ACTIVATE12 Certification - Practice Questions")</f>
        <v>SAP - C_ACTIVATE12 Certification - Practice Questions</v>
      </c>
      <c r="F25">
        <f>IFERROR(__xludf.DUMMYFUNCTION("""COMPUTED_VALUE"""),1.20517144E8)</f>
        <v>120517144</v>
      </c>
      <c r="G25" t="str">
        <f>IFERROR(__xludf.DUMMYFUNCTION("""COMPUTED_VALUE"""),"Tobias Steckenborn")</f>
        <v>Tobias Steckenborn</v>
      </c>
      <c r="H25" t="str">
        <f>IFERROR(__xludf.DUMMYFUNCTION("""COMPUTED_VALUE"""),"Instructor Request- Opted Out")</f>
        <v>Instructor Request- Opted Out</v>
      </c>
      <c r="I25" s="142" t="str">
        <f>IFERROR(__xludf.DUMMYFUNCTION("""COMPUTED_VALUE"""),"IT Operations")</f>
        <v>IT Operations</v>
      </c>
      <c r="J25" s="142" t="str">
        <f>IFERROR(__xludf.DUMMYFUNCTION("""COMPUTED_VALUE"""),"IT Certifications")</f>
        <v>IT Certifications</v>
      </c>
      <c r="K25">
        <f>IFERROR(__xludf.DUMMYFUNCTION("""COMPUTED_VALUE"""),3346024.0)</f>
        <v>3346024</v>
      </c>
      <c r="L25" s="140" t="str">
        <f>IFERROR(__xludf.DUMMYFUNCTION("""COMPUTED_VALUE"""),"SAP ACTIVATE Project Manager Masterclass (on C_ACTIVATE13)")</f>
        <v>SAP ACTIVATE Project Manager Masterclass (on C_ACTIVATE13)</v>
      </c>
      <c r="N25" s="140" t="str">
        <f>IFERROR(__xludf.DUMMYFUNCTION("""COMPUTED_VALUE"""),"")</f>
        <v/>
      </c>
    </row>
    <row r="26">
      <c r="A26" s="143">
        <f>IFERROR(__xludf.DUMMYFUNCTION("""COMPUTED_VALUE"""),44530.0)</f>
        <v>44530</v>
      </c>
      <c r="B26">
        <f>IFERROR(__xludf.DUMMYFUNCTION("""COMPUTED_VALUE"""),310810.0)</f>
        <v>310810</v>
      </c>
      <c r="C26" t="str">
        <f>IFERROR(__xludf.DUMMYFUNCTION("""COMPUTED_VALUE"""),"en")</f>
        <v>en</v>
      </c>
      <c r="D26" t="str">
        <f>IFERROR(__xludf.DUMMYFUNCTION("""COMPUTED_VALUE"""),"China 101: All you need to succeed in the Middle Kingdom")</f>
        <v>China 101: All you need to succeed in the Middle Kingdom</v>
      </c>
      <c r="E26" t="str">
        <f>IFERROR(__xludf.DUMMYFUNCTION("""COMPUTED_VALUE"""),"China 101: All you need to succeed in the Middle Kingdom")</f>
        <v>China 101: All you need to succeed in the Middle Kingdom</v>
      </c>
      <c r="F26">
        <f>IFERROR(__xludf.DUMMYFUNCTION("""COMPUTED_VALUE"""),6528220.0)</f>
        <v>6528220</v>
      </c>
      <c r="G26" t="str">
        <f>IFERROR(__xludf.DUMMYFUNCTION("""COMPUTED_VALUE"""),"Thibaut Desmons")</f>
        <v>Thibaut Desmons</v>
      </c>
      <c r="H26" t="str">
        <f>IFERROR(__xludf.DUMMYFUNCTION("""COMPUTED_VALUE"""),"T&amp;S")</f>
        <v>T&amp;S</v>
      </c>
      <c r="I26" s="142" t="str">
        <f>IFERROR(__xludf.DUMMYFUNCTION("""COMPUTED_VALUE"""),"Leadership &amp; Management")</f>
        <v>Leadership &amp; Management</v>
      </c>
      <c r="J26" s="142" t="str">
        <f>IFERROR(__xludf.DUMMYFUNCTION("""COMPUTED_VALUE"""),"Strategy")</f>
        <v>Strategy</v>
      </c>
    </row>
    <row r="27">
      <c r="A27" s="143">
        <f>IFERROR(__xludf.DUMMYFUNCTION("""COMPUTED_VALUE"""),44511.0)</f>
        <v>44511</v>
      </c>
      <c r="B27">
        <f>IFERROR(__xludf.DUMMYFUNCTION("""COMPUTED_VALUE"""),3880856.0)</f>
        <v>3880856</v>
      </c>
      <c r="C27" t="str">
        <f>IFERROR(__xludf.DUMMYFUNCTION("""COMPUTED_VALUE"""),"ja")</f>
        <v>ja</v>
      </c>
      <c r="D27" t="str">
        <f>IFERROR(__xludf.DUMMYFUNCTION("""COMPUTED_VALUE"""),"[最短合格]AWS認定 クラウドプラクティショナー(CLF-C01)演習テスト厳選200問 2021年版")</f>
        <v>[最短合格]AWS認定 クラウドプラクティショナー(CLF-C01)演習テスト厳選200問 2021年版</v>
      </c>
      <c r="E27" t="str">
        <f>IFERROR(__xludf.DUMMYFUNCTION("""COMPUTED_VALUE"""),"[Best Pass] AWS Certified Cloud Practitioner (CLF-C01) Exercise Test Strict Election 200 Q2021")</f>
        <v>[Best Pass] AWS Certified Cloud Practitioner (CLF-C01) Exercise Test Strict Election 200 Q2021</v>
      </c>
      <c r="F27">
        <f>IFERROR(__xludf.DUMMYFUNCTION("""COMPUTED_VALUE"""),7.3920256E7)</f>
        <v>73920256</v>
      </c>
      <c r="G27" t="str">
        <f>IFERROR(__xludf.DUMMYFUNCTION("""COMPUTED_VALUE"""),"Satoshi Komakida ")</f>
        <v>Satoshi Komakida </v>
      </c>
      <c r="H27" t="str">
        <f>IFERROR(__xludf.DUMMYFUNCTION("""COMPUTED_VALUE"""),"T&amp;S")</f>
        <v>T&amp;S</v>
      </c>
      <c r="I27" s="142" t="str">
        <f>IFERROR(__xludf.DUMMYFUNCTION("""COMPUTED_VALUE"""),"Cloud Computing")</f>
        <v>Cloud Computing</v>
      </c>
      <c r="J27" s="142" t="str">
        <f>IFERROR(__xludf.DUMMYFUNCTION("""COMPUTED_VALUE"""),"Cloud Certification")</f>
        <v>Cloud Certification</v>
      </c>
    </row>
    <row r="28">
      <c r="A28" s="143">
        <f>IFERROR(__xludf.DUMMYFUNCTION("""COMPUTED_VALUE"""),44503.0)</f>
        <v>44503</v>
      </c>
      <c r="B28">
        <f>IFERROR(__xludf.DUMMYFUNCTION("""COMPUTED_VALUE"""),1162180.0)</f>
        <v>1162180</v>
      </c>
      <c r="C28" t="str">
        <f>IFERROR(__xludf.DUMMYFUNCTION("""COMPUTED_VALUE"""),"en")</f>
        <v>en</v>
      </c>
      <c r="D28" t="str">
        <f>IFERROR(__xludf.DUMMYFUNCTION("""COMPUTED_VALUE"""),"Digital Strategy Formulation: Become a Strategy Consultant")</f>
        <v>Digital Strategy Formulation: Become a Strategy Consultant</v>
      </c>
      <c r="E28" t="str">
        <f>IFERROR(__xludf.DUMMYFUNCTION("""COMPUTED_VALUE"""),"Digital Strategy Formulation: Become a Strategy Consultant")</f>
        <v>Digital Strategy Formulation: Become a Strategy Consultant</v>
      </c>
      <c r="F28">
        <f>IFERROR(__xludf.DUMMYFUNCTION("""COMPUTED_VALUE"""),1.90245E7)</f>
        <v>19024500</v>
      </c>
      <c r="G28" t="str">
        <f>IFERROR(__xludf.DUMMYFUNCTION("""COMPUTED_VALUE"""),"Business Training Solutions	")</f>
        <v>Business Training Solutions	</v>
      </c>
      <c r="H28" t="str">
        <f>IFERROR(__xludf.DUMMYFUNCTION("""COMPUTED_VALUE"""),"T&amp;S")</f>
        <v>T&amp;S</v>
      </c>
      <c r="I28" t="str">
        <f>IFERROR(__xludf.DUMMYFUNCTION("""COMPUTED_VALUE"""),"Leadership &amp; Management")</f>
        <v>Leadership &amp; Management</v>
      </c>
      <c r="J28" t="str">
        <f>IFERROR(__xludf.DUMMYFUNCTION("""COMPUTED_VALUE"""),"Strategy")</f>
        <v>Strategy</v>
      </c>
    </row>
    <row r="29">
      <c r="A29" s="143">
        <f>IFERROR(__xludf.DUMMYFUNCTION("""COMPUTED_VALUE"""),44503.0)</f>
        <v>44503</v>
      </c>
      <c r="B29">
        <f>IFERROR(__xludf.DUMMYFUNCTION("""COMPUTED_VALUE"""),1230710.0)</f>
        <v>1230710</v>
      </c>
      <c r="C29" t="str">
        <f>IFERROR(__xludf.DUMMYFUNCTION("""COMPUTED_VALUE"""),"es")</f>
        <v>es</v>
      </c>
      <c r="D29" t="str">
        <f>IFERROR(__xludf.DUMMYFUNCTION("""COMPUTED_VALUE"""),"Estrategia de Negocio : Conviértete en Consultor Estratégico")</f>
        <v>Estrategia de Negocio : Conviértete en Consultor Estratégico</v>
      </c>
      <c r="E29" t="str">
        <f>IFERROR(__xludf.DUMMYFUNCTION("""COMPUTED_VALUE"""),"Business strategy: Become a strategic consultant")</f>
        <v>Business strategy: Become a strategic consultant</v>
      </c>
      <c r="F29">
        <f>IFERROR(__xludf.DUMMYFUNCTION("""COMPUTED_VALUE"""),1.90245E7)</f>
        <v>19024500</v>
      </c>
      <c r="G29" t="str">
        <f>IFERROR(__xludf.DUMMYFUNCTION("""COMPUTED_VALUE"""),"Business Training Solutions	")</f>
        <v>Business Training Solutions	</v>
      </c>
      <c r="H29" t="str">
        <f>IFERROR(__xludf.DUMMYFUNCTION("""COMPUTED_VALUE"""),"T&amp;S")</f>
        <v>T&amp;S</v>
      </c>
      <c r="I29" t="str">
        <f>IFERROR(__xludf.DUMMYFUNCTION("""COMPUTED_VALUE"""),"Leadership &amp; Management")</f>
        <v>Leadership &amp; Management</v>
      </c>
      <c r="J29" t="str">
        <f>IFERROR(__xludf.DUMMYFUNCTION("""COMPUTED_VALUE"""),"Strategy")</f>
        <v>Strategy</v>
      </c>
    </row>
    <row r="30">
      <c r="A30" s="143">
        <f>IFERROR(__xludf.DUMMYFUNCTION("""COMPUTED_VALUE"""),44503.0)</f>
        <v>44503</v>
      </c>
      <c r="B30">
        <f>IFERROR(__xludf.DUMMYFUNCTION("""COMPUTED_VALUE"""),1214088.0)</f>
        <v>1214088</v>
      </c>
      <c r="C30" t="str">
        <f>IFERROR(__xludf.DUMMYFUNCTION("""COMPUTED_VALUE"""),"es")</f>
        <v>es</v>
      </c>
      <c r="D30" t="str">
        <f>IFERROR(__xludf.DUMMYFUNCTION("""COMPUTED_VALUE"""),"Estrategia de Ventas B2B : Conviértete en un Vendedor Top")</f>
        <v>Estrategia de Ventas B2B : Conviértete en un Vendedor Top</v>
      </c>
      <c r="E30" t="str">
        <f>IFERROR(__xludf.DUMMYFUNCTION("""COMPUTED_VALUE"""),"B2B Sales Strategy: Become a Top Salesman")</f>
        <v>B2B Sales Strategy: Become a Top Salesman</v>
      </c>
      <c r="F30">
        <f>IFERROR(__xludf.DUMMYFUNCTION("""COMPUTED_VALUE"""),1.90245E7)</f>
        <v>19024500</v>
      </c>
      <c r="G30" t="str">
        <f>IFERROR(__xludf.DUMMYFUNCTION("""COMPUTED_VALUE"""),"Business Training Solutions")</f>
        <v>Business Training Solutions</v>
      </c>
      <c r="H30" t="str">
        <f>IFERROR(__xludf.DUMMYFUNCTION("""COMPUTED_VALUE"""),"T&amp;S")</f>
        <v>T&amp;S</v>
      </c>
      <c r="I30" t="str">
        <f>IFERROR(__xludf.DUMMYFUNCTION("""COMPUTED_VALUE"""),"Sales")</f>
        <v>Sales</v>
      </c>
      <c r="J30" t="str">
        <f>IFERROR(__xludf.DUMMYFUNCTION("""COMPUTED_VALUE"""),"Sales Skills &amp; Tools")</f>
        <v>Sales Skills &amp; Tools</v>
      </c>
    </row>
    <row r="31">
      <c r="A31" s="143">
        <f>IFERROR(__xludf.DUMMYFUNCTION("""COMPUTED_VALUE"""),44503.0)</f>
        <v>44503</v>
      </c>
      <c r="B31">
        <f>IFERROR(__xludf.DUMMYFUNCTION("""COMPUTED_VALUE"""),1670634.0)</f>
        <v>1670634</v>
      </c>
      <c r="C31" t="str">
        <f>IFERROR(__xludf.DUMMYFUNCTION("""COMPUTED_VALUE"""),"en")</f>
        <v>en</v>
      </c>
      <c r="D31" t="str">
        <f>IFERROR(__xludf.DUMMYFUNCTION("""COMPUTED_VALUE"""),"GDPR - A 3-Step Process for applying GDPR +Tools +Templates™")</f>
        <v>GDPR - A 3-Step Process for applying GDPR +Tools +Templates™</v>
      </c>
      <c r="E31" t="str">
        <f>IFERROR(__xludf.DUMMYFUNCTION("""COMPUTED_VALUE"""),"GDPR - A 3-Step Process for applying GDPR +Tools +Templates™")</f>
        <v>GDPR - A 3-Step Process for applying GDPR +Tools +Templates™</v>
      </c>
      <c r="F31">
        <f>IFERROR(__xludf.DUMMYFUNCTION("""COMPUTED_VALUE"""),3062286.0)</f>
        <v>3062286</v>
      </c>
      <c r="G31" t="str">
        <f>IFERROR(__xludf.DUMMYFUNCTION("""COMPUTED_VALUE"""),"Dr. Chris Mall • 30,000+ Students Worldwide	")</f>
        <v>Dr. Chris Mall • 30,000+ Students Worldwide	</v>
      </c>
      <c r="H31" t="str">
        <f>IFERROR(__xludf.DUMMYFUNCTION("""COMPUTED_VALUE"""),"T&amp;S")</f>
        <v>T&amp;S</v>
      </c>
      <c r="I31" t="str">
        <f>IFERROR(__xludf.DUMMYFUNCTION("""COMPUTED_VALUE"""),"IT Operations")</f>
        <v>IT Operations</v>
      </c>
      <c r="J31" t="str">
        <f>IFERROR(__xludf.DUMMYFUNCTION("""COMPUTED_VALUE"""),"Network &amp; Security")</f>
        <v>Network &amp; Security</v>
      </c>
    </row>
    <row r="32">
      <c r="A32" s="143">
        <f>IFERROR(__xludf.DUMMYFUNCTION("""COMPUTED_VALUE"""),44503.0)</f>
        <v>44503</v>
      </c>
      <c r="B32">
        <f>IFERROR(__xludf.DUMMYFUNCTION("""COMPUTED_VALUE"""),2080272.0)</f>
        <v>2080272</v>
      </c>
      <c r="C32" t="str">
        <f>IFERROR(__xludf.DUMMYFUNCTION("""COMPUTED_VALUE"""),"en")</f>
        <v>en</v>
      </c>
      <c r="D32" t="str">
        <f>IFERROR(__xludf.DUMMYFUNCTION("""COMPUTED_VALUE"""),"Java Certification SE 1Z0-808 Masterclass + Practice Exams™")</f>
        <v>Java Certification SE 1Z0-808 Masterclass + Practice Exams™</v>
      </c>
      <c r="E32" t="str">
        <f>IFERROR(__xludf.DUMMYFUNCTION("""COMPUTED_VALUE"""),"Java Certification SE 1Z0-808 Masterclass + Practice Exams™")</f>
        <v>Java Certification SE 1Z0-808 Masterclass + Practice Exams™</v>
      </c>
      <c r="F32">
        <f>IFERROR(__xludf.DUMMYFUNCTION("""COMPUTED_VALUE"""),3062286.0)</f>
        <v>3062286</v>
      </c>
      <c r="G32" t="str">
        <f>IFERROR(__xludf.DUMMYFUNCTION("""COMPUTED_VALUE"""),"Dr. Chris Mall • 30,000+ Students Worldwide	")</f>
        <v>Dr. Chris Mall • 30,000+ Students Worldwide	</v>
      </c>
      <c r="H32" t="str">
        <f>IFERROR(__xludf.DUMMYFUNCTION("""COMPUTED_VALUE"""),"T&amp;S")</f>
        <v>T&amp;S</v>
      </c>
      <c r="I32" t="str">
        <f>IFERROR(__xludf.DUMMYFUNCTION("""COMPUTED_VALUE"""),"IT Operations")</f>
        <v>IT Operations</v>
      </c>
      <c r="J32" s="142" t="str">
        <f>IFERROR(__xludf.DUMMYFUNCTION("""COMPUTED_VALUE"""),"IT Certifications")</f>
        <v>IT Certifications</v>
      </c>
    </row>
    <row r="33">
      <c r="A33" s="143">
        <f>IFERROR(__xludf.DUMMYFUNCTION("""COMPUTED_VALUE"""),44503.0)</f>
        <v>44503</v>
      </c>
      <c r="B33">
        <f>IFERROR(__xludf.DUMMYFUNCTION("""COMPUTED_VALUE"""),2264930.0)</f>
        <v>2264930</v>
      </c>
      <c r="C33" t="str">
        <f>IFERROR(__xludf.DUMMYFUNCTION("""COMPUTED_VALUE"""),"en")</f>
        <v>en</v>
      </c>
      <c r="D33" t="str">
        <f>IFERROR(__xludf.DUMMYFUNCTION("""COMPUTED_VALUE"""),"Java MTA - Introduction to Programming Using Java 98-388")</f>
        <v>Java MTA - Introduction to Programming Using Java 98-388</v>
      </c>
      <c r="E33" t="str">
        <f>IFERROR(__xludf.DUMMYFUNCTION("""COMPUTED_VALUE"""),"Java MTA - Introduction to Programming Using Java 98-388")</f>
        <v>Java MTA - Introduction to Programming Using Java 98-388</v>
      </c>
      <c r="F33">
        <f>IFERROR(__xludf.DUMMYFUNCTION("""COMPUTED_VALUE"""),3062286.0)</f>
        <v>3062286</v>
      </c>
      <c r="G33" t="str">
        <f>IFERROR(__xludf.DUMMYFUNCTION("""COMPUTED_VALUE"""),"Dr. Chris Mall • 30,000+ Students Worldwide	")</f>
        <v>Dr. Chris Mall • 30,000+ Students Worldwide	</v>
      </c>
      <c r="H33" t="str">
        <f>IFERROR(__xludf.DUMMYFUNCTION("""COMPUTED_VALUE"""),"T&amp;S")</f>
        <v>T&amp;S</v>
      </c>
      <c r="I33" t="str">
        <f>IFERROR(__xludf.DUMMYFUNCTION("""COMPUTED_VALUE"""),"IT Operations")</f>
        <v>IT Operations</v>
      </c>
      <c r="J33" s="142" t="str">
        <f>IFERROR(__xludf.DUMMYFUNCTION("""COMPUTED_VALUE"""),"IT Certifications")</f>
        <v>IT Certifications</v>
      </c>
    </row>
    <row r="34">
      <c r="A34" s="143">
        <f>IFERROR(__xludf.DUMMYFUNCTION("""COMPUTED_VALUE"""),44503.0)</f>
        <v>44503</v>
      </c>
      <c r="B34">
        <f>IFERROR(__xludf.DUMMYFUNCTION("""COMPUTED_VALUE"""),2088252.0)</f>
        <v>2088252</v>
      </c>
      <c r="C34" t="str">
        <f>IFERROR(__xludf.DUMMYFUNCTION("""COMPUTED_VALUE"""),"en")</f>
        <v>en</v>
      </c>
      <c r="D34" t="str">
        <f>IFERROR(__xludf.DUMMYFUNCTION("""COMPUTED_VALUE"""),"MCSD 70-483 C# Preparation Course + 2 Full Practice Exams")</f>
        <v>MCSD 70-483 C# Preparation Course + 2 Full Practice Exams</v>
      </c>
      <c r="E34" t="str">
        <f>IFERROR(__xludf.DUMMYFUNCTION("""COMPUTED_VALUE"""),"MCSD 70-483 C# Preparation Course + 2 Full Practice Exams")</f>
        <v>MCSD 70-483 C# Preparation Course + 2 Full Practice Exams</v>
      </c>
      <c r="F34">
        <f>IFERROR(__xludf.DUMMYFUNCTION("""COMPUTED_VALUE"""),3062286.0)</f>
        <v>3062286</v>
      </c>
      <c r="G34" t="str">
        <f>IFERROR(__xludf.DUMMYFUNCTION("""COMPUTED_VALUE"""),"Dr. Chris Mall • 30,000+ Students Worldwide	")</f>
        <v>Dr. Chris Mall • 30,000+ Students Worldwide	</v>
      </c>
      <c r="H34" t="str">
        <f>IFERROR(__xludf.DUMMYFUNCTION("""COMPUTED_VALUE"""),"T&amp;S")</f>
        <v>T&amp;S</v>
      </c>
      <c r="I34" t="str">
        <f>IFERROR(__xludf.DUMMYFUNCTION("""COMPUTED_VALUE"""),"IT Operations")</f>
        <v>IT Operations</v>
      </c>
      <c r="J34" s="142" t="str">
        <f>IFERROR(__xludf.DUMMYFUNCTION("""COMPUTED_VALUE"""),"IT Certifications")</f>
        <v>IT Certifications</v>
      </c>
    </row>
    <row r="35">
      <c r="A35" s="143">
        <f>IFERROR(__xludf.DUMMYFUNCTION("""COMPUTED_VALUE"""),44482.0)</f>
        <v>44482</v>
      </c>
      <c r="B35">
        <f>IFERROR(__xludf.DUMMYFUNCTION("""COMPUTED_VALUE"""),2015118.0)</f>
        <v>2015118</v>
      </c>
      <c r="C35" t="str">
        <f>IFERROR(__xludf.DUMMYFUNCTION("""COMPUTED_VALUE"""),"es")</f>
        <v>es</v>
      </c>
      <c r="D35" t="str">
        <f>IFERROR(__xludf.DUMMYFUNCTION("""COMPUTED_VALUE"""),"[2021] Gestiona tu Proyecto Scrum con Jira Agile")</f>
        <v>[2021] Gestiona tu Proyecto Scrum con Jira Agile</v>
      </c>
      <c r="E35" t="str">
        <f>IFERROR(__xludf.DUMMYFUNCTION("""COMPUTED_VALUE"""),"[2021] Manage your Scrum project with Jira Agile")</f>
        <v>[2021] Manage your Scrum project with Jira Agile</v>
      </c>
      <c r="F35">
        <f>IFERROR(__xludf.DUMMYFUNCTION("""COMPUTED_VALUE"""),1.5792104E7)</f>
        <v>15792104</v>
      </c>
      <c r="G35" t="str">
        <f>IFERROR(__xludf.DUMMYFUNCTION("""COMPUTED_VALUE"""),"Hector Bravo")</f>
        <v>Hector Bravo</v>
      </c>
      <c r="H35" t="str">
        <f>IFERROR(__xludf.DUMMYFUNCTION("""COMPUTED_VALUE"""),"T&amp;S")</f>
        <v>T&amp;S</v>
      </c>
      <c r="I35" t="str">
        <f>IFERROR(__xludf.DUMMYFUNCTION("""COMPUTED_VALUE"""),"Office Productivity")</f>
        <v>Office Productivity</v>
      </c>
      <c r="J35" t="str">
        <f>IFERROR(__xludf.DUMMYFUNCTION("""COMPUTED_VALUE"""),"Collaboration")</f>
        <v>Collaboration</v>
      </c>
      <c r="K35">
        <f>IFERROR(__xludf.DUMMYFUNCTION("""COMPUTED_VALUE"""),2027872.0)</f>
        <v>2027872</v>
      </c>
      <c r="L35" s="140" t="str">
        <f>IFERROR(__xludf.DUMMYFUNCTION("""COMPUTED_VALUE"""),"Domina SCRUM con JIRA - Metodología Agile [2021]	")</f>
        <v>Domina SCRUM con JIRA - Metodología Agile [2021]	</v>
      </c>
    </row>
    <row r="36">
      <c r="A36" s="143">
        <f>IFERROR(__xludf.DUMMYFUNCTION("""COMPUTED_VALUE"""),44482.0)</f>
        <v>44482</v>
      </c>
      <c r="B36">
        <f>IFERROR(__xludf.DUMMYFUNCTION("""COMPUTED_VALUE"""),1893356.0)</f>
        <v>1893356</v>
      </c>
      <c r="C36" t="str">
        <f>IFERROR(__xludf.DUMMYFUNCTION("""COMPUTED_VALUE"""),"es")</f>
        <v>es</v>
      </c>
      <c r="D36" t="str">
        <f>IFERROR(__xludf.DUMMYFUNCTION("""COMPUTED_VALUE"""),"[2021] SCRUM Práctico en Proyectos de Software")</f>
        <v>[2021] SCRUM Práctico en Proyectos de Software</v>
      </c>
      <c r="E36" t="str">
        <f>IFERROR(__xludf.DUMMYFUNCTION("""COMPUTED_VALUE"""),"[2021] Practical scrum in software projects")</f>
        <v>[2021] Practical scrum in software projects</v>
      </c>
      <c r="F36">
        <f>IFERROR(__xludf.DUMMYFUNCTION("""COMPUTED_VALUE"""),1.5792104E7)</f>
        <v>15792104</v>
      </c>
      <c r="G36" t="str">
        <f>IFERROR(__xludf.DUMMYFUNCTION("""COMPUTED_VALUE"""),"Hector Bravo")</f>
        <v>Hector Bravo</v>
      </c>
      <c r="H36" t="str">
        <f>IFERROR(__xludf.DUMMYFUNCTION("""COMPUTED_VALUE"""),"T&amp;S")</f>
        <v>T&amp;S</v>
      </c>
      <c r="I36" t="str">
        <f>IFERROR(__xludf.DUMMYFUNCTION("""COMPUTED_VALUE"""),"Project Management &amp; Operations")</f>
        <v>Project Management &amp; Operations</v>
      </c>
      <c r="J36" t="str">
        <f>IFERROR(__xludf.DUMMYFUNCTION("""COMPUTED_VALUE"""),"Agile &amp; Scrum")</f>
        <v>Agile &amp; Scrum</v>
      </c>
      <c r="K36">
        <f>IFERROR(__xludf.DUMMYFUNCTION("""COMPUTED_VALUE"""),1798680.0)</f>
        <v>1798680</v>
      </c>
      <c r="L36" s="140" t="str">
        <f>IFERROR(__xludf.DUMMYFUNCTION("""COMPUTED_VALUE"""),"Especialización en Gestión de Proyectos [2021]	")</f>
        <v>Especialización en Gestión de Proyectos [2021]	</v>
      </c>
    </row>
    <row r="37">
      <c r="A37" s="143">
        <f>IFERROR(__xludf.DUMMYFUNCTION("""COMPUTED_VALUE"""),44482.0)</f>
        <v>44482</v>
      </c>
      <c r="B37">
        <f>IFERROR(__xludf.DUMMYFUNCTION("""COMPUTED_VALUE"""),3939218.0)</f>
        <v>3939218</v>
      </c>
      <c r="C37" t="str">
        <f>IFERROR(__xludf.DUMMYFUNCTION("""COMPUTED_VALUE"""),"es")</f>
        <v>es</v>
      </c>
      <c r="D37" t="str">
        <f>IFERROR(__xludf.DUMMYFUNCTION("""COMPUTED_VALUE"""),"Implementa una Mesa de Ayuda con Jira Service Management")</f>
        <v>Implementa una Mesa de Ayuda con Jira Service Management</v>
      </c>
      <c r="E37" t="str">
        <f>IFERROR(__xludf.DUMMYFUNCTION("""COMPUTED_VALUE"""),"Implement a Help Table with Jira Service Management")</f>
        <v>Implement a Help Table with Jira Service Management</v>
      </c>
      <c r="F37">
        <f>IFERROR(__xludf.DUMMYFUNCTION("""COMPUTED_VALUE"""),1.5792104E7)</f>
        <v>15792104</v>
      </c>
      <c r="G37" t="str">
        <f>IFERROR(__xludf.DUMMYFUNCTION("""COMPUTED_VALUE"""),"Hector Bravo")</f>
        <v>Hector Bravo</v>
      </c>
      <c r="H37" t="str">
        <f>IFERROR(__xludf.DUMMYFUNCTION("""COMPUTED_VALUE"""),"T&amp;S")</f>
        <v>T&amp;S</v>
      </c>
      <c r="I37" t="str">
        <f>IFERROR(__xludf.DUMMYFUNCTION("""COMPUTED_VALUE"""),"Project Management &amp; Operations")</f>
        <v>Project Management &amp; Operations</v>
      </c>
      <c r="J37" t="str">
        <f>IFERROR(__xludf.DUMMYFUNCTION("""COMPUTED_VALUE"""),"Project Management Tools")</f>
        <v>Project Management Tools</v>
      </c>
      <c r="K37">
        <f>IFERROR(__xludf.DUMMYFUNCTION("""COMPUTED_VALUE"""),2027872.0)</f>
        <v>2027872</v>
      </c>
      <c r="L37" s="140" t="str">
        <f>IFERROR(__xludf.DUMMYFUNCTION("""COMPUTED_VALUE"""),"Domina SCRUM con JIRA - Metodología Agile [2021]	")</f>
        <v>Domina SCRUM con JIRA - Metodología Agile [2021]	</v>
      </c>
    </row>
    <row r="38">
      <c r="A38" s="143">
        <f>IFERROR(__xludf.DUMMYFUNCTION("""COMPUTED_VALUE"""),44127.0)</f>
        <v>44127</v>
      </c>
      <c r="B38">
        <f>IFERROR(__xludf.DUMMYFUNCTION("""COMPUTED_VALUE"""),3259746.0)</f>
        <v>3259746</v>
      </c>
      <c r="C38" t="str">
        <f>IFERROR(__xludf.DUMMYFUNCTION("""COMPUTED_VALUE"""),"en")</f>
        <v>en</v>
      </c>
      <c r="D38" t="str">
        <f>IFERROR(__xludf.DUMMYFUNCTION("""COMPUTED_VALUE"""),"AZ-304 : Microsoft Azure Architect Design Practice Tests")</f>
        <v>AZ-304 : Microsoft Azure Architect Design Practice Tests</v>
      </c>
      <c r="E38" t="str">
        <f>IFERROR(__xludf.DUMMYFUNCTION("""COMPUTED_VALUE"""),"AZ-304 : Microsoft Azure Architect Design Practice Tests")</f>
        <v>AZ-304 : Microsoft Azure Architect Design Practice Tests</v>
      </c>
      <c r="F38">
        <f>IFERROR(__xludf.DUMMYFUNCTION("""COMPUTED_VALUE"""),9.7321812E7)</f>
        <v>97321812</v>
      </c>
      <c r="G38" t="str">
        <f>IFERROR(__xludf.DUMMYFUNCTION("""COMPUTED_VALUE"""),"Com Tech")</f>
        <v>Com Tech</v>
      </c>
      <c r="H38" t="str">
        <f>IFERROR(__xludf.DUMMYFUNCTION("""COMPUTED_VALUE"""),"T&amp;S")</f>
        <v>T&amp;S</v>
      </c>
      <c r="I38" t="str">
        <f>IFERROR(__xludf.DUMMYFUNCTION("""COMPUTED_VALUE"""),"IT Operations")</f>
        <v>IT Operations</v>
      </c>
      <c r="J38" t="str">
        <f>IFERROR(__xludf.DUMMYFUNCTION("""COMPUTED_VALUE"""),"IT Certifications")</f>
        <v>IT Certifications</v>
      </c>
      <c r="K38">
        <f>IFERROR(__xludf.DUMMYFUNCTION("""COMPUTED_VALUE"""),2741358.0)</f>
        <v>2741358</v>
      </c>
      <c r="L38" s="140" t="str">
        <f>IFERROR(__xludf.DUMMYFUNCTION("""COMPUTED_VALUE"""),"AZ-304 Microsoft Azure Architect Design Certification 2021	")</f>
        <v>AZ-304 Microsoft Azure Architect Design Certification 2021	</v>
      </c>
      <c r="M38" s="155">
        <f>IFERROR(__xludf.DUMMYFUNCTION("""COMPUTED_VALUE"""),2102548.0)</f>
        <v>2102548</v>
      </c>
      <c r="N38" s="140" t="str">
        <f>IFERROR(__xludf.DUMMYFUNCTION("""COMPUTED_VALUE"""),"AZ-304 Azure Architect Design Exam Prep 2021	")</f>
        <v>AZ-304 Azure Architect Design Exam Prep 2021	</v>
      </c>
    </row>
    <row r="39">
      <c r="A39" s="143">
        <f>IFERROR(__xludf.DUMMYFUNCTION("""COMPUTED_VALUE"""),44200.0)</f>
        <v>44200</v>
      </c>
      <c r="B39" s="140">
        <f>IFERROR(__xludf.DUMMYFUNCTION("""COMPUTED_VALUE"""),2597566.0)</f>
        <v>2597566</v>
      </c>
      <c r="C39" t="str">
        <f>IFERROR(__xludf.DUMMYFUNCTION("""COMPUTED_VALUE"""),"en")</f>
        <v>en</v>
      </c>
      <c r="D39" s="140" t="str">
        <f>IFERROR(__xludf.DUMMYFUNCTION("""COMPUTED_VALUE"""),"Automation Anywhere Advanced RPA Professional - Mock Test")</f>
        <v>Automation Anywhere Advanced RPA Professional - Mock Test</v>
      </c>
      <c r="E39" t="str">
        <f>IFERROR(__xludf.DUMMYFUNCTION("""COMPUTED_VALUE"""),"Automation Anywhere Advanced RPA Professional - Mock Test")</f>
        <v>Automation Anywhere Advanced RPA Professional - Mock Test</v>
      </c>
      <c r="F39" s="140">
        <f>IFERROR(__xludf.DUMMYFUNCTION("""COMPUTED_VALUE"""),8.3674298E7)</f>
        <v>83674298</v>
      </c>
      <c r="G39" s="140" t="str">
        <f>IFERROR(__xludf.DUMMYFUNCTION("""COMPUTED_VALUE"""),"BINKIS DEV")</f>
        <v>BINKIS DEV</v>
      </c>
      <c r="H39" t="str">
        <f>IFERROR(__xludf.DUMMYFUNCTION("""COMPUTED_VALUE"""),"Instructor Request- No Detail")</f>
        <v>Instructor Request- No Detail</v>
      </c>
      <c r="I39" t="str">
        <f>IFERROR(__xludf.DUMMYFUNCTION("""COMPUTED_VALUE"""),"Data Science")</f>
        <v>Data Science</v>
      </c>
      <c r="J39" s="142" t="str">
        <f>IFERROR(__xludf.DUMMYFUNCTION("""COMPUTED_VALUE"""),"Machine Learning")</f>
        <v>Machine Learning</v>
      </c>
      <c r="L39" s="140" t="str">
        <f>IFERROR(__xludf.DUMMYFUNCTION("""COMPUTED_VALUE"""),"")</f>
        <v/>
      </c>
      <c r="N39" s="140" t="str">
        <f>IFERROR(__xludf.DUMMYFUNCTION("""COMPUTED_VALUE"""),"")</f>
        <v/>
      </c>
      <c r="O39" s="140" t="str">
        <f>IFERROR(__xludf.DUMMYFUNCTION("""COMPUTED_VALUE"""),"No Alternatives in Collection- 8/06/2020")</f>
        <v>No Alternatives in Collection- 8/06/2020</v>
      </c>
    </row>
    <row r="40">
      <c r="A40" s="143">
        <f>IFERROR(__xludf.DUMMYFUNCTION("""COMPUTED_VALUE"""),44200.0)</f>
        <v>44200</v>
      </c>
      <c r="B40" s="140">
        <f>IFERROR(__xludf.DUMMYFUNCTION("""COMPUTED_VALUE"""),2598664.0)</f>
        <v>2598664</v>
      </c>
      <c r="C40" t="str">
        <f>IFERROR(__xludf.DUMMYFUNCTION("""COMPUTED_VALUE"""),"en")</f>
        <v>en</v>
      </c>
      <c r="D40" s="140" t="str">
        <f>IFERROR(__xludf.DUMMYFUNCTION("""COMPUTED_VALUE"""),"UiPath Certified RPA Developer - Mock Test")</f>
        <v>UiPath Certified RPA Developer - Mock Test</v>
      </c>
      <c r="E40" t="str">
        <f>IFERROR(__xludf.DUMMYFUNCTION("""COMPUTED_VALUE"""),"UiPath Certified RPA Developer - Mock Test")</f>
        <v>UiPath Certified RPA Developer - Mock Test</v>
      </c>
      <c r="F40" s="140">
        <f>IFERROR(__xludf.DUMMYFUNCTION("""COMPUTED_VALUE"""),8.3674298E7)</f>
        <v>83674298</v>
      </c>
      <c r="G40" s="140" t="str">
        <f>IFERROR(__xludf.DUMMYFUNCTION("""COMPUTED_VALUE"""),"BINKIS DEV")</f>
        <v>BINKIS DEV</v>
      </c>
      <c r="H40" t="str">
        <f>IFERROR(__xludf.DUMMYFUNCTION("""COMPUTED_VALUE"""),"Instructor Request- No Detail")</f>
        <v>Instructor Request- No Detail</v>
      </c>
      <c r="I40" t="str">
        <f>IFERROR(__xludf.DUMMYFUNCTION("""COMPUTED_VALUE"""),"IT Operations")</f>
        <v>IT Operations</v>
      </c>
      <c r="J40" s="142" t="str">
        <f>IFERROR(__xludf.DUMMYFUNCTION("""COMPUTED_VALUE"""),"IT Certifications")</f>
        <v>IT Certifications</v>
      </c>
      <c r="L40" s="140" t="str">
        <f>IFERROR(__xludf.DUMMYFUNCTION("""COMPUTED_VALUE"""),"")</f>
        <v/>
      </c>
      <c r="N40" s="140" t="str">
        <f>IFERROR(__xludf.DUMMYFUNCTION("""COMPUTED_VALUE"""),"")</f>
        <v/>
      </c>
      <c r="O40" s="140" t="str">
        <f>IFERROR(__xludf.DUMMYFUNCTION("""COMPUTED_VALUE"""),"No Alternatives in Collection- 8/06/2020")</f>
        <v>No Alternatives in Collection- 8/06/2020</v>
      </c>
    </row>
    <row r="41">
      <c r="A41" s="143">
        <f>IFERROR(__xludf.DUMMYFUNCTION("""COMPUTED_VALUE"""),44202.0)</f>
        <v>44202</v>
      </c>
      <c r="B41" s="140">
        <f>IFERROR(__xludf.DUMMYFUNCTION("""COMPUTED_VALUE"""),2232500.0)</f>
        <v>2232500</v>
      </c>
      <c r="C41" t="str">
        <f>IFERROR(__xludf.DUMMYFUNCTION("""COMPUTED_VALUE"""),"en")</f>
        <v>en</v>
      </c>
      <c r="D41" t="str">
        <f>IFERROR(__xludf.DUMMYFUNCTION("""COMPUTED_VALUE"""),"HR Analytics - Analytics in Talent Management")</f>
        <v>HR Analytics - Analytics in Talent Management</v>
      </c>
      <c r="E41" t="str">
        <f>IFERROR(__xludf.DUMMYFUNCTION("""COMPUTED_VALUE"""),"HR Analytics - Analytics in Talent Management")</f>
        <v>HR Analytics - Analytics in Talent Management</v>
      </c>
      <c r="F41" s="140">
        <f>IFERROR(__xludf.DUMMYFUNCTION("""COMPUTED_VALUE"""),1752370.0)</f>
        <v>1752370</v>
      </c>
      <c r="G41" s="140" t="str">
        <f>IFERROR(__xludf.DUMMYFUNCTION("""COMPUTED_VALUE"""),"Jigsaw Academy")</f>
        <v>Jigsaw Academy</v>
      </c>
      <c r="H41" t="str">
        <f>IFERROR(__xludf.DUMMYFUNCTION("""COMPUTED_VALUE"""),"Instructor Practices")</f>
        <v>Instructor Practices</v>
      </c>
      <c r="I41" t="str">
        <f>IFERROR(__xludf.DUMMYFUNCTION("""COMPUTED_VALUE"""),"Workplace &amp; Human Resources")</f>
        <v>Workplace &amp; Human Resources</v>
      </c>
      <c r="J41" t="str">
        <f>IFERROR(__xludf.DUMMYFUNCTION("""COMPUTED_VALUE"""),"Human Resources Fundamentals")</f>
        <v>Human Resources Fundamentals</v>
      </c>
      <c r="K41">
        <f>IFERROR(__xludf.DUMMYFUNCTION("""COMPUTED_VALUE"""),3075068.0)</f>
        <v>3075068</v>
      </c>
      <c r="L41" s="140" t="str">
        <f>IFERROR(__xludf.DUMMYFUNCTION("""COMPUTED_VALUE"""),"Advanced Excel for HR Managers | Automation &amp; Analytics")</f>
        <v>Advanced Excel for HR Managers | Automation &amp; Analytics</v>
      </c>
      <c r="N41" s="140" t="str">
        <f>IFERROR(__xludf.DUMMYFUNCTION("""COMPUTED_VALUE"""),"")</f>
        <v/>
      </c>
    </row>
    <row r="42">
      <c r="A42" s="143">
        <f>IFERROR(__xludf.DUMMYFUNCTION("""COMPUTED_VALUE"""),44202.0)</f>
        <v>44202</v>
      </c>
      <c r="B42" s="140">
        <f>IFERROR(__xludf.DUMMYFUNCTION("""COMPUTED_VALUE"""),539130.0)</f>
        <v>539130</v>
      </c>
      <c r="C42" t="str">
        <f>IFERROR(__xludf.DUMMYFUNCTION("""COMPUTED_VALUE"""),"en")</f>
        <v>en</v>
      </c>
      <c r="D42" t="str">
        <f>IFERROR(__xludf.DUMMYFUNCTION("""COMPUTED_VALUE"""),"Risk Management for PMI Certification")</f>
        <v>Risk Management for PMI Certification</v>
      </c>
      <c r="E42" t="str">
        <f>IFERROR(__xludf.DUMMYFUNCTION("""COMPUTED_VALUE"""),"Risk Management for PMI Certification")</f>
        <v>Risk Management for PMI Certification</v>
      </c>
      <c r="F42" s="140">
        <f>IFERROR(__xludf.DUMMYFUNCTION("""COMPUTED_VALUE"""),542659.0)</f>
        <v>542659</v>
      </c>
      <c r="G42" s="140" t="str">
        <f>IFERROR(__xludf.DUMMYFUNCTION("""COMPUTED_VALUE"""),"Sorin Dumitrascu")</f>
        <v>Sorin Dumitrascu</v>
      </c>
      <c r="H42" t="str">
        <f>IFERROR(__xludf.DUMMYFUNCTION("""COMPUTED_VALUE"""),"Instructor Practices")</f>
        <v>Instructor Practices</v>
      </c>
      <c r="I42" t="str">
        <f>IFERROR(__xludf.DUMMYFUNCTION("""COMPUTED_VALUE"""),"Project Management &amp; Operations")</f>
        <v>Project Management &amp; Operations</v>
      </c>
      <c r="J42" t="str">
        <f>IFERROR(__xludf.DUMMYFUNCTION("""COMPUTED_VALUE"""),"Project Management Certifications")</f>
        <v>Project Management Certifications</v>
      </c>
      <c r="K42" s="140">
        <f>IFERROR(__xludf.DUMMYFUNCTION("""COMPUTED_VALUE"""),1361790.0)</f>
        <v>1361790</v>
      </c>
      <c r="L42" s="140" t="str">
        <f>IFERROR(__xludf.DUMMYFUNCTION("""COMPUTED_VALUE"""),"PMP Exam Prep Seminar - PMBOK Guide 6 includes 35 PDUs")</f>
        <v>PMP Exam Prep Seminar - PMBOK Guide 6 includes 35 PDUs</v>
      </c>
      <c r="M42" s="140">
        <f>IFERROR(__xludf.DUMMYFUNCTION("""COMPUTED_VALUE"""),555696.0)</f>
        <v>555696</v>
      </c>
      <c r="N42" s="140" t="str">
        <f>IFERROR(__xludf.DUMMYFUNCTION("""COMPUTED_VALUE"""),"PMP Exam Prep Project Management Professional Certification")</f>
        <v>PMP Exam Prep Project Management Professional Certification</v>
      </c>
    </row>
    <row r="43">
      <c r="A43" s="143">
        <f>IFERROR(__xludf.DUMMYFUNCTION("""COMPUTED_VALUE"""),44202.0)</f>
        <v>44202</v>
      </c>
      <c r="B43" s="140">
        <f>IFERROR(__xludf.DUMMYFUNCTION("""COMPUTED_VALUE"""),1541778.0)</f>
        <v>1541778</v>
      </c>
      <c r="C43" t="str">
        <f>IFERROR(__xludf.DUMMYFUNCTION("""COMPUTED_VALUE"""),"en")</f>
        <v>en</v>
      </c>
      <c r="D43" t="str">
        <f>IFERROR(__xludf.DUMMYFUNCTION("""COMPUTED_VALUE"""),"Effective Problem-solving and Decision-making under Pressure")</f>
        <v>Effective Problem-solving and Decision-making under Pressure</v>
      </c>
      <c r="E43" t="str">
        <f>IFERROR(__xludf.DUMMYFUNCTION("""COMPUTED_VALUE"""),"Effective Problem-solving and Decision-making under Pressure")</f>
        <v>Effective Problem-solving and Decision-making under Pressure</v>
      </c>
      <c r="F43" s="140">
        <f>IFERROR(__xludf.DUMMYFUNCTION("""COMPUTED_VALUE"""),542659.0)</f>
        <v>542659</v>
      </c>
      <c r="G43" s="140" t="str">
        <f>IFERROR(__xludf.DUMMYFUNCTION("""COMPUTED_VALUE"""),"Sorin Dumitrascu")</f>
        <v>Sorin Dumitrascu</v>
      </c>
      <c r="H43" t="str">
        <f>IFERROR(__xludf.DUMMYFUNCTION("""COMPUTED_VALUE"""),"Instructor Practices")</f>
        <v>Instructor Practices</v>
      </c>
      <c r="I43" t="str">
        <f>IFERROR(__xludf.DUMMYFUNCTION("""COMPUTED_VALUE"""),"Leadership &amp; Management")</f>
        <v>Leadership &amp; Management</v>
      </c>
      <c r="J43" t="str">
        <f>IFERROR(__xludf.DUMMYFUNCTION("""COMPUTED_VALUE"""),"Strategy")</f>
        <v>Strategy</v>
      </c>
      <c r="K43" s="140">
        <f>IFERROR(__xludf.DUMMYFUNCTION("""COMPUTED_VALUE"""),1266526.0)</f>
        <v>1266526</v>
      </c>
      <c r="L43" s="140" t="str">
        <f>IFERROR(__xludf.DUMMYFUNCTION("""COMPUTED_VALUE"""),"Master your Decision-Making, and Critical Thinking Skills !")</f>
        <v>Master your Decision-Making, and Critical Thinking Skills !</v>
      </c>
      <c r="M43" s="140">
        <f>IFERROR(__xludf.DUMMYFUNCTION("""COMPUTED_VALUE"""),3475640.0)</f>
        <v>3475640</v>
      </c>
      <c r="N43" s="140" t="str">
        <f>IFERROR(__xludf.DUMMYFUNCTION("""COMPUTED_VALUE"""),"Critical Thinking Strategies For Better Decisions")</f>
        <v>Critical Thinking Strategies For Better Decisions</v>
      </c>
    </row>
    <row r="44">
      <c r="A44" s="143">
        <f>IFERROR(__xludf.DUMMYFUNCTION("""COMPUTED_VALUE"""),44202.0)</f>
        <v>44202</v>
      </c>
      <c r="B44" s="140">
        <f>IFERROR(__xludf.DUMMYFUNCTION("""COMPUTED_VALUE"""),564552.0)</f>
        <v>564552</v>
      </c>
      <c r="C44" t="str">
        <f>IFERROR(__xludf.DUMMYFUNCTION("""COMPUTED_VALUE"""),"en")</f>
        <v>en</v>
      </c>
      <c r="D44" t="str">
        <f>IFERROR(__xludf.DUMMYFUNCTION("""COMPUTED_VALUE"""),"Operations and Supply Chain Management")</f>
        <v>Operations and Supply Chain Management</v>
      </c>
      <c r="E44" t="str">
        <f>IFERROR(__xludf.DUMMYFUNCTION("""COMPUTED_VALUE"""),"Operations and Supply Chain Management")</f>
        <v>Operations and Supply Chain Management</v>
      </c>
      <c r="F44" s="140">
        <f>IFERROR(__xludf.DUMMYFUNCTION("""COMPUTED_VALUE"""),542659.0)</f>
        <v>542659</v>
      </c>
      <c r="G44" s="140" t="str">
        <f>IFERROR(__xludf.DUMMYFUNCTION("""COMPUTED_VALUE"""),"Sorin Dumitrascu")</f>
        <v>Sorin Dumitrascu</v>
      </c>
      <c r="H44" t="str">
        <f>IFERROR(__xludf.DUMMYFUNCTION("""COMPUTED_VALUE"""),"Instructor Practices")</f>
        <v>Instructor Practices</v>
      </c>
      <c r="I44" t="str">
        <f>IFERROR(__xludf.DUMMYFUNCTION("""COMPUTED_VALUE"""),"Project Management &amp; Operations")</f>
        <v>Project Management &amp; Operations</v>
      </c>
      <c r="J44" t="str">
        <f>IFERROR(__xludf.DUMMYFUNCTION("""COMPUTED_VALUE"""),"Operations Management")</f>
        <v>Operations Management</v>
      </c>
      <c r="K44" s="140">
        <f>IFERROR(__xludf.DUMMYFUNCTION("""COMPUTED_VALUE"""),677348.0)</f>
        <v>677348</v>
      </c>
      <c r="L44" s="140" t="str">
        <f>IFERROR(__xludf.DUMMYFUNCTION("""COMPUTED_VALUE"""),"Supply Chain Fundamentals: Understanding the Basics")</f>
        <v>Supply Chain Fundamentals: Understanding the Basics</v>
      </c>
      <c r="M44" s="140">
        <f>IFERROR(__xludf.DUMMYFUNCTION("""COMPUTED_VALUE"""),674982.0)</f>
        <v>674982</v>
      </c>
      <c r="N44" s="140" t="str">
        <f>IFERROR(__xludf.DUMMYFUNCTION("""COMPUTED_VALUE"""),"Supply Chain: Inventory Control &amp; Safety Stock Calculation")</f>
        <v>Supply Chain: Inventory Control &amp; Safety Stock Calculation</v>
      </c>
    </row>
    <row r="45">
      <c r="A45" s="143">
        <f>IFERROR(__xludf.DUMMYFUNCTION("""COMPUTED_VALUE"""),44202.0)</f>
        <v>44202</v>
      </c>
      <c r="B45" s="140">
        <f>IFERROR(__xludf.DUMMYFUNCTION("""COMPUTED_VALUE"""),1092712.0)</f>
        <v>1092712</v>
      </c>
      <c r="C45" t="str">
        <f>IFERROR(__xludf.DUMMYFUNCTION("""COMPUTED_VALUE"""),"en")</f>
        <v>en</v>
      </c>
      <c r="D45" t="str">
        <f>IFERROR(__xludf.DUMMYFUNCTION("""COMPUTED_VALUE"""),"PMI-ACP Certification: Initiation and Requirements Gathering")</f>
        <v>PMI-ACP Certification: Initiation and Requirements Gathering</v>
      </c>
      <c r="E45" t="str">
        <f>IFERROR(__xludf.DUMMYFUNCTION("""COMPUTED_VALUE"""),"PMI-ACP Certification: Initiation and Requirements Gathering")</f>
        <v>PMI-ACP Certification: Initiation and Requirements Gathering</v>
      </c>
      <c r="F45" s="140">
        <f>IFERROR(__xludf.DUMMYFUNCTION("""COMPUTED_VALUE"""),542659.0)</f>
        <v>542659</v>
      </c>
      <c r="G45" s="140" t="str">
        <f>IFERROR(__xludf.DUMMYFUNCTION("""COMPUTED_VALUE"""),"Sorin Dumitrascu")</f>
        <v>Sorin Dumitrascu</v>
      </c>
      <c r="H45" t="str">
        <f>IFERROR(__xludf.DUMMYFUNCTION("""COMPUTED_VALUE"""),"Instructor Practices")</f>
        <v>Instructor Practices</v>
      </c>
      <c r="I45" t="str">
        <f>IFERROR(__xludf.DUMMYFUNCTION("""COMPUTED_VALUE"""),"Project Management &amp; Operations")</f>
        <v>Project Management &amp; Operations</v>
      </c>
      <c r="J45" t="str">
        <f>IFERROR(__xludf.DUMMYFUNCTION("""COMPUTED_VALUE"""),"Project Management Certifications")</f>
        <v>Project Management Certifications</v>
      </c>
      <c r="K45" s="140">
        <f>IFERROR(__xludf.DUMMYFUNCTION("""COMPUTED_VALUE"""),856992.0)</f>
        <v>856992</v>
      </c>
      <c r="L45" s="140" t="str">
        <f>IFERROR(__xludf.DUMMYFUNCTION("""COMPUTED_VALUE"""),"PMI-ACP Agile Certified Exam Prep - PMI REP 21 PDUs")</f>
        <v>PMI-ACP Agile Certified Exam Prep - PMI REP 21 PDUs</v>
      </c>
      <c r="M45" s="140">
        <f>IFERROR(__xludf.DUMMYFUNCTION("""COMPUTED_VALUE"""),1596054.0)</f>
        <v>1596054</v>
      </c>
      <c r="N45" s="140" t="str">
        <f>IFERROR(__xludf.DUMMYFUNCTION("""COMPUTED_VALUE"""),"PMI-ACP Exam Prep for PMBOK 6")</f>
        <v>PMI-ACP Exam Prep for PMBOK 6</v>
      </c>
    </row>
    <row r="46">
      <c r="A46" s="143">
        <f>IFERROR(__xludf.DUMMYFUNCTION("""COMPUTED_VALUE"""),44202.0)</f>
        <v>44202</v>
      </c>
      <c r="B46" s="140">
        <f>IFERROR(__xludf.DUMMYFUNCTION("""COMPUTED_VALUE"""),1347730.0)</f>
        <v>1347730</v>
      </c>
      <c r="C46" t="str">
        <f>IFERROR(__xludf.DUMMYFUNCTION("""COMPUTED_VALUE"""),"en")</f>
        <v>en</v>
      </c>
      <c r="D46" t="str">
        <f>IFERROR(__xludf.DUMMYFUNCTION("""COMPUTED_VALUE"""),"The Agile Certified Practitioner Training Program (PMI-ACP)")</f>
        <v>The Agile Certified Practitioner Training Program (PMI-ACP)</v>
      </c>
      <c r="E46" t="str">
        <f>IFERROR(__xludf.DUMMYFUNCTION("""COMPUTED_VALUE"""),"The Agile Certified Practitioner Training Program (PMI-ACP)")</f>
        <v>The Agile Certified Practitioner Training Program (PMI-ACP)</v>
      </c>
      <c r="F46" s="140">
        <f>IFERROR(__xludf.DUMMYFUNCTION("""COMPUTED_VALUE"""),542659.0)</f>
        <v>542659</v>
      </c>
      <c r="G46" s="140" t="str">
        <f>IFERROR(__xludf.DUMMYFUNCTION("""COMPUTED_VALUE"""),"Sorin Dumitrascu")</f>
        <v>Sorin Dumitrascu</v>
      </c>
      <c r="H46" t="str">
        <f>IFERROR(__xludf.DUMMYFUNCTION("""COMPUTED_VALUE"""),"Instructor Practices")</f>
        <v>Instructor Practices</v>
      </c>
      <c r="I46" t="str">
        <f>IFERROR(__xludf.DUMMYFUNCTION("""COMPUTED_VALUE"""),"IT Operations")</f>
        <v>IT Operations</v>
      </c>
      <c r="J46" t="str">
        <f>IFERROR(__xludf.DUMMYFUNCTION("""COMPUTED_VALUE"""),"IT Certifications")</f>
        <v>IT Certifications</v>
      </c>
      <c r="K46" s="140">
        <f>IFERROR(__xludf.DUMMYFUNCTION("""COMPUTED_VALUE"""),856992.0)</f>
        <v>856992</v>
      </c>
      <c r="L46" s="140" t="str">
        <f>IFERROR(__xludf.DUMMYFUNCTION("""COMPUTED_VALUE"""),"PMI-ACP Agile Certified Exam Prep - PMI REP 21 PDUs")</f>
        <v>PMI-ACP Agile Certified Exam Prep - PMI REP 21 PDUs</v>
      </c>
      <c r="N46" s="140" t="str">
        <f>IFERROR(__xludf.DUMMYFUNCTION("""COMPUTED_VALUE"""),"")</f>
        <v/>
      </c>
    </row>
    <row r="47">
      <c r="A47" s="143">
        <f>IFERROR(__xludf.DUMMYFUNCTION("""COMPUTED_VALUE"""),44202.0)</f>
        <v>44202</v>
      </c>
      <c r="B47" s="140">
        <f>IFERROR(__xludf.DUMMYFUNCTION("""COMPUTED_VALUE"""),2788230.0)</f>
        <v>2788230</v>
      </c>
      <c r="C47" t="str">
        <f>IFERROR(__xludf.DUMMYFUNCTION("""COMPUTED_VALUE"""),"en")</f>
        <v>en</v>
      </c>
      <c r="D47" t="str">
        <f>IFERROR(__xludf.DUMMYFUNCTION("""COMPUTED_VALUE"""),"The Operations Management Training Program")</f>
        <v>The Operations Management Training Program</v>
      </c>
      <c r="E47" t="str">
        <f>IFERROR(__xludf.DUMMYFUNCTION("""COMPUTED_VALUE"""),"The Operations Management Training Program")</f>
        <v>The Operations Management Training Program</v>
      </c>
      <c r="F47" s="140">
        <f>IFERROR(__xludf.DUMMYFUNCTION("""COMPUTED_VALUE"""),542659.0)</f>
        <v>542659</v>
      </c>
      <c r="G47" s="140" t="str">
        <f>IFERROR(__xludf.DUMMYFUNCTION("""COMPUTED_VALUE"""),"Sorin Dumitrascu")</f>
        <v>Sorin Dumitrascu</v>
      </c>
      <c r="H47" t="str">
        <f>IFERROR(__xludf.DUMMYFUNCTION("""COMPUTED_VALUE"""),"Instructor Practices")</f>
        <v>Instructor Practices</v>
      </c>
      <c r="I47" t="str">
        <f>IFERROR(__xludf.DUMMYFUNCTION("""COMPUTED_VALUE"""),"Project Management &amp; Operations")</f>
        <v>Project Management &amp; Operations</v>
      </c>
      <c r="J47" t="str">
        <f>IFERROR(__xludf.DUMMYFUNCTION("""COMPUTED_VALUE"""),"Operations Management")</f>
        <v>Operations Management</v>
      </c>
      <c r="K47" s="140">
        <f>IFERROR(__xludf.DUMMYFUNCTION("""COMPUTED_VALUE"""),3370166.0)</f>
        <v>3370166</v>
      </c>
      <c r="L47" s="140" t="str">
        <f>IFERROR(__xludf.DUMMYFUNCTION("""COMPUTED_VALUE"""),"Operations Management A-Z: Business Processes and Systems")</f>
        <v>Operations Management A-Z: Business Processes and Systems</v>
      </c>
      <c r="M47" s="140">
        <f>IFERROR(__xludf.DUMMYFUNCTION("""COMPUTED_VALUE"""),3446514.0)</f>
        <v>3446514</v>
      </c>
      <c r="N47" s="140" t="str">
        <f>IFERROR(__xludf.DUMMYFUNCTION("""COMPUTED_VALUE"""),"Lean Manufacturing A-Z: Lean Operations Management")</f>
        <v>Lean Manufacturing A-Z: Lean Operations Management</v>
      </c>
    </row>
    <row r="48">
      <c r="A48" s="143">
        <f>IFERROR(__xludf.DUMMYFUNCTION("""COMPUTED_VALUE"""),44202.0)</f>
        <v>44202</v>
      </c>
      <c r="B48" s="140">
        <f>IFERROR(__xludf.DUMMYFUNCTION("""COMPUTED_VALUE"""),382182.0)</f>
        <v>382182</v>
      </c>
      <c r="C48" t="str">
        <f>IFERROR(__xludf.DUMMYFUNCTION("""COMPUTED_VALUE"""),"en")</f>
        <v>en</v>
      </c>
      <c r="D48" t="str">
        <f>IFERROR(__xludf.DUMMYFUNCTION("""COMPUTED_VALUE"""),"Risk Management for Project Professionals (PMBOK6 Updated)")</f>
        <v>Risk Management for Project Professionals (PMBOK6 Updated)</v>
      </c>
      <c r="E48" t="str">
        <f>IFERROR(__xludf.DUMMYFUNCTION("""COMPUTED_VALUE"""),"Risk Management for Project Professionals (PMBOK6 Updated)")</f>
        <v>Risk Management for Project Professionals (PMBOK6 Updated)</v>
      </c>
      <c r="F48" s="140">
        <f>IFERROR(__xludf.DUMMYFUNCTION("""COMPUTED_VALUE"""),542659.0)</f>
        <v>542659</v>
      </c>
      <c r="G48" s="140" t="str">
        <f>IFERROR(__xludf.DUMMYFUNCTION("""COMPUTED_VALUE"""),"Sorin Dumitrascu")</f>
        <v>Sorin Dumitrascu</v>
      </c>
      <c r="H48" t="str">
        <f>IFERROR(__xludf.DUMMYFUNCTION("""COMPUTED_VALUE"""),"Instructor Practices")</f>
        <v>Instructor Practices</v>
      </c>
      <c r="I48" t="str">
        <f>IFERROR(__xludf.DUMMYFUNCTION("""COMPUTED_VALUE"""),"Project Management &amp; Operations")</f>
        <v>Project Management &amp; Operations</v>
      </c>
      <c r="J48" t="str">
        <f>IFERROR(__xludf.DUMMYFUNCTION("""COMPUTED_VALUE"""),"Project Management Certifications")</f>
        <v>Project Management Certifications</v>
      </c>
      <c r="K48" s="140">
        <f>IFERROR(__xludf.DUMMYFUNCTION("""COMPUTED_VALUE"""),1361790.0)</f>
        <v>1361790</v>
      </c>
      <c r="L48" s="140" t="str">
        <f>IFERROR(__xludf.DUMMYFUNCTION("""COMPUTED_VALUE"""),"PMP Exam Prep Seminar - PMBOK Guide 6 includes 35 PDUs")</f>
        <v>PMP Exam Prep Seminar - PMBOK Guide 6 includes 35 PDUs</v>
      </c>
      <c r="M48" s="140">
        <f>IFERROR(__xludf.DUMMYFUNCTION("""COMPUTED_VALUE"""),555696.0)</f>
        <v>555696</v>
      </c>
      <c r="N48" s="140" t="str">
        <f>IFERROR(__xludf.DUMMYFUNCTION("""COMPUTED_VALUE"""),"PMP Exam Prep Project Management Professional Certification")</f>
        <v>PMP Exam Prep Project Management Professional Certification</v>
      </c>
    </row>
    <row r="49">
      <c r="A49" s="143">
        <f>IFERROR(__xludf.DUMMYFUNCTION("""COMPUTED_VALUE"""),44202.0)</f>
        <v>44202</v>
      </c>
      <c r="B49" s="140">
        <f>IFERROR(__xludf.DUMMYFUNCTION("""COMPUTED_VALUE"""),700868.0)</f>
        <v>700868</v>
      </c>
      <c r="C49" t="str">
        <f>IFERROR(__xludf.DUMMYFUNCTION("""COMPUTED_VALUE"""),"en")</f>
        <v>en</v>
      </c>
      <c r="D49" t="str">
        <f>IFERROR(__xludf.DUMMYFUNCTION("""COMPUTED_VALUE"""),"Performance Under Pressure - The Full Course")</f>
        <v>Performance Under Pressure - The Full Course</v>
      </c>
      <c r="E49" t="str">
        <f>IFERROR(__xludf.DUMMYFUNCTION("""COMPUTED_VALUE"""),"Performance Under Pressure - The Full Course")</f>
        <v>Performance Under Pressure - The Full Course</v>
      </c>
      <c r="F49" s="140">
        <f>IFERROR(__xludf.DUMMYFUNCTION("""COMPUTED_VALUE"""),542659.0)</f>
        <v>542659</v>
      </c>
      <c r="G49" s="140" t="str">
        <f>IFERROR(__xludf.DUMMYFUNCTION("""COMPUTED_VALUE"""),"Sorin Dumitrascu")</f>
        <v>Sorin Dumitrascu</v>
      </c>
      <c r="H49" t="str">
        <f>IFERROR(__xludf.DUMMYFUNCTION("""COMPUTED_VALUE"""),"Instructor Practices")</f>
        <v>Instructor Practices</v>
      </c>
      <c r="I49" t="str">
        <f>IFERROR(__xludf.DUMMYFUNCTION("""COMPUTED_VALUE"""),"Personal Development")</f>
        <v>Personal Development</v>
      </c>
      <c r="J49" t="str">
        <f>IFERROR(__xludf.DUMMYFUNCTION("""COMPUTED_VALUE"""),"Personal Growth")</f>
        <v>Personal Growth</v>
      </c>
      <c r="K49" s="140">
        <f>IFERROR(__xludf.DUMMYFUNCTION("""COMPUTED_VALUE"""),1037646.0)</f>
        <v>1037646</v>
      </c>
      <c r="L49" s="140" t="str">
        <f>IFERROR(__xludf.DUMMYFUNCTION("""COMPUTED_VALUE"""),"Consulting Approach to Problem Solving")</f>
        <v>Consulting Approach to Problem Solving</v>
      </c>
      <c r="M49" s="140">
        <f>IFERROR(__xludf.DUMMYFUNCTION("""COMPUTED_VALUE"""),1434492.0)</f>
        <v>1434492</v>
      </c>
      <c r="N49" s="140" t="str">
        <f>IFERROR(__xludf.DUMMYFUNCTION("""COMPUTED_VALUE"""),"Modern Productivity — Superhuman Focus In A Distracted World")</f>
        <v>Modern Productivity — Superhuman Focus In A Distracted World</v>
      </c>
    </row>
    <row r="50">
      <c r="A50" s="143">
        <f>IFERROR(__xludf.DUMMYFUNCTION("""COMPUTED_VALUE"""),44202.0)</f>
        <v>44202</v>
      </c>
      <c r="B50" s="140">
        <f>IFERROR(__xludf.DUMMYFUNCTION("""COMPUTED_VALUE"""),621364.0)</f>
        <v>621364</v>
      </c>
      <c r="C50" t="str">
        <f>IFERROR(__xludf.DUMMYFUNCTION("""COMPUTED_VALUE"""),"en")</f>
        <v>en</v>
      </c>
      <c r="D50" t="str">
        <f>IFERROR(__xludf.DUMMYFUNCTION("""COMPUTED_VALUE"""),"Operations Management: Supply Chains, Products and Services")</f>
        <v>Operations Management: Supply Chains, Products and Services</v>
      </c>
      <c r="E50" t="str">
        <f>IFERROR(__xludf.DUMMYFUNCTION("""COMPUTED_VALUE"""),"Operations Management: Supply Chains, Products and Services")</f>
        <v>Operations Management: Supply Chains, Products and Services</v>
      </c>
      <c r="F50" s="140">
        <f>IFERROR(__xludf.DUMMYFUNCTION("""COMPUTED_VALUE"""),542659.0)</f>
        <v>542659</v>
      </c>
      <c r="G50" s="140" t="str">
        <f>IFERROR(__xludf.DUMMYFUNCTION("""COMPUTED_VALUE"""),"Sorin Dumitrascu")</f>
        <v>Sorin Dumitrascu</v>
      </c>
      <c r="H50" t="str">
        <f>IFERROR(__xludf.DUMMYFUNCTION("""COMPUTED_VALUE"""),"Instructor Practices")</f>
        <v>Instructor Practices</v>
      </c>
      <c r="I50" t="str">
        <f>IFERROR(__xludf.DUMMYFUNCTION("""COMPUTED_VALUE"""),"Project Management &amp; Operations")</f>
        <v>Project Management &amp; Operations</v>
      </c>
      <c r="J50" t="str">
        <f>IFERROR(__xludf.DUMMYFUNCTION("""COMPUTED_VALUE"""),"Operations Management")</f>
        <v>Operations Management</v>
      </c>
      <c r="K50" s="140">
        <f>IFERROR(__xludf.DUMMYFUNCTION("""COMPUTED_VALUE"""),3370166.0)</f>
        <v>3370166</v>
      </c>
      <c r="L50" s="140" t="str">
        <f>IFERROR(__xludf.DUMMYFUNCTION("""COMPUTED_VALUE"""),"Operations Management A-Z: Business Processes and Systems")</f>
        <v>Operations Management A-Z: Business Processes and Systems</v>
      </c>
      <c r="M50" s="140">
        <f>IFERROR(__xludf.DUMMYFUNCTION("""COMPUTED_VALUE"""),3446514.0)</f>
        <v>3446514</v>
      </c>
      <c r="N50" s="140" t="str">
        <f>IFERROR(__xludf.DUMMYFUNCTION("""COMPUTED_VALUE"""),"Lean Manufacturing A-Z: Lean Operations Management")</f>
        <v>Lean Manufacturing A-Z: Lean Operations Management</v>
      </c>
    </row>
    <row r="51">
      <c r="A51" s="143">
        <f>IFERROR(__xludf.DUMMYFUNCTION("""COMPUTED_VALUE"""),44202.0)</f>
        <v>44202</v>
      </c>
      <c r="B51" s="140">
        <f>IFERROR(__xludf.DUMMYFUNCTION("""COMPUTED_VALUE"""),557894.0)</f>
        <v>557894</v>
      </c>
      <c r="C51" t="str">
        <f>IFERROR(__xludf.DUMMYFUNCTION("""COMPUTED_VALUE"""),"en")</f>
        <v>en</v>
      </c>
      <c r="D51" t="str">
        <f>IFERROR(__xludf.DUMMYFUNCTION("""COMPUTED_VALUE"""),"Decision-Making for Business")</f>
        <v>Decision-Making for Business</v>
      </c>
      <c r="E51" t="str">
        <f>IFERROR(__xludf.DUMMYFUNCTION("""COMPUTED_VALUE"""),"Decision-Making for Business")</f>
        <v>Decision-Making for Business</v>
      </c>
      <c r="F51" s="140">
        <f>IFERROR(__xludf.DUMMYFUNCTION("""COMPUTED_VALUE"""),542659.0)</f>
        <v>542659</v>
      </c>
      <c r="G51" s="140" t="str">
        <f>IFERROR(__xludf.DUMMYFUNCTION("""COMPUTED_VALUE"""),"Sorin Dumitrascu")</f>
        <v>Sorin Dumitrascu</v>
      </c>
      <c r="H51" t="str">
        <f>IFERROR(__xludf.DUMMYFUNCTION("""COMPUTED_VALUE"""),"Instructor Practices")</f>
        <v>Instructor Practices</v>
      </c>
      <c r="I51" t="str">
        <f>IFERROR(__xludf.DUMMYFUNCTION("""COMPUTED_VALUE"""),"Leadership &amp; Management")</f>
        <v>Leadership &amp; Management</v>
      </c>
      <c r="J51" t="str">
        <f>IFERROR(__xludf.DUMMYFUNCTION("""COMPUTED_VALUE"""),"Strategy")</f>
        <v>Strategy</v>
      </c>
      <c r="K51" s="140">
        <f>IFERROR(__xludf.DUMMYFUNCTION("""COMPUTED_VALUE"""),1037646.0)</f>
        <v>1037646</v>
      </c>
      <c r="L51" s="140" t="str">
        <f>IFERROR(__xludf.DUMMYFUNCTION("""COMPUTED_VALUE"""),"Consulting Approach to Problem Solving")</f>
        <v>Consulting Approach to Problem Solving</v>
      </c>
      <c r="N51" s="140" t="str">
        <f>IFERROR(__xludf.DUMMYFUNCTION("""COMPUTED_VALUE"""),"")</f>
        <v/>
      </c>
    </row>
    <row r="52">
      <c r="A52" s="143">
        <f>IFERROR(__xludf.DUMMYFUNCTION("""COMPUTED_VALUE"""),44202.0)</f>
        <v>44202</v>
      </c>
      <c r="B52" s="140">
        <f>IFERROR(__xludf.DUMMYFUNCTION("""COMPUTED_VALUE"""),496514.0)</f>
        <v>496514</v>
      </c>
      <c r="C52" t="str">
        <f>IFERROR(__xludf.DUMMYFUNCTION("""COMPUTED_VALUE"""),"en")</f>
        <v>en</v>
      </c>
      <c r="D52" t="str">
        <f>IFERROR(__xludf.DUMMYFUNCTION("""COMPUTED_VALUE"""),"ADDIE: Training and Development Professionals' Guide")</f>
        <v>ADDIE: Training and Development Professionals' Guide</v>
      </c>
      <c r="E52" t="str">
        <f>IFERROR(__xludf.DUMMYFUNCTION("""COMPUTED_VALUE"""),"ADDIE: Training and Development Professionals' Guide")</f>
        <v>ADDIE: Training and Development Professionals' Guide</v>
      </c>
      <c r="F52" s="140">
        <f>IFERROR(__xludf.DUMMYFUNCTION("""COMPUTED_VALUE"""),542659.0)</f>
        <v>542659</v>
      </c>
      <c r="G52" s="140" t="str">
        <f>IFERROR(__xludf.DUMMYFUNCTION("""COMPUTED_VALUE"""),"Sorin Dumitrascu")</f>
        <v>Sorin Dumitrascu</v>
      </c>
      <c r="H52" t="str">
        <f>IFERROR(__xludf.DUMMYFUNCTION("""COMPUTED_VALUE"""),"Instructor Practices")</f>
        <v>Instructor Practices</v>
      </c>
      <c r="I52" t="str">
        <f>IFERROR(__xludf.DUMMYFUNCTION("""COMPUTED_VALUE"""),"Workplace &amp; Human Resources")</f>
        <v>Workplace &amp; Human Resources</v>
      </c>
      <c r="J52" t="str">
        <f>IFERROR(__xludf.DUMMYFUNCTION("""COMPUTED_VALUE"""),"Learning &amp; Development")</f>
        <v>Learning &amp; Development</v>
      </c>
      <c r="K52" s="140">
        <f>IFERROR(__xludf.DUMMYFUNCTION("""COMPUTED_VALUE"""),176878.0)</f>
        <v>176878</v>
      </c>
      <c r="L52" s="140" t="str">
        <f>IFERROR(__xludf.DUMMYFUNCTION("""COMPUTED_VALUE"""),"Teach Anybody Anything: Reach Any Learner Anywhere")</f>
        <v>Teach Anybody Anything: Reach Any Learner Anywhere</v>
      </c>
      <c r="M52" s="140">
        <f>IFERROR(__xludf.DUMMYFUNCTION("""COMPUTED_VALUE"""),1424258.0)</f>
        <v>1424258</v>
      </c>
      <c r="N52" s="140" t="str">
        <f>IFERROR(__xludf.DUMMYFUNCTION("""COMPUTED_VALUE"""),"High Performance Learning 2.0")</f>
        <v>High Performance Learning 2.0</v>
      </c>
    </row>
    <row r="53">
      <c r="A53" s="143">
        <f>IFERROR(__xludf.DUMMYFUNCTION("""COMPUTED_VALUE"""),44202.0)</f>
        <v>44202</v>
      </c>
      <c r="B53" s="140">
        <f>IFERROR(__xludf.DUMMYFUNCTION("""COMPUTED_VALUE"""),657730.0)</f>
        <v>657730</v>
      </c>
      <c r="C53" t="str">
        <f>IFERROR(__xludf.DUMMYFUNCTION("""COMPUTED_VALUE"""),"en")</f>
        <v>en</v>
      </c>
      <c r="D53" t="str">
        <f>IFERROR(__xludf.DUMMYFUNCTION("""COMPUTED_VALUE"""),"Performance Under Pressure - Taking Action")</f>
        <v>Performance Under Pressure - Taking Action</v>
      </c>
      <c r="E53" t="str">
        <f>IFERROR(__xludf.DUMMYFUNCTION("""COMPUTED_VALUE"""),"Performance Under Pressure - Taking Action")</f>
        <v>Performance Under Pressure - Taking Action</v>
      </c>
      <c r="F53" s="140">
        <f>IFERROR(__xludf.DUMMYFUNCTION("""COMPUTED_VALUE"""),542659.0)</f>
        <v>542659</v>
      </c>
      <c r="G53" s="140" t="str">
        <f>IFERROR(__xludf.DUMMYFUNCTION("""COMPUTED_VALUE"""),"Sorin Dumitrascu")</f>
        <v>Sorin Dumitrascu</v>
      </c>
      <c r="H53" t="str">
        <f>IFERROR(__xludf.DUMMYFUNCTION("""COMPUTED_VALUE"""),"Instructor Practices")</f>
        <v>Instructor Practices</v>
      </c>
      <c r="I53" t="str">
        <f>IFERROR(__xludf.DUMMYFUNCTION("""COMPUTED_VALUE"""),"Personal Development")</f>
        <v>Personal Development</v>
      </c>
      <c r="J53" t="str">
        <f>IFERROR(__xludf.DUMMYFUNCTION("""COMPUTED_VALUE"""),"Personal Growth")</f>
        <v>Personal Growth</v>
      </c>
      <c r="K53" s="140">
        <f>IFERROR(__xludf.DUMMYFUNCTION("""COMPUTED_VALUE"""),1266526.0)</f>
        <v>1266526</v>
      </c>
      <c r="L53" s="140" t="str">
        <f>IFERROR(__xludf.DUMMYFUNCTION("""COMPUTED_VALUE"""),"Master your Decision-Making, and Critical Thinking Skills !")</f>
        <v>Master your Decision-Making, and Critical Thinking Skills !</v>
      </c>
      <c r="N53" s="140" t="str">
        <f>IFERROR(__xludf.DUMMYFUNCTION("""COMPUTED_VALUE"""),"")</f>
        <v/>
      </c>
    </row>
    <row r="54">
      <c r="A54" s="143">
        <f>IFERROR(__xludf.DUMMYFUNCTION("""COMPUTED_VALUE"""),44202.0)</f>
        <v>44202</v>
      </c>
      <c r="B54" s="140">
        <f>IFERROR(__xludf.DUMMYFUNCTION("""COMPUTED_VALUE"""),548018.0)</f>
        <v>548018</v>
      </c>
      <c r="C54" t="str">
        <f>IFERROR(__xludf.DUMMYFUNCTION("""COMPUTED_VALUE"""),"en")</f>
        <v>en</v>
      </c>
      <c r="D54" t="str">
        <f>IFERROR(__xludf.DUMMYFUNCTION("""COMPUTED_VALUE"""),"Product and Service Management")</f>
        <v>Product and Service Management</v>
      </c>
      <c r="E54" t="str">
        <f>IFERROR(__xludf.DUMMYFUNCTION("""COMPUTED_VALUE"""),"Product and Service Management")</f>
        <v>Product and Service Management</v>
      </c>
      <c r="F54" s="140">
        <f>IFERROR(__xludf.DUMMYFUNCTION("""COMPUTED_VALUE"""),542659.0)</f>
        <v>542659</v>
      </c>
      <c r="G54" s="140" t="str">
        <f>IFERROR(__xludf.DUMMYFUNCTION("""COMPUTED_VALUE"""),"Sorin Dumitrascu")</f>
        <v>Sorin Dumitrascu</v>
      </c>
      <c r="H54" t="str">
        <f>IFERROR(__xludf.DUMMYFUNCTION("""COMPUTED_VALUE"""),"Instructor Practices")</f>
        <v>Instructor Practices</v>
      </c>
      <c r="I54" t="str">
        <f>IFERROR(__xludf.DUMMYFUNCTION("""COMPUTED_VALUE"""),"Marketing")</f>
        <v>Marketing</v>
      </c>
      <c r="J54" t="str">
        <f>IFERROR(__xludf.DUMMYFUNCTION("""COMPUTED_VALUE"""),"Marketing Strategy")</f>
        <v>Marketing Strategy</v>
      </c>
      <c r="K54" s="140">
        <f>IFERROR(__xludf.DUMMYFUNCTION("""COMPUTED_VALUE"""),129118.0)</f>
        <v>129118</v>
      </c>
      <c r="L54" s="140" t="str">
        <f>IFERROR(__xludf.DUMMYFUNCTION("""COMPUTED_VALUE"""),"Product Management 101")</f>
        <v>Product Management 101</v>
      </c>
      <c r="M54" s="140">
        <f>IFERROR(__xludf.DUMMYFUNCTION("""COMPUTED_VALUE"""),2013542.0)</f>
        <v>2013542</v>
      </c>
      <c r="N54" s="140" t="str">
        <f>IFERROR(__xludf.DUMMYFUNCTION("""COMPUTED_VALUE"""),"Advanced Product Management: Vision, Strategy &amp; Metrics")</f>
        <v>Advanced Product Management: Vision, Strategy &amp; Metrics</v>
      </c>
    </row>
    <row r="55">
      <c r="A55" s="143">
        <f>IFERROR(__xludf.DUMMYFUNCTION("""COMPUTED_VALUE"""),44202.0)</f>
        <v>44202</v>
      </c>
      <c r="B55" s="140">
        <f>IFERROR(__xludf.DUMMYFUNCTION("""COMPUTED_VALUE"""),588442.0)</f>
        <v>588442</v>
      </c>
      <c r="C55" t="str">
        <f>IFERROR(__xludf.DUMMYFUNCTION("""COMPUTED_VALUE"""),"en")</f>
        <v>en</v>
      </c>
      <c r="D55" t="str">
        <f>IFERROR(__xludf.DUMMYFUNCTION("""COMPUTED_VALUE"""),"5 Decision-Making Techniques for Success")</f>
        <v>5 Decision-Making Techniques for Success</v>
      </c>
      <c r="E55" t="str">
        <f>IFERROR(__xludf.DUMMYFUNCTION("""COMPUTED_VALUE"""),"5 Decision-Making Techniques for Success")</f>
        <v>5 Decision-Making Techniques for Success</v>
      </c>
      <c r="F55" s="140">
        <f>IFERROR(__xludf.DUMMYFUNCTION("""COMPUTED_VALUE"""),542659.0)</f>
        <v>542659</v>
      </c>
      <c r="G55" s="140" t="str">
        <f>IFERROR(__xludf.DUMMYFUNCTION("""COMPUTED_VALUE"""),"Sorin Dumitrascu")</f>
        <v>Sorin Dumitrascu</v>
      </c>
      <c r="H55" t="str">
        <f>IFERROR(__xludf.DUMMYFUNCTION("""COMPUTED_VALUE"""),"Instructor Practices")</f>
        <v>Instructor Practices</v>
      </c>
      <c r="I55" t="str">
        <f>IFERROR(__xludf.DUMMYFUNCTION("""COMPUTED_VALUE"""),"Leadership &amp; Management")</f>
        <v>Leadership &amp; Management</v>
      </c>
      <c r="J55" t="str">
        <f>IFERROR(__xludf.DUMMYFUNCTION("""COMPUTED_VALUE"""),"Strategy")</f>
        <v>Strategy</v>
      </c>
      <c r="K55" s="140">
        <f>IFERROR(__xludf.DUMMYFUNCTION("""COMPUTED_VALUE"""),1266526.0)</f>
        <v>1266526</v>
      </c>
      <c r="L55" s="140" t="str">
        <f>IFERROR(__xludf.DUMMYFUNCTION("""COMPUTED_VALUE"""),"Master your Decision-Making, and Critical Thinking Skills !")</f>
        <v>Master your Decision-Making, and Critical Thinking Skills !</v>
      </c>
      <c r="N55" s="140" t="str">
        <f>IFERROR(__xludf.DUMMYFUNCTION("""COMPUTED_VALUE"""),"")</f>
        <v/>
      </c>
    </row>
    <row r="56">
      <c r="A56" s="143">
        <f>IFERROR(__xludf.DUMMYFUNCTION("""COMPUTED_VALUE"""),44202.0)</f>
        <v>44202</v>
      </c>
      <c r="B56" s="140">
        <f>IFERROR(__xludf.DUMMYFUNCTION("""COMPUTED_VALUE"""),490356.0)</f>
        <v>490356</v>
      </c>
      <c r="C56" t="str">
        <f>IFERROR(__xludf.DUMMYFUNCTION("""COMPUTED_VALUE"""),"en")</f>
        <v>en</v>
      </c>
      <c r="D56" t="str">
        <f>IFERROR(__xludf.DUMMYFUNCTION("""COMPUTED_VALUE"""),"12 Steps Business Case Development")</f>
        <v>12 Steps Business Case Development</v>
      </c>
      <c r="E56" t="str">
        <f>IFERROR(__xludf.DUMMYFUNCTION("""COMPUTED_VALUE"""),"12 Steps Business Case Development")</f>
        <v>12 Steps Business Case Development</v>
      </c>
      <c r="F56" s="140">
        <f>IFERROR(__xludf.DUMMYFUNCTION("""COMPUTED_VALUE"""),542659.0)</f>
        <v>542659</v>
      </c>
      <c r="G56" s="140" t="str">
        <f>IFERROR(__xludf.DUMMYFUNCTION("""COMPUTED_VALUE"""),"Sorin Dumitrascu")</f>
        <v>Sorin Dumitrascu</v>
      </c>
      <c r="H56" t="str">
        <f>IFERROR(__xludf.DUMMYFUNCTION("""COMPUTED_VALUE"""),"Instructor Practices")</f>
        <v>Instructor Practices</v>
      </c>
      <c r="I56" t="str">
        <f>IFERROR(__xludf.DUMMYFUNCTION("""COMPUTED_VALUE"""),"Leadership &amp; Management")</f>
        <v>Leadership &amp; Management</v>
      </c>
      <c r="J56" t="str">
        <f>IFERROR(__xludf.DUMMYFUNCTION("""COMPUTED_VALUE"""),"Strategy")</f>
        <v>Strategy</v>
      </c>
      <c r="K56" s="140">
        <f>IFERROR(__xludf.DUMMYFUNCTION("""COMPUTED_VALUE"""),2489334.0)</f>
        <v>2489334</v>
      </c>
      <c r="L56" s="140" t="str">
        <f>IFERROR(__xludf.DUMMYFUNCTION("""COMPUTED_VALUE"""),"The MBA Core Courses - With Real Business Case Studies")</f>
        <v>The MBA Core Courses - With Real Business Case Studies</v>
      </c>
      <c r="M56" s="140">
        <f>IFERROR(__xludf.DUMMYFUNCTION("""COMPUTED_VALUE"""),1435776.0)</f>
        <v>1435776</v>
      </c>
      <c r="N56" s="140" t="str">
        <f>IFERROR(__xludf.DUMMYFUNCTION("""COMPUTED_VALUE"""),"Business Analysis: Developing Irresistible Business Cases")</f>
        <v>Business Analysis: Developing Irresistible Business Cases</v>
      </c>
    </row>
    <row r="57">
      <c r="A57" s="143">
        <f>IFERROR(__xludf.DUMMYFUNCTION("""COMPUTED_VALUE"""),44207.0)</f>
        <v>44207</v>
      </c>
      <c r="B57" s="140">
        <f>IFERROR(__xludf.DUMMYFUNCTION("""COMPUTED_VALUE"""),3077342.0)</f>
        <v>3077342</v>
      </c>
      <c r="C57" t="str">
        <f>IFERROR(__xludf.DUMMYFUNCTION("""COMPUTED_VALUE"""),"en")</f>
        <v>en</v>
      </c>
      <c r="D57" t="str">
        <f>IFERROR(__xludf.DUMMYFUNCTION("""COMPUTED_VALUE"""),"Cisco SD-WAN Solutions (ENSDWI 300-415) Weekend Crash Course")</f>
        <v>Cisco SD-WAN Solutions (ENSDWI 300-415) Weekend Crash Course</v>
      </c>
      <c r="E57" t="str">
        <f>IFERROR(__xludf.DUMMYFUNCTION("""COMPUTED_VALUE"""),"Cisco SD-WAN Solutions (ENSDWI 300-415) Weekend Crash Course")</f>
        <v>Cisco SD-WAN Solutions (ENSDWI 300-415) Weekend Crash Course</v>
      </c>
      <c r="F57" s="140">
        <f>IFERROR(__xludf.DUMMYFUNCTION("""COMPUTED_VALUE"""),5.1370677E7)</f>
        <v>51370677</v>
      </c>
      <c r="G57" s="140" t="str">
        <f>IFERROR(__xludf.DUMMYFUNCTION("""COMPUTED_VALUE"""),"Mohamed Masri")</f>
        <v>Mohamed Masri</v>
      </c>
      <c r="H57" t="str">
        <f>IFERROR(__xludf.DUMMYFUNCTION("""COMPUTED_VALUE"""),"Instructor Practices")</f>
        <v>Instructor Practices</v>
      </c>
      <c r="I57" t="str">
        <f>IFERROR(__xludf.DUMMYFUNCTION("""COMPUTED_VALUE"""),"IT Operations")</f>
        <v>IT Operations</v>
      </c>
      <c r="J57" t="str">
        <f>IFERROR(__xludf.DUMMYFUNCTION("""COMPUTED_VALUE"""),"Network &amp; Security")</f>
        <v>Network &amp; Security</v>
      </c>
      <c r="K57">
        <f>IFERROR(__xludf.DUMMYFUNCTION("""COMPUTED_VALUE"""),2643626.0)</f>
        <v>2643626</v>
      </c>
      <c r="L57" s="140" t="str">
        <f>IFERROR(__xludf.DUMMYFUNCTION("""COMPUTED_VALUE"""),"Cisco SD-WAN (Viptela) with Lab Access")</f>
        <v>Cisco SD-WAN (Viptela) with Lab Access</v>
      </c>
      <c r="N57" s="140" t="str">
        <f>IFERROR(__xludf.DUMMYFUNCTION("""COMPUTED_VALUE"""),"")</f>
        <v/>
      </c>
    </row>
    <row r="58">
      <c r="A58" s="143">
        <f>IFERROR(__xludf.DUMMYFUNCTION("""COMPUTED_VALUE"""),44210.0)</f>
        <v>44210</v>
      </c>
      <c r="B58">
        <f>IFERROR(__xludf.DUMMYFUNCTION("""COMPUTED_VALUE"""),902674.0)</f>
        <v>902674</v>
      </c>
      <c r="C58" t="str">
        <f>IFERROR(__xludf.DUMMYFUNCTION("""COMPUTED_VALUE"""),"pt")</f>
        <v>pt</v>
      </c>
      <c r="D58" t="str">
        <f>IFERROR(__xludf.DUMMYFUNCTION("""COMPUTED_VALUE"""),"Aprenda Inglês com Conversas: Comunique-se Com Confiança!")</f>
        <v>Aprenda Inglês com Conversas: Comunique-se Com Confiança!</v>
      </c>
      <c r="E58" t="str">
        <f>IFERROR(__xludf.DUMMYFUNCTION("""COMPUTED_VALUE"""),"Learn English with conversations: Communicate with confidence!")</f>
        <v>Learn English with conversations: Communicate with confidence!</v>
      </c>
      <c r="F58">
        <f>IFERROR(__xludf.DUMMYFUNCTION("""COMPUTED_VALUE"""),2717766.0)</f>
        <v>2717766</v>
      </c>
      <c r="G58" t="str">
        <f>IFERROR(__xludf.DUMMYFUNCTION("""COMPUTED_VALUE"""),"Gabriel Silva")</f>
        <v>Gabriel Silva</v>
      </c>
      <c r="H58" t="str">
        <f>IFERROR(__xludf.DUMMYFUNCTION("""COMPUTED_VALUE"""),"Instructor Practices")</f>
        <v>Instructor Practices</v>
      </c>
      <c r="I58" t="str">
        <f>IFERROR(__xludf.DUMMYFUNCTION("""COMPUTED_VALUE"""),"Personal Development")</f>
        <v>Personal Development</v>
      </c>
      <c r="J58" t="str">
        <f>IFERROR(__xludf.DUMMYFUNCTION("""COMPUTED_VALUE"""),"Language Learning")</f>
        <v>Language Learning</v>
      </c>
      <c r="K58">
        <f>IFERROR(__xludf.DUMMYFUNCTION("""COMPUTED_VALUE"""),983670.0)</f>
        <v>983670</v>
      </c>
      <c r="L58" s="140" t="str">
        <f>IFERROR(__xludf.DUMMYFUNCTION("""COMPUTED_VALUE"""),"Aprenda Inglês Com Conversas: Mais Confiança Ao Falar Inglês")</f>
        <v>Aprenda Inglês Com Conversas: Mais Confiança Ao Falar Inglês</v>
      </c>
      <c r="N58" s="140" t="str">
        <f>IFERROR(__xludf.DUMMYFUNCTION("""COMPUTED_VALUE"""),"")</f>
        <v/>
      </c>
    </row>
    <row r="59">
      <c r="A59" s="143">
        <f>IFERROR(__xludf.DUMMYFUNCTION("""COMPUTED_VALUE"""),44210.0)</f>
        <v>44210</v>
      </c>
      <c r="B59">
        <f>IFERROR(__xludf.DUMMYFUNCTION("""COMPUTED_VALUE"""),119262.0)</f>
        <v>119262</v>
      </c>
      <c r="C59" t="str">
        <f>IFERROR(__xludf.DUMMYFUNCTION("""COMPUTED_VALUE"""),"en")</f>
        <v>en</v>
      </c>
      <c r="D59" t="str">
        <f>IFERROR(__xludf.DUMMYFUNCTION("""COMPUTED_VALUE"""),"Comprehensive Ruby on Rails")</f>
        <v>Comprehensive Ruby on Rails</v>
      </c>
      <c r="E59" t="str">
        <f>IFERROR(__xludf.DUMMYFUNCTION("""COMPUTED_VALUE"""),"Comprehensive Ruby on Rails")</f>
        <v>Comprehensive Ruby on Rails</v>
      </c>
      <c r="F59">
        <f>IFERROR(__xludf.DUMMYFUNCTION("""COMPUTED_VALUE"""),82487.0)</f>
        <v>82487</v>
      </c>
      <c r="G59" t="str">
        <f>IFERROR(__xludf.DUMMYFUNCTION("""COMPUTED_VALUE"""),"Jordan Hudgens")</f>
        <v>Jordan Hudgens</v>
      </c>
      <c r="H59" t="str">
        <f>IFERROR(__xludf.DUMMYFUNCTION("""COMPUTED_VALUE"""),"Instructor Practices")</f>
        <v>Instructor Practices</v>
      </c>
      <c r="I59" t="str">
        <f>IFERROR(__xludf.DUMMYFUNCTION("""COMPUTED_VALUE"""),"Development")</f>
        <v>Development</v>
      </c>
      <c r="J59" t="str">
        <f>IFERROR(__xludf.DUMMYFUNCTION("""COMPUTED_VALUE"""),"Web Development")</f>
        <v>Web Development</v>
      </c>
      <c r="K59">
        <f>IFERROR(__xludf.DUMMYFUNCTION("""COMPUTED_VALUE"""),519442.0)</f>
        <v>519442</v>
      </c>
      <c r="L59" s="140" t="str">
        <f>IFERROR(__xludf.DUMMYFUNCTION("""COMPUTED_VALUE"""),"The Complete Ruby on Rails Developer Course")</f>
        <v>The Complete Ruby on Rails Developer Course</v>
      </c>
      <c r="N59" s="140" t="str">
        <f>IFERROR(__xludf.DUMMYFUNCTION("""COMPUTED_VALUE"""),"")</f>
        <v/>
      </c>
    </row>
    <row r="60">
      <c r="A60" s="143">
        <f>IFERROR(__xludf.DUMMYFUNCTION("""COMPUTED_VALUE"""),44210.0)</f>
        <v>44210</v>
      </c>
      <c r="B60">
        <f>IFERROR(__xludf.DUMMYFUNCTION("""COMPUTED_VALUE"""),2432038.0)</f>
        <v>2432038</v>
      </c>
      <c r="C60" t="str">
        <f>IFERROR(__xludf.DUMMYFUNCTION("""COMPUTED_VALUE"""),"en")</f>
        <v>en</v>
      </c>
      <c r="D60" t="str">
        <f>IFERROR(__xludf.DUMMYFUNCTION("""COMPUTED_VALUE"""),"Object Process Methodology (OPM) for MBSE")</f>
        <v>Object Process Methodology (OPM) for MBSE</v>
      </c>
      <c r="E60" t="str">
        <f>IFERROR(__xludf.DUMMYFUNCTION("""COMPUTED_VALUE"""),"Object Process Methodology (OPM) for MBSE")</f>
        <v>Object Process Methodology (OPM) for MBSE</v>
      </c>
      <c r="F60">
        <f>IFERROR(__xludf.DUMMYFUNCTION("""COMPUTED_VALUE"""),3.2526568E7)</f>
        <v>32526568</v>
      </c>
      <c r="G60" t="str">
        <f>IFERROR(__xludf.DUMMYFUNCTION("""COMPUTED_VALUE"""),"Joshua Sutherland")</f>
        <v>Joshua Sutherland</v>
      </c>
      <c r="H60" t="str">
        <f>IFERROR(__xludf.DUMMYFUNCTION("""COMPUTED_VALUE"""),"Instructor Practices")</f>
        <v>Instructor Practices</v>
      </c>
      <c r="I60" t="str">
        <f>IFERROR(__xludf.DUMMYFUNCTION("""COMPUTED_VALUE"""),"Development")</f>
        <v>Development</v>
      </c>
      <c r="J60" t="str">
        <f>IFERROR(__xludf.DUMMYFUNCTION("""COMPUTED_VALUE"""),"Web Development")</f>
        <v>Web Development</v>
      </c>
      <c r="L60" s="140" t="str">
        <f>IFERROR(__xludf.DUMMYFUNCTION("""COMPUTED_VALUE"""),"")</f>
        <v/>
      </c>
      <c r="N60" s="140" t="str">
        <f>IFERROR(__xludf.DUMMYFUNCTION("""COMPUTED_VALUE"""),"")</f>
        <v/>
      </c>
      <c r="O60" s="140" t="str">
        <f>IFERROR(__xludf.DUMMYFUNCTION("""COMPUTED_VALUE"""),"No Alternatives in Collection- 12/24/20")</f>
        <v>No Alternatives in Collection- 12/24/20</v>
      </c>
    </row>
    <row r="61">
      <c r="A61" s="143">
        <f>IFERROR(__xludf.DUMMYFUNCTION("""COMPUTED_VALUE"""),44210.0)</f>
        <v>44210</v>
      </c>
      <c r="B61">
        <f>IFERROR(__xludf.DUMMYFUNCTION("""COMPUTED_VALUE"""),1334144.0)</f>
        <v>1334144</v>
      </c>
      <c r="C61" t="str">
        <f>IFERROR(__xludf.DUMMYFUNCTION("""COMPUTED_VALUE"""),"en")</f>
        <v>en</v>
      </c>
      <c r="D61" t="str">
        <f>IFERROR(__xludf.DUMMYFUNCTION("""COMPUTED_VALUE"""),"Intro To Dynamic Programming - Coding Interview Preparation")</f>
        <v>Intro To Dynamic Programming - Coding Interview Preparation</v>
      </c>
      <c r="E61" t="str">
        <f>IFERROR(__xludf.DUMMYFUNCTION("""COMPUTED_VALUE"""),"Intro To Dynamic Programming - Coding Interview Preparation")</f>
        <v>Intro To Dynamic Programming - Coding Interview Preparation</v>
      </c>
      <c r="F61">
        <f>IFERROR(__xludf.DUMMYFUNCTION("""COMPUTED_VALUE"""),2247048.0)</f>
        <v>2247048</v>
      </c>
      <c r="G61" t="str">
        <f>IFERROR(__xludf.DUMMYFUNCTION("""COMPUTED_VALUE"""),"El Farouk Yasser")</f>
        <v>El Farouk Yasser</v>
      </c>
      <c r="H61" t="str">
        <f>IFERROR(__xludf.DUMMYFUNCTION("""COMPUTED_VALUE"""),"Instructor Practices")</f>
        <v>Instructor Practices</v>
      </c>
      <c r="I61" t="str">
        <f>IFERROR(__xludf.DUMMYFUNCTION("""COMPUTED_VALUE"""),"Development")</f>
        <v>Development</v>
      </c>
      <c r="J61" t="str">
        <f>IFERROR(__xludf.DUMMYFUNCTION("""COMPUTED_VALUE"""),"Programming Languages")</f>
        <v>Programming Languages</v>
      </c>
      <c r="K61">
        <f>IFERROR(__xludf.DUMMYFUNCTION("""COMPUTED_VALUE"""),1767160.0)</f>
        <v>1767160</v>
      </c>
      <c r="L61" s="140" t="str">
        <f>IFERROR(__xludf.DUMMYFUNCTION("""COMPUTED_VALUE"""),"Dynamic Programming - I")</f>
        <v>Dynamic Programming - I</v>
      </c>
      <c r="M61">
        <f>IFERROR(__xludf.DUMMYFUNCTION("""COMPUTED_VALUE"""),2170852.0)</f>
        <v>2170852</v>
      </c>
      <c r="N61" s="140" t="str">
        <f>IFERROR(__xludf.DUMMYFUNCTION("""COMPUTED_VALUE"""),"Master the art of Dynamic Programming")</f>
        <v>Master the art of Dynamic Programming</v>
      </c>
    </row>
    <row r="62">
      <c r="A62" s="143">
        <f>IFERROR(__xludf.DUMMYFUNCTION("""COMPUTED_VALUE"""),44210.0)</f>
        <v>44210</v>
      </c>
      <c r="B62">
        <f>IFERROR(__xludf.DUMMYFUNCTION("""COMPUTED_VALUE"""),1173134.0)</f>
        <v>1173134</v>
      </c>
      <c r="C62" t="str">
        <f>IFERROR(__xludf.DUMMYFUNCTION("""COMPUTED_VALUE"""),"en")</f>
        <v>en</v>
      </c>
      <c r="D62" t="str">
        <f>IFERROR(__xludf.DUMMYFUNCTION("""COMPUTED_VALUE"""),"Website Traffic Without SEO: 3 Traffic Boosting Case Studies")</f>
        <v>Website Traffic Without SEO: 3 Traffic Boosting Case Studies</v>
      </c>
      <c r="E62" t="str">
        <f>IFERROR(__xludf.DUMMYFUNCTION("""COMPUTED_VALUE"""),"Website Traffic Without SEO: 3 Traffic Boosting Case Studies")</f>
        <v>Website Traffic Without SEO: 3 Traffic Boosting Case Studies</v>
      </c>
      <c r="F62">
        <f>IFERROR(__xludf.DUMMYFUNCTION("""COMPUTED_VALUE"""),2618424.0)</f>
        <v>2618424</v>
      </c>
      <c r="G62" t="str">
        <f>IFERROR(__xludf.DUMMYFUNCTION("""COMPUTED_VALUE"""),"Christine Maisel")</f>
        <v>Christine Maisel</v>
      </c>
      <c r="H62" t="str">
        <f>IFERROR(__xludf.DUMMYFUNCTION("""COMPUTED_VALUE"""),"Instructor Practices")</f>
        <v>Instructor Practices</v>
      </c>
      <c r="I62" t="str">
        <f>IFERROR(__xludf.DUMMYFUNCTION("""COMPUTED_VALUE"""),"Marketing")</f>
        <v>Marketing</v>
      </c>
      <c r="J62" t="str">
        <f>IFERROR(__xludf.DUMMYFUNCTION("""COMPUTED_VALUE"""),"Search Engine Optimization")</f>
        <v>Search Engine Optimization</v>
      </c>
      <c r="L62" s="140" t="str">
        <f>IFERROR(__xludf.DUMMYFUNCTION("""COMPUTED_VALUE"""),"")</f>
        <v/>
      </c>
      <c r="N62" s="140" t="str">
        <f>IFERROR(__xludf.DUMMYFUNCTION("""COMPUTED_VALUE"""),"")</f>
        <v/>
      </c>
      <c r="O62" s="145" t="str">
        <f>IFERROR(__xludf.DUMMYFUNCTION("""COMPUTED_VALUE"""),"No Alternatives in Collection- 12/24/20")</f>
        <v>No Alternatives in Collection- 12/24/20</v>
      </c>
    </row>
    <row r="63">
      <c r="A63" s="143">
        <f>IFERROR(__xludf.DUMMYFUNCTION("""COMPUTED_VALUE"""),44210.0)</f>
        <v>44210</v>
      </c>
      <c r="B63">
        <f>IFERROR(__xludf.DUMMYFUNCTION("""COMPUTED_VALUE"""),2313630.0)</f>
        <v>2313630</v>
      </c>
      <c r="C63" t="str">
        <f>IFERROR(__xludf.DUMMYFUNCTION("""COMPUTED_VALUE"""),"pt")</f>
        <v>pt</v>
      </c>
      <c r="D63" t="str">
        <f>IFERROR(__xludf.DUMMYFUNCTION("""COMPUTED_VALUE"""),"Ethical Hacking - RASTREAMENTO DE PESSOAS")</f>
        <v>Ethical Hacking - RASTREAMENTO DE PESSOAS</v>
      </c>
      <c r="E63" t="str">
        <f>IFERROR(__xludf.DUMMYFUNCTION("""COMPUTED_VALUE"""),"Ethical Hacking - Tracking People")</f>
        <v>Ethical Hacking - Tracking People</v>
      </c>
      <c r="F63">
        <f>IFERROR(__xludf.DUMMYFUNCTION("""COMPUTED_VALUE"""),6.8827298E7)</f>
        <v>68827298</v>
      </c>
      <c r="G63" t="str">
        <f>IFERROR(__xludf.DUMMYFUNCTION("""COMPUTED_VALUE"""),"Ivan N. Gonçalves")</f>
        <v>Ivan N. Gonçalves</v>
      </c>
      <c r="H63" t="str">
        <f>IFERROR(__xludf.DUMMYFUNCTION("""COMPUTED_VALUE"""),"Instructor Practices")</f>
        <v>Instructor Practices</v>
      </c>
      <c r="I63" t="str">
        <f>IFERROR(__xludf.DUMMYFUNCTION("""COMPUTED_VALUE"""),"IT Operations")</f>
        <v>IT Operations</v>
      </c>
      <c r="J63" t="str">
        <f>IFERROR(__xludf.DUMMYFUNCTION("""COMPUTED_VALUE"""),"Network &amp; Security")</f>
        <v>Network &amp; Security</v>
      </c>
      <c r="L63" s="140" t="str">
        <f>IFERROR(__xludf.DUMMYFUNCTION("""COMPUTED_VALUE"""),"")</f>
        <v/>
      </c>
      <c r="N63" s="140" t="str">
        <f>IFERROR(__xludf.DUMMYFUNCTION("""COMPUTED_VALUE"""),"")</f>
        <v/>
      </c>
      <c r="O63" s="145" t="str">
        <f>IFERROR(__xludf.DUMMYFUNCTION("""COMPUTED_VALUE"""),"No Alternatives in Collection- 12/24/20")</f>
        <v>No Alternatives in Collection- 12/24/20</v>
      </c>
    </row>
    <row r="64">
      <c r="A64" s="143">
        <f>IFERROR(__xludf.DUMMYFUNCTION("""COMPUTED_VALUE"""),44210.0)</f>
        <v>44210</v>
      </c>
      <c r="B64">
        <f>IFERROR(__xludf.DUMMYFUNCTION("""COMPUTED_VALUE"""),1340966.0)</f>
        <v>1340966</v>
      </c>
      <c r="C64" t="str">
        <f>IFERROR(__xludf.DUMMYFUNCTION("""COMPUTED_VALUE"""),"en")</f>
        <v>en</v>
      </c>
      <c r="D64" t="str">
        <f>IFERROR(__xludf.DUMMYFUNCTION("""COMPUTED_VALUE"""),"Python Ethical Hacking | Build a Keylogger in Python 3")</f>
        <v>Python Ethical Hacking | Build a Keylogger in Python 3</v>
      </c>
      <c r="E64" t="str">
        <f>IFERROR(__xludf.DUMMYFUNCTION("""COMPUTED_VALUE"""),"Python Ethical Hacking | Build a Keylogger in Python 3")</f>
        <v>Python Ethical Hacking | Build a Keylogger in Python 3</v>
      </c>
      <c r="F64">
        <f>IFERROR(__xludf.DUMMYFUNCTION("""COMPUTED_VALUE"""),3.5871702E7)</f>
        <v>35871702</v>
      </c>
      <c r="G64" t="str">
        <f>IFERROR(__xludf.DUMMYFUNCTION("""COMPUTED_VALUE"""),"Phillip Aaron")</f>
        <v>Phillip Aaron</v>
      </c>
      <c r="H64" t="str">
        <f>IFERROR(__xludf.DUMMYFUNCTION("""COMPUTED_VALUE"""),"Instructor Practices")</f>
        <v>Instructor Practices</v>
      </c>
      <c r="I64" t="str">
        <f>IFERROR(__xludf.DUMMYFUNCTION("""COMPUTED_VALUE"""),"IT Operations")</f>
        <v>IT Operations</v>
      </c>
      <c r="J64" t="str">
        <f>IFERROR(__xludf.DUMMYFUNCTION("""COMPUTED_VALUE"""),"Network &amp; Security")</f>
        <v>Network &amp; Security</v>
      </c>
      <c r="K64">
        <f>IFERROR(__xludf.DUMMYFUNCTION("""COMPUTED_VALUE"""),1527300.0)</f>
        <v>1527300</v>
      </c>
      <c r="L64" s="140" t="str">
        <f>IFERROR(__xludf.DUMMYFUNCTION("""COMPUTED_VALUE"""),"Learn Python &amp; Ethical Hacking From Scratch")</f>
        <v>Learn Python &amp; Ethical Hacking From Scratch</v>
      </c>
      <c r="N64" s="140" t="str">
        <f>IFERROR(__xludf.DUMMYFUNCTION("""COMPUTED_VALUE"""),"")</f>
        <v/>
      </c>
    </row>
    <row r="65">
      <c r="A65" s="143">
        <f>IFERROR(__xludf.DUMMYFUNCTION("""COMPUTED_VALUE"""),44211.0)</f>
        <v>44211</v>
      </c>
      <c r="B65" s="140">
        <f>IFERROR(__xludf.DUMMYFUNCTION("""COMPUTED_VALUE"""),192004.0)</f>
        <v>192004</v>
      </c>
      <c r="C65" t="str">
        <f>IFERROR(__xludf.DUMMYFUNCTION("""COMPUTED_VALUE"""),"en")</f>
        <v>en</v>
      </c>
      <c r="D65" t="str">
        <f>IFERROR(__xludf.DUMMYFUNCTION("""COMPUTED_VALUE"""),"7 Scientifically Proven Steps to Increase Your Influence")</f>
        <v>7 Scientifically Proven Steps to Increase Your Influence</v>
      </c>
      <c r="E65" t="str">
        <f>IFERROR(__xludf.DUMMYFUNCTION("""COMPUTED_VALUE"""),"7 Scientifically Proven Steps to Increase Your Influence")</f>
        <v>7 Scientifically Proven Steps to Increase Your Influence</v>
      </c>
      <c r="F65" s="140">
        <f>IFERROR(__xludf.DUMMYFUNCTION("""COMPUTED_VALUE"""),570158.0)</f>
        <v>570158</v>
      </c>
      <c r="G65" s="140" t="str">
        <f>IFERROR(__xludf.DUMMYFUNCTION("""COMPUTED_VALUE"""),"Vanessa Van Edwards")</f>
        <v>Vanessa Van Edwards</v>
      </c>
      <c r="H65" t="str">
        <f>IFERROR(__xludf.DUMMYFUNCTION("""COMPUTED_VALUE"""),"Inappropriate Conent")</f>
        <v>Inappropriate Conent</v>
      </c>
      <c r="I65" t="str">
        <f>IFERROR(__xludf.DUMMYFUNCTION("""COMPUTED_VALUE"""),"Leadership &amp; Management")</f>
        <v>Leadership &amp; Management</v>
      </c>
      <c r="J65" t="str">
        <f>IFERROR(__xludf.DUMMYFUNCTION("""COMPUTED_VALUE"""),"Communication")</f>
        <v>Communication</v>
      </c>
      <c r="K65">
        <f>IFERROR(__xludf.DUMMYFUNCTION("""COMPUTED_VALUE"""),1782908.0)</f>
        <v>1782908</v>
      </c>
      <c r="L65" s="140" t="str">
        <f>IFERROR(__xludf.DUMMYFUNCTION("""COMPUTED_VALUE"""),"Communication Skills Machine: Master Persuasion &amp; Influence")</f>
        <v>Communication Skills Machine: Master Persuasion &amp; Influence</v>
      </c>
      <c r="M65" s="140">
        <f>IFERROR(__xludf.DUMMYFUNCTION("""COMPUTED_VALUE"""),666956.0)</f>
        <v>666956</v>
      </c>
      <c r="N65" s="140" t="str">
        <f>IFERROR(__xludf.DUMMYFUNCTION("""COMPUTED_VALUE"""),"Influence People with Persuasion Psychology")</f>
        <v>Influence People with Persuasion Psychology</v>
      </c>
    </row>
    <row r="66">
      <c r="A66" s="143">
        <f>IFERROR(__xludf.DUMMYFUNCTION("""COMPUTED_VALUE"""),44216.0)</f>
        <v>44216</v>
      </c>
      <c r="B66" s="140">
        <f>IFERROR(__xludf.DUMMYFUNCTION("""COMPUTED_VALUE"""),2657354.0)</f>
        <v>2657354</v>
      </c>
      <c r="C66" t="str">
        <f>IFERROR(__xludf.DUMMYFUNCTION("""COMPUTED_VALUE"""),"en")</f>
        <v>en</v>
      </c>
      <c r="D66" t="str">
        <f>IFERROR(__xludf.DUMMYFUNCTION("""COMPUTED_VALUE"""),"Build Real world application with Blazor (.NET Core 3.1)")</f>
        <v>Build Real world application with Blazor (.NET Core 3.1)</v>
      </c>
      <c r="E66" t="str">
        <f>IFERROR(__xludf.DUMMYFUNCTION("""COMPUTED_VALUE"""),"Build Real world application with Blazor (.NET Core 3.1)")</f>
        <v>Build Real world application with Blazor (.NET Core 3.1)</v>
      </c>
      <c r="F66" s="140">
        <f>IFERROR(__xludf.DUMMYFUNCTION("""COMPUTED_VALUE"""),8843166.0)</f>
        <v>8843166</v>
      </c>
      <c r="G66" s="140" t="str">
        <f>IFERROR(__xludf.DUMMYFUNCTION("""COMPUTED_VALUE"""),"Bhrugen Patel")</f>
        <v>Bhrugen Patel</v>
      </c>
      <c r="H66" t="str">
        <f>IFERROR(__xludf.DUMMYFUNCTION("""COMPUTED_VALUE"""),"Outdated Content")</f>
        <v>Outdated Content</v>
      </c>
      <c r="I66" t="str">
        <f>IFERROR(__xludf.DUMMYFUNCTION("""COMPUTED_VALUE"""),"Development")</f>
        <v>Development</v>
      </c>
      <c r="J66" t="str">
        <f>IFERROR(__xludf.DUMMYFUNCTION("""COMPUTED_VALUE"""),"Development Tools")</f>
        <v>Development Tools</v>
      </c>
      <c r="K66" t="str">
        <f>IFERROR(__xludf.DUMMYFUNCTION("""COMPUTED_VALUE"""),"3692056")</f>
        <v>3692056</v>
      </c>
      <c r="L66" s="140" t="str">
        <f>IFERROR(__xludf.DUMMYFUNCTION("""COMPUTED_VALUE"""),"")</f>
        <v/>
      </c>
      <c r="N66" s="140" t="str">
        <f>IFERROR(__xludf.DUMMYFUNCTION("""COMPUTED_VALUE"""),"")</f>
        <v/>
      </c>
    </row>
    <row r="67">
      <c r="A67" s="143">
        <f>IFERROR(__xludf.DUMMYFUNCTION("""COMPUTED_VALUE"""),44216.0)</f>
        <v>44216</v>
      </c>
      <c r="B67" s="140">
        <f>IFERROR(__xludf.DUMMYFUNCTION("""COMPUTED_VALUE"""),3269102.0)</f>
        <v>3269102</v>
      </c>
      <c r="C67" t="str">
        <f>IFERROR(__xludf.DUMMYFUNCTION("""COMPUTED_VALUE"""),"en")</f>
        <v>en</v>
      </c>
      <c r="D67" t="str">
        <f>IFERROR(__xludf.DUMMYFUNCTION("""COMPUTED_VALUE"""),"[2021] HR Analytics Master Course with Excel and R | Ver 9.1")</f>
        <v>[2021] HR Analytics Master Course with Excel and R | Ver 9.1</v>
      </c>
      <c r="E67" t="str">
        <f>IFERROR(__xludf.DUMMYFUNCTION("""COMPUTED_VALUE"""),"[2021] HR Analytics Master Course with Excel and R | Ver 9.1")</f>
        <v>[2021] HR Analytics Master Course with Excel and R | Ver 9.1</v>
      </c>
      <c r="F67" s="140">
        <f>IFERROR(__xludf.DUMMYFUNCTION("""COMPUTED_VALUE"""),8.1672655E7)</f>
        <v>81672655</v>
      </c>
      <c r="G67" s="140" t="str">
        <f>IFERROR(__xludf.DUMMYFUNCTION("""COMPUTED_VALUE"""),"William McGuffey Academy")</f>
        <v>William McGuffey Academy</v>
      </c>
      <c r="H67" t="str">
        <f>IFERROR(__xludf.DUMMYFUNCTION("""COMPUTED_VALUE"""),"Instructor Practices")</f>
        <v>Instructor Practices</v>
      </c>
      <c r="I67" t="str">
        <f>IFERROR(__xludf.DUMMYFUNCTION("""COMPUTED_VALUE"""),"Data Science")</f>
        <v>Data Science</v>
      </c>
      <c r="J67" t="str">
        <f>IFERROR(__xludf.DUMMYFUNCTION("""COMPUTED_VALUE"""),"Analytics")</f>
        <v>Analytics</v>
      </c>
      <c r="K67">
        <f>IFERROR(__xludf.DUMMYFUNCTION("""COMPUTED_VALUE"""),2676416.0)</f>
        <v>2676416</v>
      </c>
      <c r="L67" s="140" t="str">
        <f>IFERROR(__xludf.DUMMYFUNCTION("""COMPUTED_VALUE"""),"HR Analytics Master Course with Excel, Python and R")</f>
        <v>HR Analytics Master Course with Excel, Python and R</v>
      </c>
      <c r="N67" s="140" t="str">
        <f>IFERROR(__xludf.DUMMYFUNCTION("""COMPUTED_VALUE"""),"")</f>
        <v/>
      </c>
    </row>
    <row r="68">
      <c r="A68" s="143">
        <f>IFERROR(__xludf.DUMMYFUNCTION("""COMPUTED_VALUE"""),44216.0)</f>
        <v>44216</v>
      </c>
      <c r="B68" s="140">
        <f>IFERROR(__xludf.DUMMYFUNCTION("""COMPUTED_VALUE"""),2408894.0)</f>
        <v>2408894</v>
      </c>
      <c r="C68" t="str">
        <f>IFERROR(__xludf.DUMMYFUNCTION("""COMPUTED_VALUE"""),"en")</f>
        <v>en</v>
      </c>
      <c r="D68" t="str">
        <f>IFERROR(__xludf.DUMMYFUNCTION("""COMPUTED_VALUE"""),"Veeam Backup and Replication Zero To Hero")</f>
        <v>Veeam Backup and Replication Zero To Hero</v>
      </c>
      <c r="E68" t="str">
        <f>IFERROR(__xludf.DUMMYFUNCTION("""COMPUTED_VALUE"""),"Veeam Backup and Replication Zero To Hero")</f>
        <v>Veeam Backup and Replication Zero To Hero</v>
      </c>
      <c r="F68" s="140">
        <f>IFERROR(__xludf.DUMMYFUNCTION("""COMPUTED_VALUE"""),2.6194156E7)</f>
        <v>26194156</v>
      </c>
      <c r="G68" s="140" t="str">
        <f>IFERROR(__xludf.DUMMYFUNCTION("""COMPUTED_VALUE"""),"Ali Mansouri")</f>
        <v>Ali Mansouri</v>
      </c>
      <c r="H68" t="str">
        <f>IFERROR(__xludf.DUMMYFUNCTION("""COMPUTED_VALUE"""),"Instructor Practices")</f>
        <v>Instructor Practices</v>
      </c>
      <c r="I68" t="str">
        <f>IFERROR(__xludf.DUMMYFUNCTION("""COMPUTED_VALUE"""),"IT Operations")</f>
        <v>IT Operations</v>
      </c>
      <c r="J68" t="str">
        <f>IFERROR(__xludf.DUMMYFUNCTION("""COMPUTED_VALUE"""),"Network &amp; Security")</f>
        <v>Network &amp; Security</v>
      </c>
      <c r="L68" s="140" t="str">
        <f>IFERROR(__xludf.DUMMYFUNCTION("""COMPUTED_VALUE"""),"")</f>
        <v/>
      </c>
      <c r="N68" s="140" t="str">
        <f>IFERROR(__xludf.DUMMYFUNCTION("""COMPUTED_VALUE"""),"")</f>
        <v/>
      </c>
      <c r="O68" s="145" t="str">
        <f>IFERROR(__xludf.DUMMYFUNCTION("""COMPUTED_VALUE"""),"No Alternatives in Collection- 10/22/21")</f>
        <v>No Alternatives in Collection- 10/22/21</v>
      </c>
    </row>
    <row r="69">
      <c r="A69" s="143">
        <f>IFERROR(__xludf.DUMMYFUNCTION("""COMPUTED_VALUE"""),44216.0)</f>
        <v>44216</v>
      </c>
      <c r="B69" s="140">
        <f>IFERROR(__xludf.DUMMYFUNCTION("""COMPUTED_VALUE"""),2636816.0)</f>
        <v>2636816</v>
      </c>
      <c r="C69" t="str">
        <f>IFERROR(__xludf.DUMMYFUNCTION("""COMPUTED_VALUE"""),"en")</f>
        <v>en</v>
      </c>
      <c r="D69" t="str">
        <f>IFERROR(__xludf.DUMMYFUNCTION("""COMPUTED_VALUE"""),"PRTG Network Performance Monitoring Course")</f>
        <v>PRTG Network Performance Monitoring Course</v>
      </c>
      <c r="E69" t="str">
        <f>IFERROR(__xludf.DUMMYFUNCTION("""COMPUTED_VALUE"""),"PRTG Network Performance Monitoring Course")</f>
        <v>PRTG Network Performance Monitoring Course</v>
      </c>
      <c r="F69" s="140">
        <f>IFERROR(__xludf.DUMMYFUNCTION("""COMPUTED_VALUE"""),2.6194156E7)</f>
        <v>26194156</v>
      </c>
      <c r="G69" s="140" t="str">
        <f>IFERROR(__xludf.DUMMYFUNCTION("""COMPUTED_VALUE"""),"Ali Mansouri")</f>
        <v>Ali Mansouri</v>
      </c>
      <c r="H69" t="str">
        <f>IFERROR(__xludf.DUMMYFUNCTION("""COMPUTED_VALUE"""),"Instructor Practices")</f>
        <v>Instructor Practices</v>
      </c>
      <c r="I69" t="str">
        <f>IFERROR(__xludf.DUMMYFUNCTION("""COMPUTED_VALUE"""),"IT Operations")</f>
        <v>IT Operations</v>
      </c>
      <c r="J69" t="str">
        <f>IFERROR(__xludf.DUMMYFUNCTION("""COMPUTED_VALUE"""),"IT Certifications")</f>
        <v>IT Certifications</v>
      </c>
      <c r="L69" s="140" t="str">
        <f>IFERROR(__xludf.DUMMYFUNCTION("""COMPUTED_VALUE"""),"")</f>
        <v/>
      </c>
      <c r="N69" s="140" t="str">
        <f>IFERROR(__xludf.DUMMYFUNCTION("""COMPUTED_VALUE"""),"")</f>
        <v/>
      </c>
    </row>
    <row r="70">
      <c r="A70" s="143">
        <f>IFERROR(__xludf.DUMMYFUNCTION("""COMPUTED_VALUE"""),44216.0)</f>
        <v>44216</v>
      </c>
      <c r="B70" s="140">
        <f>IFERROR(__xludf.DUMMYFUNCTION("""COMPUTED_VALUE"""),2738410.0)</f>
        <v>2738410</v>
      </c>
      <c r="C70" t="str">
        <f>IFERROR(__xludf.DUMMYFUNCTION("""COMPUTED_VALUE"""),"en")</f>
        <v>en</v>
      </c>
      <c r="D70" t="str">
        <f>IFERROR(__xludf.DUMMYFUNCTION("""COMPUTED_VALUE"""),"Solarwinds Network Performance Monitoring Course")</f>
        <v>Solarwinds Network Performance Monitoring Course</v>
      </c>
      <c r="E70" t="str">
        <f>IFERROR(__xludf.DUMMYFUNCTION("""COMPUTED_VALUE"""),"Solarwinds Network Performance Monitoring Course")</f>
        <v>Solarwinds Network Performance Monitoring Course</v>
      </c>
      <c r="F70" s="140">
        <f>IFERROR(__xludf.DUMMYFUNCTION("""COMPUTED_VALUE"""),2.6194156E7)</f>
        <v>26194156</v>
      </c>
      <c r="G70" s="140" t="str">
        <f>IFERROR(__xludf.DUMMYFUNCTION("""COMPUTED_VALUE"""),"Ali Mansouri")</f>
        <v>Ali Mansouri</v>
      </c>
      <c r="H70" t="str">
        <f>IFERROR(__xludf.DUMMYFUNCTION("""COMPUTED_VALUE"""),"Instructor Practices")</f>
        <v>Instructor Practices</v>
      </c>
      <c r="I70" t="str">
        <f>IFERROR(__xludf.DUMMYFUNCTION("""COMPUTED_VALUE"""),"IT Operations")</f>
        <v>IT Operations</v>
      </c>
      <c r="J70" t="str">
        <f>IFERROR(__xludf.DUMMYFUNCTION("""COMPUTED_VALUE"""),"IT Certifications")</f>
        <v>IT Certifications</v>
      </c>
      <c r="L70" s="140" t="str">
        <f>IFERROR(__xludf.DUMMYFUNCTION("""COMPUTED_VALUE"""),"")</f>
        <v/>
      </c>
      <c r="N70" s="140" t="str">
        <f>IFERROR(__xludf.DUMMYFUNCTION("""COMPUTED_VALUE"""),"")</f>
        <v/>
      </c>
    </row>
    <row r="71">
      <c r="A71" s="143">
        <f>IFERROR(__xludf.DUMMYFUNCTION("""COMPUTED_VALUE"""),44216.0)</f>
        <v>44216</v>
      </c>
      <c r="B71" s="140">
        <f>IFERROR(__xludf.DUMMYFUNCTION("""COMPUTED_VALUE"""),3111152.0)</f>
        <v>3111152</v>
      </c>
      <c r="C71" t="str">
        <f>IFERROR(__xludf.DUMMYFUNCTION("""COMPUTED_VALUE"""),"en")</f>
        <v>en</v>
      </c>
      <c r="D71" t="str">
        <f>IFERROR(__xludf.DUMMYFUNCTION("""COMPUTED_VALUE"""),"VMware vSphere 7 Foundation: install, configure, manage [v7]")</f>
        <v>VMware vSphere 7 Foundation: install, configure, manage [v7]</v>
      </c>
      <c r="E71" t="str">
        <f>IFERROR(__xludf.DUMMYFUNCTION("""COMPUTED_VALUE"""),"VMware vSphere 7 Foundation: install, configure, manage [v7]")</f>
        <v>VMware vSphere 7 Foundation: install, configure, manage [v7]</v>
      </c>
      <c r="F71" s="140">
        <f>IFERROR(__xludf.DUMMYFUNCTION("""COMPUTED_VALUE"""),2.6194156E7)</f>
        <v>26194156</v>
      </c>
      <c r="G71" s="140" t="str">
        <f>IFERROR(__xludf.DUMMYFUNCTION("""COMPUTED_VALUE"""),"Ali Mansouri")</f>
        <v>Ali Mansouri</v>
      </c>
      <c r="H71" t="str">
        <f>IFERROR(__xludf.DUMMYFUNCTION("""COMPUTED_VALUE"""),"Instructor Practices")</f>
        <v>Instructor Practices</v>
      </c>
      <c r="I71" t="str">
        <f>IFERROR(__xludf.DUMMYFUNCTION("""COMPUTED_VALUE"""),"IT Operations")</f>
        <v>IT Operations</v>
      </c>
      <c r="J71" t="str">
        <f>IFERROR(__xludf.DUMMYFUNCTION("""COMPUTED_VALUE"""),"Operating Systems &amp; Servers")</f>
        <v>Operating Systems &amp; Servers</v>
      </c>
      <c r="K71">
        <f>IFERROR(__xludf.DUMMYFUNCTION("""COMPUTED_VALUE"""),3067744.0)</f>
        <v>3067744</v>
      </c>
      <c r="L71" s="140" t="str">
        <f>IFERROR(__xludf.DUMMYFUNCTION("""COMPUTED_VALUE"""),"vSphere 7 Overview: Upgrade Demos, Changes, &amp; New Features")</f>
        <v>vSphere 7 Overview: Upgrade Demos, Changes, &amp; New Features</v>
      </c>
      <c r="N71" s="140" t="str">
        <f>IFERROR(__xludf.DUMMYFUNCTION("""COMPUTED_VALUE"""),"")</f>
        <v/>
      </c>
    </row>
    <row r="72">
      <c r="A72" s="143">
        <f>IFERROR(__xludf.DUMMYFUNCTION("""COMPUTED_VALUE"""),44217.0)</f>
        <v>44217</v>
      </c>
      <c r="B72">
        <f>IFERROR(__xludf.DUMMYFUNCTION("""COMPUTED_VALUE"""),2684152.0)</f>
        <v>2684152</v>
      </c>
      <c r="C72" t="str">
        <f>IFERROR(__xludf.DUMMYFUNCTION("""COMPUTED_VALUE"""),"en")</f>
        <v>en</v>
      </c>
      <c r="D72" t="str">
        <f>IFERROR(__xludf.DUMMYFUNCTION("""COMPUTED_VALUE"""),"AZ-103 / AZ-104 : Microsoft Azure Administrator Full Course")</f>
        <v>AZ-103 / AZ-104 : Microsoft Azure Administrator Full Course</v>
      </c>
      <c r="E72" t="str">
        <f>IFERROR(__xludf.DUMMYFUNCTION("""COMPUTED_VALUE"""),"A-103 / A-104: Microsoft Azure Administrator Full Course")</f>
        <v>A-103 / A-104: Microsoft Azure Administrator Full Course</v>
      </c>
      <c r="F72" s="140">
        <f>IFERROR(__xludf.DUMMYFUNCTION("""COMPUTED_VALUE"""),1.8134838E7)</f>
        <v>18134838</v>
      </c>
      <c r="G72" s="140" t="str">
        <f>IFERROR(__xludf.DUMMYFUNCTION("""COMPUTED_VALUE"""),"Anand Nednur")</f>
        <v>Anand Nednur</v>
      </c>
      <c r="H72" t="str">
        <f>IFERROR(__xludf.DUMMYFUNCTION("""COMPUTED_VALUE"""),"Duplicate Content")</f>
        <v>Duplicate Content</v>
      </c>
      <c r="I72" t="str">
        <f>IFERROR(__xludf.DUMMYFUNCTION("""COMPUTED_VALUE"""),"Cloud Computing")</f>
        <v>Cloud Computing</v>
      </c>
      <c r="J72" t="str">
        <f>IFERROR(__xludf.DUMMYFUNCTION("""COMPUTED_VALUE"""),"Cloud Certification")</f>
        <v>Cloud Certification</v>
      </c>
      <c r="K72">
        <f>IFERROR(__xludf.DUMMYFUNCTION("""COMPUTED_VALUE"""),2873370.0)</f>
        <v>2873370</v>
      </c>
      <c r="L72" s="140" t="str">
        <f>IFERROR(__xludf.DUMMYFUNCTION("""COMPUTED_VALUE"""),"AZ-104: Microsoft Azure Administrator - Full Course")</f>
        <v>AZ-104: Microsoft Azure Administrator - Full Course</v>
      </c>
      <c r="N72" s="140" t="str">
        <f>IFERROR(__xludf.DUMMYFUNCTION("""COMPUTED_VALUE"""),"")</f>
        <v/>
      </c>
    </row>
    <row r="73">
      <c r="A73" s="143">
        <f>IFERROR(__xludf.DUMMYFUNCTION("""COMPUTED_VALUE"""),44217.0)</f>
        <v>44217</v>
      </c>
      <c r="B73">
        <f>IFERROR(__xludf.DUMMYFUNCTION("""COMPUTED_VALUE"""),38266.0)</f>
        <v>38266</v>
      </c>
      <c r="C73" t="str">
        <f>IFERROR(__xludf.DUMMYFUNCTION("""COMPUTED_VALUE"""),"en")</f>
        <v>en</v>
      </c>
      <c r="D73" t="str">
        <f>IFERROR(__xludf.DUMMYFUNCTION("""COMPUTED_VALUE"""),"The Secrets of Body Language")</f>
        <v>The Secrets of Body Language</v>
      </c>
      <c r="E73" t="str">
        <f>IFERROR(__xludf.DUMMYFUNCTION("""COMPUTED_VALUE"""),"The Secrets of Body Language")</f>
        <v>The Secrets of Body Language</v>
      </c>
      <c r="F73" s="140">
        <f>IFERROR(__xludf.DUMMYFUNCTION("""COMPUTED_VALUE"""),570158.0)</f>
        <v>570158</v>
      </c>
      <c r="G73" s="140" t="str">
        <f>IFERROR(__xludf.DUMMYFUNCTION("""COMPUTED_VALUE"""),"Vanessa Van Edwards")</f>
        <v>Vanessa Van Edwards</v>
      </c>
      <c r="H73" t="str">
        <f>IFERROR(__xludf.DUMMYFUNCTION("""COMPUTED_VALUE"""),"Inappropriate Conent")</f>
        <v>Inappropriate Conent</v>
      </c>
      <c r="I73" t="str">
        <f>IFERROR(__xludf.DUMMYFUNCTION("""COMPUTED_VALUE"""),"Personal Development")</f>
        <v>Personal Development</v>
      </c>
      <c r="J73" t="str">
        <f>IFERROR(__xludf.DUMMYFUNCTION("""COMPUTED_VALUE"""),"Personal Growth")</f>
        <v>Personal Growth</v>
      </c>
      <c r="K73">
        <f>IFERROR(__xludf.DUMMYFUNCTION("""COMPUTED_VALUE"""),1401738.0)</f>
        <v>1401738</v>
      </c>
      <c r="L73" s="140" t="str">
        <f>IFERROR(__xludf.DUMMYFUNCTION("""COMPUTED_VALUE"""),"CONFIDENCE and SELF ESTEEM: Develop Confident Body Language")</f>
        <v>CONFIDENCE and SELF ESTEEM: Develop Confident Body Language</v>
      </c>
      <c r="M73" s="140">
        <f>IFERROR(__xludf.DUMMYFUNCTION("""COMPUTED_VALUE"""),662362.0)</f>
        <v>662362</v>
      </c>
      <c r="N73" s="140" t="str">
        <f>IFERROR(__xludf.DUMMYFUNCTION("""COMPUTED_VALUE"""),"Body Language to Help Your Business Career")</f>
        <v>Body Language to Help Your Business Career</v>
      </c>
    </row>
    <row r="74">
      <c r="A74" s="143">
        <f>IFERROR(__xludf.DUMMYFUNCTION("""COMPUTED_VALUE"""),44217.0)</f>
        <v>44217</v>
      </c>
      <c r="B74">
        <f>IFERROR(__xludf.DUMMYFUNCTION("""COMPUTED_VALUE"""),84792.0)</f>
        <v>84792</v>
      </c>
      <c r="C74" t="str">
        <f>IFERROR(__xludf.DUMMYFUNCTION("""COMPUTED_VALUE"""),"en")</f>
        <v>en</v>
      </c>
      <c r="D74" t="str">
        <f>IFERROR(__xludf.DUMMYFUNCTION("""COMPUTED_VALUE"""),"Body Language for Entrepreneurs")</f>
        <v>Body Language for Entrepreneurs</v>
      </c>
      <c r="E74" t="str">
        <f>IFERROR(__xludf.DUMMYFUNCTION("""COMPUTED_VALUE"""),"Body Language for Entrepreneurs")</f>
        <v>Body Language for Entrepreneurs</v>
      </c>
      <c r="F74" s="140">
        <f>IFERROR(__xludf.DUMMYFUNCTION("""COMPUTED_VALUE"""),570158.0)</f>
        <v>570158</v>
      </c>
      <c r="G74" s="140" t="str">
        <f>IFERROR(__xludf.DUMMYFUNCTION("""COMPUTED_VALUE"""),"Vanessa Van Edwards")</f>
        <v>Vanessa Van Edwards</v>
      </c>
      <c r="H74" t="str">
        <f>IFERROR(__xludf.DUMMYFUNCTION("""COMPUTED_VALUE"""),"Inappropriate Conent")</f>
        <v>Inappropriate Conent</v>
      </c>
      <c r="I74" t="str">
        <f>IFERROR(__xludf.DUMMYFUNCTION("""COMPUTED_VALUE"""),"Personal Development")</f>
        <v>Personal Development</v>
      </c>
      <c r="J74" t="str">
        <f>IFERROR(__xludf.DUMMYFUNCTION("""COMPUTED_VALUE"""),"Personal Growth")</f>
        <v>Personal Growth</v>
      </c>
      <c r="K74">
        <f>IFERROR(__xludf.DUMMYFUNCTION("""COMPUTED_VALUE"""),662362.0)</f>
        <v>662362</v>
      </c>
      <c r="L74" s="140" t="str">
        <f>IFERROR(__xludf.DUMMYFUNCTION("""COMPUTED_VALUE"""),"Body Language to Help Your Business Career")</f>
        <v>Body Language to Help Your Business Career</v>
      </c>
      <c r="M74" s="140">
        <f>IFERROR(__xludf.DUMMYFUNCTION("""COMPUTED_VALUE"""),1971936.0)</f>
        <v>1971936</v>
      </c>
      <c r="N74" s="140" t="str">
        <f>IFERROR(__xludf.DUMMYFUNCTION("""COMPUTED_VALUE"""),"The Complete Body Language for Business Course")</f>
        <v>The Complete Body Language for Business Course</v>
      </c>
    </row>
    <row r="75">
      <c r="A75" s="143">
        <f>IFERROR(__xludf.DUMMYFUNCTION("""COMPUTED_VALUE"""),44217.0)</f>
        <v>44217</v>
      </c>
      <c r="B75">
        <f>IFERROR(__xludf.DUMMYFUNCTION("""COMPUTED_VALUE"""),59935.0)</f>
        <v>59935</v>
      </c>
      <c r="C75" t="str">
        <f>IFERROR(__xludf.DUMMYFUNCTION("""COMPUTED_VALUE"""),"en")</f>
        <v>en</v>
      </c>
      <c r="D75" t="str">
        <f>IFERROR(__xludf.DUMMYFUNCTION("""COMPUTED_VALUE"""),"How to Be A Human Lie Detector")</f>
        <v>How to Be A Human Lie Detector</v>
      </c>
      <c r="E75" t="str">
        <f>IFERROR(__xludf.DUMMYFUNCTION("""COMPUTED_VALUE"""),"How to Be A Human Lie Detector")</f>
        <v>How to Be A Human Lie Detector</v>
      </c>
      <c r="F75" s="140">
        <f>IFERROR(__xludf.DUMMYFUNCTION("""COMPUTED_VALUE"""),570158.0)</f>
        <v>570158</v>
      </c>
      <c r="G75" s="140" t="str">
        <f>IFERROR(__xludf.DUMMYFUNCTION("""COMPUTED_VALUE"""),"Vanessa Van Edwards")</f>
        <v>Vanessa Van Edwards</v>
      </c>
      <c r="H75" t="str">
        <f>IFERROR(__xludf.DUMMYFUNCTION("""COMPUTED_VALUE"""),"Inappropriate Conent")</f>
        <v>Inappropriate Conent</v>
      </c>
      <c r="I75" t="str">
        <f>IFERROR(__xludf.DUMMYFUNCTION("""COMPUTED_VALUE"""),"Personal Development")</f>
        <v>Personal Development</v>
      </c>
      <c r="J75" t="str">
        <f>IFERROR(__xludf.DUMMYFUNCTION("""COMPUTED_VALUE"""),"Personal Growth")</f>
        <v>Personal Growth</v>
      </c>
      <c r="K75">
        <f>IFERROR(__xludf.DUMMYFUNCTION("""COMPUTED_VALUE"""),1721592.0)</f>
        <v>1721592</v>
      </c>
      <c r="L75" s="140" t="str">
        <f>IFERROR(__xludf.DUMMYFUNCTION("""COMPUTED_VALUE"""),"Never be Lied to Again: Advanced Lie Detection Course")</f>
        <v>Never be Lied to Again: Advanced Lie Detection Course</v>
      </c>
      <c r="N75" s="140" t="str">
        <f>IFERROR(__xludf.DUMMYFUNCTION("""COMPUTED_VALUE"""),"")</f>
        <v/>
      </c>
    </row>
    <row r="76">
      <c r="A76" s="143">
        <f>IFERROR(__xludf.DUMMYFUNCTION("""COMPUTED_VALUE"""),44217.0)</f>
        <v>44217</v>
      </c>
      <c r="B76">
        <f>IFERROR(__xludf.DUMMYFUNCTION("""COMPUTED_VALUE"""),910996.0)</f>
        <v>910996</v>
      </c>
      <c r="C76" t="str">
        <f>IFERROR(__xludf.DUMMYFUNCTION("""COMPUTED_VALUE"""),"en")</f>
        <v>en</v>
      </c>
      <c r="D76" t="str">
        <f>IFERROR(__xludf.DUMMYFUNCTION("""COMPUTED_VALUE"""),"Digital Body Language")</f>
        <v>Digital Body Language</v>
      </c>
      <c r="E76" t="str">
        <f>IFERROR(__xludf.DUMMYFUNCTION("""COMPUTED_VALUE"""),"Digital Body Language")</f>
        <v>Digital Body Language</v>
      </c>
      <c r="F76" s="140">
        <f>IFERROR(__xludf.DUMMYFUNCTION("""COMPUTED_VALUE"""),570158.0)</f>
        <v>570158</v>
      </c>
      <c r="G76" s="140" t="str">
        <f>IFERROR(__xludf.DUMMYFUNCTION("""COMPUTED_VALUE"""),"Vanessa Van Edwards")</f>
        <v>Vanessa Van Edwards</v>
      </c>
      <c r="H76" t="str">
        <f>IFERROR(__xludf.DUMMYFUNCTION("""COMPUTED_VALUE"""),"Inappropriate Conent")</f>
        <v>Inappropriate Conent</v>
      </c>
      <c r="I76" t="str">
        <f>IFERROR(__xludf.DUMMYFUNCTION("""COMPUTED_VALUE"""),"Leadership &amp; Management")</f>
        <v>Leadership &amp; Management</v>
      </c>
      <c r="J76" t="str">
        <f>IFERROR(__xludf.DUMMYFUNCTION("""COMPUTED_VALUE"""),"Communication")</f>
        <v>Communication</v>
      </c>
      <c r="K76">
        <f>IFERROR(__xludf.DUMMYFUNCTION("""COMPUTED_VALUE"""),662362.0)</f>
        <v>662362</v>
      </c>
      <c r="L76" s="140" t="str">
        <f>IFERROR(__xludf.DUMMYFUNCTION("""COMPUTED_VALUE"""),"Body Language to Help Your Business Career")</f>
        <v>Body Language to Help Your Business Career</v>
      </c>
      <c r="M76" s="140">
        <f>IFERROR(__xludf.DUMMYFUNCTION("""COMPUTED_VALUE"""),1971936.0)</f>
        <v>1971936</v>
      </c>
      <c r="N76" s="140" t="str">
        <f>IFERROR(__xludf.DUMMYFUNCTION("""COMPUTED_VALUE"""),"The Complete Body Language for Business Course")</f>
        <v>The Complete Body Language for Business Course</v>
      </c>
    </row>
    <row r="77">
      <c r="A77" s="143">
        <f>IFERROR(__xludf.DUMMYFUNCTION("""COMPUTED_VALUE"""),44217.0)</f>
        <v>44217</v>
      </c>
      <c r="B77">
        <f>IFERROR(__xludf.DUMMYFUNCTION("""COMPUTED_VALUE"""),316828.0)</f>
        <v>316828</v>
      </c>
      <c r="C77" t="str">
        <f>IFERROR(__xludf.DUMMYFUNCTION("""COMPUTED_VALUE"""),"en")</f>
        <v>en</v>
      </c>
      <c r="D77" t="str">
        <f>IFERROR(__xludf.DUMMYFUNCTION("""COMPUTED_VALUE"""),"Supercharge Your Sales with Body Language")</f>
        <v>Supercharge Your Sales with Body Language</v>
      </c>
      <c r="E77" t="str">
        <f>IFERROR(__xludf.DUMMYFUNCTION("""COMPUTED_VALUE"""),"Supercharge Your Sales with Body Language")</f>
        <v>Supercharge Your Sales with Body Language</v>
      </c>
      <c r="F77" s="140">
        <f>IFERROR(__xludf.DUMMYFUNCTION("""COMPUTED_VALUE"""),570158.0)</f>
        <v>570158</v>
      </c>
      <c r="G77" s="140" t="str">
        <f>IFERROR(__xludf.DUMMYFUNCTION("""COMPUTED_VALUE"""),"Vanessa Van Edwards")</f>
        <v>Vanessa Van Edwards</v>
      </c>
      <c r="H77" t="str">
        <f>IFERROR(__xludf.DUMMYFUNCTION("""COMPUTED_VALUE"""),"Inappropriate Conent")</f>
        <v>Inappropriate Conent</v>
      </c>
      <c r="I77" t="str">
        <f>IFERROR(__xludf.DUMMYFUNCTION("""COMPUTED_VALUE"""),"Sales")</f>
        <v>Sales</v>
      </c>
      <c r="J77" t="str">
        <f>IFERROR(__xludf.DUMMYFUNCTION("""COMPUTED_VALUE"""),"Sales Skills &amp; Tools")</f>
        <v>Sales Skills &amp; Tools</v>
      </c>
      <c r="K77">
        <f>IFERROR(__xludf.DUMMYFUNCTION("""COMPUTED_VALUE"""),662362.0)</f>
        <v>662362</v>
      </c>
      <c r="L77" s="140" t="str">
        <f>IFERROR(__xludf.DUMMYFUNCTION("""COMPUTED_VALUE"""),"Body Language to Help Your Business Career")</f>
        <v>Body Language to Help Your Business Career</v>
      </c>
      <c r="M77" s="140">
        <f>IFERROR(__xludf.DUMMYFUNCTION("""COMPUTED_VALUE"""),1971936.0)</f>
        <v>1971936</v>
      </c>
      <c r="N77" s="140" t="str">
        <f>IFERROR(__xludf.DUMMYFUNCTION("""COMPUTED_VALUE"""),"The Complete Body Language for Business Course")</f>
        <v>The Complete Body Language for Business Course</v>
      </c>
    </row>
    <row r="78">
      <c r="A78" s="143">
        <f>IFERROR(__xludf.DUMMYFUNCTION("""COMPUTED_VALUE"""),44218.0)</f>
        <v>44218</v>
      </c>
      <c r="B78">
        <f>IFERROR(__xludf.DUMMYFUNCTION("""COMPUTED_VALUE"""),2482420.0)</f>
        <v>2482420</v>
      </c>
      <c r="C78" t="str">
        <f>IFERROR(__xludf.DUMMYFUNCTION("""COMPUTED_VALUE"""),"en")</f>
        <v>en</v>
      </c>
      <c r="D78" t="str">
        <f>IFERROR(__xludf.DUMMYFUNCTION("""COMPUTED_VALUE"""),"CAPM® Certification Exam Preparation 2020")</f>
        <v>CAPM® Certification Exam Preparation 2020</v>
      </c>
      <c r="E78" t="str">
        <f>IFERROR(__xludf.DUMMYFUNCTION("""COMPUTED_VALUE"""),"CAPM® Certification Exam Preparation 2020")</f>
        <v>CAPM® Certification Exam Preparation 2020</v>
      </c>
      <c r="F78" s="140">
        <f>IFERROR(__xludf.DUMMYFUNCTION("""COMPUTED_VALUE"""),7.8148254E7)</f>
        <v>78148254</v>
      </c>
      <c r="G78" s="140" t="str">
        <f>IFERROR(__xludf.DUMMYFUNCTION("""COMPUTED_VALUE"""),"G Education Inc.")</f>
        <v>G Education Inc.</v>
      </c>
      <c r="H78" t="str">
        <f>IFERROR(__xludf.DUMMYFUNCTION("""COMPUTED_VALUE"""),"Instructor Practices")</f>
        <v>Instructor Practices</v>
      </c>
      <c r="I78" t="str">
        <f>IFERROR(__xludf.DUMMYFUNCTION("""COMPUTED_VALUE"""),"Project Management &amp; Operations")</f>
        <v>Project Management &amp; Operations</v>
      </c>
      <c r="J78" t="str">
        <f>IFERROR(__xludf.DUMMYFUNCTION("""COMPUTED_VALUE"""),"Project Management Certifications")</f>
        <v>Project Management Certifications</v>
      </c>
      <c r="K78">
        <f>IFERROR(__xludf.DUMMYFUNCTION("""COMPUTED_VALUE"""),1411586.0)</f>
        <v>1411586</v>
      </c>
      <c r="L78" s="140" t="str">
        <f>IFERROR(__xludf.DUMMYFUNCTION("""COMPUTED_VALUE"""),"CAPM Exam Prep Seminar - PMBOK Guide, Sixth Edition")</f>
        <v>CAPM Exam Prep Seminar - PMBOK Guide, Sixth Edition</v>
      </c>
      <c r="M78" s="140">
        <f>IFERROR(__xludf.DUMMYFUNCTION("""COMPUTED_VALUE"""),1002314.0)</f>
        <v>1002314</v>
      </c>
      <c r="N78" s="140" t="str">
        <f>IFERROR(__xludf.DUMMYFUNCTION("""COMPUTED_VALUE"""),"Project Management Certified Associate: CAPM Practice Tests")</f>
        <v>Project Management Certified Associate: CAPM Practice Tests</v>
      </c>
      <c r="O78" s="140" t="str">
        <f>IFERROR(__xludf.DUMMYFUNCTION("""COMPUTED_VALUE"""),"Course was removed from Udemy by T&amp;S in 12/2019")</f>
        <v>Course was removed from Udemy by T&amp;S in 12/2019</v>
      </c>
    </row>
    <row r="79">
      <c r="A79" s="143">
        <f>IFERROR(__xludf.DUMMYFUNCTION("""COMPUTED_VALUE"""),44218.0)</f>
        <v>44218</v>
      </c>
      <c r="B79">
        <f>IFERROR(__xludf.DUMMYFUNCTION("""COMPUTED_VALUE"""),1579986.0)</f>
        <v>1579986</v>
      </c>
      <c r="C79" t="str">
        <f>IFERROR(__xludf.DUMMYFUNCTION("""COMPUTED_VALUE"""),"en")</f>
        <v>en</v>
      </c>
      <c r="D79" t="str">
        <f>IFERROR(__xludf.DUMMYFUNCTION("""COMPUTED_VALUE"""),"Cert Prep: PMI Agile Certified Practitioner (PMI-ACP)®")</f>
        <v>Cert Prep: PMI Agile Certified Practitioner (PMI-ACP)®</v>
      </c>
      <c r="E79" t="str">
        <f>IFERROR(__xludf.DUMMYFUNCTION("""COMPUTED_VALUE"""),"Cert Prep: PMI Agile Certified Practitioner (PMI-ACP)®")</f>
        <v>Cert Prep: PMI Agile Certified Practitioner (PMI-ACP)®</v>
      </c>
      <c r="F79" s="140">
        <f>IFERROR(__xludf.DUMMYFUNCTION("""COMPUTED_VALUE"""),2.1018988E7)</f>
        <v>21018988</v>
      </c>
      <c r="G79" s="140" t="str">
        <f>IFERROR(__xludf.DUMMYFUNCTION("""COMPUTED_VALUE"""),"iCertify PMP®, Agile®, ITIL® and Six Sigma®")</f>
        <v>iCertify PMP®, Agile®, ITIL® and Six Sigma®</v>
      </c>
      <c r="H79" t="str">
        <f>IFERROR(__xludf.DUMMYFUNCTION("""COMPUTED_VALUE"""),"Instructor Practices")</f>
        <v>Instructor Practices</v>
      </c>
      <c r="I79" t="str">
        <f>IFERROR(__xludf.DUMMYFUNCTION("""COMPUTED_VALUE"""),"Project Management &amp; Operations")</f>
        <v>Project Management &amp; Operations</v>
      </c>
      <c r="J79" t="str">
        <f>IFERROR(__xludf.DUMMYFUNCTION("""COMPUTED_VALUE"""),"Project Management Certifications")</f>
        <v>Project Management Certifications</v>
      </c>
      <c r="K79">
        <f>IFERROR(__xludf.DUMMYFUNCTION("""COMPUTED_VALUE"""),856992.0)</f>
        <v>856992</v>
      </c>
      <c r="L79" s="140" t="str">
        <f>IFERROR(__xludf.DUMMYFUNCTION("""COMPUTED_VALUE"""),"PMI-ACP Agile Certified Exam Prep - PMI REP 21 PDUs")</f>
        <v>PMI-ACP Agile Certified Exam Prep - PMI REP 21 PDUs</v>
      </c>
      <c r="M79" s="140">
        <f>IFERROR(__xludf.DUMMYFUNCTION("""COMPUTED_VALUE"""),1596054.0)</f>
        <v>1596054</v>
      </c>
      <c r="N79" s="140" t="str">
        <f>IFERROR(__xludf.DUMMYFUNCTION("""COMPUTED_VALUE"""),"PMI-ACP Exam Prep for PMBOK 6")</f>
        <v>PMI-ACP Exam Prep for PMBOK 6</v>
      </c>
      <c r="O79" s="140" t="str">
        <f>IFERROR(__xludf.DUMMYFUNCTION("""COMPUTED_VALUE"""),"Course was removed from Udemy by T&amp;S in 12/2019")</f>
        <v>Course was removed from Udemy by T&amp;S in 12/2019</v>
      </c>
    </row>
    <row r="80">
      <c r="A80" s="143">
        <f>IFERROR(__xludf.DUMMYFUNCTION("""COMPUTED_VALUE"""),44218.0)</f>
        <v>44218</v>
      </c>
      <c r="B80">
        <f>IFERROR(__xludf.DUMMYFUNCTION("""COMPUTED_VALUE"""),1670398.0)</f>
        <v>1670398</v>
      </c>
      <c r="C80" t="str">
        <f>IFERROR(__xludf.DUMMYFUNCTION("""COMPUTED_VALUE"""),"en")</f>
        <v>en</v>
      </c>
      <c r="D80" t="str">
        <f>IFERROR(__xludf.DUMMYFUNCTION("""COMPUTED_VALUE"""),"500+ American Slang | Spoken English Vocabulary Course")</f>
        <v>500+ American Slang | Spoken English Vocabulary Course</v>
      </c>
      <c r="E80" t="str">
        <f>IFERROR(__xludf.DUMMYFUNCTION("""COMPUTED_VALUE"""),"500+ American Slang | Spoken English Vocabulary Course")</f>
        <v>500+ American Slang | Spoken English Vocabulary Course</v>
      </c>
      <c r="F80" s="140">
        <f>IFERROR(__xludf.DUMMYFUNCTION("""COMPUTED_VALUE"""),4.7745048E7)</f>
        <v>47745048</v>
      </c>
      <c r="G80" s="140" t="str">
        <f>IFERROR(__xludf.DUMMYFUNCTION("""COMPUTED_VALUE"""),"For Your English")</f>
        <v>For Your English</v>
      </c>
      <c r="H80" t="str">
        <f>IFERROR(__xludf.DUMMYFUNCTION("""COMPUTED_VALUE"""),"Inappropriate Conent")</f>
        <v>Inappropriate Conent</v>
      </c>
      <c r="I80" t="str">
        <f>IFERROR(__xludf.DUMMYFUNCTION("""COMPUTED_VALUE"""),"Personal Development")</f>
        <v>Personal Development</v>
      </c>
      <c r="J80" t="str">
        <f>IFERROR(__xludf.DUMMYFUNCTION("""COMPUTED_VALUE"""),"Language Learning")</f>
        <v>Language Learning</v>
      </c>
      <c r="K80">
        <f>IFERROR(__xludf.DUMMYFUNCTION("""COMPUTED_VALUE"""),1516152.0)</f>
        <v>1516152</v>
      </c>
      <c r="L80" s="140" t="str">
        <f>IFERROR(__xludf.DUMMYFUNCTION("""COMPUTED_VALUE"""),"English Speaking Course. Speak English Slang &amp; Idioms. ESL.")</f>
        <v>English Speaking Course. Speak English Slang &amp; Idioms. ESL.</v>
      </c>
      <c r="N80" s="140" t="str">
        <f>IFERROR(__xludf.DUMMYFUNCTION("""COMPUTED_VALUE"""),"")</f>
        <v/>
      </c>
      <c r="O80" s="140" t="str">
        <f>IFERROR(__xludf.DUMMYFUNCTION("""COMPUTED_VALUE"""),"Surfaced by Spectrum")</f>
        <v>Surfaced by Spectrum</v>
      </c>
    </row>
    <row r="81">
      <c r="A81" s="143">
        <f>IFERROR(__xludf.DUMMYFUNCTION("""COMPUTED_VALUE"""),44225.0)</f>
        <v>44225</v>
      </c>
      <c r="B81">
        <f>IFERROR(__xludf.DUMMYFUNCTION("""COMPUTED_VALUE"""),520562.0)</f>
        <v>520562</v>
      </c>
      <c r="C81" t="str">
        <f>IFERROR(__xludf.DUMMYFUNCTION("""COMPUTED_VALUE"""),"en")</f>
        <v>en</v>
      </c>
      <c r="D81" t="str">
        <f>IFERROR(__xludf.DUMMYFUNCTION("""COMPUTED_VALUE"""),"Build Your Team Like a Pro: Partners and Employees")</f>
        <v>Build Your Team Like a Pro: Partners and Employees</v>
      </c>
      <c r="E81" t="str">
        <f>IFERROR(__xludf.DUMMYFUNCTION("""COMPUTED_VALUE"""),"Build Your Team Like a Pro: Partners and Employees")</f>
        <v>Build Your Team Like a Pro: Partners and Employees</v>
      </c>
      <c r="F81">
        <f>IFERROR(__xludf.DUMMYFUNCTION("""COMPUTED_VALUE"""),6787624.0)</f>
        <v>6787624</v>
      </c>
      <c r="G81" t="str">
        <f>IFERROR(__xludf.DUMMYFUNCTION("""COMPUTED_VALUE"""),"The Main Street Entrepreneur")</f>
        <v>The Main Street Entrepreneur</v>
      </c>
      <c r="H81" t="str">
        <f>IFERROR(__xludf.DUMMYFUNCTION("""COMPUTED_VALUE"""),"Inactive Instructor")</f>
        <v>Inactive Instructor</v>
      </c>
      <c r="I81" s="140" t="str">
        <f>IFERROR(__xludf.DUMMYFUNCTION("""COMPUTED_VALUE"""),"Leadership &amp; Management")</f>
        <v>Leadership &amp; Management</v>
      </c>
      <c r="J81" s="140" t="str">
        <f>IFERROR(__xludf.DUMMYFUNCTION("""COMPUTED_VALUE"""),"Management")</f>
        <v>Management</v>
      </c>
      <c r="K81">
        <f>IFERROR(__xludf.DUMMYFUNCTION("""COMPUTED_VALUE"""),1475058.0)</f>
        <v>1475058</v>
      </c>
      <c r="L81" s="140" t="str">
        <f>IFERROR(__xludf.DUMMYFUNCTION("""COMPUTED_VALUE"""),"Building Your Team: How to put together the perfect team")</f>
        <v>Building Your Team: How to put together the perfect team</v>
      </c>
      <c r="N81" s="140" t="str">
        <f>IFERROR(__xludf.DUMMYFUNCTION("""COMPUTED_VALUE"""),"")</f>
        <v/>
      </c>
    </row>
    <row r="82">
      <c r="A82" s="143">
        <f>IFERROR(__xludf.DUMMYFUNCTION("""COMPUTED_VALUE"""),44225.0)</f>
        <v>44225</v>
      </c>
      <c r="B82">
        <f>IFERROR(__xludf.DUMMYFUNCTION("""COMPUTED_VALUE"""),552922.0)</f>
        <v>552922</v>
      </c>
      <c r="C82" t="str">
        <f>IFERROR(__xludf.DUMMYFUNCTION("""COMPUTED_VALUE"""),"en")</f>
        <v>en</v>
      </c>
      <c r="D82" t="str">
        <f>IFERROR(__xludf.DUMMYFUNCTION("""COMPUTED_VALUE"""),"Ubuntu Linux Server Troubleshooting")</f>
        <v>Ubuntu Linux Server Troubleshooting</v>
      </c>
      <c r="E82" t="str">
        <f>IFERROR(__xludf.DUMMYFUNCTION("""COMPUTED_VALUE"""),"Ubuntu Linux Server Troubleshooting")</f>
        <v>Ubuntu Linux Server Troubleshooting</v>
      </c>
      <c r="F82">
        <f>IFERROR(__xludf.DUMMYFUNCTION("""COMPUTED_VALUE"""),1.0941406E7)</f>
        <v>10941406</v>
      </c>
      <c r="G82" t="str">
        <f>IFERROR(__xludf.DUMMYFUNCTION("""COMPUTED_VALUE"""),"Cody Ray Miller")</f>
        <v>Cody Ray Miller</v>
      </c>
      <c r="H82" t="str">
        <f>IFERROR(__xludf.DUMMYFUNCTION("""COMPUTED_VALUE"""),"Inactive Instructor")</f>
        <v>Inactive Instructor</v>
      </c>
      <c r="I82" s="140" t="str">
        <f>IFERROR(__xludf.DUMMYFUNCTION("""COMPUTED_VALUE"""),"IT Operations")</f>
        <v>IT Operations</v>
      </c>
      <c r="J82" s="140" t="str">
        <f>IFERROR(__xludf.DUMMYFUNCTION("""COMPUTED_VALUE"""),"Operating Systems &amp; Servers")</f>
        <v>Operating Systems &amp; Servers</v>
      </c>
      <c r="L82" s="140" t="str">
        <f>IFERROR(__xludf.DUMMYFUNCTION("""COMPUTED_VALUE"""),"")</f>
        <v/>
      </c>
      <c r="N82" s="140" t="str">
        <f>IFERROR(__xludf.DUMMYFUNCTION("""COMPUTED_VALUE"""),"")</f>
        <v/>
      </c>
      <c r="O82" s="140" t="str">
        <f>IFERROR(__xludf.DUMMYFUNCTION("""COMPUTED_VALUE"""),"No Alternatives in Collection- 9/19/2020")</f>
        <v>No Alternatives in Collection- 9/19/2020</v>
      </c>
    </row>
    <row r="83">
      <c r="A83" s="143">
        <f>IFERROR(__xludf.DUMMYFUNCTION("""COMPUTED_VALUE"""),44225.0)</f>
        <v>44225</v>
      </c>
      <c r="B83">
        <f>IFERROR(__xludf.DUMMYFUNCTION("""COMPUTED_VALUE"""),394718.0)</f>
        <v>394718</v>
      </c>
      <c r="C83" t="str">
        <f>IFERROR(__xludf.DUMMYFUNCTION("""COMPUTED_VALUE"""),"en")</f>
        <v>en</v>
      </c>
      <c r="D83" t="str">
        <f>IFERROR(__xludf.DUMMYFUNCTION("""COMPUTED_VALUE"""),"The invention of the Euro - Robert Mundell")</f>
        <v>The invention of the Euro - Robert Mundell</v>
      </c>
      <c r="E83" t="str">
        <f>IFERROR(__xludf.DUMMYFUNCTION("""COMPUTED_VALUE"""),"The invention of the Euro - Robert Mundell")</f>
        <v>The invention of the Euro - Robert Mundell</v>
      </c>
      <c r="F83">
        <f>IFERROR(__xludf.DUMMYFUNCTION("""COMPUTED_VALUE"""),7555784.0)</f>
        <v>7555784</v>
      </c>
      <c r="G83" t="str">
        <f>IFERROR(__xludf.DUMMYFUNCTION("""COMPUTED_VALUE"""),"EDOOTV - The knowledge dispenser")</f>
        <v>EDOOTV - The knowledge dispenser</v>
      </c>
      <c r="H83" t="str">
        <f>IFERROR(__xludf.DUMMYFUNCTION("""COMPUTED_VALUE"""),"Inactive Instructor")</f>
        <v>Inactive Instructor</v>
      </c>
      <c r="I83" s="140" t="str">
        <f>IFERROR(__xludf.DUMMYFUNCTION("""COMPUTED_VALUE"""),"Finance &amp; Accounting")</f>
        <v>Finance &amp; Accounting</v>
      </c>
      <c r="J83" s="140" t="str">
        <f>IFERROR(__xludf.DUMMYFUNCTION("""COMPUTED_VALUE"""),"Accounting")</f>
        <v>Accounting</v>
      </c>
      <c r="L83" s="140" t="str">
        <f>IFERROR(__xludf.DUMMYFUNCTION("""COMPUTED_VALUE"""),"")</f>
        <v/>
      </c>
      <c r="N83" s="140" t="str">
        <f>IFERROR(__xludf.DUMMYFUNCTION("""COMPUTED_VALUE"""),"")</f>
        <v/>
      </c>
      <c r="O83" s="140" t="str">
        <f>IFERROR(__xludf.DUMMYFUNCTION("""COMPUTED_VALUE"""),"No Alternatives in Collection- 9/19/2020")</f>
        <v>No Alternatives in Collection- 9/19/2020</v>
      </c>
    </row>
    <row r="84">
      <c r="A84" s="143">
        <f>IFERROR(__xludf.DUMMYFUNCTION("""COMPUTED_VALUE"""),44225.0)</f>
        <v>44225</v>
      </c>
      <c r="B84">
        <f>IFERROR(__xludf.DUMMYFUNCTION("""COMPUTED_VALUE"""),787226.0)</f>
        <v>787226</v>
      </c>
      <c r="C84" t="str">
        <f>IFERROR(__xludf.DUMMYFUNCTION("""COMPUTED_VALUE"""),"en")</f>
        <v>en</v>
      </c>
      <c r="D84" t="str">
        <f>IFERROR(__xludf.DUMMYFUNCTION("""COMPUTED_VALUE"""),"Xamarin Android - A Master Guide to App Development in C#")</f>
        <v>Xamarin Android - A Master Guide to App Development in C#</v>
      </c>
      <c r="E84" t="str">
        <f>IFERROR(__xludf.DUMMYFUNCTION("""COMPUTED_VALUE"""),"Xamarin Android - A Master Guide to App Development in C#")</f>
        <v>Xamarin Android - A Master Guide to App Development in C#</v>
      </c>
      <c r="F84">
        <f>IFERROR(__xludf.DUMMYFUNCTION("""COMPUTED_VALUE"""),1.7580522E7)</f>
        <v>17580522</v>
      </c>
      <c r="G84" t="str">
        <f>IFERROR(__xludf.DUMMYFUNCTION("""COMPUTED_VALUE"""),"Grant Klimaytys")</f>
        <v>Grant Klimaytys</v>
      </c>
      <c r="H84" t="str">
        <f>IFERROR(__xludf.DUMMYFUNCTION("""COMPUTED_VALUE"""),"Inactive Instructor")</f>
        <v>Inactive Instructor</v>
      </c>
      <c r="I84" s="140" t="str">
        <f>IFERROR(__xludf.DUMMYFUNCTION("""COMPUTED_VALUE"""),"Development")</f>
        <v>Development</v>
      </c>
      <c r="J84" s="140" t="str">
        <f>IFERROR(__xludf.DUMMYFUNCTION("""COMPUTED_VALUE"""),"Mobile Development")</f>
        <v>Mobile Development</v>
      </c>
      <c r="K84">
        <f>IFERROR(__xludf.DUMMYFUNCTION("""COMPUTED_VALUE"""),951684.0)</f>
        <v>951684</v>
      </c>
      <c r="L84" s="140" t="str">
        <f>IFERROR(__xludf.DUMMYFUNCTION("""COMPUTED_VALUE"""),"Xamarin Forms: Build Native Cross-platform Apps with C#")</f>
        <v>Xamarin Forms: Build Native Cross-platform Apps with C#</v>
      </c>
      <c r="M84">
        <f>IFERROR(__xludf.DUMMYFUNCTION("""COMPUTED_VALUE"""),1419490.0)</f>
        <v>1419490</v>
      </c>
      <c r="N84" s="140" t="str">
        <f>IFERROR(__xludf.DUMMYFUNCTION("""COMPUTED_VALUE"""),"The Complete Xamarin Developer Course: iOS And Android!")</f>
        <v>The Complete Xamarin Developer Course: iOS And Android!</v>
      </c>
    </row>
    <row r="85">
      <c r="A85" s="143">
        <f>IFERROR(__xludf.DUMMYFUNCTION("""COMPUTED_VALUE"""),44225.0)</f>
        <v>44225</v>
      </c>
      <c r="B85">
        <f>IFERROR(__xludf.DUMMYFUNCTION("""COMPUTED_VALUE"""),60111.0)</f>
        <v>60111</v>
      </c>
      <c r="C85" t="str">
        <f>IFERROR(__xludf.DUMMYFUNCTION("""COMPUTED_VALUE"""),"en")</f>
        <v>en</v>
      </c>
      <c r="D85" t="str">
        <f>IFERROR(__xludf.DUMMYFUNCTION("""COMPUTED_VALUE"""),"Learning Autodesk® Revit® Architecture 2013")</f>
        <v>Learning Autodesk® Revit® Architecture 2013</v>
      </c>
      <c r="E85" t="str">
        <f>IFERROR(__xludf.DUMMYFUNCTION("""COMPUTED_VALUE"""),"Learning Autodesk® Revit® Architecture 2013")</f>
        <v>Learning Autodesk® Revit® Architecture 2013</v>
      </c>
      <c r="F85">
        <f>IFERROR(__xludf.DUMMYFUNCTION("""COMPUTED_VALUE"""),372263.0)</f>
        <v>372263</v>
      </c>
      <c r="G85" t="str">
        <f>IFERROR(__xludf.DUMMYFUNCTION("""COMPUTED_VALUE"""),"John Wiley &amp; Sons")</f>
        <v>John Wiley &amp; Sons</v>
      </c>
      <c r="H85" t="str">
        <f>IFERROR(__xludf.DUMMYFUNCTION("""COMPUTED_VALUE"""),"Inactive Instructor")</f>
        <v>Inactive Instructor</v>
      </c>
      <c r="I85" s="140" t="str">
        <f>IFERROR(__xludf.DUMMYFUNCTION("""COMPUTED_VALUE"""),"Design")</f>
        <v>Design</v>
      </c>
      <c r="J85" s="140" t="str">
        <f>IFERROR(__xludf.DUMMYFUNCTION("""COMPUTED_VALUE"""),"3D &amp; Animation")</f>
        <v>3D &amp; Animation</v>
      </c>
      <c r="K85">
        <f>IFERROR(__xludf.DUMMYFUNCTION("""COMPUTED_VALUE"""),1743328.0)</f>
        <v>1743328</v>
      </c>
      <c r="L85" s="140" t="str">
        <f>IFERROR(__xludf.DUMMYFUNCTION("""COMPUTED_VALUE"""),"The Complete Beginners Guide to Autodesk Revit Architecture")</f>
        <v>The Complete Beginners Guide to Autodesk Revit Architecture</v>
      </c>
      <c r="M85">
        <f>IFERROR(__xludf.DUMMYFUNCTION("""COMPUTED_VALUE"""),2425894.0)</f>
        <v>2425894</v>
      </c>
      <c r="N85" s="140" t="str">
        <f>IFERROR(__xludf.DUMMYFUNCTION("""COMPUTED_VALUE"""),"Revit Architecture 2020-2021 From Zero to Hero")</f>
        <v>Revit Architecture 2020-2021 From Zero to Hero</v>
      </c>
    </row>
    <row r="86">
      <c r="A86" s="143">
        <f>IFERROR(__xludf.DUMMYFUNCTION("""COMPUTED_VALUE"""),44225.0)</f>
        <v>44225</v>
      </c>
      <c r="B86">
        <f>IFERROR(__xludf.DUMMYFUNCTION("""COMPUTED_VALUE"""),64980.0)</f>
        <v>64980</v>
      </c>
      <c r="C86" t="str">
        <f>IFERROR(__xludf.DUMMYFUNCTION("""COMPUTED_VALUE"""),"en")</f>
        <v>en</v>
      </c>
      <c r="D86" t="str">
        <f>IFERROR(__xludf.DUMMYFUNCTION("""COMPUTED_VALUE"""),"Learning Autodesk® Maya® 2013")</f>
        <v>Learning Autodesk® Maya® 2013</v>
      </c>
      <c r="E86" t="str">
        <f>IFERROR(__xludf.DUMMYFUNCTION("""COMPUTED_VALUE"""),"Learning Autodesk® Maya® 2013")</f>
        <v>Learning Autodesk® Maya® 2013</v>
      </c>
      <c r="F86">
        <f>IFERROR(__xludf.DUMMYFUNCTION("""COMPUTED_VALUE"""),372263.0)</f>
        <v>372263</v>
      </c>
      <c r="G86" t="str">
        <f>IFERROR(__xludf.DUMMYFUNCTION("""COMPUTED_VALUE"""),"John Wiley &amp; Sons")</f>
        <v>John Wiley &amp; Sons</v>
      </c>
      <c r="H86" t="str">
        <f>IFERROR(__xludf.DUMMYFUNCTION("""COMPUTED_VALUE"""),"Inactive Instructor")</f>
        <v>Inactive Instructor</v>
      </c>
      <c r="I86" s="140" t="str">
        <f>IFERROR(__xludf.DUMMYFUNCTION("""COMPUTED_VALUE"""),"Design")</f>
        <v>Design</v>
      </c>
      <c r="J86" s="140" t="str">
        <f>IFERROR(__xludf.DUMMYFUNCTION("""COMPUTED_VALUE"""),"3D &amp; Animation")</f>
        <v>3D &amp; Animation</v>
      </c>
      <c r="K86">
        <f>IFERROR(__xludf.DUMMYFUNCTION("""COMPUTED_VALUE"""),1556128.0)</f>
        <v>1556128</v>
      </c>
      <c r="L86" s="140" t="str">
        <f>IFERROR(__xludf.DUMMYFUNCTION("""COMPUTED_VALUE"""),"Maya for Beginners: Complete Guide to 3D Animation in Maya")</f>
        <v>Maya for Beginners: Complete Guide to 3D Animation in Maya</v>
      </c>
      <c r="M86">
        <f>IFERROR(__xludf.DUMMYFUNCTION("""COMPUTED_VALUE"""),732578.0)</f>
        <v>732578</v>
      </c>
      <c r="N86" s="140" t="str">
        <f>IFERROR(__xludf.DUMMYFUNCTION("""COMPUTED_VALUE"""),"Learn Maya - A Beginners guide to Creating Realistic Scenes")</f>
        <v>Learn Maya - A Beginners guide to Creating Realistic Scenes</v>
      </c>
    </row>
    <row r="87">
      <c r="A87" s="143">
        <f>IFERROR(__xludf.DUMMYFUNCTION("""COMPUTED_VALUE"""),44225.0)</f>
        <v>44225</v>
      </c>
      <c r="B87">
        <f>IFERROR(__xludf.DUMMYFUNCTION("""COMPUTED_VALUE"""),60726.0)</f>
        <v>60726</v>
      </c>
      <c r="C87" t="str">
        <f>IFERROR(__xludf.DUMMYFUNCTION("""COMPUTED_VALUE"""),"en")</f>
        <v>en</v>
      </c>
      <c r="D87" t="str">
        <f>IFERROR(__xludf.DUMMYFUNCTION("""COMPUTED_VALUE"""),"Office 2013 For Dummies Video Training, Deluxe Edition")</f>
        <v>Office 2013 For Dummies Video Training, Deluxe Edition</v>
      </c>
      <c r="E87" t="str">
        <f>IFERROR(__xludf.DUMMYFUNCTION("""COMPUTED_VALUE"""),"Office 2013 For Dummies Video Training, Deluxe Edition")</f>
        <v>Office 2013 For Dummies Video Training, Deluxe Edition</v>
      </c>
      <c r="F87">
        <f>IFERROR(__xludf.DUMMYFUNCTION("""COMPUTED_VALUE"""),372263.0)</f>
        <v>372263</v>
      </c>
      <c r="G87" t="str">
        <f>IFERROR(__xludf.DUMMYFUNCTION("""COMPUTED_VALUE"""),"John Wiley &amp; Sons")</f>
        <v>John Wiley &amp; Sons</v>
      </c>
      <c r="H87" t="str">
        <f>IFERROR(__xludf.DUMMYFUNCTION("""COMPUTED_VALUE"""),"Inactive Instructor")</f>
        <v>Inactive Instructor</v>
      </c>
      <c r="I87" s="140" t="str">
        <f>IFERROR(__xludf.DUMMYFUNCTION("""COMPUTED_VALUE"""),"Office Productivity")</f>
        <v>Office Productivity</v>
      </c>
      <c r="J87" s="140" t="str">
        <f>IFERROR(__xludf.DUMMYFUNCTION("""COMPUTED_VALUE"""),"Presentations")</f>
        <v>Presentations</v>
      </c>
      <c r="K87">
        <f>IFERROR(__xludf.DUMMYFUNCTION("""COMPUTED_VALUE"""),565120.0)</f>
        <v>565120</v>
      </c>
      <c r="L87" s="140" t="str">
        <f>IFERROR(__xludf.DUMMYFUNCTION("""COMPUTED_VALUE"""),"MS Office 2013: 10-in-1 Courses To Maximize Productivity")</f>
        <v>MS Office 2013: 10-in-1 Courses To Maximize Productivity</v>
      </c>
      <c r="N87" s="140" t="str">
        <f>IFERROR(__xludf.DUMMYFUNCTION("""COMPUTED_VALUE"""),"")</f>
        <v/>
      </c>
    </row>
    <row r="88">
      <c r="A88" s="143">
        <f>IFERROR(__xludf.DUMMYFUNCTION("""COMPUTED_VALUE"""),44225.0)</f>
        <v>44225</v>
      </c>
      <c r="B88">
        <f>IFERROR(__xludf.DUMMYFUNCTION("""COMPUTED_VALUE"""),285632.0)</f>
        <v>285632</v>
      </c>
      <c r="C88" t="str">
        <f>IFERROR(__xludf.DUMMYFUNCTION("""COMPUTED_VALUE"""),"en")</f>
        <v>en</v>
      </c>
      <c r="D88" t="str">
        <f>IFERROR(__xludf.DUMMYFUNCTION("""COMPUTED_VALUE"""),"Statistical Analysis Excel 2013 Essentials")</f>
        <v>Statistical Analysis Excel 2013 Essentials</v>
      </c>
      <c r="E88" t="str">
        <f>IFERROR(__xludf.DUMMYFUNCTION("""COMPUTED_VALUE"""),"Statistical Analysis Excel 2013 Essentials")</f>
        <v>Statistical Analysis Excel 2013 Essentials</v>
      </c>
      <c r="F88">
        <f>IFERROR(__xludf.DUMMYFUNCTION("""COMPUTED_VALUE"""),372263.0)</f>
        <v>372263</v>
      </c>
      <c r="G88" t="str">
        <f>IFERROR(__xludf.DUMMYFUNCTION("""COMPUTED_VALUE"""),"John Wiley &amp; Sons")</f>
        <v>John Wiley &amp; Sons</v>
      </c>
      <c r="H88" t="str">
        <f>IFERROR(__xludf.DUMMYFUNCTION("""COMPUTED_VALUE"""),"Inactive Instructor")</f>
        <v>Inactive Instructor</v>
      </c>
      <c r="I88" s="140" t="str">
        <f>IFERROR(__xludf.DUMMYFUNCTION("""COMPUTED_VALUE"""),"Office Productivity")</f>
        <v>Office Productivity</v>
      </c>
      <c r="J88" s="140" t="str">
        <f>IFERROR(__xludf.DUMMYFUNCTION("""COMPUTED_VALUE"""),"Spreadsheets")</f>
        <v>Spreadsheets</v>
      </c>
      <c r="K88">
        <f>IFERROR(__xludf.DUMMYFUNCTION("""COMPUTED_VALUE"""),286076.0)</f>
        <v>286076</v>
      </c>
      <c r="L88" s="140" t="str">
        <f>IFERROR(__xludf.DUMMYFUNCTION("""COMPUTED_VALUE"""),"")</f>
        <v/>
      </c>
      <c r="N88" s="140" t="str">
        <f>IFERROR(__xludf.DUMMYFUNCTION("""COMPUTED_VALUE"""),"")</f>
        <v/>
      </c>
    </row>
    <row r="89">
      <c r="A89" s="143">
        <f>IFERROR(__xludf.DUMMYFUNCTION("""COMPUTED_VALUE"""),44225.0)</f>
        <v>44225</v>
      </c>
      <c r="B89">
        <f>IFERROR(__xludf.DUMMYFUNCTION("""COMPUTED_VALUE"""),625098.0)</f>
        <v>625098</v>
      </c>
      <c r="C89" t="str">
        <f>IFERROR(__xludf.DUMMYFUNCTION("""COMPUTED_VALUE"""),"en")</f>
        <v>en</v>
      </c>
      <c r="D89" t="str">
        <f>IFERROR(__xludf.DUMMYFUNCTION("""COMPUTED_VALUE"""),"Create Your Own DVR with Mythbuntu (Ubuntu + MythTV)")</f>
        <v>Create Your Own DVR with Mythbuntu (Ubuntu + MythTV)</v>
      </c>
      <c r="E89" t="str">
        <f>IFERROR(__xludf.DUMMYFUNCTION("""COMPUTED_VALUE"""),"Create Your Own DVR with Mythbuntu (Ubuntu + MythTV)")</f>
        <v>Create Your Own DVR with Mythbuntu (Ubuntu + MythTV)</v>
      </c>
      <c r="F89">
        <f>IFERROR(__xludf.DUMMYFUNCTION("""COMPUTED_VALUE"""),1.0941406E7)</f>
        <v>10941406</v>
      </c>
      <c r="G89" t="str">
        <f>IFERROR(__xludf.DUMMYFUNCTION("""COMPUTED_VALUE"""),"Cody Ray Miller")</f>
        <v>Cody Ray Miller</v>
      </c>
      <c r="H89" s="140" t="str">
        <f>IFERROR(__xludf.DUMMYFUNCTION("""COMPUTED_VALUE"""),"Inactive Instructor/ Outdated Content")</f>
        <v>Inactive Instructor/ Outdated Content</v>
      </c>
      <c r="I89" s="140" t="str">
        <f>IFERROR(__xludf.DUMMYFUNCTION("""COMPUTED_VALUE"""),"IT Operations")</f>
        <v>IT Operations</v>
      </c>
      <c r="J89" t="str">
        <f>IFERROR(__xludf.DUMMYFUNCTION("""COMPUTED_VALUE"""),"Operating Systems &amp; Servers")</f>
        <v>Operating Systems &amp; Servers</v>
      </c>
      <c r="L89" s="140" t="str">
        <f>IFERROR(__xludf.DUMMYFUNCTION("""COMPUTED_VALUE"""),"")</f>
        <v/>
      </c>
      <c r="N89" s="140" t="str">
        <f>IFERROR(__xludf.DUMMYFUNCTION("""COMPUTED_VALUE"""),"")</f>
        <v/>
      </c>
      <c r="O89" s="140" t="str">
        <f>IFERROR(__xludf.DUMMYFUNCTION("""COMPUTED_VALUE"""),"No Alternatives in Collection- 9/19/2020")</f>
        <v>No Alternatives in Collection- 9/19/2020</v>
      </c>
    </row>
    <row r="90">
      <c r="A90" s="143">
        <f>IFERROR(__xludf.DUMMYFUNCTION("""COMPUTED_VALUE"""),44225.0)</f>
        <v>44225</v>
      </c>
      <c r="B90">
        <f>IFERROR(__xludf.DUMMYFUNCTION("""COMPUTED_VALUE"""),692730.0)</f>
        <v>692730</v>
      </c>
      <c r="C90" t="str">
        <f>IFERROR(__xludf.DUMMYFUNCTION("""COMPUTED_VALUE"""),"ja")</f>
        <v>ja</v>
      </c>
      <c r="D90" t="str">
        <f>IFERROR(__xludf.DUMMYFUNCTION("""COMPUTED_VALUE"""),"やさしいフランス語")</f>
        <v>やさしいフランス語</v>
      </c>
      <c r="E90" t="str">
        <f>IFERROR(__xludf.DUMMYFUNCTION("""COMPUTED_VALUE"""),"Gentle French")</f>
        <v>Gentle French</v>
      </c>
      <c r="F90">
        <f>IFERROR(__xludf.DUMMYFUNCTION("""COMPUTED_VALUE"""),1.6957964E7)</f>
        <v>16957964</v>
      </c>
      <c r="G90" s="140" t="str">
        <f>IFERROR(__xludf.DUMMYFUNCTION("""COMPUTED_VALUE"""),"Coelien Plain")</f>
        <v>Coelien Plain</v>
      </c>
      <c r="H90" s="140" t="str">
        <f>IFERROR(__xludf.DUMMYFUNCTION("""COMPUTED_VALUE"""),"Instructor Request- Opted Out")</f>
        <v>Instructor Request- Opted Out</v>
      </c>
      <c r="I90" t="str">
        <f>IFERROR(__xludf.DUMMYFUNCTION("""COMPUTED_VALUE"""),"Personal Development")</f>
        <v>Personal Development</v>
      </c>
      <c r="J90" t="str">
        <f>IFERROR(__xludf.DUMMYFUNCTION("""COMPUTED_VALUE"""),"Language Learning")</f>
        <v>Language Learning</v>
      </c>
      <c r="L90" s="140" t="str">
        <f>IFERROR(__xludf.DUMMYFUNCTION("""COMPUTED_VALUE"""),"")</f>
        <v/>
      </c>
      <c r="N90" s="140" t="str">
        <f>IFERROR(__xludf.DUMMYFUNCTION("""COMPUTED_VALUE"""),"")</f>
        <v/>
      </c>
    </row>
    <row r="91">
      <c r="A91" s="143">
        <f>IFERROR(__xludf.DUMMYFUNCTION("""COMPUTED_VALUE"""),44225.0)</f>
        <v>44225</v>
      </c>
      <c r="B91">
        <f>IFERROR(__xludf.DUMMYFUNCTION("""COMPUTED_VALUE"""),2001846.0)</f>
        <v>2001846</v>
      </c>
      <c r="C91" t="str">
        <f>IFERROR(__xludf.DUMMYFUNCTION("""COMPUTED_VALUE"""),"es")</f>
        <v>es</v>
      </c>
      <c r="D91" t="str">
        <f>IFERROR(__xludf.DUMMYFUNCTION("""COMPUTED_VALUE"""),"Examen de nivelación de Matematicas")</f>
        <v>Examen de nivelación de Matematicas</v>
      </c>
      <c r="E91" t="str">
        <f>IFERROR(__xludf.DUMMYFUNCTION("""COMPUTED_VALUE"""),"Mathematical leveling exam")</f>
        <v>Mathematical leveling exam</v>
      </c>
      <c r="F91">
        <f>IFERROR(__xludf.DUMMYFUNCTION("""COMPUTED_VALUE"""),5.7252624E7)</f>
        <v>57252624</v>
      </c>
      <c r="G91" s="140" t="str">
        <f>IFERROR(__xludf.DUMMYFUNCTION("""COMPUTED_VALUE"""),"Nestor Martinez")</f>
        <v>Nestor Martinez</v>
      </c>
      <c r="H91" t="str">
        <f>IFERROR(__xludf.DUMMYFUNCTION("""COMPUTED_VALUE"""),"3 Flags")</f>
        <v>3 Flags</v>
      </c>
      <c r="I91" t="str">
        <f>IFERROR(__xludf.DUMMYFUNCTION("""COMPUTED_VALUE"""),"Data Science")</f>
        <v>Data Science</v>
      </c>
      <c r="J91" t="str">
        <f>IFERROR(__xludf.DUMMYFUNCTION("""COMPUTED_VALUE"""),"Statistical Analysis")</f>
        <v>Statistical Analysis</v>
      </c>
      <c r="L91" s="140" t="str">
        <f>IFERROR(__xludf.DUMMYFUNCTION("""COMPUTED_VALUE"""),"")</f>
        <v/>
      </c>
      <c r="N91" s="140" t="str">
        <f>IFERROR(__xludf.DUMMYFUNCTION("""COMPUTED_VALUE"""),"")</f>
        <v/>
      </c>
      <c r="O91" s="140" t="str">
        <f>IFERROR(__xludf.DUMMYFUNCTION("""COMPUTED_VALUE"""),"No Alternatives in Collection- 1/26/2021")</f>
        <v>No Alternatives in Collection- 1/26/2021</v>
      </c>
    </row>
    <row r="92">
      <c r="A92" s="143">
        <f>IFERROR(__xludf.DUMMYFUNCTION("""COMPUTED_VALUE"""),44225.0)</f>
        <v>44225</v>
      </c>
      <c r="B92">
        <f>IFERROR(__xludf.DUMMYFUNCTION("""COMPUTED_VALUE"""),2470386.0)</f>
        <v>2470386</v>
      </c>
      <c r="C92" t="str">
        <f>IFERROR(__xludf.DUMMYFUNCTION("""COMPUTED_VALUE"""),"en")</f>
        <v>en</v>
      </c>
      <c r="D92" t="str">
        <f>IFERROR(__xludf.DUMMYFUNCTION("""COMPUTED_VALUE"""),"ISTQB Advanced Level Test Automation Engineering Training")</f>
        <v>ISTQB Advanced Level Test Automation Engineering Training</v>
      </c>
      <c r="E92" t="str">
        <f>IFERROR(__xludf.DUMMYFUNCTION("""COMPUTED_VALUE"""),"ISTQB Advanced Level Test Automation Engineering Training")</f>
        <v>ISTQB Advanced Level Test Automation Engineering Training</v>
      </c>
      <c r="F92">
        <f>IFERROR(__xludf.DUMMYFUNCTION("""COMPUTED_VALUE"""),2.519374E7)</f>
        <v>25193740</v>
      </c>
      <c r="G92" s="140" t="str">
        <f>IFERROR(__xludf.DUMMYFUNCTION("""COMPUTED_VALUE"""),"Narayanan Palani")</f>
        <v>Narayanan Palani</v>
      </c>
      <c r="H92" s="140" t="str">
        <f>IFERROR(__xludf.DUMMYFUNCTION("""COMPUTED_VALUE"""),"Instructor Request- Opted Out")</f>
        <v>Instructor Request- Opted Out</v>
      </c>
      <c r="I92" t="str">
        <f>IFERROR(__xludf.DUMMYFUNCTION("""COMPUTED_VALUE"""),"IT Operations")</f>
        <v>IT Operations</v>
      </c>
      <c r="J92" t="str">
        <f>IFERROR(__xludf.DUMMYFUNCTION("""COMPUTED_VALUE"""),"IT Certifications")</f>
        <v>IT Certifications</v>
      </c>
      <c r="K92">
        <f>IFERROR(__xludf.DUMMYFUNCTION("""COMPUTED_VALUE"""),1456380.0)</f>
        <v>1456380</v>
      </c>
      <c r="L92" s="140" t="str">
        <f>IFERROR(__xludf.DUMMYFUNCTION("""COMPUTED_VALUE"""),"Certified ISTQB Test Analyst Advanced Level (CTAL-TA) - 2021")</f>
        <v>Certified ISTQB Test Analyst Advanced Level (CTAL-TA) - 2021</v>
      </c>
      <c r="M92" s="140">
        <f>IFERROR(__xludf.DUMMYFUNCTION("""COMPUTED_VALUE"""),960368.0)</f>
        <v>960368</v>
      </c>
      <c r="N92" s="140" t="str">
        <f>IFERROR(__xludf.DUMMYFUNCTION("""COMPUTED_VALUE"""),"Certified ISTQB Test Manager Advanced Level Exam (CTAL-TM)")</f>
        <v>Certified ISTQB Test Manager Advanced Level Exam (CTAL-TM)</v>
      </c>
    </row>
    <row r="93">
      <c r="A93" s="143">
        <f>IFERROR(__xludf.DUMMYFUNCTION("""COMPUTED_VALUE"""),44225.0)</f>
        <v>44225</v>
      </c>
      <c r="B93">
        <f>IFERROR(__xludf.DUMMYFUNCTION("""COMPUTED_VALUE"""),2290725.0)</f>
        <v>2290725</v>
      </c>
      <c r="C93" t="str">
        <f>IFERROR(__xludf.DUMMYFUNCTION("""COMPUTED_VALUE"""),"en")</f>
        <v>en</v>
      </c>
      <c r="D93" t="str">
        <f>IFERROR(__xludf.DUMMYFUNCTION("""COMPUTED_VALUE"""),"Software Testing: WEB, Mobile, API + 12 tools + ISTQB exam")</f>
        <v>Software Testing: WEB, Mobile, API + 12 tools + ISTQB exam</v>
      </c>
      <c r="E93" t="str">
        <f>IFERROR(__xludf.DUMMYFUNCTION("""COMPUTED_VALUE"""),"Software Testing: WEB, Mobile, API + 12 tools + ISTQB exam")</f>
        <v>Software Testing: WEB, Mobile, API + 12 tools + ISTQB exam</v>
      </c>
      <c r="F93">
        <f>IFERROR(__xludf.DUMMYFUNCTION("""COMPUTED_VALUE"""),1.3884896E7)</f>
        <v>13884896</v>
      </c>
      <c r="G93" s="140" t="str">
        <f>IFERROR(__xludf.DUMMYFUNCTION("""COMPUTED_VALUE"""),"Sergei Semenov")</f>
        <v>Sergei Semenov</v>
      </c>
      <c r="H93" t="str">
        <f>IFERROR(__xludf.DUMMYFUNCTION("""COMPUTED_VALUE"""),"Low Rating")</f>
        <v>Low Rating</v>
      </c>
      <c r="I93" t="str">
        <f>IFERROR(__xludf.DUMMYFUNCTION("""COMPUTED_VALUE"""),"Development")</f>
        <v>Development</v>
      </c>
      <c r="J93" t="str">
        <f>IFERROR(__xludf.DUMMYFUNCTION("""COMPUTED_VALUE"""),"Software Testing")</f>
        <v>Software Testing</v>
      </c>
      <c r="L93" s="140" t="str">
        <f>IFERROR(__xludf.DUMMYFUNCTION("""COMPUTED_VALUE"""),"")</f>
        <v/>
      </c>
      <c r="N93" s="140" t="str">
        <f>IFERROR(__xludf.DUMMYFUNCTION("""COMPUTED_VALUE"""),"")</f>
        <v/>
      </c>
      <c r="O93" s="140" t="str">
        <f>IFERROR(__xludf.DUMMYFUNCTION("""COMPUTED_VALUE"""),"No Alternatives in Collection- 1/26/2021")</f>
        <v>No Alternatives in Collection- 1/26/2021</v>
      </c>
    </row>
    <row r="94">
      <c r="A94" s="143">
        <f>IFERROR(__xludf.DUMMYFUNCTION("""COMPUTED_VALUE"""),44225.0)</f>
        <v>44225</v>
      </c>
      <c r="B94">
        <f>IFERROR(__xludf.DUMMYFUNCTION("""COMPUTED_VALUE"""),2473132.0)</f>
        <v>2473132</v>
      </c>
      <c r="C94" t="str">
        <f>IFERROR(__xludf.DUMMYFUNCTION("""COMPUTED_VALUE"""),"fr")</f>
        <v>fr</v>
      </c>
      <c r="D94" t="str">
        <f>IFERROR(__xludf.DUMMYFUNCTION("""COMPUTED_VALUE"""),"Guide complet du nouveau manager")</f>
        <v>Guide complet du nouveau manager</v>
      </c>
      <c r="E94" t="str">
        <f>IFERROR(__xludf.DUMMYFUNCTION("""COMPUTED_VALUE"""),"Complete guide for the new manager")</f>
        <v>Complete guide for the new manager</v>
      </c>
      <c r="F94">
        <f>IFERROR(__xludf.DUMMYFUNCTION("""COMPUTED_VALUE"""),6.0177234E7)</f>
        <v>60177234</v>
      </c>
      <c r="G94" s="140" t="str">
        <f>IFERROR(__xludf.DUMMYFUNCTION("""COMPUTED_VALUE"""),"Mrs KLOUZ")</f>
        <v>Mrs KLOUZ</v>
      </c>
      <c r="H94" s="140" t="str">
        <f>IFERROR(__xludf.DUMMYFUNCTION("""COMPUTED_VALUE"""),"Instructor Request- Opted Out")</f>
        <v>Instructor Request- Opted Out</v>
      </c>
      <c r="I94" t="str">
        <f>IFERROR(__xludf.DUMMYFUNCTION("""COMPUTED_VALUE"""),"Leadership &amp; Management")</f>
        <v>Leadership &amp; Management</v>
      </c>
      <c r="J94" t="str">
        <f>IFERROR(__xludf.DUMMYFUNCTION("""COMPUTED_VALUE"""),"Leadership")</f>
        <v>Leadership</v>
      </c>
      <c r="K94">
        <f>IFERROR(__xludf.DUMMYFUNCTION("""COMPUTED_VALUE"""),2530002.0)</f>
        <v>2530002</v>
      </c>
      <c r="L94" s="140" t="str">
        <f>IFERROR(__xludf.DUMMYFUNCTION("""COMPUTED_VALUE"""),"Devenir manager coach")</f>
        <v>Devenir manager coach</v>
      </c>
      <c r="N94" s="140" t="str">
        <f>IFERROR(__xludf.DUMMYFUNCTION("""COMPUTED_VALUE"""),"")</f>
        <v/>
      </c>
    </row>
    <row r="95">
      <c r="A95" s="143">
        <f>IFERROR(__xludf.DUMMYFUNCTION("""COMPUTED_VALUE"""),44225.0)</f>
        <v>44225</v>
      </c>
      <c r="B95">
        <f>IFERROR(__xludf.DUMMYFUNCTION("""COMPUTED_VALUE"""),1329914.0)</f>
        <v>1329914</v>
      </c>
      <c r="C95" t="str">
        <f>IFERROR(__xludf.DUMMYFUNCTION("""COMPUTED_VALUE"""),"en")</f>
        <v>en</v>
      </c>
      <c r="D95" t="str">
        <f>IFERROR(__xludf.DUMMYFUNCTION("""COMPUTED_VALUE"""),"BIM Autodesk Revit Dynamo Player for Fast Modeling")</f>
        <v>BIM Autodesk Revit Dynamo Player for Fast Modeling</v>
      </c>
      <c r="E95" t="str">
        <f>IFERROR(__xludf.DUMMYFUNCTION("""COMPUTED_VALUE"""),"BIM Autodesk Revit Dynamo Player for Fast Modeling")</f>
        <v>BIM Autodesk Revit Dynamo Player for Fast Modeling</v>
      </c>
      <c r="F95">
        <f>IFERROR(__xludf.DUMMYFUNCTION("""COMPUTED_VALUE"""),1.2822234E7)</f>
        <v>12822234</v>
      </c>
      <c r="G95" s="140" t="str">
        <f>IFERROR(__xludf.DUMMYFUNCTION("""COMPUTED_VALUE"""),"Enrique Galicia")</f>
        <v>Enrique Galicia</v>
      </c>
      <c r="H95" s="140" t="str">
        <f>IFERROR(__xludf.DUMMYFUNCTION("""COMPUTED_VALUE"""),"Instructor Request- Opted Out")</f>
        <v>Instructor Request- Opted Out</v>
      </c>
      <c r="I95" t="str">
        <f>IFERROR(__xludf.DUMMYFUNCTION("""COMPUTED_VALUE"""),"Design")</f>
        <v>Design</v>
      </c>
      <c r="J95" t="str">
        <f>IFERROR(__xludf.DUMMYFUNCTION("""COMPUTED_VALUE"""),"Design Tools")</f>
        <v>Design Tools</v>
      </c>
      <c r="L95" s="140" t="str">
        <f>IFERROR(__xludf.DUMMYFUNCTION("""COMPUTED_VALUE"""),"")</f>
        <v/>
      </c>
      <c r="N95" s="140" t="str">
        <f>IFERROR(__xludf.DUMMYFUNCTION("""COMPUTED_VALUE"""),"")</f>
        <v/>
      </c>
      <c r="O95" s="140" t="str">
        <f>IFERROR(__xludf.DUMMYFUNCTION("""COMPUTED_VALUE"""),"No Alternatives in Collection- 1/26/2021")</f>
        <v>No Alternatives in Collection- 1/26/2021</v>
      </c>
    </row>
    <row r="96">
      <c r="A96" s="143">
        <f>IFERROR(__xludf.DUMMYFUNCTION("""COMPUTED_VALUE"""),44225.0)</f>
        <v>44225</v>
      </c>
      <c r="B96">
        <f>IFERROR(__xludf.DUMMYFUNCTION("""COMPUTED_VALUE"""),766280.0)</f>
        <v>766280</v>
      </c>
      <c r="C96" t="str">
        <f>IFERROR(__xludf.DUMMYFUNCTION("""COMPUTED_VALUE"""),"en")</f>
        <v>en</v>
      </c>
      <c r="D96" t="str">
        <f>IFERROR(__xludf.DUMMYFUNCTION("""COMPUTED_VALUE"""),"Xamarin iOS - A Master Guide to App Development in C#")</f>
        <v>Xamarin iOS - A Master Guide to App Development in C#</v>
      </c>
      <c r="E96" t="str">
        <f>IFERROR(__xludf.DUMMYFUNCTION("""COMPUTED_VALUE"""),"Xamarin iOS - A Master Guide to App Development in C#")</f>
        <v>Xamarin iOS - A Master Guide to App Development in C#</v>
      </c>
      <c r="F96">
        <f>IFERROR(__xludf.DUMMYFUNCTION("""COMPUTED_VALUE"""),1.7580522E7)</f>
        <v>17580522</v>
      </c>
      <c r="G96" s="140" t="str">
        <f>IFERROR(__xludf.DUMMYFUNCTION("""COMPUTED_VALUE"""),"Grant Klimaytys")</f>
        <v>Grant Klimaytys</v>
      </c>
      <c r="H96" s="140" t="str">
        <f>IFERROR(__xludf.DUMMYFUNCTION("""COMPUTED_VALUE"""),"Inactive Instructor")</f>
        <v>Inactive Instructor</v>
      </c>
      <c r="I96" t="str">
        <f>IFERROR(__xludf.DUMMYFUNCTION("""COMPUTED_VALUE"""),"Development")</f>
        <v>Development</v>
      </c>
      <c r="J96" t="str">
        <f>IFERROR(__xludf.DUMMYFUNCTION("""COMPUTED_VALUE"""),"Mobile Development")</f>
        <v>Mobile Development</v>
      </c>
      <c r="K96">
        <f>IFERROR(__xludf.DUMMYFUNCTION("""COMPUTED_VALUE"""),1273530.0)</f>
        <v>1273530</v>
      </c>
      <c r="L96" s="140" t="str">
        <f>IFERROR(__xludf.DUMMYFUNCTION("""COMPUTED_VALUE"""),"Xamarin iOS App in C# &amp; Firebase")</f>
        <v>Xamarin iOS App in C# &amp; Firebase</v>
      </c>
      <c r="N96" s="140" t="str">
        <f>IFERROR(__xludf.DUMMYFUNCTION("""COMPUTED_VALUE"""),"")</f>
        <v/>
      </c>
    </row>
    <row r="97">
      <c r="A97" s="143">
        <f>IFERROR(__xludf.DUMMYFUNCTION("""COMPUTED_VALUE"""),44225.0)</f>
        <v>44225</v>
      </c>
      <c r="B97">
        <f>IFERROR(__xludf.DUMMYFUNCTION("""COMPUTED_VALUE"""),2062129.0)</f>
        <v>2062129</v>
      </c>
      <c r="C97" t="str">
        <f>IFERROR(__xludf.DUMMYFUNCTION("""COMPUTED_VALUE"""),"en")</f>
        <v>en</v>
      </c>
      <c r="D97" t="str">
        <f>IFERROR(__xludf.DUMMYFUNCTION("""COMPUTED_VALUE"""),"Python GUI - Build a Calculator with PyQt and Qml")</f>
        <v>Python GUI - Build a Calculator with PyQt and Qml</v>
      </c>
      <c r="E97" t="str">
        <f>IFERROR(__xludf.DUMMYFUNCTION("""COMPUTED_VALUE"""),"Python GUI - Build a Calculator with PyQt and Qml")</f>
        <v>Python GUI - Build a Calculator with PyQt and Qml</v>
      </c>
      <c r="F97">
        <f>IFERROR(__xludf.DUMMYFUNCTION("""COMPUTED_VALUE"""),1612316.0)</f>
        <v>1612316</v>
      </c>
      <c r="G97" s="140" t="str">
        <f>IFERROR(__xludf.DUMMYFUNCTION("""COMPUTED_VALUE"""),"Ampofo Amoh - Gyebi")</f>
        <v>Ampofo Amoh - Gyebi</v>
      </c>
      <c r="H97" t="str">
        <f>IFERROR(__xludf.DUMMYFUNCTION("""COMPUTED_VALUE"""),"Low Rating")</f>
        <v>Low Rating</v>
      </c>
      <c r="I97" t="str">
        <f>IFERROR(__xludf.DUMMYFUNCTION("""COMPUTED_VALUE"""),"Development")</f>
        <v>Development</v>
      </c>
      <c r="J97" t="str">
        <f>IFERROR(__xludf.DUMMYFUNCTION("""COMPUTED_VALUE"""),"Programming Languages")</f>
        <v>Programming Languages</v>
      </c>
      <c r="K97">
        <f>IFERROR(__xludf.DUMMYFUNCTION("""COMPUTED_VALUE"""),2200284.0)</f>
        <v>2200284</v>
      </c>
      <c r="L97" s="140" t="str">
        <f>IFERROR(__xludf.DUMMYFUNCTION("""COMPUTED_VALUE"""),"Python Tkinter Masterclass - Learn Python GUI Programming")</f>
        <v>Python Tkinter Masterclass - Learn Python GUI Programming</v>
      </c>
      <c r="N97" s="140" t="str">
        <f>IFERROR(__xludf.DUMMYFUNCTION("""COMPUTED_VALUE"""),"")</f>
        <v/>
      </c>
    </row>
    <row r="98">
      <c r="A98" s="143">
        <f>IFERROR(__xludf.DUMMYFUNCTION("""COMPUTED_VALUE"""),44225.0)</f>
        <v>44225</v>
      </c>
      <c r="B98">
        <f>IFERROR(__xludf.DUMMYFUNCTION("""COMPUTED_VALUE"""),477944.0)</f>
        <v>477944</v>
      </c>
      <c r="C98" t="str">
        <f>IFERROR(__xludf.DUMMYFUNCTION("""COMPUTED_VALUE"""),"en")</f>
        <v>en</v>
      </c>
      <c r="D98" t="str">
        <f>IFERROR(__xludf.DUMMYFUNCTION("""COMPUTED_VALUE"""),"How To Become A SQL Server Cloud Architect on AWS")</f>
        <v>How To Become A SQL Server Cloud Architect on AWS</v>
      </c>
      <c r="E98" t="str">
        <f>IFERROR(__xludf.DUMMYFUNCTION("""COMPUTED_VALUE"""),"How To Become A SQL Server Cloud Architect on AWS")</f>
        <v>How To Become A SQL Server Cloud Architect on AWS</v>
      </c>
      <c r="F98">
        <f>IFERROR(__xludf.DUMMYFUNCTION("""COMPUTED_VALUE"""),3921604.0)</f>
        <v>3921604</v>
      </c>
      <c r="G98" s="140" t="str">
        <f>IFERROR(__xludf.DUMMYFUNCTION("""COMPUTED_VALUE"""),"Mike West")</f>
        <v>Mike West</v>
      </c>
      <c r="H98" t="str">
        <f>IFERROR(__xludf.DUMMYFUNCTION("""COMPUTED_VALUE"""),"Low Rating")</f>
        <v>Low Rating</v>
      </c>
      <c r="I98" t="str">
        <f>IFERROR(__xludf.DUMMYFUNCTION("""COMPUTED_VALUE"""),"Cloud Computing")</f>
        <v>Cloud Computing</v>
      </c>
      <c r="J98" t="str">
        <f>IFERROR(__xludf.DUMMYFUNCTION("""COMPUTED_VALUE"""),"Cloud Development")</f>
        <v>Cloud Development</v>
      </c>
      <c r="L98" s="140" t="str">
        <f>IFERROR(__xludf.DUMMYFUNCTION("""COMPUTED_VALUE"""),"")</f>
        <v/>
      </c>
      <c r="N98" s="140" t="str">
        <f>IFERROR(__xludf.DUMMYFUNCTION("""COMPUTED_VALUE"""),"")</f>
        <v/>
      </c>
      <c r="O98" s="140" t="str">
        <f>IFERROR(__xludf.DUMMYFUNCTION("""COMPUTED_VALUE"""),"No Alternatives in Collection- 1/26/2021")</f>
        <v>No Alternatives in Collection- 1/26/2021</v>
      </c>
    </row>
    <row r="99">
      <c r="A99" s="143">
        <f>IFERROR(__xludf.DUMMYFUNCTION("""COMPUTED_VALUE"""),44225.0)</f>
        <v>44225</v>
      </c>
      <c r="B99">
        <f>IFERROR(__xludf.DUMMYFUNCTION("""COMPUTED_VALUE"""),835712.0)</f>
        <v>835712</v>
      </c>
      <c r="C99" t="str">
        <f>IFERROR(__xludf.DUMMYFUNCTION("""COMPUTED_VALUE"""),"en")</f>
        <v>en</v>
      </c>
      <c r="D99" t="str">
        <f>IFERROR(__xludf.DUMMYFUNCTION("""COMPUTED_VALUE"""),"Crash Course - Learn to Create a PHP MVC Framework")</f>
        <v>Crash Course - Learn to Create a PHP MVC Framework</v>
      </c>
      <c r="E99" t="str">
        <f>IFERROR(__xludf.DUMMYFUNCTION("""COMPUTED_VALUE"""),"Crash Course - Learn to Create a PHP MVC Framework")</f>
        <v>Crash Course - Learn to Create a PHP MVC Framework</v>
      </c>
      <c r="F99">
        <f>IFERROR(__xludf.DUMMYFUNCTION("""COMPUTED_VALUE"""),6772884.0)</f>
        <v>6772884</v>
      </c>
      <c r="G99" s="140" t="str">
        <f>IFERROR(__xludf.DUMMYFUNCTION("""COMPUTED_VALUE"""),"Edwin Diaz")</f>
        <v>Edwin Diaz</v>
      </c>
      <c r="H99" s="140" t="str">
        <f>IFERROR(__xludf.DUMMYFUNCTION("""COMPUTED_VALUE"""),"Saturated Topic")</f>
        <v>Saturated Topic</v>
      </c>
      <c r="I99" t="str">
        <f>IFERROR(__xludf.DUMMYFUNCTION("""COMPUTED_VALUE"""),"Development")</f>
        <v>Development</v>
      </c>
      <c r="J99" t="str">
        <f>IFERROR(__xludf.DUMMYFUNCTION("""COMPUTED_VALUE"""),"Web Development")</f>
        <v>Web Development</v>
      </c>
      <c r="K99">
        <f>IFERROR(__xludf.DUMMYFUNCTION("""COMPUTED_VALUE"""),1399390.0)</f>
        <v>1399390</v>
      </c>
      <c r="L99" s="140" t="str">
        <f>IFERROR(__xludf.DUMMYFUNCTION("""COMPUTED_VALUE"""),"Object Oriented PHP &amp; MVC")</f>
        <v>Object Oriented PHP &amp; MVC</v>
      </c>
      <c r="N99" s="140" t="str">
        <f>IFERROR(__xludf.DUMMYFUNCTION("""COMPUTED_VALUE"""),"")</f>
        <v/>
      </c>
    </row>
    <row r="100">
      <c r="A100" s="143">
        <f>IFERROR(__xludf.DUMMYFUNCTION("""COMPUTED_VALUE"""),44225.0)</f>
        <v>44225</v>
      </c>
      <c r="B100">
        <f>IFERROR(__xludf.DUMMYFUNCTION("""COMPUTED_VALUE"""),811146.0)</f>
        <v>811146</v>
      </c>
      <c r="C100" t="str">
        <f>IFERROR(__xludf.DUMMYFUNCTION("""COMPUTED_VALUE"""),"en")</f>
        <v>en</v>
      </c>
      <c r="D100" t="str">
        <f>IFERROR(__xludf.DUMMYFUNCTION("""COMPUTED_VALUE"""),"Advanced framework development with Coded UI Test 2015/2017")</f>
        <v>Advanced framework development with Coded UI Test 2015/2017</v>
      </c>
      <c r="E100" t="str">
        <f>IFERROR(__xludf.DUMMYFUNCTION("""COMPUTED_VALUE"""),"Advanced framework development with Coded UI Test 2015/2017")</f>
        <v>Advanced framework development with Coded UI Test 2015/2017</v>
      </c>
      <c r="F100">
        <f>IFERROR(__xludf.DUMMYFUNCTION("""COMPUTED_VALUE"""),1.785701E7)</f>
        <v>17857010</v>
      </c>
      <c r="G100" s="140" t="str">
        <f>IFERROR(__xludf.DUMMYFUNCTION("""COMPUTED_VALUE"""),"Karthik KK")</f>
        <v>Karthik KK</v>
      </c>
      <c r="H100" t="str">
        <f>IFERROR(__xludf.DUMMYFUNCTION("""COMPUTED_VALUE"""),"3 Flags")</f>
        <v>3 Flags</v>
      </c>
      <c r="I100" t="str">
        <f>IFERROR(__xludf.DUMMYFUNCTION("""COMPUTED_VALUE"""),"Development")</f>
        <v>Development</v>
      </c>
      <c r="J100" t="str">
        <f>IFERROR(__xludf.DUMMYFUNCTION("""COMPUTED_VALUE"""),"Software Testing")</f>
        <v>Software Testing</v>
      </c>
      <c r="L100" s="140" t="str">
        <f>IFERROR(__xludf.DUMMYFUNCTION("""COMPUTED_VALUE"""),"")</f>
        <v/>
      </c>
      <c r="N100" s="140" t="str">
        <f>IFERROR(__xludf.DUMMYFUNCTION("""COMPUTED_VALUE"""),"")</f>
        <v/>
      </c>
      <c r="O100" s="140" t="str">
        <f>IFERROR(__xludf.DUMMYFUNCTION("""COMPUTED_VALUE"""),"No Alternatives in Collection- 1/26/2021")</f>
        <v>No Alternatives in Collection- 1/26/2021</v>
      </c>
    </row>
    <row r="101">
      <c r="A101" s="143">
        <f>IFERROR(__xludf.DUMMYFUNCTION("""COMPUTED_VALUE"""),44225.0)</f>
        <v>44225</v>
      </c>
      <c r="B101">
        <f>IFERROR(__xludf.DUMMYFUNCTION("""COMPUTED_VALUE"""),1743014.0)</f>
        <v>1743014</v>
      </c>
      <c r="C101" t="str">
        <f>IFERROR(__xludf.DUMMYFUNCTION("""COMPUTED_VALUE"""),"de")</f>
        <v>de</v>
      </c>
      <c r="D101" t="str">
        <f>IFERROR(__xludf.DUMMYFUNCTION("""COMPUTED_VALUE"""),"Chartanalyse für FOREX &amp; Kryptowährungen für Beginner")</f>
        <v>Chartanalyse für FOREX &amp; Kryptowährungen für Beginner</v>
      </c>
      <c r="E101" t="str">
        <f>IFERROR(__xludf.DUMMYFUNCTION("""COMPUTED_VALUE"""),"Chart analysis for Forex &amp; Crypto currencies for beginners")</f>
        <v>Chart analysis for Forex &amp; Crypto currencies for beginners</v>
      </c>
      <c r="F101">
        <f>IFERROR(__xludf.DUMMYFUNCTION("""COMPUTED_VALUE"""),2.6522302E7)</f>
        <v>26522302</v>
      </c>
      <c r="G101" s="140" t="str">
        <f>IFERROR(__xludf.DUMMYFUNCTION("""COMPUTED_VALUE"""),"Job Skills Hero")</f>
        <v>Job Skills Hero</v>
      </c>
      <c r="H101" t="str">
        <f>IFERROR(__xludf.DUMMYFUNCTION("""COMPUTED_VALUE"""),"3 Flags")</f>
        <v>3 Flags</v>
      </c>
      <c r="I101" t="str">
        <f>IFERROR(__xludf.DUMMYFUNCTION("""COMPUTED_VALUE"""),"Finance &amp; Accounting")</f>
        <v>Finance &amp; Accounting</v>
      </c>
      <c r="J101" t="str">
        <f>IFERROR(__xludf.DUMMYFUNCTION("""COMPUTED_VALUE"""),"Investing &amp; Trading")</f>
        <v>Investing &amp; Trading</v>
      </c>
      <c r="L101" s="140" t="str">
        <f>IFERROR(__xludf.DUMMYFUNCTION("""COMPUTED_VALUE"""),"")</f>
        <v/>
      </c>
      <c r="N101" s="140" t="str">
        <f>IFERROR(__xludf.DUMMYFUNCTION("""COMPUTED_VALUE"""),"")</f>
        <v/>
      </c>
      <c r="O101" s="140" t="str">
        <f>IFERROR(__xludf.DUMMYFUNCTION("""COMPUTED_VALUE"""),"No Alternatives in Collection- 1/26/2021")</f>
        <v>No Alternatives in Collection- 1/26/2021</v>
      </c>
    </row>
    <row r="102">
      <c r="A102" s="143">
        <f>IFERROR(__xludf.DUMMYFUNCTION("""COMPUTED_VALUE"""),44225.0)</f>
        <v>44225</v>
      </c>
      <c r="B102">
        <f>IFERROR(__xludf.DUMMYFUNCTION("""COMPUTED_VALUE"""),608250.0)</f>
        <v>608250</v>
      </c>
      <c r="C102" t="str">
        <f>IFERROR(__xludf.DUMMYFUNCTION("""COMPUTED_VALUE"""),"en")</f>
        <v>en</v>
      </c>
      <c r="D102" t="str">
        <f>IFERROR(__xludf.DUMMYFUNCTION("""COMPUTED_VALUE"""),"Real World SQL Server From The Ground Up")</f>
        <v>Real World SQL Server From The Ground Up</v>
      </c>
      <c r="E102" t="str">
        <f>IFERROR(__xludf.DUMMYFUNCTION("""COMPUTED_VALUE"""),"Real World SQL Server From The Ground Up")</f>
        <v>Real World SQL Server From The Ground Up</v>
      </c>
      <c r="F102">
        <f>IFERROR(__xludf.DUMMYFUNCTION("""COMPUTED_VALUE"""),3921604.0)</f>
        <v>3921604</v>
      </c>
      <c r="G102" s="140" t="str">
        <f>IFERROR(__xludf.DUMMYFUNCTION("""COMPUTED_VALUE"""),"Mike West")</f>
        <v>Mike West</v>
      </c>
      <c r="H102" s="140" t="str">
        <f>IFERROR(__xludf.DUMMYFUNCTION("""COMPUTED_VALUE"""),"Saturated Topic")</f>
        <v>Saturated Topic</v>
      </c>
      <c r="I102" t="str">
        <f>IFERROR(__xludf.DUMMYFUNCTION("""COMPUTED_VALUE"""),"IT Operations")</f>
        <v>IT Operations</v>
      </c>
      <c r="J102" t="str">
        <f>IFERROR(__xludf.DUMMYFUNCTION("""COMPUTED_VALUE"""),"Database Administration")</f>
        <v>Database Administration</v>
      </c>
      <c r="K102">
        <f>IFERROR(__xludf.DUMMYFUNCTION("""COMPUTED_VALUE"""),1419182.0)</f>
        <v>1419182</v>
      </c>
      <c r="L102" s="140" t="str">
        <f>IFERROR(__xludf.DUMMYFUNCTION("""COMPUTED_VALUE"""),"SQL for Beginners: Learn SQL using MySQL and Database Design")</f>
        <v>SQL for Beginners: Learn SQL using MySQL and Database Design</v>
      </c>
      <c r="N102" s="140" t="str">
        <f>IFERROR(__xludf.DUMMYFUNCTION("""COMPUTED_VALUE"""),"")</f>
        <v/>
      </c>
    </row>
    <row r="103">
      <c r="A103" s="143">
        <f>IFERROR(__xludf.DUMMYFUNCTION("""COMPUTED_VALUE"""),44225.0)</f>
        <v>44225</v>
      </c>
      <c r="B103">
        <f>IFERROR(__xludf.DUMMYFUNCTION("""COMPUTED_VALUE"""),1216850.0)</f>
        <v>1216850</v>
      </c>
      <c r="C103" t="str">
        <f>IFERROR(__xludf.DUMMYFUNCTION("""COMPUTED_VALUE"""),"es")</f>
        <v>es</v>
      </c>
      <c r="D103" t="str">
        <f>IFERROR(__xludf.DUMMYFUNCTION("""COMPUTED_VALUE"""),"El curso Profesional de WordPress más completo y actualizado")</f>
        <v>El curso Profesional de WordPress más completo y actualizado</v>
      </c>
      <c r="E103" t="str">
        <f>IFERROR(__xludf.DUMMYFUNCTION("""COMPUTED_VALUE"""),"The most complete and updated WordPress professional course")</f>
        <v>The most complete and updated WordPress professional course</v>
      </c>
      <c r="F103">
        <f>IFERROR(__xludf.DUMMYFUNCTION("""COMPUTED_VALUE"""),2.0196372E7)</f>
        <v>20196372</v>
      </c>
      <c r="G103" s="140" t="str">
        <f>IFERROR(__xludf.DUMMYFUNCTION("""COMPUTED_VALUE"""),"Joan Artés")</f>
        <v>Joan Artés</v>
      </c>
      <c r="H103" s="140" t="str">
        <f>IFERROR(__xludf.DUMMYFUNCTION("""COMPUTED_VALUE"""),"Instructor Request- No Detail")</f>
        <v>Instructor Request- No Detail</v>
      </c>
      <c r="I103" t="str">
        <f>IFERROR(__xludf.DUMMYFUNCTION("""COMPUTED_VALUE"""),"Development")</f>
        <v>Development</v>
      </c>
      <c r="J103" t="str">
        <f>IFERROR(__xludf.DUMMYFUNCTION("""COMPUTED_VALUE"""),"Web Development")</f>
        <v>Web Development</v>
      </c>
      <c r="K103">
        <f>IFERROR(__xludf.DUMMYFUNCTION("""COMPUTED_VALUE"""),580442.0)</f>
        <v>580442</v>
      </c>
      <c r="L103" s="140" t="str">
        <f>IFERROR(__xludf.DUMMYFUNCTION("""COMPUTED_VALUE"""),"WordPress - Curso Completo WordPress y Sitios Web")</f>
        <v>WordPress - Curso Completo WordPress y Sitios Web</v>
      </c>
      <c r="N103" s="140" t="str">
        <f>IFERROR(__xludf.DUMMYFUNCTION("""COMPUTED_VALUE"""),"")</f>
        <v/>
      </c>
    </row>
    <row r="104">
      <c r="A104" s="143">
        <f>IFERROR(__xludf.DUMMYFUNCTION("""COMPUTED_VALUE"""),44225.0)</f>
        <v>44225</v>
      </c>
      <c r="B104">
        <f>IFERROR(__xludf.DUMMYFUNCTION("""COMPUTED_VALUE"""),1350674.0)</f>
        <v>1350674</v>
      </c>
      <c r="C104" t="str">
        <f>IFERROR(__xludf.DUMMYFUNCTION("""COMPUTED_VALUE"""),"en")</f>
        <v>en</v>
      </c>
      <c r="D104" t="str">
        <f>IFERROR(__xludf.DUMMYFUNCTION("""COMPUTED_VALUE"""),"GMAT® Math | Official Guide 2018")</f>
        <v>GMAT® Math | Official Guide 2018</v>
      </c>
      <c r="E104" t="str">
        <f>IFERROR(__xludf.DUMMYFUNCTION("""COMPUTED_VALUE"""),"GMAT® Math | Official Guide 2018")</f>
        <v>GMAT® Math | Official Guide 2018</v>
      </c>
      <c r="F104">
        <f>IFERROR(__xludf.DUMMYFUNCTION("""COMPUTED_VALUE"""),2.5196204E7)</f>
        <v>25196204</v>
      </c>
      <c r="G104" s="140" t="str">
        <f>IFERROR(__xludf.DUMMYFUNCTION("""COMPUTED_VALUE"""),"Néve Chen, NeatPrep")</f>
        <v>Néve Chen, NeatPrep</v>
      </c>
      <c r="H104" s="140" t="str">
        <f>IFERROR(__xludf.DUMMYFUNCTION("""COMPUTED_VALUE"""),"Saturated Topic")</f>
        <v>Saturated Topic</v>
      </c>
      <c r="I104" t="str">
        <f>IFERROR(__xludf.DUMMYFUNCTION("""COMPUTED_VALUE"""),"Personal Development")</f>
        <v>Personal Development</v>
      </c>
      <c r="J104" t="str">
        <f>IFERROR(__xludf.DUMMYFUNCTION("""COMPUTED_VALUE"""),"Personal Growth")</f>
        <v>Personal Growth</v>
      </c>
      <c r="K104">
        <f>IFERROR(__xludf.DUMMYFUNCTION("""COMPUTED_VALUE"""),2488258.0)</f>
        <v>2488258</v>
      </c>
      <c r="L104" s="140" t="str">
        <f>IFERROR(__xludf.DUMMYFUNCTION("""COMPUTED_VALUE"""),"GMAT® Math | Official Guide 2020")</f>
        <v>GMAT® Math | Official Guide 2020</v>
      </c>
      <c r="N104" s="140" t="str">
        <f>IFERROR(__xludf.DUMMYFUNCTION("""COMPUTED_VALUE"""),"")</f>
        <v/>
      </c>
    </row>
    <row r="105">
      <c r="A105" s="143">
        <f>IFERROR(__xludf.DUMMYFUNCTION("""COMPUTED_VALUE"""),44225.0)</f>
        <v>44225</v>
      </c>
      <c r="B105">
        <f>IFERROR(__xludf.DUMMYFUNCTION("""COMPUTED_VALUE"""),287924.0)</f>
        <v>287924</v>
      </c>
      <c r="C105" t="str">
        <f>IFERROR(__xludf.DUMMYFUNCTION("""COMPUTED_VALUE"""),"en")</f>
        <v>en</v>
      </c>
      <c r="D105" t="str">
        <f>IFERROR(__xludf.DUMMYFUNCTION("""COMPUTED_VALUE"""),"Learn Adobe Dreamweaver CC - For Absolute Beginners")</f>
        <v>Learn Adobe Dreamweaver CC - For Absolute Beginners</v>
      </c>
      <c r="E105" t="str">
        <f>IFERROR(__xludf.DUMMYFUNCTION("""COMPUTED_VALUE"""),"Learn Adobe Dreamweaver CC - For Absolute Beginners")</f>
        <v>Learn Adobe Dreamweaver CC - For Absolute Beginners</v>
      </c>
      <c r="F105">
        <f>IFERROR(__xludf.DUMMYFUNCTION("""COMPUTED_VALUE"""),254593.0)</f>
        <v>254593</v>
      </c>
      <c r="G105" s="140" t="str">
        <f>IFERROR(__xludf.DUMMYFUNCTION("""COMPUTED_VALUE"""),"Simon Sez IT")</f>
        <v>Simon Sez IT</v>
      </c>
      <c r="H105" t="str">
        <f>IFERROR(__xludf.DUMMYFUNCTION("""COMPUTED_VALUE"""),"Outdated")</f>
        <v>Outdated</v>
      </c>
      <c r="I105" t="str">
        <f>IFERROR(__xludf.DUMMYFUNCTION("""COMPUTED_VALUE"""),"Design")</f>
        <v>Design</v>
      </c>
      <c r="J105" t="str">
        <f>IFERROR(__xludf.DUMMYFUNCTION("""COMPUTED_VALUE"""),"Web Design")</f>
        <v>Web Design</v>
      </c>
      <c r="K105">
        <f>IFERROR(__xludf.DUMMYFUNCTION("""COMPUTED_VALUE"""),1002594.0)</f>
        <v>1002594</v>
      </c>
      <c r="L105" s="140" t="str">
        <f>IFERROR(__xludf.DUMMYFUNCTION("""COMPUTED_VALUE"""),"Dreamweaver - Coding your first website using Dreamweaver")</f>
        <v>Dreamweaver - Coding your first website using Dreamweaver</v>
      </c>
      <c r="M105" s="140">
        <f>IFERROR(__xludf.DUMMYFUNCTION("""COMPUTED_VALUE"""),1343998.0)</f>
        <v>1343998</v>
      </c>
      <c r="N105" s="140" t="str">
        <f>IFERROR(__xludf.DUMMYFUNCTION("""COMPUTED_VALUE"""),"Responsive Design HTML CSS Web design - Dreamweaver CC")</f>
        <v>Responsive Design HTML CSS Web design - Dreamweaver CC</v>
      </c>
    </row>
    <row r="106">
      <c r="A106" s="143">
        <f>IFERROR(__xludf.DUMMYFUNCTION("""COMPUTED_VALUE"""),44225.0)</f>
        <v>44225</v>
      </c>
      <c r="B106">
        <f>IFERROR(__xludf.DUMMYFUNCTION("""COMPUTED_VALUE"""),1635930.0)</f>
        <v>1635930</v>
      </c>
      <c r="C106" t="str">
        <f>IFERROR(__xludf.DUMMYFUNCTION("""COMPUTED_VALUE"""),"ja")</f>
        <v>ja</v>
      </c>
      <c r="D106" t="str">
        <f>IFERROR(__xludf.DUMMYFUNCTION("""COMPUTED_VALUE"""),"メディアリテラシー マスター講座")</f>
        <v>メディアリテラシー マスター講座</v>
      </c>
      <c r="E106" t="str">
        <f>IFERROR(__xludf.DUMMYFUNCTION("""COMPUTED_VALUE"""),"Media Literacy Master Course")</f>
        <v>Media Literacy Master Course</v>
      </c>
      <c r="F106">
        <f>IFERROR(__xludf.DUMMYFUNCTION("""COMPUTED_VALUE"""),4.6279818E7)</f>
        <v>46279818</v>
      </c>
      <c r="G106" s="140" t="str">
        <f>IFERROR(__xludf.DUMMYFUNCTION("""COMPUTED_VALUE"""),"定平 誠")</f>
        <v>定平 誠</v>
      </c>
      <c r="H106" t="str">
        <f>IFERROR(__xludf.DUMMYFUNCTION("""COMPUTED_VALUE"""),"Low Rating")</f>
        <v>Low Rating</v>
      </c>
      <c r="I106" t="str">
        <f>IFERROR(__xludf.DUMMYFUNCTION("""COMPUTED_VALUE"""),"Office Productivity")</f>
        <v>Office Productivity</v>
      </c>
      <c r="J106" t="str">
        <f>IFERROR(__xludf.DUMMYFUNCTION("""COMPUTED_VALUE"""),"Collaboration")</f>
        <v>Collaboration</v>
      </c>
      <c r="L106" s="140" t="str">
        <f>IFERROR(__xludf.DUMMYFUNCTION("""COMPUTED_VALUE"""),"")</f>
        <v/>
      </c>
      <c r="N106" s="140" t="str">
        <f>IFERROR(__xludf.DUMMYFUNCTION("""COMPUTED_VALUE"""),"")</f>
        <v/>
      </c>
    </row>
    <row r="107">
      <c r="A107" s="143">
        <f>IFERROR(__xludf.DUMMYFUNCTION("""COMPUTED_VALUE"""),44225.0)</f>
        <v>44225</v>
      </c>
      <c r="B107">
        <f>IFERROR(__xludf.DUMMYFUNCTION("""COMPUTED_VALUE"""),425084.0)</f>
        <v>425084</v>
      </c>
      <c r="C107" t="str">
        <f>IFERROR(__xludf.DUMMYFUNCTION("""COMPUTED_VALUE"""),"en")</f>
        <v>en</v>
      </c>
      <c r="D107" t="str">
        <f>IFERROR(__xludf.DUMMYFUNCTION("""COMPUTED_VALUE"""),"Administering Microsoft SQL Server 2012 Databases - 70-462")</f>
        <v>Administering Microsoft SQL Server 2012 Databases - 70-462</v>
      </c>
      <c r="E107" t="str">
        <f>IFERROR(__xludf.DUMMYFUNCTION("""COMPUTED_VALUE"""),"Administering Microsoft SQL Server 2012 Databases - 70-462")</f>
        <v>Administering Microsoft SQL Server 2012 Databases - 70-462</v>
      </c>
      <c r="F107">
        <f>IFERROR(__xludf.DUMMYFUNCTION("""COMPUTED_VALUE"""),8602168.0)</f>
        <v>8602168</v>
      </c>
      <c r="G107" s="140" t="str">
        <f>IFERROR(__xludf.DUMMYFUNCTION("""COMPUTED_VALUE"""),"Compaq learning")</f>
        <v>Compaq learning</v>
      </c>
      <c r="H107" s="140" t="str">
        <f>IFERROR(__xludf.DUMMYFUNCTION("""COMPUTED_VALUE"""),"Saturated Topic")</f>
        <v>Saturated Topic</v>
      </c>
      <c r="I107" t="str">
        <f>IFERROR(__xludf.DUMMYFUNCTION("""COMPUTED_VALUE"""),"IT Operations")</f>
        <v>IT Operations</v>
      </c>
      <c r="J107" t="str">
        <f>IFERROR(__xludf.DUMMYFUNCTION("""COMPUTED_VALUE"""),"Database Administration")</f>
        <v>Database Administration</v>
      </c>
      <c r="K107">
        <f>IFERROR(__xludf.DUMMYFUNCTION("""COMPUTED_VALUE"""),1829188.0)</f>
        <v>1829188</v>
      </c>
      <c r="L107" s="140" t="str">
        <f>IFERROR(__xludf.DUMMYFUNCTION("""COMPUTED_VALUE"""),"70-462: SQL Server Database Administration (DBA)")</f>
        <v>70-462: SQL Server Database Administration (DBA)</v>
      </c>
      <c r="N107" s="140" t="str">
        <f>IFERROR(__xludf.DUMMYFUNCTION("""COMPUTED_VALUE"""),"")</f>
        <v/>
      </c>
    </row>
    <row r="108">
      <c r="A108" s="143">
        <f>IFERROR(__xludf.DUMMYFUNCTION("""COMPUTED_VALUE"""),44225.0)</f>
        <v>44225</v>
      </c>
      <c r="B108">
        <f>IFERROR(__xludf.DUMMYFUNCTION("""COMPUTED_VALUE"""),617158.0)</f>
        <v>617158</v>
      </c>
      <c r="C108" t="str">
        <f>IFERROR(__xludf.DUMMYFUNCTION("""COMPUTED_VALUE"""),"en")</f>
        <v>en</v>
      </c>
      <c r="D108" t="str">
        <f>IFERROR(__xludf.DUMMYFUNCTION("""COMPUTED_VALUE"""),"Unit Testing AngularJS: Build Bugfree Apps That Always Work!")</f>
        <v>Unit Testing AngularJS: Build Bugfree Apps That Always Work!</v>
      </c>
      <c r="E108" t="str">
        <f>IFERROR(__xludf.DUMMYFUNCTION("""COMPUTED_VALUE"""),"Unit Testing AngularJS: Build Bugfree Apps That Always Work!")</f>
        <v>Unit Testing AngularJS: Build Bugfree Apps That Always Work!</v>
      </c>
      <c r="F108">
        <f>IFERROR(__xludf.DUMMYFUNCTION("""COMPUTED_VALUE"""),3925152.0)</f>
        <v>3925152</v>
      </c>
      <c r="G108" s="140" t="str">
        <f>IFERROR(__xludf.DUMMYFUNCTION("""COMPUTED_VALUE"""),"Matthias Kentzia")</f>
        <v>Matthias Kentzia</v>
      </c>
      <c r="H108" t="str">
        <f>IFERROR(__xludf.DUMMYFUNCTION("""COMPUTED_VALUE"""),"Low Rating")</f>
        <v>Low Rating</v>
      </c>
      <c r="I108" t="str">
        <f>IFERROR(__xludf.DUMMYFUNCTION("""COMPUTED_VALUE"""),"Development")</f>
        <v>Development</v>
      </c>
      <c r="J108" t="str">
        <f>IFERROR(__xludf.DUMMYFUNCTION("""COMPUTED_VALUE"""),"Software Testing")</f>
        <v>Software Testing</v>
      </c>
      <c r="L108" s="140" t="str">
        <f>IFERROR(__xludf.DUMMYFUNCTION("""COMPUTED_VALUE"""),"")</f>
        <v/>
      </c>
      <c r="N108" s="140" t="str">
        <f>IFERROR(__xludf.DUMMYFUNCTION("""COMPUTED_VALUE"""),"")</f>
        <v/>
      </c>
      <c r="O108" s="140" t="str">
        <f>IFERROR(__xludf.DUMMYFUNCTION("""COMPUTED_VALUE"""),"No Alternatives in Collection- 1/26/2021")</f>
        <v>No Alternatives in Collection- 1/26/2021</v>
      </c>
    </row>
    <row r="109">
      <c r="A109" s="143">
        <f>IFERROR(__xludf.DUMMYFUNCTION("""COMPUTED_VALUE"""),44225.0)</f>
        <v>44225</v>
      </c>
      <c r="B109">
        <f>IFERROR(__xludf.DUMMYFUNCTION("""COMPUTED_VALUE"""),459606.0)</f>
        <v>459606</v>
      </c>
      <c r="C109" t="str">
        <f>IFERROR(__xludf.DUMMYFUNCTION("""COMPUTED_VALUE"""),"en")</f>
        <v>en</v>
      </c>
      <c r="D109" t="str">
        <f>IFERROR(__xludf.DUMMYFUNCTION("""COMPUTED_VALUE"""),"Twitter Blueprint")</f>
        <v>Twitter Blueprint</v>
      </c>
      <c r="E109" t="str">
        <f>IFERROR(__xludf.DUMMYFUNCTION("""COMPUTED_VALUE"""),"Twitter Blueprint")</f>
        <v>Twitter Blueprint</v>
      </c>
      <c r="F109">
        <f>IFERROR(__xludf.DUMMYFUNCTION("""COMPUTED_VALUE"""),9666084.0)</f>
        <v>9666084</v>
      </c>
      <c r="G109" s="140" t="str">
        <f>IFERROR(__xludf.DUMMYFUNCTION("""COMPUTED_VALUE"""),"Dragos Stefanescu")</f>
        <v>Dragos Stefanescu</v>
      </c>
      <c r="H109" s="140" t="str">
        <f>IFERROR(__xludf.DUMMYFUNCTION("""COMPUTED_VALUE"""),"Inactive Instructor")</f>
        <v>Inactive Instructor</v>
      </c>
      <c r="I109" t="str">
        <f>IFERROR(__xludf.DUMMYFUNCTION("""COMPUTED_VALUE"""),"Marketing")</f>
        <v>Marketing</v>
      </c>
      <c r="J109" t="str">
        <f>IFERROR(__xludf.DUMMYFUNCTION("""COMPUTED_VALUE"""),"Social Media Marketing")</f>
        <v>Social Media Marketing</v>
      </c>
      <c r="K109">
        <f>IFERROR(__xludf.DUMMYFUNCTION("""COMPUTED_VALUE"""),1085100.0)</f>
        <v>1085100</v>
      </c>
      <c r="L109" s="140" t="str">
        <f>IFERROR(__xludf.DUMMYFUNCTION("""COMPUTED_VALUE"""),"The Complete Twitter Marketing Bootcamp")</f>
        <v>The Complete Twitter Marketing Bootcamp</v>
      </c>
      <c r="N109" s="140" t="str">
        <f>IFERROR(__xludf.DUMMYFUNCTION("""COMPUTED_VALUE"""),"")</f>
        <v/>
      </c>
    </row>
    <row r="110">
      <c r="A110" s="143">
        <f>IFERROR(__xludf.DUMMYFUNCTION("""COMPUTED_VALUE"""),44225.0)</f>
        <v>44225</v>
      </c>
      <c r="B110">
        <f>IFERROR(__xludf.DUMMYFUNCTION("""COMPUTED_VALUE"""),757918.0)</f>
        <v>757918</v>
      </c>
      <c r="C110" t="str">
        <f>IFERROR(__xludf.DUMMYFUNCTION("""COMPUTED_VALUE"""),"en")</f>
        <v>en</v>
      </c>
      <c r="D110" t="str">
        <f>IFERROR(__xludf.DUMMYFUNCTION("""COMPUTED_VALUE"""),"Talend Data Integration Course : Beginner to Expert")</f>
        <v>Talend Data Integration Course : Beginner to Expert</v>
      </c>
      <c r="E110" t="str">
        <f>IFERROR(__xludf.DUMMYFUNCTION("""COMPUTED_VALUE"""),"Talend Data Integration Course : Beginner to Expert")</f>
        <v>Talend Data Integration Course : Beginner to Expert</v>
      </c>
      <c r="F110">
        <f>IFERROR(__xludf.DUMMYFUNCTION("""COMPUTED_VALUE"""),2.0302686E7)</f>
        <v>20302686</v>
      </c>
      <c r="G110" s="140" t="str">
        <f>IFERROR(__xludf.DUMMYFUNCTION("""COMPUTED_VALUE"""),"Kapil Chaitanya Kasarapu")</f>
        <v>Kapil Chaitanya Kasarapu</v>
      </c>
      <c r="H110" t="str">
        <f>IFERROR(__xludf.DUMMYFUNCTION("""COMPUTED_VALUE"""),"Low Rating")</f>
        <v>Low Rating</v>
      </c>
      <c r="I110" t="str">
        <f>IFERROR(__xludf.DUMMYFUNCTION("""COMPUTED_VALUE"""),"Data Science")</f>
        <v>Data Science</v>
      </c>
      <c r="J110" t="str">
        <f>IFERROR(__xludf.DUMMYFUNCTION("""COMPUTED_VALUE"""),"Big Data")</f>
        <v>Big Data</v>
      </c>
      <c r="K110">
        <f>IFERROR(__xludf.DUMMYFUNCTION("""COMPUTED_VALUE"""),1487702.0)</f>
        <v>1487702</v>
      </c>
      <c r="L110" s="140" t="str">
        <f>IFERROR(__xludf.DUMMYFUNCTION("""COMPUTED_VALUE"""),"Talend Data Integration course Basics ,Advanced &amp; ADMIN")</f>
        <v>Talend Data Integration course Basics ,Advanced &amp; ADMIN</v>
      </c>
      <c r="N110" s="140" t="str">
        <f>IFERROR(__xludf.DUMMYFUNCTION("""COMPUTED_VALUE"""),"")</f>
        <v/>
      </c>
    </row>
    <row r="111">
      <c r="A111" s="143">
        <f>IFERROR(__xludf.DUMMYFUNCTION("""COMPUTED_VALUE"""),44225.0)</f>
        <v>44225</v>
      </c>
      <c r="B111">
        <f>IFERROR(__xludf.DUMMYFUNCTION("""COMPUTED_VALUE"""),894556.0)</f>
        <v>894556</v>
      </c>
      <c r="C111" t="str">
        <f>IFERROR(__xludf.DUMMYFUNCTION("""COMPUTED_VALUE"""),"en")</f>
        <v>en</v>
      </c>
      <c r="D111" t="str">
        <f>IFERROR(__xludf.DUMMYFUNCTION("""COMPUTED_VALUE"""),"Refactoring Java with IntelliJ IDEA")</f>
        <v>Refactoring Java with IntelliJ IDEA</v>
      </c>
      <c r="E111" t="str">
        <f>IFERROR(__xludf.DUMMYFUNCTION("""COMPUTED_VALUE"""),"Refactoring Java with IntelliJ IDEA")</f>
        <v>Refactoring Java with IntelliJ IDEA</v>
      </c>
      <c r="F111">
        <f>IFERROR(__xludf.DUMMYFUNCTION("""COMPUTED_VALUE"""),2.3512318E7)</f>
        <v>23512318</v>
      </c>
      <c r="G111" s="140" t="str">
        <f>IFERROR(__xludf.DUMMYFUNCTION("""COMPUTED_VALUE"""),"James Richardson")</f>
        <v>James Richardson</v>
      </c>
      <c r="H111" t="str">
        <f>IFERROR(__xludf.DUMMYFUNCTION("""COMPUTED_VALUE"""),"3 Flags")</f>
        <v>3 Flags</v>
      </c>
      <c r="I111" t="str">
        <f>IFERROR(__xludf.DUMMYFUNCTION("""COMPUTED_VALUE"""),"Development")</f>
        <v>Development</v>
      </c>
      <c r="J111" t="str">
        <f>IFERROR(__xludf.DUMMYFUNCTION("""COMPUTED_VALUE"""),"Programming Languages")</f>
        <v>Programming Languages</v>
      </c>
      <c r="L111" s="140" t="str">
        <f>IFERROR(__xludf.DUMMYFUNCTION("""COMPUTED_VALUE"""),"")</f>
        <v/>
      </c>
      <c r="N111" s="140" t="str">
        <f>IFERROR(__xludf.DUMMYFUNCTION("""COMPUTED_VALUE"""),"")</f>
        <v/>
      </c>
      <c r="O111" s="140" t="str">
        <f>IFERROR(__xludf.DUMMYFUNCTION("""COMPUTED_VALUE"""),"No Alternatives in Collection- 1/26/2021")</f>
        <v>No Alternatives in Collection- 1/26/2021</v>
      </c>
    </row>
    <row r="112">
      <c r="A112" s="143">
        <f>IFERROR(__xludf.DUMMYFUNCTION("""COMPUTED_VALUE"""),44225.0)</f>
        <v>44225</v>
      </c>
      <c r="B112">
        <f>IFERROR(__xludf.DUMMYFUNCTION("""COMPUTED_VALUE"""),1022780.0)</f>
        <v>1022780</v>
      </c>
      <c r="C112" t="str">
        <f>IFERROR(__xludf.DUMMYFUNCTION("""COMPUTED_VALUE"""),"de")</f>
        <v>de</v>
      </c>
      <c r="D112" t="str">
        <f>IFERROR(__xludf.DUMMYFUNCTION("""COMPUTED_VALUE"""),"Podcasting für Einsteiger - Ganz einfach zum ersten Podcast!")</f>
        <v>Podcasting für Einsteiger - Ganz einfach zum ersten Podcast!</v>
      </c>
      <c r="E112" t="str">
        <f>IFERROR(__xludf.DUMMYFUNCTION("""COMPUTED_VALUE"""),"Podcasting for beginners - easy to the first podcast!")</f>
        <v>Podcasting for beginners - easy to the first podcast!</v>
      </c>
      <c r="F112">
        <f>IFERROR(__xludf.DUMMYFUNCTION("""COMPUTED_VALUE"""),1.907211E7)</f>
        <v>19072110</v>
      </c>
      <c r="G112" s="140" t="str">
        <f>IFERROR(__xludf.DUMMYFUNCTION("""COMPUTED_VALUE"""),"Florian Prince")</f>
        <v>Florian Prince</v>
      </c>
      <c r="H112" t="str">
        <f>IFERROR(__xludf.DUMMYFUNCTION("""COMPUTED_VALUE"""),"3 Flags")</f>
        <v>3 Flags</v>
      </c>
      <c r="I112" t="str">
        <f>IFERROR(__xludf.DUMMYFUNCTION("""COMPUTED_VALUE"""),"Marketing")</f>
        <v>Marketing</v>
      </c>
      <c r="J112" t="str">
        <f>IFERROR(__xludf.DUMMYFUNCTION("""COMPUTED_VALUE"""),"Content Marketing")</f>
        <v>Content Marketing</v>
      </c>
      <c r="K112">
        <f>IFERROR(__xludf.DUMMYFUNCTION("""COMPUTED_VALUE"""),1400460.0)</f>
        <v>1400460</v>
      </c>
      <c r="L112" s="140" t="str">
        <f>IFERROR(__xludf.DUMMYFUNCTION("""COMPUTED_VALUE"""),"Die Podcast-Masterclass: systematischer Podcasting-Einstieg")</f>
        <v>Die Podcast-Masterclass: systematischer Podcasting-Einstieg</v>
      </c>
      <c r="N112" s="140" t="str">
        <f>IFERROR(__xludf.DUMMYFUNCTION("""COMPUTED_VALUE"""),"")</f>
        <v/>
      </c>
    </row>
    <row r="113">
      <c r="A113" s="143">
        <f>IFERROR(__xludf.DUMMYFUNCTION("""COMPUTED_VALUE"""),44225.0)</f>
        <v>44225</v>
      </c>
      <c r="B113">
        <f>IFERROR(__xludf.DUMMYFUNCTION("""COMPUTED_VALUE"""),682986.0)</f>
        <v>682986</v>
      </c>
      <c r="C113" t="str">
        <f>IFERROR(__xludf.DUMMYFUNCTION("""COMPUTED_VALUE"""),"en")</f>
        <v>en</v>
      </c>
      <c r="D113" t="str">
        <f>IFERROR(__xludf.DUMMYFUNCTION("""COMPUTED_VALUE"""),"Effective Debt Collection Strategies")</f>
        <v>Effective Debt Collection Strategies</v>
      </c>
      <c r="E113" t="str">
        <f>IFERROR(__xludf.DUMMYFUNCTION("""COMPUTED_VALUE"""),"Effective Debt Collection Strategies")</f>
        <v>Effective Debt Collection Strategies</v>
      </c>
      <c r="F113">
        <f>IFERROR(__xludf.DUMMYFUNCTION("""COMPUTED_VALUE"""),1.3432524E7)</f>
        <v>13432524</v>
      </c>
      <c r="G113" s="140" t="str">
        <f>IFERROR(__xludf.DUMMYFUNCTION("""COMPUTED_VALUE"""),"Zanette Phillips")</f>
        <v>Zanette Phillips</v>
      </c>
      <c r="H113" t="str">
        <f>IFERROR(__xludf.DUMMYFUNCTION("""COMPUTED_VALUE"""),"Low Rating")</f>
        <v>Low Rating</v>
      </c>
      <c r="I113" t="str">
        <f>IFERROR(__xludf.DUMMYFUNCTION("""COMPUTED_VALUE"""),"Finance &amp; Accounting")</f>
        <v>Finance &amp; Accounting</v>
      </c>
      <c r="J113" t="str">
        <f>IFERROR(__xludf.DUMMYFUNCTION("""COMPUTED_VALUE"""),"Finance Fundamentals")</f>
        <v>Finance Fundamentals</v>
      </c>
      <c r="L113" s="140" t="str">
        <f>IFERROR(__xludf.DUMMYFUNCTION("""COMPUTED_VALUE"""),"")</f>
        <v/>
      </c>
      <c r="N113" s="140" t="str">
        <f>IFERROR(__xludf.DUMMYFUNCTION("""COMPUTED_VALUE"""),"")</f>
        <v/>
      </c>
      <c r="O113" s="140" t="str">
        <f>IFERROR(__xludf.DUMMYFUNCTION("""COMPUTED_VALUE"""),"No Alternatives in Collection- 1/26/2021")</f>
        <v>No Alternatives in Collection- 1/26/2021</v>
      </c>
    </row>
    <row r="114">
      <c r="A114" s="143">
        <f>IFERROR(__xludf.DUMMYFUNCTION("""COMPUTED_VALUE"""),44225.0)</f>
        <v>44225</v>
      </c>
      <c r="B114">
        <f>IFERROR(__xludf.DUMMYFUNCTION("""COMPUTED_VALUE"""),2589018.0)</f>
        <v>2589018</v>
      </c>
      <c r="C114" t="str">
        <f>IFERROR(__xludf.DUMMYFUNCTION("""COMPUTED_VALUE"""),"ja")</f>
        <v>ja</v>
      </c>
      <c r="D114" t="str">
        <f>IFERROR(__xludf.DUMMYFUNCTION("""COMPUTED_VALUE"""),"ITトレンド丸わかり ～デジタルトランスフォーメーション時代の必須知識～")</f>
        <v>ITトレンド丸わかり ～デジタルトランスフォーメーション時代の必須知識～</v>
      </c>
      <c r="E114" t="str">
        <f>IFERROR(__xludf.DUMMYFUNCTION("""COMPUTED_VALUE"""),"IT Trend Maru Urina-Required knowledge of digital transformation era-")</f>
        <v>IT Trend Maru Urina-Required knowledge of digital transformation era-</v>
      </c>
      <c r="F114">
        <f>IFERROR(__xludf.DUMMYFUNCTION("""COMPUTED_VALUE"""),6.7030432E7)</f>
        <v>67030432</v>
      </c>
      <c r="G114" s="140" t="str">
        <f>IFERROR(__xludf.DUMMYFUNCTION("""COMPUTED_VALUE"""),"Trainocate Lecturers")</f>
        <v>Trainocate Lecturers</v>
      </c>
      <c r="H114" t="str">
        <f>IFERROR(__xludf.DUMMYFUNCTION("""COMPUTED_VALUE"""),"Outdated")</f>
        <v>Outdated</v>
      </c>
      <c r="I114" t="str">
        <f>IFERROR(__xludf.DUMMYFUNCTION("""COMPUTED_VALUE"""),"Data Science")</f>
        <v>Data Science</v>
      </c>
      <c r="J114" t="str">
        <f>IFERROR(__xludf.DUMMYFUNCTION("""COMPUTED_VALUE"""),"Big Data")</f>
        <v>Big Data</v>
      </c>
      <c r="L114" s="140" t="str">
        <f>IFERROR(__xludf.DUMMYFUNCTION("""COMPUTED_VALUE"""),"")</f>
        <v/>
      </c>
      <c r="N114" s="140" t="str">
        <f>IFERROR(__xludf.DUMMYFUNCTION("""COMPUTED_VALUE"""),"")</f>
        <v/>
      </c>
    </row>
    <row r="115">
      <c r="A115" s="143">
        <f>IFERROR(__xludf.DUMMYFUNCTION("""COMPUTED_VALUE"""),44225.0)</f>
        <v>44225</v>
      </c>
      <c r="B115">
        <f>IFERROR(__xludf.DUMMYFUNCTION("""COMPUTED_VALUE"""),1470846.0)</f>
        <v>1470846</v>
      </c>
      <c r="C115" t="str">
        <f>IFERROR(__xludf.DUMMYFUNCTION("""COMPUTED_VALUE"""),"en")</f>
        <v>en</v>
      </c>
      <c r="D115" t="str">
        <f>IFERROR(__xludf.DUMMYFUNCTION("""COMPUTED_VALUE"""),"Programming in SAS for beginners")</f>
        <v>Programming in SAS for beginners</v>
      </c>
      <c r="E115" t="str">
        <f>IFERROR(__xludf.DUMMYFUNCTION("""COMPUTED_VALUE"""),"Programming in SAS for beginners")</f>
        <v>Programming in SAS for beginners</v>
      </c>
      <c r="F115">
        <f>IFERROR(__xludf.DUMMYFUNCTION("""COMPUTED_VALUE"""),4.096799E7)</f>
        <v>40967990</v>
      </c>
      <c r="G115" s="140" t="str">
        <f>IFERROR(__xludf.DUMMYFUNCTION("""COMPUTED_VALUE"""),"Analytics Leap")</f>
        <v>Analytics Leap</v>
      </c>
      <c r="H115" t="str">
        <f>IFERROR(__xludf.DUMMYFUNCTION("""COMPUTED_VALUE"""),"Low Rating")</f>
        <v>Low Rating</v>
      </c>
      <c r="I115" t="str">
        <f>IFERROR(__xludf.DUMMYFUNCTION("""COMPUTED_VALUE"""),"Development")</f>
        <v>Development</v>
      </c>
      <c r="J115" t="str">
        <f>IFERROR(__xludf.DUMMYFUNCTION("""COMPUTED_VALUE"""),"Programming Languages")</f>
        <v>Programming Languages</v>
      </c>
      <c r="K115">
        <f>IFERROR(__xludf.DUMMYFUNCTION("""COMPUTED_VALUE"""),2168574.0)</f>
        <v>2168574</v>
      </c>
      <c r="L115" s="140" t="str">
        <f>IFERROR(__xludf.DUMMYFUNCTION("""COMPUTED_VALUE"""),"SAS Programming - Learn SAS from Beginner to Advanced")</f>
        <v>SAS Programming - Learn SAS from Beginner to Advanced</v>
      </c>
      <c r="N115" s="140" t="str">
        <f>IFERROR(__xludf.DUMMYFUNCTION("""COMPUTED_VALUE"""),"")</f>
        <v/>
      </c>
    </row>
    <row r="116">
      <c r="A116" s="143">
        <f>IFERROR(__xludf.DUMMYFUNCTION("""COMPUTED_VALUE"""),44225.0)</f>
        <v>44225</v>
      </c>
      <c r="B116">
        <f>IFERROR(__xludf.DUMMYFUNCTION("""COMPUTED_VALUE"""),694026.0)</f>
        <v>694026</v>
      </c>
      <c r="C116" t="str">
        <f>IFERROR(__xludf.DUMMYFUNCTION("""COMPUTED_VALUE"""),"en")</f>
        <v>en</v>
      </c>
      <c r="D116" t="str">
        <f>IFERROR(__xludf.DUMMYFUNCTION("""COMPUTED_VALUE"""),"Bitfountain iOS Design Foundations")</f>
        <v>Bitfountain iOS Design Foundations</v>
      </c>
      <c r="E116" t="str">
        <f>IFERROR(__xludf.DUMMYFUNCTION("""COMPUTED_VALUE"""),"Bitfountain iOS Design Foundations")</f>
        <v>Bitfountain iOS Design Foundations</v>
      </c>
      <c r="F116">
        <f>IFERROR(__xludf.DUMMYFUNCTION("""COMPUTED_VALUE"""),2075428.0)</f>
        <v>2075428</v>
      </c>
      <c r="G116" s="140" t="str">
        <f>IFERROR(__xludf.DUMMYFUNCTION("""COMPUTED_VALUE"""),"John Omar")</f>
        <v>John Omar</v>
      </c>
      <c r="H116" s="140" t="str">
        <f>IFERROR(__xludf.DUMMYFUNCTION("""COMPUTED_VALUE"""),"Saturated Topic")</f>
        <v>Saturated Topic</v>
      </c>
      <c r="I116" t="str">
        <f>IFERROR(__xludf.DUMMYFUNCTION("""COMPUTED_VALUE"""),"Design")</f>
        <v>Design</v>
      </c>
      <c r="J116" t="str">
        <f>IFERROR(__xludf.DUMMYFUNCTION("""COMPUTED_VALUE"""),"Design Tools")</f>
        <v>Design Tools</v>
      </c>
      <c r="L116" s="140" t="str">
        <f>IFERROR(__xludf.DUMMYFUNCTION("""COMPUTED_VALUE"""),"")</f>
        <v/>
      </c>
      <c r="N116" s="140" t="str">
        <f>IFERROR(__xludf.DUMMYFUNCTION("""COMPUTED_VALUE"""),"")</f>
        <v/>
      </c>
      <c r="O116" s="140" t="str">
        <f>IFERROR(__xludf.DUMMYFUNCTION("""COMPUTED_VALUE"""),"No Alternatives in Collection - 11/6")</f>
        <v>No Alternatives in Collection - 11/6</v>
      </c>
    </row>
    <row r="117">
      <c r="A117" s="143">
        <f>IFERROR(__xludf.DUMMYFUNCTION("""COMPUTED_VALUE"""),44225.0)</f>
        <v>44225</v>
      </c>
      <c r="B117">
        <f>IFERROR(__xludf.DUMMYFUNCTION("""COMPUTED_VALUE"""),1625406.0)</f>
        <v>1625406</v>
      </c>
      <c r="C117" t="str">
        <f>IFERROR(__xludf.DUMMYFUNCTION("""COMPUTED_VALUE"""),"en")</f>
        <v>en</v>
      </c>
      <c r="D117" t="str">
        <f>IFERROR(__xludf.DUMMYFUNCTION("""COMPUTED_VALUE"""),"Hyperledger Fabric and Composer - First Practical Blockchain")</f>
        <v>Hyperledger Fabric and Composer - First Practical Blockchain</v>
      </c>
      <c r="E117" t="str">
        <f>IFERROR(__xludf.DUMMYFUNCTION("""COMPUTED_VALUE"""),"Hyperledger Fabric and Composer - First Practical Blockchain")</f>
        <v>Hyperledger Fabric and Composer - First Practical Blockchain</v>
      </c>
      <c r="F117">
        <f>IFERROR(__xludf.DUMMYFUNCTION("""COMPUTED_VALUE"""),3.8022828E7)</f>
        <v>38022828</v>
      </c>
      <c r="G117" s="140" t="str">
        <f>IFERROR(__xludf.DUMMYFUNCTION("""COMPUTED_VALUE"""),"Mohammad Nauman")</f>
        <v>Mohammad Nauman</v>
      </c>
      <c r="H117" s="140" t="str">
        <f>IFERROR(__xludf.DUMMYFUNCTION("""COMPUTED_VALUE"""),"Instructor Request- Opted Out")</f>
        <v>Instructor Request- Opted Out</v>
      </c>
      <c r="I117" t="str">
        <f>IFERROR(__xludf.DUMMYFUNCTION("""COMPUTED_VALUE"""),"Development")</f>
        <v>Development</v>
      </c>
      <c r="J117" t="str">
        <f>IFERROR(__xludf.DUMMYFUNCTION("""COMPUTED_VALUE"""),"Database Design &amp; Development")</f>
        <v>Database Design &amp; Development</v>
      </c>
      <c r="K117">
        <f>IFERROR(__xludf.DUMMYFUNCTION("""COMPUTED_VALUE"""),1332572.0)</f>
        <v>1332572</v>
      </c>
      <c r="L117" s="140" t="str">
        <f>IFERROR(__xludf.DUMMYFUNCTION("""COMPUTED_VALUE"""),"Blockchain Development on Hyperledger Fabric using Composer")</f>
        <v>Blockchain Development on Hyperledger Fabric using Composer</v>
      </c>
      <c r="N117" s="140" t="str">
        <f>IFERROR(__xludf.DUMMYFUNCTION("""COMPUTED_VALUE"""),"")</f>
        <v/>
      </c>
    </row>
    <row r="118">
      <c r="A118" s="143">
        <f>IFERROR(__xludf.DUMMYFUNCTION("""COMPUTED_VALUE"""),44225.0)</f>
        <v>44225</v>
      </c>
      <c r="B118">
        <f>IFERROR(__xludf.DUMMYFUNCTION("""COMPUTED_VALUE"""),383042.0)</f>
        <v>383042</v>
      </c>
      <c r="C118" t="str">
        <f>IFERROR(__xludf.DUMMYFUNCTION("""COMPUTED_VALUE"""),"en")</f>
        <v>en</v>
      </c>
      <c r="D118" t="str">
        <f>IFERROR(__xludf.DUMMYFUNCTION("""COMPUTED_VALUE"""),"Compass - powerful SASS library that makes your life easier")</f>
        <v>Compass - powerful SASS library that makes your life easier</v>
      </c>
      <c r="E118" t="str">
        <f>IFERROR(__xludf.DUMMYFUNCTION("""COMPUTED_VALUE"""),"Compass - powerful SASS library that makes your life easier")</f>
        <v>Compass - powerful SASS library that makes your life easier</v>
      </c>
      <c r="F118">
        <f>IFERROR(__xludf.DUMMYFUNCTION("""COMPUTED_VALUE"""),621716.0)</f>
        <v>621716</v>
      </c>
      <c r="G118" s="140" t="str">
        <f>IFERROR(__xludf.DUMMYFUNCTION("""COMPUTED_VALUE"""),"Arkadiusz Włodarczyk")</f>
        <v>Arkadiusz Włodarczyk</v>
      </c>
      <c r="H118" s="140" t="str">
        <f>IFERROR(__xludf.DUMMYFUNCTION("""COMPUTED_VALUE"""),"Saturated Topic")</f>
        <v>Saturated Topic</v>
      </c>
      <c r="I118" t="str">
        <f>IFERROR(__xludf.DUMMYFUNCTION("""COMPUTED_VALUE"""),"Development")</f>
        <v>Development</v>
      </c>
      <c r="J118" t="str">
        <f>IFERROR(__xludf.DUMMYFUNCTION("""COMPUTED_VALUE"""),"Web Development")</f>
        <v>Web Development</v>
      </c>
      <c r="K118">
        <f>IFERROR(__xludf.DUMMYFUNCTION("""COMPUTED_VALUE"""),746014.0)</f>
        <v>746014</v>
      </c>
      <c r="L118" s="140" t="str">
        <f>IFERROR(__xludf.DUMMYFUNCTION("""COMPUTED_VALUE"""),"The Complete Sass &amp; SCSS Course: From Beginner to Advanced")</f>
        <v>The Complete Sass &amp; SCSS Course: From Beginner to Advanced</v>
      </c>
      <c r="N118" s="140" t="str">
        <f>IFERROR(__xludf.DUMMYFUNCTION("""COMPUTED_VALUE"""),"")</f>
        <v/>
      </c>
    </row>
    <row r="119">
      <c r="A119" s="143">
        <f>IFERROR(__xludf.DUMMYFUNCTION("""COMPUTED_VALUE"""),44225.0)</f>
        <v>44225</v>
      </c>
      <c r="B119">
        <f>IFERROR(__xludf.DUMMYFUNCTION("""COMPUTED_VALUE"""),2534680.0)</f>
        <v>2534680</v>
      </c>
      <c r="C119" t="str">
        <f>IFERROR(__xludf.DUMMYFUNCTION("""COMPUTED_VALUE"""),"es")</f>
        <v>es</v>
      </c>
      <c r="D119" t="str">
        <f>IFERROR(__xludf.DUMMYFUNCTION("""COMPUTED_VALUE"""),"Docker y DevOps: De novato a experto.")</f>
        <v>Docker y DevOps: De novato a experto.</v>
      </c>
      <c r="E119" t="str">
        <f>IFERROR(__xludf.DUMMYFUNCTION("""COMPUTED_VALUE"""),"Docker and Devops: From rookie to expert.")</f>
        <v>Docker and Devops: From rookie to expert.</v>
      </c>
      <c r="F119">
        <f>IFERROR(__xludf.DUMMYFUNCTION("""COMPUTED_VALUE"""),1.9996634E7)</f>
        <v>19996634</v>
      </c>
      <c r="G119" s="140" t="str">
        <f>IFERROR(__xludf.DUMMYFUNCTION("""COMPUTED_VALUE"""),"Daniel Echeverri Montoya")</f>
        <v>Daniel Echeverri Montoya</v>
      </c>
      <c r="H119" s="140" t="str">
        <f>IFERROR(__xludf.DUMMYFUNCTION("""COMPUTED_VALUE"""),"Instructor Request- Opted Out")</f>
        <v>Instructor Request- Opted Out</v>
      </c>
      <c r="I119" t="str">
        <f>IFERROR(__xludf.DUMMYFUNCTION("""COMPUTED_VALUE"""),"Development")</f>
        <v>Development</v>
      </c>
      <c r="J119" t="str">
        <f>IFERROR(__xludf.DUMMYFUNCTION("""COMPUTED_VALUE"""),"Development Tools")</f>
        <v>Development Tools</v>
      </c>
      <c r="K119">
        <f>IFERROR(__xludf.DUMMYFUNCTION("""COMPUTED_VALUE"""),1704410.0)</f>
        <v>1704410</v>
      </c>
      <c r="L119" s="140" t="str">
        <f>IFERROR(__xludf.DUMMYFUNCTION("""COMPUTED_VALUE"""),"Docker, de principiante a experto")</f>
        <v>Docker, de principiante a experto</v>
      </c>
      <c r="N119" s="140" t="str">
        <f>IFERROR(__xludf.DUMMYFUNCTION("""COMPUTED_VALUE"""),"")</f>
        <v/>
      </c>
    </row>
    <row r="120">
      <c r="A120" s="143">
        <f>IFERROR(__xludf.DUMMYFUNCTION("""COMPUTED_VALUE"""),44225.0)</f>
        <v>44225</v>
      </c>
      <c r="B120">
        <f>IFERROR(__xludf.DUMMYFUNCTION("""COMPUTED_VALUE"""),1365480.0)</f>
        <v>1365480</v>
      </c>
      <c r="C120" t="str">
        <f>IFERROR(__xludf.DUMMYFUNCTION("""COMPUTED_VALUE"""),"en")</f>
        <v>en</v>
      </c>
      <c r="D120" t="str">
        <f>IFERROR(__xludf.DUMMYFUNCTION("""COMPUTED_VALUE"""),"Get Started with MATLAB &amp; Simulink: An Intro for Beginners")</f>
        <v>Get Started with MATLAB &amp; Simulink: An Intro for Beginners</v>
      </c>
      <c r="E120" t="str">
        <f>IFERROR(__xludf.DUMMYFUNCTION("""COMPUTED_VALUE"""),"Get Started with MATLAB &amp; Simulink: An Intro for Beginners")</f>
        <v>Get Started with MATLAB &amp; Simulink: An Intro for Beginners</v>
      </c>
      <c r="F120">
        <f>IFERROR(__xludf.DUMMYFUNCTION("""COMPUTED_VALUE"""),9593581.0)</f>
        <v>9593581</v>
      </c>
      <c r="G120" s="140" t="str">
        <f>IFERROR(__xludf.DUMMYFUNCTION("""COMPUTED_VALUE"""),"Jordan Christman")</f>
        <v>Jordan Christman</v>
      </c>
      <c r="H120" s="140" t="str">
        <f>IFERROR(__xludf.DUMMYFUNCTION("""COMPUTED_VALUE"""),"Saturated Topic")</f>
        <v>Saturated Topic</v>
      </c>
      <c r="I120" t="str">
        <f>IFERROR(__xludf.DUMMYFUNCTION("""COMPUTED_VALUE"""),"Development")</f>
        <v>Development</v>
      </c>
      <c r="J120" t="str">
        <f>IFERROR(__xludf.DUMMYFUNCTION("""COMPUTED_VALUE"""),"Programming Languages")</f>
        <v>Programming Languages</v>
      </c>
      <c r="K120">
        <f>IFERROR(__xludf.DUMMYFUNCTION("""COMPUTED_VALUE"""),1592094.0)</f>
        <v>1592094</v>
      </c>
      <c r="L120" s="140" t="str">
        <f>IFERROR(__xludf.DUMMYFUNCTION("""COMPUTED_VALUE"""),"MATLAB/SIMULINK Bible|Go From Zero to Hero!")</f>
        <v>MATLAB/SIMULINK Bible|Go From Zero to Hero!</v>
      </c>
      <c r="N120" s="140" t="str">
        <f>IFERROR(__xludf.DUMMYFUNCTION("""COMPUTED_VALUE"""),"")</f>
        <v/>
      </c>
    </row>
    <row r="121">
      <c r="A121" s="143">
        <f>IFERROR(__xludf.DUMMYFUNCTION("""COMPUTED_VALUE"""),44225.0)</f>
        <v>44225</v>
      </c>
      <c r="B121">
        <f>IFERROR(__xludf.DUMMYFUNCTION("""COMPUTED_VALUE"""),298888.0)</f>
        <v>298888</v>
      </c>
      <c r="C121" t="str">
        <f>IFERROR(__xludf.DUMMYFUNCTION("""COMPUTED_VALUE"""),"en")</f>
        <v>en</v>
      </c>
      <c r="D121" t="str">
        <f>IFERROR(__xludf.DUMMYFUNCTION("""COMPUTED_VALUE"""),"Unity Game Development Using uScript")</f>
        <v>Unity Game Development Using uScript</v>
      </c>
      <c r="E121" t="str">
        <f>IFERROR(__xludf.DUMMYFUNCTION("""COMPUTED_VALUE"""),"Unity Game Development Using uScript")</f>
        <v>Unity Game Development Using uScript</v>
      </c>
      <c r="F121">
        <f>IFERROR(__xludf.DUMMYFUNCTION("""COMPUTED_VALUE"""),675984.0)</f>
        <v>675984</v>
      </c>
      <c r="G121" s="140" t="str">
        <f>IFERROR(__xludf.DUMMYFUNCTION("""COMPUTED_VALUE"""),"Scott Wilson")</f>
        <v>Scott Wilson</v>
      </c>
      <c r="H121" s="140" t="str">
        <f>IFERROR(__xludf.DUMMYFUNCTION("""COMPUTED_VALUE"""),"Saturated Topic")</f>
        <v>Saturated Topic</v>
      </c>
      <c r="I121" t="str">
        <f>IFERROR(__xludf.DUMMYFUNCTION("""COMPUTED_VALUE"""),"Development")</f>
        <v>Development</v>
      </c>
      <c r="J121" t="str">
        <f>IFERROR(__xludf.DUMMYFUNCTION("""COMPUTED_VALUE"""),"Game Development")</f>
        <v>Game Development</v>
      </c>
      <c r="L121" s="140" t="str">
        <f>IFERROR(__xludf.DUMMYFUNCTION("""COMPUTED_VALUE"""),"")</f>
        <v/>
      </c>
      <c r="N121" s="140" t="str">
        <f>IFERROR(__xludf.DUMMYFUNCTION("""COMPUTED_VALUE"""),"")</f>
        <v/>
      </c>
      <c r="O121" s="140" t="str">
        <f>IFERROR(__xludf.DUMMYFUNCTION("""COMPUTED_VALUE"""),"No Alternatives in Collection - 11/11")</f>
        <v>No Alternatives in Collection - 11/11</v>
      </c>
    </row>
    <row r="122">
      <c r="A122" s="143">
        <f>IFERROR(__xludf.DUMMYFUNCTION("""COMPUTED_VALUE"""),44225.0)</f>
        <v>44225</v>
      </c>
      <c r="B122">
        <f>IFERROR(__xludf.DUMMYFUNCTION("""COMPUTED_VALUE"""),114564.0)</f>
        <v>114564</v>
      </c>
      <c r="C122" t="str">
        <f>IFERROR(__xludf.DUMMYFUNCTION("""COMPUTED_VALUE"""),"en")</f>
        <v>en</v>
      </c>
      <c r="D122" t="str">
        <f>IFERROR(__xludf.DUMMYFUNCTION("""COMPUTED_VALUE"""),"Effective teamwork using SharePoint and Lync 2010")</f>
        <v>Effective teamwork using SharePoint and Lync 2010</v>
      </c>
      <c r="E122" t="str">
        <f>IFERROR(__xludf.DUMMYFUNCTION("""COMPUTED_VALUE"""),"Effective teamwork using SharePoint and Lync 2010")</f>
        <v>Effective teamwork using SharePoint and Lync 2010</v>
      </c>
      <c r="F122">
        <f>IFERROR(__xludf.DUMMYFUNCTION("""COMPUTED_VALUE"""),686918.0)</f>
        <v>686918</v>
      </c>
      <c r="G122" s="140" t="str">
        <f>IFERROR(__xludf.DUMMYFUNCTION("""COMPUTED_VALUE"""),"Ulrika Hedlund")</f>
        <v>Ulrika Hedlund</v>
      </c>
      <c r="H122" s="140" t="str">
        <f>IFERROR(__xludf.DUMMYFUNCTION("""COMPUTED_VALUE"""),"Saturated Topic")</f>
        <v>Saturated Topic</v>
      </c>
      <c r="I122" t="str">
        <f>IFERROR(__xludf.DUMMYFUNCTION("""COMPUTED_VALUE"""),"Office Productivity")</f>
        <v>Office Productivity</v>
      </c>
      <c r="J122" t="str">
        <f>IFERROR(__xludf.DUMMYFUNCTION("""COMPUTED_VALUE"""),"Collaboration")</f>
        <v>Collaboration</v>
      </c>
      <c r="L122" s="140" t="str">
        <f>IFERROR(__xludf.DUMMYFUNCTION("""COMPUTED_VALUE"""),"")</f>
        <v/>
      </c>
      <c r="N122" s="140" t="str">
        <f>IFERROR(__xludf.DUMMYFUNCTION("""COMPUTED_VALUE"""),"")</f>
        <v/>
      </c>
      <c r="O122" s="140" t="str">
        <f>IFERROR(__xludf.DUMMYFUNCTION("""COMPUTED_VALUE"""),"No Alternatives in Collection - 11/4")</f>
        <v>No Alternatives in Collection - 11/4</v>
      </c>
    </row>
    <row r="123">
      <c r="A123" s="143">
        <f>IFERROR(__xludf.DUMMYFUNCTION("""COMPUTED_VALUE"""),44225.0)</f>
        <v>44225</v>
      </c>
      <c r="B123">
        <f>IFERROR(__xludf.DUMMYFUNCTION("""COMPUTED_VALUE"""),1215682.0)</f>
        <v>1215682</v>
      </c>
      <c r="C123" t="str">
        <f>IFERROR(__xludf.DUMMYFUNCTION("""COMPUTED_VALUE"""),"en")</f>
        <v>en</v>
      </c>
      <c r="D123" t="str">
        <f>IFERROR(__xludf.DUMMYFUNCTION("""COMPUTED_VALUE"""),"Introduction to RF Design Theory and Principles - RAHRF201")</f>
        <v>Introduction to RF Design Theory and Principles - RAHRF201</v>
      </c>
      <c r="E123" t="str">
        <f>IFERROR(__xludf.DUMMYFUNCTION("""COMPUTED_VALUE"""),"Introduction to RF Design Theory and Principles - RAHRF201")</f>
        <v>Introduction to RF Design Theory and Principles - RAHRF201</v>
      </c>
      <c r="F123">
        <f>IFERROR(__xludf.DUMMYFUNCTION("""COMPUTED_VALUE"""),3.12441E7)</f>
        <v>31244100</v>
      </c>
      <c r="G123" s="140" t="str">
        <f>IFERROR(__xludf.DUMMYFUNCTION("""COMPUTED_VALUE"""),"Rahsoft RF Certificate - Orange County, California")</f>
        <v>Rahsoft RF Certificate - Orange County, California</v>
      </c>
      <c r="H123" s="140" t="str">
        <f>IFERROR(__xludf.DUMMYFUNCTION("""COMPUTED_VALUE"""),"Instructor Request- Opted Out")</f>
        <v>Instructor Request- Opted Out</v>
      </c>
      <c r="I123" t="str">
        <f>IFERROR(__xludf.DUMMYFUNCTION("""COMPUTED_VALUE"""),"Development")</f>
        <v>Development</v>
      </c>
      <c r="J123" t="str">
        <f>IFERROR(__xludf.DUMMYFUNCTION("""COMPUTED_VALUE"""),"Development Tools")</f>
        <v>Development Tools</v>
      </c>
      <c r="L123" s="140" t="str">
        <f>IFERROR(__xludf.DUMMYFUNCTION("""COMPUTED_VALUE"""),"")</f>
        <v/>
      </c>
      <c r="N123" s="140" t="str">
        <f>IFERROR(__xludf.DUMMYFUNCTION("""COMPUTED_VALUE"""),"")</f>
        <v/>
      </c>
      <c r="O123" s="140" t="str">
        <f>IFERROR(__xludf.DUMMYFUNCTION("""COMPUTED_VALUE"""),"No Alternatives in Collection- 9/20/2020")</f>
        <v>No Alternatives in Collection- 9/20/2020</v>
      </c>
    </row>
    <row r="124">
      <c r="A124" s="143">
        <f>IFERROR(__xludf.DUMMYFUNCTION("""COMPUTED_VALUE"""),44225.0)</f>
        <v>44225</v>
      </c>
      <c r="B124">
        <f>IFERROR(__xludf.DUMMYFUNCTION("""COMPUTED_VALUE"""),483614.0)</f>
        <v>483614</v>
      </c>
      <c r="C124" t="str">
        <f>IFERROR(__xludf.DUMMYFUNCTION("""COMPUTED_VALUE"""),"en")</f>
        <v>en</v>
      </c>
      <c r="D124" t="str">
        <f>IFERROR(__xludf.DUMMYFUNCTION("""COMPUTED_VALUE"""),"Bounce Back From Failure &amp; Turn Conflict into Collaboration")</f>
        <v>Bounce Back From Failure &amp; Turn Conflict into Collaboration</v>
      </c>
      <c r="E124" t="str">
        <f>IFERROR(__xludf.DUMMYFUNCTION("""COMPUTED_VALUE"""),"Bounce Back From Failure &amp; Turn Conflict into Collaboration")</f>
        <v>Bounce Back From Failure &amp; Turn Conflict into Collaboration</v>
      </c>
      <c r="F124">
        <f>IFERROR(__xludf.DUMMYFUNCTION("""COMPUTED_VALUE"""),1.1204878E7)</f>
        <v>11204878</v>
      </c>
      <c r="G124" s="140" t="str">
        <f>IFERROR(__xludf.DUMMYFUNCTION("""COMPUTED_VALUE"""),"Eleventure Team")</f>
        <v>Eleventure Team</v>
      </c>
      <c r="H124" s="140" t="str">
        <f>IFERROR(__xludf.DUMMYFUNCTION("""COMPUTED_VALUE"""),"Saturated Topic")</f>
        <v>Saturated Topic</v>
      </c>
      <c r="I124" t="str">
        <f>IFERROR(__xludf.DUMMYFUNCTION("""COMPUTED_VALUE"""),"Leadership &amp; Management")</f>
        <v>Leadership &amp; Management</v>
      </c>
      <c r="J124" t="str">
        <f>IFERROR(__xludf.DUMMYFUNCTION("""COMPUTED_VALUE"""),"Communication")</f>
        <v>Communication</v>
      </c>
      <c r="K124">
        <f>IFERROR(__xludf.DUMMYFUNCTION("""COMPUTED_VALUE"""),2456222.0)</f>
        <v>2456222</v>
      </c>
      <c r="L124" s="140" t="str">
        <f>IFERROR(__xludf.DUMMYFUNCTION("""COMPUTED_VALUE"""),"Become a Master at Conflict Management at Home or Work")</f>
        <v>Become a Master at Conflict Management at Home or Work</v>
      </c>
      <c r="N124" s="140" t="str">
        <f>IFERROR(__xludf.DUMMYFUNCTION("""COMPUTED_VALUE"""),"")</f>
        <v/>
      </c>
    </row>
    <row r="125">
      <c r="A125" s="143">
        <f>IFERROR(__xludf.DUMMYFUNCTION("""COMPUTED_VALUE"""),44225.0)</f>
        <v>44225</v>
      </c>
      <c r="B125">
        <f>IFERROR(__xludf.DUMMYFUNCTION("""COMPUTED_VALUE"""),616854.0)</f>
        <v>616854</v>
      </c>
      <c r="C125" t="str">
        <f>IFERROR(__xludf.DUMMYFUNCTION("""COMPUTED_VALUE"""),"en")</f>
        <v>en</v>
      </c>
      <c r="D125" t="str">
        <f>IFERROR(__xludf.DUMMYFUNCTION("""COMPUTED_VALUE"""),"The Ultimate Data Manipulation Course using SAS Programming")</f>
        <v>The Ultimate Data Manipulation Course using SAS Programming</v>
      </c>
      <c r="E125" t="str">
        <f>IFERROR(__xludf.DUMMYFUNCTION("""COMPUTED_VALUE"""),"The Ultimate Data Manipulation Course using SAS Programming")</f>
        <v>The Ultimate Data Manipulation Course using SAS Programming</v>
      </c>
      <c r="F125">
        <f>IFERROR(__xludf.DUMMYFUNCTION("""COMPUTED_VALUE"""),1.0082998E7)</f>
        <v>10082998</v>
      </c>
      <c r="G125" s="140" t="str">
        <f>IFERROR(__xludf.DUMMYFUNCTION("""COMPUTED_VALUE"""),"sharon cheng")</f>
        <v>sharon cheng</v>
      </c>
      <c r="H125" s="140" t="str">
        <f>IFERROR(__xludf.DUMMYFUNCTION("""COMPUTED_VALUE"""),"Saturated Topic")</f>
        <v>Saturated Topic</v>
      </c>
      <c r="I125" t="str">
        <f>IFERROR(__xludf.DUMMYFUNCTION("""COMPUTED_VALUE"""),"Data Science")</f>
        <v>Data Science</v>
      </c>
      <c r="J125" t="str">
        <f>IFERROR(__xludf.DUMMYFUNCTION("""COMPUTED_VALUE"""),"Analytics")</f>
        <v>Analytics</v>
      </c>
      <c r="K125">
        <f>IFERROR(__xludf.DUMMYFUNCTION("""COMPUTED_VALUE"""),943442.0)</f>
        <v>943442</v>
      </c>
      <c r="L125" s="140" t="str">
        <f>IFERROR(__xludf.DUMMYFUNCTION("""COMPUTED_VALUE"""),"SAS Programming Complete: Learn SAS and Become a Data Ninja")</f>
        <v>SAS Programming Complete: Learn SAS and Become a Data Ninja</v>
      </c>
      <c r="N125" s="140" t="str">
        <f>IFERROR(__xludf.DUMMYFUNCTION("""COMPUTED_VALUE"""),"")</f>
        <v/>
      </c>
    </row>
    <row r="126">
      <c r="A126" s="143">
        <f>IFERROR(__xludf.DUMMYFUNCTION("""COMPUTED_VALUE"""),44225.0)</f>
        <v>44225</v>
      </c>
      <c r="B126">
        <f>IFERROR(__xludf.DUMMYFUNCTION("""COMPUTED_VALUE"""),2267342.0)</f>
        <v>2267342</v>
      </c>
      <c r="C126" t="str">
        <f>IFERROR(__xludf.DUMMYFUNCTION("""COMPUTED_VALUE"""),"ja")</f>
        <v>ja</v>
      </c>
      <c r="D126" t="str">
        <f>IFERROR(__xludf.DUMMYFUNCTION("""COMPUTED_VALUE"""),"Spring 入門 ～ SpringBoot 2 を使ってお問い合わせアプリとToDoアプリを作る ～")</f>
        <v>Spring 入門 ～ SpringBoot 2 を使ってお問い合わせアプリとToDoアプリを作る ～</v>
      </c>
      <c r="E126" t="str">
        <f>IFERROR(__xludf.DUMMYFUNCTION("""COMPUTED_VALUE"""),"Introduction to Spring-Making an inquiry app and a TODO app using SpringBoot 2")</f>
        <v>Introduction to Spring-Making an inquiry app and a TODO app using SpringBoot 2</v>
      </c>
      <c r="F126">
        <f>IFERROR(__xludf.DUMMYFUNCTION("""COMPUTED_VALUE"""),6.7030432E7)</f>
        <v>67030432</v>
      </c>
      <c r="G126" s="140" t="str">
        <f>IFERROR(__xludf.DUMMYFUNCTION("""COMPUTED_VALUE"""),"Trainocate Lecturers")</f>
        <v>Trainocate Lecturers</v>
      </c>
      <c r="H126" s="140" t="str">
        <f>IFERROR(__xludf.DUMMYFUNCTION("""COMPUTED_VALUE"""),"Instructor Request- Outdated")</f>
        <v>Instructor Request- Outdated</v>
      </c>
      <c r="I126" t="str">
        <f>IFERROR(__xludf.DUMMYFUNCTION("""COMPUTED_VALUE"""),"Development")</f>
        <v>Development</v>
      </c>
      <c r="J126" t="str">
        <f>IFERROR(__xludf.DUMMYFUNCTION("""COMPUTED_VALUE"""),"Web Development")</f>
        <v>Web Development</v>
      </c>
      <c r="L126" s="140" t="str">
        <f>IFERROR(__xludf.DUMMYFUNCTION("""COMPUTED_VALUE"""),"")</f>
        <v/>
      </c>
      <c r="N126" s="140" t="str">
        <f>IFERROR(__xludf.DUMMYFUNCTION("""COMPUTED_VALUE"""),"")</f>
        <v/>
      </c>
    </row>
    <row r="127">
      <c r="A127" s="143">
        <f>IFERROR(__xludf.DUMMYFUNCTION("""COMPUTED_VALUE"""),44225.0)</f>
        <v>44225</v>
      </c>
      <c r="B127">
        <f>IFERROR(__xludf.DUMMYFUNCTION("""COMPUTED_VALUE"""),841552.0)</f>
        <v>841552</v>
      </c>
      <c r="C127" t="str">
        <f>IFERROR(__xludf.DUMMYFUNCTION("""COMPUTED_VALUE"""),"en")</f>
        <v>en</v>
      </c>
      <c r="D127" t="str">
        <f>IFERROR(__xludf.DUMMYFUNCTION("""COMPUTED_VALUE"""),"Master the 5 Key Elements of Story")</f>
        <v>Master the 5 Key Elements of Story</v>
      </c>
      <c r="E127" t="str">
        <f>IFERROR(__xludf.DUMMYFUNCTION("""COMPUTED_VALUE"""),"Master the 5 Key Elements of Story")</f>
        <v>Master the 5 Key Elements of Story</v>
      </c>
      <c r="F127">
        <f>IFERROR(__xludf.DUMMYFUNCTION("""COMPUTED_VALUE"""),1.9410252E7)</f>
        <v>19410252</v>
      </c>
      <c r="G127" s="140" t="str">
        <f>IFERROR(__xludf.DUMMYFUNCTION("""COMPUTED_VALUE"""),"TD Storm")</f>
        <v>TD Storm</v>
      </c>
      <c r="H127" s="140" t="str">
        <f>IFERROR(__xludf.DUMMYFUNCTION("""COMPUTED_VALUE"""),"Saturated Topic")</f>
        <v>Saturated Topic</v>
      </c>
      <c r="I127" t="str">
        <f>IFERROR(__xludf.DUMMYFUNCTION("""COMPUTED_VALUE"""),"Leadership &amp; Management")</f>
        <v>Leadership &amp; Management</v>
      </c>
      <c r="J127" t="str">
        <f>IFERROR(__xludf.DUMMYFUNCTION("""COMPUTED_VALUE"""),"Communication")</f>
        <v>Communication</v>
      </c>
      <c r="K127">
        <f>IFERROR(__xludf.DUMMYFUNCTION("""COMPUTED_VALUE"""),941752.0)</f>
        <v>941752</v>
      </c>
      <c r="L127" s="140" t="str">
        <f>IFERROR(__xludf.DUMMYFUNCTION("""COMPUTED_VALUE"""),"Storytelling to Influence")</f>
        <v>Storytelling to Influence</v>
      </c>
      <c r="M127" s="140">
        <f>IFERROR(__xludf.DUMMYFUNCTION("""COMPUTED_VALUE"""),1758098.0)</f>
        <v>1758098</v>
      </c>
      <c r="N127" s="140" t="str">
        <f>IFERROR(__xludf.DUMMYFUNCTION("""COMPUTED_VALUE"""),"How to tell a story with data")</f>
        <v>How to tell a story with data</v>
      </c>
    </row>
    <row r="128">
      <c r="A128" s="143">
        <f>IFERROR(__xludf.DUMMYFUNCTION("""COMPUTED_VALUE"""),44225.0)</f>
        <v>44225</v>
      </c>
      <c r="B128">
        <f>IFERROR(__xludf.DUMMYFUNCTION("""COMPUTED_VALUE"""),1537362.0)</f>
        <v>1537362</v>
      </c>
      <c r="C128" t="str">
        <f>IFERROR(__xludf.DUMMYFUNCTION("""COMPUTED_VALUE"""),"en")</f>
        <v>en</v>
      </c>
      <c r="D128" t="str">
        <f>IFERROR(__xludf.DUMMYFUNCTION("""COMPUTED_VALUE"""),"Practical Deep Learning with Keras and Python")</f>
        <v>Practical Deep Learning with Keras and Python</v>
      </c>
      <c r="E128" t="str">
        <f>IFERROR(__xludf.DUMMYFUNCTION("""COMPUTED_VALUE"""),"Practical Deep Learning with Keras and Python")</f>
        <v>Practical Deep Learning with Keras and Python</v>
      </c>
      <c r="F128">
        <f>IFERROR(__xludf.DUMMYFUNCTION("""COMPUTED_VALUE"""),3.8022828E7)</f>
        <v>38022828</v>
      </c>
      <c r="G128" s="140" t="str">
        <f>IFERROR(__xludf.DUMMYFUNCTION("""COMPUTED_VALUE"""),"Mohammad Nauman")</f>
        <v>Mohammad Nauman</v>
      </c>
      <c r="H128" s="140" t="str">
        <f>IFERROR(__xludf.DUMMYFUNCTION("""COMPUTED_VALUE"""),"Instructor Request- Opted Out")</f>
        <v>Instructor Request- Opted Out</v>
      </c>
      <c r="I128" t="str">
        <f>IFERROR(__xludf.DUMMYFUNCTION("""COMPUTED_VALUE"""),"Data Science")</f>
        <v>Data Science</v>
      </c>
      <c r="J128" t="str">
        <f>IFERROR(__xludf.DUMMYFUNCTION("""COMPUTED_VALUE"""),"Machine Learning")</f>
        <v>Machine Learning</v>
      </c>
      <c r="K128">
        <f>IFERROR(__xludf.DUMMYFUNCTION("""COMPUTED_VALUE"""),1140660.0)</f>
        <v>1140660</v>
      </c>
      <c r="L128" s="140" t="str">
        <f>IFERROR(__xludf.DUMMYFUNCTION("""COMPUTED_VALUE"""),"Deep Learning with Python and Keras")</f>
        <v>Deep Learning with Python and Keras</v>
      </c>
      <c r="N128" s="140" t="str">
        <f>IFERROR(__xludf.DUMMYFUNCTION("""COMPUTED_VALUE"""),"")</f>
        <v/>
      </c>
    </row>
    <row r="129">
      <c r="A129" s="143">
        <f>IFERROR(__xludf.DUMMYFUNCTION("""COMPUTED_VALUE"""),44225.0)</f>
        <v>44225</v>
      </c>
      <c r="B129">
        <f>IFERROR(__xludf.DUMMYFUNCTION("""COMPUTED_VALUE"""),2611196.0)</f>
        <v>2611196</v>
      </c>
      <c r="C129" t="str">
        <f>IFERROR(__xludf.DUMMYFUNCTION("""COMPUTED_VALUE"""),"ja")</f>
        <v>ja</v>
      </c>
      <c r="D129" t="str">
        <f>IFERROR(__xludf.DUMMYFUNCTION("""COMPUTED_VALUE"""),"JavaScriptの動作を論理的に解説！JavaScript中級者への道")</f>
        <v>JavaScriptの動作を論理的に解説！JavaScript中級者への道</v>
      </c>
      <c r="E129" t="str">
        <f>IFERROR(__xludf.DUMMYFUNCTION("""COMPUTED_VALUE"""),"Logically explain JavaScript behavior! Road to JavaScript Intermediate")</f>
        <v>Logically explain JavaScript behavior! Road to JavaScript Intermediate</v>
      </c>
      <c r="F129">
        <f>IFERROR(__xludf.DUMMYFUNCTION("""COMPUTED_VALUE"""),7.4759008E7)</f>
        <v>74759008</v>
      </c>
      <c r="G129" s="140" t="str">
        <f>IFERROR(__xludf.DUMMYFUNCTION("""COMPUTED_VALUE"""),"【Code Mafia】 WEBプログラミング学習")</f>
        <v>【Code Mafia】 WEBプログラミング学習</v>
      </c>
      <c r="H129" s="140" t="str">
        <f>IFERROR(__xludf.DUMMYFUNCTION("""COMPUTED_VALUE"""),"Instructor Request- Outdated")</f>
        <v>Instructor Request- Outdated</v>
      </c>
      <c r="I129" t="str">
        <f>IFERROR(__xludf.DUMMYFUNCTION("""COMPUTED_VALUE"""),"Development")</f>
        <v>Development</v>
      </c>
      <c r="J129" t="str">
        <f>IFERROR(__xludf.DUMMYFUNCTION("""COMPUTED_VALUE"""),"Web Development")</f>
        <v>Web Development</v>
      </c>
      <c r="K129">
        <f>IFERROR(__xludf.DUMMYFUNCTION("""COMPUTED_VALUE"""),2790296.0)</f>
        <v>2790296</v>
      </c>
      <c r="L129" s="140" t="str">
        <f>IFERROR(__xludf.DUMMYFUNCTION("""COMPUTED_VALUE"""),"【JS】ガチで学びたい人のためのJavaScriptメカニズム")</f>
        <v>【JS】ガチで学びたい人のためのJavaScriptメカニズム</v>
      </c>
      <c r="N129" s="140" t="str">
        <f>IFERROR(__xludf.DUMMYFUNCTION("""COMPUTED_VALUE"""),"")</f>
        <v/>
      </c>
    </row>
    <row r="130">
      <c r="A130" s="143">
        <f>IFERROR(__xludf.DUMMYFUNCTION("""COMPUTED_VALUE"""),44225.0)</f>
        <v>44225</v>
      </c>
      <c r="B130">
        <f>IFERROR(__xludf.DUMMYFUNCTION("""COMPUTED_VALUE"""),554622.0)</f>
        <v>554622</v>
      </c>
      <c r="C130" t="str">
        <f>IFERROR(__xludf.DUMMYFUNCTION("""COMPUTED_VALUE"""),"en")</f>
        <v>en</v>
      </c>
      <c r="D130" t="str">
        <f>IFERROR(__xludf.DUMMYFUNCTION("""COMPUTED_VALUE"""),"The Business Building Email Formula to Launch Your Startup")</f>
        <v>The Business Building Email Formula to Launch Your Startup</v>
      </c>
      <c r="E130" t="str">
        <f>IFERROR(__xludf.DUMMYFUNCTION("""COMPUTED_VALUE"""),"The Business Building Email Formula to Launch Your Startup")</f>
        <v>The Business Building Email Formula to Launch Your Startup</v>
      </c>
      <c r="F130">
        <f>IFERROR(__xludf.DUMMYFUNCTION("""COMPUTED_VALUE"""),1975998.0)</f>
        <v>1975998</v>
      </c>
      <c r="G130" s="140" t="str">
        <f>IFERROR(__xludf.DUMMYFUNCTION("""COMPUTED_VALUE"""),"Bob Marx")</f>
        <v>Bob Marx</v>
      </c>
      <c r="H130" s="140" t="str">
        <f>IFERROR(__xludf.DUMMYFUNCTION("""COMPUTED_VALUE"""),"Saturated Topic")</f>
        <v>Saturated Topic</v>
      </c>
      <c r="I130" t="str">
        <f>IFERROR(__xludf.DUMMYFUNCTION("""COMPUTED_VALUE"""),"Personal Development")</f>
        <v>Personal Development</v>
      </c>
      <c r="J130" t="str">
        <f>IFERROR(__xludf.DUMMYFUNCTION("""COMPUTED_VALUE"""),"Entrepreneurship")</f>
        <v>Entrepreneurship</v>
      </c>
      <c r="K130">
        <f>IFERROR(__xludf.DUMMYFUNCTION("""COMPUTED_VALUE"""),1667390.0)</f>
        <v>1667390</v>
      </c>
      <c r="L130" s="140" t="str">
        <f>IFERROR(__xludf.DUMMYFUNCTION("""COMPUTED_VALUE"""),"Content Marketing Masterclass: Create Content That Sells")</f>
        <v>Content Marketing Masterclass: Create Content That Sells</v>
      </c>
      <c r="N130" s="140" t="str">
        <f>IFERROR(__xludf.DUMMYFUNCTION("""COMPUTED_VALUE"""),"")</f>
        <v/>
      </c>
    </row>
    <row r="131">
      <c r="A131" s="143">
        <f>IFERROR(__xludf.DUMMYFUNCTION("""COMPUTED_VALUE"""),44225.0)</f>
        <v>44225</v>
      </c>
      <c r="B131">
        <f>IFERROR(__xludf.DUMMYFUNCTION("""COMPUTED_VALUE"""),1595154.0)</f>
        <v>1595154</v>
      </c>
      <c r="C131" t="str">
        <f>IFERROR(__xludf.DUMMYFUNCTION("""COMPUTED_VALUE"""),"es")</f>
        <v>es</v>
      </c>
      <c r="D131" t="str">
        <f>IFERROR(__xludf.DUMMYFUNCTION("""COMPUTED_VALUE"""),"Desarrolla una plataforma de cursos Online con Laravel 5.6")</f>
        <v>Desarrolla una plataforma de cursos Online con Laravel 5.6</v>
      </c>
      <c r="E131" t="str">
        <f>IFERROR(__xludf.DUMMYFUNCTION("""COMPUTED_VALUE"""),"Develops an online course platform with LaraVel 5.6")</f>
        <v>Develops an online course platform with LaraVel 5.6</v>
      </c>
      <c r="F131">
        <f>IFERROR(__xludf.DUMMYFUNCTION("""COMPUTED_VALUE"""),4.3397596E7)</f>
        <v>43397596</v>
      </c>
      <c r="G131" s="140" t="str">
        <f>IFERROR(__xludf.DUMMYFUNCTION("""COMPUTED_VALUE"""),"Israel Parra")</f>
        <v>Israel Parra</v>
      </c>
      <c r="H131" s="140" t="str">
        <f>IFERROR(__xludf.DUMMYFUNCTION("""COMPUTED_VALUE"""),"Instructor Request- Outdated")</f>
        <v>Instructor Request- Outdated</v>
      </c>
      <c r="I131" t="str">
        <f>IFERROR(__xludf.DUMMYFUNCTION("""COMPUTED_VALUE"""),"Development")</f>
        <v>Development</v>
      </c>
      <c r="J131" t="str">
        <f>IFERROR(__xludf.DUMMYFUNCTION("""COMPUTED_VALUE"""),"Web Development")</f>
        <v>Web Development</v>
      </c>
      <c r="K131">
        <f>IFERROR(__xludf.DUMMYFUNCTION("""COMPUTED_VALUE"""),1504576.0)</f>
        <v>1504576</v>
      </c>
      <c r="L131" s="140" t="str">
        <f>IFERROR(__xludf.DUMMYFUNCTION("""COMPUTED_VALUE"""),"Desarrollo web en PHP con Laravel 5.6, VueJS y MariaDB Mysql")</f>
        <v>Desarrollo web en PHP con Laravel 5.6, VueJS y MariaDB Mysql</v>
      </c>
      <c r="N131" s="140" t="str">
        <f>IFERROR(__xludf.DUMMYFUNCTION("""COMPUTED_VALUE"""),"")</f>
        <v/>
      </c>
    </row>
    <row r="132">
      <c r="A132" s="143">
        <f>IFERROR(__xludf.DUMMYFUNCTION("""COMPUTED_VALUE"""),44225.0)</f>
        <v>44225</v>
      </c>
      <c r="B132">
        <f>IFERROR(__xludf.DUMMYFUNCTION("""COMPUTED_VALUE"""),1976564.0)</f>
        <v>1976564</v>
      </c>
      <c r="C132" t="str">
        <f>IFERROR(__xludf.DUMMYFUNCTION("""COMPUTED_VALUE"""),"en")</f>
        <v>en</v>
      </c>
      <c r="D132" t="str">
        <f>IFERROR(__xludf.DUMMYFUNCTION("""COMPUTED_VALUE"""),"Elixir and Phoenix: Real World Functional Programming")</f>
        <v>Elixir and Phoenix: Real World Functional Programming</v>
      </c>
      <c r="E132" t="str">
        <f>IFERROR(__xludf.DUMMYFUNCTION("""COMPUTED_VALUE"""),"Elixir and Phoenix: Real World Functional Programming")</f>
        <v>Elixir and Phoenix: Real World Functional Programming</v>
      </c>
      <c r="F132">
        <f>IFERROR(__xludf.DUMMYFUNCTION("""COMPUTED_VALUE"""),3.8022828E7)</f>
        <v>38022828</v>
      </c>
      <c r="G132" s="140" t="str">
        <f>IFERROR(__xludf.DUMMYFUNCTION("""COMPUTED_VALUE"""),"Mohammad Nauman")</f>
        <v>Mohammad Nauman</v>
      </c>
      <c r="H132" s="140" t="str">
        <f>IFERROR(__xludf.DUMMYFUNCTION("""COMPUTED_VALUE"""),"Instructor Request- Opted Out")</f>
        <v>Instructor Request- Opted Out</v>
      </c>
      <c r="I132" t="str">
        <f>IFERROR(__xludf.DUMMYFUNCTION("""COMPUTED_VALUE"""),"Development")</f>
        <v>Development</v>
      </c>
      <c r="J132" t="str">
        <f>IFERROR(__xludf.DUMMYFUNCTION("""COMPUTED_VALUE"""),"Programming Languages")</f>
        <v>Programming Languages</v>
      </c>
      <c r="K132">
        <f>IFERROR(__xludf.DUMMYFUNCTION("""COMPUTED_VALUE"""),904462.0)</f>
        <v>904462</v>
      </c>
      <c r="L132" s="140" t="str">
        <f>IFERROR(__xludf.DUMMYFUNCTION("""COMPUTED_VALUE"""),"The Complete Elixir and Phoenix Bootcamp")</f>
        <v>The Complete Elixir and Phoenix Bootcamp</v>
      </c>
      <c r="N132" s="140" t="str">
        <f>IFERROR(__xludf.DUMMYFUNCTION("""COMPUTED_VALUE"""),"")</f>
        <v/>
      </c>
    </row>
    <row r="133">
      <c r="A133" s="143">
        <f>IFERROR(__xludf.DUMMYFUNCTION("""COMPUTED_VALUE"""),44225.0)</f>
        <v>44225</v>
      </c>
      <c r="B133">
        <f>IFERROR(__xludf.DUMMYFUNCTION("""COMPUTED_VALUE"""),678150.0)</f>
        <v>678150</v>
      </c>
      <c r="C133" t="str">
        <f>IFERROR(__xludf.DUMMYFUNCTION("""COMPUTED_VALUE"""),"en")</f>
        <v>en</v>
      </c>
      <c r="D133" t="str">
        <f>IFERROR(__xludf.DUMMYFUNCTION("""COMPUTED_VALUE"""),"Laravel Homestead")</f>
        <v>Laravel Homestead</v>
      </c>
      <c r="E133" t="str">
        <f>IFERROR(__xludf.DUMMYFUNCTION("""COMPUTED_VALUE"""),"Laravel Homestead")</f>
        <v>Laravel Homestead</v>
      </c>
      <c r="F133">
        <f>IFERROR(__xludf.DUMMYFUNCTION("""COMPUTED_VALUE"""),6772884.0)</f>
        <v>6772884</v>
      </c>
      <c r="G133" s="140" t="str">
        <f>IFERROR(__xludf.DUMMYFUNCTION("""COMPUTED_VALUE"""),"Edwin Diaz")</f>
        <v>Edwin Diaz</v>
      </c>
      <c r="H133" s="140" t="str">
        <f>IFERROR(__xludf.DUMMYFUNCTION("""COMPUTED_VALUE"""),"Saturated Topic")</f>
        <v>Saturated Topic</v>
      </c>
      <c r="I133" t="str">
        <f>IFERROR(__xludf.DUMMYFUNCTION("""COMPUTED_VALUE"""),"Development")</f>
        <v>Development</v>
      </c>
      <c r="J133" t="str">
        <f>IFERROR(__xludf.DUMMYFUNCTION("""COMPUTED_VALUE"""),"Web Development")</f>
        <v>Web Development</v>
      </c>
      <c r="K133">
        <f>IFERROR(__xludf.DUMMYFUNCTION("""COMPUTED_VALUE"""),758582.0)</f>
        <v>758582</v>
      </c>
      <c r="L133" s="140" t="str">
        <f>IFERROR(__xludf.DUMMYFUNCTION("""COMPUTED_VALUE"""),"PHP with Laravel for beginners - Become a Master in Laravel")</f>
        <v>PHP with Laravel for beginners - Become a Master in Laravel</v>
      </c>
      <c r="N133" s="140" t="str">
        <f>IFERROR(__xludf.DUMMYFUNCTION("""COMPUTED_VALUE"""),"")</f>
        <v/>
      </c>
      <c r="O133" s="140" t="str">
        <f>IFERROR(__xludf.DUMMYFUNCTION("""COMPUTED_VALUE"""),"No Alternatives in Collection 9/16/2020")</f>
        <v>No Alternatives in Collection 9/16/2020</v>
      </c>
    </row>
    <row r="134">
      <c r="A134" s="143">
        <f>IFERROR(__xludf.DUMMYFUNCTION("""COMPUTED_VALUE"""),44225.0)</f>
        <v>44225</v>
      </c>
      <c r="B134">
        <f>IFERROR(__xludf.DUMMYFUNCTION("""COMPUTED_VALUE"""),1094250.0)</f>
        <v>1094250</v>
      </c>
      <c r="C134" t="str">
        <f>IFERROR(__xludf.DUMMYFUNCTION("""COMPUTED_VALUE"""),"en")</f>
        <v>en</v>
      </c>
      <c r="D134" t="str">
        <f>IFERROR(__xludf.DUMMYFUNCTION("""COMPUTED_VALUE"""),"Restoring Deep Sleep to Enhance your Health")</f>
        <v>Restoring Deep Sleep to Enhance your Health</v>
      </c>
      <c r="E134" t="str">
        <f>IFERROR(__xludf.DUMMYFUNCTION("""COMPUTED_VALUE"""),"Restoring Deep Sleep to Enhance your Health")</f>
        <v>Restoring Deep Sleep to Enhance your Health</v>
      </c>
      <c r="F134">
        <f>IFERROR(__xludf.DUMMYFUNCTION("""COMPUTED_VALUE"""),2.9211524E7)</f>
        <v>29211524</v>
      </c>
      <c r="G134" s="140" t="str">
        <f>IFERROR(__xludf.DUMMYFUNCTION("""COMPUTED_VALUE"""),"Dr. John Bergman D.C.")</f>
        <v>Dr. John Bergman D.C.</v>
      </c>
      <c r="H134" s="140" t="str">
        <f>IFERROR(__xludf.DUMMYFUNCTION("""COMPUTED_VALUE"""),"Instructor Practices")</f>
        <v>Instructor Practices</v>
      </c>
      <c r="I134" t="str">
        <f>IFERROR(__xludf.DUMMYFUNCTION("""COMPUTED_VALUE"""),"Personal Development")</f>
        <v>Personal Development</v>
      </c>
      <c r="J134" t="str">
        <f>IFERROR(__xludf.DUMMYFUNCTION("""COMPUTED_VALUE"""),"Health &amp; Fitness")</f>
        <v>Health &amp; Fitness</v>
      </c>
      <c r="K134">
        <f>IFERROR(__xludf.DUMMYFUNCTION("""COMPUTED_VALUE"""),2343632.0)</f>
        <v>2343632</v>
      </c>
      <c r="L134" s="140" t="str">
        <f>IFERROR(__xludf.DUMMYFUNCTION("""COMPUTED_VALUE"""),"Mindfulness for Anxiety and Sleep - with Tara Brach")</f>
        <v>Mindfulness for Anxiety and Sleep - with Tara Brach</v>
      </c>
      <c r="M134" s="140">
        <f>IFERROR(__xludf.DUMMYFUNCTION("""COMPUTED_VALUE"""),329346.0)</f>
        <v>329346</v>
      </c>
      <c r="N134" s="140" t="str">
        <f>IFERROR(__xludf.DUMMYFUNCTION("""COMPUTED_VALUE"""),"YOGA FOR INSOMNIA: 7 DAYS TO SLEEP LIKE A DREAM!")</f>
        <v>YOGA FOR INSOMNIA: 7 DAYS TO SLEEP LIKE A DREAM!</v>
      </c>
      <c r="O134" s="140" t="str">
        <f>IFERROR(__xludf.DUMMYFUNCTION("""COMPUTED_VALUE"""),"Too many customer complaints")</f>
        <v>Too many customer complaints</v>
      </c>
    </row>
    <row r="135">
      <c r="A135" s="143">
        <f>IFERROR(__xludf.DUMMYFUNCTION("""COMPUTED_VALUE"""),44225.0)</f>
        <v>44225</v>
      </c>
      <c r="B135">
        <f>IFERROR(__xludf.DUMMYFUNCTION("""COMPUTED_VALUE"""),1181236.0)</f>
        <v>1181236</v>
      </c>
      <c r="C135" t="str">
        <f>IFERROR(__xludf.DUMMYFUNCTION("""COMPUTED_VALUE"""),"en")</f>
        <v>en</v>
      </c>
      <c r="D135" t="str">
        <f>IFERROR(__xludf.DUMMYFUNCTION("""COMPUTED_VALUE"""),"RF Basic Concepts &amp; Components Radio Frequency- Entry Level")</f>
        <v>RF Basic Concepts &amp; Components Radio Frequency- Entry Level</v>
      </c>
      <c r="E135" t="str">
        <f>IFERROR(__xludf.DUMMYFUNCTION("""COMPUTED_VALUE"""),"RF Basic Concepts &amp; Components Radio Frequency- Entry Level")</f>
        <v>RF Basic Concepts &amp; Components Radio Frequency- Entry Level</v>
      </c>
      <c r="F135">
        <f>IFERROR(__xludf.DUMMYFUNCTION("""COMPUTED_VALUE"""),3.12441E7)</f>
        <v>31244100</v>
      </c>
      <c r="G135" s="140" t="str">
        <f>IFERROR(__xludf.DUMMYFUNCTION("""COMPUTED_VALUE"""),"Rahsoft RF Certificate - Orange County, California")</f>
        <v>Rahsoft RF Certificate - Orange County, California</v>
      </c>
      <c r="H135" s="140" t="str">
        <f>IFERROR(__xludf.DUMMYFUNCTION("""COMPUTED_VALUE"""),"Instructor Request- Opted Out")</f>
        <v>Instructor Request- Opted Out</v>
      </c>
      <c r="I135" t="str">
        <f>IFERROR(__xludf.DUMMYFUNCTION("""COMPUTED_VALUE"""),"Development")</f>
        <v>Development</v>
      </c>
      <c r="J135" t="str">
        <f>IFERROR(__xludf.DUMMYFUNCTION("""COMPUTED_VALUE"""),"Development Tools")</f>
        <v>Development Tools</v>
      </c>
      <c r="L135" s="140" t="str">
        <f>IFERROR(__xludf.DUMMYFUNCTION("""COMPUTED_VALUE"""),"")</f>
        <v/>
      </c>
      <c r="N135" s="140" t="str">
        <f>IFERROR(__xludf.DUMMYFUNCTION("""COMPUTED_VALUE"""),"")</f>
        <v/>
      </c>
      <c r="O135" s="140" t="str">
        <f>IFERROR(__xludf.DUMMYFUNCTION("""COMPUTED_VALUE"""),"No Alternatives in Collection- 9/20/2020")</f>
        <v>No Alternatives in Collection- 9/20/2020</v>
      </c>
    </row>
    <row r="136">
      <c r="A136" s="143">
        <f>IFERROR(__xludf.DUMMYFUNCTION("""COMPUTED_VALUE"""),44225.0)</f>
        <v>44225</v>
      </c>
      <c r="B136">
        <f>IFERROR(__xludf.DUMMYFUNCTION("""COMPUTED_VALUE"""),1335118.0)</f>
        <v>1335118</v>
      </c>
      <c r="C136" t="str">
        <f>IFERROR(__xludf.DUMMYFUNCTION("""COMPUTED_VALUE"""),"en")</f>
        <v>en</v>
      </c>
      <c r="D136" t="str">
        <f>IFERROR(__xludf.DUMMYFUNCTION("""COMPUTED_VALUE"""),"Learn Federal Government Contracting From An Expert")</f>
        <v>Learn Federal Government Contracting From An Expert</v>
      </c>
      <c r="E136" t="str">
        <f>IFERROR(__xludf.DUMMYFUNCTION("""COMPUTED_VALUE"""),"Learn Federal Government Contracting From An Expert")</f>
        <v>Learn Federal Government Contracting From An Expert</v>
      </c>
      <c r="F136">
        <f>IFERROR(__xludf.DUMMYFUNCTION("""COMPUTED_VALUE"""),3.4649424E7)</f>
        <v>34649424</v>
      </c>
      <c r="G136" s="140" t="str">
        <f>IFERROR(__xludf.DUMMYFUNCTION("""COMPUTED_VALUE"""),"Keith Larson")</f>
        <v>Keith Larson</v>
      </c>
      <c r="H136" s="140" t="str">
        <f>IFERROR(__xludf.DUMMYFUNCTION("""COMPUTED_VALUE"""),"Instructor Request- Opted Out")</f>
        <v>Instructor Request- Opted Out</v>
      </c>
      <c r="I136" t="str">
        <f>IFERROR(__xludf.DUMMYFUNCTION("""COMPUTED_VALUE"""),"Project Management &amp; Operations")</f>
        <v>Project Management &amp; Operations</v>
      </c>
      <c r="J136" t="str">
        <f>IFERROR(__xludf.DUMMYFUNCTION("""COMPUTED_VALUE"""),"Operations Management")</f>
        <v>Operations Management</v>
      </c>
      <c r="L136" s="140" t="str">
        <f>IFERROR(__xludf.DUMMYFUNCTION("""COMPUTED_VALUE"""),"")</f>
        <v/>
      </c>
      <c r="N136" s="140" t="str">
        <f>IFERROR(__xludf.DUMMYFUNCTION("""COMPUTED_VALUE"""),"")</f>
        <v/>
      </c>
      <c r="O136" s="140" t="str">
        <f>IFERROR(__xludf.DUMMYFUNCTION("""COMPUTED_VALUE"""),"No Alternatives in Collection- 1/24/2021")</f>
        <v>No Alternatives in Collection- 1/24/2021</v>
      </c>
    </row>
    <row r="137">
      <c r="A137" s="143">
        <f>IFERROR(__xludf.DUMMYFUNCTION("""COMPUTED_VALUE"""),44225.0)</f>
        <v>44225</v>
      </c>
      <c r="B137">
        <f>IFERROR(__xludf.DUMMYFUNCTION("""COMPUTED_VALUE"""),2453130.0)</f>
        <v>2453130</v>
      </c>
      <c r="C137" t="str">
        <f>IFERROR(__xludf.DUMMYFUNCTION("""COMPUTED_VALUE"""),"en")</f>
        <v>en</v>
      </c>
      <c r="D137" t="str">
        <f>IFERROR(__xludf.DUMMYFUNCTION("""COMPUTED_VALUE"""),"Feedback: Employee Engagement Certificate - New Leaders")</f>
        <v>Feedback: Employee Engagement Certificate - New Leaders</v>
      </c>
      <c r="E137" t="str">
        <f>IFERROR(__xludf.DUMMYFUNCTION("""COMPUTED_VALUE"""),"Feedback: Employee Engagement Certificate - New Leaders")</f>
        <v>Feedback: Employee Engagement Certificate - New Leaders</v>
      </c>
      <c r="F137">
        <f>IFERROR(__xludf.DUMMYFUNCTION("""COMPUTED_VALUE"""),2061462.0)</f>
        <v>2061462</v>
      </c>
      <c r="G137" s="140" t="str">
        <f>IFERROR(__xludf.DUMMYFUNCTION("""COMPUTED_VALUE"""),"Patrick Howell")</f>
        <v>Patrick Howell</v>
      </c>
      <c r="H137" s="140" t="str">
        <f>IFERROR(__xludf.DUMMYFUNCTION("""COMPUTED_VALUE"""),"Saturated Topic")</f>
        <v>Saturated Topic</v>
      </c>
      <c r="I137" t="str">
        <f>IFERROR(__xludf.DUMMYFUNCTION("""COMPUTED_VALUE"""),"Leadership &amp; Management")</f>
        <v>Leadership &amp; Management</v>
      </c>
      <c r="J137" t="str">
        <f>IFERROR(__xludf.DUMMYFUNCTION("""COMPUTED_VALUE"""),"Communication")</f>
        <v>Communication</v>
      </c>
      <c r="K137">
        <f>IFERROR(__xludf.DUMMYFUNCTION("""COMPUTED_VALUE"""),1333184.0)</f>
        <v>1333184</v>
      </c>
      <c r="L137" s="140" t="str">
        <f>IFERROR(__xludf.DUMMYFUNCTION("""COMPUTED_VALUE"""),"Giving and Receiving Feedback for Management and Leadership")</f>
        <v>Giving and Receiving Feedback for Management and Leadership</v>
      </c>
      <c r="N137" s="140" t="str">
        <f>IFERROR(__xludf.DUMMYFUNCTION("""COMPUTED_VALUE"""),"")</f>
        <v/>
      </c>
    </row>
    <row r="138">
      <c r="A138" s="143">
        <f>IFERROR(__xludf.DUMMYFUNCTION("""COMPUTED_VALUE"""),44225.0)</f>
        <v>44225</v>
      </c>
      <c r="B138">
        <f>IFERROR(__xludf.DUMMYFUNCTION("""COMPUTED_VALUE"""),1361324.0)</f>
        <v>1361324</v>
      </c>
      <c r="C138" t="str">
        <f>IFERROR(__xludf.DUMMYFUNCTION("""COMPUTED_VALUE"""),"en")</f>
        <v>en</v>
      </c>
      <c r="D138" t="str">
        <f>IFERROR(__xludf.DUMMYFUNCTION("""COMPUTED_VALUE"""),"RF Design Architecture of Receiver Transmitter &amp; Transceiver")</f>
        <v>RF Design Architecture of Receiver Transmitter &amp; Transceiver</v>
      </c>
      <c r="E138" t="str">
        <f>IFERROR(__xludf.DUMMYFUNCTION("""COMPUTED_VALUE"""),"RF Design Architecture of Receiver Transmitter &amp; Transceiver")</f>
        <v>RF Design Architecture of Receiver Transmitter &amp; Transceiver</v>
      </c>
      <c r="F138">
        <f>IFERROR(__xludf.DUMMYFUNCTION("""COMPUTED_VALUE"""),3.12441E7)</f>
        <v>31244100</v>
      </c>
      <c r="G138" s="140" t="str">
        <f>IFERROR(__xludf.DUMMYFUNCTION("""COMPUTED_VALUE"""),"Rahsoft RF Certificate - Orange County, California")</f>
        <v>Rahsoft RF Certificate - Orange County, California</v>
      </c>
      <c r="H138" s="140" t="str">
        <f>IFERROR(__xludf.DUMMYFUNCTION("""COMPUTED_VALUE"""),"Instructor Request- Opted Out")</f>
        <v>Instructor Request- Opted Out</v>
      </c>
      <c r="I138" t="str">
        <f>IFERROR(__xludf.DUMMYFUNCTION("""COMPUTED_VALUE"""),"Development")</f>
        <v>Development</v>
      </c>
      <c r="J138" t="str">
        <f>IFERROR(__xludf.DUMMYFUNCTION("""COMPUTED_VALUE"""),"Development Tools")</f>
        <v>Development Tools</v>
      </c>
      <c r="L138" s="140" t="str">
        <f>IFERROR(__xludf.DUMMYFUNCTION("""COMPUTED_VALUE"""),"")</f>
        <v/>
      </c>
      <c r="N138" s="140" t="str">
        <f>IFERROR(__xludf.DUMMYFUNCTION("""COMPUTED_VALUE"""),"")</f>
        <v/>
      </c>
      <c r="O138" s="140" t="str">
        <f>IFERROR(__xludf.DUMMYFUNCTION("""COMPUTED_VALUE"""),"No Alternatives in Collection- 9/20/2020")</f>
        <v>No Alternatives in Collection- 9/20/2020</v>
      </c>
    </row>
    <row r="139">
      <c r="A139" s="143">
        <f>IFERROR(__xludf.DUMMYFUNCTION("""COMPUTED_VALUE"""),44225.0)</f>
        <v>44225</v>
      </c>
      <c r="B139">
        <f>IFERROR(__xludf.DUMMYFUNCTION("""COMPUTED_VALUE"""),1529174.0)</f>
        <v>1529174</v>
      </c>
      <c r="C139" t="str">
        <f>IFERROR(__xludf.DUMMYFUNCTION("""COMPUTED_VALUE"""),"en")</f>
        <v>en</v>
      </c>
      <c r="D139" t="str">
        <f>IFERROR(__xludf.DUMMYFUNCTION("""COMPUTED_VALUE"""),"Modulation in Communication System for RF Engineers RAHRF152")</f>
        <v>Modulation in Communication System for RF Engineers RAHRF152</v>
      </c>
      <c r="E139" t="str">
        <f>IFERROR(__xludf.DUMMYFUNCTION("""COMPUTED_VALUE"""),"Modulation in Communication System for RF Engineers RAHRF152")</f>
        <v>Modulation in Communication System for RF Engineers RAHRF152</v>
      </c>
      <c r="F139">
        <f>IFERROR(__xludf.DUMMYFUNCTION("""COMPUTED_VALUE"""),3.12441E7)</f>
        <v>31244100</v>
      </c>
      <c r="G139" s="140" t="str">
        <f>IFERROR(__xludf.DUMMYFUNCTION("""COMPUTED_VALUE"""),"Rahsoft RF Certificate - Orange County, California")</f>
        <v>Rahsoft RF Certificate - Orange County, California</v>
      </c>
      <c r="H139" s="140" t="str">
        <f>IFERROR(__xludf.DUMMYFUNCTION("""COMPUTED_VALUE"""),"Instructor Request- Opted Out")</f>
        <v>Instructor Request- Opted Out</v>
      </c>
      <c r="I139" t="str">
        <f>IFERROR(__xludf.DUMMYFUNCTION("""COMPUTED_VALUE"""),"Development")</f>
        <v>Development</v>
      </c>
      <c r="J139" t="str">
        <f>IFERROR(__xludf.DUMMYFUNCTION("""COMPUTED_VALUE"""),"Development Tools")</f>
        <v>Development Tools</v>
      </c>
      <c r="L139" s="140" t="str">
        <f>IFERROR(__xludf.DUMMYFUNCTION("""COMPUTED_VALUE"""),"")</f>
        <v/>
      </c>
      <c r="N139" s="140" t="str">
        <f>IFERROR(__xludf.DUMMYFUNCTION("""COMPUTED_VALUE"""),"")</f>
        <v/>
      </c>
      <c r="O139" s="140" t="str">
        <f>IFERROR(__xludf.DUMMYFUNCTION("""COMPUTED_VALUE"""),"No Alternatives in Collection- 9/20/2020")</f>
        <v>No Alternatives in Collection- 9/20/2020</v>
      </c>
    </row>
    <row r="140">
      <c r="A140" s="143">
        <f>IFERROR(__xludf.DUMMYFUNCTION("""COMPUTED_VALUE"""),44225.0)</f>
        <v>44225</v>
      </c>
      <c r="B140">
        <f>IFERROR(__xludf.DUMMYFUNCTION("""COMPUTED_VALUE"""),1380080.0)</f>
        <v>1380080</v>
      </c>
      <c r="C140" t="str">
        <f>IFERROR(__xludf.DUMMYFUNCTION("""COMPUTED_VALUE"""),"en")</f>
        <v>en</v>
      </c>
      <c r="D140" t="str">
        <f>IFERROR(__xludf.DUMMYFUNCTION("""COMPUTED_VALUE"""),"Linux Tutorials and Projects (Free)")</f>
        <v>Linux Tutorials and Projects (Free)</v>
      </c>
      <c r="E140" t="str">
        <f>IFERROR(__xludf.DUMMYFUNCTION("""COMPUTED_VALUE"""),"Linux Tutorials and Projects (Free)")</f>
        <v>Linux Tutorials and Projects (Free)</v>
      </c>
      <c r="F140">
        <f>IFERROR(__xludf.DUMMYFUNCTION("""COMPUTED_VALUE"""),278531.0)</f>
        <v>278531</v>
      </c>
      <c r="G140" s="140" t="str">
        <f>IFERROR(__xludf.DUMMYFUNCTION("""COMPUTED_VALUE"""),"Jason Cannon")</f>
        <v>Jason Cannon</v>
      </c>
      <c r="H140" s="140" t="str">
        <f>IFERROR(__xludf.DUMMYFUNCTION("""COMPUTED_VALUE"""),"Saturated Topic")</f>
        <v>Saturated Topic</v>
      </c>
      <c r="I140" t="str">
        <f>IFERROR(__xludf.DUMMYFUNCTION("""COMPUTED_VALUE"""),"IT Operations")</f>
        <v>IT Operations</v>
      </c>
      <c r="J140" t="str">
        <f>IFERROR(__xludf.DUMMYFUNCTION("""COMPUTED_VALUE"""),"Operating Systems &amp; Servers")</f>
        <v>Operating Systems &amp; Servers</v>
      </c>
      <c r="L140" s="140" t="str">
        <f>IFERROR(__xludf.DUMMYFUNCTION("""COMPUTED_VALUE"""),"")</f>
        <v/>
      </c>
      <c r="N140" s="140" t="str">
        <f>IFERROR(__xludf.DUMMYFUNCTION("""COMPUTED_VALUE"""),"")</f>
        <v/>
      </c>
      <c r="O140" s="140" t="str">
        <f>IFERROR(__xludf.DUMMYFUNCTION("""COMPUTED_VALUE"""),"No Alternatives in Collection - 11/6")</f>
        <v>No Alternatives in Collection - 11/6</v>
      </c>
    </row>
    <row r="141">
      <c r="A141" s="143">
        <f>IFERROR(__xludf.DUMMYFUNCTION("""COMPUTED_VALUE"""),44225.0)</f>
        <v>44225</v>
      </c>
      <c r="B141">
        <f>IFERROR(__xludf.DUMMYFUNCTION("""COMPUTED_VALUE"""),383374.0)</f>
        <v>383374</v>
      </c>
      <c r="C141" t="str">
        <f>IFERROR(__xludf.DUMMYFUNCTION("""COMPUTED_VALUE"""),"en")</f>
        <v>en</v>
      </c>
      <c r="D141" t="str">
        <f>IFERROR(__xludf.DUMMYFUNCTION("""COMPUTED_VALUE"""),"Success in sales: Building your book of business")</f>
        <v>Success in sales: Building your book of business</v>
      </c>
      <c r="E141" t="str">
        <f>IFERROR(__xludf.DUMMYFUNCTION("""COMPUTED_VALUE"""),"Success in sales: Building your book of business")</f>
        <v>Success in sales: Building your book of business</v>
      </c>
      <c r="F141">
        <f>IFERROR(__xludf.DUMMYFUNCTION("""COMPUTED_VALUE"""),7992326.0)</f>
        <v>7992326</v>
      </c>
      <c r="G141" s="140" t="str">
        <f>IFERROR(__xludf.DUMMYFUNCTION("""COMPUTED_VALUE"""),"Osamede Arhunmwunde")</f>
        <v>Osamede Arhunmwunde</v>
      </c>
      <c r="H141" s="140" t="str">
        <f>IFERROR(__xludf.DUMMYFUNCTION("""COMPUTED_VALUE"""),"Saturated Topic")</f>
        <v>Saturated Topic</v>
      </c>
      <c r="I141" t="str">
        <f>IFERROR(__xludf.DUMMYFUNCTION("""COMPUTED_VALUE"""),"Sales")</f>
        <v>Sales</v>
      </c>
      <c r="J141" t="str">
        <f>IFERROR(__xludf.DUMMYFUNCTION("""COMPUTED_VALUE"""),"Sales Skills &amp; Tools")</f>
        <v>Sales Skills &amp; Tools</v>
      </c>
      <c r="K141">
        <f>IFERROR(__xludf.DUMMYFUNCTION("""COMPUTED_VALUE"""),2283542.0)</f>
        <v>2283542</v>
      </c>
      <c r="L141" s="140" t="str">
        <f>IFERROR(__xludf.DUMMYFUNCTION("""COMPUTED_VALUE"""),"SalesSchool: Sales Training for the Entrepreneurial Business")</f>
        <v>SalesSchool: Sales Training for the Entrepreneurial Business</v>
      </c>
      <c r="N141" s="140" t="str">
        <f>IFERROR(__xludf.DUMMYFUNCTION("""COMPUTED_VALUE"""),"")</f>
        <v/>
      </c>
    </row>
    <row r="142">
      <c r="A142" s="143">
        <f>IFERROR(__xludf.DUMMYFUNCTION("""COMPUTED_VALUE"""),44225.0)</f>
        <v>44225</v>
      </c>
      <c r="B142">
        <f>IFERROR(__xludf.DUMMYFUNCTION("""COMPUTED_VALUE"""),943388.0)</f>
        <v>943388</v>
      </c>
      <c r="C142" t="str">
        <f>IFERROR(__xludf.DUMMYFUNCTION("""COMPUTED_VALUE"""),"en")</f>
        <v>en</v>
      </c>
      <c r="D142" t="str">
        <f>IFERROR(__xludf.DUMMYFUNCTION("""COMPUTED_VALUE"""),"Advanced Java programming with JavaFx: Write an email client")</f>
        <v>Advanced Java programming with JavaFx: Write an email client</v>
      </c>
      <c r="E142" t="str">
        <f>IFERROR(__xludf.DUMMYFUNCTION("""COMPUTED_VALUE"""),"Advanced Java programming with JavaFx: Write an email client")</f>
        <v>Advanced Java programming with JavaFx: Write an email client</v>
      </c>
      <c r="F142">
        <f>IFERROR(__xludf.DUMMYFUNCTION("""COMPUTED_VALUE"""),1.110792E7)</f>
        <v>11107920</v>
      </c>
      <c r="G142" s="140" t="str">
        <f>IFERROR(__xludf.DUMMYFUNCTION("""COMPUTED_VALUE"""),"Alex Horea")</f>
        <v>Alex Horea</v>
      </c>
      <c r="H142" s="140" t="str">
        <f>IFERROR(__xludf.DUMMYFUNCTION("""COMPUTED_VALUE"""),"Instructor Request- Opted Out")</f>
        <v>Instructor Request- Opted Out</v>
      </c>
      <c r="I142" t="str">
        <f>IFERROR(__xludf.DUMMYFUNCTION("""COMPUTED_VALUE"""),"Development")</f>
        <v>Development</v>
      </c>
      <c r="J142" t="str">
        <f>IFERROR(__xludf.DUMMYFUNCTION("""COMPUTED_VALUE"""),"Programming Languages")</f>
        <v>Programming Languages</v>
      </c>
      <c r="K142">
        <f>IFERROR(__xludf.DUMMYFUNCTION("""COMPUTED_VALUE"""),533682.0)</f>
        <v>533682</v>
      </c>
      <c r="L142" s="140" t="str">
        <f>IFERROR(__xludf.DUMMYFUNCTION("""COMPUTED_VALUE"""),"Java Programming Masterclass for Software Developers")</f>
        <v>Java Programming Masterclass for Software Developers</v>
      </c>
      <c r="N142" s="140" t="str">
        <f>IFERROR(__xludf.DUMMYFUNCTION("""COMPUTED_VALUE"""),"")</f>
        <v/>
      </c>
    </row>
    <row r="143">
      <c r="A143" s="143">
        <f>IFERROR(__xludf.DUMMYFUNCTION("""COMPUTED_VALUE"""),44225.0)</f>
        <v>44225</v>
      </c>
      <c r="B143">
        <f>IFERROR(__xludf.DUMMYFUNCTION("""COMPUTED_VALUE"""),846832.0)</f>
        <v>846832</v>
      </c>
      <c r="C143" t="str">
        <f>IFERROR(__xludf.DUMMYFUNCTION("""COMPUTED_VALUE"""),"en")</f>
        <v>en</v>
      </c>
      <c r="D143" t="str">
        <f>IFERROR(__xludf.DUMMYFUNCTION("""COMPUTED_VALUE"""),"So you think you know JavaScript?")</f>
        <v>So you think you know JavaScript?</v>
      </c>
      <c r="E143" t="str">
        <f>IFERROR(__xludf.DUMMYFUNCTION("""COMPUTED_VALUE"""),"So you think you know JavaScript?")</f>
        <v>So you think you know JavaScript?</v>
      </c>
      <c r="F143">
        <f>IFERROR(__xludf.DUMMYFUNCTION("""COMPUTED_VALUE"""),2154592.0)</f>
        <v>2154592</v>
      </c>
      <c r="G143" s="140" t="str">
        <f>IFERROR(__xludf.DUMMYFUNCTION("""COMPUTED_VALUE"""),"3D BUZZ Programming and Digital Art training")</f>
        <v>3D BUZZ Programming and Digital Art training</v>
      </c>
      <c r="H143" s="140" t="str">
        <f>IFERROR(__xludf.DUMMYFUNCTION("""COMPUTED_VALUE"""),"Saturated Topic")</f>
        <v>Saturated Topic</v>
      </c>
      <c r="I143" t="str">
        <f>IFERROR(__xludf.DUMMYFUNCTION("""COMPUTED_VALUE"""),"Development")</f>
        <v>Development</v>
      </c>
      <c r="J143" t="str">
        <f>IFERROR(__xludf.DUMMYFUNCTION("""COMPUTED_VALUE"""),"Web Development")</f>
        <v>Web Development</v>
      </c>
      <c r="K143">
        <f>IFERROR(__xludf.DUMMYFUNCTION("""COMPUTED_VALUE"""),670034.0)</f>
        <v>670034</v>
      </c>
      <c r="L143" s="140" t="str">
        <f>IFERROR(__xludf.DUMMYFUNCTION("""COMPUTED_VALUE"""),"Advanced Javascript")</f>
        <v>Advanced Javascript</v>
      </c>
      <c r="N143" s="140" t="str">
        <f>IFERROR(__xludf.DUMMYFUNCTION("""COMPUTED_VALUE"""),"")</f>
        <v/>
      </c>
    </row>
    <row r="144">
      <c r="A144" s="143">
        <f>IFERROR(__xludf.DUMMYFUNCTION("""COMPUTED_VALUE"""),44225.0)</f>
        <v>44225</v>
      </c>
      <c r="B144">
        <f>IFERROR(__xludf.DUMMYFUNCTION("""COMPUTED_VALUE"""),1632258.0)</f>
        <v>1632258</v>
      </c>
      <c r="C144" t="str">
        <f>IFERROR(__xludf.DUMMYFUNCTION("""COMPUTED_VALUE"""),"fr")</f>
        <v>fr</v>
      </c>
      <c r="D144" t="str">
        <f>IFERROR(__xludf.DUMMYFUNCTION("""COMPUTED_VALUE"""),"Facebook Ads - Ciblage Laser")</f>
        <v>Facebook Ads - Ciblage Laser</v>
      </c>
      <c r="E144" t="str">
        <f>IFERROR(__xludf.DUMMYFUNCTION("""COMPUTED_VALUE"""),"Facebook Ads - Laser Targeting")</f>
        <v>Facebook Ads - Laser Targeting</v>
      </c>
      <c r="F144">
        <f>IFERROR(__xludf.DUMMYFUNCTION("""COMPUTED_VALUE"""),4.4539126E7)</f>
        <v>44539126</v>
      </c>
      <c r="G144" s="140" t="str">
        <f>IFERROR(__xludf.DUMMYFUNCTION("""COMPUTED_VALUE"""),"David Smalt")</f>
        <v>David Smalt</v>
      </c>
      <c r="H144" s="140" t="str">
        <f>IFERROR(__xludf.DUMMYFUNCTION("""COMPUTED_VALUE"""),"Instructor Request- Outdated")</f>
        <v>Instructor Request- Outdated</v>
      </c>
      <c r="I144" t="str">
        <f>IFERROR(__xludf.DUMMYFUNCTION("""COMPUTED_VALUE"""),"Marketing")</f>
        <v>Marketing</v>
      </c>
      <c r="J144" t="str">
        <f>IFERROR(__xludf.DUMMYFUNCTION("""COMPUTED_VALUE"""),"Social Media Marketing")</f>
        <v>Social Media Marketing</v>
      </c>
      <c r="K144">
        <f>IFERROR(__xludf.DUMMYFUNCTION("""COMPUTED_VALUE"""),2770754.0)</f>
        <v>2770754</v>
      </c>
      <c r="L144" s="140" t="str">
        <f>IFERROR(__xludf.DUMMYFUNCTION("""COMPUTED_VALUE"""),"Publicité Google Ads &amp; Facebook Ads : le Guide Complet")</f>
        <v>Publicité Google Ads &amp; Facebook Ads : le Guide Complet</v>
      </c>
      <c r="N144" s="140" t="str">
        <f>IFERROR(__xludf.DUMMYFUNCTION("""COMPUTED_VALUE"""),"")</f>
        <v/>
      </c>
    </row>
    <row r="145">
      <c r="A145" s="143">
        <f>IFERROR(__xludf.DUMMYFUNCTION("""COMPUTED_VALUE"""),44225.0)</f>
        <v>44225</v>
      </c>
      <c r="B145">
        <f>IFERROR(__xludf.DUMMYFUNCTION("""COMPUTED_VALUE"""),66143.0)</f>
        <v>66143</v>
      </c>
      <c r="C145" t="str">
        <f>IFERROR(__xludf.DUMMYFUNCTION("""COMPUTED_VALUE"""),"en")</f>
        <v>en</v>
      </c>
      <c r="D145" t="str">
        <f>IFERROR(__xludf.DUMMYFUNCTION("""COMPUTED_VALUE"""),"Branding: How to Brand Yourself and Your Business")</f>
        <v>Branding: How to Brand Yourself and Your Business</v>
      </c>
      <c r="E145" t="str">
        <f>IFERROR(__xludf.DUMMYFUNCTION("""COMPUTED_VALUE"""),"Branding: How to Brand Yourself and Your Business")</f>
        <v>Branding: How to Brand Yourself and Your Business</v>
      </c>
      <c r="F145">
        <f>IFERROR(__xludf.DUMMYFUNCTION("""COMPUTED_VALUE"""),650272.0)</f>
        <v>650272</v>
      </c>
      <c r="G145" s="140" t="str">
        <f>IFERROR(__xludf.DUMMYFUNCTION("""COMPUTED_VALUE"""),"Debbie LaChusa")</f>
        <v>Debbie LaChusa</v>
      </c>
      <c r="H145" s="140" t="str">
        <f>IFERROR(__xludf.DUMMYFUNCTION("""COMPUTED_VALUE"""),"Saturated Topic")</f>
        <v>Saturated Topic</v>
      </c>
      <c r="I145" t="str">
        <f>IFERROR(__xludf.DUMMYFUNCTION("""COMPUTED_VALUE"""),"Marketing")</f>
        <v>Marketing</v>
      </c>
      <c r="J145" t="str">
        <f>IFERROR(__xludf.DUMMYFUNCTION("""COMPUTED_VALUE"""),"Marketing Strategy")</f>
        <v>Marketing Strategy</v>
      </c>
      <c r="K145">
        <f>IFERROR(__xludf.DUMMYFUNCTION("""COMPUTED_VALUE"""),2037952.0)</f>
        <v>2037952</v>
      </c>
      <c r="L145" s="140" t="str">
        <f>IFERROR(__xludf.DUMMYFUNCTION("""COMPUTED_VALUE"""),"Business Branding With Personality: Build An Authentic Brand")</f>
        <v>Business Branding With Personality: Build An Authentic Brand</v>
      </c>
      <c r="N145" s="140" t="str">
        <f>IFERROR(__xludf.DUMMYFUNCTION("""COMPUTED_VALUE"""),"")</f>
        <v/>
      </c>
    </row>
    <row r="146">
      <c r="A146" s="143">
        <f>IFERROR(__xludf.DUMMYFUNCTION("""COMPUTED_VALUE"""),44225.0)</f>
        <v>44225</v>
      </c>
      <c r="B146">
        <f>IFERROR(__xludf.DUMMYFUNCTION("""COMPUTED_VALUE"""),28947.0)</f>
        <v>28947</v>
      </c>
      <c r="C146" t="str">
        <f>IFERROR(__xludf.DUMMYFUNCTION("""COMPUTED_VALUE"""),"en")</f>
        <v>en</v>
      </c>
      <c r="D146" t="str">
        <f>IFERROR(__xludf.DUMMYFUNCTION("""COMPUTED_VALUE"""),"QuickBooks Pro 2013 Training the Easy Way")</f>
        <v>QuickBooks Pro 2013 Training the Easy Way</v>
      </c>
      <c r="E146" t="str">
        <f>IFERROR(__xludf.DUMMYFUNCTION("""COMPUTED_VALUE"""),"QuickBooks Pro 2013 Training the Easy Way")</f>
        <v>QuickBooks Pro 2013 Training the Easy Way</v>
      </c>
      <c r="F146">
        <f>IFERROR(__xludf.DUMMYFUNCTION("""COMPUTED_VALUE"""),254593.0)</f>
        <v>254593</v>
      </c>
      <c r="G146" s="140" t="str">
        <f>IFERROR(__xludf.DUMMYFUNCTION("""COMPUTED_VALUE"""),"Simon Sez IT")</f>
        <v>Simon Sez IT</v>
      </c>
      <c r="H146" s="140" t="str">
        <f>IFERROR(__xludf.DUMMYFUNCTION("""COMPUTED_VALUE"""),"Saturated Topic")</f>
        <v>Saturated Topic</v>
      </c>
      <c r="I146" t="str">
        <f>IFERROR(__xludf.DUMMYFUNCTION("""COMPUTED_VALUE"""),"Finance &amp; Accounting")</f>
        <v>Finance &amp; Accounting</v>
      </c>
      <c r="J146" t="str">
        <f>IFERROR(__xludf.DUMMYFUNCTION("""COMPUTED_VALUE"""),"Accounting Software")</f>
        <v>Accounting Software</v>
      </c>
      <c r="K146">
        <f>IFERROR(__xludf.DUMMYFUNCTION("""COMPUTED_VALUE"""),1517986.0)</f>
        <v>1517986</v>
      </c>
      <c r="L146" s="140" t="str">
        <f>IFERROR(__xludf.DUMMYFUNCTION("""COMPUTED_VALUE"""),"QuickBooks Online 2021 &amp; 2020 Start to Finish")</f>
        <v>QuickBooks Online 2021 &amp; 2020 Start to Finish</v>
      </c>
      <c r="N146" s="140" t="str">
        <f>IFERROR(__xludf.DUMMYFUNCTION("""COMPUTED_VALUE"""),"")</f>
        <v/>
      </c>
    </row>
    <row r="147">
      <c r="A147" s="143">
        <f>IFERROR(__xludf.DUMMYFUNCTION("""COMPUTED_VALUE"""),44225.0)</f>
        <v>44225</v>
      </c>
      <c r="B147">
        <f>IFERROR(__xludf.DUMMYFUNCTION("""COMPUTED_VALUE"""),431570.0)</f>
        <v>431570</v>
      </c>
      <c r="C147" t="str">
        <f>IFERROR(__xludf.DUMMYFUNCTION("""COMPUTED_VALUE"""),"en")</f>
        <v>en</v>
      </c>
      <c r="D147" t="str">
        <f>IFERROR(__xludf.DUMMYFUNCTION("""COMPUTED_VALUE"""),"Selling Sponsorships for Meetings, Events &amp; Nonprofits")</f>
        <v>Selling Sponsorships for Meetings, Events &amp; Nonprofits</v>
      </c>
      <c r="E147" t="str">
        <f>IFERROR(__xludf.DUMMYFUNCTION("""COMPUTED_VALUE"""),"Selling Sponsorships for Meetings, Events &amp; Nonprofits")</f>
        <v>Selling Sponsorships for Meetings, Events &amp; Nonprofits</v>
      </c>
      <c r="F147">
        <f>IFERROR(__xludf.DUMMYFUNCTION("""COMPUTED_VALUE"""),1.1240174E7)</f>
        <v>11240174</v>
      </c>
      <c r="G147" s="140" t="str">
        <f>IFERROR(__xludf.DUMMYFUNCTION("""COMPUTED_VALUE"""),"Shawna Suckow, CMP")</f>
        <v>Shawna Suckow, CMP</v>
      </c>
      <c r="H147" s="140" t="str">
        <f>IFERROR(__xludf.DUMMYFUNCTION("""COMPUTED_VALUE"""),"Saturated Topic")</f>
        <v>Saturated Topic</v>
      </c>
      <c r="I147" t="str">
        <f>IFERROR(__xludf.DUMMYFUNCTION("""COMPUTED_VALUE"""),"Leadership &amp; Management")</f>
        <v>Leadership &amp; Management</v>
      </c>
      <c r="J147" t="str">
        <f>IFERROR(__xludf.DUMMYFUNCTION("""COMPUTED_VALUE"""),"Strategy")</f>
        <v>Strategy</v>
      </c>
      <c r="L147" s="140" t="str">
        <f>IFERROR(__xludf.DUMMYFUNCTION("""COMPUTED_VALUE"""),"")</f>
        <v/>
      </c>
      <c r="N147" s="140" t="str">
        <f>IFERROR(__xludf.DUMMYFUNCTION("""COMPUTED_VALUE"""),"")</f>
        <v/>
      </c>
      <c r="O147" s="140" t="str">
        <f>IFERROR(__xludf.DUMMYFUNCTION("""COMPUTED_VALUE"""),"No Alternatives in Collection - 11/11")</f>
        <v>No Alternatives in Collection - 11/11</v>
      </c>
    </row>
    <row r="148">
      <c r="A148" s="143">
        <f>IFERROR(__xludf.DUMMYFUNCTION("""COMPUTED_VALUE"""),44225.0)</f>
        <v>44225</v>
      </c>
      <c r="B148">
        <f>IFERROR(__xludf.DUMMYFUNCTION("""COMPUTED_VALUE"""),997894.0)</f>
        <v>997894</v>
      </c>
      <c r="C148" t="str">
        <f>IFERROR(__xludf.DUMMYFUNCTION("""COMPUTED_VALUE"""),"en")</f>
        <v>en</v>
      </c>
      <c r="D148" t="str">
        <f>IFERROR(__xludf.DUMMYFUNCTION("""COMPUTED_VALUE"""),"The Ultimate Guide in Becoming a SQL Server DBA")</f>
        <v>The Ultimate Guide in Becoming a SQL Server DBA</v>
      </c>
      <c r="E148" t="str">
        <f>IFERROR(__xludf.DUMMYFUNCTION("""COMPUTED_VALUE"""),"The Ultimate Guide in Becoming a SQL Server DBA")</f>
        <v>The Ultimate Guide in Becoming a SQL Server DBA</v>
      </c>
      <c r="F148">
        <f>IFERROR(__xludf.DUMMYFUNCTION("""COMPUTED_VALUE"""),1.143473E7)</f>
        <v>11434730</v>
      </c>
      <c r="G148" s="140" t="str">
        <f>IFERROR(__xludf.DUMMYFUNCTION("""COMPUTED_VALUE"""),"Raphael Asghar")</f>
        <v>Raphael Asghar</v>
      </c>
      <c r="H148" s="140" t="str">
        <f>IFERROR(__xludf.DUMMYFUNCTION("""COMPUTED_VALUE"""),"Saturated Topic")</f>
        <v>Saturated Topic</v>
      </c>
      <c r="I148" t="str">
        <f>IFERROR(__xludf.DUMMYFUNCTION("""COMPUTED_VALUE"""),"IT Operations")</f>
        <v>IT Operations</v>
      </c>
      <c r="J148" t="str">
        <f>IFERROR(__xludf.DUMMYFUNCTION("""COMPUTED_VALUE"""),"Database Administration")</f>
        <v>Database Administration</v>
      </c>
      <c r="K148">
        <f>IFERROR(__xludf.DUMMYFUNCTION("""COMPUTED_VALUE"""),499534.0)</f>
        <v>499534</v>
      </c>
      <c r="L148" s="140" t="str">
        <f>IFERROR(__xludf.DUMMYFUNCTION("""COMPUTED_VALUE"""),"How To Begin Your Career As a SQL Server DBA")</f>
        <v>How To Begin Your Career As a SQL Server DBA</v>
      </c>
      <c r="N148" s="140" t="str">
        <f>IFERROR(__xludf.DUMMYFUNCTION("""COMPUTED_VALUE"""),"")</f>
        <v/>
      </c>
    </row>
    <row r="149">
      <c r="A149" s="143">
        <f>IFERROR(__xludf.DUMMYFUNCTION("""COMPUTED_VALUE"""),44225.0)</f>
        <v>44225</v>
      </c>
      <c r="B149">
        <f>IFERROR(__xludf.DUMMYFUNCTION("""COMPUTED_VALUE"""),26105.0)</f>
        <v>26105</v>
      </c>
      <c r="C149" t="str">
        <f>IFERROR(__xludf.DUMMYFUNCTION("""COMPUTED_VALUE"""),"en")</f>
        <v>en</v>
      </c>
      <c r="D149" t="str">
        <f>IFERROR(__xludf.DUMMYFUNCTION("""COMPUTED_VALUE"""),"Presenting Financials with Excel and PowerPoint")</f>
        <v>Presenting Financials with Excel and PowerPoint</v>
      </c>
      <c r="E149" t="str">
        <f>IFERROR(__xludf.DUMMYFUNCTION("""COMPUTED_VALUE"""),"Presenting Financials with Excel and PowerPoint")</f>
        <v>Presenting Financials with Excel and PowerPoint</v>
      </c>
      <c r="F149">
        <f>IFERROR(__xludf.DUMMYFUNCTION("""COMPUTED_VALUE"""),232846.0)</f>
        <v>232846</v>
      </c>
      <c r="G149" s="140" t="str">
        <f>IFERROR(__xludf.DUMMYFUNCTION("""COMPUTED_VALUE"""),"Learnit Anytime")</f>
        <v>Learnit Anytime</v>
      </c>
      <c r="H149" s="140" t="str">
        <f>IFERROR(__xludf.DUMMYFUNCTION("""COMPUTED_VALUE"""),"Saturated Topic")</f>
        <v>Saturated Topic</v>
      </c>
      <c r="I149" t="str">
        <f>IFERROR(__xludf.DUMMYFUNCTION("""COMPUTED_VALUE"""),"Office Productivity")</f>
        <v>Office Productivity</v>
      </c>
      <c r="J149" t="str">
        <f>IFERROR(__xludf.DUMMYFUNCTION("""COMPUTED_VALUE"""),"Spreadsheets")</f>
        <v>Spreadsheets</v>
      </c>
      <c r="K149">
        <f>IFERROR(__xludf.DUMMYFUNCTION("""COMPUTED_VALUE"""),793796.0)</f>
        <v>793796</v>
      </c>
      <c r="L149" s="140" t="str">
        <f>IFERROR(__xludf.DUMMYFUNCTION("""COMPUTED_VALUE"""),"Microsoft Excel - Excel from Beginner to Advanced")</f>
        <v>Microsoft Excel - Excel from Beginner to Advanced</v>
      </c>
      <c r="N149" s="140" t="str">
        <f>IFERROR(__xludf.DUMMYFUNCTION("""COMPUTED_VALUE"""),"")</f>
        <v/>
      </c>
    </row>
    <row r="150">
      <c r="A150" s="143">
        <f>IFERROR(__xludf.DUMMYFUNCTION("""COMPUTED_VALUE"""),44225.0)</f>
        <v>44225</v>
      </c>
      <c r="B150">
        <f>IFERROR(__xludf.DUMMYFUNCTION("""COMPUTED_VALUE"""),118042.0)</f>
        <v>118042</v>
      </c>
      <c r="C150" t="str">
        <f>IFERROR(__xludf.DUMMYFUNCTION("""COMPUTED_VALUE"""),"en")</f>
        <v>en</v>
      </c>
      <c r="D150" t="str">
        <f>IFERROR(__xludf.DUMMYFUNCTION("""COMPUTED_VALUE"""),"PLC Programming From Scratch (PLC I)")</f>
        <v>PLC Programming From Scratch (PLC I)</v>
      </c>
      <c r="E150" t="str">
        <f>IFERROR(__xludf.DUMMYFUNCTION("""COMPUTED_VALUE"""),"PLC Programming From Scratch (PLC I)")</f>
        <v>PLC Programming From Scratch (PLC I)</v>
      </c>
      <c r="F150">
        <f>IFERROR(__xludf.DUMMYFUNCTION("""COMPUTED_VALUE"""),2330472.0)</f>
        <v>2330472</v>
      </c>
      <c r="G150" s="140" t="str">
        <f>IFERROR(__xludf.DUMMYFUNCTION("""COMPUTED_VALUE"""),"Paul Lynn")</f>
        <v>Paul Lynn</v>
      </c>
      <c r="H150" s="140" t="str">
        <f>IFERROR(__xludf.DUMMYFUNCTION("""COMPUTED_VALUE"""),"Instructor Request- Opted Out")</f>
        <v>Instructor Request- Opted Out</v>
      </c>
      <c r="I150" t="str">
        <f>IFERROR(__xludf.DUMMYFUNCTION("""COMPUTED_VALUE"""),"IT Operations")</f>
        <v>IT Operations</v>
      </c>
      <c r="J150" t="str">
        <f>IFERROR(__xludf.DUMMYFUNCTION("""COMPUTED_VALUE"""),"Hardware")</f>
        <v>Hardware</v>
      </c>
      <c r="K150">
        <f>IFERROR(__xludf.DUMMYFUNCTION("""COMPUTED_VALUE"""),1482442.0)</f>
        <v>1482442</v>
      </c>
      <c r="L150" s="140" t="str">
        <f>IFERROR(__xludf.DUMMYFUNCTION("""COMPUTED_VALUE"""),"From Wire to PLC , A Bootcamp In Industrial Automation")</f>
        <v>From Wire to PLC , A Bootcamp In Industrial Automation</v>
      </c>
      <c r="N150" s="140" t="str">
        <f>IFERROR(__xludf.DUMMYFUNCTION("""COMPUTED_VALUE"""),"")</f>
        <v/>
      </c>
    </row>
    <row r="151">
      <c r="A151" s="143">
        <f>IFERROR(__xludf.DUMMYFUNCTION("""COMPUTED_VALUE"""),44225.0)</f>
        <v>44225</v>
      </c>
      <c r="B151">
        <f>IFERROR(__xludf.DUMMYFUNCTION("""COMPUTED_VALUE"""),1267860.0)</f>
        <v>1267860</v>
      </c>
      <c r="C151" t="str">
        <f>IFERROR(__xludf.DUMMYFUNCTION("""COMPUTED_VALUE"""),"en")</f>
        <v>en</v>
      </c>
      <c r="D151" t="str">
        <f>IFERROR(__xludf.DUMMYFUNCTION("""COMPUTED_VALUE"""),"Forex Trading with Pro Trader: Price Action Trading")</f>
        <v>Forex Trading with Pro Trader: Price Action Trading</v>
      </c>
      <c r="E151" t="str">
        <f>IFERROR(__xludf.DUMMYFUNCTION("""COMPUTED_VALUE"""),"Forex Trading with Pro Trader: Price Action Trading")</f>
        <v>Forex Trading with Pro Trader: Price Action Trading</v>
      </c>
      <c r="F151">
        <f>IFERROR(__xludf.DUMMYFUNCTION("""COMPUTED_VALUE"""),2.8604886E7)</f>
        <v>28604886</v>
      </c>
      <c r="G151" s="140" t="str">
        <f>IFERROR(__xludf.DUMMYFUNCTION("""COMPUTED_VALUE"""),"Petko Zhivkov Aleksandrov")</f>
        <v>Petko Zhivkov Aleksandrov</v>
      </c>
      <c r="H151" s="140" t="str">
        <f>IFERROR(__xludf.DUMMYFUNCTION("""COMPUTED_VALUE"""),"Saturated Topic")</f>
        <v>Saturated Topic</v>
      </c>
      <c r="I151" t="str">
        <f>IFERROR(__xludf.DUMMYFUNCTION("""COMPUTED_VALUE"""),"Finance &amp; Accounting")</f>
        <v>Finance &amp; Accounting</v>
      </c>
      <c r="J151" t="str">
        <f>IFERROR(__xludf.DUMMYFUNCTION("""COMPUTED_VALUE"""),"Investing &amp; Trading")</f>
        <v>Investing &amp; Trading</v>
      </c>
      <c r="K151">
        <f>IFERROR(__xludf.DUMMYFUNCTION("""COMPUTED_VALUE"""),1297958.0)</f>
        <v>1297958</v>
      </c>
      <c r="L151" s="140" t="str">
        <f>IFERROR(__xludf.DUMMYFUNCTION("""COMPUTED_VALUE"""),"Candlestick Patterns to Master Forex Trading Price Action")</f>
        <v>Candlestick Patterns to Master Forex Trading Price Action</v>
      </c>
      <c r="N151" s="140" t="str">
        <f>IFERROR(__xludf.DUMMYFUNCTION("""COMPUTED_VALUE"""),"")</f>
        <v/>
      </c>
    </row>
    <row r="152">
      <c r="A152" s="143">
        <f>IFERROR(__xludf.DUMMYFUNCTION("""COMPUTED_VALUE"""),44225.0)</f>
        <v>44225</v>
      </c>
      <c r="B152">
        <f>IFERROR(__xludf.DUMMYFUNCTION("""COMPUTED_VALUE"""),2500248.0)</f>
        <v>2500248</v>
      </c>
      <c r="C152" t="str">
        <f>IFERROR(__xludf.DUMMYFUNCTION("""COMPUTED_VALUE"""),"en")</f>
        <v>en</v>
      </c>
      <c r="D152" t="str">
        <f>IFERROR(__xludf.DUMMYFUNCTION("""COMPUTED_VALUE"""),"Terraform for AWS - Beginner to Expert 2020 (0.12)")</f>
        <v>Terraform for AWS - Beginner to Expert 2020 (0.12)</v>
      </c>
      <c r="E152" t="str">
        <f>IFERROR(__xludf.DUMMYFUNCTION("""COMPUTED_VALUE"""),"Terraform for AWS - Beginner to Expert 2020 (0.12)")</f>
        <v>Terraform for AWS - Beginner to Expert 2020 (0.12)</v>
      </c>
      <c r="F152">
        <f>IFERROR(__xludf.DUMMYFUNCTION("""COMPUTED_VALUE"""),7.8996894E7)</f>
        <v>78996894</v>
      </c>
      <c r="G152" s="140" t="str">
        <f>IFERROR(__xludf.DUMMYFUNCTION("""COMPUTED_VALUE"""),"Warp 9 Training")</f>
        <v>Warp 9 Training</v>
      </c>
      <c r="H152" s="140" t="str">
        <f>IFERROR(__xludf.DUMMYFUNCTION("""COMPUTED_VALUE"""),"Instructor Request- Opted Out")</f>
        <v>Instructor Request- Opted Out</v>
      </c>
      <c r="I152" t="str">
        <f>IFERROR(__xludf.DUMMYFUNCTION("""COMPUTED_VALUE"""),"Development")</f>
        <v>Development</v>
      </c>
      <c r="J152" t="str">
        <f>IFERROR(__xludf.DUMMYFUNCTION("""COMPUTED_VALUE"""),"Development Tools")</f>
        <v>Development Tools</v>
      </c>
      <c r="K152">
        <f>IFERROR(__xludf.DUMMYFUNCTION("""COMPUTED_VALUE"""),977360.0)</f>
        <v>977360</v>
      </c>
      <c r="L152" s="140" t="str">
        <f>IFERROR(__xludf.DUMMYFUNCTION("""COMPUTED_VALUE"""),"Learn DevOps: Infrastructure Automation With Terraform")</f>
        <v>Learn DevOps: Infrastructure Automation With Terraform</v>
      </c>
      <c r="M152" s="140">
        <f>IFERROR(__xludf.DUMMYFUNCTION("""COMPUTED_VALUE"""),2000596.0)</f>
        <v>2000596</v>
      </c>
      <c r="N152" s="140" t="str">
        <f>IFERROR(__xludf.DUMMYFUNCTION("""COMPUTED_VALUE"""),"VPC Solutions with EC2 for Production: AWS with Terraform")</f>
        <v>VPC Solutions with EC2 for Production: AWS with Terraform</v>
      </c>
    </row>
    <row r="153">
      <c r="A153" s="143">
        <f>IFERROR(__xludf.DUMMYFUNCTION("""COMPUTED_VALUE"""),44225.0)</f>
        <v>44225</v>
      </c>
      <c r="B153">
        <f>IFERROR(__xludf.DUMMYFUNCTION("""COMPUTED_VALUE"""),32917.0)</f>
        <v>32917</v>
      </c>
      <c r="C153" t="str">
        <f>IFERROR(__xludf.DUMMYFUNCTION("""COMPUTED_VALUE"""),"en")</f>
        <v>en</v>
      </c>
      <c r="D153" t="str">
        <f>IFERROR(__xludf.DUMMYFUNCTION("""COMPUTED_VALUE"""),"Microsoft Excel 2013 Beginners/Intermediate Training")</f>
        <v>Microsoft Excel 2013 Beginners/Intermediate Training</v>
      </c>
      <c r="E153" t="str">
        <f>IFERROR(__xludf.DUMMYFUNCTION("""COMPUTED_VALUE"""),"Microsoft Excel 2013 Beginners/Intermediate Training")</f>
        <v>Microsoft Excel 2013 Beginners/Intermediate Training</v>
      </c>
      <c r="F153">
        <f>IFERROR(__xludf.DUMMYFUNCTION("""COMPUTED_VALUE"""),254593.0)</f>
        <v>254593</v>
      </c>
      <c r="G153" s="140" t="str">
        <f>IFERROR(__xludf.DUMMYFUNCTION("""COMPUTED_VALUE"""),"Simon Sez IT")</f>
        <v>Simon Sez IT</v>
      </c>
      <c r="H153" s="140" t="str">
        <f>IFERROR(__xludf.DUMMYFUNCTION("""COMPUTED_VALUE"""),"Saturated Topic")</f>
        <v>Saturated Topic</v>
      </c>
      <c r="I153" t="str">
        <f>IFERROR(__xludf.DUMMYFUNCTION("""COMPUTED_VALUE"""),"Office Productivity")</f>
        <v>Office Productivity</v>
      </c>
      <c r="J153" t="str">
        <f>IFERROR(__xludf.DUMMYFUNCTION("""COMPUTED_VALUE"""),"Spreadsheets")</f>
        <v>Spreadsheets</v>
      </c>
      <c r="K153">
        <f>IFERROR(__xludf.DUMMYFUNCTION("""COMPUTED_VALUE"""),793796.0)</f>
        <v>793796</v>
      </c>
      <c r="L153" s="140" t="str">
        <f>IFERROR(__xludf.DUMMYFUNCTION("""COMPUTED_VALUE"""),"Microsoft Excel - Excel from Beginner to Advanced")</f>
        <v>Microsoft Excel - Excel from Beginner to Advanced</v>
      </c>
      <c r="M153" s="140">
        <f>IFERROR(__xludf.DUMMYFUNCTION("""COMPUTED_VALUE"""),49250.0)</f>
        <v>49250</v>
      </c>
      <c r="N153" s="140" t="str">
        <f>IFERROR(__xludf.DUMMYFUNCTION("""COMPUTED_VALUE"""),"Microsoft Excel - From Beginner to Expert in 6 Hours")</f>
        <v>Microsoft Excel - From Beginner to Expert in 6 Hours</v>
      </c>
    </row>
    <row r="154">
      <c r="A154" s="143">
        <f>IFERROR(__xludf.DUMMYFUNCTION("""COMPUTED_VALUE"""),44225.0)</f>
        <v>44225</v>
      </c>
      <c r="B154">
        <f>IFERROR(__xludf.DUMMYFUNCTION("""COMPUTED_VALUE"""),3193798.0)</f>
        <v>3193798</v>
      </c>
      <c r="C154" t="str">
        <f>IFERROR(__xludf.DUMMYFUNCTION("""COMPUTED_VALUE"""),"en")</f>
        <v>en</v>
      </c>
      <c r="D154" t="str">
        <f>IFERROR(__xludf.DUMMYFUNCTION("""COMPUTED_VALUE"""),"HashiCorp Certified: Terraform Associate Prep Course 2020")</f>
        <v>HashiCorp Certified: Terraform Associate Prep Course 2020</v>
      </c>
      <c r="E154" t="str">
        <f>IFERROR(__xludf.DUMMYFUNCTION("""COMPUTED_VALUE"""),"HashiCorp Certified: Terraform Associate Prep Course 2020")</f>
        <v>HashiCorp Certified: Terraform Associate Prep Course 2020</v>
      </c>
      <c r="F154">
        <f>IFERROR(__xludf.DUMMYFUNCTION("""COMPUTED_VALUE"""),7.8996894E7)</f>
        <v>78996894</v>
      </c>
      <c r="G154" s="140" t="str">
        <f>IFERROR(__xludf.DUMMYFUNCTION("""COMPUTED_VALUE"""),"Warp 9 Training")</f>
        <v>Warp 9 Training</v>
      </c>
      <c r="H154" s="140" t="str">
        <f>IFERROR(__xludf.DUMMYFUNCTION("""COMPUTED_VALUE"""),"Instructor Request- Opted Out")</f>
        <v>Instructor Request- Opted Out</v>
      </c>
      <c r="I154" t="str">
        <f>IFERROR(__xludf.DUMMYFUNCTION("""COMPUTED_VALUE"""),"IT Operations")</f>
        <v>IT Operations</v>
      </c>
      <c r="J154" t="str">
        <f>IFERROR(__xludf.DUMMYFUNCTION("""COMPUTED_VALUE"""),"IT Certifications")</f>
        <v>IT Certifications</v>
      </c>
      <c r="K154">
        <f>IFERROR(__xludf.DUMMYFUNCTION("""COMPUTED_VALUE"""),1617616.0)</f>
        <v>1617616</v>
      </c>
      <c r="L154" s="140" t="str">
        <f>IFERROR(__xludf.DUMMYFUNCTION("""COMPUTED_VALUE"""),"HashiCorp Certified: Terraform Associate 2021")</f>
        <v>HashiCorp Certified: Terraform Associate 2021</v>
      </c>
      <c r="M154" s="140">
        <f>IFERROR(__xludf.DUMMYFUNCTION("""COMPUTED_VALUE"""),2736086.0)</f>
        <v>2736086</v>
      </c>
      <c r="N154" s="140" t="str">
        <f>IFERROR(__xludf.DUMMYFUNCTION("""COMPUTED_VALUE"""),"HashiCorp Certified: Terraform Associate Practice Exam 2021")</f>
        <v>HashiCorp Certified: Terraform Associate Practice Exam 2021</v>
      </c>
    </row>
    <row r="155">
      <c r="A155" s="143">
        <f>IFERROR(__xludf.DUMMYFUNCTION("""COMPUTED_VALUE"""),44225.0)</f>
        <v>44225</v>
      </c>
      <c r="B155">
        <f>IFERROR(__xludf.DUMMYFUNCTION("""COMPUTED_VALUE"""),1414956.0)</f>
        <v>1414956</v>
      </c>
      <c r="C155" t="str">
        <f>IFERROR(__xludf.DUMMYFUNCTION("""COMPUTED_VALUE"""),"en")</f>
        <v>en</v>
      </c>
      <c r="D155" t="str">
        <f>IFERROR(__xludf.DUMMYFUNCTION("""COMPUTED_VALUE"""),"Mastering Brushstrokes - Part 1")</f>
        <v>Mastering Brushstrokes - Part 1</v>
      </c>
      <c r="E155" t="str">
        <f>IFERROR(__xludf.DUMMYFUNCTION("""COMPUTED_VALUE"""),"Mastering Brushstrokes - Part 1")</f>
        <v>Mastering Brushstrokes - Part 1</v>
      </c>
      <c r="F155">
        <f>IFERROR(__xludf.DUMMYFUNCTION("""COMPUTED_VALUE"""),2.2596358E7)</f>
        <v>22596358</v>
      </c>
      <c r="G155" s="140" t="str">
        <f>IFERROR(__xludf.DUMMYFUNCTION("""COMPUTED_VALUE"""),"Jill Poyerd")</f>
        <v>Jill Poyerd</v>
      </c>
      <c r="H155" s="140" t="str">
        <f>IFERROR(__xludf.DUMMYFUNCTION("""COMPUTED_VALUE"""),"Instructor Request- Opted Out")</f>
        <v>Instructor Request- Opted Out</v>
      </c>
      <c r="I155" t="str">
        <f>IFERROR(__xludf.DUMMYFUNCTION("""COMPUTED_VALUE"""),"Personal Development")</f>
        <v>Personal Development</v>
      </c>
      <c r="J155" t="str">
        <f>IFERROR(__xludf.DUMMYFUNCTION("""COMPUTED_VALUE"""),"Arts &amp; Creativity")</f>
        <v>Arts &amp; Creativity</v>
      </c>
      <c r="L155" s="140" t="str">
        <f>IFERROR(__xludf.DUMMYFUNCTION("""COMPUTED_VALUE"""),"")</f>
        <v/>
      </c>
      <c r="N155" s="140" t="str">
        <f>IFERROR(__xludf.DUMMYFUNCTION("""COMPUTED_VALUE"""),"")</f>
        <v/>
      </c>
      <c r="O155" s="140" t="str">
        <f>IFERROR(__xludf.DUMMYFUNCTION("""COMPUTED_VALUE"""),"No Alternatives in Collection- 9/20/2020")</f>
        <v>No Alternatives in Collection- 9/20/2020</v>
      </c>
    </row>
    <row r="156">
      <c r="A156" s="143">
        <f>IFERROR(__xludf.DUMMYFUNCTION("""COMPUTED_VALUE"""),44225.0)</f>
        <v>44225</v>
      </c>
      <c r="B156">
        <f>IFERROR(__xludf.DUMMYFUNCTION("""COMPUTED_VALUE"""),1350010.0)</f>
        <v>1350010</v>
      </c>
      <c r="C156" t="str">
        <f>IFERROR(__xludf.DUMMYFUNCTION("""COMPUTED_VALUE"""),"en")</f>
        <v>en</v>
      </c>
      <c r="D156" t="str">
        <f>IFERROR(__xludf.DUMMYFUNCTION("""COMPUTED_VALUE"""),"Personal Branding: Deliver a Clear Elevator Pitch")</f>
        <v>Personal Branding: Deliver a Clear Elevator Pitch</v>
      </c>
      <c r="E156" t="str">
        <f>IFERROR(__xludf.DUMMYFUNCTION("""COMPUTED_VALUE"""),"Personal Branding: Deliver a Clear Elevator Pitch")</f>
        <v>Personal Branding: Deliver a Clear Elevator Pitch</v>
      </c>
      <c r="F156">
        <f>IFERROR(__xludf.DUMMYFUNCTION("""COMPUTED_VALUE"""),1.445966E7)</f>
        <v>14459660</v>
      </c>
      <c r="G156" s="140" t="str">
        <f>IFERROR(__xludf.DUMMYFUNCTION("""COMPUTED_VALUE"""),"Joseph Liu")</f>
        <v>Joseph Liu</v>
      </c>
      <c r="H156" s="140" t="str">
        <f>IFERROR(__xludf.DUMMYFUNCTION("""COMPUTED_VALUE"""),"Saturated Topic")</f>
        <v>Saturated Topic</v>
      </c>
      <c r="I156" t="str">
        <f>IFERROR(__xludf.DUMMYFUNCTION("""COMPUTED_VALUE"""),"Marketing")</f>
        <v>Marketing</v>
      </c>
      <c r="J156" t="str">
        <f>IFERROR(__xludf.DUMMYFUNCTION("""COMPUTED_VALUE"""),"Marketing Strategy")</f>
        <v>Marketing Strategy</v>
      </c>
      <c r="K156">
        <f>IFERROR(__xludf.DUMMYFUNCTION("""COMPUTED_VALUE"""),1435028.0)</f>
        <v>1435028</v>
      </c>
      <c r="L156" s="140" t="str">
        <f>IFERROR(__xludf.DUMMYFUNCTION("""COMPUTED_VALUE"""),"Personal Branding Masterclass: The Complete Branding Course")</f>
        <v>Personal Branding Masterclass: The Complete Branding Course</v>
      </c>
      <c r="N156" s="140" t="str">
        <f>IFERROR(__xludf.DUMMYFUNCTION("""COMPUTED_VALUE"""),"")</f>
        <v/>
      </c>
    </row>
    <row r="157">
      <c r="A157" s="143">
        <f>IFERROR(__xludf.DUMMYFUNCTION("""COMPUTED_VALUE"""),44225.0)</f>
        <v>44225</v>
      </c>
      <c r="B157">
        <f>IFERROR(__xludf.DUMMYFUNCTION("""COMPUTED_VALUE"""),390910.0)</f>
        <v>390910</v>
      </c>
      <c r="C157" t="str">
        <f>IFERROR(__xludf.DUMMYFUNCTION("""COMPUTED_VALUE"""),"en")</f>
        <v>en</v>
      </c>
      <c r="D157" t="str">
        <f>IFERROR(__xludf.DUMMYFUNCTION("""COMPUTED_VALUE"""),"Fundamentals of Programming: Understanding C#")</f>
        <v>Fundamentals of Programming: Understanding C#</v>
      </c>
      <c r="E157" t="str">
        <f>IFERROR(__xludf.DUMMYFUNCTION("""COMPUTED_VALUE"""),"Fundamentals of Programming: Understanding C#")</f>
        <v>Fundamentals of Programming: Understanding C#</v>
      </c>
      <c r="F157">
        <f>IFERROR(__xludf.DUMMYFUNCTION("""COMPUTED_VALUE"""),1.016537E7)</f>
        <v>10165370</v>
      </c>
      <c r="G157" s="140" t="str">
        <f>IFERROR(__xludf.DUMMYFUNCTION("""COMPUTED_VALUE"""),"Jesse Dietrichson")</f>
        <v>Jesse Dietrichson</v>
      </c>
      <c r="H157" s="140" t="str">
        <f>IFERROR(__xludf.DUMMYFUNCTION("""COMPUTED_VALUE"""),"Saturated Topic")</f>
        <v>Saturated Topic</v>
      </c>
      <c r="I157" t="str">
        <f>IFERROR(__xludf.DUMMYFUNCTION("""COMPUTED_VALUE"""),"Development")</f>
        <v>Development</v>
      </c>
      <c r="J157" t="str">
        <f>IFERROR(__xludf.DUMMYFUNCTION("""COMPUTED_VALUE"""),"Programming Languages")</f>
        <v>Programming Languages</v>
      </c>
      <c r="K157">
        <f>IFERROR(__xludf.DUMMYFUNCTION("""COMPUTED_VALUE"""),1581488.0)</f>
        <v>1581488</v>
      </c>
      <c r="L157" s="140" t="str">
        <f>IFERROR(__xludf.DUMMYFUNCTION("""COMPUTED_VALUE"""),"Complete C# Masterclass")</f>
        <v>Complete C# Masterclass</v>
      </c>
      <c r="N157" s="140" t="str">
        <f>IFERROR(__xludf.DUMMYFUNCTION("""COMPUTED_VALUE"""),"")</f>
        <v/>
      </c>
    </row>
    <row r="158">
      <c r="A158" s="143">
        <f>IFERROR(__xludf.DUMMYFUNCTION("""COMPUTED_VALUE"""),44225.0)</f>
        <v>44225</v>
      </c>
      <c r="B158">
        <f>IFERROR(__xludf.DUMMYFUNCTION("""COMPUTED_VALUE"""),2010436.0)</f>
        <v>2010436</v>
      </c>
      <c r="C158" t="str">
        <f>IFERROR(__xludf.DUMMYFUNCTION("""COMPUTED_VALUE"""),"en")</f>
        <v>en</v>
      </c>
      <c r="D158" t="str">
        <f>IFERROR(__xludf.DUMMYFUNCTION("""COMPUTED_VALUE"""),"RF Microwave &amp; Transmission Line Theory - RAHRF200")</f>
        <v>RF Microwave &amp; Transmission Line Theory - RAHRF200</v>
      </c>
      <c r="E158" t="str">
        <f>IFERROR(__xludf.DUMMYFUNCTION("""COMPUTED_VALUE"""),"RF Microwave &amp; Transmission Line Theory - RAHRF200")</f>
        <v>RF Microwave &amp; Transmission Line Theory - RAHRF200</v>
      </c>
      <c r="F158">
        <f>IFERROR(__xludf.DUMMYFUNCTION("""COMPUTED_VALUE"""),3.12441E7)</f>
        <v>31244100</v>
      </c>
      <c r="G158" s="140" t="str">
        <f>IFERROR(__xludf.DUMMYFUNCTION("""COMPUTED_VALUE"""),"Rahsoft RF Certificate - Orange County, California")</f>
        <v>Rahsoft RF Certificate - Orange County, California</v>
      </c>
      <c r="H158" s="140" t="str">
        <f>IFERROR(__xludf.DUMMYFUNCTION("""COMPUTED_VALUE"""),"Instructor Request- Opted Out")</f>
        <v>Instructor Request- Opted Out</v>
      </c>
      <c r="I158" t="str">
        <f>IFERROR(__xludf.DUMMYFUNCTION("""COMPUTED_VALUE"""),"Development")</f>
        <v>Development</v>
      </c>
      <c r="J158" t="str">
        <f>IFERROR(__xludf.DUMMYFUNCTION("""COMPUTED_VALUE"""),"Development Tools")</f>
        <v>Development Tools</v>
      </c>
      <c r="L158" s="140" t="str">
        <f>IFERROR(__xludf.DUMMYFUNCTION("""COMPUTED_VALUE"""),"")</f>
        <v/>
      </c>
      <c r="N158" s="140" t="str">
        <f>IFERROR(__xludf.DUMMYFUNCTION("""COMPUTED_VALUE"""),"")</f>
        <v/>
      </c>
      <c r="O158" s="140" t="str">
        <f>IFERROR(__xludf.DUMMYFUNCTION("""COMPUTED_VALUE"""),"No Alternatives in Collection- 9/20/2020")</f>
        <v>No Alternatives in Collection- 9/20/2020</v>
      </c>
    </row>
    <row r="159">
      <c r="A159" s="143">
        <f>IFERROR(__xludf.DUMMYFUNCTION("""COMPUTED_VALUE"""),44225.0)</f>
        <v>44225</v>
      </c>
      <c r="B159">
        <f>IFERROR(__xludf.DUMMYFUNCTION("""COMPUTED_VALUE"""),1592140.0)</f>
        <v>1592140</v>
      </c>
      <c r="C159" t="str">
        <f>IFERROR(__xludf.DUMMYFUNCTION("""COMPUTED_VALUE"""),"en")</f>
        <v>en</v>
      </c>
      <c r="D159" t="str">
        <f>IFERROR(__xludf.DUMMYFUNCTION("""COMPUTED_VALUE"""),"Linux Command Line - From Zero to Expert")</f>
        <v>Linux Command Line - From Zero to Expert</v>
      </c>
      <c r="E159" t="str">
        <f>IFERROR(__xludf.DUMMYFUNCTION("""COMPUTED_VALUE"""),"Linux Command Line - From Zero to Expert")</f>
        <v>Linux Command Line - From Zero to Expert</v>
      </c>
      <c r="F159">
        <f>IFERROR(__xludf.DUMMYFUNCTION("""COMPUTED_VALUE"""),3.8022828E7)</f>
        <v>38022828</v>
      </c>
      <c r="G159" s="140" t="str">
        <f>IFERROR(__xludf.DUMMYFUNCTION("""COMPUTED_VALUE"""),"Mohammad Nauman")</f>
        <v>Mohammad Nauman</v>
      </c>
      <c r="H159" s="140" t="str">
        <f>IFERROR(__xludf.DUMMYFUNCTION("""COMPUTED_VALUE"""),"Instructor Request- Opted Out")</f>
        <v>Instructor Request- Opted Out</v>
      </c>
      <c r="I159" t="str">
        <f>IFERROR(__xludf.DUMMYFUNCTION("""COMPUTED_VALUE"""),"IT Operations")</f>
        <v>IT Operations</v>
      </c>
      <c r="J159" t="str">
        <f>IFERROR(__xludf.DUMMYFUNCTION("""COMPUTED_VALUE"""),"Operating Systems &amp; Servers")</f>
        <v>Operating Systems &amp; Servers</v>
      </c>
      <c r="K159">
        <f>IFERROR(__xludf.DUMMYFUNCTION("""COMPUTED_VALUE"""),1320362.0)</f>
        <v>1320362</v>
      </c>
      <c r="L159" s="140" t="str">
        <f>IFERROR(__xludf.DUMMYFUNCTION("""COMPUTED_VALUE"""),"Linux Mastery: Master the Linux Command Line in 11.5 Hours")</f>
        <v>Linux Mastery: Master the Linux Command Line in 11.5 Hours</v>
      </c>
      <c r="N159" s="140" t="str">
        <f>IFERROR(__xludf.DUMMYFUNCTION("""COMPUTED_VALUE"""),"")</f>
        <v/>
      </c>
    </row>
    <row r="160">
      <c r="A160" s="143">
        <f>IFERROR(__xludf.DUMMYFUNCTION("""COMPUTED_VALUE"""),44225.0)</f>
        <v>44225</v>
      </c>
      <c r="B160">
        <f>IFERROR(__xludf.DUMMYFUNCTION("""COMPUTED_VALUE"""),2964426.0)</f>
        <v>2964426</v>
      </c>
      <c r="C160" t="str">
        <f>IFERROR(__xludf.DUMMYFUNCTION("""COMPUTED_VALUE"""),"en")</f>
        <v>en</v>
      </c>
      <c r="D160" t="str">
        <f>IFERROR(__xludf.DUMMYFUNCTION("""COMPUTED_VALUE"""),"Ultimate Kubernetes Fast-Track Beginner to Advanced")</f>
        <v>Ultimate Kubernetes Fast-Track Beginner to Advanced</v>
      </c>
      <c r="E160" t="str">
        <f>IFERROR(__xludf.DUMMYFUNCTION("""COMPUTED_VALUE"""),"Ultimate Governments Fast-Track Beginner to Advanced")</f>
        <v>Ultimate Governments Fast-Track Beginner to Advanced</v>
      </c>
      <c r="F160">
        <f>IFERROR(__xludf.DUMMYFUNCTION("""COMPUTED_VALUE"""),7.8996894E7)</f>
        <v>78996894</v>
      </c>
      <c r="G160" s="140" t="str">
        <f>IFERROR(__xludf.DUMMYFUNCTION("""COMPUTED_VALUE"""),"Warp 9 Training")</f>
        <v>Warp 9 Training</v>
      </c>
      <c r="H160" s="140" t="str">
        <f>IFERROR(__xludf.DUMMYFUNCTION("""COMPUTED_VALUE"""),"Instructor Request- Opted Out")</f>
        <v>Instructor Request- Opted Out</v>
      </c>
      <c r="I160" t="str">
        <f>IFERROR(__xludf.DUMMYFUNCTION("""COMPUTED_VALUE"""),"Development")</f>
        <v>Development</v>
      </c>
      <c r="J160" t="str">
        <f>IFERROR(__xludf.DUMMYFUNCTION("""COMPUTED_VALUE"""),"Development Tools")</f>
        <v>Development Tools</v>
      </c>
      <c r="K160">
        <f>IFERROR(__xludf.DUMMYFUNCTION("""COMPUTED_VALUE"""),2964426.0)</f>
        <v>2964426</v>
      </c>
      <c r="L160" s="140" t="str">
        <f>IFERROR(__xludf.DUMMYFUNCTION("""COMPUTED_VALUE"""),"")</f>
        <v/>
      </c>
      <c r="M160" s="140">
        <f>IFERROR(__xludf.DUMMYFUNCTION("""COMPUTED_VALUE"""),1793828.0)</f>
        <v>1793828</v>
      </c>
      <c r="N160" s="140" t="str">
        <f>IFERROR(__xludf.DUMMYFUNCTION("""COMPUTED_VALUE"""),"Docker and Kubernetes: The Complete Guide")</f>
        <v>Docker and Kubernetes: The Complete Guide</v>
      </c>
    </row>
    <row r="161">
      <c r="A161" s="143">
        <f>IFERROR(__xludf.DUMMYFUNCTION("""COMPUTED_VALUE"""),44225.0)</f>
        <v>44225</v>
      </c>
      <c r="B161">
        <f>IFERROR(__xludf.DUMMYFUNCTION("""COMPUTED_VALUE"""),535562.0)</f>
        <v>535562</v>
      </c>
      <c r="C161" t="str">
        <f>IFERROR(__xludf.DUMMYFUNCTION("""COMPUTED_VALUE"""),"en")</f>
        <v>en</v>
      </c>
      <c r="D161" t="str">
        <f>IFERROR(__xludf.DUMMYFUNCTION("""COMPUTED_VALUE"""),"How to Program Games: Tile Classics in JS for HTML5 Canvas")</f>
        <v>How to Program Games: Tile Classics in JS for HTML5 Canvas</v>
      </c>
      <c r="E161" t="str">
        <f>IFERROR(__xludf.DUMMYFUNCTION("""COMPUTED_VALUE"""),"How to Program Games: Tile Classics in JS for HTML5 Canvas")</f>
        <v>How to Program Games: Tile Classics in JS for HTML5 Canvas</v>
      </c>
      <c r="F161">
        <f>IFERROR(__xludf.DUMMYFUNCTION("""COMPUTED_VALUE"""),833735.0)</f>
        <v>833735</v>
      </c>
      <c r="G161" s="140" t="str">
        <f>IFERROR(__xludf.DUMMYFUNCTION("""COMPUTED_VALUE"""),"Chris DeLeon")</f>
        <v>Chris DeLeon</v>
      </c>
      <c r="H161" s="140" t="str">
        <f>IFERROR(__xludf.DUMMYFUNCTION("""COMPUTED_VALUE"""),"Instructor Request- Opted Out")</f>
        <v>Instructor Request- Opted Out</v>
      </c>
      <c r="I161" t="str">
        <f>IFERROR(__xludf.DUMMYFUNCTION("""COMPUTED_VALUE"""),"Development")</f>
        <v>Development</v>
      </c>
      <c r="J161" t="str">
        <f>IFERROR(__xludf.DUMMYFUNCTION("""COMPUTED_VALUE"""),"Game Development")</f>
        <v>Game Development</v>
      </c>
      <c r="L161" s="140" t="str">
        <f>IFERROR(__xludf.DUMMYFUNCTION("""COMPUTED_VALUE"""),"")</f>
        <v/>
      </c>
      <c r="N161" s="140" t="str">
        <f>IFERROR(__xludf.DUMMYFUNCTION("""COMPUTED_VALUE"""),"")</f>
        <v/>
      </c>
      <c r="O161" s="140" t="str">
        <f>IFERROR(__xludf.DUMMYFUNCTION("""COMPUTED_VALUE"""),"No Alternatives in Collection- 1/21/2021")</f>
        <v>No Alternatives in Collection- 1/21/2021</v>
      </c>
    </row>
    <row r="162">
      <c r="A162" s="143">
        <f>IFERROR(__xludf.DUMMYFUNCTION("""COMPUTED_VALUE"""),44225.0)</f>
        <v>44225</v>
      </c>
      <c r="B162">
        <f>IFERROR(__xludf.DUMMYFUNCTION("""COMPUTED_VALUE"""),821360.0)</f>
        <v>821360</v>
      </c>
      <c r="C162" t="str">
        <f>IFERROR(__xludf.DUMMYFUNCTION("""COMPUTED_VALUE"""),"en")</f>
        <v>en</v>
      </c>
      <c r="D162" t="str">
        <f>IFERROR(__xludf.DUMMYFUNCTION("""COMPUTED_VALUE"""),"Process Visualization with HMI / SCADA (PLC III)")</f>
        <v>Process Visualization with HMI / SCADA (PLC III)</v>
      </c>
      <c r="E162" t="str">
        <f>IFERROR(__xludf.DUMMYFUNCTION("""COMPUTED_VALUE"""),"Process Visualization with HMI / SCADA (PLC III)")</f>
        <v>Process Visualization with HMI / SCADA (PLC III)</v>
      </c>
      <c r="F162">
        <f>IFERROR(__xludf.DUMMYFUNCTION("""COMPUTED_VALUE"""),2330472.0)</f>
        <v>2330472</v>
      </c>
      <c r="G162" s="140" t="str">
        <f>IFERROR(__xludf.DUMMYFUNCTION("""COMPUTED_VALUE"""),"Paul Lynn")</f>
        <v>Paul Lynn</v>
      </c>
      <c r="H162" s="140" t="str">
        <f>IFERROR(__xludf.DUMMYFUNCTION("""COMPUTED_VALUE"""),"Instructor Request- Opted Out")</f>
        <v>Instructor Request- Opted Out</v>
      </c>
      <c r="I162" t="str">
        <f>IFERROR(__xludf.DUMMYFUNCTION("""COMPUTED_VALUE"""),"IT Operations")</f>
        <v>IT Operations</v>
      </c>
      <c r="J162" t="str">
        <f>IFERROR(__xludf.DUMMYFUNCTION("""COMPUTED_VALUE"""),"Hardware")</f>
        <v>Hardware</v>
      </c>
      <c r="K162">
        <f>IFERROR(__xludf.DUMMYFUNCTION("""COMPUTED_VALUE"""),442896.0)</f>
        <v>442896</v>
      </c>
      <c r="L162" s="140" t="str">
        <f>IFERROR(__xludf.DUMMYFUNCTION("""COMPUTED_VALUE"""),"Learn SCADA from Scratch - Design, Program and Interface")</f>
        <v>Learn SCADA from Scratch - Design, Program and Interface</v>
      </c>
      <c r="M162" s="140">
        <f>IFERROR(__xludf.DUMMYFUNCTION("""COMPUTED_VALUE"""),1741850.0)</f>
        <v>1741850</v>
      </c>
      <c r="N162" s="140" t="str">
        <f>IFERROR(__xludf.DUMMYFUNCTION("""COMPUTED_VALUE"""),"HMI Programming &amp; Design - FactoryTalk View ME SCADA PLC")</f>
        <v>HMI Programming &amp; Design - FactoryTalk View ME SCADA PLC</v>
      </c>
    </row>
    <row r="163">
      <c r="A163" s="143">
        <f>IFERROR(__xludf.DUMMYFUNCTION("""COMPUTED_VALUE"""),44225.0)</f>
        <v>44225</v>
      </c>
      <c r="B163">
        <f>IFERROR(__xludf.DUMMYFUNCTION("""COMPUTED_VALUE"""),949316.0)</f>
        <v>949316</v>
      </c>
      <c r="C163" t="str">
        <f>IFERROR(__xludf.DUMMYFUNCTION("""COMPUTED_VALUE"""),"en")</f>
        <v>en</v>
      </c>
      <c r="D163" t="str">
        <f>IFERROR(__xludf.DUMMYFUNCTION("""COMPUTED_VALUE"""),"Foundations for Mastering Watercolor Painting")</f>
        <v>Foundations for Mastering Watercolor Painting</v>
      </c>
      <c r="E163" t="str">
        <f>IFERROR(__xludf.DUMMYFUNCTION("""COMPUTED_VALUE"""),"Foundations for Mastering Watercolor Painting")</f>
        <v>Foundations for Mastering Watercolor Painting</v>
      </c>
      <c r="F163">
        <f>IFERROR(__xludf.DUMMYFUNCTION("""COMPUTED_VALUE"""),2.2596358E7)</f>
        <v>22596358</v>
      </c>
      <c r="G163" s="140" t="str">
        <f>IFERROR(__xludf.DUMMYFUNCTION("""COMPUTED_VALUE"""),"Jill Poyerd")</f>
        <v>Jill Poyerd</v>
      </c>
      <c r="H163" s="140" t="str">
        <f>IFERROR(__xludf.DUMMYFUNCTION("""COMPUTED_VALUE"""),"Instructor Request- Opted Out")</f>
        <v>Instructor Request- Opted Out</v>
      </c>
      <c r="I163" t="str">
        <f>IFERROR(__xludf.DUMMYFUNCTION("""COMPUTED_VALUE"""),"Personal Development")</f>
        <v>Personal Development</v>
      </c>
      <c r="J163" t="str">
        <f>IFERROR(__xludf.DUMMYFUNCTION("""COMPUTED_VALUE"""),"Arts &amp; Creativity")</f>
        <v>Arts &amp; Creativity</v>
      </c>
      <c r="K163">
        <f>IFERROR(__xludf.DUMMYFUNCTION("""COMPUTED_VALUE"""),72964.0)</f>
        <v>72964</v>
      </c>
      <c r="L163" s="140" t="str">
        <f>IFERROR(__xludf.DUMMYFUNCTION("""COMPUTED_VALUE"""),"BEST SELLER Beginners Watercolor. Get clear on the BASICS.")</f>
        <v>BEST SELLER Beginners Watercolor. Get clear on the BASICS.</v>
      </c>
      <c r="N163" s="140" t="str">
        <f>IFERROR(__xludf.DUMMYFUNCTION("""COMPUTED_VALUE"""),"")</f>
        <v/>
      </c>
    </row>
    <row r="164">
      <c r="A164" s="143">
        <f>IFERROR(__xludf.DUMMYFUNCTION("""COMPUTED_VALUE"""),44225.0)</f>
        <v>44225</v>
      </c>
      <c r="B164">
        <f>IFERROR(__xludf.DUMMYFUNCTION("""COMPUTED_VALUE"""),735796.0)</f>
        <v>735796</v>
      </c>
      <c r="C164" t="str">
        <f>IFERROR(__xludf.DUMMYFUNCTION("""COMPUTED_VALUE"""),"en")</f>
        <v>en</v>
      </c>
      <c r="D164" t="str">
        <f>IFERROR(__xludf.DUMMYFUNCTION("""COMPUTED_VALUE"""),"Object Orientation in PHP")</f>
        <v>Object Orientation in PHP</v>
      </c>
      <c r="E164" t="str">
        <f>IFERROR(__xludf.DUMMYFUNCTION("""COMPUTED_VALUE"""),"Object Orientation in PHP")</f>
        <v>Object Orientation in PHP</v>
      </c>
      <c r="F164">
        <f>IFERROR(__xludf.DUMMYFUNCTION("""COMPUTED_VALUE"""),3410094.0)</f>
        <v>3410094</v>
      </c>
      <c r="G164" s="140" t="str">
        <f>IFERROR(__xludf.DUMMYFUNCTION("""COMPUTED_VALUE"""),"Lawrence Turton")</f>
        <v>Lawrence Turton</v>
      </c>
      <c r="H164" s="140" t="str">
        <f>IFERROR(__xludf.DUMMYFUNCTION("""COMPUTED_VALUE"""),"Saturated Topic")</f>
        <v>Saturated Topic</v>
      </c>
      <c r="I164" t="str">
        <f>IFERROR(__xludf.DUMMYFUNCTION("""COMPUTED_VALUE"""),"Development")</f>
        <v>Development</v>
      </c>
      <c r="J164" t="str">
        <f>IFERROR(__xludf.DUMMYFUNCTION("""COMPUTED_VALUE"""),"Programming Languages")</f>
        <v>Programming Languages</v>
      </c>
      <c r="K164">
        <f>IFERROR(__xludf.DUMMYFUNCTION("""COMPUTED_VALUE"""),1576856.0)</f>
        <v>1576856</v>
      </c>
      <c r="L164" s="140" t="str">
        <f>IFERROR(__xludf.DUMMYFUNCTION("""COMPUTED_VALUE"""),"PHP for Beginners")</f>
        <v>PHP for Beginners</v>
      </c>
      <c r="N164" s="140" t="str">
        <f>IFERROR(__xludf.DUMMYFUNCTION("""COMPUTED_VALUE"""),"")</f>
        <v/>
      </c>
    </row>
    <row r="165">
      <c r="A165" s="143">
        <f>IFERROR(__xludf.DUMMYFUNCTION("""COMPUTED_VALUE"""),44225.0)</f>
        <v>44225</v>
      </c>
      <c r="B165">
        <f>IFERROR(__xludf.DUMMYFUNCTION("""COMPUTED_VALUE"""),656714.0)</f>
        <v>656714</v>
      </c>
      <c r="C165" t="str">
        <f>IFERROR(__xludf.DUMMYFUNCTION("""COMPUTED_VALUE"""),"en")</f>
        <v>en</v>
      </c>
      <c r="D165" t="str">
        <f>IFERROR(__xludf.DUMMYFUNCTION("""COMPUTED_VALUE"""),"3D Modeling Piped Systems in AutoCAD")</f>
        <v>3D Modeling Piped Systems in AutoCAD</v>
      </c>
      <c r="E165" t="str">
        <f>IFERROR(__xludf.DUMMYFUNCTION("""COMPUTED_VALUE"""),"3D Modeling Piped Systems in AutoCAD")</f>
        <v>3D Modeling Piped Systems in AutoCAD</v>
      </c>
      <c r="F165">
        <f>IFERROR(__xludf.DUMMYFUNCTION("""COMPUTED_VALUE"""),2330472.0)</f>
        <v>2330472</v>
      </c>
      <c r="G165" s="140" t="str">
        <f>IFERROR(__xludf.DUMMYFUNCTION("""COMPUTED_VALUE"""),"Paul Lynn")</f>
        <v>Paul Lynn</v>
      </c>
      <c r="H165" s="140" t="str">
        <f>IFERROR(__xludf.DUMMYFUNCTION("""COMPUTED_VALUE"""),"Instructor Request- Opted Out")</f>
        <v>Instructor Request- Opted Out</v>
      </c>
      <c r="I165" t="str">
        <f>IFERROR(__xludf.DUMMYFUNCTION("""COMPUTED_VALUE"""),"Design")</f>
        <v>Design</v>
      </c>
      <c r="J165" t="str">
        <f>IFERROR(__xludf.DUMMYFUNCTION("""COMPUTED_VALUE"""),"Design Tools")</f>
        <v>Design Tools</v>
      </c>
      <c r="K165">
        <f>IFERROR(__xludf.DUMMYFUNCTION("""COMPUTED_VALUE"""),1691762.0)</f>
        <v>1691762</v>
      </c>
      <c r="L165" s="140" t="str">
        <f>IFERROR(__xludf.DUMMYFUNCTION("""COMPUTED_VALUE"""),"60 AutoCAD 2D &amp; 3D Drawings and Practical Projects")</f>
        <v>60 AutoCAD 2D &amp; 3D Drawings and Practical Projects</v>
      </c>
      <c r="M165" s="140">
        <f>IFERROR(__xludf.DUMMYFUNCTION("""COMPUTED_VALUE"""),1271196.0)</f>
        <v>1271196</v>
      </c>
      <c r="N165" s="140" t="str">
        <f>IFERROR(__xludf.DUMMYFUNCTION("""COMPUTED_VALUE"""),"The complete AutoCAD 2018-21 course")</f>
        <v>The complete AutoCAD 2018-21 course</v>
      </c>
    </row>
    <row r="166">
      <c r="A166" s="143">
        <f>IFERROR(__xludf.DUMMYFUNCTION("""COMPUTED_VALUE"""),44225.0)</f>
        <v>44225</v>
      </c>
      <c r="B166">
        <f>IFERROR(__xludf.DUMMYFUNCTION("""COMPUTED_VALUE"""),711592.0)</f>
        <v>711592</v>
      </c>
      <c r="C166" t="str">
        <f>IFERROR(__xludf.DUMMYFUNCTION("""COMPUTED_VALUE"""),"en")</f>
        <v>en</v>
      </c>
      <c r="D166" t="str">
        <f>IFERROR(__xludf.DUMMYFUNCTION("""COMPUTED_VALUE"""),"Using Modern JavaScript Today")</f>
        <v>Using Modern JavaScript Today</v>
      </c>
      <c r="E166" t="str">
        <f>IFERROR(__xludf.DUMMYFUNCTION("""COMPUTED_VALUE"""),"Using Modern JavaScript Today")</f>
        <v>Using Modern JavaScript Today</v>
      </c>
      <c r="F166">
        <f>IFERROR(__xludf.DUMMYFUNCTION("""COMPUTED_VALUE"""),2154592.0)</f>
        <v>2154592</v>
      </c>
      <c r="G166" s="140" t="str">
        <f>IFERROR(__xludf.DUMMYFUNCTION("""COMPUTED_VALUE"""),"3D BUZZ Programming and Digital Art training")</f>
        <v>3D BUZZ Programming and Digital Art training</v>
      </c>
      <c r="H166" s="140" t="str">
        <f>IFERROR(__xludf.DUMMYFUNCTION("""COMPUTED_VALUE"""),"Saturated Topic")</f>
        <v>Saturated Topic</v>
      </c>
      <c r="I166" t="str">
        <f>IFERROR(__xludf.DUMMYFUNCTION("""COMPUTED_VALUE"""),"Development")</f>
        <v>Development</v>
      </c>
      <c r="J166" t="str">
        <f>IFERROR(__xludf.DUMMYFUNCTION("""COMPUTED_VALUE"""),"Web Development")</f>
        <v>Web Development</v>
      </c>
      <c r="K166">
        <f>IFERROR(__xludf.DUMMYFUNCTION("""COMPUTED_VALUE"""),1470810.0)</f>
        <v>1470810</v>
      </c>
      <c r="L166" s="140" t="str">
        <f>IFERROR(__xludf.DUMMYFUNCTION("""COMPUTED_VALUE"""),"The Modern JavaScript Bootcamp")</f>
        <v>The Modern JavaScript Bootcamp</v>
      </c>
      <c r="N166" s="140" t="str">
        <f>IFERROR(__xludf.DUMMYFUNCTION("""COMPUTED_VALUE"""),"")</f>
        <v/>
      </c>
    </row>
    <row r="167">
      <c r="A167" s="143">
        <f>IFERROR(__xludf.DUMMYFUNCTION("""COMPUTED_VALUE"""),44225.0)</f>
        <v>44225</v>
      </c>
      <c r="B167">
        <f>IFERROR(__xludf.DUMMYFUNCTION("""COMPUTED_VALUE"""),1038568.0)</f>
        <v>1038568</v>
      </c>
      <c r="C167" t="str">
        <f>IFERROR(__xludf.DUMMYFUNCTION("""COMPUTED_VALUE"""),"en")</f>
        <v>en</v>
      </c>
      <c r="D167" t="str">
        <f>IFERROR(__xludf.DUMMYFUNCTION("""COMPUTED_VALUE"""),"Adobe Muse CC Course - Design and Launch Websites")</f>
        <v>Adobe Muse CC Course - Design and Launch Websites</v>
      </c>
      <c r="E167" t="str">
        <f>IFERROR(__xludf.DUMMYFUNCTION("""COMPUTED_VALUE"""),"Adobe Muse CC Course - Design and Launch Websites")</f>
        <v>Adobe Muse CC Course - Design and Launch Websites</v>
      </c>
      <c r="F167">
        <f>IFERROR(__xludf.DUMMYFUNCTION("""COMPUTED_VALUE"""),8918328.0)</f>
        <v>8918328</v>
      </c>
      <c r="G167" s="140" t="str">
        <f>IFERROR(__xludf.DUMMYFUNCTION("""COMPUTED_VALUE"""),"Chad Neuman, Ph.D.")</f>
        <v>Chad Neuman, Ph.D.</v>
      </c>
      <c r="H167" s="140" t="str">
        <f>IFERROR(__xludf.DUMMYFUNCTION("""COMPUTED_VALUE"""),"Saturated Topic")</f>
        <v>Saturated Topic</v>
      </c>
      <c r="I167" t="str">
        <f>IFERROR(__xludf.DUMMYFUNCTION("""COMPUTED_VALUE"""),"Design")</f>
        <v>Design</v>
      </c>
      <c r="J167" t="str">
        <f>IFERROR(__xludf.DUMMYFUNCTION("""COMPUTED_VALUE"""),"Design Tools")</f>
        <v>Design Tools</v>
      </c>
      <c r="L167" s="140" t="str">
        <f>IFERROR(__xludf.DUMMYFUNCTION("""COMPUTED_VALUE"""),"")</f>
        <v/>
      </c>
      <c r="N167" s="140" t="str">
        <f>IFERROR(__xludf.DUMMYFUNCTION("""COMPUTED_VALUE"""),"")</f>
        <v/>
      </c>
      <c r="O167" s="140" t="str">
        <f>IFERROR(__xludf.DUMMYFUNCTION("""COMPUTED_VALUE"""),"No Alternatives in Collection - 11/6")</f>
        <v>No Alternatives in Collection - 11/6</v>
      </c>
    </row>
    <row r="168">
      <c r="A168" s="143">
        <f>IFERROR(__xludf.DUMMYFUNCTION("""COMPUTED_VALUE"""),44225.0)</f>
        <v>44225</v>
      </c>
      <c r="B168">
        <f>IFERROR(__xludf.DUMMYFUNCTION("""COMPUTED_VALUE"""),625274.0)</f>
        <v>625274</v>
      </c>
      <c r="C168" t="str">
        <f>IFERROR(__xludf.DUMMYFUNCTION("""COMPUTED_VALUE"""),"en")</f>
        <v>en</v>
      </c>
      <c r="D168" t="str">
        <f>IFERROR(__xludf.DUMMYFUNCTION("""COMPUTED_VALUE"""),"8-Hour Yoga Alignment Course with Lesley Fightmaster")</f>
        <v>8-Hour Yoga Alignment Course with Lesley Fightmaster</v>
      </c>
      <c r="E168" t="str">
        <f>IFERROR(__xludf.DUMMYFUNCTION("""COMPUTED_VALUE"""),"8-Hour Yoga Alignment Course with Lesley Fightmaster")</f>
        <v>8-Hour Yoga Alignment Course with Lesley Fightmaster</v>
      </c>
      <c r="F168">
        <f>IFERROR(__xludf.DUMMYFUNCTION("""COMPUTED_VALUE"""),1.6278096E7)</f>
        <v>16278096</v>
      </c>
      <c r="G168" s="140" t="str">
        <f>IFERROR(__xludf.DUMMYFUNCTION("""COMPUTED_VALUE"""),"Lesley Fightmaster")</f>
        <v>Lesley Fightmaster</v>
      </c>
      <c r="H168" s="140" t="str">
        <f>IFERROR(__xludf.DUMMYFUNCTION("""COMPUTED_VALUE"""),"Saturated Topic")</f>
        <v>Saturated Topic</v>
      </c>
      <c r="I168" t="str">
        <f>IFERROR(__xludf.DUMMYFUNCTION("""COMPUTED_VALUE"""),"Personal Development")</f>
        <v>Personal Development</v>
      </c>
      <c r="J168" t="str">
        <f>IFERROR(__xludf.DUMMYFUNCTION("""COMPUTED_VALUE"""),"Health &amp; Fitness")</f>
        <v>Health &amp; Fitness</v>
      </c>
      <c r="K168">
        <f>IFERROR(__xludf.DUMMYFUNCTION("""COMPUTED_VALUE"""),395170.0)</f>
        <v>395170</v>
      </c>
      <c r="L168" s="140" t="str">
        <f>IFERROR(__xludf.DUMMYFUNCTION("""COMPUTED_VALUE"""),"15 Minutes x 15 Days Yoga Mobility Challenge")</f>
        <v>15 Minutes x 15 Days Yoga Mobility Challenge</v>
      </c>
      <c r="N168" s="140" t="str">
        <f>IFERROR(__xludf.DUMMYFUNCTION("""COMPUTED_VALUE"""),"")</f>
        <v/>
      </c>
    </row>
    <row r="169">
      <c r="A169" s="143">
        <f>IFERROR(__xludf.DUMMYFUNCTION("""COMPUTED_VALUE"""),44225.0)</f>
        <v>44225</v>
      </c>
      <c r="B169">
        <f>IFERROR(__xludf.DUMMYFUNCTION("""COMPUTED_VALUE"""),1969944.0)</f>
        <v>1969944</v>
      </c>
      <c r="C169" t="str">
        <f>IFERROR(__xludf.DUMMYFUNCTION("""COMPUTED_VALUE"""),"en")</f>
        <v>en</v>
      </c>
      <c r="D169" t="str">
        <f>IFERROR(__xludf.DUMMYFUNCTION("""COMPUTED_VALUE"""),"Siemens TIA Portal Step 7 WinCC PLC HMI (PLC-S)")</f>
        <v>Siemens TIA Portal Step 7 WinCC PLC HMI (PLC-S)</v>
      </c>
      <c r="E169" t="str">
        <f>IFERROR(__xludf.DUMMYFUNCTION("""COMPUTED_VALUE"""),"Siemens TIA Portal Step 7 WinCC PLC HMI (PLC-S)")</f>
        <v>Siemens TIA Portal Step 7 WinCC PLC HMI (PLC-S)</v>
      </c>
      <c r="F169">
        <f>IFERROR(__xludf.DUMMYFUNCTION("""COMPUTED_VALUE"""),2330472.0)</f>
        <v>2330472</v>
      </c>
      <c r="G169" s="140" t="str">
        <f>IFERROR(__xludf.DUMMYFUNCTION("""COMPUTED_VALUE"""),"Paul Lynn")</f>
        <v>Paul Lynn</v>
      </c>
      <c r="H169" s="140" t="str">
        <f>IFERROR(__xludf.DUMMYFUNCTION("""COMPUTED_VALUE"""),"Instructor Request- Opted Out")</f>
        <v>Instructor Request- Opted Out</v>
      </c>
      <c r="I169" t="str">
        <f>IFERROR(__xludf.DUMMYFUNCTION("""COMPUTED_VALUE"""),"IT Operations")</f>
        <v>IT Operations</v>
      </c>
      <c r="J169" t="str">
        <f>IFERROR(__xludf.DUMMYFUNCTION("""COMPUTED_VALUE"""),"Hardware")</f>
        <v>Hardware</v>
      </c>
      <c r="L169" s="140" t="str">
        <f>IFERROR(__xludf.DUMMYFUNCTION("""COMPUTED_VALUE"""),"")</f>
        <v/>
      </c>
      <c r="N169" s="140" t="str">
        <f>IFERROR(__xludf.DUMMYFUNCTION("""COMPUTED_VALUE"""),"")</f>
        <v/>
      </c>
      <c r="O169" s="140" t="str">
        <f>IFERROR(__xludf.DUMMYFUNCTION("""COMPUTED_VALUE"""),"No Alternatives in Collection - 9/16")</f>
        <v>No Alternatives in Collection - 9/16</v>
      </c>
    </row>
    <row r="170">
      <c r="A170" s="143">
        <f>IFERROR(__xludf.DUMMYFUNCTION("""COMPUTED_VALUE"""),44225.0)</f>
        <v>44225</v>
      </c>
      <c r="B170">
        <f>IFERROR(__xludf.DUMMYFUNCTION("""COMPUTED_VALUE"""),19063.0)</f>
        <v>19063</v>
      </c>
      <c r="C170" t="str">
        <f>IFERROR(__xludf.DUMMYFUNCTION("""COMPUTED_VALUE"""),"en")</f>
        <v>en</v>
      </c>
      <c r="D170" t="str">
        <f>IFERROR(__xludf.DUMMYFUNCTION("""COMPUTED_VALUE"""),"Adobe Illustrator CS5 (Beginning, Intermediate, &amp; Advanced)")</f>
        <v>Adobe Illustrator CS5 (Beginning, Intermediate, &amp; Advanced)</v>
      </c>
      <c r="E170" t="str">
        <f>IFERROR(__xludf.DUMMYFUNCTION("""COMPUTED_VALUE"""),"Adobe Illustrator CS5 (Beginning, Intermediate, &amp; Advanced)")</f>
        <v>Adobe Illustrator CS5 (Beginning, Intermediate, &amp; Advanced)</v>
      </c>
      <c r="F170">
        <f>IFERROR(__xludf.DUMMYFUNCTION("""COMPUTED_VALUE"""),232846.0)</f>
        <v>232846</v>
      </c>
      <c r="G170" s="140" t="str">
        <f>IFERROR(__xludf.DUMMYFUNCTION("""COMPUTED_VALUE"""),"Learnit Anytime")</f>
        <v>Learnit Anytime</v>
      </c>
      <c r="H170" t="str">
        <f>IFERROR(__xludf.DUMMYFUNCTION("""COMPUTED_VALUE"""),"Outdated")</f>
        <v>Outdated</v>
      </c>
      <c r="I170" t="str">
        <f>IFERROR(__xludf.DUMMYFUNCTION("""COMPUTED_VALUE"""),"Design")</f>
        <v>Design</v>
      </c>
      <c r="J170" t="str">
        <f>IFERROR(__xludf.DUMMYFUNCTION("""COMPUTED_VALUE"""),"Design Tools")</f>
        <v>Design Tools</v>
      </c>
      <c r="K170">
        <f>IFERROR(__xludf.DUMMYFUNCTION("""COMPUTED_VALUE"""),1197206.0)</f>
        <v>1197206</v>
      </c>
      <c r="L170" s="140" t="str">
        <f>IFERROR(__xludf.DUMMYFUNCTION("""COMPUTED_VALUE"""),"Illustrator 2021 MasterClass")</f>
        <v>Illustrator 2021 MasterClass</v>
      </c>
      <c r="N170" s="140" t="str">
        <f>IFERROR(__xludf.DUMMYFUNCTION("""COMPUTED_VALUE"""),"")</f>
        <v/>
      </c>
    </row>
    <row r="171">
      <c r="A171" s="143">
        <f>IFERROR(__xludf.DUMMYFUNCTION("""COMPUTED_VALUE"""),44225.0)</f>
        <v>44225</v>
      </c>
      <c r="B171">
        <f>IFERROR(__xludf.DUMMYFUNCTION("""COMPUTED_VALUE"""),811172.0)</f>
        <v>811172</v>
      </c>
      <c r="C171" t="str">
        <f>IFERROR(__xludf.DUMMYFUNCTION("""COMPUTED_VALUE"""),"en")</f>
        <v>en</v>
      </c>
      <c r="D171" t="str">
        <f>IFERROR(__xludf.DUMMYFUNCTION("""COMPUTED_VALUE"""),"Practical PLC Programming (PLC II)")</f>
        <v>Practical PLC Programming (PLC II)</v>
      </c>
      <c r="E171" t="str">
        <f>IFERROR(__xludf.DUMMYFUNCTION("""COMPUTED_VALUE"""),"Practical PLC Programming (PLC II)")</f>
        <v>Practical PLC Programming (PLC II)</v>
      </c>
      <c r="F171">
        <f>IFERROR(__xludf.DUMMYFUNCTION("""COMPUTED_VALUE"""),2330472.0)</f>
        <v>2330472</v>
      </c>
      <c r="G171" s="140" t="str">
        <f>IFERROR(__xludf.DUMMYFUNCTION("""COMPUTED_VALUE"""),"Paul Lynn")</f>
        <v>Paul Lynn</v>
      </c>
      <c r="H171" s="140" t="str">
        <f>IFERROR(__xludf.DUMMYFUNCTION("""COMPUTED_VALUE"""),"Instructor Request- Opted Out")</f>
        <v>Instructor Request- Opted Out</v>
      </c>
      <c r="I171" t="str">
        <f>IFERROR(__xludf.DUMMYFUNCTION("""COMPUTED_VALUE"""),"IT Operations")</f>
        <v>IT Operations</v>
      </c>
      <c r="J171" t="str">
        <f>IFERROR(__xludf.DUMMYFUNCTION("""COMPUTED_VALUE"""),"Hardware")</f>
        <v>Hardware</v>
      </c>
      <c r="K171">
        <f>IFERROR(__xludf.DUMMYFUNCTION("""COMPUTED_VALUE"""),1482442.0)</f>
        <v>1482442</v>
      </c>
      <c r="L171" s="140" t="str">
        <f>IFERROR(__xludf.DUMMYFUNCTION("""COMPUTED_VALUE"""),"From Wire to PLC , A Bootcamp In Industrial Automation")</f>
        <v>From Wire to PLC , A Bootcamp In Industrial Automation</v>
      </c>
      <c r="N171" s="140" t="str">
        <f>IFERROR(__xludf.DUMMYFUNCTION("""COMPUTED_VALUE"""),"")</f>
        <v/>
      </c>
    </row>
    <row r="172">
      <c r="A172" s="143">
        <f>IFERROR(__xludf.DUMMYFUNCTION("""COMPUTED_VALUE"""),44225.0)</f>
        <v>44225</v>
      </c>
      <c r="B172">
        <f>IFERROR(__xludf.DUMMYFUNCTION("""COMPUTED_VALUE"""),1449486.0)</f>
        <v>1449486</v>
      </c>
      <c r="C172" t="str">
        <f>IFERROR(__xludf.DUMMYFUNCTION("""COMPUTED_VALUE"""),"en")</f>
        <v>en</v>
      </c>
      <c r="D172" t="str">
        <f>IFERROR(__xludf.DUMMYFUNCTION("""COMPUTED_VALUE"""),"Mastering Brushstrokes - Part 2")</f>
        <v>Mastering Brushstrokes - Part 2</v>
      </c>
      <c r="E172" t="str">
        <f>IFERROR(__xludf.DUMMYFUNCTION("""COMPUTED_VALUE"""),"Mastering Brushstrokes - Part 2")</f>
        <v>Mastering Brushstrokes - Part 2</v>
      </c>
      <c r="F172">
        <f>IFERROR(__xludf.DUMMYFUNCTION("""COMPUTED_VALUE"""),2.2596358E7)</f>
        <v>22596358</v>
      </c>
      <c r="G172" s="140" t="str">
        <f>IFERROR(__xludf.DUMMYFUNCTION("""COMPUTED_VALUE"""),"Jill Poyerd")</f>
        <v>Jill Poyerd</v>
      </c>
      <c r="H172" s="140" t="str">
        <f>IFERROR(__xludf.DUMMYFUNCTION("""COMPUTED_VALUE"""),"Instructor Request- Opted Out")</f>
        <v>Instructor Request- Opted Out</v>
      </c>
      <c r="I172" t="str">
        <f>IFERROR(__xludf.DUMMYFUNCTION("""COMPUTED_VALUE"""),"Personal Development")</f>
        <v>Personal Development</v>
      </c>
      <c r="J172" t="str">
        <f>IFERROR(__xludf.DUMMYFUNCTION("""COMPUTED_VALUE"""),"Arts &amp; Creativity")</f>
        <v>Arts &amp; Creativity</v>
      </c>
      <c r="L172" s="140" t="str">
        <f>IFERROR(__xludf.DUMMYFUNCTION("""COMPUTED_VALUE"""),"")</f>
        <v/>
      </c>
      <c r="N172" s="140" t="str">
        <f>IFERROR(__xludf.DUMMYFUNCTION("""COMPUTED_VALUE"""),"")</f>
        <v/>
      </c>
      <c r="O172" s="140" t="str">
        <f>IFERROR(__xludf.DUMMYFUNCTION("""COMPUTED_VALUE"""),"No Alternatives in Collection- 9/20/2020")</f>
        <v>No Alternatives in Collection- 9/20/2020</v>
      </c>
    </row>
    <row r="173">
      <c r="A173" s="143">
        <f>IFERROR(__xludf.DUMMYFUNCTION("""COMPUTED_VALUE"""),44225.0)</f>
        <v>44225</v>
      </c>
      <c r="B173">
        <f>IFERROR(__xludf.DUMMYFUNCTION("""COMPUTED_VALUE"""),1835990.0)</f>
        <v>1835990</v>
      </c>
      <c r="C173" t="str">
        <f>IFERROR(__xludf.DUMMYFUNCTION("""COMPUTED_VALUE"""),"pt")</f>
        <v>pt</v>
      </c>
      <c r="D173" t="str">
        <f>IFERROR(__xludf.DUMMYFUNCTION("""COMPUTED_VALUE"""),"DevOps potencializa implantação de qualidade e agilidade")</f>
        <v>DevOps potencializa implantação de qualidade e agilidade</v>
      </c>
      <c r="E173" t="str">
        <f>IFERROR(__xludf.DUMMYFUNCTION("""COMPUTED_VALUE"""),"DevOps potentiate implantation of quality and agility")</f>
        <v>DevOps potentiate implantation of quality and agility</v>
      </c>
      <c r="F173">
        <f>IFERROR(__xludf.DUMMYFUNCTION("""COMPUTED_VALUE"""),4.8172394E7)</f>
        <v>48172394</v>
      </c>
      <c r="G173" s="140" t="str">
        <f>IFERROR(__xludf.DUMMYFUNCTION("""COMPUTED_VALUE"""),"Muniz Antonio")</f>
        <v>Muniz Antonio</v>
      </c>
      <c r="H173" s="140" t="str">
        <f>IFERROR(__xludf.DUMMYFUNCTION("""COMPUTED_VALUE"""),"Instructor Request- Opted Out")</f>
        <v>Instructor Request- Opted Out</v>
      </c>
      <c r="I173" t="str">
        <f>IFERROR(__xludf.DUMMYFUNCTION("""COMPUTED_VALUE"""),"Development")</f>
        <v>Development</v>
      </c>
      <c r="J173" t="str">
        <f>IFERROR(__xludf.DUMMYFUNCTION("""COMPUTED_VALUE"""),"Development Tools")</f>
        <v>Development Tools</v>
      </c>
      <c r="K173">
        <f>IFERROR(__xludf.DUMMYFUNCTION("""COMPUTED_VALUE"""),1968160.0)</f>
        <v>1968160</v>
      </c>
      <c r="L173" s="140" t="str">
        <f>IFERROR(__xludf.DUMMYFUNCTION("""COMPUTED_VALUE"""),"Azure DevOps - Integração Contínua e Entrega Contínua")</f>
        <v>Azure DevOps - Integração Contínua e Entrega Contínua</v>
      </c>
      <c r="N173" s="140" t="str">
        <f>IFERROR(__xludf.DUMMYFUNCTION("""COMPUTED_VALUE"""),"")</f>
        <v/>
      </c>
    </row>
    <row r="174">
      <c r="A174" s="143">
        <f>IFERROR(__xludf.DUMMYFUNCTION("""COMPUTED_VALUE"""),44225.0)</f>
        <v>44225</v>
      </c>
      <c r="B174">
        <f>IFERROR(__xludf.DUMMYFUNCTION("""COMPUTED_VALUE"""),1052868.0)</f>
        <v>1052868</v>
      </c>
      <c r="C174" t="str">
        <f>IFERROR(__xludf.DUMMYFUNCTION("""COMPUTED_VALUE"""),"en")</f>
        <v>en</v>
      </c>
      <c r="D174" t="str">
        <f>IFERROR(__xludf.DUMMYFUNCTION("""COMPUTED_VALUE"""),"Advanced Programming Paradigms (PLC IV)")</f>
        <v>Advanced Programming Paradigms (PLC IV)</v>
      </c>
      <c r="E174" t="str">
        <f>IFERROR(__xludf.DUMMYFUNCTION("""COMPUTED_VALUE"""),"Advanced Programming Paradigms (PLC IV)")</f>
        <v>Advanced Programming Paradigms (PLC IV)</v>
      </c>
      <c r="F174">
        <f>IFERROR(__xludf.DUMMYFUNCTION("""COMPUTED_VALUE"""),2330472.0)</f>
        <v>2330472</v>
      </c>
      <c r="G174" s="140" t="str">
        <f>IFERROR(__xludf.DUMMYFUNCTION("""COMPUTED_VALUE"""),"Paul Lynn")</f>
        <v>Paul Lynn</v>
      </c>
      <c r="H174" s="140" t="str">
        <f>IFERROR(__xludf.DUMMYFUNCTION("""COMPUTED_VALUE"""),"Instructor Request- Opted Out")</f>
        <v>Instructor Request- Opted Out</v>
      </c>
      <c r="I174" t="str">
        <f>IFERROR(__xludf.DUMMYFUNCTION("""COMPUTED_VALUE"""),"IT Operations")</f>
        <v>IT Operations</v>
      </c>
      <c r="J174" t="str">
        <f>IFERROR(__xludf.DUMMYFUNCTION("""COMPUTED_VALUE"""),"Hardware")</f>
        <v>Hardware</v>
      </c>
      <c r="L174" s="140" t="str">
        <f>IFERROR(__xludf.DUMMYFUNCTION("""COMPUTED_VALUE"""),"")</f>
        <v/>
      </c>
      <c r="N174" s="140" t="str">
        <f>IFERROR(__xludf.DUMMYFUNCTION("""COMPUTED_VALUE"""),"")</f>
        <v/>
      </c>
      <c r="O174" s="140" t="str">
        <f>IFERROR(__xludf.DUMMYFUNCTION("""COMPUTED_VALUE"""),"No Alternatives in Collection - 9/16")</f>
        <v>No Alternatives in Collection - 9/16</v>
      </c>
    </row>
    <row r="175">
      <c r="A175" s="143">
        <f>IFERROR(__xludf.DUMMYFUNCTION("""COMPUTED_VALUE"""),44225.0)</f>
        <v>44225</v>
      </c>
      <c r="B175">
        <f>IFERROR(__xludf.DUMMYFUNCTION("""COMPUTED_VALUE"""),50274.0)</f>
        <v>50274</v>
      </c>
      <c r="C175" t="str">
        <f>IFERROR(__xludf.DUMMYFUNCTION("""COMPUTED_VALUE"""),"en")</f>
        <v>en</v>
      </c>
      <c r="D175" t="str">
        <f>IFERROR(__xludf.DUMMYFUNCTION("""COMPUTED_VALUE"""),"Convert HEX to Decimal in under 30 seconds!")</f>
        <v>Convert HEX to Decimal in under 30 seconds!</v>
      </c>
      <c r="E175" t="str">
        <f>IFERROR(__xludf.DUMMYFUNCTION("""COMPUTED_VALUE"""),"Convert HEX to Decimal in under 30 seconds!")</f>
        <v>Convert HEX to Decimal in under 30 seconds!</v>
      </c>
      <c r="F175">
        <f>IFERROR(__xludf.DUMMYFUNCTION("""COMPUTED_VALUE"""),608262.0)</f>
        <v>608262</v>
      </c>
      <c r="G175" s="140" t="str">
        <f>IFERROR(__xludf.DUMMYFUNCTION("""COMPUTED_VALUE"""),"Lazaro Diaz")</f>
        <v>Lazaro Diaz</v>
      </c>
      <c r="H175" s="140" t="str">
        <f>IFERROR(__xludf.DUMMYFUNCTION("""COMPUTED_VALUE"""),"Instructor Request- Opted Out")</f>
        <v>Instructor Request- Opted Out</v>
      </c>
      <c r="I175" t="str">
        <f>IFERROR(__xludf.DUMMYFUNCTION("""COMPUTED_VALUE"""),"IT Operations")</f>
        <v>IT Operations</v>
      </c>
      <c r="J175" t="str">
        <f>IFERROR(__xludf.DUMMYFUNCTION("""COMPUTED_VALUE"""),"IT Certifications")</f>
        <v>IT Certifications</v>
      </c>
      <c r="L175" s="140" t="str">
        <f>IFERROR(__xludf.DUMMYFUNCTION("""COMPUTED_VALUE"""),"")</f>
        <v/>
      </c>
      <c r="N175" s="140" t="str">
        <f>IFERROR(__xludf.DUMMYFUNCTION("""COMPUTED_VALUE"""),"")</f>
        <v/>
      </c>
      <c r="O175" s="140" t="str">
        <f>IFERROR(__xludf.DUMMYFUNCTION("""COMPUTED_VALUE"""),"No Alternatives in Collection - 11/6")</f>
        <v>No Alternatives in Collection - 11/6</v>
      </c>
    </row>
    <row r="176">
      <c r="A176" s="143">
        <f>IFERROR(__xludf.DUMMYFUNCTION("""COMPUTED_VALUE"""),44232.0)</f>
        <v>44232</v>
      </c>
      <c r="B176">
        <f>IFERROR(__xludf.DUMMYFUNCTION("""COMPUTED_VALUE"""),2812949.0)</f>
        <v>2812949</v>
      </c>
      <c r="C176" t="str">
        <f>IFERROR(__xludf.DUMMYFUNCTION("""COMPUTED_VALUE"""),"en")</f>
        <v>en</v>
      </c>
      <c r="D176" t="str">
        <f>IFERROR(__xludf.DUMMYFUNCTION("""COMPUTED_VALUE"""),"Google Certified Associate Cloud Engineer Practice Tests")</f>
        <v>Google Certified Associate Cloud Engineer Practice Tests</v>
      </c>
      <c r="E176" t="str">
        <f>IFERROR(__xludf.DUMMYFUNCTION("""COMPUTED_VALUE"""),"Google Certified Associate Cloud Engineer Practice Tests")</f>
        <v>Google Certified Associate Cloud Engineer Practice Tests</v>
      </c>
      <c r="F176">
        <f>IFERROR(__xludf.DUMMYFUNCTION("""COMPUTED_VALUE"""),1.02958887E8)</f>
        <v>102958887</v>
      </c>
      <c r="G176" t="str">
        <f>IFERROR(__xludf.DUMMYFUNCTION("""COMPUTED_VALUE"""),"Sarat Gutha")</f>
        <v>Sarat Gutha</v>
      </c>
      <c r="H176" t="str">
        <f>IFERROR(__xludf.DUMMYFUNCTION("""COMPUTED_VALUE"""),"T&amp;S")</f>
        <v>T&amp;S</v>
      </c>
      <c r="I176" s="140" t="str">
        <f>IFERROR(__xludf.DUMMYFUNCTION("""COMPUTED_VALUE"""),"Cloud Computing")</f>
        <v>Cloud Computing</v>
      </c>
      <c r="J176" s="140" t="str">
        <f>IFERROR(__xludf.DUMMYFUNCTION("""COMPUTED_VALUE"""),"Cloud Certification")</f>
        <v>Cloud Certification</v>
      </c>
      <c r="L176" s="140" t="str">
        <f>IFERROR(__xludf.DUMMYFUNCTION("""COMPUTED_VALUE"""),"")</f>
        <v/>
      </c>
      <c r="N176" s="140" t="str">
        <f>IFERROR(__xludf.DUMMYFUNCTION("""COMPUTED_VALUE"""),"")</f>
        <v/>
      </c>
    </row>
    <row r="177">
      <c r="A177" s="143">
        <f>IFERROR(__xludf.DUMMYFUNCTION("""COMPUTED_VALUE"""),44232.0)</f>
        <v>44232</v>
      </c>
      <c r="B177">
        <f>IFERROR(__xludf.DUMMYFUNCTION("""COMPUTED_VALUE"""),3469870.0)</f>
        <v>3469870</v>
      </c>
      <c r="C177" t="str">
        <f>IFERROR(__xludf.DUMMYFUNCTION("""COMPUTED_VALUE"""),"en")</f>
        <v>en</v>
      </c>
      <c r="D177" t="str">
        <f>IFERROR(__xludf.DUMMYFUNCTION("""COMPUTED_VALUE"""),"Google Certified Professional Cloud Architect Practice Tests")</f>
        <v>Google Certified Professional Cloud Architect Practice Tests</v>
      </c>
      <c r="E177" t="str">
        <f>IFERROR(__xludf.DUMMYFUNCTION("""COMPUTED_VALUE"""),"Google Certified Professional Cloud Architect Practice Tests")</f>
        <v>Google Certified Professional Cloud Architect Practice Tests</v>
      </c>
      <c r="F177">
        <f>IFERROR(__xludf.DUMMYFUNCTION("""COMPUTED_VALUE"""),1.02958887E8)</f>
        <v>102958887</v>
      </c>
      <c r="G177" t="str">
        <f>IFERROR(__xludf.DUMMYFUNCTION("""COMPUTED_VALUE"""),"Sarat Gutha")</f>
        <v>Sarat Gutha</v>
      </c>
      <c r="H177" t="str">
        <f>IFERROR(__xludf.DUMMYFUNCTION("""COMPUTED_VALUE"""),"T&amp;S")</f>
        <v>T&amp;S</v>
      </c>
      <c r="I177" s="140" t="str">
        <f>IFERROR(__xludf.DUMMYFUNCTION("""COMPUTED_VALUE"""),"Cloud Computing")</f>
        <v>Cloud Computing</v>
      </c>
      <c r="J177" s="140" t="str">
        <f>IFERROR(__xludf.DUMMYFUNCTION("""COMPUTED_VALUE"""),"Cloud Development")</f>
        <v>Cloud Development</v>
      </c>
      <c r="L177" s="140" t="str">
        <f>IFERROR(__xludf.DUMMYFUNCTION("""COMPUTED_VALUE"""),"")</f>
        <v/>
      </c>
      <c r="N177" s="140" t="str">
        <f>IFERROR(__xludf.DUMMYFUNCTION("""COMPUTED_VALUE"""),"")</f>
        <v/>
      </c>
    </row>
    <row r="178">
      <c r="A178" s="143">
        <f>IFERROR(__xludf.DUMMYFUNCTION("""COMPUTED_VALUE"""),44237.0)</f>
        <v>44237</v>
      </c>
      <c r="B178">
        <f>IFERROR(__xludf.DUMMYFUNCTION("""COMPUTED_VALUE"""),216298.0)</f>
        <v>216298</v>
      </c>
      <c r="C178" t="str">
        <f>IFERROR(__xludf.DUMMYFUNCTION("""COMPUTED_VALUE"""),"ja")</f>
        <v>ja</v>
      </c>
      <c r="D178" t="str">
        <f>IFERROR(__xludf.DUMMYFUNCTION("""COMPUTED_VALUE"""),"ボディランゲージの秘訣（日本語字幕版）")</f>
        <v>ボディランゲージの秘訣（日本語字幕版）</v>
      </c>
      <c r="E178" t="str">
        <f>IFERROR(__xludf.DUMMYFUNCTION("""COMPUTED_VALUE"""),"Secret of Body Language (Japanese Subtitle Version)")</f>
        <v>Secret of Body Language (Japanese Subtitle Version)</v>
      </c>
      <c r="F178">
        <f>IFERROR(__xludf.DUMMYFUNCTION("""COMPUTED_VALUE"""),974585.0)</f>
        <v>974585</v>
      </c>
      <c r="G178" t="str">
        <f>IFERROR(__xludf.DUMMYFUNCTION("""COMPUTED_VALUE"""),"Elearners Kiyoshi")</f>
        <v>Elearners Kiyoshi</v>
      </c>
      <c r="H178" t="str">
        <f>IFERROR(__xludf.DUMMYFUNCTION("""COMPUTED_VALUE"""),"Inappropriate Conent")</f>
        <v>Inappropriate Conent</v>
      </c>
      <c r="I178" t="str">
        <f>IFERROR(__xludf.DUMMYFUNCTION("""COMPUTED_VALUE"""),"Personal Development")</f>
        <v>Personal Development</v>
      </c>
      <c r="J178" t="str">
        <f>IFERROR(__xludf.DUMMYFUNCTION("""COMPUTED_VALUE"""),"Personal Growth")</f>
        <v>Personal Growth</v>
      </c>
      <c r="L178" s="140" t="str">
        <f>IFERROR(__xludf.DUMMYFUNCTION("""COMPUTED_VALUE"""),"")</f>
        <v/>
      </c>
      <c r="N178" s="140" t="str">
        <f>IFERROR(__xludf.DUMMYFUNCTION("""COMPUTED_VALUE"""),"")</f>
        <v/>
      </c>
      <c r="O178" s="140" t="str">
        <f>IFERROR(__xludf.DUMMYFUNCTION("""COMPUTED_VALUE"""),"Removed since the course was subtitle of CID=38266")</f>
        <v>Removed since the course was subtitle of CID=38266</v>
      </c>
    </row>
    <row r="179">
      <c r="A179" s="143">
        <f>IFERROR(__xludf.DUMMYFUNCTION("""COMPUTED_VALUE"""),44243.0)</f>
        <v>44243</v>
      </c>
      <c r="B179">
        <f>IFERROR(__xludf.DUMMYFUNCTION("""COMPUTED_VALUE"""),3269102.0)</f>
        <v>3269102</v>
      </c>
      <c r="C179" t="str">
        <f>IFERROR(__xludf.DUMMYFUNCTION("""COMPUTED_VALUE"""),"en")</f>
        <v>en</v>
      </c>
      <c r="D179" t="str">
        <f>IFERROR(__xludf.DUMMYFUNCTION("""COMPUTED_VALUE"""),"[2021] HR Analytics Master Course with Excel and R | Ver 9.1")</f>
        <v>[2021] HR Analytics Master Course with Excel and R | Ver 9.1</v>
      </c>
      <c r="E179" t="str">
        <f>IFERROR(__xludf.DUMMYFUNCTION("""COMPUTED_VALUE"""),"[2021] HR Analytics Master Course with Excel and R | Ver 9.1")</f>
        <v>[2021] HR Analytics Master Course with Excel and R | Ver 9.1</v>
      </c>
      <c r="F179">
        <f>IFERROR(__xludf.DUMMYFUNCTION("""COMPUTED_VALUE"""),8.1672655E7)</f>
        <v>81672655</v>
      </c>
      <c r="G179" t="str">
        <f>IFERROR(__xludf.DUMMYFUNCTION("""COMPUTED_VALUE"""),"William McGuffey Academy")</f>
        <v>William McGuffey Academy</v>
      </c>
      <c r="H179" t="str">
        <f>IFERROR(__xludf.DUMMYFUNCTION("""COMPUTED_VALUE"""),"Instructor Practices")</f>
        <v>Instructor Practices</v>
      </c>
      <c r="I179" t="str">
        <f>IFERROR(__xludf.DUMMYFUNCTION("""COMPUTED_VALUE"""),"Data Science")</f>
        <v>Data Science</v>
      </c>
      <c r="J179" t="str">
        <f>IFERROR(__xludf.DUMMYFUNCTION("""COMPUTED_VALUE"""),"Analytics")</f>
        <v>Analytics</v>
      </c>
      <c r="L179" s="140" t="str">
        <f>IFERROR(__xludf.DUMMYFUNCTION("""COMPUTED_VALUE"""),"")</f>
        <v/>
      </c>
      <c r="N179" s="140" t="str">
        <f>IFERROR(__xludf.DUMMYFUNCTION("""COMPUTED_VALUE"""),"")</f>
        <v/>
      </c>
    </row>
    <row r="180">
      <c r="A180" s="143">
        <f>IFERROR(__xludf.DUMMYFUNCTION("""COMPUTED_VALUE"""),44250.0)</f>
        <v>44250</v>
      </c>
      <c r="B180">
        <f>IFERROR(__xludf.DUMMYFUNCTION("""COMPUTED_VALUE"""),1786172.0)</f>
        <v>1786172</v>
      </c>
      <c r="C180" t="str">
        <f>IFERROR(__xludf.DUMMYFUNCTION("""COMPUTED_VALUE"""),"es")</f>
        <v>es</v>
      </c>
      <c r="D180" t="str">
        <f>IFERROR(__xludf.DUMMYFUNCTION("""COMPUTED_VALUE"""),"SQL Básico - Intermedio ¡Añade valor a tu CV en 2 horas!")</f>
        <v>SQL Básico - Intermedio ¡Añade valor a tu CV en 2 horas!</v>
      </c>
      <c r="E180" t="str">
        <f>IFERROR(__xludf.DUMMYFUNCTION("""COMPUTED_VALUE"""),"Basic SQL - Intermediate Add value to your CV in 2 hours!")</f>
        <v>Basic SQL - Intermediate Add value to your CV in 2 hours!</v>
      </c>
      <c r="F180">
        <f>IFERROR(__xludf.DUMMYFUNCTION("""COMPUTED_VALUE"""),4084858.0)</f>
        <v>4084858</v>
      </c>
      <c r="G180" t="str">
        <f>IFERROR(__xludf.DUMMYFUNCTION("""COMPUTED_VALUE"""),"Raúl Montesinos")</f>
        <v>Raúl Montesinos</v>
      </c>
      <c r="H180" t="str">
        <f>IFERROR(__xludf.DUMMYFUNCTION("""COMPUTED_VALUE"""),"Instructor Practices")</f>
        <v>Instructor Practices</v>
      </c>
      <c r="I180" t="str">
        <f>IFERROR(__xludf.DUMMYFUNCTION("""COMPUTED_VALUE"""),"Development")</f>
        <v>Development</v>
      </c>
      <c r="J180" t="str">
        <f>IFERROR(__xludf.DUMMYFUNCTION("""COMPUTED_VALUE"""),"Database Design &amp; Development")</f>
        <v>Database Design &amp; Development</v>
      </c>
      <c r="K180">
        <f>IFERROR(__xludf.DUMMYFUNCTION("""COMPUTED_VALUE"""),2137076.0)</f>
        <v>2137076</v>
      </c>
      <c r="L180" s="140" t="str">
        <f>IFERROR(__xludf.DUMMYFUNCTION("""COMPUTED_VALUE"""),"SQL. Curso completo de SQL. Aprende desde cero. Comandos SQL")</f>
        <v>SQL. Curso completo de SQL. Aprende desde cero. Comandos SQL</v>
      </c>
      <c r="M180">
        <f>IFERROR(__xludf.DUMMYFUNCTION("""COMPUTED_VALUE"""),2567990.0)</f>
        <v>2567990</v>
      </c>
      <c r="N180" s="140" t="str">
        <f>IFERROR(__xludf.DUMMYFUNCTION("""COMPUTED_VALUE"""),"Master SQL: De cero a experto en Bases de Datos")</f>
        <v>Master SQL: De cero a experto en Bases de Datos</v>
      </c>
    </row>
    <row r="181">
      <c r="A181" s="143">
        <f>IFERROR(__xludf.DUMMYFUNCTION("""COMPUTED_VALUE"""),44253.0)</f>
        <v>44253</v>
      </c>
      <c r="B181">
        <f>IFERROR(__xludf.DUMMYFUNCTION("""COMPUTED_VALUE"""),510364.0)</f>
        <v>510364</v>
      </c>
      <c r="C181" t="str">
        <f>IFERROR(__xludf.DUMMYFUNCTION("""COMPUTED_VALUE"""),"en")</f>
        <v>en</v>
      </c>
      <c r="D181" t="str">
        <f>IFERROR(__xludf.DUMMYFUNCTION("""COMPUTED_VALUE"""),"Crowdfunding Startups and Nonprofits: 4 Keys to Success")</f>
        <v>Crowdfunding Startups and Nonprofits: 4 Keys to Success</v>
      </c>
      <c r="E181" t="str">
        <f>IFERROR(__xludf.DUMMYFUNCTION("""COMPUTED_VALUE"""),"Crowdfunding Startups and Nonprofits: 4 Keys to Success")</f>
        <v>Crowdfunding Startups and Nonprofits: 4 Keys to Success</v>
      </c>
      <c r="F181">
        <f>IFERROR(__xludf.DUMMYFUNCTION("""COMPUTED_VALUE"""),6796812.0)</f>
        <v>6796812</v>
      </c>
      <c r="G181" t="str">
        <f>IFERROR(__xludf.DUMMYFUNCTION("""COMPUTED_VALUE"""),"Robin Eschler")</f>
        <v>Robin Eschler</v>
      </c>
      <c r="H181" t="str">
        <f>IFERROR(__xludf.DUMMYFUNCTION("""COMPUTED_VALUE"""),"3 Flags")</f>
        <v>3 Flags</v>
      </c>
      <c r="I181" t="str">
        <f>IFERROR(__xludf.DUMMYFUNCTION("""COMPUTED_VALUE"""),"Leadership &amp; Management")</f>
        <v>Leadership &amp; Management</v>
      </c>
      <c r="J181" t="str">
        <f>IFERROR(__xludf.DUMMYFUNCTION("""COMPUTED_VALUE"""),"Strategy")</f>
        <v>Strategy</v>
      </c>
      <c r="K181">
        <f>IFERROR(__xludf.DUMMYFUNCTION("""COMPUTED_VALUE"""),526570.0)</f>
        <v>526570</v>
      </c>
      <c r="L181" s="140" t="str">
        <f>IFERROR(__xludf.DUMMYFUNCTION("""COMPUTED_VALUE"""),"Crowdfunding for Changemakers")</f>
        <v>Crowdfunding for Changemakers</v>
      </c>
      <c r="M181">
        <f>IFERROR(__xludf.DUMMYFUNCTION("""COMPUTED_VALUE"""),1255050.0)</f>
        <v>1255050</v>
      </c>
      <c r="N181" s="140" t="str">
        <f>IFERROR(__xludf.DUMMYFUNCTION("""COMPUTED_VALUE"""),"The Complete Crowdfunding Course for Kickstarter &amp; Indiegogo")</f>
        <v>The Complete Crowdfunding Course for Kickstarter &amp; Indiegogo</v>
      </c>
    </row>
    <row r="182">
      <c r="A182" s="143">
        <f>IFERROR(__xludf.DUMMYFUNCTION("""COMPUTED_VALUE"""),44253.0)</f>
        <v>44253</v>
      </c>
      <c r="B182">
        <f>IFERROR(__xludf.DUMMYFUNCTION("""COMPUTED_VALUE"""),1559004.0)</f>
        <v>1559004</v>
      </c>
      <c r="C182" t="str">
        <f>IFERROR(__xludf.DUMMYFUNCTION("""COMPUTED_VALUE"""),"de")</f>
        <v>de</v>
      </c>
      <c r="D182" t="str">
        <f>IFERROR(__xludf.DUMMYFUNCTION("""COMPUTED_VALUE"""),"Körpersprache: Sehen, was Menschen nicht sagen")</f>
        <v>Körpersprache: Sehen, was Menschen nicht sagen</v>
      </c>
      <c r="E182" t="str">
        <f>IFERROR(__xludf.DUMMYFUNCTION("""COMPUTED_VALUE"""),"Body language: see what people do not say")</f>
        <v>Body language: see what people do not say</v>
      </c>
      <c r="F182">
        <f>IFERROR(__xludf.DUMMYFUNCTION("""COMPUTED_VALUE"""),2.7380472E7)</f>
        <v>27380472</v>
      </c>
      <c r="G182" t="str">
        <f>IFERROR(__xludf.DUMMYFUNCTION("""COMPUTED_VALUE"""),"Jannis Riebschläger")</f>
        <v>Jannis Riebschläger</v>
      </c>
      <c r="H182" t="str">
        <f>IFERROR(__xludf.DUMMYFUNCTION("""COMPUTED_VALUE"""),"3 Flags")</f>
        <v>3 Flags</v>
      </c>
      <c r="I182" t="str">
        <f>IFERROR(__xludf.DUMMYFUNCTION("""COMPUTED_VALUE"""),"Leadership &amp; Management")</f>
        <v>Leadership &amp; Management</v>
      </c>
      <c r="J182" t="str">
        <f>IFERROR(__xludf.DUMMYFUNCTION("""COMPUTED_VALUE"""),"Communication")</f>
        <v>Communication</v>
      </c>
      <c r="K182">
        <f>IFERROR(__xludf.DUMMYFUNCTION("""COMPUTED_VALUE"""),1841008.0)</f>
        <v>1841008</v>
      </c>
      <c r="L182" s="140" t="str">
        <f>IFERROR(__xludf.DUMMYFUNCTION("""COMPUTED_VALUE"""),"Wirkungsfaktor Körpersprache - Zeichen sagen mehr als Worte")</f>
        <v>Wirkungsfaktor Körpersprache - Zeichen sagen mehr als Worte</v>
      </c>
      <c r="N182" s="140" t="str">
        <f>IFERROR(__xludf.DUMMYFUNCTION("""COMPUTED_VALUE"""),"")</f>
        <v/>
      </c>
    </row>
    <row r="183">
      <c r="A183" s="143">
        <f>IFERROR(__xludf.DUMMYFUNCTION("""COMPUTED_VALUE"""),44253.0)</f>
        <v>44253</v>
      </c>
      <c r="B183">
        <f>IFERROR(__xludf.DUMMYFUNCTION("""COMPUTED_VALUE"""),304426.0)</f>
        <v>304426</v>
      </c>
      <c r="C183" t="str">
        <f>IFERROR(__xludf.DUMMYFUNCTION("""COMPUTED_VALUE"""),"en")</f>
        <v>en</v>
      </c>
      <c r="D183" t="str">
        <f>IFERROR(__xludf.DUMMYFUNCTION("""COMPUTED_VALUE"""),"Bank Reconciliation &amp; VAT on Excel")</f>
        <v>Bank Reconciliation &amp; VAT on Excel</v>
      </c>
      <c r="E183" t="str">
        <f>IFERROR(__xludf.DUMMYFUNCTION("""COMPUTED_VALUE"""),"Bank Reconciliation &amp; VAT on Excel")</f>
        <v>Bank Reconciliation &amp; VAT on Excel</v>
      </c>
      <c r="F183">
        <f>IFERROR(__xludf.DUMMYFUNCTION("""COMPUTED_VALUE"""),7543534.0)</f>
        <v>7543534</v>
      </c>
      <c r="G183" t="str">
        <f>IFERROR(__xludf.DUMMYFUNCTION("""COMPUTED_VALUE"""),"Lisa Newton")</f>
        <v>Lisa Newton</v>
      </c>
      <c r="H183" t="str">
        <f>IFERROR(__xludf.DUMMYFUNCTION("""COMPUTED_VALUE"""),"Low Rating")</f>
        <v>Low Rating</v>
      </c>
      <c r="I183" t="str">
        <f>IFERROR(__xludf.DUMMYFUNCTION("""COMPUTED_VALUE"""),"Office Productivity")</f>
        <v>Office Productivity</v>
      </c>
      <c r="J183" t="str">
        <f>IFERROR(__xludf.DUMMYFUNCTION("""COMPUTED_VALUE"""),"Spreadsheets")</f>
        <v>Spreadsheets</v>
      </c>
      <c r="L183" s="140" t="str">
        <f>IFERROR(__xludf.DUMMYFUNCTION("""COMPUTED_VALUE"""),"")</f>
        <v/>
      </c>
      <c r="N183" s="140" t="str">
        <f>IFERROR(__xludf.DUMMYFUNCTION("""COMPUTED_VALUE"""),"")</f>
        <v/>
      </c>
    </row>
    <row r="184">
      <c r="A184" s="143">
        <f>IFERROR(__xludf.DUMMYFUNCTION("""COMPUTED_VALUE"""),44253.0)</f>
        <v>44253</v>
      </c>
      <c r="B184">
        <f>IFERROR(__xludf.DUMMYFUNCTION("""COMPUTED_VALUE"""),2825451.0)</f>
        <v>2825451</v>
      </c>
      <c r="C184" t="str">
        <f>IFERROR(__xludf.DUMMYFUNCTION("""COMPUTED_VALUE"""),"ja")</f>
        <v>ja</v>
      </c>
      <c r="D184" t="str">
        <f>IFERROR(__xludf.DUMMYFUNCTION("""COMPUTED_VALUE"""),"【ダイヤモンド編集部が厳選、超基礎編！】あなたのチームの創造力を強くする 10のフレームワークと思考法")</f>
        <v>【ダイヤモンド編集部が厳選、超基礎編！】あなたのチームの創造力を強くする 10のフレームワークと思考法</v>
      </c>
      <c r="E184" t="str">
        <f>IFERROR(__xludf.DUMMYFUNCTION("""COMPUTED_VALUE"""),"[Diamond editorial department carefully selected, super basic edition! 10 Framework and Thinking Method to strengthen your team's creativity")</f>
        <v>[Diamond editorial department carefully selected, super basic edition! 10 Framework and Thinking Method to strengthen your team's creativity</v>
      </c>
      <c r="F184">
        <f>IFERROR(__xludf.DUMMYFUNCTION("""COMPUTED_VALUE"""),1.03452649E8)</f>
        <v>103452649</v>
      </c>
      <c r="G184" t="str">
        <f>IFERROR(__xludf.DUMMYFUNCTION("""COMPUTED_VALUE"""),"株式会社 ダイヤモンド社")</f>
        <v>株式会社 ダイヤモンド社</v>
      </c>
      <c r="H184" t="str">
        <f>IFERROR(__xludf.DUMMYFUNCTION("""COMPUTED_VALUE"""),"Low Rating")</f>
        <v>Low Rating</v>
      </c>
      <c r="I184" t="str">
        <f>IFERROR(__xludf.DUMMYFUNCTION("""COMPUTED_VALUE"""),"Leadership &amp; Management")</f>
        <v>Leadership &amp; Management</v>
      </c>
      <c r="J184" t="str">
        <f>IFERROR(__xludf.DUMMYFUNCTION("""COMPUTED_VALUE"""),"Strategy")</f>
        <v>Strategy</v>
      </c>
      <c r="L184" s="140" t="str">
        <f>IFERROR(__xludf.DUMMYFUNCTION("""COMPUTED_VALUE"""),"")</f>
        <v/>
      </c>
      <c r="N184" s="140" t="str">
        <f>IFERROR(__xludf.DUMMYFUNCTION("""COMPUTED_VALUE"""),"")</f>
        <v/>
      </c>
    </row>
    <row r="185">
      <c r="A185" s="143">
        <f>IFERROR(__xludf.DUMMYFUNCTION("""COMPUTED_VALUE"""),44253.0)</f>
        <v>44253</v>
      </c>
      <c r="B185">
        <f>IFERROR(__xludf.DUMMYFUNCTION("""COMPUTED_VALUE"""),2608906.0)</f>
        <v>2608906</v>
      </c>
      <c r="C185" t="str">
        <f>IFERROR(__xludf.DUMMYFUNCTION("""COMPUTED_VALUE"""),"en")</f>
        <v>en</v>
      </c>
      <c r="D185" t="str">
        <f>IFERROR(__xludf.DUMMYFUNCTION("""COMPUTED_VALUE"""),"Become Expert on Grafana Dashboard")</f>
        <v>Become Expert on Grafana Dashboard</v>
      </c>
      <c r="E185" t="str">
        <f>IFERROR(__xludf.DUMMYFUNCTION("""COMPUTED_VALUE"""),"Become Expert on Grafana Dashboard")</f>
        <v>Become Expert on Grafana Dashboard</v>
      </c>
      <c r="F185">
        <f>IFERROR(__xludf.DUMMYFUNCTION("""COMPUTED_VALUE"""),7.3192442E7)</f>
        <v>73192442</v>
      </c>
      <c r="G185" t="str">
        <f>IFERROR(__xludf.DUMMYFUNCTION("""COMPUTED_VALUE"""),"Muhammad Efendi")</f>
        <v>Muhammad Efendi</v>
      </c>
      <c r="H185" t="str">
        <f>IFERROR(__xludf.DUMMYFUNCTION("""COMPUTED_VALUE"""),"Low Rating")</f>
        <v>Low Rating</v>
      </c>
      <c r="I185" t="str">
        <f>IFERROR(__xludf.DUMMYFUNCTION("""COMPUTED_VALUE"""),"Development")</f>
        <v>Development</v>
      </c>
      <c r="J185" t="str">
        <f>IFERROR(__xludf.DUMMYFUNCTION("""COMPUTED_VALUE"""),"Development Tools")</f>
        <v>Development Tools</v>
      </c>
      <c r="K185">
        <f>IFERROR(__xludf.DUMMYFUNCTION("""COMPUTED_VALUE"""),2510386.0)</f>
        <v>2510386</v>
      </c>
      <c r="L185" s="140" t="str">
        <f>IFERROR(__xludf.DUMMYFUNCTION("""COMPUTED_VALUE"""),"Grafana Master Course - Time Series Data Visualization")</f>
        <v>Grafana Master Course - Time Series Data Visualization</v>
      </c>
      <c r="N185" s="140" t="str">
        <f>IFERROR(__xludf.DUMMYFUNCTION("""COMPUTED_VALUE"""),"")</f>
        <v/>
      </c>
    </row>
    <row r="186">
      <c r="A186" s="143">
        <f>IFERROR(__xludf.DUMMYFUNCTION("""COMPUTED_VALUE"""),44253.0)</f>
        <v>44253</v>
      </c>
      <c r="B186">
        <f>IFERROR(__xludf.DUMMYFUNCTION("""COMPUTED_VALUE"""),2168574.0)</f>
        <v>2168574</v>
      </c>
      <c r="C186" t="str">
        <f>IFERROR(__xludf.DUMMYFUNCTION("""COMPUTED_VALUE"""),"en")</f>
        <v>en</v>
      </c>
      <c r="D186" t="str">
        <f>IFERROR(__xludf.DUMMYFUNCTION("""COMPUTED_VALUE"""),"SAS Programming - Learn SAS from Beginner to Advanced")</f>
        <v>SAS Programming - Learn SAS from Beginner to Advanced</v>
      </c>
      <c r="E186" t="str">
        <f>IFERROR(__xludf.DUMMYFUNCTION("""COMPUTED_VALUE"""),"SAS Programming - Learn SAS from Beginner to Advanced")</f>
        <v>SAS Programming - Learn SAS from Beginner to Advanced</v>
      </c>
      <c r="F186">
        <f>IFERROR(__xludf.DUMMYFUNCTION("""COMPUTED_VALUE"""),1.8817668E7)</f>
        <v>18817668</v>
      </c>
      <c r="G186" t="str">
        <f>IFERROR(__xludf.DUMMYFUNCTION("""COMPUTED_VALUE"""),"Alan H Yue")</f>
        <v>Alan H Yue</v>
      </c>
      <c r="H186" t="str">
        <f>IFERROR(__xludf.DUMMYFUNCTION("""COMPUTED_VALUE"""),"Low Rating")</f>
        <v>Low Rating</v>
      </c>
      <c r="I186" t="str">
        <f>IFERROR(__xludf.DUMMYFUNCTION("""COMPUTED_VALUE"""),"Data Science")</f>
        <v>Data Science</v>
      </c>
      <c r="J186" t="str">
        <f>IFERROR(__xludf.DUMMYFUNCTION("""COMPUTED_VALUE"""),"Analytics")</f>
        <v>Analytics</v>
      </c>
      <c r="K186">
        <f>IFERROR(__xludf.DUMMYFUNCTION("""COMPUTED_VALUE"""),1470846.0)</f>
        <v>1470846</v>
      </c>
      <c r="L186" s="140" t="str">
        <f>IFERROR(__xludf.DUMMYFUNCTION("""COMPUTED_VALUE"""),"")</f>
        <v/>
      </c>
      <c r="N186" s="140" t="str">
        <f>IFERROR(__xludf.DUMMYFUNCTION("""COMPUTED_VALUE"""),"")</f>
        <v/>
      </c>
    </row>
    <row r="187">
      <c r="A187" s="143">
        <f>IFERROR(__xludf.DUMMYFUNCTION("""COMPUTED_VALUE"""),44253.0)</f>
        <v>44253</v>
      </c>
      <c r="B187">
        <f>IFERROR(__xludf.DUMMYFUNCTION("""COMPUTED_VALUE"""),2329830.0)</f>
        <v>2329830</v>
      </c>
      <c r="C187" t="str">
        <f>IFERROR(__xludf.DUMMYFUNCTION("""COMPUTED_VALUE"""),"en")</f>
        <v>en</v>
      </c>
      <c r="D187" t="str">
        <f>IFERROR(__xludf.DUMMYFUNCTION("""COMPUTED_VALUE"""),"Azure AZ-500 Security Technologies Practice Test (Oct 2020)")</f>
        <v>Azure AZ-500 Security Technologies Practice Test (Oct 2020)</v>
      </c>
      <c r="E187" t="str">
        <f>IFERROR(__xludf.DUMMYFUNCTION("""COMPUTED_VALUE"""),"Azure AZ-500 Security Technologies Practice Test (Oct 2020)")</f>
        <v>Azure AZ-500 Security Technologies Practice Test (Oct 2020)</v>
      </c>
      <c r="F187">
        <f>IFERROR(__xludf.DUMMYFUNCTION("""COMPUTED_VALUE"""),4.3001484E7)</f>
        <v>43001484</v>
      </c>
      <c r="G187" t="str">
        <f>IFERROR(__xludf.DUMMYFUNCTION("""COMPUTED_VALUE"""),"Riaan Lowe")</f>
        <v>Riaan Lowe</v>
      </c>
      <c r="H187" t="str">
        <f>IFERROR(__xludf.DUMMYFUNCTION("""COMPUTED_VALUE"""),"Low Rating")</f>
        <v>Low Rating</v>
      </c>
      <c r="I187" t="str">
        <f>IFERROR(__xludf.DUMMYFUNCTION("""COMPUTED_VALUE"""),"Cloud Computing")</f>
        <v>Cloud Computing</v>
      </c>
      <c r="J187" t="str">
        <f>IFERROR(__xludf.DUMMYFUNCTION("""COMPUTED_VALUE"""),"Cloud Certification")</f>
        <v>Cloud Certification</v>
      </c>
      <c r="N187" s="140" t="str">
        <f>IFERROR(__xludf.DUMMYFUNCTION("""COMPUTED_VALUE"""),"")</f>
        <v/>
      </c>
    </row>
    <row r="188">
      <c r="A188" s="143">
        <f>IFERROR(__xludf.DUMMYFUNCTION("""COMPUTED_VALUE"""),44253.0)</f>
        <v>44253</v>
      </c>
      <c r="B188">
        <f>IFERROR(__xludf.DUMMYFUNCTION("""COMPUTED_VALUE"""),2693266.0)</f>
        <v>2693266</v>
      </c>
      <c r="C188" t="str">
        <f>IFERROR(__xludf.DUMMYFUNCTION("""COMPUTED_VALUE"""),"en")</f>
        <v>en</v>
      </c>
      <c r="D188" t="str">
        <f>IFERROR(__xludf.DUMMYFUNCTION("""COMPUTED_VALUE"""),"LinkedIn Sales Navigator: LinkedIn's tool for B2B Sales")</f>
        <v>LinkedIn Sales Navigator: LinkedIn's tool for B2B Sales</v>
      </c>
      <c r="E188" t="str">
        <f>IFERROR(__xludf.DUMMYFUNCTION("""COMPUTED_VALUE"""),"LinkedIn Sales Navigator: LinkedIn's tool for B2B Sales")</f>
        <v>LinkedIn Sales Navigator: LinkedIn's tool for B2B Sales</v>
      </c>
      <c r="F188">
        <f>IFERROR(__xludf.DUMMYFUNCTION("""COMPUTED_VALUE"""),1.2062238E7)</f>
        <v>12062238</v>
      </c>
      <c r="G188" t="str">
        <f>IFERROR(__xludf.DUMMYFUNCTION("""COMPUTED_VALUE"""),"Gustavo Escobar Henríquez")</f>
        <v>Gustavo Escobar Henríquez</v>
      </c>
      <c r="H188" t="str">
        <f>IFERROR(__xludf.DUMMYFUNCTION("""COMPUTED_VALUE"""),"Low Rating")</f>
        <v>Low Rating</v>
      </c>
      <c r="I188" t="str">
        <f>IFERROR(__xludf.DUMMYFUNCTION("""COMPUTED_VALUE"""),"Sales")</f>
        <v>Sales</v>
      </c>
      <c r="J188" t="str">
        <f>IFERROR(__xludf.DUMMYFUNCTION("""COMPUTED_VALUE"""),"Sales Skills &amp; Tools")</f>
        <v>Sales Skills &amp; Tools</v>
      </c>
      <c r="K188">
        <f>IFERROR(__xludf.DUMMYFUNCTION("""COMPUTED_VALUE"""),1622298.0)</f>
        <v>1622298</v>
      </c>
      <c r="L188" s="140" t="str">
        <f>IFERROR(__xludf.DUMMYFUNCTION("""COMPUTED_VALUE"""),"Linkedin Marketing: B2B Sales &amp; Lead Generation From Scratch")</f>
        <v>Linkedin Marketing: B2B Sales &amp; Lead Generation From Scratch</v>
      </c>
      <c r="N188" s="140" t="str">
        <f>IFERROR(__xludf.DUMMYFUNCTION("""COMPUTED_VALUE"""),"")</f>
        <v/>
      </c>
    </row>
    <row r="189">
      <c r="A189" s="143">
        <f>IFERROR(__xludf.DUMMYFUNCTION("""COMPUTED_VALUE"""),44253.0)</f>
        <v>44253</v>
      </c>
      <c r="B189">
        <f>IFERROR(__xludf.DUMMYFUNCTION("""COMPUTED_VALUE"""),1841876.0)</f>
        <v>1841876</v>
      </c>
      <c r="C189" t="str">
        <f>IFERROR(__xludf.DUMMYFUNCTION("""COMPUTED_VALUE"""),"en")</f>
        <v>en</v>
      </c>
      <c r="D189" t="str">
        <f>IFERROR(__xludf.DUMMYFUNCTION("""COMPUTED_VALUE"""),"TIBCO Cloud Spotfire Data Visualization and Analytics")</f>
        <v>TIBCO Cloud Spotfire Data Visualization and Analytics</v>
      </c>
      <c r="E189" t="str">
        <f>IFERROR(__xludf.DUMMYFUNCTION("""COMPUTED_VALUE"""),"TIBCO Cloud Spotfire Data Visualization and Analytics")</f>
        <v>TIBCO Cloud Spotfire Data Visualization and Analytics</v>
      </c>
      <c r="F189">
        <f>IFERROR(__xludf.DUMMYFUNCTION("""COMPUTED_VALUE"""),3.2755768E7)</f>
        <v>32755768</v>
      </c>
      <c r="G189" t="str">
        <f>IFERROR(__xludf.DUMMYFUNCTION("""COMPUTED_VALUE"""),"Lorenz DS")</f>
        <v>Lorenz DS</v>
      </c>
      <c r="H189" t="str">
        <f>IFERROR(__xludf.DUMMYFUNCTION("""COMPUTED_VALUE"""),"Low Rating")</f>
        <v>Low Rating</v>
      </c>
      <c r="I189" t="str">
        <f>IFERROR(__xludf.DUMMYFUNCTION("""COMPUTED_VALUE"""),"Data Science")</f>
        <v>Data Science</v>
      </c>
      <c r="J189" t="str">
        <f>IFERROR(__xludf.DUMMYFUNCTION("""COMPUTED_VALUE"""),"Analytics")</f>
        <v>Analytics</v>
      </c>
      <c r="L189" s="140" t="str">
        <f>IFERROR(__xludf.DUMMYFUNCTION("""COMPUTED_VALUE"""),"")</f>
        <v/>
      </c>
      <c r="N189" s="140" t="str">
        <f>IFERROR(__xludf.DUMMYFUNCTION("""COMPUTED_VALUE"""),"")</f>
        <v/>
      </c>
    </row>
    <row r="190">
      <c r="A190" s="143">
        <f>IFERROR(__xludf.DUMMYFUNCTION("""COMPUTED_VALUE"""),44253.0)</f>
        <v>44253</v>
      </c>
      <c r="B190">
        <f>IFERROR(__xludf.DUMMYFUNCTION("""COMPUTED_VALUE"""),749290.0)</f>
        <v>749290</v>
      </c>
      <c r="C190" t="str">
        <f>IFERROR(__xludf.DUMMYFUNCTION("""COMPUTED_VALUE"""),"en")</f>
        <v>en</v>
      </c>
      <c r="D190" t="str">
        <f>IFERROR(__xludf.DUMMYFUNCTION("""COMPUTED_VALUE"""),"CCNA and CCNP Real World Labs - Data Centers and Cabling")</f>
        <v>CCNA and CCNP Real World Labs - Data Centers and Cabling</v>
      </c>
      <c r="E190" t="str">
        <f>IFERROR(__xludf.DUMMYFUNCTION("""COMPUTED_VALUE"""),"CCNA and CCNP Real World Labs - Data Centers and Cabling")</f>
        <v>CCNA and CCNP Real World Labs - Data Centers and Cabling</v>
      </c>
      <c r="F190">
        <f>IFERROR(__xludf.DUMMYFUNCTION("""COMPUTED_VALUE"""),3951632.0)</f>
        <v>3951632</v>
      </c>
      <c r="G190" t="str">
        <f>IFERROR(__xludf.DUMMYFUNCTION("""COMPUTED_VALUE"""),"Marious Kuriata")</f>
        <v>Marious Kuriata</v>
      </c>
      <c r="H190" t="str">
        <f>IFERROR(__xludf.DUMMYFUNCTION("""COMPUTED_VALUE"""),"Outdated")</f>
        <v>Outdated</v>
      </c>
      <c r="I190" t="str">
        <f>IFERROR(__xludf.DUMMYFUNCTION("""COMPUTED_VALUE"""),"IT Operations")</f>
        <v>IT Operations</v>
      </c>
      <c r="J190" t="str">
        <f>IFERROR(__xludf.DUMMYFUNCTION("""COMPUTED_VALUE"""),"Network &amp; Security")</f>
        <v>Network &amp; Security</v>
      </c>
      <c r="L190" s="140" t="str">
        <f>IFERROR(__xludf.DUMMYFUNCTION("""COMPUTED_VALUE"""),"")</f>
        <v/>
      </c>
      <c r="N190" s="140" t="str">
        <f>IFERROR(__xludf.DUMMYFUNCTION("""COMPUTED_VALUE"""),"")</f>
        <v/>
      </c>
    </row>
    <row r="191">
      <c r="A191" s="143">
        <f>IFERROR(__xludf.DUMMYFUNCTION("""COMPUTED_VALUE"""),44253.0)</f>
        <v>44253</v>
      </c>
      <c r="B191">
        <f>IFERROR(__xludf.DUMMYFUNCTION("""COMPUTED_VALUE"""),461362.0)</f>
        <v>461362</v>
      </c>
      <c r="C191" t="str">
        <f>IFERROR(__xludf.DUMMYFUNCTION("""COMPUTED_VALUE"""),"en")</f>
        <v>en</v>
      </c>
      <c r="D191" t="str">
        <f>IFERROR(__xludf.DUMMYFUNCTION("""COMPUTED_VALUE"""),"CCNP Route -300-101")</f>
        <v>CCNP Route -300-101</v>
      </c>
      <c r="E191" t="str">
        <f>IFERROR(__xludf.DUMMYFUNCTION("""COMPUTED_VALUE"""),"CCNP Route -300-101")</f>
        <v>CCNP Route -300-101</v>
      </c>
      <c r="F191">
        <f>IFERROR(__xludf.DUMMYFUNCTION("""COMPUTED_VALUE"""),873253.0)</f>
        <v>873253</v>
      </c>
      <c r="G191" t="str">
        <f>IFERROR(__xludf.DUMMYFUNCTION("""COMPUTED_VALUE"""),"sikandar Shaik")</f>
        <v>sikandar Shaik</v>
      </c>
      <c r="H191" t="str">
        <f>IFERROR(__xludf.DUMMYFUNCTION("""COMPUTED_VALUE"""),"Outdated")</f>
        <v>Outdated</v>
      </c>
      <c r="I191" t="str">
        <f>IFERROR(__xludf.DUMMYFUNCTION("""COMPUTED_VALUE"""),"IT Operations")</f>
        <v>IT Operations</v>
      </c>
      <c r="J191" t="str">
        <f>IFERROR(__xludf.DUMMYFUNCTION("""COMPUTED_VALUE"""),"IT Certifications")</f>
        <v>IT Certifications</v>
      </c>
      <c r="L191" s="140" t="str">
        <f>IFERROR(__xludf.DUMMYFUNCTION("""COMPUTED_VALUE"""),"")</f>
        <v/>
      </c>
      <c r="N191" s="140" t="str">
        <f>IFERROR(__xludf.DUMMYFUNCTION("""COMPUTED_VALUE"""),"")</f>
        <v/>
      </c>
    </row>
    <row r="192">
      <c r="A192" s="143">
        <f>IFERROR(__xludf.DUMMYFUNCTION("""COMPUTED_VALUE"""),44253.0)</f>
        <v>44253</v>
      </c>
      <c r="B192">
        <f>IFERROR(__xludf.DUMMYFUNCTION("""COMPUTED_VALUE"""),779948.0)</f>
        <v>779948</v>
      </c>
      <c r="C192" t="str">
        <f>IFERROR(__xludf.DUMMYFUNCTION("""COMPUTED_VALUE"""),"en")</f>
        <v>en</v>
      </c>
      <c r="D192" t="str">
        <f>IFERROR(__xludf.DUMMYFUNCTION("""COMPUTED_VALUE"""),"Cisco CCNP Route (300-101): The Complete Course")</f>
        <v>Cisco CCNP Route (300-101): The Complete Course</v>
      </c>
      <c r="E192" t="str">
        <f>IFERROR(__xludf.DUMMYFUNCTION("""COMPUTED_VALUE"""),"Cisco CCNP Route (300-101): The Complete Course")</f>
        <v>Cisco CCNP Route (300-101): The Complete Course</v>
      </c>
      <c r="F192">
        <f>IFERROR(__xludf.DUMMYFUNCTION("""COMPUTED_VALUE"""),608262.0)</f>
        <v>608262</v>
      </c>
      <c r="G192" t="str">
        <f>IFERROR(__xludf.DUMMYFUNCTION("""COMPUTED_VALUE"""),"Lazaro Diaz")</f>
        <v>Lazaro Diaz</v>
      </c>
      <c r="H192" t="str">
        <f>IFERROR(__xludf.DUMMYFUNCTION("""COMPUTED_VALUE"""),"Outdated")</f>
        <v>Outdated</v>
      </c>
      <c r="I192" t="str">
        <f>IFERROR(__xludf.DUMMYFUNCTION("""COMPUTED_VALUE"""),"IT Operations")</f>
        <v>IT Operations</v>
      </c>
      <c r="J192" t="str">
        <f>IFERROR(__xludf.DUMMYFUNCTION("""COMPUTED_VALUE"""),"IT Certifications")</f>
        <v>IT Certifications</v>
      </c>
      <c r="L192" s="140" t="str">
        <f>IFERROR(__xludf.DUMMYFUNCTION("""COMPUTED_VALUE"""),"")</f>
        <v/>
      </c>
      <c r="N192" s="140" t="str">
        <f>IFERROR(__xludf.DUMMYFUNCTION("""COMPUTED_VALUE"""),"")</f>
        <v/>
      </c>
    </row>
    <row r="193">
      <c r="A193" s="143">
        <f>IFERROR(__xludf.DUMMYFUNCTION("""COMPUTED_VALUE"""),44253.0)</f>
        <v>44253</v>
      </c>
      <c r="B193">
        <f>IFERROR(__xludf.DUMMYFUNCTION("""COMPUTED_VALUE"""),2323640.0)</f>
        <v>2323640</v>
      </c>
      <c r="C193" t="str">
        <f>IFERROR(__xludf.DUMMYFUNCTION("""COMPUTED_VALUE"""),"en")</f>
        <v>en</v>
      </c>
      <c r="D193" t="str">
        <f>IFERROR(__xludf.DUMMYFUNCTION("""COMPUTED_VALUE"""),"Cisco CCNP ROUTE Practice Tests")</f>
        <v>Cisco CCNP ROUTE Practice Tests</v>
      </c>
      <c r="E193" t="str">
        <f>IFERROR(__xludf.DUMMYFUNCTION("""COMPUTED_VALUE"""),"Cisco CCNP ROUTE Practice Tests")</f>
        <v>Cisco CCNP ROUTE Practice Tests</v>
      </c>
      <c r="F193">
        <f>IFERROR(__xludf.DUMMYFUNCTION("""COMPUTED_VALUE"""),1.6591E7)</f>
        <v>16591000</v>
      </c>
      <c r="G193" t="str">
        <f>IFERROR(__xludf.DUMMYFUNCTION("""COMPUTED_VALUE"""),"Astrit Krasniqi")</f>
        <v>Astrit Krasniqi</v>
      </c>
      <c r="H193" t="str">
        <f>IFERROR(__xludf.DUMMYFUNCTION("""COMPUTED_VALUE"""),"Outdated")</f>
        <v>Outdated</v>
      </c>
      <c r="I193" t="str">
        <f>IFERROR(__xludf.DUMMYFUNCTION("""COMPUTED_VALUE"""),"IT Operations")</f>
        <v>IT Operations</v>
      </c>
      <c r="J193" t="str">
        <f>IFERROR(__xludf.DUMMYFUNCTION("""COMPUTED_VALUE"""),"IT Certifications")</f>
        <v>IT Certifications</v>
      </c>
      <c r="L193" s="140" t="str">
        <f>IFERROR(__xludf.DUMMYFUNCTION("""COMPUTED_VALUE"""),"")</f>
        <v/>
      </c>
      <c r="N193" s="140" t="str">
        <f>IFERROR(__xludf.DUMMYFUNCTION("""COMPUTED_VALUE"""),"")</f>
        <v/>
      </c>
    </row>
    <row r="194">
      <c r="A194" s="143">
        <f>IFERROR(__xludf.DUMMYFUNCTION("""COMPUTED_VALUE"""),44253.0)</f>
        <v>44253</v>
      </c>
      <c r="B194">
        <f>IFERROR(__xludf.DUMMYFUNCTION("""COMPUTED_VALUE"""),1081276.0)</f>
        <v>1081276</v>
      </c>
      <c r="C194" t="str">
        <f>IFERROR(__xludf.DUMMYFUNCTION("""COMPUTED_VALUE"""),"en")</f>
        <v>en</v>
      </c>
      <c r="D194" t="str">
        <f>IFERROR(__xludf.DUMMYFUNCTION("""COMPUTED_VALUE"""),"Cisco CCNP Switch (300-115): The Complete Course")</f>
        <v>Cisco CCNP Switch (300-115): The Complete Course</v>
      </c>
      <c r="E194" t="str">
        <f>IFERROR(__xludf.DUMMYFUNCTION("""COMPUTED_VALUE"""),"Cisco CCNP Switch (300-115): The Complete Course")</f>
        <v>Cisco CCNP Switch (300-115): The Complete Course</v>
      </c>
      <c r="F194">
        <f>IFERROR(__xludf.DUMMYFUNCTION("""COMPUTED_VALUE"""),608262.0)</f>
        <v>608262</v>
      </c>
      <c r="G194" t="str">
        <f>IFERROR(__xludf.DUMMYFUNCTION("""COMPUTED_VALUE"""),"Lazaro Diaz")</f>
        <v>Lazaro Diaz</v>
      </c>
      <c r="H194" t="str">
        <f>IFERROR(__xludf.DUMMYFUNCTION("""COMPUTED_VALUE"""),"Outdated")</f>
        <v>Outdated</v>
      </c>
      <c r="I194" t="str">
        <f>IFERROR(__xludf.DUMMYFUNCTION("""COMPUTED_VALUE"""),"IT Operations")</f>
        <v>IT Operations</v>
      </c>
      <c r="J194" t="str">
        <f>IFERROR(__xludf.DUMMYFUNCTION("""COMPUTED_VALUE"""),"IT Certifications")</f>
        <v>IT Certifications</v>
      </c>
      <c r="L194" s="140" t="str">
        <f>IFERROR(__xludf.DUMMYFUNCTION("""COMPUTED_VALUE"""),"")</f>
        <v/>
      </c>
      <c r="N194" s="140" t="str">
        <f>IFERROR(__xludf.DUMMYFUNCTION("""COMPUTED_VALUE"""),"")</f>
        <v/>
      </c>
    </row>
    <row r="195">
      <c r="A195" s="143">
        <f>IFERROR(__xludf.DUMMYFUNCTION("""COMPUTED_VALUE"""),44253.0)</f>
        <v>44253</v>
      </c>
      <c r="B195">
        <f>IFERROR(__xludf.DUMMYFUNCTION("""COMPUTED_VALUE"""),315666.0)</f>
        <v>315666</v>
      </c>
      <c r="C195" t="str">
        <f>IFERROR(__xludf.DUMMYFUNCTION("""COMPUTED_VALUE"""),"en")</f>
        <v>en</v>
      </c>
      <c r="D195" t="str">
        <f>IFERROR(__xludf.DUMMYFUNCTION("""COMPUTED_VALUE"""),"CCNP Switch Verison 2.0 (300-115)")</f>
        <v>CCNP Switch Verison 2.0 (300-115)</v>
      </c>
      <c r="E195" t="str">
        <f>IFERROR(__xludf.DUMMYFUNCTION("""COMPUTED_VALUE"""),"CCNP Switch Verison 2.0 (300-115)")</f>
        <v>CCNP Switch Verison 2.0 (300-115)</v>
      </c>
      <c r="F195">
        <f>IFERROR(__xludf.DUMMYFUNCTION("""COMPUTED_VALUE"""),873253.0)</f>
        <v>873253</v>
      </c>
      <c r="G195" t="str">
        <f>IFERROR(__xludf.DUMMYFUNCTION("""COMPUTED_VALUE"""),"sikandar Shaik")</f>
        <v>sikandar Shaik</v>
      </c>
      <c r="H195" t="str">
        <f>IFERROR(__xludf.DUMMYFUNCTION("""COMPUTED_VALUE"""),"Outdated")</f>
        <v>Outdated</v>
      </c>
      <c r="I195" t="str">
        <f>IFERROR(__xludf.DUMMYFUNCTION("""COMPUTED_VALUE"""),"IT Operations")</f>
        <v>IT Operations</v>
      </c>
      <c r="J195" t="str">
        <f>IFERROR(__xludf.DUMMYFUNCTION("""COMPUTED_VALUE"""),"IT Certifications")</f>
        <v>IT Certifications</v>
      </c>
      <c r="L195" s="140" t="str">
        <f>IFERROR(__xludf.DUMMYFUNCTION("""COMPUTED_VALUE"""),"")</f>
        <v/>
      </c>
      <c r="N195" s="140" t="str">
        <f>IFERROR(__xludf.DUMMYFUNCTION("""COMPUTED_VALUE"""),"")</f>
        <v/>
      </c>
    </row>
    <row r="196">
      <c r="A196" s="143">
        <f>IFERROR(__xludf.DUMMYFUNCTION("""COMPUTED_VALUE"""),44253.0)</f>
        <v>44253</v>
      </c>
      <c r="B196">
        <f>IFERROR(__xludf.DUMMYFUNCTION("""COMPUTED_VALUE"""),18573.0)</f>
        <v>18573</v>
      </c>
      <c r="C196" t="str">
        <f>IFERROR(__xludf.DUMMYFUNCTION("""COMPUTED_VALUE"""),"en")</f>
        <v>en</v>
      </c>
      <c r="D196" t="str">
        <f>IFERROR(__xludf.DUMMYFUNCTION("""COMPUTED_VALUE"""),"BGP Mastery For The CCNP ROUTE And TSHOOT Exams")</f>
        <v>BGP Mastery For The CCNP ROUTE And TSHOOT Exams</v>
      </c>
      <c r="E196" t="str">
        <f>IFERROR(__xludf.DUMMYFUNCTION("""COMPUTED_VALUE"""),"BGP Mastery For The CCNP ROUTE And TSHOOT Exams")</f>
        <v>BGP Mastery For The CCNP ROUTE And TSHOOT Exams</v>
      </c>
      <c r="F196">
        <f>IFERROR(__xludf.DUMMYFUNCTION("""COMPUTED_VALUE"""),38249.0)</f>
        <v>38249</v>
      </c>
      <c r="G196" t="str">
        <f>IFERROR(__xludf.DUMMYFUNCTION("""COMPUTED_VALUE"""),"Chris Bryant")</f>
        <v>Chris Bryant</v>
      </c>
      <c r="H196" t="str">
        <f>IFERROR(__xludf.DUMMYFUNCTION("""COMPUTED_VALUE"""),"Outdated")</f>
        <v>Outdated</v>
      </c>
      <c r="I196" t="str">
        <f>IFERROR(__xludf.DUMMYFUNCTION("""COMPUTED_VALUE"""),"IT Operations")</f>
        <v>IT Operations</v>
      </c>
      <c r="J196" t="str">
        <f>IFERROR(__xludf.DUMMYFUNCTION("""COMPUTED_VALUE"""),"IT Certifications")</f>
        <v>IT Certifications</v>
      </c>
      <c r="K196">
        <f>IFERROR(__xludf.DUMMYFUNCTION("""COMPUTED_VALUE"""),164400.0)</f>
        <v>164400</v>
      </c>
      <c r="L196" s="140" t="str">
        <f>IFERROR(__xludf.DUMMYFUNCTION("""COMPUTED_VALUE"""),"Mastering BGP in Depth on Cisco Routers")</f>
        <v>Mastering BGP in Depth on Cisco Routers</v>
      </c>
      <c r="N196" s="140" t="str">
        <f>IFERROR(__xludf.DUMMYFUNCTION("""COMPUTED_VALUE"""),"")</f>
        <v/>
      </c>
    </row>
    <row r="197">
      <c r="A197" s="143">
        <f>IFERROR(__xludf.DUMMYFUNCTION("""COMPUTED_VALUE"""),44253.0)</f>
        <v>44253</v>
      </c>
      <c r="B197">
        <f>IFERROR(__xludf.DUMMYFUNCTION("""COMPUTED_VALUE"""),631746.0)</f>
        <v>631746</v>
      </c>
      <c r="C197" t="str">
        <f>IFERROR(__xludf.DUMMYFUNCTION("""COMPUTED_VALUE"""),"en")</f>
        <v>en</v>
      </c>
      <c r="D197" t="str">
        <f>IFERROR(__xludf.DUMMYFUNCTION("""COMPUTED_VALUE"""),"MPLS Fundamentals: Cisco CCNP &amp; Real World")</f>
        <v>MPLS Fundamentals: Cisco CCNP &amp; Real World</v>
      </c>
      <c r="E197" t="str">
        <f>IFERROR(__xludf.DUMMYFUNCTION("""COMPUTED_VALUE"""),"MPLS Fundamentals: Cisco CCNP &amp; Real World")</f>
        <v>MPLS Fundamentals: Cisco CCNP &amp; Real World</v>
      </c>
      <c r="F197">
        <f>IFERROR(__xludf.DUMMYFUNCTION("""COMPUTED_VALUE"""),608262.0)</f>
        <v>608262</v>
      </c>
      <c r="G197" t="str">
        <f>IFERROR(__xludf.DUMMYFUNCTION("""COMPUTED_VALUE"""),"Lazaro Diaz")</f>
        <v>Lazaro Diaz</v>
      </c>
      <c r="H197" t="str">
        <f>IFERROR(__xludf.DUMMYFUNCTION("""COMPUTED_VALUE"""),"Outdated")</f>
        <v>Outdated</v>
      </c>
      <c r="I197" t="str">
        <f>IFERROR(__xludf.DUMMYFUNCTION("""COMPUTED_VALUE"""),"IT Operations")</f>
        <v>IT Operations</v>
      </c>
      <c r="J197" t="str">
        <f>IFERROR(__xludf.DUMMYFUNCTION("""COMPUTED_VALUE"""),"IT Certifications")</f>
        <v>IT Certifications</v>
      </c>
      <c r="L197" s="140" t="str">
        <f>IFERROR(__xludf.DUMMYFUNCTION("""COMPUTED_VALUE"""),"")</f>
        <v/>
      </c>
      <c r="N197" s="140" t="str">
        <f>IFERROR(__xludf.DUMMYFUNCTION("""COMPUTED_VALUE"""),"")</f>
        <v/>
      </c>
    </row>
    <row r="198">
      <c r="A198" s="143">
        <f>IFERROR(__xludf.DUMMYFUNCTION("""COMPUTED_VALUE"""),44253.0)</f>
        <v>44253</v>
      </c>
      <c r="B198">
        <f>IFERROR(__xludf.DUMMYFUNCTION("""COMPUTED_VALUE"""),2237748.0)</f>
        <v>2237748</v>
      </c>
      <c r="C198" t="str">
        <f>IFERROR(__xludf.DUMMYFUNCTION("""COMPUTED_VALUE"""),"en")</f>
        <v>en</v>
      </c>
      <c r="D198" t="str">
        <f>IFERROR(__xludf.DUMMYFUNCTION("""COMPUTED_VALUE"""),"Free Cisco CCNA and CCNP Remote Labs! Free Cisco VIRL labs!")</f>
        <v>Free Cisco CCNA and CCNP Remote Labs! Free Cisco VIRL labs!</v>
      </c>
      <c r="E198" t="str">
        <f>IFERROR(__xludf.DUMMYFUNCTION("""COMPUTED_VALUE"""),"Free Cisco CCNA and CCNP Remote Labs! Free Cisco VIRL labs!")</f>
        <v>Free Cisco CCNA and CCNP Remote Labs! Free Cisco VIRL labs!</v>
      </c>
      <c r="F198">
        <f>IFERROR(__xludf.DUMMYFUNCTION("""COMPUTED_VALUE"""),794308.0)</f>
        <v>794308</v>
      </c>
      <c r="G198" t="str">
        <f>IFERROR(__xludf.DUMMYFUNCTION("""COMPUTED_VALUE"""),"David Bombal")</f>
        <v>David Bombal</v>
      </c>
      <c r="H198" t="str">
        <f>IFERROR(__xludf.DUMMYFUNCTION("""COMPUTED_VALUE"""),"Outdated")</f>
        <v>Outdated</v>
      </c>
      <c r="I198" t="str">
        <f>IFERROR(__xludf.DUMMYFUNCTION("""COMPUTED_VALUE"""),"IT Operations")</f>
        <v>IT Operations</v>
      </c>
      <c r="J198" t="str">
        <f>IFERROR(__xludf.DUMMYFUNCTION("""COMPUTED_VALUE"""),"IT Certifications")</f>
        <v>IT Certifications</v>
      </c>
      <c r="K198">
        <f>IFERROR(__xludf.DUMMYFUNCTION("""COMPUTED_VALUE"""),1414996.0)</f>
        <v>1414996</v>
      </c>
      <c r="L198" s="140" t="str">
        <f>IFERROR(__xludf.DUMMYFUNCTION("""COMPUTED_VALUE"""),"Cisco CCNA Packet Tracer Ultimate labs: CCNA 200-301 labs")</f>
        <v>Cisco CCNA Packet Tracer Ultimate labs: CCNA 200-301 labs</v>
      </c>
      <c r="N198" s="140" t="str">
        <f>IFERROR(__xludf.DUMMYFUNCTION("""COMPUTED_VALUE"""),"")</f>
        <v/>
      </c>
    </row>
    <row r="199">
      <c r="A199" s="143">
        <f>IFERROR(__xludf.DUMMYFUNCTION("""COMPUTED_VALUE"""),44253.0)</f>
        <v>44253</v>
      </c>
      <c r="B199">
        <f>IFERROR(__xludf.DUMMYFUNCTION("""COMPUTED_VALUE"""),1138176.0)</f>
        <v>1138176</v>
      </c>
      <c r="C199" t="str">
        <f>IFERROR(__xludf.DUMMYFUNCTION("""COMPUTED_VALUE"""),"en")</f>
        <v>en</v>
      </c>
      <c r="D199" t="str">
        <f>IFERROR(__xludf.DUMMYFUNCTION("""COMPUTED_VALUE"""),"Cisco CCNP T-Shoot (300-135): The Complete Course")</f>
        <v>Cisco CCNP T-Shoot (300-135): The Complete Course</v>
      </c>
      <c r="E199" t="str">
        <f>IFERROR(__xludf.DUMMYFUNCTION("""COMPUTED_VALUE"""),"Cisco CCNP T-Shoot (300-135): The Complete Course")</f>
        <v>Cisco CCNP T-Shoot (300-135): The Complete Course</v>
      </c>
      <c r="F199">
        <f>IFERROR(__xludf.DUMMYFUNCTION("""COMPUTED_VALUE"""),608262.0)</f>
        <v>608262</v>
      </c>
      <c r="G199" t="str">
        <f>IFERROR(__xludf.DUMMYFUNCTION("""COMPUTED_VALUE"""),"Lazaro Diaz")</f>
        <v>Lazaro Diaz</v>
      </c>
      <c r="H199" t="str">
        <f>IFERROR(__xludf.DUMMYFUNCTION("""COMPUTED_VALUE"""),"Outdated")</f>
        <v>Outdated</v>
      </c>
      <c r="I199" t="str">
        <f>IFERROR(__xludf.DUMMYFUNCTION("""COMPUTED_VALUE"""),"IT Operations")</f>
        <v>IT Operations</v>
      </c>
      <c r="J199" t="str">
        <f>IFERROR(__xludf.DUMMYFUNCTION("""COMPUTED_VALUE"""),"IT Certifications")</f>
        <v>IT Certifications</v>
      </c>
      <c r="L199" s="140" t="str">
        <f>IFERROR(__xludf.DUMMYFUNCTION("""COMPUTED_VALUE"""),"")</f>
        <v/>
      </c>
      <c r="N199" s="140" t="str">
        <f>IFERROR(__xludf.DUMMYFUNCTION("""COMPUTED_VALUE"""),"")</f>
        <v/>
      </c>
    </row>
    <row r="200">
      <c r="A200" s="143">
        <f>IFERROR(__xludf.DUMMYFUNCTION("""COMPUTED_VALUE"""),44253.0)</f>
        <v>44253</v>
      </c>
      <c r="B200">
        <f>IFERROR(__xludf.DUMMYFUNCTION("""COMPUTED_VALUE"""),692964.0)</f>
        <v>692964</v>
      </c>
      <c r="C200" t="str">
        <f>IFERROR(__xludf.DUMMYFUNCTION("""COMPUTED_VALUE"""),"en")</f>
        <v>en</v>
      </c>
      <c r="D200" t="str">
        <f>IFERROR(__xludf.DUMMYFUNCTION("""COMPUTED_VALUE"""),"CINEMA 4D Unleashed - Master 3D Fundamentals")</f>
        <v>CINEMA 4D Unleashed - Master 3D Fundamentals</v>
      </c>
      <c r="E200" t="str">
        <f>IFERROR(__xludf.DUMMYFUNCTION("""COMPUTED_VALUE"""),"CINEMA 4D Unleashed - Master 3D Fundamentals")</f>
        <v>CINEMA 4D Unleashed - Master 3D Fundamentals</v>
      </c>
      <c r="F200">
        <f>IFERROR(__xludf.DUMMYFUNCTION("""COMPUTED_VALUE"""),6538556.0)</f>
        <v>6538556</v>
      </c>
      <c r="G200" t="str">
        <f>IFERROR(__xludf.DUMMYFUNCTION("""COMPUTED_VALUE"""),"Uri Soglowek")</f>
        <v>Uri Soglowek</v>
      </c>
      <c r="H200" t="str">
        <f>IFERROR(__xludf.DUMMYFUNCTION("""COMPUTED_VALUE"""),"Inactive Instructor")</f>
        <v>Inactive Instructor</v>
      </c>
      <c r="I200" t="str">
        <f>IFERROR(__xludf.DUMMYFUNCTION("""COMPUTED_VALUE"""),"Design")</f>
        <v>Design</v>
      </c>
      <c r="J200" t="str">
        <f>IFERROR(__xludf.DUMMYFUNCTION("""COMPUTED_VALUE"""),"Design Tools")</f>
        <v>Design Tools</v>
      </c>
      <c r="K200">
        <f>IFERROR(__xludf.DUMMYFUNCTION("""COMPUTED_VALUE"""),1832808.0)</f>
        <v>1832808</v>
      </c>
      <c r="L200" s="140" t="str">
        <f>IFERROR(__xludf.DUMMYFUNCTION("""COMPUTED_VALUE"""),"Cinema 4D Masterclass: The Ultimate Guide for Beginners")</f>
        <v>Cinema 4D Masterclass: The Ultimate Guide for Beginners</v>
      </c>
      <c r="M200">
        <f>IFERROR(__xludf.DUMMYFUNCTION("""COMPUTED_VALUE"""),2258750.0)</f>
        <v>2258750</v>
      </c>
      <c r="N200" s="140" t="str">
        <f>IFERROR(__xludf.DUMMYFUNCTION("""COMPUTED_VALUE"""),"Learn Cinema 4D - Create Abstract 3D Design Elements")</f>
        <v>Learn Cinema 4D - Create Abstract 3D Design Elements</v>
      </c>
    </row>
    <row r="201">
      <c r="A201" s="143">
        <f>IFERROR(__xludf.DUMMYFUNCTION("""COMPUTED_VALUE"""),44253.0)</f>
        <v>44253</v>
      </c>
      <c r="B201">
        <f>IFERROR(__xludf.DUMMYFUNCTION("""COMPUTED_VALUE"""),626052.0)</f>
        <v>626052</v>
      </c>
      <c r="C201" t="str">
        <f>IFERROR(__xludf.DUMMYFUNCTION("""COMPUTED_VALUE"""),"en")</f>
        <v>en</v>
      </c>
      <c r="D201" t="str">
        <f>IFERROR(__xludf.DUMMYFUNCTION("""COMPUTED_VALUE"""),"Record Your Voice Like A Pro! The Complete Voice Over Course")</f>
        <v>Record Your Voice Like A Pro! The Complete Voice Over Course</v>
      </c>
      <c r="E201" t="str">
        <f>IFERROR(__xludf.DUMMYFUNCTION("""COMPUTED_VALUE"""),"Record Your Voice Like A Pro! The Complete Voice Over Course")</f>
        <v>Record Your Voice Like A Pro! The Complete Voice Over Course</v>
      </c>
      <c r="F201">
        <f>IFERROR(__xludf.DUMMYFUNCTION("""COMPUTED_VALUE"""),8527674.0)</f>
        <v>8527674</v>
      </c>
      <c r="G201" t="str">
        <f>IFERROR(__xludf.DUMMYFUNCTION("""COMPUTED_VALUE"""),"Joe Parys")</f>
        <v>Joe Parys</v>
      </c>
      <c r="H201" t="str">
        <f>IFERROR(__xludf.DUMMYFUNCTION("""COMPUTED_VALUE"""),"Inactive Instructor")</f>
        <v>Inactive Instructor</v>
      </c>
      <c r="I201" t="str">
        <f>IFERROR(__xludf.DUMMYFUNCTION("""COMPUTED_VALUE"""),"Personal Development")</f>
        <v>Personal Development</v>
      </c>
      <c r="J201" t="str">
        <f>IFERROR(__xludf.DUMMYFUNCTION("""COMPUTED_VALUE"""),"Personal Growth")</f>
        <v>Personal Growth</v>
      </c>
      <c r="K201">
        <f>IFERROR(__xludf.DUMMYFUNCTION("""COMPUTED_VALUE"""),613626.0)</f>
        <v>613626</v>
      </c>
      <c r="L201" s="140" t="str">
        <f>IFERROR(__xludf.DUMMYFUNCTION("""COMPUTED_VALUE"""),"Voice-Over Training: Record And Edit Voice Overs Like A Pro")</f>
        <v>Voice-Over Training: Record And Edit Voice Overs Like A Pro</v>
      </c>
      <c r="N201" s="140" t="str">
        <f>IFERROR(__xludf.DUMMYFUNCTION("""COMPUTED_VALUE"""),"")</f>
        <v/>
      </c>
    </row>
    <row r="202">
      <c r="A202" s="143">
        <f>IFERROR(__xludf.DUMMYFUNCTION("""COMPUTED_VALUE"""),44253.0)</f>
        <v>44253</v>
      </c>
      <c r="B202">
        <f>IFERROR(__xludf.DUMMYFUNCTION("""COMPUTED_VALUE"""),739926.0)</f>
        <v>739926</v>
      </c>
      <c r="C202" t="str">
        <f>IFERROR(__xludf.DUMMYFUNCTION("""COMPUTED_VALUE"""),"en")</f>
        <v>en</v>
      </c>
      <c r="D202" t="str">
        <f>IFERROR(__xludf.DUMMYFUNCTION("""COMPUTED_VALUE"""),"Build 20 SpriteKit Games for iPad and build 15 Websites!")</f>
        <v>Build 20 SpriteKit Games for iPad and build 15 Websites!</v>
      </c>
      <c r="E202" t="str">
        <f>IFERROR(__xludf.DUMMYFUNCTION("""COMPUTED_VALUE"""),"Build 20 SpriteKit Games for iPad and build 15 Websites!")</f>
        <v>Build 20 SpriteKit Games for iPad and build 15 Websites!</v>
      </c>
      <c r="F202">
        <f>IFERROR(__xludf.DUMMYFUNCTION("""COMPUTED_VALUE"""),55737.0)</f>
        <v>55737</v>
      </c>
      <c r="G202" t="str">
        <f>IFERROR(__xludf.DUMMYFUNCTION("""COMPUTED_VALUE"""),"John Bura")</f>
        <v>John Bura</v>
      </c>
      <c r="H202" t="str">
        <f>IFERROR(__xludf.DUMMYFUNCTION("""COMPUTED_VALUE"""),"Inactive Instructor")</f>
        <v>Inactive Instructor</v>
      </c>
      <c r="I202" t="str">
        <f>IFERROR(__xludf.DUMMYFUNCTION("""COMPUTED_VALUE"""),"Development")</f>
        <v>Development</v>
      </c>
      <c r="J202" t="str">
        <f>IFERROR(__xludf.DUMMYFUNCTION("""COMPUTED_VALUE"""),"Mobile Development")</f>
        <v>Mobile Development</v>
      </c>
      <c r="L202" s="140" t="str">
        <f>IFERROR(__xludf.DUMMYFUNCTION("""COMPUTED_VALUE"""),"")</f>
        <v/>
      </c>
      <c r="N202" s="140" t="str">
        <f>IFERROR(__xludf.DUMMYFUNCTION("""COMPUTED_VALUE"""),"")</f>
        <v/>
      </c>
    </row>
    <row r="203">
      <c r="A203" s="143">
        <f>IFERROR(__xludf.DUMMYFUNCTION("""COMPUTED_VALUE"""),44253.0)</f>
        <v>44253</v>
      </c>
      <c r="B203">
        <f>IFERROR(__xludf.DUMMYFUNCTION("""COMPUTED_VALUE"""),597768.0)</f>
        <v>597768</v>
      </c>
      <c r="C203" t="str">
        <f>IFERROR(__xludf.DUMMYFUNCTION("""COMPUTED_VALUE"""),"en")</f>
        <v>en</v>
      </c>
      <c r="D203" t="str">
        <f>IFERROR(__xludf.DUMMYFUNCTION("""COMPUTED_VALUE"""),"Google Analytics for Marketing - Boost Sales &amp; Lower Costs")</f>
        <v>Google Analytics for Marketing - Boost Sales &amp; Lower Costs</v>
      </c>
      <c r="E203" t="str">
        <f>IFERROR(__xludf.DUMMYFUNCTION("""COMPUTED_VALUE"""),"Google Analytics for Marketing - Boost Sales &amp; Lower Costs")</f>
        <v>Google Analytics for Marketing - Boost Sales &amp; Lower Costs</v>
      </c>
      <c r="F203">
        <f>IFERROR(__xludf.DUMMYFUNCTION("""COMPUTED_VALUE"""),8527674.0)</f>
        <v>8527674</v>
      </c>
      <c r="G203" t="str">
        <f>IFERROR(__xludf.DUMMYFUNCTION("""COMPUTED_VALUE"""),"Joe Parys")</f>
        <v>Joe Parys</v>
      </c>
      <c r="H203" t="str">
        <f>IFERROR(__xludf.DUMMYFUNCTION("""COMPUTED_VALUE"""),"Inactive Instructor")</f>
        <v>Inactive Instructor</v>
      </c>
      <c r="I203" t="str">
        <f>IFERROR(__xludf.DUMMYFUNCTION("""COMPUTED_VALUE"""),"Marketing")</f>
        <v>Marketing</v>
      </c>
      <c r="J203" t="str">
        <f>IFERROR(__xludf.DUMMYFUNCTION("""COMPUTED_VALUE"""),"Marketing Analytics &amp; Automation")</f>
        <v>Marketing Analytics &amp; Automation</v>
      </c>
      <c r="K203">
        <f>IFERROR(__xludf.DUMMYFUNCTION("""COMPUTED_VALUE"""),328386.0)</f>
        <v>328386</v>
      </c>
      <c r="L203" s="140" t="str">
        <f>IFERROR(__xludf.DUMMYFUNCTION("""COMPUTED_VALUE"""),"Google Analytics Certification - Get Certified in Just 1 Day")</f>
        <v>Google Analytics Certification - Get Certified in Just 1 Day</v>
      </c>
      <c r="M203">
        <f>IFERROR(__xludf.DUMMYFUNCTION("""COMPUTED_VALUE"""),613946.0)</f>
        <v>613946</v>
      </c>
      <c r="N203" s="140" t="str">
        <f>IFERROR(__xludf.DUMMYFUNCTION("""COMPUTED_VALUE"""),"Google Analytics for Beginners | Hands-On Training Course")</f>
        <v>Google Analytics for Beginners | Hands-On Training Course</v>
      </c>
    </row>
    <row r="204">
      <c r="A204" s="143">
        <f>IFERROR(__xludf.DUMMYFUNCTION("""COMPUTED_VALUE"""),44253.0)</f>
        <v>44253</v>
      </c>
      <c r="B204">
        <f>IFERROR(__xludf.DUMMYFUNCTION("""COMPUTED_VALUE"""),1380000.0)</f>
        <v>1380000</v>
      </c>
      <c r="C204" t="str">
        <f>IFERROR(__xludf.DUMMYFUNCTION("""COMPUTED_VALUE"""),"ja")</f>
        <v>ja</v>
      </c>
      <c r="D204" t="str">
        <f>IFERROR(__xludf.DUMMYFUNCTION("""COMPUTED_VALUE"""),"正規表現講座")</f>
        <v>正規表現講座</v>
      </c>
      <c r="E204" t="str">
        <f>IFERROR(__xludf.DUMMYFUNCTION("""COMPUTED_VALUE"""),"Regular performance lecture")</f>
        <v>Regular performance lecture</v>
      </c>
      <c r="F204">
        <f>IFERROR(__xludf.DUMMYFUNCTION("""COMPUTED_VALUE"""),2.8455568E7)</f>
        <v>28455568</v>
      </c>
      <c r="G204" t="str">
        <f>IFERROR(__xludf.DUMMYFUNCTION("""COMPUTED_VALUE"""),"Yu Hiraga")</f>
        <v>Yu Hiraga</v>
      </c>
      <c r="H204" t="str">
        <f>IFERROR(__xludf.DUMMYFUNCTION("""COMPUTED_VALUE"""),"Instructor Request- Opted Out")</f>
        <v>Instructor Request- Opted Out</v>
      </c>
      <c r="I204" t="str">
        <f>IFERROR(__xludf.DUMMYFUNCTION("""COMPUTED_VALUE"""),"Development")</f>
        <v>Development</v>
      </c>
      <c r="J204" t="str">
        <f>IFERROR(__xludf.DUMMYFUNCTION("""COMPUTED_VALUE"""),"Programming Languages")</f>
        <v>Programming Languages</v>
      </c>
      <c r="L204" s="140" t="str">
        <f>IFERROR(__xludf.DUMMYFUNCTION("""COMPUTED_VALUE"""),"")</f>
        <v/>
      </c>
      <c r="N204" s="140" t="str">
        <f>IFERROR(__xludf.DUMMYFUNCTION("""COMPUTED_VALUE"""),"")</f>
        <v/>
      </c>
    </row>
    <row r="205">
      <c r="A205" s="143">
        <f>IFERROR(__xludf.DUMMYFUNCTION("""COMPUTED_VALUE"""),44253.0)</f>
        <v>44253</v>
      </c>
      <c r="B205">
        <f>IFERROR(__xludf.DUMMYFUNCTION("""COMPUTED_VALUE"""),2246870.0)</f>
        <v>2246870</v>
      </c>
      <c r="C205" t="str">
        <f>IFERROR(__xludf.DUMMYFUNCTION("""COMPUTED_VALUE"""),"pt")</f>
        <v>pt</v>
      </c>
      <c r="D205" t="str">
        <f>IFERROR(__xludf.DUMMYFUNCTION("""COMPUTED_VALUE"""),"Instagram Stories 2020: Um Guia Para Conquistar Clientes")</f>
        <v>Instagram Stories 2020: Um Guia Para Conquistar Clientes</v>
      </c>
      <c r="E205" t="str">
        <f>IFERROR(__xludf.DUMMYFUNCTION("""COMPUTED_VALUE"""),"Instagram Stories 2020: A Guide to Conquering Clients")</f>
        <v>Instagram Stories 2020: A Guide to Conquering Clients</v>
      </c>
      <c r="F205">
        <f>IFERROR(__xludf.DUMMYFUNCTION("""COMPUTED_VALUE"""),2.3861766E7)</f>
        <v>23861766</v>
      </c>
      <c r="G205" t="str">
        <f>IFERROR(__xludf.DUMMYFUNCTION("""COMPUTED_VALUE"""),"IClass Cursos Online")</f>
        <v>IClass Cursos Online</v>
      </c>
      <c r="H205" t="str">
        <f>IFERROR(__xludf.DUMMYFUNCTION("""COMPUTED_VALUE"""),"Instructor Request- Opted Out")</f>
        <v>Instructor Request- Opted Out</v>
      </c>
      <c r="I205" t="str">
        <f>IFERROR(__xludf.DUMMYFUNCTION("""COMPUTED_VALUE"""),"Marketing")</f>
        <v>Marketing</v>
      </c>
      <c r="J205" t="str">
        <f>IFERROR(__xludf.DUMMYFUNCTION("""COMPUTED_VALUE"""),"Social Media Marketing")</f>
        <v>Social Media Marketing</v>
      </c>
      <c r="K205">
        <f>IFERROR(__xludf.DUMMYFUNCTION("""COMPUTED_VALUE"""),1654366.0)</f>
        <v>1654366</v>
      </c>
      <c r="L205" s="140" t="str">
        <f>IFERROR(__xludf.DUMMYFUNCTION("""COMPUTED_VALUE"""),"Curso Completo de Instagram Marketing")</f>
        <v>Curso Completo de Instagram Marketing</v>
      </c>
      <c r="M205">
        <f>IFERROR(__xludf.DUMMYFUNCTION("""COMPUTED_VALUE"""),2569532.0)</f>
        <v>2569532</v>
      </c>
      <c r="N205" s="140" t="str">
        <f>IFERROR(__xludf.DUMMYFUNCTION("""COMPUTED_VALUE"""),"Curso Instagram Marketing Completo - Do Básico ao Avançado.")</f>
        <v>Curso Instagram Marketing Completo - Do Básico ao Avançado.</v>
      </c>
    </row>
    <row r="206">
      <c r="A206" s="143">
        <f>IFERROR(__xludf.DUMMYFUNCTION("""COMPUTED_VALUE"""),44253.0)</f>
        <v>44253</v>
      </c>
      <c r="B206">
        <f>IFERROR(__xludf.DUMMYFUNCTION("""COMPUTED_VALUE"""),1876906.0)</f>
        <v>1876906</v>
      </c>
      <c r="C206" t="str">
        <f>IFERROR(__xludf.DUMMYFUNCTION("""COMPUTED_VALUE"""),"ja")</f>
        <v>ja</v>
      </c>
      <c r="D206" t="str">
        <f>IFERROR(__xludf.DUMMYFUNCTION("""COMPUTED_VALUE"""),"日本人のためのアメリカ英語発音矯正コース Chapter 1")</f>
        <v>日本人のためのアメリカ英語発音矯正コース Chapter 1</v>
      </c>
      <c r="E206" t="str">
        <f>IFERROR(__xludf.DUMMYFUNCTION("""COMPUTED_VALUE"""),"American English Pronunciation Orthodontic Course for Japanese CHAPTER 1")</f>
        <v>American English Pronunciation Orthodontic Course for Japanese CHAPTER 1</v>
      </c>
      <c r="F206">
        <f>IFERROR(__xludf.DUMMYFUNCTION("""COMPUTED_VALUE"""),4.779546E7)</f>
        <v>47795460</v>
      </c>
      <c r="G206" t="str">
        <f>IFERROR(__xludf.DUMMYFUNCTION("""COMPUTED_VALUE"""),"Aiko Hemingway")</f>
        <v>Aiko Hemingway</v>
      </c>
      <c r="H206" t="str">
        <f>IFERROR(__xludf.DUMMYFUNCTION("""COMPUTED_VALUE"""),"Instructor Request- Opted Out")</f>
        <v>Instructor Request- Opted Out</v>
      </c>
      <c r="I206" t="str">
        <f>IFERROR(__xludf.DUMMYFUNCTION("""COMPUTED_VALUE"""),"Personal Development")</f>
        <v>Personal Development</v>
      </c>
      <c r="J206" t="str">
        <f>IFERROR(__xludf.DUMMYFUNCTION("""COMPUTED_VALUE"""),"Language Learning")</f>
        <v>Language Learning</v>
      </c>
      <c r="K206">
        <f>IFERROR(__xludf.DUMMYFUNCTION("""COMPUTED_VALUE"""),1597448.0)</f>
        <v>1597448</v>
      </c>
      <c r="L206" s="140" t="str">
        <f>IFERROR(__xludf.DUMMYFUNCTION("""COMPUTED_VALUE"""),"英語の発音レベルアップ：カタカナ英語をやめて、ネイティブのような発音に！")</f>
        <v>英語の発音レベルアップ：カタカナ英語をやめて、ネイティブのような発音に！</v>
      </c>
      <c r="N206" s="140" t="str">
        <f>IFERROR(__xludf.DUMMYFUNCTION("""COMPUTED_VALUE"""),"")</f>
        <v/>
      </c>
    </row>
    <row r="207">
      <c r="A207" s="143">
        <f>IFERROR(__xludf.DUMMYFUNCTION("""COMPUTED_VALUE"""),44253.0)</f>
        <v>44253</v>
      </c>
      <c r="B207">
        <f>IFERROR(__xludf.DUMMYFUNCTION("""COMPUTED_VALUE"""),2196052.0)</f>
        <v>2196052</v>
      </c>
      <c r="C207" t="str">
        <f>IFERROR(__xludf.DUMMYFUNCTION("""COMPUTED_VALUE"""),"es")</f>
        <v>es</v>
      </c>
      <c r="D207" t="str">
        <f>IFERROR(__xludf.DUMMYFUNCTION("""COMPUTED_VALUE"""),"Lean Six Sigma White Belt (CLSSWB)")</f>
        <v>Lean Six Sigma White Belt (CLSSWB)</v>
      </c>
      <c r="E207" t="str">
        <f>IFERROR(__xludf.DUMMYFUNCTION("""COMPUTED_VALUE"""),"Lean Six Sigma White Belt (CLSSWB)")</f>
        <v>Lean Six Sigma White Belt (CLSSWB)</v>
      </c>
      <c r="F207">
        <f>IFERROR(__xludf.DUMMYFUNCTION("""COMPUTED_VALUE"""),5.1311878E7)</f>
        <v>51311878</v>
      </c>
      <c r="G207" t="str">
        <f>IFERROR(__xludf.DUMMYFUNCTION("""COMPUTED_VALUE"""),"Héctor Manuel Hernández Ramírez")</f>
        <v>Héctor Manuel Hernández Ramírez</v>
      </c>
      <c r="H207" t="str">
        <f>IFERROR(__xludf.DUMMYFUNCTION("""COMPUTED_VALUE"""),"Instructor Request- Opted Out")</f>
        <v>Instructor Request- Opted Out</v>
      </c>
      <c r="I207" t="str">
        <f>IFERROR(__xludf.DUMMYFUNCTION("""COMPUTED_VALUE"""),"Project Management &amp; Operations")</f>
        <v>Project Management &amp; Operations</v>
      </c>
      <c r="J207" t="str">
        <f>IFERROR(__xludf.DUMMYFUNCTION("""COMPUTED_VALUE"""),"Operations Management")</f>
        <v>Operations Management</v>
      </c>
      <c r="L207" s="140" t="str">
        <f>IFERROR(__xludf.DUMMYFUNCTION("""COMPUTED_VALUE"""),"")</f>
        <v/>
      </c>
      <c r="N207" s="140" t="str">
        <f>IFERROR(__xludf.DUMMYFUNCTION("""COMPUTED_VALUE"""),"")</f>
        <v/>
      </c>
    </row>
    <row r="208">
      <c r="A208" s="143">
        <f>IFERROR(__xludf.DUMMYFUNCTION("""COMPUTED_VALUE"""),44253.0)</f>
        <v>44253</v>
      </c>
      <c r="B208">
        <f>IFERROR(__xludf.DUMMYFUNCTION("""COMPUTED_VALUE"""),844176.0)</f>
        <v>844176</v>
      </c>
      <c r="C208" t="str">
        <f>IFERROR(__xludf.DUMMYFUNCTION("""COMPUTED_VALUE"""),"es")</f>
        <v>es</v>
      </c>
      <c r="D208" t="str">
        <f>IFERROR(__xludf.DUMMYFUNCTION("""COMPUTED_VALUE"""),"Cisco CCNA 200-301 - Practicas de configuracion en español")</f>
        <v>Cisco CCNA 200-301 - Practicas de configuracion en español</v>
      </c>
      <c r="E208" t="str">
        <f>IFERROR(__xludf.DUMMYFUNCTION("""COMPUTED_VALUE"""),"Cisco CCNA 200-301 - Practices of Configuration in Spanish")</f>
        <v>Cisco CCNA 200-301 - Practices of Configuration in Spanish</v>
      </c>
      <c r="F208">
        <f>IFERROR(__xludf.DUMMYFUNCTION("""COMPUTED_VALUE"""),4354550.0)</f>
        <v>4354550</v>
      </c>
      <c r="G208" t="str">
        <f>IFERROR(__xludf.DUMMYFUNCTION("""COMPUTED_VALUE"""),"Manuel Sepulveda")</f>
        <v>Manuel Sepulveda</v>
      </c>
      <c r="H208" t="str">
        <f>IFERROR(__xludf.DUMMYFUNCTION("""COMPUTED_VALUE"""),"Instructor Request- Opted Out")</f>
        <v>Instructor Request- Opted Out</v>
      </c>
      <c r="I208" t="str">
        <f>IFERROR(__xludf.DUMMYFUNCTION("""COMPUTED_VALUE"""),"IT Operations")</f>
        <v>IT Operations</v>
      </c>
      <c r="J208" t="str">
        <f>IFERROR(__xludf.DUMMYFUNCTION("""COMPUTED_VALUE"""),"IT Certifications")</f>
        <v>IT Certifications</v>
      </c>
      <c r="L208" s="140" t="str">
        <f>IFERROR(__xludf.DUMMYFUNCTION("""COMPUTED_VALUE"""),"")</f>
        <v/>
      </c>
      <c r="N208" s="140" t="str">
        <f>IFERROR(__xludf.DUMMYFUNCTION("""COMPUTED_VALUE"""),"")</f>
        <v/>
      </c>
    </row>
    <row r="209">
      <c r="A209" s="143">
        <f>IFERROR(__xludf.DUMMYFUNCTION("""COMPUTED_VALUE"""),44253.0)</f>
        <v>44253</v>
      </c>
      <c r="B209">
        <f>IFERROR(__xludf.DUMMYFUNCTION("""COMPUTED_VALUE"""),1897416.0)</f>
        <v>1897416</v>
      </c>
      <c r="C209" t="str">
        <f>IFERROR(__xludf.DUMMYFUNCTION("""COMPUTED_VALUE"""),"ja")</f>
        <v>ja</v>
      </c>
      <c r="D209" t="str">
        <f>IFERROR(__xludf.DUMMYFUNCTION("""COMPUTED_VALUE"""),"Chapter 3 日本人のためのアメリカ英語の発音矯正コース")</f>
        <v>Chapter 3 日本人のためのアメリカ英語の発音矯正コース</v>
      </c>
      <c r="E209" t="str">
        <f>IFERROR(__xludf.DUMMYFUNCTION("""COMPUTED_VALUE"""),"CHAPTER 3 American English Pronunciation Course for Japanese")</f>
        <v>CHAPTER 3 American English Pronunciation Course for Japanese</v>
      </c>
      <c r="F209">
        <f>IFERROR(__xludf.DUMMYFUNCTION("""COMPUTED_VALUE"""),4.779546E7)</f>
        <v>47795460</v>
      </c>
      <c r="G209" t="str">
        <f>IFERROR(__xludf.DUMMYFUNCTION("""COMPUTED_VALUE"""),"Aiko Hemingway")</f>
        <v>Aiko Hemingway</v>
      </c>
      <c r="H209" t="str">
        <f>IFERROR(__xludf.DUMMYFUNCTION("""COMPUTED_VALUE"""),"Instructor Request- Opted Out")</f>
        <v>Instructor Request- Opted Out</v>
      </c>
      <c r="I209" t="str">
        <f>IFERROR(__xludf.DUMMYFUNCTION("""COMPUTED_VALUE"""),"Personal Development")</f>
        <v>Personal Development</v>
      </c>
      <c r="J209" t="str">
        <f>IFERROR(__xludf.DUMMYFUNCTION("""COMPUTED_VALUE"""),"Language Learning")</f>
        <v>Language Learning</v>
      </c>
      <c r="L209" s="140" t="str">
        <f>IFERROR(__xludf.DUMMYFUNCTION("""COMPUTED_VALUE"""),"")</f>
        <v/>
      </c>
      <c r="N209" s="140" t="str">
        <f>IFERROR(__xludf.DUMMYFUNCTION("""COMPUTED_VALUE"""),"")</f>
        <v/>
      </c>
    </row>
    <row r="210">
      <c r="A210" s="143">
        <f>IFERROR(__xludf.DUMMYFUNCTION("""COMPUTED_VALUE"""),44253.0)</f>
        <v>44253</v>
      </c>
      <c r="B210">
        <f>IFERROR(__xludf.DUMMYFUNCTION("""COMPUTED_VALUE"""),1888514.0)</f>
        <v>1888514</v>
      </c>
      <c r="C210" t="str">
        <f>IFERROR(__xludf.DUMMYFUNCTION("""COMPUTED_VALUE"""),"ja")</f>
        <v>ja</v>
      </c>
      <c r="D210" t="str">
        <f>IFERROR(__xludf.DUMMYFUNCTION("""COMPUTED_VALUE"""),"日本人のためのアメリカ英語発音矯正コース Chapter 2")</f>
        <v>日本人のためのアメリカ英語発音矯正コース Chapter 2</v>
      </c>
      <c r="E210" t="str">
        <f>IFERROR(__xludf.DUMMYFUNCTION("""COMPUTED_VALUE"""),"American English Pronunciation Orthodontic Course for Japanese CHAPTER 2")</f>
        <v>American English Pronunciation Orthodontic Course for Japanese CHAPTER 2</v>
      </c>
      <c r="F210">
        <f>IFERROR(__xludf.DUMMYFUNCTION("""COMPUTED_VALUE"""),4.779546E7)</f>
        <v>47795460</v>
      </c>
      <c r="G210" t="str">
        <f>IFERROR(__xludf.DUMMYFUNCTION("""COMPUTED_VALUE"""),"Aiko Hemingway")</f>
        <v>Aiko Hemingway</v>
      </c>
      <c r="H210" t="str">
        <f>IFERROR(__xludf.DUMMYFUNCTION("""COMPUTED_VALUE"""),"Instructor Request- Opted Out")</f>
        <v>Instructor Request- Opted Out</v>
      </c>
      <c r="I210" t="str">
        <f>IFERROR(__xludf.DUMMYFUNCTION("""COMPUTED_VALUE"""),"Personal Development")</f>
        <v>Personal Development</v>
      </c>
      <c r="J210" t="str">
        <f>IFERROR(__xludf.DUMMYFUNCTION("""COMPUTED_VALUE"""),"Language Learning")</f>
        <v>Language Learning</v>
      </c>
      <c r="L210" s="140" t="str">
        <f>IFERROR(__xludf.DUMMYFUNCTION("""COMPUTED_VALUE"""),"")</f>
        <v/>
      </c>
      <c r="N210" s="140" t="str">
        <f>IFERROR(__xludf.DUMMYFUNCTION("""COMPUTED_VALUE"""),"")</f>
        <v/>
      </c>
    </row>
    <row r="211">
      <c r="A211" s="143">
        <f>IFERROR(__xludf.DUMMYFUNCTION("""COMPUTED_VALUE"""),44253.0)</f>
        <v>44253</v>
      </c>
      <c r="B211">
        <f>IFERROR(__xludf.DUMMYFUNCTION("""COMPUTED_VALUE"""),2136260.0)</f>
        <v>2136260</v>
      </c>
      <c r="C211" t="str">
        <f>IFERROR(__xludf.DUMMYFUNCTION("""COMPUTED_VALUE"""),"ja")</f>
        <v>ja</v>
      </c>
      <c r="D211" t="str">
        <f>IFERROR(__xludf.DUMMYFUNCTION("""COMPUTED_VALUE"""),"Node.js速習講座 Part2")</f>
        <v>Node.js速習講座 Part2</v>
      </c>
      <c r="E211" t="str">
        <f>IFERROR(__xludf.DUMMYFUNCTION("""COMPUTED_VALUE"""),"Node.js Cast Course PART2")</f>
        <v>Node.js Cast Course PART2</v>
      </c>
      <c r="F211">
        <f>IFERROR(__xludf.DUMMYFUNCTION("""COMPUTED_VALUE"""),2.8455568E7)</f>
        <v>28455568</v>
      </c>
      <c r="G211" t="str">
        <f>IFERROR(__xludf.DUMMYFUNCTION("""COMPUTED_VALUE"""),"Yu Hiraga")</f>
        <v>Yu Hiraga</v>
      </c>
      <c r="H211" t="str">
        <f>IFERROR(__xludf.DUMMYFUNCTION("""COMPUTED_VALUE"""),"Instructor Request- Opted Out")</f>
        <v>Instructor Request- Opted Out</v>
      </c>
      <c r="I211" t="str">
        <f>IFERROR(__xludf.DUMMYFUNCTION("""COMPUTED_VALUE"""),"Development")</f>
        <v>Development</v>
      </c>
      <c r="J211" t="str">
        <f>IFERROR(__xludf.DUMMYFUNCTION("""COMPUTED_VALUE"""),"Web Development")</f>
        <v>Web Development</v>
      </c>
      <c r="K211">
        <f>IFERROR(__xludf.DUMMYFUNCTION("""COMPUTED_VALUE"""),1312406.0)</f>
        <v>1312406</v>
      </c>
      <c r="L211" s="140" t="str">
        <f>IFERROR(__xludf.DUMMYFUNCTION("""COMPUTED_VALUE"""),"Node.js + Express で作る Webアプリケーション 実践講座")</f>
        <v>Node.js + Express で作る Webアプリケーション 実践講座</v>
      </c>
      <c r="N211" s="140" t="str">
        <f>IFERROR(__xludf.DUMMYFUNCTION("""COMPUTED_VALUE"""),"")</f>
        <v/>
      </c>
    </row>
    <row r="212">
      <c r="A212" s="143">
        <f>IFERROR(__xludf.DUMMYFUNCTION("""COMPUTED_VALUE"""),44253.0)</f>
        <v>44253</v>
      </c>
      <c r="B212">
        <f>IFERROR(__xludf.DUMMYFUNCTION("""COMPUTED_VALUE"""),2284600.0)</f>
        <v>2284600</v>
      </c>
      <c r="C212" t="str">
        <f>IFERROR(__xludf.DUMMYFUNCTION("""COMPUTED_VALUE"""),"en")</f>
        <v>en</v>
      </c>
      <c r="D212" t="str">
        <f>IFERROR(__xludf.DUMMYFUNCTION("""COMPUTED_VALUE"""),"Sketching for Fashion Design -- Beginner Course")</f>
        <v>Sketching for Fashion Design -- Beginner Course</v>
      </c>
      <c r="E212" t="str">
        <f>IFERROR(__xludf.DUMMYFUNCTION("""COMPUTED_VALUE"""),"Sketching for Fashion Design -- Beginner Course")</f>
        <v>Sketching for Fashion Design -- Beginner Course</v>
      </c>
      <c r="F212">
        <f>IFERROR(__xludf.DUMMYFUNCTION("""COMPUTED_VALUE"""),562686.0)</f>
        <v>562686</v>
      </c>
      <c r="G212" t="str">
        <f>IFERROR(__xludf.DUMMYFUNCTION("""COMPUTED_VALUE"""),"Nino Via")</f>
        <v>Nino Via</v>
      </c>
      <c r="H212" t="str">
        <f>IFERROR(__xludf.DUMMYFUNCTION("""COMPUTED_VALUE"""),"Instructor Request- Opted Out")</f>
        <v>Instructor Request- Opted Out</v>
      </c>
      <c r="I212" t="str">
        <f>IFERROR(__xludf.DUMMYFUNCTION("""COMPUTED_VALUE"""),"Personal Development")</f>
        <v>Personal Development</v>
      </c>
      <c r="J212" t="str">
        <f>IFERROR(__xludf.DUMMYFUNCTION("""COMPUTED_VALUE"""),"Arts &amp; Creativity")</f>
        <v>Arts &amp; Creativity</v>
      </c>
      <c r="L212" s="140" t="str">
        <f>IFERROR(__xludf.DUMMYFUNCTION("""COMPUTED_VALUE"""),"")</f>
        <v/>
      </c>
      <c r="N212" s="140" t="str">
        <f>IFERROR(__xludf.DUMMYFUNCTION("""COMPUTED_VALUE"""),"")</f>
        <v/>
      </c>
    </row>
    <row r="213">
      <c r="A213" s="143">
        <f>IFERROR(__xludf.DUMMYFUNCTION("""COMPUTED_VALUE"""),44253.0)</f>
        <v>44253</v>
      </c>
      <c r="B213">
        <f>IFERROR(__xludf.DUMMYFUNCTION("""COMPUTED_VALUE"""),1964340.0)</f>
        <v>1964340</v>
      </c>
      <c r="C213" t="str">
        <f>IFERROR(__xludf.DUMMYFUNCTION("""COMPUTED_VALUE"""),"pt")</f>
        <v>pt</v>
      </c>
      <c r="D213" t="str">
        <f>IFERROR(__xludf.DUMMYFUNCTION("""COMPUTED_VALUE"""),"ISO 27001: Curso completo para certificação EXIN ISFS!")</f>
        <v>ISO 27001: Curso completo para certificação EXIN ISFS!</v>
      </c>
      <c r="E213" t="str">
        <f>IFERROR(__xludf.DUMMYFUNCTION("""COMPUTED_VALUE"""),"ISO 27001: Full course for exin ISFS certification!")</f>
        <v>ISO 27001: Full course for exin ISFS certification!</v>
      </c>
      <c r="F213">
        <f>IFERROR(__xludf.DUMMYFUNCTION("""COMPUTED_VALUE"""),5.634589E7)</f>
        <v>56345890</v>
      </c>
      <c r="G213" t="str">
        <f>IFERROR(__xludf.DUMMYFUNCTION("""COMPUTED_VALUE"""),"Cláudio Dodt")</f>
        <v>Cláudio Dodt</v>
      </c>
      <c r="H213" t="str">
        <f>IFERROR(__xludf.DUMMYFUNCTION("""COMPUTED_VALUE"""),"Instructor Request- Opted Out")</f>
        <v>Instructor Request- Opted Out</v>
      </c>
      <c r="I213" t="str">
        <f>IFERROR(__xludf.DUMMYFUNCTION("""COMPUTED_VALUE"""),"IT Operations")</f>
        <v>IT Operations</v>
      </c>
      <c r="J213" t="str">
        <f>IFERROR(__xludf.DUMMYFUNCTION("""COMPUTED_VALUE"""),"Network &amp; Security")</f>
        <v>Network &amp; Security</v>
      </c>
      <c r="L213" s="140" t="str">
        <f>IFERROR(__xludf.DUMMYFUNCTION("""COMPUTED_VALUE"""),"")</f>
        <v/>
      </c>
      <c r="N213" s="140" t="str">
        <f>IFERROR(__xludf.DUMMYFUNCTION("""COMPUTED_VALUE"""),"")</f>
        <v/>
      </c>
    </row>
    <row r="214">
      <c r="A214" s="143">
        <f>IFERROR(__xludf.DUMMYFUNCTION("""COMPUTED_VALUE"""),44253.0)</f>
        <v>44253</v>
      </c>
      <c r="B214">
        <f>IFERROR(__xludf.DUMMYFUNCTION("""COMPUTED_VALUE"""),918390.0)</f>
        <v>918390</v>
      </c>
      <c r="C214" t="str">
        <f>IFERROR(__xludf.DUMMYFUNCTION("""COMPUTED_VALUE"""),"en")</f>
        <v>en</v>
      </c>
      <c r="D214" t="str">
        <f>IFERROR(__xludf.DUMMYFUNCTION("""COMPUTED_VALUE"""),"Natural Language Processing with Deep Learning in Python")</f>
        <v>Natural Language Processing with Deep Learning in Python</v>
      </c>
      <c r="E214" t="str">
        <f>IFERROR(__xludf.DUMMYFUNCTION("""COMPUTED_VALUE"""),"Natural Language Processing with Deep Learning in Python")</f>
        <v>Natural Language Processing with Deep Learning in Python</v>
      </c>
      <c r="F214">
        <f>IFERROR(__xludf.DUMMYFUNCTION("""COMPUTED_VALUE"""),7.539175E7)</f>
        <v>75391750</v>
      </c>
      <c r="G214" t="str">
        <f>IFERROR(__xludf.DUMMYFUNCTION("""COMPUTED_VALUE"""),"Lazy Programmer Team")</f>
        <v>Lazy Programmer Team</v>
      </c>
      <c r="H214" t="str">
        <f>IFERROR(__xludf.DUMMYFUNCTION("""COMPUTED_VALUE"""),"Instructor Request- Opted Out")</f>
        <v>Instructor Request- Opted Out</v>
      </c>
      <c r="I214" t="str">
        <f>IFERROR(__xludf.DUMMYFUNCTION("""COMPUTED_VALUE"""),"Data Science")</f>
        <v>Data Science</v>
      </c>
      <c r="J214" t="str">
        <f>IFERROR(__xludf.DUMMYFUNCTION("""COMPUTED_VALUE"""),"Machine Learning")</f>
        <v>Machine Learning</v>
      </c>
      <c r="L214" s="140" t="str">
        <f>IFERROR(__xludf.DUMMYFUNCTION("""COMPUTED_VALUE"""),"")</f>
        <v/>
      </c>
      <c r="N214" s="140" t="str">
        <f>IFERROR(__xludf.DUMMYFUNCTION("""COMPUTED_VALUE"""),"")</f>
        <v/>
      </c>
    </row>
    <row r="215">
      <c r="A215" s="143">
        <f>IFERROR(__xludf.DUMMYFUNCTION("""COMPUTED_VALUE"""),44253.0)</f>
        <v>44253</v>
      </c>
      <c r="B215">
        <f>IFERROR(__xludf.DUMMYFUNCTION("""COMPUTED_VALUE"""),2678116.0)</f>
        <v>2678116</v>
      </c>
      <c r="C215" t="str">
        <f>IFERROR(__xludf.DUMMYFUNCTION("""COMPUTED_VALUE"""),"pt")</f>
        <v>pt</v>
      </c>
      <c r="D215" t="str">
        <f>IFERROR(__xludf.DUMMYFUNCTION("""COMPUTED_VALUE"""),"Qlik Sense Muito Mais que um Dashboard")</f>
        <v>Qlik Sense Muito Mais que um Dashboard</v>
      </c>
      <c r="E215" t="str">
        <f>IFERROR(__xludf.DUMMYFUNCTION("""COMPUTED_VALUE"""),"Qlik Sense much more than a dashboard")</f>
        <v>Qlik Sense much more than a dashboard</v>
      </c>
      <c r="F215">
        <f>IFERROR(__xludf.DUMMYFUNCTION("""COMPUTED_VALUE"""),5.1122832E7)</f>
        <v>51122832</v>
      </c>
      <c r="G215" t="str">
        <f>IFERROR(__xludf.DUMMYFUNCTION("""COMPUTED_VALUE"""),"Rafael Yoshida Neves")</f>
        <v>Rafael Yoshida Neves</v>
      </c>
      <c r="H215" t="str">
        <f>IFERROR(__xludf.DUMMYFUNCTION("""COMPUTED_VALUE"""),"Instructor Request- Opted Out")</f>
        <v>Instructor Request- Opted Out</v>
      </c>
      <c r="I215" t="str">
        <f>IFERROR(__xludf.DUMMYFUNCTION("""COMPUTED_VALUE"""),"Data Science")</f>
        <v>Data Science</v>
      </c>
      <c r="J215" t="str">
        <f>IFERROR(__xludf.DUMMYFUNCTION("""COMPUTED_VALUE"""),"Analytics")</f>
        <v>Analytics</v>
      </c>
      <c r="L215" s="140" t="str">
        <f>IFERROR(__xludf.DUMMYFUNCTION("""COMPUTED_VALUE"""),"")</f>
        <v/>
      </c>
      <c r="N215" s="140" t="str">
        <f>IFERROR(__xludf.DUMMYFUNCTION("""COMPUTED_VALUE"""),"")</f>
        <v/>
      </c>
    </row>
    <row r="216">
      <c r="A216" s="143">
        <f>IFERROR(__xludf.DUMMYFUNCTION("""COMPUTED_VALUE"""),44253.0)</f>
        <v>44253</v>
      </c>
      <c r="B216">
        <f>IFERROR(__xludf.DUMMYFUNCTION("""COMPUTED_VALUE"""),1059508.0)</f>
        <v>1059508</v>
      </c>
      <c r="C216" t="str">
        <f>IFERROR(__xludf.DUMMYFUNCTION("""COMPUTED_VALUE"""),"pt")</f>
        <v>pt</v>
      </c>
      <c r="D216" t="str">
        <f>IFERROR(__xludf.DUMMYFUNCTION("""COMPUTED_VALUE"""),"ISO 27001: Construindo Políticas de Segurança da Informação")</f>
        <v>ISO 27001: Construindo Políticas de Segurança da Informação</v>
      </c>
      <c r="E216" t="str">
        <f>IFERROR(__xludf.DUMMYFUNCTION("""COMPUTED_VALUE"""),"ISO 27001: Building Information Security Policies")</f>
        <v>ISO 27001: Building Information Security Policies</v>
      </c>
      <c r="F216">
        <f>IFERROR(__xludf.DUMMYFUNCTION("""COMPUTED_VALUE"""),2.8307142E7)</f>
        <v>28307142</v>
      </c>
      <c r="G216" t="str">
        <f>IFERROR(__xludf.DUMMYFUNCTION("""COMPUTED_VALUE"""),"Cláudio Dodt")</f>
        <v>Cláudio Dodt</v>
      </c>
      <c r="H216" t="str">
        <f>IFERROR(__xludf.DUMMYFUNCTION("""COMPUTED_VALUE"""),"Instructor Request- Opted Out")</f>
        <v>Instructor Request- Opted Out</v>
      </c>
      <c r="I216" t="str">
        <f>IFERROR(__xludf.DUMMYFUNCTION("""COMPUTED_VALUE"""),"IT Operations")</f>
        <v>IT Operations</v>
      </c>
      <c r="J216" t="str">
        <f>IFERROR(__xludf.DUMMYFUNCTION("""COMPUTED_VALUE"""),"Network &amp; Security")</f>
        <v>Network &amp; Security</v>
      </c>
      <c r="L216" s="140" t="str">
        <f>IFERROR(__xludf.DUMMYFUNCTION("""COMPUTED_VALUE"""),"")</f>
        <v/>
      </c>
      <c r="N216" s="140" t="str">
        <f>IFERROR(__xludf.DUMMYFUNCTION("""COMPUTED_VALUE"""),"")</f>
        <v/>
      </c>
    </row>
    <row r="217">
      <c r="A217" s="143">
        <f>IFERROR(__xludf.DUMMYFUNCTION("""COMPUTED_VALUE"""),44253.0)</f>
        <v>44253</v>
      </c>
      <c r="B217">
        <f>IFERROR(__xludf.DUMMYFUNCTION("""COMPUTED_VALUE"""),825684.0)</f>
        <v>825684</v>
      </c>
      <c r="C217" t="str">
        <f>IFERROR(__xludf.DUMMYFUNCTION("""COMPUTED_VALUE"""),"en")</f>
        <v>en</v>
      </c>
      <c r="D217" t="str">
        <f>IFERROR(__xludf.DUMMYFUNCTION("""COMPUTED_VALUE"""),"Cluster Analysis and Unsupervised Machine Learning in Python")</f>
        <v>Cluster Analysis and Unsupervised Machine Learning in Python</v>
      </c>
      <c r="E217" t="str">
        <f>IFERROR(__xludf.DUMMYFUNCTION("""COMPUTED_VALUE"""),"Cluster Analysis and Unsupervised Machine Learning in Python")</f>
        <v>Cluster Analysis and Unsupervised Machine Learning in Python</v>
      </c>
      <c r="F217">
        <f>IFERROR(__xludf.DUMMYFUNCTION("""COMPUTED_VALUE"""),7.539175E7)</f>
        <v>75391750</v>
      </c>
      <c r="G217" t="str">
        <f>IFERROR(__xludf.DUMMYFUNCTION("""COMPUTED_VALUE"""),"Lazy Programmer Team")</f>
        <v>Lazy Programmer Team</v>
      </c>
      <c r="H217" t="str">
        <f>IFERROR(__xludf.DUMMYFUNCTION("""COMPUTED_VALUE"""),"Instructor Request- Opted Out")</f>
        <v>Instructor Request- Opted Out</v>
      </c>
      <c r="I217" t="str">
        <f>IFERROR(__xludf.DUMMYFUNCTION("""COMPUTED_VALUE"""),"Data Science")</f>
        <v>Data Science</v>
      </c>
      <c r="J217" t="str">
        <f>IFERROR(__xludf.DUMMYFUNCTION("""COMPUTED_VALUE"""),"Machine Learning")</f>
        <v>Machine Learning</v>
      </c>
      <c r="K217">
        <f>IFERROR(__xludf.DUMMYFUNCTION("""COMPUTED_VALUE"""),1754098.0)</f>
        <v>1754098</v>
      </c>
      <c r="L217" s="140" t="str">
        <f>IFERROR(__xludf.DUMMYFUNCTION("""COMPUTED_VALUE"""),"The Data Science Course 2021: Complete Data Science Bootcamp")</f>
        <v>The Data Science Course 2021: Complete Data Science Bootcamp</v>
      </c>
      <c r="N217" s="140" t="str">
        <f>IFERROR(__xludf.DUMMYFUNCTION("""COMPUTED_VALUE"""),"")</f>
        <v/>
      </c>
    </row>
    <row r="218">
      <c r="A218" s="143">
        <f>IFERROR(__xludf.DUMMYFUNCTION("""COMPUTED_VALUE"""),44253.0)</f>
        <v>44253</v>
      </c>
      <c r="B218">
        <f>IFERROR(__xludf.DUMMYFUNCTION("""COMPUTED_VALUE"""),1715338.0)</f>
        <v>1715338</v>
      </c>
      <c r="C218" t="str">
        <f>IFERROR(__xludf.DUMMYFUNCTION("""COMPUTED_VALUE"""),"en")</f>
        <v>en</v>
      </c>
      <c r="D218" t="str">
        <f>IFERROR(__xludf.DUMMYFUNCTION("""COMPUTED_VALUE"""),"Cisco CCNP GNS3 Labs: Pass your CCNP exams with GNS3!")</f>
        <v>Cisco CCNP GNS3 Labs: Pass your CCNP exams with GNS3!</v>
      </c>
      <c r="E218" t="str">
        <f>IFERROR(__xludf.DUMMYFUNCTION("""COMPUTED_VALUE"""),"Cisco CCNP GNS3 Labs: Pass your CCNP exams with GNS3!")</f>
        <v>Cisco CCNP GNS3 Labs: Pass your CCNP exams with GNS3!</v>
      </c>
      <c r="F218">
        <f>IFERROR(__xludf.DUMMYFUNCTION("""COMPUTED_VALUE"""),794308.0)</f>
        <v>794308</v>
      </c>
      <c r="G218" t="str">
        <f>IFERROR(__xludf.DUMMYFUNCTION("""COMPUTED_VALUE"""),"David Bombal")</f>
        <v>David Bombal</v>
      </c>
      <c r="H218" t="str">
        <f>IFERROR(__xludf.DUMMYFUNCTION("""COMPUTED_VALUE"""),"Outdated")</f>
        <v>Outdated</v>
      </c>
      <c r="I218" t="str">
        <f>IFERROR(__xludf.DUMMYFUNCTION("""COMPUTED_VALUE"""),"IT Operations")</f>
        <v>IT Operations</v>
      </c>
      <c r="J218" t="str">
        <f>IFERROR(__xludf.DUMMYFUNCTION("""COMPUTED_VALUE"""),"IT Certifications")</f>
        <v>IT Certifications</v>
      </c>
      <c r="L218" s="140" t="str">
        <f>IFERROR(__xludf.DUMMYFUNCTION("""COMPUTED_VALUE"""),"")</f>
        <v/>
      </c>
      <c r="N218" s="140" t="str">
        <f>IFERROR(__xludf.DUMMYFUNCTION("""COMPUTED_VALUE"""),"")</f>
        <v/>
      </c>
    </row>
    <row r="219">
      <c r="A219" s="143">
        <f>IFERROR(__xludf.DUMMYFUNCTION("""COMPUTED_VALUE"""),44253.0)</f>
        <v>44253</v>
      </c>
      <c r="B219">
        <f>IFERROR(__xludf.DUMMYFUNCTION("""COMPUTED_VALUE"""),28304.0)</f>
        <v>28304</v>
      </c>
      <c r="C219" t="str">
        <f>IFERROR(__xludf.DUMMYFUNCTION("""COMPUTED_VALUE"""),"en")</f>
        <v>en</v>
      </c>
      <c r="D219" t="str">
        <f>IFERROR(__xludf.DUMMYFUNCTION("""COMPUTED_VALUE"""),"Windows 8 For Dummies Video Training")</f>
        <v>Windows 8 For Dummies Video Training</v>
      </c>
      <c r="E219" t="str">
        <f>IFERROR(__xludf.DUMMYFUNCTION("""COMPUTED_VALUE"""),"Windows 8 For Dummies Video Training")</f>
        <v>Windows 8 For Dummies Video Training</v>
      </c>
      <c r="F219">
        <f>IFERROR(__xludf.DUMMYFUNCTION("""COMPUTED_VALUE"""),372263.0)</f>
        <v>372263</v>
      </c>
      <c r="G219" t="str">
        <f>IFERROR(__xludf.DUMMYFUNCTION("""COMPUTED_VALUE"""),"John Wiley &amp; Sons")</f>
        <v>John Wiley &amp; Sons</v>
      </c>
      <c r="H219" t="str">
        <f>IFERROR(__xludf.DUMMYFUNCTION("""COMPUTED_VALUE"""),"Inactive Instructor")</f>
        <v>Inactive Instructor</v>
      </c>
      <c r="I219" t="str">
        <f>IFERROR(__xludf.DUMMYFUNCTION("""COMPUTED_VALUE"""),"IT Operations")</f>
        <v>IT Operations</v>
      </c>
      <c r="J219" t="str">
        <f>IFERROR(__xludf.DUMMYFUNCTION("""COMPUTED_VALUE"""),"Operating Systems &amp; Servers")</f>
        <v>Operating Systems &amp; Servers</v>
      </c>
      <c r="K219">
        <f>IFERROR(__xludf.DUMMYFUNCTION("""COMPUTED_VALUE"""),35795.0)</f>
        <v>35795</v>
      </c>
      <c r="L219" s="140" t="str">
        <f>IFERROR(__xludf.DUMMYFUNCTION("""COMPUTED_VALUE"""),"Microsoft Windows 8")</f>
        <v>Microsoft Windows 8</v>
      </c>
      <c r="N219" s="140" t="str">
        <f>IFERROR(__xludf.DUMMYFUNCTION("""COMPUTED_VALUE"""),"")</f>
        <v/>
      </c>
    </row>
    <row r="220">
      <c r="A220" s="143">
        <f>IFERROR(__xludf.DUMMYFUNCTION("""COMPUTED_VALUE"""),44253.0)</f>
        <v>44253</v>
      </c>
      <c r="B220">
        <f>IFERROR(__xludf.DUMMYFUNCTION("""COMPUTED_VALUE"""),640428.0)</f>
        <v>640428</v>
      </c>
      <c r="C220" t="str">
        <f>IFERROR(__xludf.DUMMYFUNCTION("""COMPUTED_VALUE"""),"en")</f>
        <v>en</v>
      </c>
      <c r="D220" t="str">
        <f>IFERROR(__xludf.DUMMYFUNCTION("""COMPUTED_VALUE"""),"Make tech circles in Adobe Illustrator in 30 minutes")</f>
        <v>Make tech circles in Adobe Illustrator in 30 minutes</v>
      </c>
      <c r="E220" t="str">
        <f>IFERROR(__xludf.DUMMYFUNCTION("""COMPUTED_VALUE"""),"Make tech circles in Adobe Illustrator in 30 minutes")</f>
        <v>Make tech circles in Adobe Illustrator in 30 minutes</v>
      </c>
      <c r="F220">
        <f>IFERROR(__xludf.DUMMYFUNCTION("""COMPUTED_VALUE"""),55737.0)</f>
        <v>55737</v>
      </c>
      <c r="G220" t="str">
        <f>IFERROR(__xludf.DUMMYFUNCTION("""COMPUTED_VALUE"""),"John Bura")</f>
        <v>John Bura</v>
      </c>
      <c r="H220" t="str">
        <f>IFERROR(__xludf.DUMMYFUNCTION("""COMPUTED_VALUE"""),"Inactive Instructor")</f>
        <v>Inactive Instructor</v>
      </c>
      <c r="I220" t="str">
        <f>IFERROR(__xludf.DUMMYFUNCTION("""COMPUTED_VALUE"""),"Design")</f>
        <v>Design</v>
      </c>
      <c r="J220" t="str">
        <f>IFERROR(__xludf.DUMMYFUNCTION("""COMPUTED_VALUE"""),"Graphic Design")</f>
        <v>Graphic Design</v>
      </c>
      <c r="K220">
        <f>IFERROR(__xludf.DUMMYFUNCTION("""COMPUTED_VALUE"""),502138.0)</f>
        <v>502138</v>
      </c>
      <c r="L220" s="140" t="str">
        <f>IFERROR(__xludf.DUMMYFUNCTION("""COMPUTED_VALUE"""),"Adobe Illustrator CC Mastery: Zero to Hero in Illustrator")</f>
        <v>Adobe Illustrator CC Mastery: Zero to Hero in Illustrator</v>
      </c>
      <c r="N220" s="140" t="str">
        <f>IFERROR(__xludf.DUMMYFUNCTION("""COMPUTED_VALUE"""),"")</f>
        <v/>
      </c>
    </row>
    <row r="221">
      <c r="A221" s="143">
        <f>IFERROR(__xludf.DUMMYFUNCTION("""COMPUTED_VALUE"""),44253.0)</f>
        <v>44253</v>
      </c>
      <c r="B221">
        <f>IFERROR(__xludf.DUMMYFUNCTION("""COMPUTED_VALUE"""),48414.0)</f>
        <v>48414</v>
      </c>
      <c r="C221" t="str">
        <f>IFERROR(__xludf.DUMMYFUNCTION("""COMPUTED_VALUE"""),"en")</f>
        <v>en</v>
      </c>
      <c r="D221" t="str">
        <f>IFERROR(__xludf.DUMMYFUNCTION("""COMPUTED_VALUE"""),"Learning AutoCAD® 2013")</f>
        <v>Learning AutoCAD® 2013</v>
      </c>
      <c r="E221" t="str">
        <f>IFERROR(__xludf.DUMMYFUNCTION("""COMPUTED_VALUE"""),"Learning AutoCAD® 2013")</f>
        <v>Learning AutoCAD® 2013</v>
      </c>
      <c r="F221">
        <f>IFERROR(__xludf.DUMMYFUNCTION("""COMPUTED_VALUE"""),372263.0)</f>
        <v>372263</v>
      </c>
      <c r="G221" t="str">
        <f>IFERROR(__xludf.DUMMYFUNCTION("""COMPUTED_VALUE"""),"John Wiley &amp; Sons")</f>
        <v>John Wiley &amp; Sons</v>
      </c>
      <c r="H221" t="str">
        <f>IFERROR(__xludf.DUMMYFUNCTION("""COMPUTED_VALUE"""),"Inactive Instructor")</f>
        <v>Inactive Instructor</v>
      </c>
      <c r="I221" t="str">
        <f>IFERROR(__xludf.DUMMYFUNCTION("""COMPUTED_VALUE"""),"Design")</f>
        <v>Design</v>
      </c>
      <c r="J221" t="str">
        <f>IFERROR(__xludf.DUMMYFUNCTION("""COMPUTED_VALUE"""),"Design Tools")</f>
        <v>Design Tools</v>
      </c>
      <c r="K221">
        <f>IFERROR(__xludf.DUMMYFUNCTION("""COMPUTED_VALUE"""),1271196.0)</f>
        <v>1271196</v>
      </c>
      <c r="L221" s="140" t="str">
        <f>IFERROR(__xludf.DUMMYFUNCTION("""COMPUTED_VALUE"""),"The complete AutoCAD 2018-21 course")</f>
        <v>The complete AutoCAD 2018-21 course</v>
      </c>
      <c r="N221" s="140" t="str">
        <f>IFERROR(__xludf.DUMMYFUNCTION("""COMPUTED_VALUE"""),"")</f>
        <v/>
      </c>
    </row>
    <row r="222">
      <c r="A222" s="143">
        <f>IFERROR(__xludf.DUMMYFUNCTION("""COMPUTED_VALUE"""),44253.0)</f>
        <v>44253</v>
      </c>
      <c r="B222">
        <f>IFERROR(__xludf.DUMMYFUNCTION("""COMPUTED_VALUE"""),904500.0)</f>
        <v>904500</v>
      </c>
      <c r="C222" t="str">
        <f>IFERROR(__xludf.DUMMYFUNCTION("""COMPUTED_VALUE"""),"en")</f>
        <v>en</v>
      </c>
      <c r="D222" t="str">
        <f>IFERROR(__xludf.DUMMYFUNCTION("""COMPUTED_VALUE"""),"SEO for Content Marketers: Boost Your Rank with Ahrefs")</f>
        <v>SEO for Content Marketers: Boost Your Rank with Ahrefs</v>
      </c>
      <c r="E222" t="str">
        <f>IFERROR(__xludf.DUMMYFUNCTION("""COMPUTED_VALUE"""),"SEO for Content Marketers: Boost Your Rank with Ahrefs")</f>
        <v>SEO for Content Marketers: Boost Your Rank with Ahrefs</v>
      </c>
      <c r="F222">
        <f>IFERROR(__xludf.DUMMYFUNCTION("""COMPUTED_VALUE"""),8814910.0)</f>
        <v>8814910</v>
      </c>
      <c r="G222" t="str">
        <f>IFERROR(__xludf.DUMMYFUNCTION("""COMPUTED_VALUE"""),"Kathryn Aragon")</f>
        <v>Kathryn Aragon</v>
      </c>
      <c r="H222" t="str">
        <f>IFERROR(__xludf.DUMMYFUNCTION("""COMPUTED_VALUE"""),"Inactive Instructor")</f>
        <v>Inactive Instructor</v>
      </c>
      <c r="I222" t="str">
        <f>IFERROR(__xludf.DUMMYFUNCTION("""COMPUTED_VALUE"""),"Marketing")</f>
        <v>Marketing</v>
      </c>
      <c r="J222" t="str">
        <f>IFERROR(__xludf.DUMMYFUNCTION("""COMPUTED_VALUE"""),"Search Engine Optimization")</f>
        <v>Search Engine Optimization</v>
      </c>
      <c r="L222" s="140" t="str">
        <f>IFERROR(__xludf.DUMMYFUNCTION("""COMPUTED_VALUE"""),"")</f>
        <v/>
      </c>
      <c r="N222" s="140" t="str">
        <f>IFERROR(__xludf.DUMMYFUNCTION("""COMPUTED_VALUE"""),"")</f>
        <v/>
      </c>
    </row>
    <row r="223">
      <c r="A223" s="143">
        <f>IFERROR(__xludf.DUMMYFUNCTION("""COMPUTED_VALUE"""),44253.0)</f>
        <v>44253</v>
      </c>
      <c r="B223">
        <f>IFERROR(__xludf.DUMMYFUNCTION("""COMPUTED_VALUE"""),329726.0)</f>
        <v>329726</v>
      </c>
      <c r="C223" t="str">
        <f>IFERROR(__xludf.DUMMYFUNCTION("""COMPUTED_VALUE"""),"en")</f>
        <v>en</v>
      </c>
      <c r="D223" t="str">
        <f>IFERROR(__xludf.DUMMYFUNCTION("""COMPUTED_VALUE"""),"Bob Davis' Professional Photography Lighting Techniques")</f>
        <v>Bob Davis' Professional Photography Lighting Techniques</v>
      </c>
      <c r="E223" t="str">
        <f>IFERROR(__xludf.DUMMYFUNCTION("""COMPUTED_VALUE"""),"Bob Davis' Professional Photography Lighting Techniques")</f>
        <v>Bob Davis' Professional Photography Lighting Techniques</v>
      </c>
      <c r="F223">
        <f>IFERROR(__xludf.DUMMYFUNCTION("""COMPUTED_VALUE"""),372263.0)</f>
        <v>372263</v>
      </c>
      <c r="G223" t="str">
        <f>IFERROR(__xludf.DUMMYFUNCTION("""COMPUTED_VALUE"""),"John Wiley &amp; Sons")</f>
        <v>John Wiley &amp; Sons</v>
      </c>
      <c r="H223" t="str">
        <f>IFERROR(__xludf.DUMMYFUNCTION("""COMPUTED_VALUE"""),"Inactive Instructor")</f>
        <v>Inactive Instructor</v>
      </c>
      <c r="I223" t="str">
        <f>IFERROR(__xludf.DUMMYFUNCTION("""COMPUTED_VALUE"""),"Personal Development")</f>
        <v>Personal Development</v>
      </c>
      <c r="J223" t="str">
        <f>IFERROR(__xludf.DUMMYFUNCTION("""COMPUTED_VALUE"""),"Arts &amp; Creativity")</f>
        <v>Arts &amp; Creativity</v>
      </c>
      <c r="K223">
        <f>IFERROR(__xludf.DUMMYFUNCTION("""COMPUTED_VALUE"""),1462428.0)</f>
        <v>1462428</v>
      </c>
      <c r="L223" s="140" t="str">
        <f>IFERROR(__xludf.DUMMYFUNCTION("""COMPUTED_VALUE"""),"Photography Masterclass: A Complete Guide to Photography")</f>
        <v>Photography Masterclass: A Complete Guide to Photography</v>
      </c>
      <c r="M223">
        <f>IFERROR(__xludf.DUMMYFUNCTION("""COMPUTED_VALUE"""),1548846.0)</f>
        <v>1548846</v>
      </c>
      <c r="N223" s="140" t="str">
        <f>IFERROR(__xludf.DUMMYFUNCTION("""COMPUTED_VALUE"""),"The Ultimate Beginner's Guide to Outdoor Photography - 2018")</f>
        <v>The Ultimate Beginner's Guide to Outdoor Photography - 2018</v>
      </c>
    </row>
    <row r="224">
      <c r="A224" s="143">
        <f>IFERROR(__xludf.DUMMYFUNCTION("""COMPUTED_VALUE"""),44253.0)</f>
        <v>44253</v>
      </c>
      <c r="B224">
        <f>IFERROR(__xludf.DUMMYFUNCTION("""COMPUTED_VALUE"""),835234.0)</f>
        <v>835234</v>
      </c>
      <c r="C224" t="str">
        <f>IFERROR(__xludf.DUMMYFUNCTION("""COMPUTED_VALUE"""),"pt")</f>
        <v>pt</v>
      </c>
      <c r="D224" t="str">
        <f>IFERROR(__xludf.DUMMYFUNCTION("""COMPUTED_VALUE"""),"Ruby on Rails 4.x - Curso Completo")</f>
        <v>Ruby on Rails 4.x - Curso Completo</v>
      </c>
      <c r="E224" t="str">
        <f>IFERROR(__xludf.DUMMYFUNCTION("""COMPUTED_VALUE"""),"Ruby on Rails 4.x - Curso Completo")</f>
        <v>Ruby on Rails 4.x - Curso Completo</v>
      </c>
      <c r="F224">
        <f>IFERROR(__xludf.DUMMYFUNCTION("""COMPUTED_VALUE"""),2.0855984E7)</f>
        <v>20855984</v>
      </c>
      <c r="G224" t="str">
        <f>IFERROR(__xludf.DUMMYFUNCTION("""COMPUTED_VALUE"""),"Jackson Pires")</f>
        <v>Jackson Pires</v>
      </c>
      <c r="H224" t="str">
        <f>IFERROR(__xludf.DUMMYFUNCTION("""COMPUTED_VALUE"""),"Instructor Request- Outdated")</f>
        <v>Instructor Request- Outdated</v>
      </c>
      <c r="I224" t="str">
        <f>IFERROR(__xludf.DUMMYFUNCTION("""COMPUTED_VALUE"""),"Development")</f>
        <v>Development</v>
      </c>
      <c r="J224" t="str">
        <f>IFERROR(__xludf.DUMMYFUNCTION("""COMPUTED_VALUE"""),"Web Development")</f>
        <v>Web Development</v>
      </c>
      <c r="K224">
        <f>IFERROR(__xludf.DUMMYFUNCTION("""COMPUTED_VALUE"""),1694986.0)</f>
        <v>1694986</v>
      </c>
      <c r="L224" s="140" t="str">
        <f>IFERROR(__xludf.DUMMYFUNCTION("""COMPUTED_VALUE"""),"Ruby on Rails 5.x - Do início ao fim!")</f>
        <v>Ruby on Rails 5.x - Do início ao fim!</v>
      </c>
      <c r="N224" s="140" t="str">
        <f>IFERROR(__xludf.DUMMYFUNCTION("""COMPUTED_VALUE"""),"")</f>
        <v/>
      </c>
    </row>
    <row r="225">
      <c r="A225" s="143">
        <f>IFERROR(__xludf.DUMMYFUNCTION("""COMPUTED_VALUE"""),44266.0)</f>
        <v>44266</v>
      </c>
      <c r="B225">
        <f>IFERROR(__xludf.DUMMYFUNCTION("""COMPUTED_VALUE"""),3732336.0)</f>
        <v>3732336</v>
      </c>
      <c r="C225" t="str">
        <f>IFERROR(__xludf.DUMMYFUNCTION("""COMPUTED_VALUE"""),"en")</f>
        <v>en</v>
      </c>
      <c r="D225" t="str">
        <f>IFERROR(__xludf.DUMMYFUNCTION("""COMPUTED_VALUE"""),"ITIL 4 Foundation Course: Video Lectures + Full Length Tests")</f>
        <v>ITIL 4 Foundation Course: Video Lectures + Full Length Tests</v>
      </c>
      <c r="E225" t="str">
        <f>IFERROR(__xludf.DUMMYFUNCTION("""COMPUTED_VALUE"""),"ITIL 4 Foundation Course: Video Lectures + Full Length Tests")</f>
        <v>ITIL 4 Foundation Course: Video Lectures + Full Length Tests</v>
      </c>
      <c r="F225">
        <f>IFERROR(__xludf.DUMMYFUNCTION("""COMPUTED_VALUE"""),1.27533454E8)</f>
        <v>127533454</v>
      </c>
      <c r="G225" t="str">
        <f>IFERROR(__xludf.DUMMYFUNCTION("""COMPUTED_VALUE"""),"We Secure © Training &amp; Consultancy")</f>
        <v>We Secure © Training &amp; Consultancy</v>
      </c>
      <c r="H225" t="str">
        <f>IFERROR(__xludf.DUMMYFUNCTION("""COMPUTED_VALUE"""),"T&amp;S")</f>
        <v>T&amp;S</v>
      </c>
      <c r="I225" t="str">
        <f>IFERROR(__xludf.DUMMYFUNCTION("""COMPUTED_VALUE"""),"IT Operations")</f>
        <v>IT Operations</v>
      </c>
      <c r="J225" t="str">
        <f>IFERROR(__xludf.DUMMYFUNCTION("""COMPUTED_VALUE"""),"IT Certifications")</f>
        <v>IT Certifications</v>
      </c>
      <c r="L225" s="140" t="str">
        <f>IFERROR(__xludf.DUMMYFUNCTION("""COMPUTED_VALUE"""),"")</f>
        <v/>
      </c>
      <c r="N225" s="140" t="str">
        <f>IFERROR(__xludf.DUMMYFUNCTION("""COMPUTED_VALUE"""),"")</f>
        <v/>
      </c>
      <c r="O225" s="140" t="str">
        <f>IFERROR(__xludf.DUMMYFUNCTION("""COMPUTED_VALUE"""),"Axelos Content ")</f>
        <v>Axelos Content </v>
      </c>
    </row>
    <row r="226">
      <c r="A226" s="143">
        <f>IFERROR(__xludf.DUMMYFUNCTION("""COMPUTED_VALUE"""),44270.0)</f>
        <v>44270</v>
      </c>
      <c r="B226">
        <f>IFERROR(__xludf.DUMMYFUNCTION("""COMPUTED_VALUE"""),2066127.0)</f>
        <v>2066127</v>
      </c>
      <c r="C226" t="str">
        <f>IFERROR(__xludf.DUMMYFUNCTION("""COMPUTED_VALUE"""),"en")</f>
        <v>en</v>
      </c>
      <c r="D226" t="str">
        <f>IFERROR(__xludf.DUMMYFUNCTION("""COMPUTED_VALUE"""),"ProfitProphet™ Swing Trading | Swing Trading Path to Profit")</f>
        <v>ProfitProphet™ Swing Trading | Swing Trading Path to Profit</v>
      </c>
      <c r="E226" t="str">
        <f>IFERROR(__xludf.DUMMYFUNCTION("""COMPUTED_VALUE"""),"ProfitProphet™ Swing Trading | Swing Trading Path to Profit")</f>
        <v>ProfitProphet™ Swing Trading | Swing Trading Path to Profit</v>
      </c>
      <c r="F226">
        <f>IFERROR(__xludf.DUMMYFUNCTION("""COMPUTED_VALUE"""),5.9897401E7)</f>
        <v>59897401</v>
      </c>
      <c r="G226" t="str">
        <f>IFERROR(__xludf.DUMMYFUNCTION("""COMPUTED_VALUE"""),"Benjamin Kahriman")</f>
        <v>Benjamin Kahriman</v>
      </c>
      <c r="H226" t="str">
        <f>IFERROR(__xludf.DUMMYFUNCTION("""COMPUTED_VALUE"""),"Instructor Practices")</f>
        <v>Instructor Practices</v>
      </c>
      <c r="I226" t="str">
        <f>IFERROR(__xludf.DUMMYFUNCTION("""COMPUTED_VALUE"""),"Finance &amp; Accounting")</f>
        <v>Finance &amp; Accounting</v>
      </c>
      <c r="J226" t="str">
        <f>IFERROR(__xludf.DUMMYFUNCTION("""COMPUTED_VALUE"""),"Investing &amp; Trading")</f>
        <v>Investing &amp; Trading</v>
      </c>
      <c r="K226" s="155">
        <f>IFERROR(__xludf.DUMMYFUNCTION("""COMPUTED_VALUE"""),2076630.0)</f>
        <v>2076630</v>
      </c>
      <c r="L226" s="140" t="str">
        <f>IFERROR(__xludf.DUMMYFUNCTION("""COMPUTED_VALUE"""),"Day Trading and Swing Trading Strategies For Stocks")</f>
        <v>Day Trading and Swing Trading Strategies For Stocks</v>
      </c>
      <c r="N226" s="140" t="str">
        <f>IFERROR(__xludf.DUMMYFUNCTION("""COMPUTED_VALUE"""),"")</f>
        <v/>
      </c>
    </row>
    <row r="227">
      <c r="A227" s="143">
        <f>IFERROR(__xludf.DUMMYFUNCTION("""COMPUTED_VALUE"""),44277.0)</f>
        <v>44277</v>
      </c>
      <c r="B227" s="155">
        <f>IFERROR(__xludf.DUMMYFUNCTION("""COMPUTED_VALUE"""),1081670.0)</f>
        <v>1081670</v>
      </c>
      <c r="C227" t="str">
        <f>IFERROR(__xludf.DUMMYFUNCTION("""COMPUTED_VALUE"""),"en")</f>
        <v>en</v>
      </c>
      <c r="D227" t="str">
        <f>IFERROR(__xludf.DUMMYFUNCTION("""COMPUTED_VALUE"""),"UAS/Drone Remote Pilot Test Prep for Part 107")</f>
        <v>UAS/Drone Remote Pilot Test Prep for Part 107</v>
      </c>
      <c r="E227" t="str">
        <f>IFERROR(__xludf.DUMMYFUNCTION("""COMPUTED_VALUE"""),"UAS/Drone Remote Pilot Test Prep for Part 107")</f>
        <v>UAS/Drone Remote Pilot Test Prep for Part 107</v>
      </c>
      <c r="F227">
        <f>IFERROR(__xludf.DUMMYFUNCTION("""COMPUTED_VALUE"""),1.5381238E7)</f>
        <v>15381238</v>
      </c>
      <c r="G227" t="str">
        <f>IFERROR(__xludf.DUMMYFUNCTION("""COMPUTED_VALUE"""),"Greg Reverdiau")</f>
        <v>Greg Reverdiau</v>
      </c>
      <c r="H227" t="str">
        <f>IFERROR(__xludf.DUMMYFUNCTION("""COMPUTED_VALUE"""),"Instructor Request- Opted Out")</f>
        <v>Instructor Request- Opted Out</v>
      </c>
      <c r="I227" t="str">
        <f>IFERROR(__xludf.DUMMYFUNCTION("""COMPUTED_VALUE"""),"IT Operations")</f>
        <v>IT Operations</v>
      </c>
      <c r="J227" t="str">
        <f>IFERROR(__xludf.DUMMYFUNCTION("""COMPUTED_VALUE"""),"Hardware")</f>
        <v>Hardware</v>
      </c>
      <c r="L227" s="140" t="str">
        <f>IFERROR(__xludf.DUMMYFUNCTION("""COMPUTED_VALUE"""),"")</f>
        <v/>
      </c>
      <c r="N227" s="140" t="str">
        <f>IFERROR(__xludf.DUMMYFUNCTION("""COMPUTED_VALUE"""),"")</f>
        <v/>
      </c>
      <c r="O227" s="140" t="str">
        <f>IFERROR(__xludf.DUMMYFUNCTION("""COMPUTED_VALUE"""),"Removed course without opt out. Course was added back")</f>
        <v>Removed course without opt out. Course was added back</v>
      </c>
    </row>
    <row r="228">
      <c r="A228" s="143">
        <f>IFERROR(__xludf.DUMMYFUNCTION("""COMPUTED_VALUE"""),44277.0)</f>
        <v>44277</v>
      </c>
      <c r="B228">
        <f>IFERROR(__xludf.DUMMYFUNCTION("""COMPUTED_VALUE"""),687466.0)</f>
        <v>687466</v>
      </c>
      <c r="C228" t="str">
        <f>IFERROR(__xludf.DUMMYFUNCTION("""COMPUTED_VALUE"""),"en")</f>
        <v>en</v>
      </c>
      <c r="D228" t="str">
        <f>IFERROR(__xludf.DUMMYFUNCTION("""COMPUTED_VALUE"""),"The complete JavaScript developer: MEAN stack zero-to-hero")</f>
        <v>The complete JavaScript developer: MEAN stack zero-to-hero</v>
      </c>
      <c r="E228" t="str">
        <f>IFERROR(__xludf.DUMMYFUNCTION("""COMPUTED_VALUE"""),"The complete JavaScript developer: MEAN stack zero-to-hero")</f>
        <v>The complete JavaScript developer: MEAN stack zero-to-hero</v>
      </c>
      <c r="F228">
        <f>IFERROR(__xludf.DUMMYFUNCTION("""COMPUTED_VALUE"""),1.3727546E7)</f>
        <v>13727546</v>
      </c>
      <c r="G228" t="str">
        <f>IFERROR(__xludf.DUMMYFUNCTION("""COMPUTED_VALUE"""),"Full Stack Training Ltd")</f>
        <v>Full Stack Training Ltd</v>
      </c>
      <c r="H228" t="str">
        <f>IFERROR(__xludf.DUMMYFUNCTION("""COMPUTED_VALUE"""),"Instructor Request- Opted Out")</f>
        <v>Instructor Request- Opted Out</v>
      </c>
      <c r="I228" t="str">
        <f>IFERROR(__xludf.DUMMYFUNCTION("""COMPUTED_VALUE"""),"Development")</f>
        <v>Development</v>
      </c>
      <c r="J228" t="str">
        <f>IFERROR(__xludf.DUMMYFUNCTION("""COMPUTED_VALUE"""),"Web Development")</f>
        <v>Web Development</v>
      </c>
      <c r="L228" s="140" t="str">
        <f>IFERROR(__xludf.DUMMYFUNCTION("""COMPUTED_VALUE"""),"")</f>
        <v/>
      </c>
      <c r="N228" s="140" t="str">
        <f>IFERROR(__xludf.DUMMYFUNCTION("""COMPUTED_VALUE"""),"")</f>
        <v/>
      </c>
      <c r="O228" t="str">
        <f>IFERROR(__xludf.DUMMYFUNCTION("""COMPUTED_VALUE"""),"Put in Draft Mode")</f>
        <v>Put in Draft Mode</v>
      </c>
    </row>
    <row r="229">
      <c r="A229" s="143">
        <f>IFERROR(__xludf.DUMMYFUNCTION("""COMPUTED_VALUE"""),44280.0)</f>
        <v>44280</v>
      </c>
      <c r="B229">
        <f>IFERROR(__xludf.DUMMYFUNCTION("""COMPUTED_VALUE"""),2173750.0)</f>
        <v>2173750</v>
      </c>
      <c r="C229" t="str">
        <f>IFERROR(__xludf.DUMMYFUNCTION("""COMPUTED_VALUE"""),"en")</f>
        <v>en</v>
      </c>
      <c r="D229" t="str">
        <f>IFERROR(__xludf.DUMMYFUNCTION("""COMPUTED_VALUE"""),"The Unity C# Survival Guide")</f>
        <v>The Unity C# Survival Guide</v>
      </c>
      <c r="E229" t="str">
        <f>IFERROR(__xludf.DUMMYFUNCTION("""COMPUTED_VALUE"""),"The Unity C# Survival Guide")</f>
        <v>The Unity C# Survival Guide</v>
      </c>
      <c r="F229">
        <f>IFERROR(__xludf.DUMMYFUNCTION("""COMPUTED_VALUE"""),2.767456E7)</f>
        <v>27674560</v>
      </c>
      <c r="G229" t="str">
        <f>IFERROR(__xludf.DUMMYFUNCTION("""COMPUTED_VALUE"""),"Jonathan Weinberger")</f>
        <v>Jonathan Weinberger</v>
      </c>
      <c r="H229" t="str">
        <f>IFERROR(__xludf.DUMMYFUNCTION("""COMPUTED_VALUE"""),"T&amp;S")</f>
        <v>T&amp;S</v>
      </c>
      <c r="I229" t="str">
        <f>IFERROR(__xludf.DUMMYFUNCTION("""COMPUTED_VALUE"""),"Development")</f>
        <v>Development</v>
      </c>
      <c r="J229" t="str">
        <f>IFERROR(__xludf.DUMMYFUNCTION("""COMPUTED_VALUE"""),"Game Development")</f>
        <v>Game Development</v>
      </c>
      <c r="K229">
        <f>IFERROR(__xludf.DUMMYFUNCTION("""COMPUTED_VALUE"""),258316.0)</f>
        <v>258316</v>
      </c>
      <c r="L229" s="140" t="str">
        <f>IFERROR(__xludf.DUMMYFUNCTION("""COMPUTED_VALUE"""),"Complete C# Unity Game Developer 2D")</f>
        <v>Complete C# Unity Game Developer 2D</v>
      </c>
      <c r="M229" s="155">
        <f>IFERROR(__xludf.DUMMYFUNCTION("""COMPUTED_VALUE"""),1178124.0)</f>
        <v>1178124</v>
      </c>
      <c r="N229" s="140" t="str">
        <f>IFERROR(__xludf.DUMMYFUNCTION("""COMPUTED_VALUE"""),"Complete C# Unity Game Developer 3D")</f>
        <v>Complete C# Unity Game Developer 3D</v>
      </c>
    </row>
    <row r="230">
      <c r="A230" s="143">
        <f>IFERROR(__xludf.DUMMYFUNCTION("""COMPUTED_VALUE"""),44280.0)</f>
        <v>44280</v>
      </c>
      <c r="B230" s="155">
        <f>IFERROR(__xludf.DUMMYFUNCTION("""COMPUTED_VALUE"""),3184782.0)</f>
        <v>3184782</v>
      </c>
      <c r="C230" t="str">
        <f>IFERROR(__xludf.DUMMYFUNCTION("""COMPUTED_VALUE"""),"en")</f>
        <v>en</v>
      </c>
      <c r="D230" t="str">
        <f>IFERROR(__xludf.DUMMYFUNCTION("""COMPUTED_VALUE"""),"Oracle Integration Cloud (OIC) in Depth")</f>
        <v>Oracle Integration Cloud (OIC) in Depth</v>
      </c>
      <c r="E230" t="str">
        <f>IFERROR(__xludf.DUMMYFUNCTION("""COMPUTED_VALUE"""),"Oracle Integration Cloud (OIC) in Depth")</f>
        <v>Oracle Integration Cloud (OIC) in Depth</v>
      </c>
      <c r="F230">
        <f>IFERROR(__xludf.DUMMYFUNCTION("""COMPUTED_VALUE"""),1.0123176E8)</f>
        <v>101231760</v>
      </c>
      <c r="G230" t="str">
        <f>IFERROR(__xludf.DUMMYFUNCTION("""COMPUTED_VALUE"""),"Ankur Jain")</f>
        <v>Ankur Jain</v>
      </c>
      <c r="H230" t="str">
        <f>IFERROR(__xludf.DUMMYFUNCTION("""COMPUTED_VALUE"""),"Instructor Practices")</f>
        <v>Instructor Practices</v>
      </c>
      <c r="I230" t="str">
        <f>IFERROR(__xludf.DUMMYFUNCTION("""COMPUTED_VALUE"""),"Cloud Computing")</f>
        <v>Cloud Computing</v>
      </c>
      <c r="J230" t="str">
        <f>IFERROR(__xludf.DUMMYFUNCTION("""COMPUTED_VALUE"""),"Cloud Certification")</f>
        <v>Cloud Certification</v>
      </c>
      <c r="L230" s="140" t="str">
        <f>IFERROR(__xludf.DUMMYFUNCTION("""COMPUTED_VALUE"""),"")</f>
        <v/>
      </c>
      <c r="N230" s="140" t="str">
        <f>IFERROR(__xludf.DUMMYFUNCTION("""COMPUTED_VALUE"""),"")</f>
        <v/>
      </c>
    </row>
    <row r="231">
      <c r="A231" s="143">
        <f>IFERROR(__xludf.DUMMYFUNCTION("""COMPUTED_VALUE"""),44280.0)</f>
        <v>44280</v>
      </c>
      <c r="B231" s="155">
        <f>IFERROR(__xludf.DUMMYFUNCTION("""COMPUTED_VALUE"""),3613380.0)</f>
        <v>3613380</v>
      </c>
      <c r="C231" t="str">
        <f>IFERROR(__xludf.DUMMYFUNCTION("""COMPUTED_VALUE"""),"en")</f>
        <v>en</v>
      </c>
      <c r="D231" t="str">
        <f>IFERROR(__xludf.DUMMYFUNCTION("""COMPUTED_VALUE"""),"AI-900 : Microsoft Azure AI Fundamentals Real exam questions")</f>
        <v>AI-900 : Microsoft Azure AI Fundamentals Real exam questions</v>
      </c>
      <c r="E231" t="str">
        <f>IFERROR(__xludf.DUMMYFUNCTION("""COMPUTED_VALUE"""),"AI-900: Microsoft Azure Ai Fundamental Real Exam Questions")</f>
        <v>AI-900: Microsoft Azure Ai Fundamental Real Exam Questions</v>
      </c>
      <c r="F231">
        <f>IFERROR(__xludf.DUMMYFUNCTION("""COMPUTED_VALUE"""),2.2299996E7)</f>
        <v>22299996</v>
      </c>
      <c r="G231" t="str">
        <f>IFERROR(__xludf.DUMMYFUNCTION("""COMPUTED_VALUE"""),"Amit Kumar")</f>
        <v>Amit Kumar</v>
      </c>
      <c r="H231" t="str">
        <f>IFERROR(__xludf.DUMMYFUNCTION("""COMPUTED_VALUE"""),"Instructor Practices")</f>
        <v>Instructor Practices</v>
      </c>
      <c r="I231" t="str">
        <f>IFERROR(__xludf.DUMMYFUNCTION("""COMPUTED_VALUE"""),"IT Operations")</f>
        <v>IT Operations</v>
      </c>
      <c r="J231" t="str">
        <f>IFERROR(__xludf.DUMMYFUNCTION("""COMPUTED_VALUE"""),"IT Certifications")</f>
        <v>IT Certifications</v>
      </c>
      <c r="K231" s="155">
        <f>IFERROR(__xludf.DUMMYFUNCTION("""COMPUTED_VALUE"""),3529818.0)</f>
        <v>3529818</v>
      </c>
      <c r="L231" s="140" t="str">
        <f>IFERROR(__xludf.DUMMYFUNCTION("""COMPUTED_VALUE"""),"AI-900 Azure AI Fundamentals 5 practice tests")</f>
        <v>AI-900 Azure AI Fundamentals 5 practice tests</v>
      </c>
      <c r="M231">
        <f>IFERROR(__xludf.DUMMYFUNCTION("""COMPUTED_VALUE"""),3824326.0)</f>
        <v>3824326</v>
      </c>
      <c r="N231" s="140" t="str">
        <f>IFERROR(__xludf.DUMMYFUNCTION("""COMPUTED_VALUE"""),"AI-900 Azure AI Fundamentals Exam Prep In One Day - Jan 2021")</f>
        <v>AI-900 Azure AI Fundamentals Exam Prep In One Day - Jan 2021</v>
      </c>
    </row>
    <row r="232">
      <c r="A232" s="143">
        <f>IFERROR(__xludf.DUMMYFUNCTION("""COMPUTED_VALUE"""),44280.0)</f>
        <v>44280</v>
      </c>
      <c r="B232" s="155">
        <f>IFERROR(__xludf.DUMMYFUNCTION("""COMPUTED_VALUE"""),3549576.0)</f>
        <v>3549576</v>
      </c>
      <c r="C232" t="str">
        <f>IFERROR(__xludf.DUMMYFUNCTION("""COMPUTED_VALUE"""),"en")</f>
        <v>en</v>
      </c>
      <c r="D232" t="str">
        <f>IFERROR(__xludf.DUMMYFUNCTION("""COMPUTED_VALUE"""),"DP-900: Microsoft Azure Data Fundamentals Real exam question")</f>
        <v>DP-900: Microsoft Azure Data Fundamentals Real exam question</v>
      </c>
      <c r="E232" t="str">
        <f>IFERROR(__xludf.DUMMYFUNCTION("""COMPUTED_VALUE"""),"DP-900: Microsoft Azure Data Fundamentals Real exam question")</f>
        <v>DP-900: Microsoft Azure Data Fundamentals Real exam question</v>
      </c>
      <c r="F232">
        <f>IFERROR(__xludf.DUMMYFUNCTION("""COMPUTED_VALUE"""),1.19629238E8)</f>
        <v>119629238</v>
      </c>
      <c r="G232" t="str">
        <f>IFERROR(__xludf.DUMMYFUNCTION("""COMPUTED_VALUE"""),"Susanto Paul")</f>
        <v>Susanto Paul</v>
      </c>
      <c r="H232" t="str">
        <f>IFERROR(__xludf.DUMMYFUNCTION("""COMPUTED_VALUE"""),"Instructor Practices")</f>
        <v>Instructor Practices</v>
      </c>
      <c r="I232" t="str">
        <f>IFERROR(__xludf.DUMMYFUNCTION("""COMPUTED_VALUE"""),"IT Operations")</f>
        <v>IT Operations</v>
      </c>
      <c r="J232" t="str">
        <f>IFERROR(__xludf.DUMMYFUNCTION("""COMPUTED_VALUE"""),"IT Certifications")</f>
        <v>IT Certifications</v>
      </c>
      <c r="K232" s="155">
        <f>IFERROR(__xludf.DUMMYFUNCTION("""COMPUTED_VALUE"""),3279690.0)</f>
        <v>3279690</v>
      </c>
      <c r="L232" s="140" t="str">
        <f>IFERROR(__xludf.DUMMYFUNCTION("""COMPUTED_VALUE"""),"DP-900 Azure Data Fundamentals Exam Prep In One Day")</f>
        <v>DP-900 Azure Data Fundamentals Exam Prep In One Day</v>
      </c>
      <c r="M232">
        <f>IFERROR(__xludf.DUMMYFUNCTION("""COMPUTED_VALUE"""),3544070.0)</f>
        <v>3544070</v>
      </c>
      <c r="N232" s="140" t="str">
        <f>IFERROR(__xludf.DUMMYFUNCTION("""COMPUTED_VALUE"""),"DP-900 Azure Data Fundamentals 5 practice tests")</f>
        <v>DP-900 Azure Data Fundamentals 5 practice tests</v>
      </c>
    </row>
    <row r="233">
      <c r="A233" s="143">
        <f>IFERROR(__xludf.DUMMYFUNCTION("""COMPUTED_VALUE"""),44280.0)</f>
        <v>44280</v>
      </c>
      <c r="B233" s="155">
        <f>IFERROR(__xludf.DUMMYFUNCTION("""COMPUTED_VALUE"""),3646143.0)</f>
        <v>3646143</v>
      </c>
      <c r="C233" t="str">
        <f>IFERROR(__xludf.DUMMYFUNCTION("""COMPUTED_VALUE"""),"en")</f>
        <v>en</v>
      </c>
      <c r="D233" t="str">
        <f>IFERROR(__xludf.DUMMYFUNCTION("""COMPUTED_VALUE"""),"1Z0-1042-20: Oracle Cloud Platform App Integration Dumps")</f>
        <v>1Z0-1042-20: Oracle Cloud Platform App Integration Dumps</v>
      </c>
      <c r="E233" t="str">
        <f>IFERROR(__xludf.DUMMYFUNCTION("""COMPUTED_VALUE"""),"1Z0-1042-20: Oracle Cloud Platform App Integration Dumps")</f>
        <v>1Z0-1042-20: Oracle Cloud Platform App Integration Dumps</v>
      </c>
      <c r="F233">
        <f>IFERROR(__xludf.DUMMYFUNCTION("""COMPUTED_VALUE"""),2.2299996E7)</f>
        <v>22299996</v>
      </c>
      <c r="G233" t="str">
        <f>IFERROR(__xludf.DUMMYFUNCTION("""COMPUTED_VALUE"""),"Amit Kumar")</f>
        <v>Amit Kumar</v>
      </c>
      <c r="H233" t="str">
        <f>IFERROR(__xludf.DUMMYFUNCTION("""COMPUTED_VALUE"""),"Instructor Practices")</f>
        <v>Instructor Practices</v>
      </c>
      <c r="I233" t="str">
        <f>IFERROR(__xludf.DUMMYFUNCTION("""COMPUTED_VALUE"""),"Cloud Computing")</f>
        <v>Cloud Computing</v>
      </c>
      <c r="J233" t="str">
        <f>IFERROR(__xludf.DUMMYFUNCTION("""COMPUTED_VALUE"""),"Cloud Development")</f>
        <v>Cloud Development</v>
      </c>
      <c r="L233" s="140" t="str">
        <f>IFERROR(__xludf.DUMMYFUNCTION("""COMPUTED_VALUE"""),"")</f>
        <v/>
      </c>
      <c r="N233" s="140" t="str">
        <f>IFERROR(__xludf.DUMMYFUNCTION("""COMPUTED_VALUE"""),"")</f>
        <v/>
      </c>
    </row>
    <row r="234">
      <c r="A234" s="143">
        <f>IFERROR(__xludf.DUMMYFUNCTION("""COMPUTED_VALUE"""),44285.0)</f>
        <v>44285</v>
      </c>
      <c r="B234">
        <f>IFERROR(__xludf.DUMMYFUNCTION("""COMPUTED_VALUE"""),2870278.0)</f>
        <v>2870278</v>
      </c>
      <c r="C234" t="str">
        <f>IFERROR(__xludf.DUMMYFUNCTION("""COMPUTED_VALUE"""),"es")</f>
        <v>es</v>
      </c>
      <c r="D234" t="str">
        <f>IFERROR(__xludf.DUMMYFUNCTION("""COMPUTED_VALUE"""),"Aprende a vender el SISTEMA TDC")</f>
        <v>Aprende a vender el SISTEMA TDC</v>
      </c>
      <c r="E234" t="str">
        <f>IFERROR(__xludf.DUMMYFUNCTION("""COMPUTED_VALUE"""),"Learn to sell the TDC system")</f>
        <v>Learn to sell the TDC system</v>
      </c>
      <c r="F234">
        <f>IFERROR(__xludf.DUMMYFUNCTION("""COMPUTED_VALUE"""),1.05434658E8)</f>
        <v>105434658</v>
      </c>
      <c r="G234" t="str">
        <f>IFERROR(__xludf.DUMMYFUNCTION("""COMPUTED_VALUE"""),"Víctor Manuel")</f>
        <v>Víctor Manuel</v>
      </c>
      <c r="H234" t="str">
        <f>IFERROR(__xludf.DUMMYFUNCTION("""COMPUTED_VALUE"""),"T&amp;S")</f>
        <v>T&amp;S</v>
      </c>
      <c r="I234" t="str">
        <f>IFERROR(__xludf.DUMMYFUNCTION("""COMPUTED_VALUE"""),"Marketing")</f>
        <v>Marketing</v>
      </c>
      <c r="J234" t="str">
        <f>IFERROR(__xludf.DUMMYFUNCTION("""COMPUTED_VALUE"""),"Digital Marketing")</f>
        <v>Digital Marketing</v>
      </c>
    </row>
    <row r="235">
      <c r="A235" s="143">
        <f>IFERROR(__xludf.DUMMYFUNCTION("""COMPUTED_VALUE"""),44286.0)</f>
        <v>44286</v>
      </c>
      <c r="B235">
        <f>IFERROR(__xludf.DUMMYFUNCTION("""COMPUTED_VALUE"""),1583340.0)</f>
        <v>1583340</v>
      </c>
      <c r="C235" t="str">
        <f>IFERROR(__xludf.DUMMYFUNCTION("""COMPUTED_VALUE"""),"de")</f>
        <v>de</v>
      </c>
      <c r="D235" t="str">
        <f>IFERROR(__xludf.DUMMYFUNCTION("""COMPUTED_VALUE"""),"WordPress Webseite mit dem Premium Theme Enfold aufbauen")</f>
        <v>WordPress Webseite mit dem Premium Theme Enfold aufbauen</v>
      </c>
      <c r="E235" t="str">
        <f>IFERROR(__xludf.DUMMYFUNCTION("""COMPUTED_VALUE"""),"Build WordPress website with the Premium Theme Enfold")</f>
        <v>Build WordPress website with the Premium Theme Enfold</v>
      </c>
      <c r="F235">
        <f>IFERROR(__xludf.DUMMYFUNCTION("""COMPUTED_VALUE"""),2.57632E7)</f>
        <v>25763200</v>
      </c>
      <c r="G235" t="str">
        <f>IFERROR(__xludf.DUMMYFUNCTION("""COMPUTED_VALUE"""),"Nikolaus Kolba")</f>
        <v>Nikolaus Kolba</v>
      </c>
      <c r="H235" t="str">
        <f>IFERROR(__xludf.DUMMYFUNCTION("""COMPUTED_VALUE"""),"Instructor Request- Opted Out")</f>
        <v>Instructor Request- Opted Out</v>
      </c>
      <c r="I235" t="str">
        <f>IFERROR(__xludf.DUMMYFUNCTION("""COMPUTED_VALUE"""),"Development")</f>
        <v>Development</v>
      </c>
      <c r="J235" t="str">
        <f>IFERROR(__xludf.DUMMYFUNCTION("""COMPUTED_VALUE"""),"Web Development")</f>
        <v>Web Development</v>
      </c>
      <c r="K235" s="155">
        <f>IFERROR(__xludf.DUMMYFUNCTION("""COMPUTED_VALUE"""),1565094.0)</f>
        <v>1565094</v>
      </c>
      <c r="L235" s="140" t="str">
        <f>IFERROR(__xludf.DUMMYFUNCTION("""COMPUTED_VALUE"""),"Wordpress Einfach &amp; Komplett: Erstelle deine eigene Website")</f>
        <v>Wordpress Einfach &amp; Komplett: Erstelle deine eigene Website</v>
      </c>
      <c r="N235" s="140" t="str">
        <f>IFERROR(__xludf.DUMMYFUNCTION("""COMPUTED_VALUE"""),"")</f>
        <v/>
      </c>
    </row>
    <row r="236">
      <c r="A236" s="143">
        <f>IFERROR(__xludf.DUMMYFUNCTION("""COMPUTED_VALUE"""),44286.0)</f>
        <v>44286</v>
      </c>
      <c r="B236">
        <f>IFERROR(__xludf.DUMMYFUNCTION("""COMPUTED_VALUE"""),879532.0)</f>
        <v>879532</v>
      </c>
      <c r="C236" t="str">
        <f>IFERROR(__xludf.DUMMYFUNCTION("""COMPUTED_VALUE"""),"en")</f>
        <v>en</v>
      </c>
      <c r="D236" t="str">
        <f>IFERROR(__xludf.DUMMYFUNCTION("""COMPUTED_VALUE"""),"Adobe Animate CC 2018 - HTML5 Banner Ads")</f>
        <v>Adobe Animate CC 2018 - HTML5 Banner Ads</v>
      </c>
      <c r="E236" t="str">
        <f>IFERROR(__xludf.DUMMYFUNCTION("""COMPUTED_VALUE"""),"Adobe Animate CC 2018 - HTML5 Banner Ads")</f>
        <v>Adobe Animate CC 2018 - HTML5 Banner Ads</v>
      </c>
      <c r="F236">
        <f>IFERROR(__xludf.DUMMYFUNCTION("""COMPUTED_VALUE"""),1.1614232E7)</f>
        <v>11614232</v>
      </c>
      <c r="G236" t="str">
        <f>IFERROR(__xludf.DUMMYFUNCTION("""COMPUTED_VALUE"""),"Daniel Walter Scott")</f>
        <v>Daniel Walter Scott</v>
      </c>
      <c r="H236" t="str">
        <f>IFERROR(__xludf.DUMMYFUNCTION("""COMPUTED_VALUE"""),"Instructor Request- Opted Out")</f>
        <v>Instructor Request- Opted Out</v>
      </c>
      <c r="I236" t="str">
        <f>IFERROR(__xludf.DUMMYFUNCTION("""COMPUTED_VALUE"""),"Design")</f>
        <v>Design</v>
      </c>
      <c r="J236" t="str">
        <f>IFERROR(__xludf.DUMMYFUNCTION("""COMPUTED_VALUE"""),"Design Tools")</f>
        <v>Design Tools</v>
      </c>
      <c r="K236" s="155">
        <f>IFERROR(__xludf.DUMMYFUNCTION("""COMPUTED_VALUE"""),1937920.0)</f>
        <v>1937920</v>
      </c>
      <c r="L236" s="140" t="str">
        <f>IFERROR(__xludf.DUMMYFUNCTION("""COMPUTED_VALUE"""),"Rigging and Recording in Adobe Character Animator")</f>
        <v>Rigging and Recording in Adobe Character Animator</v>
      </c>
      <c r="N236" s="140" t="str">
        <f>IFERROR(__xludf.DUMMYFUNCTION("""COMPUTED_VALUE"""),"")</f>
        <v/>
      </c>
    </row>
    <row r="237">
      <c r="A237" s="143">
        <f>IFERROR(__xludf.DUMMYFUNCTION("""COMPUTED_VALUE"""),44286.0)</f>
        <v>44286</v>
      </c>
      <c r="B237">
        <f>IFERROR(__xludf.DUMMYFUNCTION("""COMPUTED_VALUE"""),713676.0)</f>
        <v>713676</v>
      </c>
      <c r="C237" t="str">
        <f>IFERROR(__xludf.DUMMYFUNCTION("""COMPUTED_VALUE"""),"en")</f>
        <v>en</v>
      </c>
      <c r="D237" t="str">
        <f>IFERROR(__xludf.DUMMYFUNCTION("""COMPUTED_VALUE"""),"Improve your English with TOEFL Speaking Success")</f>
        <v>Improve your English with TOEFL Speaking Success</v>
      </c>
      <c r="E237" t="str">
        <f>IFERROR(__xludf.DUMMYFUNCTION("""COMPUTED_VALUE"""),"Improve your English with TOEFL Speaking Success")</f>
        <v>Improve your English with TOEFL Speaking Success</v>
      </c>
      <c r="F237">
        <f>IFERROR(__xludf.DUMMYFUNCTION("""COMPUTED_VALUE"""),1.3878136E7)</f>
        <v>13878136</v>
      </c>
      <c r="G237" t="str">
        <f>IFERROR(__xludf.DUMMYFUNCTION("""COMPUTED_VALUE"""),"Josh MacPherson")</f>
        <v>Josh MacPherson</v>
      </c>
      <c r="H237" t="str">
        <f>IFERROR(__xludf.DUMMYFUNCTION("""COMPUTED_VALUE"""),"Instructor Request- Opted Out")</f>
        <v>Instructor Request- Opted Out</v>
      </c>
      <c r="I237" t="str">
        <f>IFERROR(__xludf.DUMMYFUNCTION("""COMPUTED_VALUE"""),"Personal Development")</f>
        <v>Personal Development</v>
      </c>
      <c r="J237" t="str">
        <f>IFERROR(__xludf.DUMMYFUNCTION("""COMPUTED_VALUE"""),"Language Learning")</f>
        <v>Language Learning</v>
      </c>
      <c r="K237" s="155">
        <f>IFERROR(__xludf.DUMMYFUNCTION("""COMPUTED_VALUE"""),1654314.0)</f>
        <v>1654314</v>
      </c>
      <c r="L237" s="140" t="str">
        <f>IFERROR(__xludf.DUMMYFUNCTION("""COMPUTED_VALUE"""),"The Complete TOEFL iBT Success Course (NEW VERSION)")</f>
        <v>The Complete TOEFL iBT Success Course (NEW VERSION)</v>
      </c>
      <c r="M237" s="155">
        <f>IFERROR(__xludf.DUMMYFUNCTION("""COMPUTED_VALUE"""),2110978.0)</f>
        <v>2110978</v>
      </c>
      <c r="N237" s="140" t="str">
        <f>IFERROR(__xludf.DUMMYFUNCTION("""COMPUTED_VALUE"""),"Emergency Course for the TOEFL®: TOEFL Prep in Just 2 Days")</f>
        <v>Emergency Course for the TOEFL®: TOEFL Prep in Just 2 Days</v>
      </c>
    </row>
    <row r="238">
      <c r="A238" s="143">
        <f>IFERROR(__xludf.DUMMYFUNCTION("""COMPUTED_VALUE"""),44286.0)</f>
        <v>44286</v>
      </c>
      <c r="B238">
        <f>IFERROR(__xludf.DUMMYFUNCTION("""COMPUTED_VALUE"""),1400908.0)</f>
        <v>1400908</v>
      </c>
      <c r="C238" t="str">
        <f>IFERROR(__xludf.DUMMYFUNCTION("""COMPUTED_VALUE"""),"en")</f>
        <v>en</v>
      </c>
      <c r="D238" t="str">
        <f>IFERROR(__xludf.DUMMYFUNCTION("""COMPUTED_VALUE"""),"Snapchat Ads 101 - Build 4 Marketing Ad Campaigns")</f>
        <v>Snapchat Ads 101 - Build 4 Marketing Ad Campaigns</v>
      </c>
      <c r="E238" t="str">
        <f>IFERROR(__xludf.DUMMYFUNCTION("""COMPUTED_VALUE"""),"Snapchat Ads 101 - Build 4 Marketing Ad Campaigns")</f>
        <v>Snapchat Ads 101 - Build 4 Marketing Ad Campaigns</v>
      </c>
      <c r="F238">
        <f>IFERROR(__xludf.DUMMYFUNCTION("""COMPUTED_VALUE"""),439062.0)</f>
        <v>439062</v>
      </c>
      <c r="G238" t="str">
        <f>IFERROR(__xludf.DUMMYFUNCTION("""COMPUTED_VALUE"""),"Ali Mirza")</f>
        <v>Ali Mirza</v>
      </c>
      <c r="H238" t="str">
        <f>IFERROR(__xludf.DUMMYFUNCTION("""COMPUTED_VALUE"""),"3 Flags")</f>
        <v>3 Flags</v>
      </c>
      <c r="I238" t="str">
        <f>IFERROR(__xludf.DUMMYFUNCTION("""COMPUTED_VALUE"""),"Marketing")</f>
        <v>Marketing</v>
      </c>
      <c r="J238" t="str">
        <f>IFERROR(__xludf.DUMMYFUNCTION("""COMPUTED_VALUE"""),"Social Media Marketing")</f>
        <v>Social Media Marketing</v>
      </c>
      <c r="L238" s="140" t="str">
        <f>IFERROR(__xludf.DUMMYFUNCTION("""COMPUTED_VALUE"""),"")</f>
        <v/>
      </c>
      <c r="N238" s="140" t="str">
        <f>IFERROR(__xludf.DUMMYFUNCTION("""COMPUTED_VALUE"""),"")</f>
        <v/>
      </c>
      <c r="O238" s="140" t="str">
        <f>IFERROR(__xludf.DUMMYFUNCTION("""COMPUTED_VALUE"""),"No Alternatives in Collection- 3/17")</f>
        <v>No Alternatives in Collection- 3/17</v>
      </c>
    </row>
    <row r="239">
      <c r="A239" s="143">
        <f>IFERROR(__xludf.DUMMYFUNCTION("""COMPUTED_VALUE"""),44286.0)</f>
        <v>44286</v>
      </c>
      <c r="B239">
        <f>IFERROR(__xludf.DUMMYFUNCTION("""COMPUTED_VALUE"""),2147662.0)</f>
        <v>2147662</v>
      </c>
      <c r="C239" t="str">
        <f>IFERROR(__xludf.DUMMYFUNCTION("""COMPUTED_VALUE"""),"de")</f>
        <v>de</v>
      </c>
      <c r="D239" t="str">
        <f>IFERROR(__xludf.DUMMYFUNCTION("""COMPUTED_VALUE"""),"Raspberry Pi für Einsteiger 2020 Edition (Mac+PC)")</f>
        <v>Raspberry Pi für Einsteiger 2020 Edition (Mac+PC)</v>
      </c>
      <c r="E239" t="str">
        <f>IFERROR(__xludf.DUMMYFUNCTION("""COMPUTED_VALUE"""),"Raspberry Pi for beginners 2020 Edition (Mac + PC)")</f>
        <v>Raspberry Pi for beginners 2020 Edition (Mac + PC)</v>
      </c>
      <c r="F239">
        <f>IFERROR(__xludf.DUMMYFUNCTION("""COMPUTED_VALUE"""),2.17338E7)</f>
        <v>21733800</v>
      </c>
      <c r="G239" t="str">
        <f>IFERROR(__xludf.DUMMYFUNCTION("""COMPUTED_VALUE"""),"Axel Mammitzsch")</f>
        <v>Axel Mammitzsch</v>
      </c>
      <c r="H239" t="str">
        <f>IFERROR(__xludf.DUMMYFUNCTION("""COMPUTED_VALUE"""),"Low Rating")</f>
        <v>Low Rating</v>
      </c>
      <c r="I239" t="str">
        <f>IFERROR(__xludf.DUMMYFUNCTION("""COMPUTED_VALUE"""),"IT Operations")</f>
        <v>IT Operations</v>
      </c>
      <c r="J239" t="str">
        <f>IFERROR(__xludf.DUMMYFUNCTION("""COMPUTED_VALUE"""),"Hardware")</f>
        <v>Hardware</v>
      </c>
      <c r="L239" s="140" t="str">
        <f>IFERROR(__xludf.DUMMYFUNCTION("""COMPUTED_VALUE"""),"")</f>
        <v/>
      </c>
      <c r="N239" s="140" t="str">
        <f>IFERROR(__xludf.DUMMYFUNCTION("""COMPUTED_VALUE"""),"")</f>
        <v/>
      </c>
      <c r="O239" s="140" t="str">
        <f>IFERROR(__xludf.DUMMYFUNCTION("""COMPUTED_VALUE"""),"No Alternatives in Collection- 3/17")</f>
        <v>No Alternatives in Collection- 3/17</v>
      </c>
    </row>
    <row r="240">
      <c r="A240" s="143">
        <f>IFERROR(__xludf.DUMMYFUNCTION("""COMPUTED_VALUE"""),44286.0)</f>
        <v>44286</v>
      </c>
      <c r="B240">
        <f>IFERROR(__xludf.DUMMYFUNCTION("""COMPUTED_VALUE"""),1079792.0)</f>
        <v>1079792</v>
      </c>
      <c r="C240" t="str">
        <f>IFERROR(__xludf.DUMMYFUNCTION("""COMPUTED_VALUE"""),"en")</f>
        <v>en</v>
      </c>
      <c r="D240" t="str">
        <f>IFERROR(__xludf.DUMMYFUNCTION("""COMPUTED_VALUE"""),"SAP HANA Modeling &amp; Security On Free Cloud Server")</f>
        <v>SAP HANA Modeling &amp; Security On Free Cloud Server</v>
      </c>
      <c r="E240" t="str">
        <f>IFERROR(__xludf.DUMMYFUNCTION("""COMPUTED_VALUE"""),"SAP HANA Modeling &amp; Security On Free Cloud Server")</f>
        <v>SAP HANA Modeling &amp; Security On Free Cloud Server</v>
      </c>
      <c r="F240">
        <f>IFERROR(__xludf.DUMMYFUNCTION("""COMPUTED_VALUE"""),2.0737464E7)</f>
        <v>20737464</v>
      </c>
      <c r="G240" t="str">
        <f>IFERROR(__xludf.DUMMYFUNCTION("""COMPUTED_VALUE"""),"Ayyub Patel")</f>
        <v>Ayyub Patel</v>
      </c>
      <c r="H240" t="str">
        <f>IFERROR(__xludf.DUMMYFUNCTION("""COMPUTED_VALUE"""),"Low Rating")</f>
        <v>Low Rating</v>
      </c>
      <c r="I240" t="str">
        <f>IFERROR(__xludf.DUMMYFUNCTION("""COMPUTED_VALUE"""),"Data Science")</f>
        <v>Data Science</v>
      </c>
      <c r="J240" t="str">
        <f>IFERROR(__xludf.DUMMYFUNCTION("""COMPUTED_VALUE"""),"Analytics")</f>
        <v>Analytics</v>
      </c>
      <c r="L240" s="140" t="str">
        <f>IFERROR(__xludf.DUMMYFUNCTION("""COMPUTED_VALUE"""),"")</f>
        <v/>
      </c>
      <c r="N240" s="140" t="str">
        <f>IFERROR(__xludf.DUMMYFUNCTION("""COMPUTED_VALUE"""),"")</f>
        <v/>
      </c>
      <c r="O240" s="140" t="str">
        <f>IFERROR(__xludf.DUMMYFUNCTION("""COMPUTED_VALUE"""),"No Alternatives in Collection- 3/17")</f>
        <v>No Alternatives in Collection- 3/17</v>
      </c>
    </row>
    <row r="241">
      <c r="A241" s="143">
        <f>IFERROR(__xludf.DUMMYFUNCTION("""COMPUTED_VALUE"""),44286.0)</f>
        <v>44286</v>
      </c>
      <c r="B241">
        <f>IFERROR(__xludf.DUMMYFUNCTION("""COMPUTED_VALUE"""),373208.0)</f>
        <v>373208</v>
      </c>
      <c r="C241" t="str">
        <f>IFERROR(__xludf.DUMMYFUNCTION("""COMPUTED_VALUE"""),"de")</f>
        <v>de</v>
      </c>
      <c r="D241" t="str">
        <f>IFERROR(__xludf.DUMMYFUNCTION("""COMPUTED_VALUE"""),"Spiele entwickeln mit Unity 3D- Erstelle eigene Games in C#")</f>
        <v>Spiele entwickeln mit Unity 3D- Erstelle eigene Games in C#</v>
      </c>
      <c r="E241" t="str">
        <f>IFERROR(__xludf.DUMMYFUNCTION("""COMPUTED_VALUE"""),"Develop games with Unity 3D - Create own games in C #")</f>
        <v>Develop games with Unity 3D - Create own games in C #</v>
      </c>
      <c r="F241">
        <f>IFERROR(__xludf.DUMMYFUNCTION("""COMPUTED_VALUE"""),4573650.0)</f>
        <v>4573650</v>
      </c>
      <c r="G241" t="str">
        <f>IFERROR(__xludf.DUMMYFUNCTION("""COMPUTED_VALUE"""),"Denis Panjuta")</f>
        <v>Denis Panjuta</v>
      </c>
      <c r="H241" t="str">
        <f>IFERROR(__xludf.DUMMYFUNCTION("""COMPUTED_VALUE"""),"Low Rating")</f>
        <v>Low Rating</v>
      </c>
      <c r="I241" t="str">
        <f>IFERROR(__xludf.DUMMYFUNCTION("""COMPUTED_VALUE"""),"Development")</f>
        <v>Development</v>
      </c>
      <c r="J241" t="str">
        <f>IFERROR(__xludf.DUMMYFUNCTION("""COMPUTED_VALUE"""),"Mobile Development")</f>
        <v>Mobile Development</v>
      </c>
      <c r="K241" s="155">
        <f>IFERROR(__xludf.DUMMYFUNCTION("""COMPUTED_VALUE"""),2365286.0)</f>
        <v>2365286</v>
      </c>
      <c r="L241" s="140" t="str">
        <f>IFERROR(__xludf.DUMMYFUNCTION("""COMPUTED_VALUE"""),"Die komplette Unity &amp; C# Masterclass - Entwickle 5 Spiele")</f>
        <v>Die komplette Unity &amp; C# Masterclass - Entwickle 5 Spiele</v>
      </c>
      <c r="N241" s="140" t="str">
        <f>IFERROR(__xludf.DUMMYFUNCTION("""COMPUTED_VALUE"""),"")</f>
        <v/>
      </c>
    </row>
    <row r="242">
      <c r="A242" s="143">
        <f>IFERROR(__xludf.DUMMYFUNCTION("""COMPUTED_VALUE"""),44286.0)</f>
        <v>44286</v>
      </c>
      <c r="B242">
        <f>IFERROR(__xludf.DUMMYFUNCTION("""COMPUTED_VALUE"""),918746.0)</f>
        <v>918746</v>
      </c>
      <c r="C242" t="str">
        <f>IFERROR(__xludf.DUMMYFUNCTION("""COMPUTED_VALUE"""),"en")</f>
        <v>en</v>
      </c>
      <c r="D242" t="str">
        <f>IFERROR(__xludf.DUMMYFUNCTION("""COMPUTED_VALUE"""),"HDPCD:Spark using Scala")</f>
        <v>HDPCD:Spark using Scala</v>
      </c>
      <c r="E242" t="str">
        <f>IFERROR(__xludf.DUMMYFUNCTION("""COMPUTED_VALUE"""),"HDPCD:Spark using Scala")</f>
        <v>HDPCD:Spark using Scala</v>
      </c>
      <c r="F242">
        <f>IFERROR(__xludf.DUMMYFUNCTION("""COMPUTED_VALUE"""),2.2663786E7)</f>
        <v>22663786</v>
      </c>
      <c r="G242" t="str">
        <f>IFERROR(__xludf.DUMMYFUNCTION("""COMPUTED_VALUE"""),"Durga Viswanatha Raju Gadiraju")</f>
        <v>Durga Viswanatha Raju Gadiraju</v>
      </c>
      <c r="H242" t="str">
        <f>IFERROR(__xludf.DUMMYFUNCTION("""COMPUTED_VALUE"""),"3 Flags")</f>
        <v>3 Flags</v>
      </c>
      <c r="I242" t="str">
        <f>IFERROR(__xludf.DUMMYFUNCTION("""COMPUTED_VALUE"""),"IT Operations")</f>
        <v>IT Operations</v>
      </c>
      <c r="J242" t="str">
        <f>IFERROR(__xludf.DUMMYFUNCTION("""COMPUTED_VALUE"""),"IT Certifications")</f>
        <v>IT Certifications</v>
      </c>
      <c r="L242" s="140" t="str">
        <f>IFERROR(__xludf.DUMMYFUNCTION("""COMPUTED_VALUE"""),"")</f>
        <v/>
      </c>
      <c r="N242" s="140" t="str">
        <f>IFERROR(__xludf.DUMMYFUNCTION("""COMPUTED_VALUE"""),"")</f>
        <v/>
      </c>
      <c r="O242" s="140" t="str">
        <f>IFERROR(__xludf.DUMMYFUNCTION("""COMPUTED_VALUE"""),"No Alternatives in Collection- 3/17")</f>
        <v>No Alternatives in Collection- 3/17</v>
      </c>
    </row>
    <row r="243">
      <c r="A243" s="143">
        <f>IFERROR(__xludf.DUMMYFUNCTION("""COMPUTED_VALUE"""),44286.0)</f>
        <v>44286</v>
      </c>
      <c r="B243">
        <f>IFERROR(__xludf.DUMMYFUNCTION("""COMPUTED_VALUE"""),2602940.0)</f>
        <v>2602940</v>
      </c>
      <c r="C243" t="str">
        <f>IFERROR(__xludf.DUMMYFUNCTION("""COMPUTED_VALUE"""),"ja")</f>
        <v>ja</v>
      </c>
      <c r="D243" t="str">
        <f>IFERROR(__xludf.DUMMYFUNCTION("""COMPUTED_VALUE"""),"【コピペで簡単、すぐに動く！】ゼロから始める「Python」世界最速入門コース")</f>
        <v>【コピペで簡単、すぐに動く！】ゼロから始める「Python」世界最速入門コース</v>
      </c>
      <c r="E243" t="str">
        <f>IFERROR(__xludf.DUMMYFUNCTION("""COMPUTED_VALUE"""),"[Easy to move with copy, move quickly! ""Python"" world's fastest introductory course starting from zero")</f>
        <v>[Easy to move with copy, move quickly! "Python" world's fastest introductory course starting from zero</v>
      </c>
      <c r="F243">
        <f>IFERROR(__xludf.DUMMYFUNCTION("""COMPUTED_VALUE"""),4.1023426E7)</f>
        <v>41023426</v>
      </c>
      <c r="G243" t="str">
        <f>IFERROR(__xludf.DUMMYFUNCTION("""COMPUTED_VALUE"""),"Katsunori Yoshinaka")</f>
        <v>Katsunori Yoshinaka</v>
      </c>
      <c r="H243" t="str">
        <f>IFERROR(__xludf.DUMMYFUNCTION("""COMPUTED_VALUE"""),"Low Rating")</f>
        <v>Low Rating</v>
      </c>
      <c r="I243" t="str">
        <f>IFERROR(__xludf.DUMMYFUNCTION("""COMPUTED_VALUE"""),"Development")</f>
        <v>Development</v>
      </c>
      <c r="J243" t="str">
        <f>IFERROR(__xludf.DUMMYFUNCTION("""COMPUTED_VALUE"""),"Web Development")</f>
        <v>Web Development</v>
      </c>
      <c r="L243" s="140" t="str">
        <f>IFERROR(__xludf.DUMMYFUNCTION("""COMPUTED_VALUE"""),"")</f>
        <v/>
      </c>
      <c r="N243" s="140" t="str">
        <f>IFERROR(__xludf.DUMMYFUNCTION("""COMPUTED_VALUE"""),"")</f>
        <v/>
      </c>
      <c r="O243" s="140" t="str">
        <f>IFERROR(__xludf.DUMMYFUNCTION("""COMPUTED_VALUE"""),"No Alternatives in Collection - 2/20/2021")</f>
        <v>No Alternatives in Collection - 2/20/2021</v>
      </c>
    </row>
    <row r="244">
      <c r="A244" s="143">
        <f>IFERROR(__xludf.DUMMYFUNCTION("""COMPUTED_VALUE"""),44286.0)</f>
        <v>44286</v>
      </c>
      <c r="B244">
        <f>IFERROR(__xludf.DUMMYFUNCTION("""COMPUTED_VALUE"""),442690.0)</f>
        <v>442690</v>
      </c>
      <c r="C244" t="str">
        <f>IFERROR(__xludf.DUMMYFUNCTION("""COMPUTED_VALUE"""),"en")</f>
        <v>en</v>
      </c>
      <c r="D244" t="str">
        <f>IFERROR(__xludf.DUMMYFUNCTION("""COMPUTED_VALUE"""),"Phonegap &amp; Ludei - Build HTML5 CSS &amp; JS Apps")</f>
        <v>Phonegap &amp; Ludei - Build HTML5 CSS &amp; JS Apps</v>
      </c>
      <c r="E244" t="str">
        <f>IFERROR(__xludf.DUMMYFUNCTION("""COMPUTED_VALUE"""),"Phonegap &amp; Ludei - Build HTML5 CSS &amp; JS Apps")</f>
        <v>Phonegap &amp; Ludei - Build HTML5 CSS &amp; JS Apps</v>
      </c>
      <c r="F244">
        <f>IFERROR(__xludf.DUMMYFUNCTION("""COMPUTED_VALUE"""),3410094.0)</f>
        <v>3410094</v>
      </c>
      <c r="G244" t="str">
        <f>IFERROR(__xludf.DUMMYFUNCTION("""COMPUTED_VALUE"""),"Lawrence Turton")</f>
        <v>Lawrence Turton</v>
      </c>
      <c r="H244" t="str">
        <f>IFERROR(__xludf.DUMMYFUNCTION("""COMPUTED_VALUE"""),"3 Flags")</f>
        <v>3 Flags</v>
      </c>
      <c r="I244" t="str">
        <f>IFERROR(__xludf.DUMMYFUNCTION("""COMPUTED_VALUE"""),"Development")</f>
        <v>Development</v>
      </c>
      <c r="J244" t="str">
        <f>IFERROR(__xludf.DUMMYFUNCTION("""COMPUTED_VALUE"""),"Mobile Development")</f>
        <v>Mobile Development</v>
      </c>
      <c r="L244" s="140" t="str">
        <f>IFERROR(__xludf.DUMMYFUNCTION("""COMPUTED_VALUE"""),"")</f>
        <v/>
      </c>
      <c r="N244" s="140" t="str">
        <f>IFERROR(__xludf.DUMMYFUNCTION("""COMPUTED_VALUE"""),"")</f>
        <v/>
      </c>
      <c r="O244" s="140" t="str">
        <f>IFERROR(__xludf.DUMMYFUNCTION("""COMPUTED_VALUE"""),"No Alternatives in Collection- 3/20")</f>
        <v>No Alternatives in Collection- 3/20</v>
      </c>
    </row>
    <row r="245">
      <c r="A245" s="143">
        <f>IFERROR(__xludf.DUMMYFUNCTION("""COMPUTED_VALUE"""),44286.0)</f>
        <v>44286</v>
      </c>
      <c r="B245">
        <f>IFERROR(__xludf.DUMMYFUNCTION("""COMPUTED_VALUE"""),367778.0)</f>
        <v>367778</v>
      </c>
      <c r="C245" t="str">
        <f>IFERROR(__xludf.DUMMYFUNCTION("""COMPUTED_VALUE"""),"en")</f>
        <v>en</v>
      </c>
      <c r="D245" t="str">
        <f>IFERROR(__xludf.DUMMYFUNCTION("""COMPUTED_VALUE"""),"Create Animated Explainer Videos - Complete Walkthrough")</f>
        <v>Create Animated Explainer Videos - Complete Walkthrough</v>
      </c>
      <c r="E245" t="str">
        <f>IFERROR(__xludf.DUMMYFUNCTION("""COMPUTED_VALUE"""),"Create Animated Explainer Videos - Complete Walkthrough")</f>
        <v>Create Animated Explainer Videos - Complete Walkthrough</v>
      </c>
      <c r="F245">
        <f>IFERROR(__xludf.DUMMYFUNCTION("""COMPUTED_VALUE"""),7839708.0)</f>
        <v>7839708</v>
      </c>
      <c r="G245" t="str">
        <f>IFERROR(__xludf.DUMMYFUNCTION("""COMPUTED_VALUE"""),"Matt Wong")</f>
        <v>Matt Wong</v>
      </c>
      <c r="H245" t="str">
        <f>IFERROR(__xludf.DUMMYFUNCTION("""COMPUTED_VALUE"""),"3 Flags")</f>
        <v>3 Flags</v>
      </c>
      <c r="I245" t="str">
        <f>IFERROR(__xludf.DUMMYFUNCTION("""COMPUTED_VALUE"""),"Marketing")</f>
        <v>Marketing</v>
      </c>
      <c r="J245" t="str">
        <f>IFERROR(__xludf.DUMMYFUNCTION("""COMPUTED_VALUE"""),"Content Marketing")</f>
        <v>Content Marketing</v>
      </c>
      <c r="K245" s="155">
        <f>IFERROR(__xludf.DUMMYFUNCTION("""COMPUTED_VALUE"""),1460800.0)</f>
        <v>1460800</v>
      </c>
      <c r="L245" s="140" t="str">
        <f>IFERROR(__xludf.DUMMYFUNCTION("""COMPUTED_VALUE"""),"How to Create Animated Videos with Powerpoint")</f>
        <v>How to Create Animated Videos with Powerpoint</v>
      </c>
      <c r="M245" s="155">
        <f>IFERROR(__xludf.DUMMYFUNCTION("""COMPUTED_VALUE"""),1027180.0)</f>
        <v>1027180</v>
      </c>
      <c r="N245" s="140" t="str">
        <f>IFERROR(__xludf.DUMMYFUNCTION("""COMPUTED_VALUE"""),"The Complete Video Production Bootcamp")</f>
        <v>The Complete Video Production Bootcamp</v>
      </c>
    </row>
    <row r="246">
      <c r="A246" s="143">
        <f>IFERROR(__xludf.DUMMYFUNCTION("""COMPUTED_VALUE"""),44286.0)</f>
        <v>44286</v>
      </c>
      <c r="B246">
        <f>IFERROR(__xludf.DUMMYFUNCTION("""COMPUTED_VALUE"""),1908046.0)</f>
        <v>1908046</v>
      </c>
      <c r="C246" t="str">
        <f>IFERROR(__xludf.DUMMYFUNCTION("""COMPUTED_VALUE"""),"de")</f>
        <v>de</v>
      </c>
      <c r="D246" t="str">
        <f>IFERROR(__xludf.DUMMYFUNCTION("""COMPUTED_VALUE"""),"Microsoft Excel UserForms")</f>
        <v>Microsoft Excel UserForms</v>
      </c>
      <c r="E246" t="str">
        <f>IFERROR(__xludf.DUMMYFUNCTION("""COMPUTED_VALUE"""),"Microsoft Excel UserForms")</f>
        <v>Microsoft Excel UserForms</v>
      </c>
      <c r="F246">
        <f>IFERROR(__xludf.DUMMYFUNCTION("""COMPUTED_VALUE"""),3.2732678E7)</f>
        <v>32732678</v>
      </c>
      <c r="G246" t="str">
        <f>IFERROR(__xludf.DUMMYFUNCTION("""COMPUTED_VALUE"""),"Pascal Schindler")</f>
        <v>Pascal Schindler</v>
      </c>
      <c r="H246" t="str">
        <f>IFERROR(__xludf.DUMMYFUNCTION("""COMPUTED_VALUE"""),"Instructor Request- Opted Out")</f>
        <v>Instructor Request- Opted Out</v>
      </c>
      <c r="I246" t="str">
        <f>IFERROR(__xludf.DUMMYFUNCTION("""COMPUTED_VALUE"""),"Office Productivity")</f>
        <v>Office Productivity</v>
      </c>
      <c r="J246" t="str">
        <f>IFERROR(__xludf.DUMMYFUNCTION("""COMPUTED_VALUE"""),"Spreadsheets")</f>
        <v>Spreadsheets</v>
      </c>
      <c r="K246" s="155">
        <f>IFERROR(__xludf.DUMMYFUNCTION("""COMPUTED_VALUE"""),1094318.0)</f>
        <v>1094318</v>
      </c>
      <c r="L246" s="140" t="str">
        <f>IFERROR(__xludf.DUMMYFUNCTION("""COMPUTED_VALUE"""),"Excel Makros - Automatisiere Deine Excel Arbeit!")</f>
        <v>Excel Makros - Automatisiere Deine Excel Arbeit!</v>
      </c>
      <c r="N246" s="140" t="str">
        <f>IFERROR(__xludf.DUMMYFUNCTION("""COMPUTED_VALUE"""),"")</f>
        <v/>
      </c>
    </row>
    <row r="247">
      <c r="A247" s="143">
        <f>IFERROR(__xludf.DUMMYFUNCTION("""COMPUTED_VALUE"""),44286.0)</f>
        <v>44286</v>
      </c>
      <c r="B247">
        <f>IFERROR(__xludf.DUMMYFUNCTION("""COMPUTED_VALUE"""),1195806.0)</f>
        <v>1195806</v>
      </c>
      <c r="C247" t="str">
        <f>IFERROR(__xludf.DUMMYFUNCTION("""COMPUTED_VALUE"""),"de")</f>
        <v>de</v>
      </c>
      <c r="D247" t="str">
        <f>IFERROR(__xludf.DUMMYFUNCTION("""COMPUTED_VALUE"""),"In 8 Schritten zur erfolgreichen Facebook-Fanpage")</f>
        <v>In 8 Schritten zur erfolgreichen Facebook-Fanpage</v>
      </c>
      <c r="E247" t="str">
        <f>IFERROR(__xludf.DUMMYFUNCTION("""COMPUTED_VALUE"""),"In 8 steps to the successful Facebook fan page")</f>
        <v>In 8 steps to the successful Facebook fan page</v>
      </c>
      <c r="F247">
        <f>IFERROR(__xludf.DUMMYFUNCTION("""COMPUTED_VALUE"""),3.1385786E7)</f>
        <v>31385786</v>
      </c>
      <c r="G247" t="str">
        <f>IFERROR(__xludf.DUMMYFUNCTION("""COMPUTED_VALUE"""),"Ulrich Löser,")</f>
        <v>Ulrich Löser,</v>
      </c>
      <c r="H247" t="str">
        <f>IFERROR(__xludf.DUMMYFUNCTION("""COMPUTED_VALUE"""),"3 Flags")</f>
        <v>3 Flags</v>
      </c>
      <c r="I247" t="str">
        <f>IFERROR(__xludf.DUMMYFUNCTION("""COMPUTED_VALUE"""),"Marketing")</f>
        <v>Marketing</v>
      </c>
      <c r="J247" t="str">
        <f>IFERROR(__xludf.DUMMYFUNCTION("""COMPUTED_VALUE"""),"Social Media Marketing")</f>
        <v>Social Media Marketing</v>
      </c>
      <c r="L247" s="140" t="str">
        <f>IFERROR(__xludf.DUMMYFUNCTION("""COMPUTED_VALUE"""),"")</f>
        <v/>
      </c>
      <c r="N247" s="140" t="str">
        <f>IFERROR(__xludf.DUMMYFUNCTION("""COMPUTED_VALUE"""),"")</f>
        <v/>
      </c>
      <c r="O247" s="140" t="str">
        <f>IFERROR(__xludf.DUMMYFUNCTION("""COMPUTED_VALUE"""),"No Alternatives in Collection- 3/20")</f>
        <v>No Alternatives in Collection- 3/20</v>
      </c>
    </row>
    <row r="248">
      <c r="A248" s="143">
        <f>IFERROR(__xludf.DUMMYFUNCTION("""COMPUTED_VALUE"""),44286.0)</f>
        <v>44286</v>
      </c>
      <c r="B248">
        <f>IFERROR(__xludf.DUMMYFUNCTION("""COMPUTED_VALUE"""),966692.0)</f>
        <v>966692</v>
      </c>
      <c r="C248" t="str">
        <f>IFERROR(__xludf.DUMMYFUNCTION("""COMPUTED_VALUE"""),"en")</f>
        <v>en</v>
      </c>
      <c r="D248" t="str">
        <f>IFERROR(__xludf.DUMMYFUNCTION("""COMPUTED_VALUE"""),"REST API for beginners - Retrofit and Android")</f>
        <v>REST API for beginners - Retrofit and Android</v>
      </c>
      <c r="E248" t="str">
        <f>IFERROR(__xludf.DUMMYFUNCTION("""COMPUTED_VALUE"""),"REST API for beginners - Retrofit and Android")</f>
        <v>REST API for beginners - Retrofit and Android</v>
      </c>
      <c r="F248">
        <f>IFERROR(__xludf.DUMMYFUNCTION("""COMPUTED_VALUE"""),1.5717952E7)</f>
        <v>15717952</v>
      </c>
      <c r="G248" t="str">
        <f>IFERROR(__xludf.DUMMYFUNCTION("""COMPUTED_VALUE"""),"Vyara Georgieva")</f>
        <v>Vyara Georgieva</v>
      </c>
      <c r="H248" t="str">
        <f>IFERROR(__xludf.DUMMYFUNCTION("""COMPUTED_VALUE"""),"3 Flags")</f>
        <v>3 Flags</v>
      </c>
      <c r="I248" t="str">
        <f>IFERROR(__xludf.DUMMYFUNCTION("""COMPUTED_VALUE"""),"Development")</f>
        <v>Development</v>
      </c>
      <c r="J248" t="str">
        <f>IFERROR(__xludf.DUMMYFUNCTION("""COMPUTED_VALUE"""),"Mobile Development")</f>
        <v>Mobile Development</v>
      </c>
      <c r="L248" s="140" t="str">
        <f>IFERROR(__xludf.DUMMYFUNCTION("""COMPUTED_VALUE"""),"")</f>
        <v/>
      </c>
      <c r="N248" s="140" t="str">
        <f>IFERROR(__xludf.DUMMYFUNCTION("""COMPUTED_VALUE"""),"")</f>
        <v/>
      </c>
      <c r="O248" s="140" t="str">
        <f>IFERROR(__xludf.DUMMYFUNCTION("""COMPUTED_VALUE"""),"No Alternatives in Collection- 3/20")</f>
        <v>No Alternatives in Collection- 3/20</v>
      </c>
    </row>
    <row r="249">
      <c r="A249" s="143">
        <f>IFERROR(__xludf.DUMMYFUNCTION("""COMPUTED_VALUE"""),44286.0)</f>
        <v>44286</v>
      </c>
      <c r="B249">
        <f>IFERROR(__xludf.DUMMYFUNCTION("""COMPUTED_VALUE"""),1692628.0)</f>
        <v>1692628</v>
      </c>
      <c r="C249" t="str">
        <f>IFERROR(__xludf.DUMMYFUNCTION("""COMPUTED_VALUE"""),"ja")</f>
        <v>ja</v>
      </c>
      <c r="D249" t="str">
        <f>IFERROR(__xludf.DUMMYFUNCTION("""COMPUTED_VALUE"""),"【エクセル・会計知識不要！】いきなりビジネスシュミレーション！ 会計／ファイナンスが本職の方は受講しないで下さい")</f>
        <v>【エクセル・会計知識不要！】いきなりビジネスシュミレーション！ 会計／ファイナンスが本職の方は受講しないで下さい</v>
      </c>
      <c r="E249" t="str">
        <f>IFERROR(__xludf.DUMMYFUNCTION("""COMPUTED_VALUE"""),"[Excel and accounting knowledge unnecessary! 】 Suddenly business simulation! Please do not attend accounting / finance")</f>
        <v>[Excel and accounting knowledge unnecessary! 】 Suddenly business simulation! Please do not attend accounting / finance</v>
      </c>
      <c r="F249">
        <f>IFERROR(__xludf.DUMMYFUNCTION("""COMPUTED_VALUE"""),1.342004E7)</f>
        <v>13420040</v>
      </c>
      <c r="G249" t="str">
        <f>IFERROR(__xludf.DUMMYFUNCTION("""COMPUTED_VALUE"""),"マスカワ シゲル")</f>
        <v>マスカワ シゲル</v>
      </c>
      <c r="H249" t="str">
        <f>IFERROR(__xludf.DUMMYFUNCTION("""COMPUTED_VALUE"""),"Low Rating")</f>
        <v>Low Rating</v>
      </c>
      <c r="I249" t="str">
        <f>IFERROR(__xludf.DUMMYFUNCTION("""COMPUTED_VALUE"""),"Finance &amp; Accounting")</f>
        <v>Finance &amp; Accounting</v>
      </c>
      <c r="J249" t="str">
        <f>IFERROR(__xludf.DUMMYFUNCTION("""COMPUTED_VALUE"""),"Finance Fundamentals")</f>
        <v>Finance Fundamentals</v>
      </c>
      <c r="K249" s="155">
        <f>IFERROR(__xludf.DUMMYFUNCTION("""COMPUTED_VALUE"""),1227488.0)</f>
        <v>1227488</v>
      </c>
      <c r="L249" s="140" t="str">
        <f>IFERROR(__xludf.DUMMYFUNCTION("""COMPUTED_VALUE"""),"【 初心者から財務プロまで 】エクセルで学ぶビジネス・シミュレーション講座 マスターコース")</f>
        <v>【 初心者から財務プロまで 】エクセルで学ぶビジネス・シミュレーション講座 マスターコース</v>
      </c>
      <c r="N249" s="140" t="str">
        <f>IFERROR(__xludf.DUMMYFUNCTION("""COMPUTED_VALUE"""),"")</f>
        <v/>
      </c>
    </row>
    <row r="250">
      <c r="A250" s="143">
        <f>IFERROR(__xludf.DUMMYFUNCTION("""COMPUTED_VALUE"""),44286.0)</f>
        <v>44286</v>
      </c>
      <c r="B250">
        <f>IFERROR(__xludf.DUMMYFUNCTION("""COMPUTED_VALUE"""),2801274.0)</f>
        <v>2801274</v>
      </c>
      <c r="C250" t="str">
        <f>IFERROR(__xludf.DUMMYFUNCTION("""COMPUTED_VALUE"""),"ja")</f>
        <v>ja</v>
      </c>
      <c r="D250" t="str">
        <f>IFERROR(__xludf.DUMMYFUNCTION("""COMPUTED_VALUE"""),"デザイン思考の先【アートシンキング（アート思考）入門講座】先行き不透明なVUCA時代をイノベーション創出で乗り越えろ！")</f>
        <v>デザイン思考の先【アートシンキング（アート思考）入門講座】先行き不透明なVUCA時代をイノベーション創出で乗り越えろ！</v>
      </c>
      <c r="E250" t="str">
        <f>IFERROR(__xludf.DUMMYFUNCTION("""COMPUTED_VALUE"""),"Design thinking [Art Thinking (Art Thought) Introduction Course] Prior to the incompetence of the unacclosed VUCA era overcoming the innovation!")</f>
        <v>Design thinking [Art Thinking (Art Thought) Introduction Course] Prior to the incompetence of the unacclosed VUCA era overcoming the innovation!</v>
      </c>
      <c r="F250">
        <f>IFERROR(__xludf.DUMMYFUNCTION("""COMPUTED_VALUE"""),8.426906E7)</f>
        <v>84269060</v>
      </c>
      <c r="G250" t="str">
        <f>IFERROR(__xludf.DUMMYFUNCTION("""COMPUTED_VALUE"""),"尾和 恵美加")</f>
        <v>尾和 恵美加</v>
      </c>
      <c r="H250" t="str">
        <f>IFERROR(__xludf.DUMMYFUNCTION("""COMPUTED_VALUE"""),"Low Rating")</f>
        <v>Low Rating</v>
      </c>
      <c r="I250" t="str">
        <f>IFERROR(__xludf.DUMMYFUNCTION("""COMPUTED_VALUE"""),"Leadership &amp; Management")</f>
        <v>Leadership &amp; Management</v>
      </c>
      <c r="J250" t="str">
        <f>IFERROR(__xludf.DUMMYFUNCTION("""COMPUTED_VALUE"""),"Strategy")</f>
        <v>Strategy</v>
      </c>
      <c r="L250" s="140" t="str">
        <f>IFERROR(__xludf.DUMMYFUNCTION("""COMPUTED_VALUE"""),"")</f>
        <v/>
      </c>
      <c r="N250" s="140" t="str">
        <f>IFERROR(__xludf.DUMMYFUNCTION("""COMPUTED_VALUE"""),"")</f>
        <v/>
      </c>
      <c r="O250" s="140" t="str">
        <f>IFERROR(__xludf.DUMMYFUNCTION("""COMPUTED_VALUE"""),"No Alternatives in Collection - 2/20/2021")</f>
        <v>No Alternatives in Collection - 2/20/2021</v>
      </c>
    </row>
    <row r="251">
      <c r="A251" s="143">
        <f>IFERROR(__xludf.DUMMYFUNCTION("""COMPUTED_VALUE"""),44286.0)</f>
        <v>44286</v>
      </c>
      <c r="B251">
        <f>IFERROR(__xludf.DUMMYFUNCTION("""COMPUTED_VALUE"""),1895736.0)</f>
        <v>1895736</v>
      </c>
      <c r="C251" t="str">
        <f>IFERROR(__xludf.DUMMYFUNCTION("""COMPUTED_VALUE"""),"ja")</f>
        <v>ja</v>
      </c>
      <c r="D251" t="str">
        <f>IFERROR(__xludf.DUMMYFUNCTION("""COMPUTED_VALUE"""),"【情報セキュリティ基礎】ハッカーの視点から見るセキュリティ対策の必要性")</f>
        <v>【情報セキュリティ基礎】ハッカーの視点から見るセキュリティ対策の必要性</v>
      </c>
      <c r="E251" t="str">
        <f>IFERROR(__xludf.DUMMYFUNCTION("""COMPUTED_VALUE"""),"[Information security base] Necessity of security measures seen from hacker's point of view")</f>
        <v>[Information security base] Necessity of security measures seen from hacker's point of view</v>
      </c>
      <c r="F251">
        <f>IFERROR(__xludf.DUMMYFUNCTION("""COMPUTED_VALUE"""),3.3212246E7)</f>
        <v>33212246</v>
      </c>
      <c r="G251" t="str">
        <f>IFERROR(__xludf.DUMMYFUNCTION("""COMPUTED_VALUE"""),"阿部ひろき blksmith")</f>
        <v>阿部ひろき blksmith</v>
      </c>
      <c r="H251" t="str">
        <f>IFERROR(__xludf.DUMMYFUNCTION("""COMPUTED_VALUE"""),"Low Rating")</f>
        <v>Low Rating</v>
      </c>
      <c r="I251" t="str">
        <f>IFERROR(__xludf.DUMMYFUNCTION("""COMPUTED_VALUE"""),"IT Operations")</f>
        <v>IT Operations</v>
      </c>
      <c r="J251" t="str">
        <f>IFERROR(__xludf.DUMMYFUNCTION("""COMPUTED_VALUE"""),"Network &amp; Security")</f>
        <v>Network &amp; Security</v>
      </c>
      <c r="L251" s="140" t="str">
        <f>IFERROR(__xludf.DUMMYFUNCTION("""COMPUTED_VALUE"""),"")</f>
        <v/>
      </c>
      <c r="N251" s="140" t="str">
        <f>IFERROR(__xludf.DUMMYFUNCTION("""COMPUTED_VALUE"""),"")</f>
        <v/>
      </c>
      <c r="O251" s="140" t="str">
        <f>IFERROR(__xludf.DUMMYFUNCTION("""COMPUTED_VALUE"""),"No Alternatives in Collection - 2/20/2021")</f>
        <v>No Alternatives in Collection - 2/20/2021</v>
      </c>
    </row>
    <row r="252">
      <c r="A252" s="143">
        <f>IFERROR(__xludf.DUMMYFUNCTION("""COMPUTED_VALUE"""),44286.0)</f>
        <v>44286</v>
      </c>
      <c r="B252">
        <f>IFERROR(__xludf.DUMMYFUNCTION("""COMPUTED_VALUE"""),1694752.0)</f>
        <v>1694752</v>
      </c>
      <c r="C252" t="str">
        <f>IFERROR(__xludf.DUMMYFUNCTION("""COMPUTED_VALUE"""),"pt")</f>
        <v>pt</v>
      </c>
      <c r="D252" t="str">
        <f>IFERROR(__xludf.DUMMYFUNCTION("""COMPUTED_VALUE"""),"Laravel: Construindo APIs REST")</f>
        <v>Laravel: Construindo APIs REST</v>
      </c>
      <c r="E252" t="str">
        <f>IFERROR(__xludf.DUMMYFUNCTION("""COMPUTED_VALUE"""),"Laravel: Building APIs REST")</f>
        <v>Laravel: Building APIs REST</v>
      </c>
      <c r="F252">
        <f>IFERROR(__xludf.DUMMYFUNCTION("""COMPUTED_VALUE"""),185154.0)</f>
        <v>185154</v>
      </c>
      <c r="G252" t="str">
        <f>IFERROR(__xludf.DUMMYFUNCTION("""COMPUTED_VALUE"""),"Nanderson Castro")</f>
        <v>Nanderson Castro</v>
      </c>
      <c r="H252" t="str">
        <f>IFERROR(__xludf.DUMMYFUNCTION("""COMPUTED_VALUE"""),"Instructor Request- Opted Out")</f>
        <v>Instructor Request- Opted Out</v>
      </c>
      <c r="I252" t="str">
        <f>IFERROR(__xludf.DUMMYFUNCTION("""COMPUTED_VALUE"""),"Development")</f>
        <v>Development</v>
      </c>
      <c r="J252" t="str">
        <f>IFERROR(__xludf.DUMMYFUNCTION("""COMPUTED_VALUE"""),"Web Development")</f>
        <v>Web Development</v>
      </c>
      <c r="K252" s="155">
        <f>IFERROR(__xludf.DUMMYFUNCTION("""COMPUTED_VALUE"""),1755282.0)</f>
        <v>1755282</v>
      </c>
      <c r="L252" s="140" t="str">
        <f>IFERROR(__xludf.DUMMYFUNCTION("""COMPUTED_VALUE"""),"Laravel 5.8 Completo - O mais poderoso Framework PHP")</f>
        <v>Laravel 5.8 Completo - O mais poderoso Framework PHP</v>
      </c>
      <c r="M252" s="155">
        <f>IFERROR(__xludf.DUMMYFUNCTION("""COMPUTED_VALUE"""),2214354.0)</f>
        <v>2214354</v>
      </c>
      <c r="N252" s="140" t="str">
        <f>IFERROR(__xludf.DUMMYFUNCTION("""COMPUTED_VALUE"""),"Criando REST API com Laravel 5.7")</f>
        <v>Criando REST API com Laravel 5.7</v>
      </c>
    </row>
    <row r="253">
      <c r="A253" s="143">
        <f>IFERROR(__xludf.DUMMYFUNCTION("""COMPUTED_VALUE"""),44286.0)</f>
        <v>44286</v>
      </c>
      <c r="B253">
        <f>IFERROR(__xludf.DUMMYFUNCTION("""COMPUTED_VALUE"""),1349548.0)</f>
        <v>1349548</v>
      </c>
      <c r="C253" t="str">
        <f>IFERROR(__xludf.DUMMYFUNCTION("""COMPUTED_VALUE"""),"pt")</f>
        <v>pt</v>
      </c>
      <c r="D253" t="str">
        <f>IFERROR(__xludf.DUMMYFUNCTION("""COMPUTED_VALUE"""),"Orientação a Objetos com PHP - Crie 5 Projetos Práticos")</f>
        <v>Orientação a Objetos com PHP - Crie 5 Projetos Práticos</v>
      </c>
      <c r="E253" t="str">
        <f>IFERROR(__xludf.DUMMYFUNCTION("""COMPUTED_VALUE"""),"Object Orientation with PHP - Create 5 Practical Projects")</f>
        <v>Object Orientation with PHP - Create 5 Practical Projects</v>
      </c>
      <c r="F253">
        <f>IFERROR(__xludf.DUMMYFUNCTION("""COMPUTED_VALUE"""),185154.0)</f>
        <v>185154</v>
      </c>
      <c r="G253" t="str">
        <f>IFERROR(__xludf.DUMMYFUNCTION("""COMPUTED_VALUE"""),"Nanderson Castro")</f>
        <v>Nanderson Castro</v>
      </c>
      <c r="H253" t="str">
        <f>IFERROR(__xludf.DUMMYFUNCTION("""COMPUTED_VALUE"""),"Instructor Request- Opted Out")</f>
        <v>Instructor Request- Opted Out</v>
      </c>
      <c r="I253" t="str">
        <f>IFERROR(__xludf.DUMMYFUNCTION("""COMPUTED_VALUE"""),"Development")</f>
        <v>Development</v>
      </c>
      <c r="J253" t="str">
        <f>IFERROR(__xludf.DUMMYFUNCTION("""COMPUTED_VALUE"""),"Web Development")</f>
        <v>Web Development</v>
      </c>
      <c r="K253" s="155">
        <f>IFERROR(__xludf.DUMMYFUNCTION("""COMPUTED_VALUE"""),1121284.0)</f>
        <v>1121284</v>
      </c>
      <c r="L253" s="140" t="str">
        <f>IFERROR(__xludf.DUMMYFUNCTION("""COMPUTED_VALUE"""),"C# COMPLETO Programação Orientada a Objetos + Projetos")</f>
        <v>C# COMPLETO Programação Orientada a Objetos + Projetos</v>
      </c>
      <c r="N253" s="140" t="str">
        <f>IFERROR(__xludf.DUMMYFUNCTION("""COMPUTED_VALUE"""),"")</f>
        <v/>
      </c>
    </row>
    <row r="254">
      <c r="A254" s="143">
        <f>IFERROR(__xludf.DUMMYFUNCTION("""COMPUTED_VALUE"""),44286.0)</f>
        <v>44286</v>
      </c>
      <c r="B254">
        <f>IFERROR(__xludf.DUMMYFUNCTION("""COMPUTED_VALUE"""),1477828.0)</f>
        <v>1477828</v>
      </c>
      <c r="C254" t="str">
        <f>IFERROR(__xludf.DUMMYFUNCTION("""COMPUTED_VALUE"""),"de")</f>
        <v>de</v>
      </c>
      <c r="D254" t="str">
        <f>IFERROR(__xludf.DUMMYFUNCTION("""COMPUTED_VALUE"""),"Filmen mit dem Smartphone")</f>
        <v>Filmen mit dem Smartphone</v>
      </c>
      <c r="E254" t="str">
        <f>IFERROR(__xludf.DUMMYFUNCTION("""COMPUTED_VALUE"""),"Movies with the smartphone")</f>
        <v>Movies with the smartphone</v>
      </c>
      <c r="F254">
        <f>IFERROR(__xludf.DUMMYFUNCTION("""COMPUTED_VALUE"""),4.1207812E7)</f>
        <v>41207812</v>
      </c>
      <c r="G254" t="str">
        <f>IFERROR(__xludf.DUMMYFUNCTION("""COMPUTED_VALUE"""),"Francis Rafal")</f>
        <v>Francis Rafal</v>
      </c>
      <c r="H254" t="str">
        <f>IFERROR(__xludf.DUMMYFUNCTION("""COMPUTED_VALUE"""),"Instructor Request- Opted Out")</f>
        <v>Instructor Request- Opted Out</v>
      </c>
      <c r="I254" t="str">
        <f>IFERROR(__xludf.DUMMYFUNCTION("""COMPUTED_VALUE"""),"Personal Development")</f>
        <v>Personal Development</v>
      </c>
      <c r="J254" t="str">
        <f>IFERROR(__xludf.DUMMYFUNCTION("""COMPUTED_VALUE"""),"Arts &amp; Creativity")</f>
        <v>Arts &amp; Creativity</v>
      </c>
      <c r="K254" s="155">
        <f>IFERROR(__xludf.DUMMYFUNCTION("""COMPUTED_VALUE"""),819560.0)</f>
        <v>819560</v>
      </c>
      <c r="L254" s="140" t="str">
        <f>IFERROR(__xludf.DUMMYFUNCTION("""COMPUTED_VALUE"""),"Professionelle Video-Produktion mit Smartphone und Kamera")</f>
        <v>Professionelle Video-Produktion mit Smartphone und Kamera</v>
      </c>
      <c r="N254" s="140" t="str">
        <f>IFERROR(__xludf.DUMMYFUNCTION("""COMPUTED_VALUE"""),"")</f>
        <v/>
      </c>
    </row>
    <row r="255">
      <c r="A255" s="143">
        <f>IFERROR(__xludf.DUMMYFUNCTION("""COMPUTED_VALUE"""),44286.0)</f>
        <v>44286</v>
      </c>
      <c r="B255">
        <f>IFERROR(__xludf.DUMMYFUNCTION("""COMPUTED_VALUE"""),2760888.0)</f>
        <v>2760888</v>
      </c>
      <c r="C255" t="str">
        <f>IFERROR(__xludf.DUMMYFUNCTION("""COMPUTED_VALUE"""),"fr")</f>
        <v>fr</v>
      </c>
      <c r="D255" t="str">
        <f>IFERROR(__xludf.DUMMYFUNCTION("""COMPUTED_VALUE"""),"L'essentiel du hacking éthique par la Pentest School")</f>
        <v>L'essentiel du hacking éthique par la Pentest School</v>
      </c>
      <c r="E255" t="str">
        <f>IFERROR(__xludf.DUMMYFUNCTION("""COMPUTED_VALUE"""),"Most of the ethical hacking by the Pentst School")</f>
        <v>Most of the ethical hacking by the Pentst School</v>
      </c>
      <c r="F255">
        <f>IFERROR(__xludf.DUMMYFUNCTION("""COMPUTED_VALUE"""),8.3105276E7)</f>
        <v>83105276</v>
      </c>
      <c r="G255" t="str">
        <f>IFERROR(__xludf.DUMMYFUNCTION("""COMPUTED_VALUE"""),"Pentest School")</f>
        <v>Pentest School</v>
      </c>
      <c r="H255" t="str">
        <f>IFERROR(__xludf.DUMMYFUNCTION("""COMPUTED_VALUE"""),"Instructor Request- Opted Out")</f>
        <v>Instructor Request- Opted Out</v>
      </c>
      <c r="I255" t="str">
        <f>IFERROR(__xludf.DUMMYFUNCTION("""COMPUTED_VALUE"""),"IT Operations")</f>
        <v>IT Operations</v>
      </c>
      <c r="J255" t="str">
        <f>IFERROR(__xludf.DUMMYFUNCTION("""COMPUTED_VALUE"""),"Network &amp; Security")</f>
        <v>Network &amp; Security</v>
      </c>
      <c r="L255" s="140" t="str">
        <f>IFERROR(__xludf.DUMMYFUNCTION("""COMPUTED_VALUE"""),"")</f>
        <v/>
      </c>
      <c r="N255" s="140" t="str">
        <f>IFERROR(__xludf.DUMMYFUNCTION("""COMPUTED_VALUE"""),"")</f>
        <v/>
      </c>
      <c r="O255" s="140" t="str">
        <f>IFERROR(__xludf.DUMMYFUNCTION("""COMPUTED_VALUE"""),"No Alternatives in Collection - 11/4")</f>
        <v>No Alternatives in Collection - 11/4</v>
      </c>
    </row>
    <row r="256">
      <c r="A256" s="143">
        <f>IFERROR(__xludf.DUMMYFUNCTION("""COMPUTED_VALUE"""),44286.0)</f>
        <v>44286</v>
      </c>
      <c r="B256">
        <f>IFERROR(__xludf.DUMMYFUNCTION("""COMPUTED_VALUE"""),2440686.0)</f>
        <v>2440686</v>
      </c>
      <c r="C256" t="str">
        <f>IFERROR(__xludf.DUMMYFUNCTION("""COMPUTED_VALUE"""),"en")</f>
        <v>en</v>
      </c>
      <c r="D256" t="str">
        <f>IFERROR(__xludf.DUMMYFUNCTION("""COMPUTED_VALUE"""),"Dynamo Player on Autodesk Revit for Quantity Takeoff")</f>
        <v>Dynamo Player on Autodesk Revit for Quantity Takeoff</v>
      </c>
      <c r="E256" t="str">
        <f>IFERROR(__xludf.DUMMYFUNCTION("""COMPUTED_VALUE"""),"Dynamo Player on Autodesk Revit for Quantity Takeoff")</f>
        <v>Dynamo Player on Autodesk Revit for Quantity Takeoff</v>
      </c>
      <c r="F256">
        <f>IFERROR(__xludf.DUMMYFUNCTION("""COMPUTED_VALUE"""),1.2822234E7)</f>
        <v>12822234</v>
      </c>
      <c r="G256" t="str">
        <f>IFERROR(__xludf.DUMMYFUNCTION("""COMPUTED_VALUE"""),"Enrique Galicia")</f>
        <v>Enrique Galicia</v>
      </c>
      <c r="H256" t="str">
        <f>IFERROR(__xludf.DUMMYFUNCTION("""COMPUTED_VALUE"""),"Instructor Request- Opted Out")</f>
        <v>Instructor Request- Opted Out</v>
      </c>
      <c r="I256" t="str">
        <f>IFERROR(__xludf.DUMMYFUNCTION("""COMPUTED_VALUE"""),"Design")</f>
        <v>Design</v>
      </c>
      <c r="J256" t="str">
        <f>IFERROR(__xludf.DUMMYFUNCTION("""COMPUTED_VALUE"""),"Design Tools")</f>
        <v>Design Tools</v>
      </c>
      <c r="L256" s="140" t="str">
        <f>IFERROR(__xludf.DUMMYFUNCTION("""COMPUTED_VALUE"""),"")</f>
        <v/>
      </c>
      <c r="N256" s="140" t="str">
        <f>IFERROR(__xludf.DUMMYFUNCTION("""COMPUTED_VALUE"""),"")</f>
        <v/>
      </c>
      <c r="O256" s="140" t="str">
        <f>IFERROR(__xludf.DUMMYFUNCTION("""COMPUTED_VALUE"""),"No Alternatives in Collection - 11/4")</f>
        <v>No Alternatives in Collection - 11/4</v>
      </c>
    </row>
    <row r="257">
      <c r="A257" s="143">
        <f>IFERROR(__xludf.DUMMYFUNCTION("""COMPUTED_VALUE"""),44286.0)</f>
        <v>44286</v>
      </c>
      <c r="B257">
        <f>IFERROR(__xludf.DUMMYFUNCTION("""COMPUTED_VALUE"""),944014.0)</f>
        <v>944014</v>
      </c>
      <c r="C257" t="str">
        <f>IFERROR(__xludf.DUMMYFUNCTION("""COMPUTED_VALUE"""),"en")</f>
        <v>en</v>
      </c>
      <c r="D257" t="str">
        <f>IFERROR(__xludf.DUMMYFUNCTION("""COMPUTED_VALUE"""),"Data Science: Supervised Machine Learning in Python")</f>
        <v>Data Science: Supervised Machine Learning in Python</v>
      </c>
      <c r="E257" t="str">
        <f>IFERROR(__xludf.DUMMYFUNCTION("""COMPUTED_VALUE"""),"Data Science: Supervised Machine Learning in Python")</f>
        <v>Data Science: Supervised Machine Learning in Python</v>
      </c>
      <c r="F257">
        <f>IFERROR(__xludf.DUMMYFUNCTION("""COMPUTED_VALUE"""),7.539175E7)</f>
        <v>75391750</v>
      </c>
      <c r="G257" t="str">
        <f>IFERROR(__xludf.DUMMYFUNCTION("""COMPUTED_VALUE"""),"Lazy Programmer Team")</f>
        <v>Lazy Programmer Team</v>
      </c>
      <c r="H257" t="str">
        <f>IFERROR(__xludf.DUMMYFUNCTION("""COMPUTED_VALUE"""),"Instructor Request- Opted Out")</f>
        <v>Instructor Request- Opted Out</v>
      </c>
      <c r="I257" t="str">
        <f>IFERROR(__xludf.DUMMYFUNCTION("""COMPUTED_VALUE"""),"Data Science")</f>
        <v>Data Science</v>
      </c>
      <c r="J257" t="str">
        <f>IFERROR(__xludf.DUMMYFUNCTION("""COMPUTED_VALUE"""),"Machine Learning")</f>
        <v>Machine Learning</v>
      </c>
      <c r="K257" s="155">
        <f>IFERROR(__xludf.DUMMYFUNCTION("""COMPUTED_VALUE"""),903744.0)</f>
        <v>903744</v>
      </c>
      <c r="L257" s="140" t="str">
        <f>IFERROR(__xludf.DUMMYFUNCTION("""COMPUTED_VALUE"""),"Python for Data Science and Machine Learning Bootcamp")</f>
        <v>Python for Data Science and Machine Learning Bootcamp</v>
      </c>
      <c r="M257" s="155">
        <f>IFERROR(__xludf.DUMMYFUNCTION("""COMPUTED_VALUE"""),950390.0)</f>
        <v>950390</v>
      </c>
      <c r="N257" s="140" t="str">
        <f>IFERROR(__xludf.DUMMYFUNCTION("""COMPUTED_VALUE"""),"Machine Learning A-Z™: Hands-On Python &amp; R In Data Science")</f>
        <v>Machine Learning A-Z™: Hands-On Python &amp; R In Data Science</v>
      </c>
    </row>
    <row r="258">
      <c r="A258" s="143">
        <f>IFERROR(__xludf.DUMMYFUNCTION("""COMPUTED_VALUE"""),44286.0)</f>
        <v>44286</v>
      </c>
      <c r="B258">
        <f>IFERROR(__xludf.DUMMYFUNCTION("""COMPUTED_VALUE"""),846480.0)</f>
        <v>846480</v>
      </c>
      <c r="C258" t="str">
        <f>IFERROR(__xludf.DUMMYFUNCTION("""COMPUTED_VALUE"""),"en")</f>
        <v>en</v>
      </c>
      <c r="D258" t="str">
        <f>IFERROR(__xludf.DUMMYFUNCTION("""COMPUTED_VALUE"""),"Unsupervised Deep Learning in Python")</f>
        <v>Unsupervised Deep Learning in Python</v>
      </c>
      <c r="E258" t="str">
        <f>IFERROR(__xludf.DUMMYFUNCTION("""COMPUTED_VALUE"""),"Unsupervised Deep Learning in Python")</f>
        <v>Unsupervised Deep Learning in Python</v>
      </c>
      <c r="F258">
        <f>IFERROR(__xludf.DUMMYFUNCTION("""COMPUTED_VALUE"""),7.539175E7)</f>
        <v>75391750</v>
      </c>
      <c r="G258" t="str">
        <f>IFERROR(__xludf.DUMMYFUNCTION("""COMPUTED_VALUE"""),"Lazy Programmer Team")</f>
        <v>Lazy Programmer Team</v>
      </c>
      <c r="H258" t="str">
        <f>IFERROR(__xludf.DUMMYFUNCTION("""COMPUTED_VALUE"""),"Instructor Request- Opted Out")</f>
        <v>Instructor Request- Opted Out</v>
      </c>
      <c r="I258" t="str">
        <f>IFERROR(__xludf.DUMMYFUNCTION("""COMPUTED_VALUE"""),"Data Science")</f>
        <v>Data Science</v>
      </c>
      <c r="J258" t="str">
        <f>IFERROR(__xludf.DUMMYFUNCTION("""COMPUTED_VALUE"""),"Machine Learning")</f>
        <v>Machine Learning</v>
      </c>
      <c r="K258" s="155">
        <f>IFERROR(__xludf.DUMMYFUNCTION("""COMPUTED_VALUE"""),671576.0)</f>
        <v>671576</v>
      </c>
      <c r="L258" s="140" t="str">
        <f>IFERROR(__xludf.DUMMYFUNCTION("""COMPUTED_VALUE"""),"Machine Learning, Data Science and Deep Learning with Python")</f>
        <v>Machine Learning, Data Science and Deep Learning with Python</v>
      </c>
      <c r="M258" s="155">
        <f>IFERROR(__xludf.DUMMYFUNCTION("""COMPUTED_VALUE"""),903744.0)</f>
        <v>903744</v>
      </c>
      <c r="N258" s="140" t="str">
        <f>IFERROR(__xludf.DUMMYFUNCTION("""COMPUTED_VALUE"""),"Python for Data Science and Machine Learning Bootcamp")</f>
        <v>Python for Data Science and Machine Learning Bootcamp</v>
      </c>
    </row>
    <row r="259">
      <c r="A259" s="143">
        <f>IFERROR(__xludf.DUMMYFUNCTION("""COMPUTED_VALUE"""),44286.0)</f>
        <v>44286</v>
      </c>
      <c r="B259">
        <f>IFERROR(__xludf.DUMMYFUNCTION("""COMPUTED_VALUE"""),1041564.0)</f>
        <v>1041564</v>
      </c>
      <c r="C259" t="str">
        <f>IFERROR(__xludf.DUMMYFUNCTION("""COMPUTED_VALUE"""),"en")</f>
        <v>en</v>
      </c>
      <c r="D259" t="str">
        <f>IFERROR(__xludf.DUMMYFUNCTION("""COMPUTED_VALUE"""),"Ensemble Machine Learning in Python: Random Forest, AdaBoost")</f>
        <v>Ensemble Machine Learning in Python: Random Forest, AdaBoost</v>
      </c>
      <c r="E259" t="str">
        <f>IFERROR(__xludf.DUMMYFUNCTION("""COMPUTED_VALUE"""),"Ensemble Machine Learning in Python: Random Forest, AdaBoost")</f>
        <v>Ensemble Machine Learning in Python: Random Forest, AdaBoost</v>
      </c>
      <c r="F259">
        <f>IFERROR(__xludf.DUMMYFUNCTION("""COMPUTED_VALUE"""),7.539175E7)</f>
        <v>75391750</v>
      </c>
      <c r="G259" t="str">
        <f>IFERROR(__xludf.DUMMYFUNCTION("""COMPUTED_VALUE"""),"Lazy Programmer Team")</f>
        <v>Lazy Programmer Team</v>
      </c>
      <c r="H259" t="str">
        <f>IFERROR(__xludf.DUMMYFUNCTION("""COMPUTED_VALUE"""),"Instructor Request- Opted Out")</f>
        <v>Instructor Request- Opted Out</v>
      </c>
      <c r="I259" t="str">
        <f>IFERROR(__xludf.DUMMYFUNCTION("""COMPUTED_VALUE"""),"Data Science")</f>
        <v>Data Science</v>
      </c>
      <c r="J259" t="str">
        <f>IFERROR(__xludf.DUMMYFUNCTION("""COMPUTED_VALUE"""),"Machine Learning")</f>
        <v>Machine Learning</v>
      </c>
      <c r="K259" s="155">
        <f>IFERROR(__xludf.DUMMYFUNCTION("""COMPUTED_VALUE"""),950390.0)</f>
        <v>950390</v>
      </c>
      <c r="L259" s="140" t="str">
        <f>IFERROR(__xludf.DUMMYFUNCTION("""COMPUTED_VALUE"""),"Machine Learning A-Z™: Hands-On Python &amp; R In Data Science")</f>
        <v>Machine Learning A-Z™: Hands-On Python &amp; R In Data Science</v>
      </c>
      <c r="M259" s="155">
        <f>IFERROR(__xludf.DUMMYFUNCTION("""COMPUTED_VALUE"""),903744.0)</f>
        <v>903744</v>
      </c>
      <c r="N259" s="140" t="str">
        <f>IFERROR(__xludf.DUMMYFUNCTION("""COMPUTED_VALUE"""),"Python for Data Science and Machine Learning Bootcamp")</f>
        <v>Python for Data Science and Machine Learning Bootcamp</v>
      </c>
    </row>
    <row r="260">
      <c r="A260" s="143">
        <f>IFERROR(__xludf.DUMMYFUNCTION("""COMPUTED_VALUE"""),44286.0)</f>
        <v>44286</v>
      </c>
      <c r="B260">
        <f>IFERROR(__xludf.DUMMYFUNCTION("""COMPUTED_VALUE"""),2846712.0)</f>
        <v>2846712</v>
      </c>
      <c r="C260" t="str">
        <f>IFERROR(__xludf.DUMMYFUNCTION("""COMPUTED_VALUE"""),"pt")</f>
        <v>pt</v>
      </c>
      <c r="D260" t="str">
        <f>IFERROR(__xludf.DUMMYFUNCTION("""COMPUTED_VALUE"""),"Swift - TDD, Clean Architecture, Design Patterns, SOLID, MVP")</f>
        <v>Swift - TDD, Clean Architecture, Design Patterns, SOLID, MVP</v>
      </c>
      <c r="E260" t="str">
        <f>IFERROR(__xludf.DUMMYFUNCTION("""COMPUTED_VALUE"""),"Swift - TDD, Clean Architecture, Design Patterns, SOLID, MVP")</f>
        <v>Swift - TDD, Clean Architecture, Design Patterns, SOLID, MVP</v>
      </c>
      <c r="F260">
        <f>IFERROR(__xludf.DUMMYFUNCTION("""COMPUTED_VALUE"""),1.5262502E7)</f>
        <v>15262502</v>
      </c>
      <c r="G260" t="str">
        <f>IFERROR(__xludf.DUMMYFUNCTION("""COMPUTED_VALUE"""),"Rodrigo Manguinho")</f>
        <v>Rodrigo Manguinho</v>
      </c>
      <c r="H260" t="str">
        <f>IFERROR(__xludf.DUMMYFUNCTION("""COMPUTED_VALUE"""),"Instructor Request- No Detail")</f>
        <v>Instructor Request- No Detail</v>
      </c>
      <c r="I260" t="str">
        <f>IFERROR(__xludf.DUMMYFUNCTION("""COMPUTED_VALUE"""),"Development")</f>
        <v>Development</v>
      </c>
      <c r="J260" t="str">
        <f>IFERROR(__xludf.DUMMYFUNCTION("""COMPUTED_VALUE"""),"Mobile Development")</f>
        <v>Mobile Development</v>
      </c>
      <c r="K260" s="155">
        <f>IFERROR(__xludf.DUMMYFUNCTION("""COMPUTED_VALUE"""),1277248.0)</f>
        <v>1277248</v>
      </c>
      <c r="L260" s="140" t="str">
        <f>IFERROR(__xludf.DUMMYFUNCTION("""COMPUTED_VALUE"""),"Desenvolvimento Android - Crie 13 apps completos e modernos")</f>
        <v>Desenvolvimento Android - Crie 13 apps completos e modernos</v>
      </c>
      <c r="N260" s="140" t="str">
        <f>IFERROR(__xludf.DUMMYFUNCTION("""COMPUTED_VALUE"""),"")</f>
        <v/>
      </c>
    </row>
    <row r="261">
      <c r="A261" s="143">
        <f>IFERROR(__xludf.DUMMYFUNCTION("""COMPUTED_VALUE"""),44286.0)</f>
        <v>44286</v>
      </c>
      <c r="B261">
        <f>IFERROR(__xludf.DUMMYFUNCTION("""COMPUTED_VALUE"""),3093558.0)</f>
        <v>3093558</v>
      </c>
      <c r="C261" t="str">
        <f>IFERROR(__xludf.DUMMYFUNCTION("""COMPUTED_VALUE"""),"pt")</f>
        <v>pt</v>
      </c>
      <c r="D261" t="str">
        <f>IFERROR(__xludf.DUMMYFUNCTION("""COMPUTED_VALUE"""),"ReactJS, Hooks, Recoil, TDD, Clean Architecture, SOLID")</f>
        <v>ReactJS, Hooks, Recoil, TDD, Clean Architecture, SOLID</v>
      </c>
      <c r="E261" t="str">
        <f>IFERROR(__xludf.DUMMYFUNCTION("""COMPUTED_VALUE"""),"ReactJS, Hooks, Recoil, TDD, Clean Architecture, SOLID")</f>
        <v>ReactJS, Hooks, Recoil, TDD, Clean Architecture, SOLID</v>
      </c>
      <c r="F261">
        <f>IFERROR(__xludf.DUMMYFUNCTION("""COMPUTED_VALUE"""),1.5262502E7)</f>
        <v>15262502</v>
      </c>
      <c r="G261" t="str">
        <f>IFERROR(__xludf.DUMMYFUNCTION("""COMPUTED_VALUE"""),"Rodrigo Manguinho")</f>
        <v>Rodrigo Manguinho</v>
      </c>
      <c r="H261" t="str">
        <f>IFERROR(__xludf.DUMMYFUNCTION("""COMPUTED_VALUE"""),"Instructor Request- No Detail")</f>
        <v>Instructor Request- No Detail</v>
      </c>
      <c r="I261" t="str">
        <f>IFERROR(__xludf.DUMMYFUNCTION("""COMPUTED_VALUE"""),"Development")</f>
        <v>Development</v>
      </c>
      <c r="J261" t="str">
        <f>IFERROR(__xludf.DUMMYFUNCTION("""COMPUTED_VALUE"""),"Software Engineering")</f>
        <v>Software Engineering</v>
      </c>
      <c r="K261" s="155">
        <f>IFERROR(__xludf.DUMMYFUNCTION("""COMPUTED_VALUE"""),2633022.0)</f>
        <v>2633022</v>
      </c>
      <c r="L261" s="140" t="str">
        <f>IFERROR(__xludf.DUMMYFUNCTION("""COMPUTED_VALUE"""),"Design de API's RestFul com Spring Boot, TDD e o novo JUnit5")</f>
        <v>Design de API's RestFul com Spring Boot, TDD e o novo JUnit5</v>
      </c>
      <c r="N261" s="140" t="str">
        <f>IFERROR(__xludf.DUMMYFUNCTION("""COMPUTED_VALUE"""),"")</f>
        <v/>
      </c>
    </row>
    <row r="262">
      <c r="A262" s="143">
        <f>IFERROR(__xludf.DUMMYFUNCTION("""COMPUTED_VALUE"""),44286.0)</f>
        <v>44286</v>
      </c>
      <c r="B262">
        <f>IFERROR(__xludf.DUMMYFUNCTION("""COMPUTED_VALUE"""),2702376.0)</f>
        <v>2702376</v>
      </c>
      <c r="C262" t="str">
        <f>IFERROR(__xludf.DUMMYFUNCTION("""COMPUTED_VALUE"""),"pt")</f>
        <v>pt</v>
      </c>
      <c r="D262" t="str">
        <f>IFERROR(__xludf.DUMMYFUNCTION("""COMPUTED_VALUE"""),"NodeJs, Typescript, TDD, DDD, Clean Architecture e SOLID")</f>
        <v>NodeJs, Typescript, TDD, DDD, Clean Architecture e SOLID</v>
      </c>
      <c r="E262" t="str">
        <f>IFERROR(__xludf.DUMMYFUNCTION("""COMPUTED_VALUE"""),"NodeJs, Typescript, TDD, DDD, Clean Architecture e SOLID")</f>
        <v>NodeJs, Typescript, TDD, DDD, Clean Architecture e SOLID</v>
      </c>
      <c r="F262">
        <f>IFERROR(__xludf.DUMMYFUNCTION("""COMPUTED_VALUE"""),1.5262502E7)</f>
        <v>15262502</v>
      </c>
      <c r="G262" t="str">
        <f>IFERROR(__xludf.DUMMYFUNCTION("""COMPUTED_VALUE"""),"Rodrigo Manguinho")</f>
        <v>Rodrigo Manguinho</v>
      </c>
      <c r="H262" t="str">
        <f>IFERROR(__xludf.DUMMYFUNCTION("""COMPUTED_VALUE"""),"Instructor Request- No Detail")</f>
        <v>Instructor Request- No Detail</v>
      </c>
      <c r="I262" t="str">
        <f>IFERROR(__xludf.DUMMYFUNCTION("""COMPUTED_VALUE"""),"Development")</f>
        <v>Development</v>
      </c>
      <c r="J262" t="str">
        <f>IFERROR(__xludf.DUMMYFUNCTION("""COMPUTED_VALUE"""),"Software Engineering")</f>
        <v>Software Engineering</v>
      </c>
      <c r="K262" s="155">
        <f>IFERROR(__xludf.DUMMYFUNCTION("""COMPUTED_VALUE"""),2633022.0)</f>
        <v>2633022</v>
      </c>
      <c r="L262" s="140" t="str">
        <f>IFERROR(__xludf.DUMMYFUNCTION("""COMPUTED_VALUE"""),"Design de API's RestFul com Spring Boot, TDD e o novo JUnit5")</f>
        <v>Design de API's RestFul com Spring Boot, TDD e o novo JUnit5</v>
      </c>
      <c r="N262" s="140" t="str">
        <f>IFERROR(__xludf.DUMMYFUNCTION("""COMPUTED_VALUE"""),"")</f>
        <v/>
      </c>
    </row>
    <row r="263">
      <c r="A263" s="143">
        <f>IFERROR(__xludf.DUMMYFUNCTION("""COMPUTED_VALUE"""),44286.0)</f>
        <v>44286</v>
      </c>
      <c r="B263">
        <f>IFERROR(__xludf.DUMMYFUNCTION("""COMPUTED_VALUE"""),2865598.0)</f>
        <v>2865598</v>
      </c>
      <c r="C263" t="str">
        <f>IFERROR(__xludf.DUMMYFUNCTION("""COMPUTED_VALUE"""),"en")</f>
        <v>en</v>
      </c>
      <c r="D263" t="str">
        <f>IFERROR(__xludf.DUMMYFUNCTION("""COMPUTED_VALUE"""),"Marketing Cloud Intro")</f>
        <v>Marketing Cloud Intro</v>
      </c>
      <c r="E263" t="str">
        <f>IFERROR(__xludf.DUMMYFUNCTION("""COMPUTED_VALUE"""),"Marketing Cloud Intro")</f>
        <v>Marketing Cloud Intro</v>
      </c>
      <c r="F263">
        <f>IFERROR(__xludf.DUMMYFUNCTION("""COMPUTED_VALUE"""),3.234399E7)</f>
        <v>32343990</v>
      </c>
      <c r="G263" t="str">
        <f>IFERROR(__xludf.DUMMYFUNCTION("""COMPUTED_VALUE"""),"Kaelan Moss")</f>
        <v>Kaelan Moss</v>
      </c>
      <c r="H263" t="str">
        <f>IFERROR(__xludf.DUMMYFUNCTION("""COMPUTED_VALUE"""),"Instructor Request- No Detail")</f>
        <v>Instructor Request- No Detail</v>
      </c>
      <c r="I263" t="str">
        <f>IFERROR(__xludf.DUMMYFUNCTION("""COMPUTED_VALUE"""),"Cloud Computing")</f>
        <v>Cloud Computing</v>
      </c>
      <c r="J263" t="str">
        <f>IFERROR(__xludf.DUMMYFUNCTION("""COMPUTED_VALUE"""),"Cloud Certification")</f>
        <v>Cloud Certification</v>
      </c>
      <c r="K263" s="155">
        <f>IFERROR(__xludf.DUMMYFUNCTION("""COMPUTED_VALUE"""),2167462.0)</f>
        <v>2167462</v>
      </c>
      <c r="L263" s="140" t="str">
        <f>IFERROR(__xludf.DUMMYFUNCTION("""COMPUTED_VALUE"""),"Salesforce Marketing Cloud Email Specialist Practice Tests")</f>
        <v>Salesforce Marketing Cloud Email Specialist Practice Tests</v>
      </c>
      <c r="N263" s="140" t="str">
        <f>IFERROR(__xludf.DUMMYFUNCTION("""COMPUTED_VALUE"""),"")</f>
        <v/>
      </c>
    </row>
    <row r="264">
      <c r="A264" s="143">
        <f>IFERROR(__xludf.DUMMYFUNCTION("""COMPUTED_VALUE"""),44286.0)</f>
        <v>44286</v>
      </c>
      <c r="B264">
        <f>IFERROR(__xludf.DUMMYFUNCTION("""COMPUTED_VALUE"""),3040786.0)</f>
        <v>3040786</v>
      </c>
      <c r="C264" t="str">
        <f>IFERROR(__xludf.DUMMYFUNCTION("""COMPUTED_VALUE"""),"en")</f>
        <v>en</v>
      </c>
      <c r="D264" t="str">
        <f>IFERROR(__xludf.DUMMYFUNCTION("""COMPUTED_VALUE"""),"Which ASP.NET Core")</f>
        <v>Which ASP.NET Core</v>
      </c>
      <c r="E264" t="str">
        <f>IFERROR(__xludf.DUMMYFUNCTION("""COMPUTED_VALUE"""),"Which ASP.NET Core")</f>
        <v>Which ASP.NET Core</v>
      </c>
      <c r="F264">
        <f>IFERROR(__xludf.DUMMYFUNCTION("""COMPUTED_VALUE"""),6238326.0)</f>
        <v>6238326</v>
      </c>
      <c r="G264" t="str">
        <f>IFERROR(__xludf.DUMMYFUNCTION("""COMPUTED_VALUE"""),"Timothy Corey")</f>
        <v>Timothy Corey</v>
      </c>
      <c r="H264" t="str">
        <f>IFERROR(__xludf.DUMMYFUNCTION("""COMPUTED_VALUE"""),"Instructor Request- No Detail")</f>
        <v>Instructor Request- No Detail</v>
      </c>
      <c r="I264" t="str">
        <f>IFERROR(__xludf.DUMMYFUNCTION("""COMPUTED_VALUE"""),"Development")</f>
        <v>Development</v>
      </c>
      <c r="J264" t="str">
        <f>IFERROR(__xludf.DUMMYFUNCTION("""COMPUTED_VALUE"""),"Web Development")</f>
        <v>Web Development</v>
      </c>
      <c r="K264" s="155">
        <f>IFERROR(__xludf.DUMMYFUNCTION("""COMPUTED_VALUE"""),1455016.0)</f>
        <v>1455016</v>
      </c>
      <c r="L264" s="140" t="str">
        <f>IFERROR(__xludf.DUMMYFUNCTION("""COMPUTED_VALUE"""),"Build an app with ASPNET Core and Angular from scratch")</f>
        <v>Build an app with ASPNET Core and Angular from scratch</v>
      </c>
      <c r="M264" s="155">
        <f>IFERROR(__xludf.DUMMYFUNCTION("""COMPUTED_VALUE"""),3134552.0)</f>
        <v>3134552</v>
      </c>
      <c r="N264" s="140" t="str">
        <f>IFERROR(__xludf.DUMMYFUNCTION("""COMPUTED_VALUE"""),"Microservices Architecture and Implementation on .NET 5")</f>
        <v>Microservices Architecture and Implementation on .NET 5</v>
      </c>
    </row>
    <row r="265">
      <c r="A265" s="143">
        <f>IFERROR(__xludf.DUMMYFUNCTION("""COMPUTED_VALUE"""),44286.0)</f>
        <v>44286</v>
      </c>
      <c r="B265">
        <f>IFERROR(__xludf.DUMMYFUNCTION("""COMPUTED_VALUE"""),1343872.0)</f>
        <v>1343872</v>
      </c>
      <c r="C265" t="str">
        <f>IFERROR(__xludf.DUMMYFUNCTION("""COMPUTED_VALUE"""),"pt")</f>
        <v>pt</v>
      </c>
      <c r="D265" t="str">
        <f>IFERROR(__xludf.DUMMYFUNCTION("""COMPUTED_VALUE"""),"CSS Grid: o sistema definitivo de layouts")</f>
        <v>CSS Grid: o sistema definitivo de layouts</v>
      </c>
      <c r="E265" t="str">
        <f>IFERROR(__xludf.DUMMYFUNCTION("""COMPUTED_VALUE"""),"CSS Grid: The definitive layouts system")</f>
        <v>CSS Grid: The definitive layouts system</v>
      </c>
      <c r="F265">
        <f>IFERROR(__xludf.DUMMYFUNCTION("""COMPUTED_VALUE"""),3.112457E7)</f>
        <v>31124570</v>
      </c>
      <c r="G265" t="str">
        <f>IFERROR(__xludf.DUMMYFUNCTION("""COMPUTED_VALUE"""),"Tárcio Zemel")</f>
        <v>Tárcio Zemel</v>
      </c>
      <c r="H265" t="str">
        <f>IFERROR(__xludf.DUMMYFUNCTION("""COMPUTED_VALUE"""),"Instructor Request- Opted Out")</f>
        <v>Instructor Request- Opted Out</v>
      </c>
      <c r="I265" t="str">
        <f>IFERROR(__xludf.DUMMYFUNCTION("""COMPUTED_VALUE"""),"Development")</f>
        <v>Development</v>
      </c>
      <c r="J265" t="str">
        <f>IFERROR(__xludf.DUMMYFUNCTION("""COMPUTED_VALUE"""),"Web Development")</f>
        <v>Web Development</v>
      </c>
      <c r="K265" s="155">
        <f>IFERROR(__xludf.DUMMYFUNCTION("""COMPUTED_VALUE"""),1616938.0)</f>
        <v>1616938</v>
      </c>
      <c r="L265" s="140" t="str">
        <f>IFERROR(__xludf.DUMMYFUNCTION("""COMPUTED_VALUE"""),"Curso Web Design Completo: HTML5, CSS3 e JS + 5 Projetos")</f>
        <v>Curso Web Design Completo: HTML5, CSS3 e JS + 5 Projetos</v>
      </c>
      <c r="N265" s="140" t="str">
        <f>IFERROR(__xludf.DUMMYFUNCTION("""COMPUTED_VALUE"""),"")</f>
        <v/>
      </c>
    </row>
    <row r="266">
      <c r="A266" s="143">
        <f>IFERROR(__xludf.DUMMYFUNCTION("""COMPUTED_VALUE"""),44286.0)</f>
        <v>44286</v>
      </c>
      <c r="B266">
        <f>IFERROR(__xludf.DUMMYFUNCTION("""COMPUTED_VALUE"""),1176204.0)</f>
        <v>1176204</v>
      </c>
      <c r="C266" t="str">
        <f>IFERROR(__xludf.DUMMYFUNCTION("""COMPUTED_VALUE"""),"pt")</f>
        <v>pt</v>
      </c>
      <c r="D266" t="str">
        <f>IFERROR(__xludf.DUMMYFUNCTION("""COMPUTED_VALUE"""),"CSS: um passo adiante")</f>
        <v>CSS: um passo adiante</v>
      </c>
      <c r="E266" t="str">
        <f>IFERROR(__xludf.DUMMYFUNCTION("""COMPUTED_VALUE"""),"CSS: One step ahead")</f>
        <v>CSS: One step ahead</v>
      </c>
      <c r="F266">
        <f>IFERROR(__xludf.DUMMYFUNCTION("""COMPUTED_VALUE"""),3.112457E7)</f>
        <v>31124570</v>
      </c>
      <c r="G266" t="str">
        <f>IFERROR(__xludf.DUMMYFUNCTION("""COMPUTED_VALUE"""),"Tárcio Zemel")</f>
        <v>Tárcio Zemel</v>
      </c>
      <c r="H266" t="str">
        <f>IFERROR(__xludf.DUMMYFUNCTION("""COMPUTED_VALUE"""),"Instructor Request- Opted Out")</f>
        <v>Instructor Request- Opted Out</v>
      </c>
      <c r="I266" t="str">
        <f>IFERROR(__xludf.DUMMYFUNCTION("""COMPUTED_VALUE"""),"Development")</f>
        <v>Development</v>
      </c>
      <c r="J266" t="str">
        <f>IFERROR(__xludf.DUMMYFUNCTION("""COMPUTED_VALUE"""),"Web Development")</f>
        <v>Web Development</v>
      </c>
      <c r="K266" s="155">
        <f>IFERROR(__xludf.DUMMYFUNCTION("""COMPUTED_VALUE"""),1176204.0)</f>
        <v>1176204</v>
      </c>
      <c r="L266" s="140" t="str">
        <f>IFERROR(__xludf.DUMMYFUNCTION("""COMPUTED_VALUE"""),"CSS: um passo adiante")</f>
        <v>CSS: um passo adiante</v>
      </c>
      <c r="N266" s="140" t="str">
        <f>IFERROR(__xludf.DUMMYFUNCTION("""COMPUTED_VALUE"""),"")</f>
        <v/>
      </c>
    </row>
    <row r="267">
      <c r="A267" s="143">
        <f>IFERROR(__xludf.DUMMYFUNCTION("""COMPUTED_VALUE"""),44286.0)</f>
        <v>44286</v>
      </c>
      <c r="B267">
        <f>IFERROR(__xludf.DUMMYFUNCTION("""COMPUTED_VALUE"""),1458018.0)</f>
        <v>1458018</v>
      </c>
      <c r="C267" t="str">
        <f>IFERROR(__xludf.DUMMYFUNCTION("""COMPUTED_VALUE"""),"pt")</f>
        <v>pt</v>
      </c>
      <c r="D267" t="str">
        <f>IFERROR(__xludf.DUMMYFUNCTION("""COMPUTED_VALUE"""),"Flexbox: o guia completo")</f>
        <v>Flexbox: o guia completo</v>
      </c>
      <c r="E267" t="str">
        <f>IFERROR(__xludf.DUMMYFUNCTION("""COMPUTED_VALUE"""),"Flexbox: The Complete Guide")</f>
        <v>Flexbox: The Complete Guide</v>
      </c>
      <c r="F267">
        <f>IFERROR(__xludf.DUMMYFUNCTION("""COMPUTED_VALUE"""),3.112457E7)</f>
        <v>31124570</v>
      </c>
      <c r="G267" t="str">
        <f>IFERROR(__xludf.DUMMYFUNCTION("""COMPUTED_VALUE"""),"Tárcio Zemel")</f>
        <v>Tárcio Zemel</v>
      </c>
      <c r="H267" t="str">
        <f>IFERROR(__xludf.DUMMYFUNCTION("""COMPUTED_VALUE"""),"Instructor Request- Opted Out")</f>
        <v>Instructor Request- Opted Out</v>
      </c>
      <c r="I267" t="str">
        <f>IFERROR(__xludf.DUMMYFUNCTION("""COMPUTED_VALUE"""),"Development")</f>
        <v>Development</v>
      </c>
      <c r="J267" t="str">
        <f>IFERROR(__xludf.DUMMYFUNCTION("""COMPUTED_VALUE"""),"Web Development")</f>
        <v>Web Development</v>
      </c>
      <c r="K267" s="155">
        <f>IFERROR(__xludf.DUMMYFUNCTION("""COMPUTED_VALUE"""),2413902.0)</f>
        <v>2413902</v>
      </c>
      <c r="L267" s="140" t="str">
        <f>IFERROR(__xludf.DUMMYFUNCTION("""COMPUTED_VALUE"""),"HTML5 e CSS3: Técnicas Avançadas (Com Flexbox e 5 Projetos)")</f>
        <v>HTML5 e CSS3: Técnicas Avançadas (Com Flexbox e 5 Projetos)</v>
      </c>
      <c r="M267" s="155">
        <f>IFERROR(__xludf.DUMMYFUNCTION("""COMPUTED_VALUE"""),1341268.0)</f>
        <v>1341268</v>
      </c>
      <c r="N267" s="140" t="str">
        <f>IFERROR(__xludf.DUMMYFUNCTION("""COMPUTED_VALUE"""),"Desenvolvimento Web Completo 2021 - 20 cursos + 20 projetos")</f>
        <v>Desenvolvimento Web Completo 2021 - 20 cursos + 20 projetos</v>
      </c>
    </row>
    <row r="268">
      <c r="A268" s="143">
        <f>IFERROR(__xludf.DUMMYFUNCTION("""COMPUTED_VALUE"""),44286.0)</f>
        <v>44286</v>
      </c>
      <c r="B268">
        <f>IFERROR(__xludf.DUMMYFUNCTION("""COMPUTED_VALUE"""),2642432.0)</f>
        <v>2642432</v>
      </c>
      <c r="C268" t="str">
        <f>IFERROR(__xludf.DUMMYFUNCTION("""COMPUTED_VALUE"""),"en")</f>
        <v>en</v>
      </c>
      <c r="D268" t="str">
        <f>IFERROR(__xludf.DUMMYFUNCTION("""COMPUTED_VALUE"""),"Practical Ethical Hacking - The Complete Course")</f>
        <v>Practical Ethical Hacking - The Complete Course</v>
      </c>
      <c r="E268" t="str">
        <f>IFERROR(__xludf.DUMMYFUNCTION("""COMPUTED_VALUE"""),"Practical Ethical Hacking - The Complete Course")</f>
        <v>Practical Ethical Hacking - The Complete Course</v>
      </c>
      <c r="F268">
        <f>IFERROR(__xludf.DUMMYFUNCTION("""COMPUTED_VALUE"""),6.320797E7)</f>
        <v>63207970</v>
      </c>
      <c r="G268" t="str">
        <f>IFERROR(__xludf.DUMMYFUNCTION("""COMPUTED_VALUE"""),"Heath Adams")</f>
        <v>Heath Adams</v>
      </c>
      <c r="H268" t="str">
        <f>IFERROR(__xludf.DUMMYFUNCTION("""COMPUTED_VALUE"""),"Instructor Request- Opted Out")</f>
        <v>Instructor Request- Opted Out</v>
      </c>
      <c r="I268" t="str">
        <f>IFERROR(__xludf.DUMMYFUNCTION("""COMPUTED_VALUE"""),"IT Operations")</f>
        <v>IT Operations</v>
      </c>
      <c r="J268" t="str">
        <f>IFERROR(__xludf.DUMMYFUNCTION("""COMPUTED_VALUE"""),"Network &amp; Security")</f>
        <v>Network &amp; Security</v>
      </c>
      <c r="K268" s="155">
        <f>IFERROR(__xludf.DUMMYFUNCTION("""COMPUTED_VALUE"""),857010.0)</f>
        <v>857010</v>
      </c>
      <c r="L268" s="140" t="str">
        <f>IFERROR(__xludf.DUMMYFUNCTION("""COMPUTED_VALUE"""),"Learn Ethical Hacking From Scratch")</f>
        <v>Learn Ethical Hacking From Scratch</v>
      </c>
      <c r="M268" s="155">
        <f>IFERROR(__xludf.DUMMYFUNCTION("""COMPUTED_VALUE"""),614772.0)</f>
        <v>614772</v>
      </c>
      <c r="N268" s="140" t="str">
        <f>IFERROR(__xludf.DUMMYFUNCTION("""COMPUTED_VALUE"""),"The Complete Cyber Security Course : Hackers Exposed!")</f>
        <v>The Complete Cyber Security Course : Hackers Exposed!</v>
      </c>
    </row>
    <row r="269">
      <c r="A269" s="143">
        <f>IFERROR(__xludf.DUMMYFUNCTION("""COMPUTED_VALUE"""),44286.0)</f>
        <v>44286</v>
      </c>
      <c r="B269">
        <f>IFERROR(__xludf.DUMMYFUNCTION("""COMPUTED_VALUE"""),3246640.0)</f>
        <v>3246640</v>
      </c>
      <c r="C269" t="str">
        <f>IFERROR(__xludf.DUMMYFUNCTION("""COMPUTED_VALUE"""),"en")</f>
        <v>en</v>
      </c>
      <c r="D269" t="str">
        <f>IFERROR(__xludf.DUMMYFUNCTION("""COMPUTED_VALUE"""),"Linux Privilege Escalation for Beginners")</f>
        <v>Linux Privilege Escalation for Beginners</v>
      </c>
      <c r="E269" t="str">
        <f>IFERROR(__xludf.DUMMYFUNCTION("""COMPUTED_VALUE"""),"Linux Privilege Escalation for Beginners")</f>
        <v>Linux Privilege Escalation for Beginners</v>
      </c>
      <c r="F269">
        <f>IFERROR(__xludf.DUMMYFUNCTION("""COMPUTED_VALUE"""),6.320797E7)</f>
        <v>63207970</v>
      </c>
      <c r="G269" t="str">
        <f>IFERROR(__xludf.DUMMYFUNCTION("""COMPUTED_VALUE"""),"Heath Adams")</f>
        <v>Heath Adams</v>
      </c>
      <c r="H269" t="str">
        <f>IFERROR(__xludf.DUMMYFUNCTION("""COMPUTED_VALUE"""),"Instructor Request- Opted Out")</f>
        <v>Instructor Request- Opted Out</v>
      </c>
      <c r="I269" t="str">
        <f>IFERROR(__xludf.DUMMYFUNCTION("""COMPUTED_VALUE"""),"IT Operations")</f>
        <v>IT Operations</v>
      </c>
      <c r="J269" t="str">
        <f>IFERROR(__xludf.DUMMYFUNCTION("""COMPUTED_VALUE"""),"Network &amp; Security")</f>
        <v>Network &amp; Security</v>
      </c>
      <c r="K269" s="155">
        <f>IFERROR(__xludf.DUMMYFUNCTION("""COMPUTED_VALUE"""),2418356.0)</f>
        <v>2418356</v>
      </c>
      <c r="L269" s="140" t="str">
        <f>IFERROR(__xludf.DUMMYFUNCTION("""COMPUTED_VALUE"""),"Linux Privilege Escalation for OSCP &amp; Beyond!")</f>
        <v>Linux Privilege Escalation for OSCP &amp; Beyond!</v>
      </c>
      <c r="M269" s="155">
        <f>IFERROR(__xludf.DUMMYFUNCTION("""COMPUTED_VALUE"""),1343556.0)</f>
        <v>1343556</v>
      </c>
      <c r="N269" s="140" t="str">
        <f>IFERROR(__xludf.DUMMYFUNCTION("""COMPUTED_VALUE"""),"Kali Linux Tutorial For Beginners")</f>
        <v>Kali Linux Tutorial For Beginners</v>
      </c>
    </row>
    <row r="270">
      <c r="A270" s="143">
        <f>IFERROR(__xludf.DUMMYFUNCTION("""COMPUTED_VALUE"""),44286.0)</f>
        <v>44286</v>
      </c>
      <c r="B270">
        <f>IFERROR(__xludf.DUMMYFUNCTION("""COMPUTED_VALUE"""),2994784.0)</f>
        <v>2994784</v>
      </c>
      <c r="C270" t="str">
        <f>IFERROR(__xludf.DUMMYFUNCTION("""COMPUTED_VALUE"""),"en")</f>
        <v>en</v>
      </c>
      <c r="D270" t="str">
        <f>IFERROR(__xludf.DUMMYFUNCTION("""COMPUTED_VALUE"""),"Windows Privilege Escalation for Beginners")</f>
        <v>Windows Privilege Escalation for Beginners</v>
      </c>
      <c r="E270" t="str">
        <f>IFERROR(__xludf.DUMMYFUNCTION("""COMPUTED_VALUE"""),"Windows Privilege Escalation for Beginners")</f>
        <v>Windows Privilege Escalation for Beginners</v>
      </c>
      <c r="F270">
        <f>IFERROR(__xludf.DUMMYFUNCTION("""COMPUTED_VALUE"""),6.320797E7)</f>
        <v>63207970</v>
      </c>
      <c r="G270" t="str">
        <f>IFERROR(__xludf.DUMMYFUNCTION("""COMPUTED_VALUE"""),"Heath Adams")</f>
        <v>Heath Adams</v>
      </c>
      <c r="H270" t="str">
        <f>IFERROR(__xludf.DUMMYFUNCTION("""COMPUTED_VALUE"""),"Instructor Request- Opted Out")</f>
        <v>Instructor Request- Opted Out</v>
      </c>
      <c r="I270" t="str">
        <f>IFERROR(__xludf.DUMMYFUNCTION("""COMPUTED_VALUE"""),"IT Operations")</f>
        <v>IT Operations</v>
      </c>
      <c r="J270" t="str">
        <f>IFERROR(__xludf.DUMMYFUNCTION("""COMPUTED_VALUE"""),"Network &amp; Security")</f>
        <v>Network &amp; Security</v>
      </c>
      <c r="K270" s="155">
        <f>IFERROR(__xludf.DUMMYFUNCTION("""COMPUTED_VALUE"""),2818117.0)</f>
        <v>2818117</v>
      </c>
      <c r="L270" s="140" t="str">
        <f>IFERROR(__xludf.DUMMYFUNCTION("""COMPUTED_VALUE"""),"Windows Privilege Escalation for OSCP &amp; Beyond!")</f>
        <v>Windows Privilege Escalation for OSCP &amp; Beyond!</v>
      </c>
      <c r="N270" s="140" t="str">
        <f>IFERROR(__xludf.DUMMYFUNCTION("""COMPUTED_VALUE"""),"")</f>
        <v/>
      </c>
    </row>
    <row r="271">
      <c r="A271" s="143">
        <f>IFERROR(__xludf.DUMMYFUNCTION("""COMPUTED_VALUE"""),44286.0)</f>
        <v>44286</v>
      </c>
      <c r="B271">
        <f>IFERROR(__xludf.DUMMYFUNCTION("""COMPUTED_VALUE"""),1756916.0)</f>
        <v>1756916</v>
      </c>
      <c r="C271" t="str">
        <f>IFERROR(__xludf.DUMMYFUNCTION("""COMPUTED_VALUE"""),"en")</f>
        <v>en</v>
      </c>
      <c r="D271" t="str">
        <f>IFERROR(__xludf.DUMMYFUNCTION("""COMPUTED_VALUE"""),"Stored Procedures Unpacked: Learn to Code T-SQL Stored Procs")</f>
        <v>Stored Procedures Unpacked: Learn to Code T-SQL Stored Procs</v>
      </c>
      <c r="E271" t="str">
        <f>IFERROR(__xludf.DUMMYFUNCTION("""COMPUTED_VALUE"""),"Stored Procedures Unpacked: Learn to Code T-SQL Stored Procs")</f>
        <v>Stored Procedures Unpacked: Learn to Code T-SQL Stored Procs</v>
      </c>
      <c r="F271">
        <f>IFERROR(__xludf.DUMMYFUNCTION("""COMPUTED_VALUE"""),9437768.0)</f>
        <v>9437768</v>
      </c>
      <c r="G271" t="str">
        <f>IFERROR(__xludf.DUMMYFUNCTION("""COMPUTED_VALUE"""),"Kris Wenzel")</f>
        <v>Kris Wenzel</v>
      </c>
      <c r="H271" t="str">
        <f>IFERROR(__xludf.DUMMYFUNCTION("""COMPUTED_VALUE"""),"Instructor Request- Opted Out")</f>
        <v>Instructor Request- Opted Out</v>
      </c>
      <c r="I271" t="str">
        <f>IFERROR(__xludf.DUMMYFUNCTION("""COMPUTED_VALUE"""),"IT Operations")</f>
        <v>IT Operations</v>
      </c>
      <c r="J271" t="str">
        <f>IFERROR(__xludf.DUMMYFUNCTION("""COMPUTED_VALUE"""),"Database Administration")</f>
        <v>Database Administration</v>
      </c>
      <c r="L271" s="140" t="str">
        <f>IFERROR(__xludf.DUMMYFUNCTION("""COMPUTED_VALUE"""),"")</f>
        <v/>
      </c>
      <c r="N271" s="140" t="str">
        <f>IFERROR(__xludf.DUMMYFUNCTION("""COMPUTED_VALUE"""),"")</f>
        <v/>
      </c>
      <c r="O271" s="140" t="str">
        <f>IFERROR(__xludf.DUMMYFUNCTION("""COMPUTED_VALUE"""),"No Alternatives in Collection - 11/7")</f>
        <v>No Alternatives in Collection - 11/7</v>
      </c>
    </row>
    <row r="272">
      <c r="A272" s="143">
        <f>IFERROR(__xludf.DUMMYFUNCTION("""COMPUTED_VALUE"""),44286.0)</f>
        <v>44286</v>
      </c>
      <c r="B272">
        <f>IFERROR(__xludf.DUMMYFUNCTION("""COMPUTED_VALUE"""),1590434.0)</f>
        <v>1590434</v>
      </c>
      <c r="C272" t="str">
        <f>IFERROR(__xludf.DUMMYFUNCTION("""COMPUTED_VALUE"""),"en")</f>
        <v>en</v>
      </c>
      <c r="D272" t="str">
        <f>IFERROR(__xludf.DUMMYFUNCTION("""COMPUTED_VALUE"""),"Subquery Magic: Write awesome SQL, Master T-SQL Sub Queries")</f>
        <v>Subquery Magic: Write awesome SQL, Master T-SQL Sub Queries</v>
      </c>
      <c r="E272" t="str">
        <f>IFERROR(__xludf.DUMMYFUNCTION("""COMPUTED_VALUE"""),"Subquery Magic: Write awesome SQL, Master T-SQL Sub Queries")</f>
        <v>Subquery Magic: Write awesome SQL, Master T-SQL Sub Queries</v>
      </c>
      <c r="F272">
        <f>IFERROR(__xludf.DUMMYFUNCTION("""COMPUTED_VALUE"""),9437768.0)</f>
        <v>9437768</v>
      </c>
      <c r="G272" t="str">
        <f>IFERROR(__xludf.DUMMYFUNCTION("""COMPUTED_VALUE"""),"Kris Wenzel")</f>
        <v>Kris Wenzel</v>
      </c>
      <c r="H272" t="str">
        <f>IFERROR(__xludf.DUMMYFUNCTION("""COMPUTED_VALUE"""),"Instructor Request- Opted Out")</f>
        <v>Instructor Request- Opted Out</v>
      </c>
      <c r="I272" t="str">
        <f>IFERROR(__xludf.DUMMYFUNCTION("""COMPUTED_VALUE"""),"IT Operations")</f>
        <v>IT Operations</v>
      </c>
      <c r="J272" t="str">
        <f>IFERROR(__xludf.DUMMYFUNCTION("""COMPUTED_VALUE"""),"Database Administration")</f>
        <v>Database Administration</v>
      </c>
      <c r="L272" s="140" t="str">
        <f>IFERROR(__xludf.DUMMYFUNCTION("""COMPUTED_VALUE"""),"")</f>
        <v/>
      </c>
      <c r="N272" s="140" t="str">
        <f>IFERROR(__xludf.DUMMYFUNCTION("""COMPUTED_VALUE"""),"")</f>
        <v/>
      </c>
      <c r="O272" s="140" t="str">
        <f>IFERROR(__xludf.DUMMYFUNCTION("""COMPUTED_VALUE"""),"No Alternatives in Collection - 11/7")</f>
        <v>No Alternatives in Collection - 11/7</v>
      </c>
    </row>
    <row r="273">
      <c r="A273" s="143">
        <f>IFERROR(__xludf.DUMMYFUNCTION("""COMPUTED_VALUE"""),44286.0)</f>
        <v>44286</v>
      </c>
      <c r="B273">
        <f>IFERROR(__xludf.DUMMYFUNCTION("""COMPUTED_VALUE"""),2131360.0)</f>
        <v>2131360</v>
      </c>
      <c r="C273" t="str">
        <f>IFERROR(__xludf.DUMMYFUNCTION("""COMPUTED_VALUE"""),"en")</f>
        <v>en</v>
      </c>
      <c r="D273" t="str">
        <f>IFERROR(__xludf.DUMMYFUNCTION("""COMPUTED_VALUE"""),"Sales skills training: practical sales SKILLS CRAFT SYSTEM")</f>
        <v>Sales skills training: practical sales SKILLS CRAFT SYSTEM</v>
      </c>
      <c r="E273" t="str">
        <f>IFERROR(__xludf.DUMMYFUNCTION("""COMPUTED_VALUE"""),"Sales skills training: practical sales SKILLS CRAFT SYSTEM")</f>
        <v>Sales skills training: practical sales SKILLS CRAFT SYSTEM</v>
      </c>
      <c r="F273">
        <f>IFERROR(__xludf.DUMMYFUNCTION("""COMPUTED_VALUE"""),6.119613E7)</f>
        <v>61196130</v>
      </c>
      <c r="G273" t="str">
        <f>IFERROR(__xludf.DUMMYFUNCTION("""COMPUTED_VALUE"""),"Stefan Devito")</f>
        <v>Stefan Devito</v>
      </c>
      <c r="H273" t="str">
        <f>IFERROR(__xludf.DUMMYFUNCTION("""COMPUTED_VALUE"""),"Instructor Request- No Detail")</f>
        <v>Instructor Request- No Detail</v>
      </c>
      <c r="I273" t="str">
        <f>IFERROR(__xludf.DUMMYFUNCTION("""COMPUTED_VALUE"""),"Sales")</f>
        <v>Sales</v>
      </c>
      <c r="J273" t="str">
        <f>IFERROR(__xludf.DUMMYFUNCTION("""COMPUTED_VALUE"""),"Sales Skills &amp; Tools")</f>
        <v>Sales Skills &amp; Tools</v>
      </c>
      <c r="K273" s="155">
        <f>IFERROR(__xludf.DUMMYFUNCTION("""COMPUTED_VALUE"""),563478.0)</f>
        <v>563478</v>
      </c>
      <c r="L273" s="140" t="str">
        <f>IFERROR(__xludf.DUMMYFUNCTION("""COMPUTED_VALUE"""),"Sales Training: Practical Sales Techniques")</f>
        <v>Sales Training: Practical Sales Techniques</v>
      </c>
      <c r="M273" s="155">
        <f>IFERROR(__xludf.DUMMYFUNCTION("""COMPUTED_VALUE"""),671150.0)</f>
        <v>671150</v>
      </c>
      <c r="N273" s="140" t="str">
        <f>IFERROR(__xludf.DUMMYFUNCTION("""COMPUTED_VALUE"""),"Sales Training – Everyone sells!")</f>
        <v>Sales Training – Everyone sells!</v>
      </c>
    </row>
    <row r="274">
      <c r="A274" s="143">
        <f>IFERROR(__xludf.DUMMYFUNCTION("""COMPUTED_VALUE"""),44286.0)</f>
        <v>44286</v>
      </c>
      <c r="B274">
        <f>IFERROR(__xludf.DUMMYFUNCTION("""COMPUTED_VALUE"""),2016620.0)</f>
        <v>2016620</v>
      </c>
      <c r="C274" t="str">
        <f>IFERROR(__xludf.DUMMYFUNCTION("""COMPUTED_VALUE"""),"en")</f>
        <v>en</v>
      </c>
      <c r="D274" t="str">
        <f>IFERROR(__xludf.DUMMYFUNCTION("""COMPUTED_VALUE"""),"Golang: Intro to REST API JWT auth with Go programming lang")</f>
        <v>Golang: Intro to REST API JWT auth with Go programming lang</v>
      </c>
      <c r="E274" t="str">
        <f>IFERROR(__xludf.DUMMYFUNCTION("""COMPUTED_VALUE"""),"Golang: Intro to Rest API jwt auth with go programming lang")</f>
        <v>Golang: Intro to Rest API jwt auth with go programming lang</v>
      </c>
      <c r="F274">
        <f>IFERROR(__xludf.DUMMYFUNCTION("""COMPUTED_VALUE"""),429094.0)</f>
        <v>429094</v>
      </c>
      <c r="G274" t="str">
        <f>IFERROR(__xludf.DUMMYFUNCTION("""COMPUTED_VALUE"""),"Mike M")</f>
        <v>Mike M</v>
      </c>
      <c r="H274" t="str">
        <f>IFERROR(__xludf.DUMMYFUNCTION("""COMPUTED_VALUE"""),"Instructor Request- No Detail")</f>
        <v>Instructor Request- No Detail</v>
      </c>
      <c r="I274" t="str">
        <f>IFERROR(__xludf.DUMMYFUNCTION("""COMPUTED_VALUE"""),"Development")</f>
        <v>Development</v>
      </c>
      <c r="J274" t="str">
        <f>IFERROR(__xludf.DUMMYFUNCTION("""COMPUTED_VALUE"""),"Programming Languages")</f>
        <v>Programming Languages</v>
      </c>
      <c r="K274" s="155">
        <f>IFERROR(__xludf.DUMMYFUNCTION("""COMPUTED_VALUE"""),3472712.0)</f>
        <v>3472712</v>
      </c>
      <c r="L274" s="140" t="str">
        <f>IFERROR(__xludf.DUMMYFUNCTION("""COMPUTED_VALUE"""),"Web Authentication, Encryption, JWT, HMAC, &amp; OAuth With Go")</f>
        <v>Web Authentication, Encryption, JWT, HMAC, &amp; OAuth With Go</v>
      </c>
      <c r="N274" s="140" t="str">
        <f>IFERROR(__xludf.DUMMYFUNCTION("""COMPUTED_VALUE"""),"")</f>
        <v/>
      </c>
    </row>
    <row r="275">
      <c r="A275" s="143">
        <f>IFERROR(__xludf.DUMMYFUNCTION("""COMPUTED_VALUE"""),44286.0)</f>
        <v>44286</v>
      </c>
      <c r="B275">
        <f>IFERROR(__xludf.DUMMYFUNCTION("""COMPUTED_VALUE"""),2467848.0)</f>
        <v>2467848</v>
      </c>
      <c r="C275" t="str">
        <f>IFERROR(__xludf.DUMMYFUNCTION("""COMPUTED_VALUE"""),"en")</f>
        <v>en</v>
      </c>
      <c r="D275" t="str">
        <f>IFERROR(__xludf.DUMMYFUNCTION("""COMPUTED_VALUE"""),"Advanced ASP.NET Core 3.1 MVC")</f>
        <v>Advanced ASP.NET Core 3.1 MVC</v>
      </c>
      <c r="E275" t="str">
        <f>IFERROR(__xludf.DUMMYFUNCTION("""COMPUTED_VALUE"""),"Advanced ASP.NET Core 3.1 MVC")</f>
        <v>Advanced ASP.NET Core 3.1 MVC</v>
      </c>
      <c r="F275">
        <f>IFERROR(__xludf.DUMMYFUNCTION("""COMPUTED_VALUE"""),8843166.0)</f>
        <v>8843166</v>
      </c>
      <c r="G275" t="str">
        <f>IFERROR(__xludf.DUMMYFUNCTION("""COMPUTED_VALUE"""),"Bhrugen Patel")</f>
        <v>Bhrugen Patel</v>
      </c>
      <c r="H275" t="str">
        <f>IFERROR(__xludf.DUMMYFUNCTION("""COMPUTED_VALUE"""),"Instructor Request- Outdated")</f>
        <v>Instructor Request- Outdated</v>
      </c>
      <c r="I275" t="str">
        <f>IFERROR(__xludf.DUMMYFUNCTION("""COMPUTED_VALUE"""),"Development")</f>
        <v>Development</v>
      </c>
      <c r="J275" t="str">
        <f>IFERROR(__xludf.DUMMYFUNCTION("""COMPUTED_VALUE"""),"Web Development")</f>
        <v>Web Development</v>
      </c>
      <c r="K275" s="155">
        <f>IFERROR(__xludf.DUMMYFUNCTION("""COMPUTED_VALUE"""),3310480.0)</f>
        <v>3310480</v>
      </c>
      <c r="L275" s="140" t="str">
        <f>IFERROR(__xludf.DUMMYFUNCTION("""COMPUTED_VALUE"""),"ASP.NET Core MVC - Up and Running Part 1 (.NET 5)")</f>
        <v>ASP.NET Core MVC - Up and Running Part 1 (.NET 5)</v>
      </c>
      <c r="M275" s="155">
        <f>IFERROR(__xludf.DUMMYFUNCTION("""COMPUTED_VALUE"""),3310734.0)</f>
        <v>3310734</v>
      </c>
      <c r="N275" s="140" t="str">
        <f>IFERROR(__xludf.DUMMYFUNCTION("""COMPUTED_VALUE"""),"ASP.NET Core MVC - Up and Running Part 2 (.NET 5)")</f>
        <v>ASP.NET Core MVC - Up and Running Part 2 (.NET 5)</v>
      </c>
    </row>
    <row r="276">
      <c r="A276" s="143">
        <f>IFERROR(__xludf.DUMMYFUNCTION("""COMPUTED_VALUE"""),44286.0)</f>
        <v>44286</v>
      </c>
      <c r="B276">
        <f>IFERROR(__xludf.DUMMYFUNCTION("""COMPUTED_VALUE"""),1636508.0)</f>
        <v>1636508</v>
      </c>
      <c r="C276" t="str">
        <f>IFERROR(__xludf.DUMMYFUNCTION("""COMPUTED_VALUE"""),"de")</f>
        <v>de</v>
      </c>
      <c r="D276" t="str">
        <f>IFERROR(__xludf.DUMMYFUNCTION("""COMPUTED_VALUE"""),"Office 365 Grundkurs")</f>
        <v>Office 365 Grundkurs</v>
      </c>
      <c r="E276" t="str">
        <f>IFERROR(__xludf.DUMMYFUNCTION("""COMPUTED_VALUE"""),"Office 365 Basic Course")</f>
        <v>Office 365 Basic Course</v>
      </c>
      <c r="F276">
        <f>IFERROR(__xludf.DUMMYFUNCTION("""COMPUTED_VALUE"""),3.0268656E7)</f>
        <v>30268656</v>
      </c>
      <c r="G276" t="str">
        <f>IFERROR(__xludf.DUMMYFUNCTION("""COMPUTED_VALUE"""),"Tom Wechsler")</f>
        <v>Tom Wechsler</v>
      </c>
      <c r="H276" t="str">
        <f>IFERROR(__xludf.DUMMYFUNCTION("""COMPUTED_VALUE"""),"Instructor Request- Opted Out")</f>
        <v>Instructor Request- Opted Out</v>
      </c>
      <c r="I276" t="str">
        <f>IFERROR(__xludf.DUMMYFUNCTION("""COMPUTED_VALUE"""),"IT Operations")</f>
        <v>IT Operations</v>
      </c>
      <c r="J276" t="str">
        <f>IFERROR(__xludf.DUMMYFUNCTION("""COMPUTED_VALUE"""),"Operating Systems &amp; Servers")</f>
        <v>Operating Systems &amp; Servers</v>
      </c>
      <c r="K276" s="155">
        <f>IFERROR(__xludf.DUMMYFUNCTION("""COMPUTED_VALUE"""),2803851.0)</f>
        <v>2803851</v>
      </c>
      <c r="L276" s="140" t="str">
        <f>IFERROR(__xludf.DUMMYFUNCTION("""COMPUTED_VALUE"""),"Das ultimative Office 365 Kompendium für Einsteiger!")</f>
        <v>Das ultimative Office 365 Kompendium für Einsteiger!</v>
      </c>
      <c r="N276" s="140" t="str">
        <f>IFERROR(__xludf.DUMMYFUNCTION("""COMPUTED_VALUE"""),"")</f>
        <v/>
      </c>
    </row>
    <row r="277">
      <c r="A277" s="143">
        <f>IFERROR(__xludf.DUMMYFUNCTION("""COMPUTED_VALUE"""),44286.0)</f>
        <v>44286</v>
      </c>
      <c r="B277">
        <f>IFERROR(__xludf.DUMMYFUNCTION("""COMPUTED_VALUE"""),2063191.0)</f>
        <v>2063191</v>
      </c>
      <c r="C277" t="str">
        <f>IFERROR(__xludf.DUMMYFUNCTION("""COMPUTED_VALUE"""),"de")</f>
        <v>de</v>
      </c>
      <c r="D277" t="str">
        <f>IFERROR(__xludf.DUMMYFUNCTION("""COMPUTED_VALUE"""),"Aufbau einer Testumgebung mit Windows Server 2019")</f>
        <v>Aufbau einer Testumgebung mit Windows Server 2019</v>
      </c>
      <c r="E277" t="str">
        <f>IFERROR(__xludf.DUMMYFUNCTION("""COMPUTED_VALUE"""),"Construction of a test environment with Windows Server 2019")</f>
        <v>Construction of a test environment with Windows Server 2019</v>
      </c>
      <c r="F277">
        <f>IFERROR(__xludf.DUMMYFUNCTION("""COMPUTED_VALUE"""),3.0268656E7)</f>
        <v>30268656</v>
      </c>
      <c r="G277" t="str">
        <f>IFERROR(__xludf.DUMMYFUNCTION("""COMPUTED_VALUE"""),"Tom Wechsler")</f>
        <v>Tom Wechsler</v>
      </c>
      <c r="H277" t="str">
        <f>IFERROR(__xludf.DUMMYFUNCTION("""COMPUTED_VALUE"""),"Instructor Request- Opted Out")</f>
        <v>Instructor Request- Opted Out</v>
      </c>
      <c r="I277" t="str">
        <f>IFERROR(__xludf.DUMMYFUNCTION("""COMPUTED_VALUE"""),"IT Operations")</f>
        <v>IT Operations</v>
      </c>
      <c r="J277" t="str">
        <f>IFERROR(__xludf.DUMMYFUNCTION("""COMPUTED_VALUE"""),"Operating Systems &amp; Servers")</f>
        <v>Operating Systems &amp; Servers</v>
      </c>
      <c r="L277" s="140" t="str">
        <f>IFERROR(__xludf.DUMMYFUNCTION("""COMPUTED_VALUE"""),"")</f>
        <v/>
      </c>
      <c r="N277" s="140" t="str">
        <f>IFERROR(__xludf.DUMMYFUNCTION("""COMPUTED_VALUE"""),"")</f>
        <v/>
      </c>
      <c r="O277" s="140" t="str">
        <f>IFERROR(__xludf.DUMMYFUNCTION("""COMPUTED_VALUE"""),"No Alternatives in Collection- 11/8/20")</f>
        <v>No Alternatives in Collection- 11/8/20</v>
      </c>
    </row>
    <row r="278">
      <c r="A278" s="143">
        <f>IFERROR(__xludf.DUMMYFUNCTION("""COMPUTED_VALUE"""),44286.0)</f>
        <v>44286</v>
      </c>
      <c r="B278">
        <f>IFERROR(__xludf.DUMMYFUNCTION("""COMPUTED_VALUE"""),1690424.0)</f>
        <v>1690424</v>
      </c>
      <c r="C278" t="str">
        <f>IFERROR(__xludf.DUMMYFUNCTION("""COMPUTED_VALUE"""),"de")</f>
        <v>de</v>
      </c>
      <c r="D278" t="str">
        <f>IFERROR(__xludf.DUMMYFUNCTION("""COMPUTED_VALUE"""),"Cisco Routing und Switching Grundkurs")</f>
        <v>Cisco Routing und Switching Grundkurs</v>
      </c>
      <c r="E278" t="str">
        <f>IFERROR(__xludf.DUMMYFUNCTION("""COMPUTED_VALUE"""),"Cisco Routing and Switching Basic Course")</f>
        <v>Cisco Routing and Switching Basic Course</v>
      </c>
      <c r="F278">
        <f>IFERROR(__xludf.DUMMYFUNCTION("""COMPUTED_VALUE"""),3.0268656E7)</f>
        <v>30268656</v>
      </c>
      <c r="G278" t="str">
        <f>IFERROR(__xludf.DUMMYFUNCTION("""COMPUTED_VALUE"""),"Tom Wechsler")</f>
        <v>Tom Wechsler</v>
      </c>
      <c r="H278" t="str">
        <f>IFERROR(__xludf.DUMMYFUNCTION("""COMPUTED_VALUE"""),"Instructor Request- Opted Out")</f>
        <v>Instructor Request- Opted Out</v>
      </c>
      <c r="I278" t="str">
        <f>IFERROR(__xludf.DUMMYFUNCTION("""COMPUTED_VALUE"""),"IT Operations")</f>
        <v>IT Operations</v>
      </c>
      <c r="J278" t="str">
        <f>IFERROR(__xludf.DUMMYFUNCTION("""COMPUTED_VALUE"""),"Network &amp; Security")</f>
        <v>Network &amp; Security</v>
      </c>
      <c r="L278" s="140" t="str">
        <f>IFERROR(__xludf.DUMMYFUNCTION("""COMPUTED_VALUE"""),"")</f>
        <v/>
      </c>
      <c r="N278" s="140" t="str">
        <f>IFERROR(__xludf.DUMMYFUNCTION("""COMPUTED_VALUE"""),"")</f>
        <v/>
      </c>
      <c r="O278" s="140" t="str">
        <f>IFERROR(__xludf.DUMMYFUNCTION("""COMPUTED_VALUE"""),"No Alternatives in Collection- 11/8/20")</f>
        <v>No Alternatives in Collection- 11/8/20</v>
      </c>
    </row>
    <row r="279">
      <c r="A279" s="143">
        <f>IFERROR(__xludf.DUMMYFUNCTION("""COMPUTED_VALUE"""),44286.0)</f>
        <v>44286</v>
      </c>
      <c r="B279">
        <f>IFERROR(__xludf.DUMMYFUNCTION("""COMPUTED_VALUE"""),2184250.0)</f>
        <v>2184250</v>
      </c>
      <c r="C279" t="str">
        <f>IFERROR(__xludf.DUMMYFUNCTION("""COMPUTED_VALUE"""),"de")</f>
        <v>de</v>
      </c>
      <c r="D279" t="str">
        <f>IFERROR(__xludf.DUMMYFUNCTION("""COMPUTED_VALUE"""),"Active Directory mit Windows PowerShell Grundkurs")</f>
        <v>Active Directory mit Windows PowerShell Grundkurs</v>
      </c>
      <c r="E279" t="str">
        <f>IFERROR(__xludf.DUMMYFUNCTION("""COMPUTED_VALUE"""),"Active Directory with Windows PowerShell Basic Course")</f>
        <v>Active Directory with Windows PowerShell Basic Course</v>
      </c>
      <c r="F279">
        <f>IFERROR(__xludf.DUMMYFUNCTION("""COMPUTED_VALUE"""),3.0268656E7)</f>
        <v>30268656</v>
      </c>
      <c r="G279" t="str">
        <f>IFERROR(__xludf.DUMMYFUNCTION("""COMPUTED_VALUE"""),"Tom Wechsler")</f>
        <v>Tom Wechsler</v>
      </c>
      <c r="H279" t="str">
        <f>IFERROR(__xludf.DUMMYFUNCTION("""COMPUTED_VALUE"""),"Instructor Request- Opted Out")</f>
        <v>Instructor Request- Opted Out</v>
      </c>
      <c r="I279" t="str">
        <f>IFERROR(__xludf.DUMMYFUNCTION("""COMPUTED_VALUE"""),"IT Operations")</f>
        <v>IT Operations</v>
      </c>
      <c r="J279" t="str">
        <f>IFERROR(__xludf.DUMMYFUNCTION("""COMPUTED_VALUE"""),"Operating Systems &amp; Servers")</f>
        <v>Operating Systems &amp; Servers</v>
      </c>
      <c r="L279" s="140" t="str">
        <f>IFERROR(__xludf.DUMMYFUNCTION("""COMPUTED_VALUE"""),"")</f>
        <v/>
      </c>
      <c r="N279" s="140" t="str">
        <f>IFERROR(__xludf.DUMMYFUNCTION("""COMPUTED_VALUE"""),"")</f>
        <v/>
      </c>
      <c r="O279" s="140" t="str">
        <f>IFERROR(__xludf.DUMMYFUNCTION("""COMPUTED_VALUE"""),"No Alternatives in Collection- 11/8/20")</f>
        <v>No Alternatives in Collection- 11/8/20</v>
      </c>
    </row>
    <row r="280">
      <c r="A280" s="143">
        <f>IFERROR(__xludf.DUMMYFUNCTION("""COMPUTED_VALUE"""),44286.0)</f>
        <v>44286</v>
      </c>
      <c r="B280">
        <f>IFERROR(__xludf.DUMMYFUNCTION("""COMPUTED_VALUE"""),1790062.0)</f>
        <v>1790062</v>
      </c>
      <c r="C280" t="str">
        <f>IFERROR(__xludf.DUMMYFUNCTION("""COMPUTED_VALUE"""),"de")</f>
        <v>de</v>
      </c>
      <c r="D280" t="str">
        <f>IFERROR(__xludf.DUMMYFUNCTION("""COMPUTED_VALUE"""),"Erweitertes Active Directory u. GPOs mit Windows Server 2016")</f>
        <v>Erweitertes Active Directory u. GPOs mit Windows Server 2016</v>
      </c>
      <c r="E280" t="str">
        <f>IFERROR(__xludf.DUMMYFUNCTION("""COMPUTED_VALUE"""),"Advanced Active Directory u. GPOS with Windows Server 2016")</f>
        <v>Advanced Active Directory u. GPOS with Windows Server 2016</v>
      </c>
      <c r="F280">
        <f>IFERROR(__xludf.DUMMYFUNCTION("""COMPUTED_VALUE"""),3.0268656E7)</f>
        <v>30268656</v>
      </c>
      <c r="G280" t="str">
        <f>IFERROR(__xludf.DUMMYFUNCTION("""COMPUTED_VALUE"""),"Tom Wechsler")</f>
        <v>Tom Wechsler</v>
      </c>
      <c r="H280" t="str">
        <f>IFERROR(__xludf.DUMMYFUNCTION("""COMPUTED_VALUE"""),"Instructor Request- Opted Out")</f>
        <v>Instructor Request- Opted Out</v>
      </c>
      <c r="I280" t="str">
        <f>IFERROR(__xludf.DUMMYFUNCTION("""COMPUTED_VALUE"""),"IT Operations")</f>
        <v>IT Operations</v>
      </c>
      <c r="J280" t="str">
        <f>IFERROR(__xludf.DUMMYFUNCTION("""COMPUTED_VALUE"""),"Operating Systems &amp; Servers")</f>
        <v>Operating Systems &amp; Servers</v>
      </c>
      <c r="L280" s="140" t="str">
        <f>IFERROR(__xludf.DUMMYFUNCTION("""COMPUTED_VALUE"""),"")</f>
        <v/>
      </c>
      <c r="N280" s="140" t="str">
        <f>IFERROR(__xludf.DUMMYFUNCTION("""COMPUTED_VALUE"""),"")</f>
        <v/>
      </c>
      <c r="O280" s="140" t="str">
        <f>IFERROR(__xludf.DUMMYFUNCTION("""COMPUTED_VALUE"""),"No Alternatives in Collection- 11/8/20")</f>
        <v>No Alternatives in Collection- 11/8/20</v>
      </c>
    </row>
    <row r="281">
      <c r="A281" s="143">
        <f>IFERROR(__xludf.DUMMYFUNCTION("""COMPUTED_VALUE"""),44286.0)</f>
        <v>44286</v>
      </c>
      <c r="B281">
        <f>IFERROR(__xludf.DUMMYFUNCTION("""COMPUTED_VALUE"""),1230766.0)</f>
        <v>1230766</v>
      </c>
      <c r="C281" t="str">
        <f>IFERROR(__xludf.DUMMYFUNCTION("""COMPUTED_VALUE"""),"de")</f>
        <v>de</v>
      </c>
      <c r="D281" t="str">
        <f>IFERROR(__xludf.DUMMYFUNCTION("""COMPUTED_VALUE"""),"Linux Foundation Certified System Admin (LFCS) - Teil 1/2")</f>
        <v>Linux Foundation Certified System Admin (LFCS) - Teil 1/2</v>
      </c>
      <c r="E281" t="str">
        <f>IFERROR(__xludf.DUMMYFUNCTION("""COMPUTED_VALUE"""),"Linux Foundation Certified System Admin (LFCS) - Teil 1/2")</f>
        <v>Linux Foundation Certified System Admin (LFCS) - Teil 1/2</v>
      </c>
      <c r="F281">
        <f>IFERROR(__xludf.DUMMYFUNCTION("""COMPUTED_VALUE"""),3.0268656E7)</f>
        <v>30268656</v>
      </c>
      <c r="G281" t="str">
        <f>IFERROR(__xludf.DUMMYFUNCTION("""COMPUTED_VALUE"""),"Tom Wechsler")</f>
        <v>Tom Wechsler</v>
      </c>
      <c r="H281" t="str">
        <f>IFERROR(__xludf.DUMMYFUNCTION("""COMPUTED_VALUE"""),"Instructor Request- Opted Out")</f>
        <v>Instructor Request- Opted Out</v>
      </c>
      <c r="I281" t="str">
        <f>IFERROR(__xludf.DUMMYFUNCTION("""COMPUTED_VALUE"""),"IT Operations")</f>
        <v>IT Operations</v>
      </c>
      <c r="J281" t="str">
        <f>IFERROR(__xludf.DUMMYFUNCTION("""COMPUTED_VALUE"""),"IT Certifications")</f>
        <v>IT Certifications</v>
      </c>
      <c r="L281" s="140" t="str">
        <f>IFERROR(__xludf.DUMMYFUNCTION("""COMPUTED_VALUE"""),"")</f>
        <v/>
      </c>
      <c r="N281" s="140" t="str">
        <f>IFERROR(__xludf.DUMMYFUNCTION("""COMPUTED_VALUE"""),"")</f>
        <v/>
      </c>
      <c r="O281" s="140" t="str">
        <f>IFERROR(__xludf.DUMMYFUNCTION("""COMPUTED_VALUE"""),"No Alternatives in Collection- 11/8/20")</f>
        <v>No Alternatives in Collection- 11/8/20</v>
      </c>
    </row>
    <row r="282">
      <c r="A282" s="143">
        <f>IFERROR(__xludf.DUMMYFUNCTION("""COMPUTED_VALUE"""),44286.0)</f>
        <v>44286</v>
      </c>
      <c r="B282">
        <f>IFERROR(__xludf.DUMMYFUNCTION("""COMPUTED_VALUE"""),1442826.0)</f>
        <v>1442826</v>
      </c>
      <c r="C282" t="str">
        <f>IFERROR(__xludf.DUMMYFUNCTION("""COMPUTED_VALUE"""),"de")</f>
        <v>de</v>
      </c>
      <c r="D282" t="str">
        <f>IFERROR(__xludf.DUMMYFUNCTION("""COMPUTED_VALUE"""),"Active Directory mit Windows Server 2016")</f>
        <v>Active Directory mit Windows Server 2016</v>
      </c>
      <c r="E282" t="str">
        <f>IFERROR(__xludf.DUMMYFUNCTION("""COMPUTED_VALUE"""),"Active Directory mit Windows Server 2016")</f>
        <v>Active Directory mit Windows Server 2016</v>
      </c>
      <c r="F282">
        <f>IFERROR(__xludf.DUMMYFUNCTION("""COMPUTED_VALUE"""),3.0268656E7)</f>
        <v>30268656</v>
      </c>
      <c r="G282" t="str">
        <f>IFERROR(__xludf.DUMMYFUNCTION("""COMPUTED_VALUE"""),"Tom Wechsler")</f>
        <v>Tom Wechsler</v>
      </c>
      <c r="H282" t="str">
        <f>IFERROR(__xludf.DUMMYFUNCTION("""COMPUTED_VALUE"""),"Instructor Request- Opted Out")</f>
        <v>Instructor Request- Opted Out</v>
      </c>
      <c r="I282" t="str">
        <f>IFERROR(__xludf.DUMMYFUNCTION("""COMPUTED_VALUE"""),"IT Operations")</f>
        <v>IT Operations</v>
      </c>
      <c r="J282" t="str">
        <f>IFERROR(__xludf.DUMMYFUNCTION("""COMPUTED_VALUE"""),"Operating Systems &amp; Servers")</f>
        <v>Operating Systems &amp; Servers</v>
      </c>
      <c r="L282" s="140" t="str">
        <f>IFERROR(__xludf.DUMMYFUNCTION("""COMPUTED_VALUE"""),"")</f>
        <v/>
      </c>
      <c r="N282" s="140" t="str">
        <f>IFERROR(__xludf.DUMMYFUNCTION("""COMPUTED_VALUE"""),"")</f>
        <v/>
      </c>
      <c r="O282" s="140" t="str">
        <f>IFERROR(__xludf.DUMMYFUNCTION("""COMPUTED_VALUE"""),"No Alternatives in Collection- 11/8/20")</f>
        <v>No Alternatives in Collection- 11/8/20</v>
      </c>
    </row>
    <row r="283">
      <c r="A283" s="143">
        <f>IFERROR(__xludf.DUMMYFUNCTION("""COMPUTED_VALUE"""),44286.0)</f>
        <v>44286</v>
      </c>
      <c r="B283">
        <f>IFERROR(__xludf.DUMMYFUNCTION("""COMPUTED_VALUE"""),2073306.0)</f>
        <v>2073306</v>
      </c>
      <c r="C283" t="str">
        <f>IFERROR(__xludf.DUMMYFUNCTION("""COMPUTED_VALUE"""),"de")</f>
        <v>de</v>
      </c>
      <c r="D283" t="str">
        <f>IFERROR(__xludf.DUMMYFUNCTION("""COMPUTED_VALUE"""),"Hyper-V mit Windows Server 2016")</f>
        <v>Hyper-V mit Windows Server 2016</v>
      </c>
      <c r="E283" t="str">
        <f>IFERROR(__xludf.DUMMYFUNCTION("""COMPUTED_VALUE"""),"Hyper-V Mit Windows Server 2016")</f>
        <v>Hyper-V Mit Windows Server 2016</v>
      </c>
      <c r="F283">
        <f>IFERROR(__xludf.DUMMYFUNCTION("""COMPUTED_VALUE"""),3.0268656E7)</f>
        <v>30268656</v>
      </c>
      <c r="G283" t="str">
        <f>IFERROR(__xludf.DUMMYFUNCTION("""COMPUTED_VALUE"""),"Tom Wechsler")</f>
        <v>Tom Wechsler</v>
      </c>
      <c r="H283" t="str">
        <f>IFERROR(__xludf.DUMMYFUNCTION("""COMPUTED_VALUE"""),"Instructor Request- Opted Out")</f>
        <v>Instructor Request- Opted Out</v>
      </c>
      <c r="I283" t="str">
        <f>IFERROR(__xludf.DUMMYFUNCTION("""COMPUTED_VALUE"""),"IT Operations")</f>
        <v>IT Operations</v>
      </c>
      <c r="J283" t="str">
        <f>IFERROR(__xludf.DUMMYFUNCTION("""COMPUTED_VALUE"""),"Operating Systems &amp; Servers")</f>
        <v>Operating Systems &amp; Servers</v>
      </c>
      <c r="L283" s="140" t="str">
        <f>IFERROR(__xludf.DUMMYFUNCTION("""COMPUTED_VALUE"""),"")</f>
        <v/>
      </c>
      <c r="N283" s="140" t="str">
        <f>IFERROR(__xludf.DUMMYFUNCTION("""COMPUTED_VALUE"""),"")</f>
        <v/>
      </c>
      <c r="O283" s="140" t="str">
        <f>IFERROR(__xludf.DUMMYFUNCTION("""COMPUTED_VALUE"""),"No Alternatives in Collection- 11/8/20")</f>
        <v>No Alternatives in Collection- 11/8/20</v>
      </c>
    </row>
    <row r="284">
      <c r="A284" s="143">
        <f>IFERROR(__xludf.DUMMYFUNCTION("""COMPUTED_VALUE"""),44286.0)</f>
        <v>44286</v>
      </c>
      <c r="B284">
        <f>IFERROR(__xludf.DUMMYFUNCTION("""COMPUTED_VALUE"""),1393876.0)</f>
        <v>1393876</v>
      </c>
      <c r="C284" t="str">
        <f>IFERROR(__xludf.DUMMYFUNCTION("""COMPUTED_VALUE"""),"de")</f>
        <v>de</v>
      </c>
      <c r="D284" t="str">
        <f>IFERROR(__xludf.DUMMYFUNCTION("""COMPUTED_VALUE"""),"Netzwerkanalyse mit Wireshark")</f>
        <v>Netzwerkanalyse mit Wireshark</v>
      </c>
      <c r="E284" t="str">
        <f>IFERROR(__xludf.DUMMYFUNCTION("""COMPUTED_VALUE"""),"Network analysis with Wireshark")</f>
        <v>Network analysis with Wireshark</v>
      </c>
      <c r="F284">
        <f>IFERROR(__xludf.DUMMYFUNCTION("""COMPUTED_VALUE"""),3.0268656E7)</f>
        <v>30268656</v>
      </c>
      <c r="G284" t="str">
        <f>IFERROR(__xludf.DUMMYFUNCTION("""COMPUTED_VALUE"""),"Tom Wechsler")</f>
        <v>Tom Wechsler</v>
      </c>
      <c r="H284" t="str">
        <f>IFERROR(__xludf.DUMMYFUNCTION("""COMPUTED_VALUE"""),"Instructor Request- Opted Out")</f>
        <v>Instructor Request- Opted Out</v>
      </c>
      <c r="I284" t="str">
        <f>IFERROR(__xludf.DUMMYFUNCTION("""COMPUTED_VALUE"""),"IT Operations")</f>
        <v>IT Operations</v>
      </c>
      <c r="J284" t="str">
        <f>IFERROR(__xludf.DUMMYFUNCTION("""COMPUTED_VALUE"""),"Network &amp; Security")</f>
        <v>Network &amp; Security</v>
      </c>
      <c r="K284" s="155">
        <f>IFERROR(__xludf.DUMMYFUNCTION("""COMPUTED_VALUE"""),1160810.0)</f>
        <v>1160810</v>
      </c>
      <c r="L284" s="140" t="str">
        <f>IFERROR(__xludf.DUMMYFUNCTION("""COMPUTED_VALUE"""),"Hacking und Netzwerkanalyse mit Wireshark - Der Komplettkurs")</f>
        <v>Hacking und Netzwerkanalyse mit Wireshark - Der Komplettkurs</v>
      </c>
      <c r="N284" s="140" t="str">
        <f>IFERROR(__xludf.DUMMYFUNCTION("""COMPUTED_VALUE"""),"")</f>
        <v/>
      </c>
    </row>
    <row r="285">
      <c r="A285" s="143">
        <f>IFERROR(__xludf.DUMMYFUNCTION("""COMPUTED_VALUE"""),44286.0)</f>
        <v>44286</v>
      </c>
      <c r="B285">
        <f>IFERROR(__xludf.DUMMYFUNCTION("""COMPUTED_VALUE"""),1949902.0)</f>
        <v>1949902</v>
      </c>
      <c r="C285" t="str">
        <f>IFERROR(__xludf.DUMMYFUNCTION("""COMPUTED_VALUE"""),"de")</f>
        <v>de</v>
      </c>
      <c r="D285" t="str">
        <f>IFERROR(__xludf.DUMMYFUNCTION("""COMPUTED_VALUE"""),"Red Hat Cert Prep RHCSA 1: Verwenden der wichtigsten Tools")</f>
        <v>Red Hat Cert Prep RHCSA 1: Verwenden der wichtigsten Tools</v>
      </c>
      <c r="E285" t="str">
        <f>IFERROR(__xludf.DUMMYFUNCTION("""COMPUTED_VALUE"""),"Red Hat Cert Prep Rhcsa 1: Using the most important tools")</f>
        <v>Red Hat Cert Prep Rhcsa 1: Using the most important tools</v>
      </c>
      <c r="F285">
        <f>IFERROR(__xludf.DUMMYFUNCTION("""COMPUTED_VALUE"""),3.0268656E7)</f>
        <v>30268656</v>
      </c>
      <c r="G285" t="str">
        <f>IFERROR(__xludf.DUMMYFUNCTION("""COMPUTED_VALUE"""),"Tom Wechsler")</f>
        <v>Tom Wechsler</v>
      </c>
      <c r="H285" t="str">
        <f>IFERROR(__xludf.DUMMYFUNCTION("""COMPUTED_VALUE"""),"Instructor Request- Opted Out")</f>
        <v>Instructor Request- Opted Out</v>
      </c>
      <c r="I285" t="str">
        <f>IFERROR(__xludf.DUMMYFUNCTION("""COMPUTED_VALUE"""),"IT Operations")</f>
        <v>IT Operations</v>
      </c>
      <c r="J285" t="str">
        <f>IFERROR(__xludf.DUMMYFUNCTION("""COMPUTED_VALUE"""),"IT Certifications")</f>
        <v>IT Certifications</v>
      </c>
      <c r="L285" s="140" t="str">
        <f>IFERROR(__xludf.DUMMYFUNCTION("""COMPUTED_VALUE"""),"")</f>
        <v/>
      </c>
      <c r="N285" s="140" t="str">
        <f>IFERROR(__xludf.DUMMYFUNCTION("""COMPUTED_VALUE"""),"")</f>
        <v/>
      </c>
      <c r="O285" s="140" t="str">
        <f>IFERROR(__xludf.DUMMYFUNCTION("""COMPUTED_VALUE"""),"No Alternatives in Collection- 11/8/20")</f>
        <v>No Alternatives in Collection- 11/8/20</v>
      </c>
    </row>
    <row r="286">
      <c r="A286" s="143">
        <f>IFERROR(__xludf.DUMMYFUNCTION("""COMPUTED_VALUE"""),44286.0)</f>
        <v>44286</v>
      </c>
      <c r="B286">
        <f>IFERROR(__xludf.DUMMYFUNCTION("""COMPUTED_VALUE"""),1741342.0)</f>
        <v>1741342</v>
      </c>
      <c r="C286" t="str">
        <f>IFERROR(__xludf.DUMMYFUNCTION("""COMPUTED_VALUE"""),"de")</f>
        <v>de</v>
      </c>
      <c r="D286" t="str">
        <f>IFERROR(__xludf.DUMMYFUNCTION("""COMPUTED_VALUE"""),"IT Sicherheitstests und Ethical Hacking mit Kali Linux")</f>
        <v>IT Sicherheitstests und Ethical Hacking mit Kali Linux</v>
      </c>
      <c r="E286" t="str">
        <f>IFERROR(__xludf.DUMMYFUNCTION("""COMPUTED_VALUE"""),"IT security tests and ethical hacking with Kali Linux")</f>
        <v>IT security tests and ethical hacking with Kali Linux</v>
      </c>
      <c r="F286">
        <f>IFERROR(__xludf.DUMMYFUNCTION("""COMPUTED_VALUE"""),3.0268656E7)</f>
        <v>30268656</v>
      </c>
      <c r="G286" t="str">
        <f>IFERROR(__xludf.DUMMYFUNCTION("""COMPUTED_VALUE"""),"Tom Wechsler")</f>
        <v>Tom Wechsler</v>
      </c>
      <c r="H286" t="str">
        <f>IFERROR(__xludf.DUMMYFUNCTION("""COMPUTED_VALUE"""),"Instructor Request- Opted Out")</f>
        <v>Instructor Request- Opted Out</v>
      </c>
      <c r="I286" t="str">
        <f>IFERROR(__xludf.DUMMYFUNCTION("""COMPUTED_VALUE"""),"IT Operations")</f>
        <v>IT Operations</v>
      </c>
      <c r="J286" t="str">
        <f>IFERROR(__xludf.DUMMYFUNCTION("""COMPUTED_VALUE"""),"Network &amp; Security")</f>
        <v>Network &amp; Security</v>
      </c>
      <c r="L286" s="140" t="str">
        <f>IFERROR(__xludf.DUMMYFUNCTION("""COMPUTED_VALUE"""),"")</f>
        <v/>
      </c>
      <c r="N286" s="140" t="str">
        <f>IFERROR(__xludf.DUMMYFUNCTION("""COMPUTED_VALUE"""),"")</f>
        <v/>
      </c>
      <c r="O286" s="140" t="str">
        <f>IFERROR(__xludf.DUMMYFUNCTION("""COMPUTED_VALUE"""),"No Alternatives in Collection- 11/8/20")</f>
        <v>No Alternatives in Collection- 11/8/20</v>
      </c>
    </row>
    <row r="287">
      <c r="A287" s="143">
        <f>IFERROR(__xludf.DUMMYFUNCTION("""COMPUTED_VALUE"""),44286.0)</f>
        <v>44286</v>
      </c>
      <c r="B287">
        <f>IFERROR(__xludf.DUMMYFUNCTION("""COMPUTED_VALUE"""),2332022.0)</f>
        <v>2332022</v>
      </c>
      <c r="C287" t="str">
        <f>IFERROR(__xludf.DUMMYFUNCTION("""COMPUTED_VALUE"""),"de")</f>
        <v>de</v>
      </c>
      <c r="D287" t="str">
        <f>IFERROR(__xludf.DUMMYFUNCTION("""COMPUTED_VALUE"""),"Active Directory Zertifikatsdienste mit Windows Server 2019")</f>
        <v>Active Directory Zertifikatsdienste mit Windows Server 2019</v>
      </c>
      <c r="E287" t="str">
        <f>IFERROR(__xludf.DUMMYFUNCTION("""COMPUTED_VALUE"""),"Active Directory Certificate Services with Windows Server 2019")</f>
        <v>Active Directory Certificate Services with Windows Server 2019</v>
      </c>
      <c r="F287">
        <f>IFERROR(__xludf.DUMMYFUNCTION("""COMPUTED_VALUE"""),3.0268656E7)</f>
        <v>30268656</v>
      </c>
      <c r="G287" t="str">
        <f>IFERROR(__xludf.DUMMYFUNCTION("""COMPUTED_VALUE"""),"Tom Wechsler")</f>
        <v>Tom Wechsler</v>
      </c>
      <c r="H287" t="str">
        <f>IFERROR(__xludf.DUMMYFUNCTION("""COMPUTED_VALUE"""),"Instructor Request- Opted Out")</f>
        <v>Instructor Request- Opted Out</v>
      </c>
      <c r="I287" t="str">
        <f>IFERROR(__xludf.DUMMYFUNCTION("""COMPUTED_VALUE"""),"IT Operations")</f>
        <v>IT Operations</v>
      </c>
      <c r="J287" t="str">
        <f>IFERROR(__xludf.DUMMYFUNCTION("""COMPUTED_VALUE"""),"Operating Systems &amp; Servers")</f>
        <v>Operating Systems &amp; Servers</v>
      </c>
      <c r="L287" s="140" t="str">
        <f>IFERROR(__xludf.DUMMYFUNCTION("""COMPUTED_VALUE"""),"")</f>
        <v/>
      </c>
      <c r="N287" s="140" t="str">
        <f>IFERROR(__xludf.DUMMYFUNCTION("""COMPUTED_VALUE"""),"")</f>
        <v/>
      </c>
      <c r="O287" s="140" t="str">
        <f>IFERROR(__xludf.DUMMYFUNCTION("""COMPUTED_VALUE"""),"No Alternatives in Collection- 11/8/20")</f>
        <v>No Alternatives in Collection- 11/8/20</v>
      </c>
    </row>
    <row r="288">
      <c r="A288" s="143">
        <f>IFERROR(__xludf.DUMMYFUNCTION("""COMPUTED_VALUE"""),44286.0)</f>
        <v>44286</v>
      </c>
      <c r="B288">
        <f>IFERROR(__xludf.DUMMYFUNCTION("""COMPUTED_VALUE"""),2508988.0)</f>
        <v>2508988</v>
      </c>
      <c r="C288" t="str">
        <f>IFERROR(__xludf.DUMMYFUNCTION("""COMPUTED_VALUE"""),"de")</f>
        <v>de</v>
      </c>
      <c r="D288" t="str">
        <f>IFERROR(__xludf.DUMMYFUNCTION("""COMPUTED_VALUE"""),"Active Directory Migration 2008 R2 auf 2016/2019")</f>
        <v>Active Directory Migration 2008 R2 auf 2016/2019</v>
      </c>
      <c r="E288" t="str">
        <f>IFERROR(__xludf.DUMMYFUNCTION("""COMPUTED_VALUE"""),"Active Directory Migration 2008 R2 to 2016/2019")</f>
        <v>Active Directory Migration 2008 R2 to 2016/2019</v>
      </c>
      <c r="F288">
        <f>IFERROR(__xludf.DUMMYFUNCTION("""COMPUTED_VALUE"""),3.0268656E7)</f>
        <v>30268656</v>
      </c>
      <c r="G288" t="str">
        <f>IFERROR(__xludf.DUMMYFUNCTION("""COMPUTED_VALUE"""),"Tom Wechsler")</f>
        <v>Tom Wechsler</v>
      </c>
      <c r="H288" t="str">
        <f>IFERROR(__xludf.DUMMYFUNCTION("""COMPUTED_VALUE"""),"Instructor Request- Opted Out")</f>
        <v>Instructor Request- Opted Out</v>
      </c>
      <c r="I288" t="str">
        <f>IFERROR(__xludf.DUMMYFUNCTION("""COMPUTED_VALUE"""),"Office Productivity")</f>
        <v>Office Productivity</v>
      </c>
      <c r="J288" t="str">
        <f>IFERROR(__xludf.DUMMYFUNCTION("""COMPUTED_VALUE"""),"Operating Systems")</f>
        <v>Operating Systems</v>
      </c>
      <c r="L288" s="140" t="str">
        <f>IFERROR(__xludf.DUMMYFUNCTION("""COMPUTED_VALUE"""),"")</f>
        <v/>
      </c>
      <c r="N288" s="140" t="str">
        <f>IFERROR(__xludf.DUMMYFUNCTION("""COMPUTED_VALUE"""),"")</f>
        <v/>
      </c>
      <c r="O288" s="140" t="str">
        <f>IFERROR(__xludf.DUMMYFUNCTION("""COMPUTED_VALUE"""),"No Alternatives in Collection- 11/8/20")</f>
        <v>No Alternatives in Collection- 11/8/20</v>
      </c>
    </row>
    <row r="289">
      <c r="A289" s="143">
        <f>IFERROR(__xludf.DUMMYFUNCTION("""COMPUTED_VALUE"""),44286.0)</f>
        <v>44286</v>
      </c>
      <c r="B289">
        <f>IFERROR(__xludf.DUMMYFUNCTION("""COMPUTED_VALUE"""),1413584.0)</f>
        <v>1413584</v>
      </c>
      <c r="C289" t="str">
        <f>IFERROR(__xludf.DUMMYFUNCTION("""COMPUTED_VALUE"""),"de")</f>
        <v>de</v>
      </c>
      <c r="D289" t="str">
        <f>IFERROR(__xludf.DUMMYFUNCTION("""COMPUTED_VALUE"""),"Metasploit Grundkurs")</f>
        <v>Metasploit Grundkurs</v>
      </c>
      <c r="E289" t="str">
        <f>IFERROR(__xludf.DUMMYFUNCTION("""COMPUTED_VALUE"""),"Metaplit basic course")</f>
        <v>Metaplit basic course</v>
      </c>
      <c r="F289">
        <f>IFERROR(__xludf.DUMMYFUNCTION("""COMPUTED_VALUE"""),3.0268656E7)</f>
        <v>30268656</v>
      </c>
      <c r="G289" t="str">
        <f>IFERROR(__xludf.DUMMYFUNCTION("""COMPUTED_VALUE"""),"Tom Wechsler")</f>
        <v>Tom Wechsler</v>
      </c>
      <c r="H289" t="str">
        <f>IFERROR(__xludf.DUMMYFUNCTION("""COMPUTED_VALUE"""),"Instructor Request- Opted Out")</f>
        <v>Instructor Request- Opted Out</v>
      </c>
      <c r="I289" t="str">
        <f>IFERROR(__xludf.DUMMYFUNCTION("""COMPUTED_VALUE"""),"IT Operations")</f>
        <v>IT Operations</v>
      </c>
      <c r="J289" t="str">
        <f>IFERROR(__xludf.DUMMYFUNCTION("""COMPUTED_VALUE"""),"Network &amp; Security")</f>
        <v>Network &amp; Security</v>
      </c>
      <c r="K289" s="155">
        <f>IFERROR(__xludf.DUMMYFUNCTION("""COMPUTED_VALUE"""),1160930.0)</f>
        <v>1160930</v>
      </c>
      <c r="L289" s="140" t="str">
        <f>IFERROR(__xludf.DUMMYFUNCTION("""COMPUTED_VALUE"""),"Ethical Hacking (CEHv10) - Der umfassende Kurs")</f>
        <v>Ethical Hacking (CEHv10) - Der umfassende Kurs</v>
      </c>
      <c r="N289" s="140" t="str">
        <f>IFERROR(__xludf.DUMMYFUNCTION("""COMPUTED_VALUE"""),"")</f>
        <v/>
      </c>
    </row>
    <row r="290">
      <c r="A290" s="143">
        <f>IFERROR(__xludf.DUMMYFUNCTION("""COMPUTED_VALUE"""),44286.0)</f>
        <v>44286</v>
      </c>
      <c r="B290">
        <f>IFERROR(__xludf.DUMMYFUNCTION("""COMPUTED_VALUE"""),1823602.0)</f>
        <v>1823602</v>
      </c>
      <c r="C290" t="str">
        <f>IFERROR(__xludf.DUMMYFUNCTION("""COMPUTED_VALUE"""),"de")</f>
        <v>de</v>
      </c>
      <c r="D290" t="str">
        <f>IFERROR(__xludf.DUMMYFUNCTION("""COMPUTED_VALUE"""),"Erweiterte Netzwerkdienste mit Windows Server 2016")</f>
        <v>Erweiterte Netzwerkdienste mit Windows Server 2016</v>
      </c>
      <c r="E290" t="str">
        <f>IFERROR(__xludf.DUMMYFUNCTION("""COMPUTED_VALUE"""),"Advanced network services with Windows Server 2016")</f>
        <v>Advanced network services with Windows Server 2016</v>
      </c>
      <c r="F290">
        <f>IFERROR(__xludf.DUMMYFUNCTION("""COMPUTED_VALUE"""),3.0268656E7)</f>
        <v>30268656</v>
      </c>
      <c r="G290" t="str">
        <f>IFERROR(__xludf.DUMMYFUNCTION("""COMPUTED_VALUE"""),"Tom Wechsler")</f>
        <v>Tom Wechsler</v>
      </c>
      <c r="H290" t="str">
        <f>IFERROR(__xludf.DUMMYFUNCTION("""COMPUTED_VALUE"""),"Instructor Request- Opted Out")</f>
        <v>Instructor Request- Opted Out</v>
      </c>
      <c r="I290" t="str">
        <f>IFERROR(__xludf.DUMMYFUNCTION("""COMPUTED_VALUE"""),"IT Operations")</f>
        <v>IT Operations</v>
      </c>
      <c r="J290" t="str">
        <f>IFERROR(__xludf.DUMMYFUNCTION("""COMPUTED_VALUE"""),"Network &amp; Security")</f>
        <v>Network &amp; Security</v>
      </c>
      <c r="L290" s="140" t="str">
        <f>IFERROR(__xludf.DUMMYFUNCTION("""COMPUTED_VALUE"""),"")</f>
        <v/>
      </c>
      <c r="N290" s="140" t="str">
        <f>IFERROR(__xludf.DUMMYFUNCTION("""COMPUTED_VALUE"""),"")</f>
        <v/>
      </c>
      <c r="O290" s="140" t="str">
        <f>IFERROR(__xludf.DUMMYFUNCTION("""COMPUTED_VALUE"""),"No Alternatives in Collection- 11/8/20")</f>
        <v>No Alternatives in Collection- 11/8/20</v>
      </c>
    </row>
    <row r="291">
      <c r="A291" s="143">
        <f>IFERROR(__xludf.DUMMYFUNCTION("""COMPUTED_VALUE"""),44286.0)</f>
        <v>44286</v>
      </c>
      <c r="B291">
        <f>IFERROR(__xludf.DUMMYFUNCTION("""COMPUTED_VALUE"""),2342920.0)</f>
        <v>2342920</v>
      </c>
      <c r="C291" t="str">
        <f>IFERROR(__xludf.DUMMYFUNCTION("""COMPUTED_VALUE"""),"de")</f>
        <v>de</v>
      </c>
      <c r="D291" t="str">
        <f>IFERROR(__xludf.DUMMYFUNCTION("""COMPUTED_VALUE"""),"Cisco CCNA Routing &amp; Switching 4: Infrastructure Services")</f>
        <v>Cisco CCNA Routing &amp; Switching 4: Infrastructure Services</v>
      </c>
      <c r="E291" t="str">
        <f>IFERROR(__xludf.DUMMYFUNCTION("""COMPUTED_VALUE"""),"Cisco CCNA Routing &amp; Switching 4: Infrastructure Services")</f>
        <v>Cisco CCNA Routing &amp; Switching 4: Infrastructure Services</v>
      </c>
      <c r="F291">
        <f>IFERROR(__xludf.DUMMYFUNCTION("""COMPUTED_VALUE"""),3.0268656E7)</f>
        <v>30268656</v>
      </c>
      <c r="G291" t="str">
        <f>IFERROR(__xludf.DUMMYFUNCTION("""COMPUTED_VALUE"""),"Tom Wechsler")</f>
        <v>Tom Wechsler</v>
      </c>
      <c r="H291" t="str">
        <f>IFERROR(__xludf.DUMMYFUNCTION("""COMPUTED_VALUE"""),"Instructor Request- Opted Out")</f>
        <v>Instructor Request- Opted Out</v>
      </c>
      <c r="I291" t="str">
        <f>IFERROR(__xludf.DUMMYFUNCTION("""COMPUTED_VALUE"""),"IT Operations")</f>
        <v>IT Operations</v>
      </c>
      <c r="J291" t="str">
        <f>IFERROR(__xludf.DUMMYFUNCTION("""COMPUTED_VALUE"""),"IT Certifications")</f>
        <v>IT Certifications</v>
      </c>
      <c r="L291" s="140" t="str">
        <f>IFERROR(__xludf.DUMMYFUNCTION("""COMPUTED_VALUE"""),"")</f>
        <v/>
      </c>
      <c r="N291" s="140" t="str">
        <f>IFERROR(__xludf.DUMMYFUNCTION("""COMPUTED_VALUE"""),"")</f>
        <v/>
      </c>
      <c r="O291" s="140" t="str">
        <f>IFERROR(__xludf.DUMMYFUNCTION("""COMPUTED_VALUE"""),"No Alternatives in Collection- 11/8/20")</f>
        <v>No Alternatives in Collection- 11/8/20</v>
      </c>
    </row>
    <row r="292">
      <c r="A292" s="143">
        <f>IFERROR(__xludf.DUMMYFUNCTION("""COMPUTED_VALUE"""),44286.0)</f>
        <v>44286</v>
      </c>
      <c r="B292">
        <f>IFERROR(__xludf.DUMMYFUNCTION("""COMPUTED_VALUE"""),1989796.0)</f>
        <v>1989796</v>
      </c>
      <c r="C292" t="str">
        <f>IFERROR(__xludf.DUMMYFUNCTION("""COMPUTED_VALUE"""),"de")</f>
        <v>de</v>
      </c>
      <c r="D292" t="str">
        <f>IFERROR(__xludf.DUMMYFUNCTION("""COMPUTED_VALUE"""),"Red Hat Cert Prep RHCSA 3: Konfiguration von lokalem Storage")</f>
        <v>Red Hat Cert Prep RHCSA 3: Konfiguration von lokalem Storage</v>
      </c>
      <c r="E292" t="str">
        <f>IFERROR(__xludf.DUMMYFUNCTION("""COMPUTED_VALUE"""),"Red Hat Cert Prep Rhcsa 3: Configuration of Local Storage")</f>
        <v>Red Hat Cert Prep Rhcsa 3: Configuration of Local Storage</v>
      </c>
      <c r="F292">
        <f>IFERROR(__xludf.DUMMYFUNCTION("""COMPUTED_VALUE"""),3.0268656E7)</f>
        <v>30268656</v>
      </c>
      <c r="G292" t="str">
        <f>IFERROR(__xludf.DUMMYFUNCTION("""COMPUTED_VALUE"""),"Tom Wechsler")</f>
        <v>Tom Wechsler</v>
      </c>
      <c r="H292" t="str">
        <f>IFERROR(__xludf.DUMMYFUNCTION("""COMPUTED_VALUE"""),"Instructor Request- Opted Out")</f>
        <v>Instructor Request- Opted Out</v>
      </c>
      <c r="I292" t="str">
        <f>IFERROR(__xludf.DUMMYFUNCTION("""COMPUTED_VALUE"""),"IT Operations")</f>
        <v>IT Operations</v>
      </c>
      <c r="J292" t="str">
        <f>IFERROR(__xludf.DUMMYFUNCTION("""COMPUTED_VALUE"""),"IT Certifications")</f>
        <v>IT Certifications</v>
      </c>
      <c r="L292" s="140" t="str">
        <f>IFERROR(__xludf.DUMMYFUNCTION("""COMPUTED_VALUE"""),"")</f>
        <v/>
      </c>
      <c r="N292" s="140" t="str">
        <f>IFERROR(__xludf.DUMMYFUNCTION("""COMPUTED_VALUE"""),"")</f>
        <v/>
      </c>
      <c r="O292" s="140" t="str">
        <f>IFERROR(__xludf.DUMMYFUNCTION("""COMPUTED_VALUE"""),"No Alternatives in Collection- 11/8/20")</f>
        <v>No Alternatives in Collection- 11/8/20</v>
      </c>
    </row>
    <row r="293">
      <c r="A293" s="143">
        <f>IFERROR(__xludf.DUMMYFUNCTION("""COMPUTED_VALUE"""),44286.0)</f>
        <v>44286</v>
      </c>
      <c r="B293">
        <f>IFERROR(__xludf.DUMMYFUNCTION("""COMPUTED_VALUE"""),2238136.0)</f>
        <v>2238136</v>
      </c>
      <c r="C293" t="str">
        <f>IFERROR(__xludf.DUMMYFUNCTION("""COMPUTED_VALUE"""),"de")</f>
        <v>de</v>
      </c>
      <c r="D293" t="str">
        <f>IFERROR(__xludf.DUMMYFUNCTION("""COMPUTED_VALUE"""),"Cisco CCNA Routing &amp; Switching 3: WAN Technologies")</f>
        <v>Cisco CCNA Routing &amp; Switching 3: WAN Technologies</v>
      </c>
      <c r="E293" t="str">
        <f>IFERROR(__xludf.DUMMYFUNCTION("""COMPUTED_VALUE"""),"Cisco CCNA Routing &amp; Switching 3: WAN Technologies")</f>
        <v>Cisco CCNA Routing &amp; Switching 3: WAN Technologies</v>
      </c>
      <c r="F293">
        <f>IFERROR(__xludf.DUMMYFUNCTION("""COMPUTED_VALUE"""),3.0268656E7)</f>
        <v>30268656</v>
      </c>
      <c r="G293" t="str">
        <f>IFERROR(__xludf.DUMMYFUNCTION("""COMPUTED_VALUE"""),"Tom Wechsler")</f>
        <v>Tom Wechsler</v>
      </c>
      <c r="H293" t="str">
        <f>IFERROR(__xludf.DUMMYFUNCTION("""COMPUTED_VALUE"""),"Instructor Request- Opted Out")</f>
        <v>Instructor Request- Opted Out</v>
      </c>
      <c r="I293" t="str">
        <f>IFERROR(__xludf.DUMMYFUNCTION("""COMPUTED_VALUE"""),"IT Operations")</f>
        <v>IT Operations</v>
      </c>
      <c r="J293" t="str">
        <f>IFERROR(__xludf.DUMMYFUNCTION("""COMPUTED_VALUE"""),"IT Certifications")</f>
        <v>IT Certifications</v>
      </c>
      <c r="L293" s="140" t="str">
        <f>IFERROR(__xludf.DUMMYFUNCTION("""COMPUTED_VALUE"""),"")</f>
        <v/>
      </c>
      <c r="N293" s="140" t="str">
        <f>IFERROR(__xludf.DUMMYFUNCTION("""COMPUTED_VALUE"""),"")</f>
        <v/>
      </c>
      <c r="O293" s="140" t="str">
        <f>IFERROR(__xludf.DUMMYFUNCTION("""COMPUTED_VALUE"""),"No Alternatives in Collection- 11/8/20")</f>
        <v>No Alternatives in Collection- 11/8/20</v>
      </c>
    </row>
    <row r="294">
      <c r="A294" s="143">
        <f>IFERROR(__xludf.DUMMYFUNCTION("""COMPUTED_VALUE"""),44286.0)</f>
        <v>44286</v>
      </c>
      <c r="B294">
        <f>IFERROR(__xludf.DUMMYFUNCTION("""COMPUTED_VALUE"""),1641204.0)</f>
        <v>1641204</v>
      </c>
      <c r="C294" t="str">
        <f>IFERROR(__xludf.DUMMYFUNCTION("""COMPUTED_VALUE"""),"de")</f>
        <v>de</v>
      </c>
      <c r="D294" t="str">
        <f>IFERROR(__xludf.DUMMYFUNCTION("""COMPUTED_VALUE"""),"Hyper-V Failover Cluster mit Windows Server 2016")</f>
        <v>Hyper-V Failover Cluster mit Windows Server 2016</v>
      </c>
      <c r="E294" t="str">
        <f>IFERROR(__xludf.DUMMYFUNCTION("""COMPUTED_VALUE"""),"Hyper-V Failover Cluster mit Windows Server 2016")</f>
        <v>Hyper-V Failover Cluster mit Windows Server 2016</v>
      </c>
      <c r="F294">
        <f>IFERROR(__xludf.DUMMYFUNCTION("""COMPUTED_VALUE"""),3.0268656E7)</f>
        <v>30268656</v>
      </c>
      <c r="G294" t="str">
        <f>IFERROR(__xludf.DUMMYFUNCTION("""COMPUTED_VALUE"""),"Tom Wechsler")</f>
        <v>Tom Wechsler</v>
      </c>
      <c r="H294" t="str">
        <f>IFERROR(__xludf.DUMMYFUNCTION("""COMPUTED_VALUE"""),"Instructor Request- Opted Out")</f>
        <v>Instructor Request- Opted Out</v>
      </c>
      <c r="I294" t="str">
        <f>IFERROR(__xludf.DUMMYFUNCTION("""COMPUTED_VALUE"""),"Office Productivity")</f>
        <v>Office Productivity</v>
      </c>
      <c r="J294" t="str">
        <f>IFERROR(__xludf.DUMMYFUNCTION("""COMPUTED_VALUE"""),"Operating Systems")</f>
        <v>Operating Systems</v>
      </c>
      <c r="L294" s="140" t="str">
        <f>IFERROR(__xludf.DUMMYFUNCTION("""COMPUTED_VALUE"""),"")</f>
        <v/>
      </c>
      <c r="N294" s="140" t="str">
        <f>IFERROR(__xludf.DUMMYFUNCTION("""COMPUTED_VALUE"""),"")</f>
        <v/>
      </c>
      <c r="O294" s="140" t="str">
        <f>IFERROR(__xludf.DUMMYFUNCTION("""COMPUTED_VALUE"""),"No Alternatives in Collection- 11/8/20")</f>
        <v>No Alternatives in Collection- 11/8/20</v>
      </c>
    </row>
    <row r="295">
      <c r="A295" s="143">
        <f>IFERROR(__xludf.DUMMYFUNCTION("""COMPUTED_VALUE"""),44286.0)</f>
        <v>44286</v>
      </c>
      <c r="B295">
        <f>IFERROR(__xludf.DUMMYFUNCTION("""COMPUTED_VALUE"""),1739246.0)</f>
        <v>1739246</v>
      </c>
      <c r="C295" t="str">
        <f>IFERROR(__xludf.DUMMYFUNCTION("""COMPUTED_VALUE"""),"es")</f>
        <v>es</v>
      </c>
      <c r="D295" t="str">
        <f>IFERROR(__xludf.DUMMYFUNCTION("""COMPUTED_VALUE"""),"INSTAGRAM: Trucos Prácticos para las Historias de Instagram")</f>
        <v>INSTAGRAM: Trucos Prácticos para las Historias de Instagram</v>
      </c>
      <c r="E295" t="str">
        <f>IFERROR(__xludf.DUMMYFUNCTION("""COMPUTED_VALUE"""),"Instagram: Practical tricks for Instagram stories")</f>
        <v>Instagram: Practical tricks for Instagram stories</v>
      </c>
      <c r="F295">
        <f>IFERROR(__xludf.DUMMYFUNCTION("""COMPUTED_VALUE"""),2.7640012E7)</f>
        <v>27640012</v>
      </c>
      <c r="G295" t="str">
        <f>IFERROR(__xludf.DUMMYFUNCTION("""COMPUTED_VALUE"""),"Diana Muñoz")</f>
        <v>Diana Muñoz</v>
      </c>
      <c r="H295" t="str">
        <f>IFERROR(__xludf.DUMMYFUNCTION("""COMPUTED_VALUE"""),"Instructor Request- Outdated")</f>
        <v>Instructor Request- Outdated</v>
      </c>
      <c r="I295" t="str">
        <f>IFERROR(__xludf.DUMMYFUNCTION("""COMPUTED_VALUE"""),"Marketing")</f>
        <v>Marketing</v>
      </c>
      <c r="J295" t="str">
        <f>IFERROR(__xludf.DUMMYFUNCTION("""COMPUTED_VALUE"""),"Social Media Marketing")</f>
        <v>Social Media Marketing</v>
      </c>
      <c r="K295" s="155">
        <f>IFERROR(__xludf.DUMMYFUNCTION("""COMPUTED_VALUE"""),1610186.0)</f>
        <v>1610186</v>
      </c>
      <c r="L295" s="140" t="str">
        <f>IFERROR(__xludf.DUMMYFUNCTION("""COMPUTED_VALUE"""),"INSTAGRAM MARKETING: Curso Intensivo de Instagram")</f>
        <v>INSTAGRAM MARKETING: Curso Intensivo de Instagram</v>
      </c>
      <c r="M295" s="155">
        <f>IFERROR(__xludf.DUMMYFUNCTION("""COMPUTED_VALUE"""),1714668.0)</f>
        <v>1714668</v>
      </c>
      <c r="N295" s="140" t="str">
        <f>IFERROR(__xludf.DUMMYFUNCTION("""COMPUTED_VALUE"""),"Curso Completo de Instagram Marketing .")</f>
        <v>Curso Completo de Instagram Marketing .</v>
      </c>
    </row>
    <row r="296">
      <c r="A296" s="143">
        <f>IFERROR(__xludf.DUMMYFUNCTION("""COMPUTED_VALUE"""),44286.0)</f>
        <v>44286</v>
      </c>
      <c r="B296">
        <f>IFERROR(__xludf.DUMMYFUNCTION("""COMPUTED_VALUE"""),1629208.0)</f>
        <v>1629208</v>
      </c>
      <c r="C296" t="str">
        <f>IFERROR(__xludf.DUMMYFUNCTION("""COMPUTED_VALUE"""),"pt")</f>
        <v>pt</v>
      </c>
      <c r="D296" t="str">
        <f>IFERROR(__xludf.DUMMYFUNCTION("""COMPUTED_VALUE"""),"RPG 2D com Unity: Jogos no estilo Top Down")</f>
        <v>RPG 2D com Unity: Jogos no estilo Top Down</v>
      </c>
      <c r="E296" t="str">
        <f>IFERROR(__xludf.DUMMYFUNCTION("""COMPUTED_VALUE"""),"RPG 2D with Unity: Top Down Style Games")</f>
        <v>RPG 2D with Unity: Top Down Style Games</v>
      </c>
      <c r="F296">
        <f>IFERROR(__xludf.DUMMYFUNCTION("""COMPUTED_VALUE"""),2.8184902E7)</f>
        <v>28184902</v>
      </c>
      <c r="G296" t="str">
        <f>IFERROR(__xludf.DUMMYFUNCTION("""COMPUTED_VALUE"""),"Wiliam Nascimento")</f>
        <v>Wiliam Nascimento</v>
      </c>
      <c r="H296" t="str">
        <f>IFERROR(__xludf.DUMMYFUNCTION("""COMPUTED_VALUE"""),"Instructor Request- Outdated")</f>
        <v>Instructor Request- Outdated</v>
      </c>
      <c r="I296" t="str">
        <f>IFERROR(__xludf.DUMMYFUNCTION("""COMPUTED_VALUE"""),"Development")</f>
        <v>Development</v>
      </c>
      <c r="J296" t="str">
        <f>IFERROR(__xludf.DUMMYFUNCTION("""COMPUTED_VALUE"""),"Game Development")</f>
        <v>Game Development</v>
      </c>
      <c r="K296" s="155">
        <f>IFERROR(__xludf.DUMMYFUNCTION("""COMPUTED_VALUE"""),1594508.0)</f>
        <v>1594508</v>
      </c>
      <c r="L296" s="140" t="str">
        <f>IFERROR(__xludf.DUMMYFUNCTION("""COMPUTED_VALUE"""),"Aprenda Unity - 2D Definitivo")</f>
        <v>Aprenda Unity - 2D Definitivo</v>
      </c>
      <c r="N296" s="140" t="str">
        <f>IFERROR(__xludf.DUMMYFUNCTION("""COMPUTED_VALUE"""),"")</f>
        <v/>
      </c>
    </row>
    <row r="297">
      <c r="A297" s="143">
        <f>IFERROR(__xludf.DUMMYFUNCTION("""COMPUTED_VALUE"""),44286.0)</f>
        <v>44286</v>
      </c>
      <c r="B297">
        <f>IFERROR(__xludf.DUMMYFUNCTION("""COMPUTED_VALUE"""),1120244.0)</f>
        <v>1120244</v>
      </c>
      <c r="C297" t="str">
        <f>IFERROR(__xludf.DUMMYFUNCTION("""COMPUTED_VALUE"""),"en")</f>
        <v>en</v>
      </c>
      <c r="D297" t="str">
        <f>IFERROR(__xludf.DUMMYFUNCTION("""COMPUTED_VALUE"""),"CCNA VLOGs: Pass your CCNA 200-125, ICND1 or ICND2 exam!")</f>
        <v>CCNA VLOGs: Pass your CCNA 200-125, ICND1 or ICND2 exam!</v>
      </c>
      <c r="E297" t="str">
        <f>IFERROR(__xludf.DUMMYFUNCTION("""COMPUTED_VALUE"""),"CCNA VLOGs: Pass your CCNA 200-125, ICND1 or ICND2 exam!")</f>
        <v>CCNA VLOGs: Pass your CCNA 200-125, ICND1 or ICND2 exam!</v>
      </c>
      <c r="F297">
        <f>IFERROR(__xludf.DUMMYFUNCTION("""COMPUTED_VALUE"""),794308.0)</f>
        <v>794308</v>
      </c>
      <c r="G297" t="str">
        <f>IFERROR(__xludf.DUMMYFUNCTION("""COMPUTED_VALUE"""),"David Bombal")</f>
        <v>David Bombal</v>
      </c>
      <c r="H297" t="str">
        <f>IFERROR(__xludf.DUMMYFUNCTION("""COMPUTED_VALUE"""),"Saturated Topic")</f>
        <v>Saturated Topic</v>
      </c>
      <c r="I297" t="str">
        <f>IFERROR(__xludf.DUMMYFUNCTION("""COMPUTED_VALUE"""),"IT Operations")</f>
        <v>IT Operations</v>
      </c>
      <c r="J297" t="str">
        <f>IFERROR(__xludf.DUMMYFUNCTION("""COMPUTED_VALUE"""),"IT Certifications")</f>
        <v>IT Certifications</v>
      </c>
      <c r="K297" s="155">
        <f>IFERROR(__xludf.DUMMYFUNCTION("""COMPUTED_VALUE"""),948368.0)</f>
        <v>948368</v>
      </c>
      <c r="L297" s="140" t="str">
        <f>IFERROR(__xludf.DUMMYFUNCTION("""COMPUTED_VALUE"""),"Cisco NEW CCNA R/S (200-125): The Complete Course")</f>
        <v>Cisco NEW CCNA R/S (200-125): The Complete Course</v>
      </c>
      <c r="M297" s="155">
        <f>IFERROR(__xludf.DUMMYFUNCTION("""COMPUTED_VALUE"""),1614078.0)</f>
        <v>1614078</v>
      </c>
      <c r="N297" s="140" t="str">
        <f>IFERROR(__xludf.DUMMYFUNCTION("""COMPUTED_VALUE"""),"Cisco CCNA Packet Tracer Ultimate labs: ICND2 Exam prep labs")</f>
        <v>Cisco CCNA Packet Tracer Ultimate labs: ICND2 Exam prep labs</v>
      </c>
    </row>
    <row r="298">
      <c r="A298" s="143">
        <f>IFERROR(__xludf.DUMMYFUNCTION("""COMPUTED_VALUE"""),44286.0)</f>
        <v>44286</v>
      </c>
      <c r="B298">
        <f>IFERROR(__xludf.DUMMYFUNCTION("""COMPUTED_VALUE"""),806536.0)</f>
        <v>806536</v>
      </c>
      <c r="C298" t="str">
        <f>IFERROR(__xludf.DUMMYFUNCTION("""COMPUTED_VALUE"""),"en")</f>
        <v>en</v>
      </c>
      <c r="D298" t="str">
        <f>IFERROR(__xludf.DUMMYFUNCTION("""COMPUTED_VALUE"""),"Master Riot v3: Learn Riot.js from Scratch")</f>
        <v>Master Riot v3: Learn Riot.js from Scratch</v>
      </c>
      <c r="E298" t="str">
        <f>IFERROR(__xludf.DUMMYFUNCTION("""COMPUTED_VALUE"""),"Master Riot v3: Learn Riot.js from Scratch")</f>
        <v>Master Riot v3: Learn Riot.js from Scratch</v>
      </c>
      <c r="F298">
        <f>IFERROR(__xludf.DUMMYFUNCTION("""COMPUTED_VALUE"""),1.2574308E7)</f>
        <v>12574308</v>
      </c>
      <c r="G298" t="str">
        <f>IFERROR(__xludf.DUMMYFUNCTION("""COMPUTED_VALUE"""),"Ray Viljoen")</f>
        <v>Ray Viljoen</v>
      </c>
      <c r="H298" t="str">
        <f>IFERROR(__xludf.DUMMYFUNCTION("""COMPUTED_VALUE"""),"Saturated Topic")</f>
        <v>Saturated Topic</v>
      </c>
      <c r="I298" t="str">
        <f>IFERROR(__xludf.DUMMYFUNCTION("""COMPUTED_VALUE"""),"Development")</f>
        <v>Development</v>
      </c>
      <c r="J298" t="str">
        <f>IFERROR(__xludf.DUMMYFUNCTION("""COMPUTED_VALUE"""),"Web Development")</f>
        <v>Web Development</v>
      </c>
      <c r="L298" s="140" t="str">
        <f>IFERROR(__xludf.DUMMYFUNCTION("""COMPUTED_VALUE"""),"")</f>
        <v/>
      </c>
      <c r="N298" s="140" t="str">
        <f>IFERROR(__xludf.DUMMYFUNCTION("""COMPUTED_VALUE"""),"")</f>
        <v/>
      </c>
      <c r="O298" s="140" t="str">
        <f>IFERROR(__xludf.DUMMYFUNCTION("""COMPUTED_VALUE"""),"No Alternatives in Collection- 12/17/20")</f>
        <v>No Alternatives in Collection- 12/17/20</v>
      </c>
    </row>
    <row r="299">
      <c r="A299" s="143">
        <f>IFERROR(__xludf.DUMMYFUNCTION("""COMPUTED_VALUE"""),44286.0)</f>
        <v>44286</v>
      </c>
      <c r="B299">
        <f>IFERROR(__xludf.DUMMYFUNCTION("""COMPUTED_VALUE"""),692244.0)</f>
        <v>692244</v>
      </c>
      <c r="C299" t="str">
        <f>IFERROR(__xludf.DUMMYFUNCTION("""COMPUTED_VALUE"""),"en")</f>
        <v>en</v>
      </c>
      <c r="D299" t="str">
        <f>IFERROR(__xludf.DUMMYFUNCTION("""COMPUTED_VALUE"""),"The Philosophy of FileMaker - Part 1")</f>
        <v>The Philosophy of FileMaker - Part 1</v>
      </c>
      <c r="E299" t="str">
        <f>IFERROR(__xludf.DUMMYFUNCTION("""COMPUTED_VALUE"""),"The Philosophy of FileMaker - Part 1")</f>
        <v>The Philosophy of FileMaker - Part 1</v>
      </c>
      <c r="F299">
        <f>IFERROR(__xludf.DUMMYFUNCTION("""COMPUTED_VALUE"""),1.8447102E7)</f>
        <v>18447102</v>
      </c>
      <c r="G299" t="str">
        <f>IFERROR(__xludf.DUMMYFUNCTION("""COMPUTED_VALUE"""),"John Mark Osborne")</f>
        <v>John Mark Osborne</v>
      </c>
      <c r="H299" t="str">
        <f>IFERROR(__xludf.DUMMYFUNCTION("""COMPUTED_VALUE"""),"Saturated Topic")</f>
        <v>Saturated Topic</v>
      </c>
      <c r="I299" t="str">
        <f>IFERROR(__xludf.DUMMYFUNCTION("""COMPUTED_VALUE"""),"Development")</f>
        <v>Development</v>
      </c>
      <c r="J299" t="str">
        <f>IFERROR(__xludf.DUMMYFUNCTION("""COMPUTED_VALUE"""),"Database Design &amp; Development")</f>
        <v>Database Design &amp; Development</v>
      </c>
      <c r="L299" s="140" t="str">
        <f>IFERROR(__xludf.DUMMYFUNCTION("""COMPUTED_VALUE"""),"")</f>
        <v/>
      </c>
      <c r="N299" s="140" t="str">
        <f>IFERROR(__xludf.DUMMYFUNCTION("""COMPUTED_VALUE"""),"")</f>
        <v/>
      </c>
      <c r="O299" s="140" t="str">
        <f>IFERROR(__xludf.DUMMYFUNCTION("""COMPUTED_VALUE"""),"No Alternatives in Collection- 12/17/20")</f>
        <v>No Alternatives in Collection- 12/17/20</v>
      </c>
    </row>
    <row r="300">
      <c r="A300" s="143">
        <f>IFERROR(__xludf.DUMMYFUNCTION("""COMPUTED_VALUE"""),44286.0)</f>
        <v>44286</v>
      </c>
      <c r="B300">
        <f>IFERROR(__xludf.DUMMYFUNCTION("""COMPUTED_VALUE"""),898918.0)</f>
        <v>898918</v>
      </c>
      <c r="C300" t="str">
        <f>IFERROR(__xludf.DUMMYFUNCTION("""COMPUTED_VALUE"""),"en")</f>
        <v>en</v>
      </c>
      <c r="D300" t="str">
        <f>IFERROR(__xludf.DUMMYFUNCTION("""COMPUTED_VALUE"""),"The Philosophy of FileMaker - Part 2")</f>
        <v>The Philosophy of FileMaker - Part 2</v>
      </c>
      <c r="E300" t="str">
        <f>IFERROR(__xludf.DUMMYFUNCTION("""COMPUTED_VALUE"""),"The Philosophy of FileMaker - Part 2")</f>
        <v>The Philosophy of FileMaker - Part 2</v>
      </c>
      <c r="F300">
        <f>IFERROR(__xludf.DUMMYFUNCTION("""COMPUTED_VALUE"""),1.8447102E7)</f>
        <v>18447102</v>
      </c>
      <c r="G300" t="str">
        <f>IFERROR(__xludf.DUMMYFUNCTION("""COMPUTED_VALUE"""),"John Mark Osborne")</f>
        <v>John Mark Osborne</v>
      </c>
      <c r="H300" t="str">
        <f>IFERROR(__xludf.DUMMYFUNCTION("""COMPUTED_VALUE"""),"Saturated Topic")</f>
        <v>Saturated Topic</v>
      </c>
      <c r="I300" t="str">
        <f>IFERROR(__xludf.DUMMYFUNCTION("""COMPUTED_VALUE"""),"Development")</f>
        <v>Development</v>
      </c>
      <c r="J300" t="str">
        <f>IFERROR(__xludf.DUMMYFUNCTION("""COMPUTED_VALUE"""),"Database Design &amp; Development")</f>
        <v>Database Design &amp; Development</v>
      </c>
      <c r="L300" s="140" t="str">
        <f>IFERROR(__xludf.DUMMYFUNCTION("""COMPUTED_VALUE"""),"")</f>
        <v/>
      </c>
      <c r="N300" s="140" t="str">
        <f>IFERROR(__xludf.DUMMYFUNCTION("""COMPUTED_VALUE"""),"")</f>
        <v/>
      </c>
      <c r="O300" s="140" t="str">
        <f>IFERROR(__xludf.DUMMYFUNCTION("""COMPUTED_VALUE"""),"No Alternatives in Collection- 12/17/20")</f>
        <v>No Alternatives in Collection- 12/17/20</v>
      </c>
    </row>
    <row r="301">
      <c r="A301" s="143">
        <f>IFERROR(__xludf.DUMMYFUNCTION("""COMPUTED_VALUE"""),44286.0)</f>
        <v>44286</v>
      </c>
      <c r="B301">
        <f>IFERROR(__xludf.DUMMYFUNCTION("""COMPUTED_VALUE"""),945712.0)</f>
        <v>945712</v>
      </c>
      <c r="C301" t="str">
        <f>IFERROR(__xludf.DUMMYFUNCTION("""COMPUTED_VALUE"""),"en")</f>
        <v>en</v>
      </c>
      <c r="D301" t="str">
        <f>IFERROR(__xludf.DUMMYFUNCTION("""COMPUTED_VALUE"""),"The Philosophy of FileMaker - Part 4")</f>
        <v>The Philosophy of FileMaker - Part 4</v>
      </c>
      <c r="E301" t="str">
        <f>IFERROR(__xludf.DUMMYFUNCTION("""COMPUTED_VALUE"""),"The Philosophy of FileMaker - Part 4")</f>
        <v>The Philosophy of FileMaker - Part 4</v>
      </c>
      <c r="F301">
        <f>IFERROR(__xludf.DUMMYFUNCTION("""COMPUTED_VALUE"""),1.8447102E7)</f>
        <v>18447102</v>
      </c>
      <c r="G301" t="str">
        <f>IFERROR(__xludf.DUMMYFUNCTION("""COMPUTED_VALUE"""),"John Mark Osborne")</f>
        <v>John Mark Osborne</v>
      </c>
      <c r="H301" t="str">
        <f>IFERROR(__xludf.DUMMYFUNCTION("""COMPUTED_VALUE"""),"Saturated Topic")</f>
        <v>Saturated Topic</v>
      </c>
      <c r="I301" t="str">
        <f>IFERROR(__xludf.DUMMYFUNCTION("""COMPUTED_VALUE"""),"Development")</f>
        <v>Development</v>
      </c>
      <c r="J301" t="str">
        <f>IFERROR(__xludf.DUMMYFUNCTION("""COMPUTED_VALUE"""),"Database Design &amp; Development")</f>
        <v>Database Design &amp; Development</v>
      </c>
      <c r="L301" s="140" t="str">
        <f>IFERROR(__xludf.DUMMYFUNCTION("""COMPUTED_VALUE"""),"")</f>
        <v/>
      </c>
      <c r="N301" s="140" t="str">
        <f>IFERROR(__xludf.DUMMYFUNCTION("""COMPUTED_VALUE"""),"")</f>
        <v/>
      </c>
      <c r="O301" s="140" t="str">
        <f>IFERROR(__xludf.DUMMYFUNCTION("""COMPUTED_VALUE"""),"No Alternatives in Collection- 12/17/20")</f>
        <v>No Alternatives in Collection- 12/17/20</v>
      </c>
    </row>
    <row r="302">
      <c r="A302" s="143">
        <f>IFERROR(__xludf.DUMMYFUNCTION("""COMPUTED_VALUE"""),44286.0)</f>
        <v>44286</v>
      </c>
      <c r="B302">
        <f>IFERROR(__xludf.DUMMYFUNCTION("""COMPUTED_VALUE"""),916436.0)</f>
        <v>916436</v>
      </c>
      <c r="C302" t="str">
        <f>IFERROR(__xludf.DUMMYFUNCTION("""COMPUTED_VALUE"""),"en")</f>
        <v>en</v>
      </c>
      <c r="D302" t="str">
        <f>IFERROR(__xludf.DUMMYFUNCTION("""COMPUTED_VALUE"""),"The Philosophy of FileMaker - Part 3")</f>
        <v>The Philosophy of FileMaker - Part 3</v>
      </c>
      <c r="E302" t="str">
        <f>IFERROR(__xludf.DUMMYFUNCTION("""COMPUTED_VALUE"""),"The Philosophy of FileMaker - Part 3")</f>
        <v>The Philosophy of FileMaker - Part 3</v>
      </c>
      <c r="F302">
        <f>IFERROR(__xludf.DUMMYFUNCTION("""COMPUTED_VALUE"""),1.8447102E7)</f>
        <v>18447102</v>
      </c>
      <c r="G302" t="str">
        <f>IFERROR(__xludf.DUMMYFUNCTION("""COMPUTED_VALUE"""),"John Mark Osborne")</f>
        <v>John Mark Osborne</v>
      </c>
      <c r="H302" t="str">
        <f>IFERROR(__xludf.DUMMYFUNCTION("""COMPUTED_VALUE"""),"Saturated Topic")</f>
        <v>Saturated Topic</v>
      </c>
      <c r="I302" t="str">
        <f>IFERROR(__xludf.DUMMYFUNCTION("""COMPUTED_VALUE"""),"Development")</f>
        <v>Development</v>
      </c>
      <c r="J302" t="str">
        <f>IFERROR(__xludf.DUMMYFUNCTION("""COMPUTED_VALUE"""),"Database Design &amp; Development")</f>
        <v>Database Design &amp; Development</v>
      </c>
      <c r="L302" s="140" t="str">
        <f>IFERROR(__xludf.DUMMYFUNCTION("""COMPUTED_VALUE"""),"")</f>
        <v/>
      </c>
      <c r="N302" s="140" t="str">
        <f>IFERROR(__xludf.DUMMYFUNCTION("""COMPUTED_VALUE"""),"")</f>
        <v/>
      </c>
      <c r="O302" s="140" t="str">
        <f>IFERROR(__xludf.DUMMYFUNCTION("""COMPUTED_VALUE"""),"No Alternatives in Collection- 12/17/20")</f>
        <v>No Alternatives in Collection- 12/17/20</v>
      </c>
    </row>
    <row r="303">
      <c r="A303" s="143">
        <f>IFERROR(__xludf.DUMMYFUNCTION("""COMPUTED_VALUE"""),44286.0)</f>
        <v>44286</v>
      </c>
      <c r="B303">
        <f>IFERROR(__xludf.DUMMYFUNCTION("""COMPUTED_VALUE"""),219064.0)</f>
        <v>219064</v>
      </c>
      <c r="C303" t="str">
        <f>IFERROR(__xludf.DUMMYFUNCTION("""COMPUTED_VALUE"""),"en")</f>
        <v>en</v>
      </c>
      <c r="D303" t="str">
        <f>IFERROR(__xludf.DUMMYFUNCTION("""COMPUTED_VALUE"""),"Excel for Accountants: Volume 1")</f>
        <v>Excel for Accountants: Volume 1</v>
      </c>
      <c r="E303" t="str">
        <f>IFERROR(__xludf.DUMMYFUNCTION("""COMPUTED_VALUE"""),"Excel for Accountants: Volume 1")</f>
        <v>Excel for Accountants: Volume 1</v>
      </c>
      <c r="F303">
        <f>IFERROR(__xludf.DUMMYFUNCTION("""COMPUTED_VALUE"""),5295084.0)</f>
        <v>5295084</v>
      </c>
      <c r="G303" t="str">
        <f>IFERROR(__xludf.DUMMYFUNCTION("""COMPUTED_VALUE"""),"Jeff Lenning")</f>
        <v>Jeff Lenning</v>
      </c>
      <c r="H303" t="str">
        <f>IFERROR(__xludf.DUMMYFUNCTION("""COMPUTED_VALUE"""),"Saturated Topic")</f>
        <v>Saturated Topic</v>
      </c>
      <c r="I303" t="str">
        <f>IFERROR(__xludf.DUMMYFUNCTION("""COMPUTED_VALUE"""),"Finance &amp; Accounting")</f>
        <v>Finance &amp; Accounting</v>
      </c>
      <c r="J303" t="str">
        <f>IFERROR(__xludf.DUMMYFUNCTION("""COMPUTED_VALUE"""),"Financial Modeling &amp; Analysis")</f>
        <v>Financial Modeling &amp; Analysis</v>
      </c>
      <c r="K303" s="155">
        <f>IFERROR(__xludf.DUMMYFUNCTION("""COMPUTED_VALUE"""),516446.0)</f>
        <v>516446</v>
      </c>
      <c r="L303" s="140" t="str">
        <f>IFERROR(__xludf.DUMMYFUNCTION("""COMPUTED_VALUE"""),"Microsoft Excel - Advanced Excel Formulas &amp; Functions")</f>
        <v>Microsoft Excel - Advanced Excel Formulas &amp; Functions</v>
      </c>
      <c r="N303" s="140" t="str">
        <f>IFERROR(__xludf.DUMMYFUNCTION("""COMPUTED_VALUE"""),"")</f>
        <v/>
      </c>
    </row>
    <row r="304">
      <c r="A304" s="143">
        <f>IFERROR(__xludf.DUMMYFUNCTION("""COMPUTED_VALUE"""),44286.0)</f>
        <v>44286</v>
      </c>
      <c r="B304">
        <f>IFERROR(__xludf.DUMMYFUNCTION("""COMPUTED_VALUE"""),219058.0)</f>
        <v>219058</v>
      </c>
      <c r="C304" t="str">
        <f>IFERROR(__xludf.DUMMYFUNCTION("""COMPUTED_VALUE"""),"en")</f>
        <v>en</v>
      </c>
      <c r="D304" t="str">
        <f>IFERROR(__xludf.DUMMYFUNCTION("""COMPUTED_VALUE"""),"Excel for Accountants: Volume 2")</f>
        <v>Excel for Accountants: Volume 2</v>
      </c>
      <c r="E304" t="str">
        <f>IFERROR(__xludf.DUMMYFUNCTION("""COMPUTED_VALUE"""),"Excel for Accountants: Volume 2")</f>
        <v>Excel for Accountants: Volume 2</v>
      </c>
      <c r="F304">
        <f>IFERROR(__xludf.DUMMYFUNCTION("""COMPUTED_VALUE"""),5295084.0)</f>
        <v>5295084</v>
      </c>
      <c r="G304" t="str">
        <f>IFERROR(__xludf.DUMMYFUNCTION("""COMPUTED_VALUE"""),"Jeff Lenning")</f>
        <v>Jeff Lenning</v>
      </c>
      <c r="H304" t="str">
        <f>IFERROR(__xludf.DUMMYFUNCTION("""COMPUTED_VALUE"""),"Saturated Topic")</f>
        <v>Saturated Topic</v>
      </c>
      <c r="I304" t="str">
        <f>IFERROR(__xludf.DUMMYFUNCTION("""COMPUTED_VALUE"""),"Office Productivity")</f>
        <v>Office Productivity</v>
      </c>
      <c r="J304" t="str">
        <f>IFERROR(__xludf.DUMMYFUNCTION("""COMPUTED_VALUE"""),"Spreadsheets")</f>
        <v>Spreadsheets</v>
      </c>
      <c r="K304" s="155">
        <f>IFERROR(__xludf.DUMMYFUNCTION("""COMPUTED_VALUE"""),516446.0)</f>
        <v>516446</v>
      </c>
      <c r="L304" s="140" t="str">
        <f>IFERROR(__xludf.DUMMYFUNCTION("""COMPUTED_VALUE"""),"Microsoft Excel - Advanced Excel Formulas &amp; Functions")</f>
        <v>Microsoft Excel - Advanced Excel Formulas &amp; Functions</v>
      </c>
      <c r="N304" s="140" t="str">
        <f>IFERROR(__xludf.DUMMYFUNCTION("""COMPUTED_VALUE"""),"")</f>
        <v/>
      </c>
    </row>
    <row r="305">
      <c r="A305" s="143">
        <f>IFERROR(__xludf.DUMMYFUNCTION("""COMPUTED_VALUE"""),44286.0)</f>
        <v>44286</v>
      </c>
      <c r="B305">
        <f>IFERROR(__xludf.DUMMYFUNCTION("""COMPUTED_VALUE"""),219060.0)</f>
        <v>219060</v>
      </c>
      <c r="C305" t="str">
        <f>IFERROR(__xludf.DUMMYFUNCTION("""COMPUTED_VALUE"""),"en")</f>
        <v>en</v>
      </c>
      <c r="D305" t="str">
        <f>IFERROR(__xludf.DUMMYFUNCTION("""COMPUTED_VALUE"""),"Excel for Accountants: Volume 3")</f>
        <v>Excel for Accountants: Volume 3</v>
      </c>
      <c r="E305" t="str">
        <f>IFERROR(__xludf.DUMMYFUNCTION("""COMPUTED_VALUE"""),"Excel for Accountants: Volume 3")</f>
        <v>Excel for Accountants: Volume 3</v>
      </c>
      <c r="F305">
        <f>IFERROR(__xludf.DUMMYFUNCTION("""COMPUTED_VALUE"""),5295084.0)</f>
        <v>5295084</v>
      </c>
      <c r="G305" t="str">
        <f>IFERROR(__xludf.DUMMYFUNCTION("""COMPUTED_VALUE"""),"Jeff Lenning")</f>
        <v>Jeff Lenning</v>
      </c>
      <c r="H305" t="str">
        <f>IFERROR(__xludf.DUMMYFUNCTION("""COMPUTED_VALUE"""),"Saturated Topic")</f>
        <v>Saturated Topic</v>
      </c>
      <c r="I305" t="str">
        <f>IFERROR(__xludf.DUMMYFUNCTION("""COMPUTED_VALUE"""),"Finance &amp; Accounting")</f>
        <v>Finance &amp; Accounting</v>
      </c>
      <c r="J305" t="str">
        <f>IFERROR(__xludf.DUMMYFUNCTION("""COMPUTED_VALUE"""),"Financial Modeling &amp; Analysis")</f>
        <v>Financial Modeling &amp; Analysis</v>
      </c>
      <c r="K305" s="155">
        <f>IFERROR(__xludf.DUMMYFUNCTION("""COMPUTED_VALUE"""),516446.0)</f>
        <v>516446</v>
      </c>
      <c r="L305" s="140" t="str">
        <f>IFERROR(__xludf.DUMMYFUNCTION("""COMPUTED_VALUE"""),"Microsoft Excel - Advanced Excel Formulas &amp; Functions")</f>
        <v>Microsoft Excel - Advanced Excel Formulas &amp; Functions</v>
      </c>
      <c r="N305" s="140" t="str">
        <f>IFERROR(__xludf.DUMMYFUNCTION("""COMPUTED_VALUE"""),"")</f>
        <v/>
      </c>
    </row>
    <row r="306">
      <c r="A306" s="143">
        <f>IFERROR(__xludf.DUMMYFUNCTION("""COMPUTED_VALUE"""),44286.0)</f>
        <v>44286</v>
      </c>
      <c r="B306">
        <f>IFERROR(__xludf.DUMMYFUNCTION("""COMPUTED_VALUE"""),60792.0)</f>
        <v>60792</v>
      </c>
      <c r="C306" t="str">
        <f>IFERROR(__xludf.DUMMYFUNCTION("""COMPUTED_VALUE"""),"en")</f>
        <v>en</v>
      </c>
      <c r="D306" t="str">
        <f>IFERROR(__xludf.DUMMYFUNCTION("""COMPUTED_VALUE"""),"Learn to Use jQuery UI Widgets")</f>
        <v>Learn to Use jQuery UI Widgets</v>
      </c>
      <c r="E306" t="str">
        <f>IFERROR(__xludf.DUMMYFUNCTION("""COMPUTED_VALUE"""),"Learn to Use jQuery UI Widgets")</f>
        <v>Learn to Use jQuery UI Widgets</v>
      </c>
      <c r="F306">
        <f>IFERROR(__xludf.DUMMYFUNCTION("""COMPUTED_VALUE"""),825644.0)</f>
        <v>825644</v>
      </c>
      <c r="G306" t="str">
        <f>IFERROR(__xludf.DUMMYFUNCTION("""COMPUTED_VALUE"""),"Marie Taylor")</f>
        <v>Marie Taylor</v>
      </c>
      <c r="H306" t="str">
        <f>IFERROR(__xludf.DUMMYFUNCTION("""COMPUTED_VALUE"""),"Saturated Topic")</f>
        <v>Saturated Topic</v>
      </c>
      <c r="I306" t="str">
        <f>IFERROR(__xludf.DUMMYFUNCTION("""COMPUTED_VALUE"""),"Development")</f>
        <v>Development</v>
      </c>
      <c r="J306" t="str">
        <f>IFERROR(__xludf.DUMMYFUNCTION("""COMPUTED_VALUE"""),"Web Development")</f>
        <v>Web Development</v>
      </c>
      <c r="K306" s="155">
        <f>IFERROR(__xludf.DUMMYFUNCTION("""COMPUTED_VALUE"""),812588.0)</f>
        <v>812588</v>
      </c>
      <c r="L306" s="140" t="str">
        <f>IFERROR(__xludf.DUMMYFUNCTION("""COMPUTED_VALUE"""),"The Complete jQuery Course: From Beginner To Advanced!")</f>
        <v>The Complete jQuery Course: From Beginner To Advanced!</v>
      </c>
      <c r="M306" s="155">
        <f>IFERROR(__xludf.DUMMYFUNCTION("""COMPUTED_VALUE"""),379722.0)</f>
        <v>379722</v>
      </c>
      <c r="N306" s="140" t="str">
        <f>IFERROR(__xludf.DUMMYFUNCTION("""COMPUTED_VALUE"""),"jQuery Crash Course: Learn the Essentials of jQuery Fast")</f>
        <v>jQuery Crash Course: Learn the Essentials of jQuery Fast</v>
      </c>
    </row>
    <row r="307">
      <c r="A307" s="143">
        <f>IFERROR(__xludf.DUMMYFUNCTION("""COMPUTED_VALUE"""),44286.0)</f>
        <v>44286</v>
      </c>
      <c r="B307">
        <f>IFERROR(__xludf.DUMMYFUNCTION("""COMPUTED_VALUE"""),829184.0)</f>
        <v>829184</v>
      </c>
      <c r="C307" t="str">
        <f>IFERROR(__xludf.DUMMYFUNCTION("""COMPUTED_VALUE"""),"en")</f>
        <v>en</v>
      </c>
      <c r="D307" t="str">
        <f>IFERROR(__xludf.DUMMYFUNCTION("""COMPUTED_VALUE"""),"Basics of Python &amp; arcpy , the Python library of ESRI ArcGIS")</f>
        <v>Basics of Python &amp; arcpy , the Python library of ESRI ArcGIS</v>
      </c>
      <c r="E307" t="str">
        <f>IFERROR(__xludf.DUMMYFUNCTION("""COMPUTED_VALUE"""),"Basics of Python &amp; arcpy , the Python library of ESRI ArcGIS")</f>
        <v>Basics of Python &amp; arcpy , the Python library of ESRI ArcGIS</v>
      </c>
      <c r="F307">
        <f>IFERROR(__xludf.DUMMYFUNCTION("""COMPUTED_VALUE"""),2.2141642E7)</f>
        <v>22141642</v>
      </c>
      <c r="G307" t="str">
        <f>IFERROR(__xludf.DUMMYFUNCTION("""COMPUTED_VALUE"""),"Ahmad Aburizaiza")</f>
        <v>Ahmad Aburizaiza</v>
      </c>
      <c r="H307" t="str">
        <f>IFERROR(__xludf.DUMMYFUNCTION("""COMPUTED_VALUE"""),"Saturated Topic")</f>
        <v>Saturated Topic</v>
      </c>
      <c r="I307" t="str">
        <f>IFERROR(__xludf.DUMMYFUNCTION("""COMPUTED_VALUE"""),"Data Science")</f>
        <v>Data Science</v>
      </c>
      <c r="J307" t="str">
        <f>IFERROR(__xludf.DUMMYFUNCTION("""COMPUTED_VALUE"""),"Big Data")</f>
        <v>Big Data</v>
      </c>
      <c r="L307" s="140" t="str">
        <f>IFERROR(__xludf.DUMMYFUNCTION("""COMPUTED_VALUE"""),"")</f>
        <v/>
      </c>
      <c r="N307" s="140" t="str">
        <f>IFERROR(__xludf.DUMMYFUNCTION("""COMPUTED_VALUE"""),"")</f>
        <v/>
      </c>
      <c r="O307" s="140" t="str">
        <f>IFERROR(__xludf.DUMMYFUNCTION("""COMPUTED_VALUE"""),"No Alternatives in Collection- 12/23/20")</f>
        <v>No Alternatives in Collection- 12/23/20</v>
      </c>
    </row>
    <row r="308">
      <c r="A308" s="143">
        <f>IFERROR(__xludf.DUMMYFUNCTION("""COMPUTED_VALUE"""),44286.0)</f>
        <v>44286</v>
      </c>
      <c r="B308">
        <f>IFERROR(__xludf.DUMMYFUNCTION("""COMPUTED_VALUE"""),863512.0)</f>
        <v>863512</v>
      </c>
      <c r="C308" t="str">
        <f>IFERROR(__xludf.DUMMYFUNCTION("""COMPUTED_VALUE"""),"en")</f>
        <v>en</v>
      </c>
      <c r="D308" t="str">
        <f>IFERROR(__xludf.DUMMYFUNCTION("""COMPUTED_VALUE"""),"Data Visualisation with Plotly and Python")</f>
        <v>Data Visualisation with Plotly and Python</v>
      </c>
      <c r="E308" t="str">
        <f>IFERROR(__xludf.DUMMYFUNCTION("""COMPUTED_VALUE"""),"Data Visualisation with Plotly and Python")</f>
        <v>Data Visualisation with Plotly and Python</v>
      </c>
      <c r="F308">
        <f>IFERROR(__xludf.DUMMYFUNCTION("""COMPUTED_VALUE"""),1.0519158E7)</f>
        <v>10519158</v>
      </c>
      <c r="G308" t="str">
        <f>IFERROR(__xludf.DUMMYFUNCTION("""COMPUTED_VALUE"""),"Richard Muir")</f>
        <v>Richard Muir</v>
      </c>
      <c r="H308" t="str">
        <f>IFERROR(__xludf.DUMMYFUNCTION("""COMPUTED_VALUE"""),"Saturated Topic")</f>
        <v>Saturated Topic</v>
      </c>
      <c r="I308" t="str">
        <f>IFERROR(__xludf.DUMMYFUNCTION("""COMPUTED_VALUE"""),"Data Science")</f>
        <v>Data Science</v>
      </c>
      <c r="J308" t="str">
        <f>IFERROR(__xludf.DUMMYFUNCTION("""COMPUTED_VALUE"""),"Data Visualization")</f>
        <v>Data Visualization</v>
      </c>
      <c r="K308" s="155">
        <f>IFERROR(__xludf.DUMMYFUNCTION("""COMPUTED_VALUE"""),1575562.0)</f>
        <v>1575562</v>
      </c>
      <c r="L308" s="140" t="str">
        <f>IFERROR(__xludf.DUMMYFUNCTION("""COMPUTED_VALUE"""),"Interactive Python Dashboards with Plotly and Dash")</f>
        <v>Interactive Python Dashboards with Plotly and Dash</v>
      </c>
      <c r="N308" s="140" t="str">
        <f>IFERROR(__xludf.DUMMYFUNCTION("""COMPUTED_VALUE"""),"")</f>
        <v/>
      </c>
    </row>
    <row r="309">
      <c r="A309" s="143">
        <f>IFERROR(__xludf.DUMMYFUNCTION("""COMPUTED_VALUE"""),44286.0)</f>
        <v>44286</v>
      </c>
      <c r="B309">
        <f>IFERROR(__xludf.DUMMYFUNCTION("""COMPUTED_VALUE"""),1183316.0)</f>
        <v>1183316</v>
      </c>
      <c r="C309" t="str">
        <f>IFERROR(__xludf.DUMMYFUNCTION("""COMPUTED_VALUE"""),"en")</f>
        <v>en</v>
      </c>
      <c r="D309" t="str">
        <f>IFERROR(__xludf.DUMMYFUNCTION("""COMPUTED_VALUE"""),"Supercharge Your Productivity")</f>
        <v>Supercharge Your Productivity</v>
      </c>
      <c r="E309" t="str">
        <f>IFERROR(__xludf.DUMMYFUNCTION("""COMPUTED_VALUE"""),"Supercharge Your Productivity")</f>
        <v>Supercharge Your Productivity</v>
      </c>
      <c r="F309">
        <f>IFERROR(__xludf.DUMMYFUNCTION("""COMPUTED_VALUE"""),2.8590066E7)</f>
        <v>28590066</v>
      </c>
      <c r="G309" t="str">
        <f>IFERROR(__xludf.DUMMYFUNCTION("""COMPUTED_VALUE"""),"Carl Pullein")</f>
        <v>Carl Pullein</v>
      </c>
      <c r="H309" t="str">
        <f>IFERROR(__xludf.DUMMYFUNCTION("""COMPUTED_VALUE"""),"Saturated Topic")</f>
        <v>Saturated Topic</v>
      </c>
      <c r="I309" t="str">
        <f>IFERROR(__xludf.DUMMYFUNCTION("""COMPUTED_VALUE"""),"Personal Development")</f>
        <v>Personal Development</v>
      </c>
      <c r="J309" t="str">
        <f>IFERROR(__xludf.DUMMYFUNCTION("""COMPUTED_VALUE"""),"Personal Growth")</f>
        <v>Personal Growth</v>
      </c>
      <c r="K309" s="155">
        <f>IFERROR(__xludf.DUMMYFUNCTION("""COMPUTED_VALUE"""),655608.0)</f>
        <v>655608</v>
      </c>
      <c r="L309" s="140" t="str">
        <f>IFERROR(__xludf.DUMMYFUNCTION("""COMPUTED_VALUE"""),"Productivity and Time Management for the Overwhelmed")</f>
        <v>Productivity and Time Management for the Overwhelmed</v>
      </c>
      <c r="M309" s="155">
        <f>IFERROR(__xludf.DUMMYFUNCTION("""COMPUTED_VALUE"""),1434492.0)</f>
        <v>1434492</v>
      </c>
      <c r="N309" s="140" t="str">
        <f>IFERROR(__xludf.DUMMYFUNCTION("""COMPUTED_VALUE"""),"Modern Productivity — Superhuman Focus In A Distracted World")</f>
        <v>Modern Productivity — Superhuman Focus In A Distracted World</v>
      </c>
    </row>
    <row r="310">
      <c r="A310" s="143">
        <f>IFERROR(__xludf.DUMMYFUNCTION("""COMPUTED_VALUE"""),44286.0)</f>
        <v>44286</v>
      </c>
      <c r="B310">
        <f>IFERROR(__xludf.DUMMYFUNCTION("""COMPUTED_VALUE"""),146156.0)</f>
        <v>146156</v>
      </c>
      <c r="C310" t="str">
        <f>IFERROR(__xludf.DUMMYFUNCTION("""COMPUTED_VALUE"""),"en")</f>
        <v>en</v>
      </c>
      <c r="D310" t="str">
        <f>IFERROR(__xludf.DUMMYFUNCTION("""COMPUTED_VALUE"""),"Become an Android Developer from Scratch")</f>
        <v>Become an Android Developer from Scratch</v>
      </c>
      <c r="E310" t="str">
        <f>IFERROR(__xludf.DUMMYFUNCTION("""COMPUTED_VALUE"""),"Become an Android Developer from Scratch")</f>
        <v>Become an Android Developer from Scratch</v>
      </c>
      <c r="F310">
        <f>IFERROR(__xludf.DUMMYFUNCTION("""COMPUTED_VALUE"""),1987552.0)</f>
        <v>1987552</v>
      </c>
      <c r="G310" t="str">
        <f>IFERROR(__xludf.DUMMYFUNCTION("""COMPUTED_VALUE"""),"Adam Lupu")</f>
        <v>Adam Lupu</v>
      </c>
      <c r="H310" t="str">
        <f>IFERROR(__xludf.DUMMYFUNCTION("""COMPUTED_VALUE"""),"Saturated Topic")</f>
        <v>Saturated Topic</v>
      </c>
      <c r="I310" t="str">
        <f>IFERROR(__xludf.DUMMYFUNCTION("""COMPUTED_VALUE"""),"Development")</f>
        <v>Development</v>
      </c>
      <c r="J310" t="str">
        <f>IFERROR(__xludf.DUMMYFUNCTION("""COMPUTED_VALUE"""),"Mobile Development")</f>
        <v>Mobile Development</v>
      </c>
      <c r="K310" s="155">
        <f>IFERROR(__xludf.DUMMYFUNCTION("""COMPUTED_VALUE"""),951618.0)</f>
        <v>951618</v>
      </c>
      <c r="L310" s="140" t="str">
        <f>IFERROR(__xludf.DUMMYFUNCTION("""COMPUTED_VALUE"""),"The Complete Android N Developer Course")</f>
        <v>The Complete Android N Developer Course</v>
      </c>
      <c r="M310" s="155">
        <f>IFERROR(__xludf.DUMMYFUNCTION("""COMPUTED_VALUE"""),1405812.0)</f>
        <v>1405812</v>
      </c>
      <c r="N310" s="140" t="str">
        <f>IFERROR(__xludf.DUMMYFUNCTION("""COMPUTED_VALUE"""),"The Complete Android Oreo Developer Course - Build 23 Apps!")</f>
        <v>The Complete Android Oreo Developer Course - Build 23 Apps!</v>
      </c>
    </row>
    <row r="311">
      <c r="A311" s="143">
        <f>IFERROR(__xludf.DUMMYFUNCTION("""COMPUTED_VALUE"""),44286.0)</f>
        <v>44286</v>
      </c>
      <c r="B311">
        <f>IFERROR(__xludf.DUMMYFUNCTION("""COMPUTED_VALUE"""),1228376.0)</f>
        <v>1228376</v>
      </c>
      <c r="C311" t="str">
        <f>IFERROR(__xludf.DUMMYFUNCTION("""COMPUTED_VALUE"""),"en")</f>
        <v>en</v>
      </c>
      <c r="D311" t="str">
        <f>IFERROR(__xludf.DUMMYFUNCTION("""COMPUTED_VALUE"""),"Learn Java the Easy Way: Build Desktop &amp; Android Mobile Apps")</f>
        <v>Learn Java the Easy Way: Build Desktop &amp; Android Mobile Apps</v>
      </c>
      <c r="E311" t="str">
        <f>IFERROR(__xludf.DUMMYFUNCTION("""COMPUTED_VALUE"""),"Learn Java the Easy Way: Build Desktop &amp; Android Mobile Apps")</f>
        <v>Learn Java the Easy Way: Build Desktop &amp; Android Mobile Apps</v>
      </c>
      <c r="F311">
        <f>IFERROR(__xludf.DUMMYFUNCTION("""COMPUTED_VALUE"""),1.2796044E7)</f>
        <v>12796044</v>
      </c>
      <c r="G311" t="str">
        <f>IFERROR(__xludf.DUMMYFUNCTION("""COMPUTED_VALUE"""),"Bryson Payne")</f>
        <v>Bryson Payne</v>
      </c>
      <c r="H311" t="str">
        <f>IFERROR(__xludf.DUMMYFUNCTION("""COMPUTED_VALUE"""),"Saturated Topic")</f>
        <v>Saturated Topic</v>
      </c>
      <c r="I311" t="str">
        <f>IFERROR(__xludf.DUMMYFUNCTION("""COMPUTED_VALUE"""),"Development")</f>
        <v>Development</v>
      </c>
      <c r="J311" t="str">
        <f>IFERROR(__xludf.DUMMYFUNCTION("""COMPUTED_VALUE"""),"Programming Languages")</f>
        <v>Programming Languages</v>
      </c>
      <c r="K311" s="155">
        <f>IFERROR(__xludf.DUMMYFUNCTION("""COMPUTED_VALUE"""),919872.0)</f>
        <v>919872</v>
      </c>
      <c r="L311" s="140" t="str">
        <f>IFERROR(__xludf.DUMMYFUNCTION("""COMPUTED_VALUE"""),"Android Java Masterclass - Become an App Developer")</f>
        <v>Android Java Masterclass - Become an App Developer</v>
      </c>
      <c r="N311" s="140" t="str">
        <f>IFERROR(__xludf.DUMMYFUNCTION("""COMPUTED_VALUE"""),"")</f>
        <v/>
      </c>
    </row>
    <row r="312">
      <c r="A312" s="143">
        <f>IFERROR(__xludf.DUMMYFUNCTION("""COMPUTED_VALUE"""),44286.0)</f>
        <v>44286</v>
      </c>
      <c r="B312">
        <f>IFERROR(__xludf.DUMMYFUNCTION("""COMPUTED_VALUE"""),1320446.0)</f>
        <v>1320446</v>
      </c>
      <c r="C312" t="str">
        <f>IFERROR(__xludf.DUMMYFUNCTION("""COMPUTED_VALUE"""),"en")</f>
        <v>en</v>
      </c>
      <c r="D312" t="str">
        <f>IFERROR(__xludf.DUMMYFUNCTION("""COMPUTED_VALUE"""),"npm - Mastering the Basics")</f>
        <v>npm - Mastering the Basics</v>
      </c>
      <c r="E312" t="str">
        <f>IFERROR(__xludf.DUMMYFUNCTION("""COMPUTED_VALUE"""),"npm - Mastering the Basics")</f>
        <v>npm - Mastering the Basics</v>
      </c>
      <c r="F312">
        <f>IFERROR(__xludf.DUMMYFUNCTION("""COMPUTED_VALUE"""),2.9039618E7)</f>
        <v>29039618</v>
      </c>
      <c r="G312" t="str">
        <f>IFERROR(__xludf.DUMMYFUNCTION("""COMPUTED_VALUE"""),"Vishwas Gopinath")</f>
        <v>Vishwas Gopinath</v>
      </c>
      <c r="H312" t="str">
        <f>IFERROR(__xludf.DUMMYFUNCTION("""COMPUTED_VALUE"""),"Saturated Topic")</f>
        <v>Saturated Topic</v>
      </c>
      <c r="I312" t="str">
        <f>IFERROR(__xludf.DUMMYFUNCTION("""COMPUTED_VALUE"""),"Development")</f>
        <v>Development</v>
      </c>
      <c r="J312" t="str">
        <f>IFERROR(__xludf.DUMMYFUNCTION("""COMPUTED_VALUE"""),"Web Development")</f>
        <v>Web Development</v>
      </c>
      <c r="L312" s="140" t="str">
        <f>IFERROR(__xludf.DUMMYFUNCTION("""COMPUTED_VALUE"""),"")</f>
        <v/>
      </c>
      <c r="N312" s="140" t="str">
        <f>IFERROR(__xludf.DUMMYFUNCTION("""COMPUTED_VALUE"""),"")</f>
        <v/>
      </c>
      <c r="O312" s="140" t="str">
        <f>IFERROR(__xludf.DUMMYFUNCTION("""COMPUTED_VALUE"""),"No Alternatives in Collection- 12/23/20")</f>
        <v>No Alternatives in Collection- 12/23/20</v>
      </c>
    </row>
    <row r="313">
      <c r="A313" s="143">
        <f>IFERROR(__xludf.DUMMYFUNCTION("""COMPUTED_VALUE"""),44286.0)</f>
        <v>44286</v>
      </c>
      <c r="B313">
        <f>IFERROR(__xludf.DUMMYFUNCTION("""COMPUTED_VALUE"""),1206948.0)</f>
        <v>1206948</v>
      </c>
      <c r="C313" t="str">
        <f>IFERROR(__xludf.DUMMYFUNCTION("""COMPUTED_VALUE"""),"en")</f>
        <v>en</v>
      </c>
      <c r="D313" t="str">
        <f>IFERROR(__xludf.DUMMYFUNCTION("""COMPUTED_VALUE"""),"Master Ionic 3 with Ionic Native and Cordova Integrations")</f>
        <v>Master Ionic 3 with Ionic Native and Cordova Integrations</v>
      </c>
      <c r="E313" t="str">
        <f>IFERROR(__xludf.DUMMYFUNCTION("""COMPUTED_VALUE"""),"Master Ionic 3 with Ionic Native and Cordova Integrations")</f>
        <v>Master Ionic 3 with Ionic Native and Cordova Integrations</v>
      </c>
      <c r="F313">
        <f>IFERROR(__xludf.DUMMYFUNCTION("""COMPUTED_VALUE"""),2.2841858E7)</f>
        <v>22841858</v>
      </c>
      <c r="G313" t="str">
        <f>IFERROR(__xludf.DUMMYFUNCTION("""COMPUTED_VALUE"""),"Paul Halliday (BSc Hons)")</f>
        <v>Paul Halliday (BSc Hons)</v>
      </c>
      <c r="H313" t="str">
        <f>IFERROR(__xludf.DUMMYFUNCTION("""COMPUTED_VALUE"""),"Saturated Topic")</f>
        <v>Saturated Topic</v>
      </c>
      <c r="I313" t="str">
        <f>IFERROR(__xludf.DUMMYFUNCTION("""COMPUTED_VALUE"""),"Development")</f>
        <v>Development</v>
      </c>
      <c r="J313" t="str">
        <f>IFERROR(__xludf.DUMMYFUNCTION("""COMPUTED_VALUE"""),"Mobile Development")</f>
        <v>Mobile Development</v>
      </c>
      <c r="K313" s="155">
        <f>IFERROR(__xludf.DUMMYFUNCTION("""COMPUTED_VALUE"""),1070124.0)</f>
        <v>1070124</v>
      </c>
      <c r="L313" s="140" t="str">
        <f>IFERROR(__xludf.DUMMYFUNCTION("""COMPUTED_VALUE"""),"Ionic - Build iOS, Android &amp; Web Apps with Ionic &amp; Angular")</f>
        <v>Ionic - Build iOS, Android &amp; Web Apps with Ionic &amp; Angular</v>
      </c>
      <c r="N313" s="140" t="str">
        <f>IFERROR(__xludf.DUMMYFUNCTION("""COMPUTED_VALUE"""),"")</f>
        <v/>
      </c>
    </row>
    <row r="314">
      <c r="A314" s="143">
        <f>IFERROR(__xludf.DUMMYFUNCTION("""COMPUTED_VALUE"""),44286.0)</f>
        <v>44286</v>
      </c>
      <c r="B314">
        <f>IFERROR(__xludf.DUMMYFUNCTION("""COMPUTED_VALUE"""),1210972.0)</f>
        <v>1210972</v>
      </c>
      <c r="C314" t="str">
        <f>IFERROR(__xludf.DUMMYFUNCTION("""COMPUTED_VALUE"""),"en")</f>
        <v>en</v>
      </c>
      <c r="D314" t="str">
        <f>IFERROR(__xludf.DUMMYFUNCTION("""COMPUTED_VALUE"""),"The Ultimate Guide for Land Surveying with Drones - Part 1")</f>
        <v>The Ultimate Guide for Land Surveying with Drones - Part 1</v>
      </c>
      <c r="E314" t="str">
        <f>IFERROR(__xludf.DUMMYFUNCTION("""COMPUTED_VALUE"""),"The Ultimate Guide for Land Surveying with Drones - Part 1")</f>
        <v>The Ultimate Guide for Land Surveying with Drones - Part 1</v>
      </c>
      <c r="F314">
        <f>IFERROR(__xludf.DUMMYFUNCTION("""COMPUTED_VALUE"""),3.1946078E7)</f>
        <v>31946078</v>
      </c>
      <c r="G314" t="str">
        <f>IFERROR(__xludf.DUMMYFUNCTION("""COMPUTED_VALUE"""),"Huviair Technologies")</f>
        <v>Huviair Technologies</v>
      </c>
      <c r="H314" t="str">
        <f>IFERROR(__xludf.DUMMYFUNCTION("""COMPUTED_VALUE"""),"Saturated Topic")</f>
        <v>Saturated Topic</v>
      </c>
      <c r="I314" t="str">
        <f>IFERROR(__xludf.DUMMYFUNCTION("""COMPUTED_VALUE"""),"IT Operations")</f>
        <v>IT Operations</v>
      </c>
      <c r="J314" t="str">
        <f>IFERROR(__xludf.DUMMYFUNCTION("""COMPUTED_VALUE"""),"Hardware")</f>
        <v>Hardware</v>
      </c>
      <c r="L314" s="140" t="str">
        <f>IFERROR(__xludf.DUMMYFUNCTION("""COMPUTED_VALUE"""),"")</f>
        <v/>
      </c>
      <c r="N314" s="140" t="str">
        <f>IFERROR(__xludf.DUMMYFUNCTION("""COMPUTED_VALUE"""),"")</f>
        <v/>
      </c>
      <c r="O314" s="140" t="str">
        <f>IFERROR(__xludf.DUMMYFUNCTION("""COMPUTED_VALUE"""),"No Alternatives in Collection- 12/23/20")</f>
        <v>No Alternatives in Collection- 12/23/20</v>
      </c>
    </row>
    <row r="315">
      <c r="A315" s="143">
        <f>IFERROR(__xludf.DUMMYFUNCTION("""COMPUTED_VALUE"""),44286.0)</f>
        <v>44286</v>
      </c>
      <c r="B315">
        <f>IFERROR(__xludf.DUMMYFUNCTION("""COMPUTED_VALUE"""),1368610.0)</f>
        <v>1368610</v>
      </c>
      <c r="C315" t="str">
        <f>IFERROR(__xludf.DUMMYFUNCTION("""COMPUTED_VALUE"""),"en")</f>
        <v>en</v>
      </c>
      <c r="D315" t="str">
        <f>IFERROR(__xludf.DUMMYFUNCTION("""COMPUTED_VALUE"""),"The Ultimate Guide for Land Surveying with Drones - Part 3")</f>
        <v>The Ultimate Guide for Land Surveying with Drones - Part 3</v>
      </c>
      <c r="E315" t="str">
        <f>IFERROR(__xludf.DUMMYFUNCTION("""COMPUTED_VALUE"""),"The Ultimate Guide for Land Surveying with Drones - Part 3")</f>
        <v>The Ultimate Guide for Land Surveying with Drones - Part 3</v>
      </c>
      <c r="F315">
        <f>IFERROR(__xludf.DUMMYFUNCTION("""COMPUTED_VALUE"""),3.1946078E7)</f>
        <v>31946078</v>
      </c>
      <c r="G315" t="str">
        <f>IFERROR(__xludf.DUMMYFUNCTION("""COMPUTED_VALUE"""),"Huviair Technologies")</f>
        <v>Huviair Technologies</v>
      </c>
      <c r="H315" t="str">
        <f>IFERROR(__xludf.DUMMYFUNCTION("""COMPUTED_VALUE"""),"Saturated Topic")</f>
        <v>Saturated Topic</v>
      </c>
      <c r="I315" t="str">
        <f>IFERROR(__xludf.DUMMYFUNCTION("""COMPUTED_VALUE"""),"IT Operations")</f>
        <v>IT Operations</v>
      </c>
      <c r="J315" t="str">
        <f>IFERROR(__xludf.DUMMYFUNCTION("""COMPUTED_VALUE"""),"Hardware")</f>
        <v>Hardware</v>
      </c>
      <c r="L315" s="140" t="str">
        <f>IFERROR(__xludf.DUMMYFUNCTION("""COMPUTED_VALUE"""),"")</f>
        <v/>
      </c>
      <c r="N315" s="140" t="str">
        <f>IFERROR(__xludf.DUMMYFUNCTION("""COMPUTED_VALUE"""),"")</f>
        <v/>
      </c>
      <c r="O315" s="140" t="str">
        <f>IFERROR(__xludf.DUMMYFUNCTION("""COMPUTED_VALUE"""),"No Alternatives in Collection- 12/23/20")</f>
        <v>No Alternatives in Collection- 12/23/20</v>
      </c>
    </row>
    <row r="316">
      <c r="A316" s="143">
        <f>IFERROR(__xludf.DUMMYFUNCTION("""COMPUTED_VALUE"""),44286.0)</f>
        <v>44286</v>
      </c>
      <c r="B316">
        <f>IFERROR(__xludf.DUMMYFUNCTION("""COMPUTED_VALUE"""),1211046.0)</f>
        <v>1211046</v>
      </c>
      <c r="C316" t="str">
        <f>IFERROR(__xludf.DUMMYFUNCTION("""COMPUTED_VALUE"""),"en")</f>
        <v>en</v>
      </c>
      <c r="D316" t="str">
        <f>IFERROR(__xludf.DUMMYFUNCTION("""COMPUTED_VALUE"""),"The Ultimate Guide for Land Surveying with Drones - Part 2")</f>
        <v>The Ultimate Guide for Land Surveying with Drones - Part 2</v>
      </c>
      <c r="E316" t="str">
        <f>IFERROR(__xludf.DUMMYFUNCTION("""COMPUTED_VALUE"""),"The Ultimate Guide for Land Surveying with Drones - Part 2")</f>
        <v>The Ultimate Guide for Land Surveying with Drones - Part 2</v>
      </c>
      <c r="F316">
        <f>IFERROR(__xludf.DUMMYFUNCTION("""COMPUTED_VALUE"""),3.1946078E7)</f>
        <v>31946078</v>
      </c>
      <c r="G316" t="str">
        <f>IFERROR(__xludf.DUMMYFUNCTION("""COMPUTED_VALUE"""),"Huviair Technologies")</f>
        <v>Huviair Technologies</v>
      </c>
      <c r="H316" t="str">
        <f>IFERROR(__xludf.DUMMYFUNCTION("""COMPUTED_VALUE"""),"Saturated Topic")</f>
        <v>Saturated Topic</v>
      </c>
      <c r="I316" t="str">
        <f>IFERROR(__xludf.DUMMYFUNCTION("""COMPUTED_VALUE"""),"IT Operations")</f>
        <v>IT Operations</v>
      </c>
      <c r="J316" t="str">
        <f>IFERROR(__xludf.DUMMYFUNCTION("""COMPUTED_VALUE"""),"Hardware")</f>
        <v>Hardware</v>
      </c>
      <c r="L316" s="140" t="str">
        <f>IFERROR(__xludf.DUMMYFUNCTION("""COMPUTED_VALUE"""),"")</f>
        <v/>
      </c>
      <c r="N316" s="140" t="str">
        <f>IFERROR(__xludf.DUMMYFUNCTION("""COMPUTED_VALUE"""),"")</f>
        <v/>
      </c>
      <c r="O316" s="140" t="str">
        <f>IFERROR(__xludf.DUMMYFUNCTION("""COMPUTED_VALUE"""),"No Alternatives in Collection- 12/23/20")</f>
        <v>No Alternatives in Collection- 12/23/20</v>
      </c>
    </row>
    <row r="317">
      <c r="A317" s="143">
        <f>IFERROR(__xludf.DUMMYFUNCTION("""COMPUTED_VALUE"""),44286.0)</f>
        <v>44286</v>
      </c>
      <c r="B317">
        <f>IFERROR(__xludf.DUMMYFUNCTION("""COMPUTED_VALUE"""),785328.0)</f>
        <v>785328</v>
      </c>
      <c r="C317" t="str">
        <f>IFERROR(__xludf.DUMMYFUNCTION("""COMPUTED_VALUE"""),"en")</f>
        <v>en</v>
      </c>
      <c r="D317" t="str">
        <f>IFERROR(__xludf.DUMMYFUNCTION("""COMPUTED_VALUE"""),"Quickly Batch Export &amp; Package Logo Files for Clients")</f>
        <v>Quickly Batch Export &amp; Package Logo Files for Clients</v>
      </c>
      <c r="E317" t="str">
        <f>IFERROR(__xludf.DUMMYFUNCTION("""COMPUTED_VALUE"""),"Quickly Batch Export &amp; Package Logo Files for Clients")</f>
        <v>Quickly Batch Export &amp; Package Logo Files for Clients</v>
      </c>
      <c r="F317">
        <f>IFERROR(__xludf.DUMMYFUNCTION("""COMPUTED_VALUE"""),1.0952512E7)</f>
        <v>10952512</v>
      </c>
      <c r="G317" t="str">
        <f>IFERROR(__xludf.DUMMYFUNCTION("""COMPUTED_VALUE"""),"Derrick Mitchell")</f>
        <v>Derrick Mitchell</v>
      </c>
      <c r="H317" t="str">
        <f>IFERROR(__xludf.DUMMYFUNCTION("""COMPUTED_VALUE"""),"Saturated Topic")</f>
        <v>Saturated Topic</v>
      </c>
      <c r="I317" t="str">
        <f>IFERROR(__xludf.DUMMYFUNCTION("""COMPUTED_VALUE"""),"Design")</f>
        <v>Design</v>
      </c>
      <c r="J317" t="str">
        <f>IFERROR(__xludf.DUMMYFUNCTION("""COMPUTED_VALUE"""),"Graphic Design")</f>
        <v>Graphic Design</v>
      </c>
      <c r="L317" s="140" t="str">
        <f>IFERROR(__xludf.DUMMYFUNCTION("""COMPUTED_VALUE"""),"")</f>
        <v/>
      </c>
      <c r="N317" s="140" t="str">
        <f>IFERROR(__xludf.DUMMYFUNCTION("""COMPUTED_VALUE"""),"")</f>
        <v/>
      </c>
      <c r="O317" s="140" t="str">
        <f>IFERROR(__xludf.DUMMYFUNCTION("""COMPUTED_VALUE"""),"No Alternatives in Collection- 12/23/20")</f>
        <v>No Alternatives in Collection- 12/23/20</v>
      </c>
    </row>
    <row r="318">
      <c r="A318" s="143">
        <f>IFERROR(__xludf.DUMMYFUNCTION("""COMPUTED_VALUE"""),44286.0)</f>
        <v>44286</v>
      </c>
      <c r="B318">
        <f>IFERROR(__xludf.DUMMYFUNCTION("""COMPUTED_VALUE"""),778108.0)</f>
        <v>778108</v>
      </c>
      <c r="C318" t="str">
        <f>IFERROR(__xludf.DUMMYFUNCTION("""COMPUTED_VALUE"""),"en")</f>
        <v>en</v>
      </c>
      <c r="D318" t="str">
        <f>IFERROR(__xludf.DUMMYFUNCTION("""COMPUTED_VALUE"""),"Website Copywriting")</f>
        <v>Website Copywriting</v>
      </c>
      <c r="E318" t="str">
        <f>IFERROR(__xludf.DUMMYFUNCTION("""COMPUTED_VALUE"""),"Website Copywriting")</f>
        <v>Website Copywriting</v>
      </c>
      <c r="F318">
        <f>IFERROR(__xludf.DUMMYFUNCTION("""COMPUTED_VALUE"""),2.085229E7)</f>
        <v>20852290</v>
      </c>
      <c r="G318" t="str">
        <f>IFERROR(__xludf.DUMMYFUNCTION("""COMPUTED_VALUE"""),"Mirasee Team")</f>
        <v>Mirasee Team</v>
      </c>
      <c r="H318" t="str">
        <f>IFERROR(__xludf.DUMMYFUNCTION("""COMPUTED_VALUE"""),"Saturated Topic")</f>
        <v>Saturated Topic</v>
      </c>
      <c r="I318" t="str">
        <f>IFERROR(__xludf.DUMMYFUNCTION("""COMPUTED_VALUE"""),"Marketing")</f>
        <v>Marketing</v>
      </c>
      <c r="J318" t="str">
        <f>IFERROR(__xludf.DUMMYFUNCTION("""COMPUTED_VALUE"""),"Content Marketing")</f>
        <v>Content Marketing</v>
      </c>
      <c r="K318" s="155">
        <f>IFERROR(__xludf.DUMMYFUNCTION("""COMPUTED_VALUE"""),1575836.0)</f>
        <v>1575836</v>
      </c>
      <c r="L318" s="140" t="str">
        <f>IFERROR(__xludf.DUMMYFUNCTION("""COMPUTED_VALUE"""),"The Complete Copywriting Course : Write to Sell Like a Pro")</f>
        <v>The Complete Copywriting Course : Write to Sell Like a Pro</v>
      </c>
      <c r="N318" s="140" t="str">
        <f>IFERROR(__xludf.DUMMYFUNCTION("""COMPUTED_VALUE"""),"")</f>
        <v/>
      </c>
    </row>
    <row r="319">
      <c r="A319" s="143">
        <f>IFERROR(__xludf.DUMMYFUNCTION("""COMPUTED_VALUE"""),44286.0)</f>
        <v>44286</v>
      </c>
      <c r="B319">
        <f>IFERROR(__xludf.DUMMYFUNCTION("""COMPUTED_VALUE"""),29752.0)</f>
        <v>29752</v>
      </c>
      <c r="C319" t="str">
        <f>IFERROR(__xludf.DUMMYFUNCTION("""COMPUTED_VALUE"""),"en")</f>
        <v>en</v>
      </c>
      <c r="D319" t="str">
        <f>IFERROR(__xludf.DUMMYFUNCTION("""COMPUTED_VALUE"""),"Master Microsoft Outlook 2010 the Easy Way")</f>
        <v>Master Microsoft Outlook 2010 the Easy Way</v>
      </c>
      <c r="E319" t="str">
        <f>IFERROR(__xludf.DUMMYFUNCTION("""COMPUTED_VALUE"""),"Master Microsoft Outlook 2010 the Easy Way")</f>
        <v>Master Microsoft Outlook 2010 the Easy Way</v>
      </c>
      <c r="F319">
        <f>IFERROR(__xludf.DUMMYFUNCTION("""COMPUTED_VALUE"""),254593.0)</f>
        <v>254593</v>
      </c>
      <c r="G319" t="str">
        <f>IFERROR(__xludf.DUMMYFUNCTION("""COMPUTED_VALUE"""),"Simon Sez IT")</f>
        <v>Simon Sez IT</v>
      </c>
      <c r="H319" t="str">
        <f>IFERROR(__xludf.DUMMYFUNCTION("""COMPUTED_VALUE"""),"Saturated Topic")</f>
        <v>Saturated Topic</v>
      </c>
      <c r="I319" t="str">
        <f>IFERROR(__xludf.DUMMYFUNCTION("""COMPUTED_VALUE"""),"Office Productivity")</f>
        <v>Office Productivity</v>
      </c>
      <c r="J319" t="str">
        <f>IFERROR(__xludf.DUMMYFUNCTION("""COMPUTED_VALUE"""),"Email &amp; Productivity")</f>
        <v>Email &amp; Productivity</v>
      </c>
      <c r="K319" s="155">
        <f>IFERROR(__xludf.DUMMYFUNCTION("""COMPUTED_VALUE"""),969148.0)</f>
        <v>969148</v>
      </c>
      <c r="L319" s="140" t="str">
        <f>IFERROR(__xludf.DUMMYFUNCTION("""COMPUTED_VALUE"""),"Microsoft Outlook 2016: Beginner and Intermediate Training")</f>
        <v>Microsoft Outlook 2016: Beginner and Intermediate Training</v>
      </c>
      <c r="N319" s="140" t="str">
        <f>IFERROR(__xludf.DUMMYFUNCTION("""COMPUTED_VALUE"""),"")</f>
        <v/>
      </c>
    </row>
    <row r="320">
      <c r="A320" s="143">
        <f>IFERROR(__xludf.DUMMYFUNCTION("""COMPUTED_VALUE"""),44286.0)</f>
        <v>44286</v>
      </c>
      <c r="B320">
        <f>IFERROR(__xludf.DUMMYFUNCTION("""COMPUTED_VALUE"""),1194910.0)</f>
        <v>1194910</v>
      </c>
      <c r="C320" t="str">
        <f>IFERROR(__xludf.DUMMYFUNCTION("""COMPUTED_VALUE"""),"en")</f>
        <v>en</v>
      </c>
      <c r="D320" t="str">
        <f>IFERROR(__xludf.DUMMYFUNCTION("""COMPUTED_VALUE"""),"Sci-Fi Interior Environment Creation for Virtual Reality")</f>
        <v>Sci-Fi Interior Environment Creation for Virtual Reality</v>
      </c>
      <c r="E320" t="str">
        <f>IFERROR(__xludf.DUMMYFUNCTION("""COMPUTED_VALUE"""),"Sci-Fi Interior Environment Creation for Virtual Reality")</f>
        <v>Sci-Fi Interior Environment Creation for Virtual Reality</v>
      </c>
      <c r="F320">
        <f>IFERROR(__xludf.DUMMYFUNCTION("""COMPUTED_VALUE"""),3.105619E7)</f>
        <v>31056190</v>
      </c>
      <c r="G320" t="str">
        <f>IFERROR(__xludf.DUMMYFUNCTION("""COMPUTED_VALUE"""),"Dean Deakyne")</f>
        <v>Dean Deakyne</v>
      </c>
      <c r="H320" t="str">
        <f>IFERROR(__xludf.DUMMYFUNCTION("""COMPUTED_VALUE"""),"Saturated Topic")</f>
        <v>Saturated Topic</v>
      </c>
      <c r="I320" t="str">
        <f>IFERROR(__xludf.DUMMYFUNCTION("""COMPUTED_VALUE"""),"Design")</f>
        <v>Design</v>
      </c>
      <c r="J320" t="str">
        <f>IFERROR(__xludf.DUMMYFUNCTION("""COMPUTED_VALUE"""),"Game Design")</f>
        <v>Game Design</v>
      </c>
      <c r="K320" s="155">
        <f>IFERROR(__xludf.DUMMYFUNCTION("""COMPUTED_VALUE"""),2668106.0)</f>
        <v>2668106</v>
      </c>
      <c r="L320" s="140" t="str">
        <f>IFERROR(__xludf.DUMMYFUNCTION("""COMPUTED_VALUE"""),"Blender 2.81 - Substance painter - Sci fi asset creation")</f>
        <v>Blender 2.81 - Substance painter - Sci fi asset creation</v>
      </c>
      <c r="M320" s="155">
        <f>IFERROR(__xludf.DUMMYFUNCTION("""COMPUTED_VALUE"""),678658.0)</f>
        <v>678658</v>
      </c>
      <c r="N320" s="140" t="str">
        <f>IFERROR(__xludf.DUMMYFUNCTION("""COMPUTED_VALUE"""),"3DSMax 2016 &amp; Substance Painter for Videogame Production")</f>
        <v>3DSMax 2016 &amp; Substance Painter for Videogame Production</v>
      </c>
    </row>
    <row r="321">
      <c r="A321" s="143">
        <f>IFERROR(__xludf.DUMMYFUNCTION("""COMPUTED_VALUE"""),44286.0)</f>
        <v>44286</v>
      </c>
      <c r="B321">
        <f>IFERROR(__xludf.DUMMYFUNCTION("""COMPUTED_VALUE"""),1597758.0)</f>
        <v>1597758</v>
      </c>
      <c r="C321" t="str">
        <f>IFERROR(__xludf.DUMMYFUNCTION("""COMPUTED_VALUE"""),"en")</f>
        <v>en</v>
      </c>
      <c r="D321" t="str">
        <f>IFERROR(__xludf.DUMMYFUNCTION("""COMPUTED_VALUE"""),"Mobile Machine Learning for Android: TensorFlow &amp; Python")</f>
        <v>Mobile Machine Learning for Android: TensorFlow &amp; Python</v>
      </c>
      <c r="E321" t="str">
        <f>IFERROR(__xludf.DUMMYFUNCTION("""COMPUTED_VALUE"""),"Mobile Machine Learning for Android: TensorFlow &amp; Python")</f>
        <v>Mobile Machine Learning for Android: TensorFlow &amp; Python</v>
      </c>
      <c r="F321">
        <f>IFERROR(__xludf.DUMMYFUNCTION("""COMPUTED_VALUE"""),2.2923344E7)</f>
        <v>22923344</v>
      </c>
      <c r="G321" t="str">
        <f>IFERROR(__xludf.DUMMYFUNCTION("""COMPUTED_VALUE"""),"Mammoth Interactive")</f>
        <v>Mammoth Interactive</v>
      </c>
      <c r="H321" t="str">
        <f>IFERROR(__xludf.DUMMYFUNCTION("""COMPUTED_VALUE"""),"3 Flags")</f>
        <v>3 Flags</v>
      </c>
      <c r="I321" t="str">
        <f>IFERROR(__xludf.DUMMYFUNCTION("""COMPUTED_VALUE"""),"Data Science")</f>
        <v>Data Science</v>
      </c>
      <c r="J321" t="str">
        <f>IFERROR(__xludf.DUMMYFUNCTION("""COMPUTED_VALUE"""),"Data Visualization")</f>
        <v>Data Visualization</v>
      </c>
      <c r="L321" s="140" t="str">
        <f>IFERROR(__xludf.DUMMYFUNCTION("""COMPUTED_VALUE"""),"")</f>
        <v/>
      </c>
      <c r="N321" s="140" t="str">
        <f>IFERROR(__xludf.DUMMYFUNCTION("""COMPUTED_VALUE"""),"")</f>
        <v/>
      </c>
      <c r="O321" s="140" t="str">
        <f>IFERROR(__xludf.DUMMYFUNCTION("""COMPUTED_VALUE"""),"No Alternatives in Collection- 12/23/20")</f>
        <v>No Alternatives in Collection- 12/23/20</v>
      </c>
    </row>
    <row r="322">
      <c r="A322" s="143">
        <f>IFERROR(__xludf.DUMMYFUNCTION("""COMPUTED_VALUE"""),44286.0)</f>
        <v>44286</v>
      </c>
      <c r="B322">
        <f>IFERROR(__xludf.DUMMYFUNCTION("""COMPUTED_VALUE"""),617922.0)</f>
        <v>617922</v>
      </c>
      <c r="C322" t="str">
        <f>IFERROR(__xludf.DUMMYFUNCTION("""COMPUTED_VALUE"""),"en")</f>
        <v>en</v>
      </c>
      <c r="D322" t="str">
        <f>IFERROR(__xludf.DUMMYFUNCTION("""COMPUTED_VALUE"""),"HSE/GED/TASC/HiSET Prep: Math (Unit 1 - Arithmetic)")</f>
        <v>HSE/GED/TASC/HiSET Prep: Math (Unit 1 - Arithmetic)</v>
      </c>
      <c r="E322" t="str">
        <f>IFERROR(__xludf.DUMMYFUNCTION("""COMPUTED_VALUE"""),"HSE/GED/TASC/HiSET Prep: Math (Unit 1 - Arithmetic)")</f>
        <v>HSE/GED/TASC/HiSET Prep: Math (Unit 1 - Arithmetic)</v>
      </c>
      <c r="F322">
        <f>IFERROR(__xludf.DUMMYFUNCTION("""COMPUTED_VALUE"""),1.2441174E7)</f>
        <v>12441174</v>
      </c>
      <c r="G322" t="str">
        <f>IFERROR(__xludf.DUMMYFUNCTION("""COMPUTED_VALUE"""),"Matthew Gromlich")</f>
        <v>Matthew Gromlich</v>
      </c>
      <c r="H322" t="str">
        <f>IFERROR(__xludf.DUMMYFUNCTION("""COMPUTED_VALUE"""),"Saturated Topic")</f>
        <v>Saturated Topic</v>
      </c>
      <c r="I322" t="str">
        <f>IFERROR(__xludf.DUMMYFUNCTION("""COMPUTED_VALUE"""),"Personal Development")</f>
        <v>Personal Development</v>
      </c>
      <c r="J322" t="str">
        <f>IFERROR(__xludf.DUMMYFUNCTION("""COMPUTED_VALUE"""),"Personal Growth")</f>
        <v>Personal Growth</v>
      </c>
      <c r="L322" s="140" t="str">
        <f>IFERROR(__xludf.DUMMYFUNCTION("""COMPUTED_VALUE"""),"")</f>
        <v/>
      </c>
      <c r="N322" s="140" t="str">
        <f>IFERROR(__xludf.DUMMYFUNCTION("""COMPUTED_VALUE"""),"")</f>
        <v/>
      </c>
      <c r="O322" s="140" t="str">
        <f>IFERROR(__xludf.DUMMYFUNCTION("""COMPUTED_VALUE"""),"No Alternatives in Collection- 12/23/20")</f>
        <v>No Alternatives in Collection- 12/23/20</v>
      </c>
    </row>
    <row r="323">
      <c r="A323" s="143">
        <f>IFERROR(__xludf.DUMMYFUNCTION("""COMPUTED_VALUE"""),44286.0)</f>
        <v>44286</v>
      </c>
      <c r="B323">
        <f>IFERROR(__xludf.DUMMYFUNCTION("""COMPUTED_VALUE"""),33844.0)</f>
        <v>33844</v>
      </c>
      <c r="C323" t="str">
        <f>IFERROR(__xludf.DUMMYFUNCTION("""COMPUTED_VALUE"""),"en")</f>
        <v>en</v>
      </c>
      <c r="D323" t="str">
        <f>IFERROR(__xludf.DUMMYFUNCTION("""COMPUTED_VALUE"""),"Running A Dojo")</f>
        <v>Running A Dojo</v>
      </c>
      <c r="E323" t="str">
        <f>IFERROR(__xludf.DUMMYFUNCTION("""COMPUTED_VALUE"""),"Running A Dojo")</f>
        <v>Running A Dojo</v>
      </c>
      <c r="F323">
        <f>IFERROR(__xludf.DUMMYFUNCTION("""COMPUTED_VALUE"""),515521.0)</f>
        <v>515521</v>
      </c>
      <c r="G323" t="str">
        <f>IFERROR(__xludf.DUMMYFUNCTION("""COMPUTED_VALUE"""),"Adam Mitchell")</f>
        <v>Adam Mitchell</v>
      </c>
      <c r="H323" t="str">
        <f>IFERROR(__xludf.DUMMYFUNCTION("""COMPUTED_VALUE"""),"Saturated Topic")</f>
        <v>Saturated Topic</v>
      </c>
      <c r="I323" t="str">
        <f>IFERROR(__xludf.DUMMYFUNCTION("""COMPUTED_VALUE"""),"Personal Development")</f>
        <v>Personal Development</v>
      </c>
      <c r="J323" t="str">
        <f>IFERROR(__xludf.DUMMYFUNCTION("""COMPUTED_VALUE"""),"Entrepreneurship")</f>
        <v>Entrepreneurship</v>
      </c>
      <c r="L323" s="140" t="str">
        <f>IFERROR(__xludf.DUMMYFUNCTION("""COMPUTED_VALUE"""),"")</f>
        <v/>
      </c>
      <c r="N323" s="140" t="str">
        <f>IFERROR(__xludf.DUMMYFUNCTION("""COMPUTED_VALUE"""),"")</f>
        <v/>
      </c>
      <c r="O323" s="140" t="str">
        <f>IFERROR(__xludf.DUMMYFUNCTION("""COMPUTED_VALUE"""),"No Alternatives in Collection- 12/23/20")</f>
        <v>No Alternatives in Collection- 12/23/20</v>
      </c>
    </row>
    <row r="324">
      <c r="A324" s="143">
        <f>IFERROR(__xludf.DUMMYFUNCTION("""COMPUTED_VALUE"""),44286.0)</f>
        <v>44286</v>
      </c>
      <c r="B324">
        <f>IFERROR(__xludf.DUMMYFUNCTION("""COMPUTED_VALUE"""),242244.0)</f>
        <v>242244</v>
      </c>
      <c r="C324" t="str">
        <f>IFERROR(__xludf.DUMMYFUNCTION("""COMPUTED_VALUE"""),"en")</f>
        <v>en</v>
      </c>
      <c r="D324" t="str">
        <f>IFERROR(__xludf.DUMMYFUNCTION("""COMPUTED_VALUE"""),"U.S. History 201")</f>
        <v>U.S. History 201</v>
      </c>
      <c r="E324" t="str">
        <f>IFERROR(__xludf.DUMMYFUNCTION("""COMPUTED_VALUE"""),"U.S. History 201.")</f>
        <v>U.S. History 201.</v>
      </c>
      <c r="F324">
        <f>IFERROR(__xludf.DUMMYFUNCTION("""COMPUTED_VALUE"""),665352.0)</f>
        <v>665352</v>
      </c>
      <c r="G324" t="str">
        <f>IFERROR(__xludf.DUMMYFUNCTION("""COMPUTED_VALUE"""),"Intelecom Learning")</f>
        <v>Intelecom Learning</v>
      </c>
      <c r="H324" t="str">
        <f>IFERROR(__xludf.DUMMYFUNCTION("""COMPUTED_VALUE"""),"Saturated Topic")</f>
        <v>Saturated Topic</v>
      </c>
      <c r="I324" t="str">
        <f>IFERROR(__xludf.DUMMYFUNCTION("""COMPUTED_VALUE"""),"Personal Development")</f>
        <v>Personal Development</v>
      </c>
      <c r="J324" t="str">
        <f>IFERROR(__xludf.DUMMYFUNCTION("""COMPUTED_VALUE"""),"Personal Growth")</f>
        <v>Personal Growth</v>
      </c>
      <c r="L324" s="140" t="str">
        <f>IFERROR(__xludf.DUMMYFUNCTION("""COMPUTED_VALUE"""),"")</f>
        <v/>
      </c>
      <c r="N324" s="140" t="str">
        <f>IFERROR(__xludf.DUMMYFUNCTION("""COMPUTED_VALUE"""),"")</f>
        <v/>
      </c>
      <c r="O324" s="140" t="str">
        <f>IFERROR(__xludf.DUMMYFUNCTION("""COMPUTED_VALUE"""),"No Alternatives in Collection- 12/23/20")</f>
        <v>No Alternatives in Collection- 12/23/20</v>
      </c>
    </row>
    <row r="325">
      <c r="A325" s="143">
        <f>IFERROR(__xludf.DUMMYFUNCTION("""COMPUTED_VALUE"""),44286.0)</f>
        <v>44286</v>
      </c>
      <c r="B325">
        <f>IFERROR(__xludf.DUMMYFUNCTION("""COMPUTED_VALUE"""),2531378.0)</f>
        <v>2531378</v>
      </c>
      <c r="C325" t="str">
        <f>IFERROR(__xludf.DUMMYFUNCTION("""COMPUTED_VALUE"""),"en")</f>
        <v>en</v>
      </c>
      <c r="D325" t="str">
        <f>IFERROR(__xludf.DUMMYFUNCTION("""COMPUTED_VALUE"""),"Robot Structural analysis (Steel structure)")</f>
        <v>Robot Structural analysis (Steel structure)</v>
      </c>
      <c r="E325" t="str">
        <f>IFERROR(__xludf.DUMMYFUNCTION("""COMPUTED_VALUE"""),"Robot Structural analysis (Steel structure)")</f>
        <v>Robot Structural analysis (Steel structure)</v>
      </c>
      <c r="F325">
        <f>IFERROR(__xludf.DUMMYFUNCTION("""COMPUTED_VALUE"""),5.0891384E7)</f>
        <v>50891384</v>
      </c>
      <c r="G325" t="str">
        <f>IFERROR(__xludf.DUMMYFUNCTION("""COMPUTED_VALUE"""),"Creative Engineering Center")</f>
        <v>Creative Engineering Center</v>
      </c>
      <c r="H325" t="str">
        <f>IFERROR(__xludf.DUMMYFUNCTION("""COMPUTED_VALUE"""),"Saturated Topic")</f>
        <v>Saturated Topic</v>
      </c>
      <c r="I325" t="str">
        <f>IFERROR(__xludf.DUMMYFUNCTION("""COMPUTED_VALUE"""),"Design")</f>
        <v>Design</v>
      </c>
      <c r="J325" t="str">
        <f>IFERROR(__xludf.DUMMYFUNCTION("""COMPUTED_VALUE"""),"Design Tools")</f>
        <v>Design Tools</v>
      </c>
      <c r="K325" s="155">
        <f>IFERROR(__xludf.DUMMYFUNCTION("""COMPUTED_VALUE"""),2339098.0)</f>
        <v>2339098</v>
      </c>
      <c r="L325" s="140" t="str">
        <f>IFERROR(__xludf.DUMMYFUNCTION("""COMPUTED_VALUE"""),"Robot structural Analysis (RC building)")</f>
        <v>Robot structural Analysis (RC building)</v>
      </c>
      <c r="N325" s="140" t="str">
        <f>IFERROR(__xludf.DUMMYFUNCTION("""COMPUTED_VALUE"""),"")</f>
        <v/>
      </c>
    </row>
    <row r="326">
      <c r="A326" s="143">
        <f>IFERROR(__xludf.DUMMYFUNCTION("""COMPUTED_VALUE"""),44286.0)</f>
        <v>44286</v>
      </c>
      <c r="B326">
        <f>IFERROR(__xludf.DUMMYFUNCTION("""COMPUTED_VALUE"""),507078.0)</f>
        <v>507078</v>
      </c>
      <c r="C326" t="str">
        <f>IFERROR(__xludf.DUMMYFUNCTION("""COMPUTED_VALUE"""),"en")</f>
        <v>en</v>
      </c>
      <c r="D326" t="str">
        <f>IFERROR(__xludf.DUMMYFUNCTION("""COMPUTED_VALUE"""),"MDX Training Part 2")</f>
        <v>MDX Training Part 2</v>
      </c>
      <c r="E326" t="str">
        <f>IFERROR(__xludf.DUMMYFUNCTION("""COMPUTED_VALUE"""),"MDX Training Part 2")</f>
        <v>MDX Training Part 2</v>
      </c>
      <c r="F326">
        <f>IFERROR(__xludf.DUMMYFUNCTION("""COMPUTED_VALUE"""),1.2977158E7)</f>
        <v>12977158</v>
      </c>
      <c r="G326" t="str">
        <f>IFERROR(__xludf.DUMMYFUNCTION("""COMPUTED_VALUE"""),"Vikas Munjal")</f>
        <v>Vikas Munjal</v>
      </c>
      <c r="H326" t="str">
        <f>IFERROR(__xludf.DUMMYFUNCTION("""COMPUTED_VALUE"""),"Saturated Topic")</f>
        <v>Saturated Topic</v>
      </c>
      <c r="I326" t="str">
        <f>IFERROR(__xludf.DUMMYFUNCTION("""COMPUTED_VALUE"""),"Data Science")</f>
        <v>Data Science</v>
      </c>
      <c r="J326" t="str">
        <f>IFERROR(__xludf.DUMMYFUNCTION("""COMPUTED_VALUE"""),"Analytics")</f>
        <v>Analytics</v>
      </c>
      <c r="L326" s="140" t="str">
        <f>IFERROR(__xludf.DUMMYFUNCTION("""COMPUTED_VALUE"""),"")</f>
        <v/>
      </c>
      <c r="N326" s="140" t="str">
        <f>IFERROR(__xludf.DUMMYFUNCTION("""COMPUTED_VALUE"""),"")</f>
        <v/>
      </c>
      <c r="O326" s="140" t="str">
        <f>IFERROR(__xludf.DUMMYFUNCTION("""COMPUTED_VALUE"""),"No Alternatives in Collection- 12/23/20")</f>
        <v>No Alternatives in Collection- 12/23/20</v>
      </c>
    </row>
    <row r="327">
      <c r="A327" s="143">
        <f>IFERROR(__xludf.DUMMYFUNCTION("""COMPUTED_VALUE"""),44286.0)</f>
        <v>44286</v>
      </c>
      <c r="B327">
        <f>IFERROR(__xludf.DUMMYFUNCTION("""COMPUTED_VALUE"""),238788.0)</f>
        <v>238788</v>
      </c>
      <c r="C327" t="str">
        <f>IFERROR(__xludf.DUMMYFUNCTION("""COMPUTED_VALUE"""),"en")</f>
        <v>en</v>
      </c>
      <c r="D327" t="str">
        <f>IFERROR(__xludf.DUMMYFUNCTION("""COMPUTED_VALUE"""),"Learn Mindfulness Meditation for a Calmer and Clearer mind")</f>
        <v>Learn Mindfulness Meditation for a Calmer and Clearer mind</v>
      </c>
      <c r="E327" t="str">
        <f>IFERROR(__xludf.DUMMYFUNCTION("""COMPUTED_VALUE"""),"Learn Mindfulness Meditation for a Calmer and Clearer mind")</f>
        <v>Learn Mindfulness Meditation for a Calmer and Clearer mind</v>
      </c>
      <c r="F327">
        <f>IFERROR(__xludf.DUMMYFUNCTION("""COMPUTED_VALUE"""),5751346.0)</f>
        <v>5751346</v>
      </c>
      <c r="G327" t="str">
        <f>IFERROR(__xludf.DUMMYFUNCTION("""COMPUTED_VALUE"""),"Per Norrgren")</f>
        <v>Per Norrgren</v>
      </c>
      <c r="H327" t="str">
        <f>IFERROR(__xludf.DUMMYFUNCTION("""COMPUTED_VALUE"""),"Saturated Topic")</f>
        <v>Saturated Topic</v>
      </c>
      <c r="I327" t="str">
        <f>IFERROR(__xludf.DUMMYFUNCTION("""COMPUTED_VALUE"""),"Personal Development")</f>
        <v>Personal Development</v>
      </c>
      <c r="J327" t="str">
        <f>IFERROR(__xludf.DUMMYFUNCTION("""COMPUTED_VALUE"""),"Personal Growth")</f>
        <v>Personal Growth</v>
      </c>
      <c r="K327" s="155">
        <f>IFERROR(__xludf.DUMMYFUNCTION("""COMPUTED_VALUE"""),613214.0)</f>
        <v>613214</v>
      </c>
      <c r="L327" s="140" t="str">
        <f>IFERROR(__xludf.DUMMYFUNCTION("""COMPUTED_VALUE"""),"Practical Mindfulness - Mindfulness and mindful meditation")</f>
        <v>Practical Mindfulness - Mindfulness and mindful meditation</v>
      </c>
      <c r="M327" s="155">
        <f>IFERROR(__xludf.DUMMYFUNCTION("""COMPUTED_VALUE"""),2397370.0)</f>
        <v>2397370</v>
      </c>
      <c r="N327" s="140" t="str">
        <f>IFERROR(__xludf.DUMMYFUNCTION("""COMPUTED_VALUE"""),"MINDFULNESS MEDITATION with Jack Kornfield")</f>
        <v>MINDFULNESS MEDITATION with Jack Kornfield</v>
      </c>
    </row>
    <row r="328">
      <c r="A328" s="143">
        <f>IFERROR(__xludf.DUMMYFUNCTION("""COMPUTED_VALUE"""),44286.0)</f>
        <v>44286</v>
      </c>
      <c r="B328">
        <f>IFERROR(__xludf.DUMMYFUNCTION("""COMPUTED_VALUE"""),943296.0)</f>
        <v>943296</v>
      </c>
      <c r="C328" t="str">
        <f>IFERROR(__xludf.DUMMYFUNCTION("""COMPUTED_VALUE"""),"en")</f>
        <v>en</v>
      </c>
      <c r="D328" t="str">
        <f>IFERROR(__xludf.DUMMYFUNCTION("""COMPUTED_VALUE"""),"Understanding Docker and using it for Selenium automation")</f>
        <v>Understanding Docker and using it for Selenium automation</v>
      </c>
      <c r="E328" t="str">
        <f>IFERROR(__xludf.DUMMYFUNCTION("""COMPUTED_VALUE"""),"Understanding Docker and using it for Selenium automation")</f>
        <v>Understanding Docker and using it for Selenium automation</v>
      </c>
      <c r="F328">
        <f>IFERROR(__xludf.DUMMYFUNCTION("""COMPUTED_VALUE"""),1.785701E7)</f>
        <v>17857010</v>
      </c>
      <c r="G328" t="str">
        <f>IFERROR(__xludf.DUMMYFUNCTION("""COMPUTED_VALUE"""),"Karthik KK")</f>
        <v>Karthik KK</v>
      </c>
      <c r="H328" t="str">
        <f>IFERROR(__xludf.DUMMYFUNCTION("""COMPUTED_VALUE"""),"Saturated Topic")</f>
        <v>Saturated Topic</v>
      </c>
      <c r="I328" t="str">
        <f>IFERROR(__xludf.DUMMYFUNCTION("""COMPUTED_VALUE"""),"Development")</f>
        <v>Development</v>
      </c>
      <c r="J328" t="str">
        <f>IFERROR(__xludf.DUMMYFUNCTION("""COMPUTED_VALUE"""),"Development Tools")</f>
        <v>Development Tools</v>
      </c>
      <c r="K328" s="155">
        <f>IFERROR(__xludf.DUMMYFUNCTION("""COMPUTED_VALUE"""),1428208.0)</f>
        <v>1428208</v>
      </c>
      <c r="L328" s="140" t="str">
        <f>IFERROR(__xludf.DUMMYFUNCTION("""COMPUTED_VALUE"""),"Selenium WebDriver MasterClass for Automation Testing")</f>
        <v>Selenium WebDriver MasterClass for Automation Testing</v>
      </c>
      <c r="N328" s="140" t="str">
        <f>IFERROR(__xludf.DUMMYFUNCTION("""COMPUTED_VALUE"""),"")</f>
        <v/>
      </c>
    </row>
    <row r="329">
      <c r="A329" s="143">
        <f>IFERROR(__xludf.DUMMYFUNCTION("""COMPUTED_VALUE"""),44286.0)</f>
        <v>44286</v>
      </c>
      <c r="B329">
        <f>IFERROR(__xludf.DUMMYFUNCTION("""COMPUTED_VALUE"""),2327498.0)</f>
        <v>2327498</v>
      </c>
      <c r="C329" t="str">
        <f>IFERROR(__xludf.DUMMYFUNCTION("""COMPUTED_VALUE"""),"en")</f>
        <v>en</v>
      </c>
      <c r="D329" t="str">
        <f>IFERROR(__xludf.DUMMYFUNCTION("""COMPUTED_VALUE"""),"Jupyter Notebook Server with AWS EC2 and AWS VPC")</f>
        <v>Jupyter Notebook Server with AWS EC2 and AWS VPC</v>
      </c>
      <c r="E329" t="str">
        <f>IFERROR(__xludf.DUMMYFUNCTION("""COMPUTED_VALUE"""),"Jupyter Notebook Server with AWS EC2 and AWS VPC")</f>
        <v>Jupyter Notebook Server with AWS EC2 and AWS VPC</v>
      </c>
      <c r="F329">
        <f>IFERROR(__xludf.DUMMYFUNCTION("""COMPUTED_VALUE"""),128598.0)</f>
        <v>128598</v>
      </c>
      <c r="G329" t="str">
        <f>IFERROR(__xludf.DUMMYFUNCTION("""COMPUTED_VALUE"""),"Justin Mitchel")</f>
        <v>Justin Mitchel</v>
      </c>
      <c r="H329" t="str">
        <f>IFERROR(__xludf.DUMMYFUNCTION("""COMPUTED_VALUE"""),"Saturated Topic")</f>
        <v>Saturated Topic</v>
      </c>
      <c r="I329" t="str">
        <f>IFERROR(__xludf.DUMMYFUNCTION("""COMPUTED_VALUE"""),"Data Science")</f>
        <v>Data Science</v>
      </c>
      <c r="J329" t="str">
        <f>IFERROR(__xludf.DUMMYFUNCTION("""COMPUTED_VALUE"""),"Data Visualization")</f>
        <v>Data Visualization</v>
      </c>
      <c r="K329" s="155">
        <f>IFERROR(__xludf.DUMMYFUNCTION("""COMPUTED_VALUE"""),567828.0)</f>
        <v>567828</v>
      </c>
      <c r="L329" s="140" t="str">
        <f>IFERROR(__xludf.DUMMYFUNCTION("""COMPUTED_VALUE"""),"2021 Complete Python Bootcamp From Zero to Hero in Python")</f>
        <v>2021 Complete Python Bootcamp From Zero to Hero in Python</v>
      </c>
      <c r="M329" s="155">
        <f>IFERROR(__xludf.DUMMYFUNCTION("""COMPUTED_VALUE"""),950390.0)</f>
        <v>950390</v>
      </c>
      <c r="N329" s="140" t="str">
        <f>IFERROR(__xludf.DUMMYFUNCTION("""COMPUTED_VALUE"""),"Machine Learning A-Z™: Hands-On Python &amp; R In Data Science")</f>
        <v>Machine Learning A-Z™: Hands-On Python &amp; R In Data Science</v>
      </c>
    </row>
    <row r="330">
      <c r="A330" s="143">
        <f>IFERROR(__xludf.DUMMYFUNCTION("""COMPUTED_VALUE"""),44286.0)</f>
        <v>44286</v>
      </c>
      <c r="B330">
        <f>IFERROR(__xludf.DUMMYFUNCTION("""COMPUTED_VALUE"""),435062.0)</f>
        <v>435062</v>
      </c>
      <c r="C330" t="str">
        <f>IFERROR(__xludf.DUMMYFUNCTION("""COMPUTED_VALUE"""),"en")</f>
        <v>en</v>
      </c>
      <c r="D330" t="str">
        <f>IFERROR(__xludf.DUMMYFUNCTION("""COMPUTED_VALUE"""),"Learn LibreOffice now, start using the FREE suite: Writer")</f>
        <v>Learn LibreOffice now, start using the FREE suite: Writer</v>
      </c>
      <c r="E330" t="str">
        <f>IFERROR(__xludf.DUMMYFUNCTION("""COMPUTED_VALUE"""),"Learn LibreOffice now, start using the FREE suite: Writer")</f>
        <v>Learn LibreOffice now, start using the FREE suite: Writer</v>
      </c>
      <c r="F330">
        <f>IFERROR(__xludf.DUMMYFUNCTION("""COMPUTED_VALUE"""),281212.0)</f>
        <v>281212</v>
      </c>
      <c r="G330" t="str">
        <f>IFERROR(__xludf.DUMMYFUNCTION("""COMPUTED_VALUE"""),"Paolo Pelloni")</f>
        <v>Paolo Pelloni</v>
      </c>
      <c r="H330" t="str">
        <f>IFERROR(__xludf.DUMMYFUNCTION("""COMPUTED_VALUE"""),"Saturated Topic")</f>
        <v>Saturated Topic</v>
      </c>
      <c r="I330" t="str">
        <f>IFERROR(__xludf.DUMMYFUNCTION("""COMPUTED_VALUE"""),"Office Productivity")</f>
        <v>Office Productivity</v>
      </c>
      <c r="J330" t="str">
        <f>IFERROR(__xludf.DUMMYFUNCTION("""COMPUTED_VALUE"""),"Word Processing")</f>
        <v>Word Processing</v>
      </c>
      <c r="L330" s="140" t="str">
        <f>IFERROR(__xludf.DUMMYFUNCTION("""COMPUTED_VALUE"""),"")</f>
        <v/>
      </c>
      <c r="N330" s="140" t="str">
        <f>IFERROR(__xludf.DUMMYFUNCTION("""COMPUTED_VALUE"""),"")</f>
        <v/>
      </c>
      <c r="O330" s="140" t="str">
        <f>IFERROR(__xludf.DUMMYFUNCTION("""COMPUTED_VALUE"""),"No Alternatives in Collection- 12/23/20")</f>
        <v>No Alternatives in Collection- 12/23/20</v>
      </c>
    </row>
    <row r="331">
      <c r="A331" s="143">
        <f>IFERROR(__xludf.DUMMYFUNCTION("""COMPUTED_VALUE"""),44286.0)</f>
        <v>44286</v>
      </c>
      <c r="B331">
        <f>IFERROR(__xludf.DUMMYFUNCTION("""COMPUTED_VALUE"""),499676.0)</f>
        <v>499676</v>
      </c>
      <c r="C331" t="str">
        <f>IFERROR(__xludf.DUMMYFUNCTION("""COMPUTED_VALUE"""),"en")</f>
        <v>en</v>
      </c>
      <c r="D331" t="str">
        <f>IFERROR(__xludf.DUMMYFUNCTION("""COMPUTED_VALUE"""),"Foundation of Statistics with Minitab")</f>
        <v>Foundation of Statistics with Minitab</v>
      </c>
      <c r="E331" t="str">
        <f>IFERROR(__xludf.DUMMYFUNCTION("""COMPUTED_VALUE"""),"Foundation of Statistics with Minitab")</f>
        <v>Foundation of Statistics with Minitab</v>
      </c>
      <c r="F331">
        <f>IFERROR(__xludf.DUMMYFUNCTION("""COMPUTED_VALUE"""),1.2423988E7)</f>
        <v>12423988</v>
      </c>
      <c r="G331" t="str">
        <f>IFERROR(__xludf.DUMMYFUNCTION("""COMPUTED_VALUE"""),"László Csanaki")</f>
        <v>László Csanaki</v>
      </c>
      <c r="H331" t="str">
        <f>IFERROR(__xludf.DUMMYFUNCTION("""COMPUTED_VALUE"""),"Saturated Topic")</f>
        <v>Saturated Topic</v>
      </c>
      <c r="I331" t="str">
        <f>IFERROR(__xludf.DUMMYFUNCTION("""COMPUTED_VALUE"""),"Data Science")</f>
        <v>Data Science</v>
      </c>
      <c r="J331" t="str">
        <f>IFERROR(__xludf.DUMMYFUNCTION("""COMPUTED_VALUE"""),"Analytics")</f>
        <v>Analytics</v>
      </c>
      <c r="L331" s="140" t="str">
        <f>IFERROR(__xludf.DUMMYFUNCTION("""COMPUTED_VALUE"""),"")</f>
        <v/>
      </c>
      <c r="N331" s="140" t="str">
        <f>IFERROR(__xludf.DUMMYFUNCTION("""COMPUTED_VALUE"""),"")</f>
        <v/>
      </c>
      <c r="O331" s="140" t="str">
        <f>IFERROR(__xludf.DUMMYFUNCTION("""COMPUTED_VALUE"""),"No Alternatives in Collection- 12/23/20")</f>
        <v>No Alternatives in Collection- 12/23/20</v>
      </c>
    </row>
    <row r="332">
      <c r="A332" s="143">
        <f>IFERROR(__xludf.DUMMYFUNCTION("""COMPUTED_VALUE"""),44286.0)</f>
        <v>44286</v>
      </c>
      <c r="B332">
        <f>IFERROR(__xludf.DUMMYFUNCTION("""COMPUTED_VALUE"""),1753350.0)</f>
        <v>1753350</v>
      </c>
      <c r="C332" t="str">
        <f>IFERROR(__xludf.DUMMYFUNCTION("""COMPUTED_VALUE"""),"en")</f>
        <v>en</v>
      </c>
      <c r="D332" t="str">
        <f>IFERROR(__xludf.DUMMYFUNCTION("""COMPUTED_VALUE"""),"Coding for Visual Learners: Learning JavaScript from Scratch")</f>
        <v>Coding for Visual Learners: Learning JavaScript from Scratch</v>
      </c>
      <c r="E332" t="str">
        <f>IFERROR(__xludf.DUMMYFUNCTION("""COMPUTED_VALUE"""),"Coding for Visual Learners: Learning JavaScript from Scratch")</f>
        <v>Coding for Visual Learners: Learning JavaScript from Scratch</v>
      </c>
      <c r="F332">
        <f>IFERROR(__xludf.DUMMYFUNCTION("""COMPUTED_VALUE"""),1.7418046E7)</f>
        <v>17418046</v>
      </c>
      <c r="G332" t="str">
        <f>IFERROR(__xludf.DUMMYFUNCTION("""COMPUTED_VALUE"""),"Engin Arslan")</f>
        <v>Engin Arslan</v>
      </c>
      <c r="H332" t="str">
        <f>IFERROR(__xludf.DUMMYFUNCTION("""COMPUTED_VALUE"""),"Saturated Topic")</f>
        <v>Saturated Topic</v>
      </c>
      <c r="I332" t="str">
        <f>IFERROR(__xludf.DUMMYFUNCTION("""COMPUTED_VALUE"""),"Development")</f>
        <v>Development</v>
      </c>
      <c r="J332" t="str">
        <f>IFERROR(__xludf.DUMMYFUNCTION("""COMPUTED_VALUE"""),"Programming Languages")</f>
        <v>Programming Languages</v>
      </c>
      <c r="K332" s="155">
        <f>IFERROR(__xludf.DUMMYFUNCTION("""COMPUTED_VALUE"""),851712.0)</f>
        <v>851712</v>
      </c>
      <c r="L332" s="140" t="str">
        <f>IFERROR(__xludf.DUMMYFUNCTION("""COMPUTED_VALUE"""),"The Complete JavaScript Course 2021: From Zero to Expert!")</f>
        <v>The Complete JavaScript Course 2021: From Zero to Expert!</v>
      </c>
      <c r="M332" s="155">
        <f>IFERROR(__xludf.DUMMYFUNCTION("""COMPUTED_VALUE"""),2508942.0)</f>
        <v>2508942</v>
      </c>
      <c r="N332" s="140" t="str">
        <f>IFERROR(__xludf.DUMMYFUNCTION("""COMPUTED_VALUE"""),"JavaScript - The Complete Guide 2021 (Beginner + Advanced)")</f>
        <v>JavaScript - The Complete Guide 2021 (Beginner + Advanced)</v>
      </c>
    </row>
    <row r="333">
      <c r="A333" s="143">
        <f>IFERROR(__xludf.DUMMYFUNCTION("""COMPUTED_VALUE"""),44286.0)</f>
        <v>44286</v>
      </c>
      <c r="B333">
        <f>IFERROR(__xludf.DUMMYFUNCTION("""COMPUTED_VALUE"""),194754.0)</f>
        <v>194754</v>
      </c>
      <c r="C333" t="str">
        <f>IFERROR(__xludf.DUMMYFUNCTION("""COMPUTED_VALUE"""),"en")</f>
        <v>en</v>
      </c>
      <c r="D333" t="str">
        <f>IFERROR(__xludf.DUMMYFUNCTION("""COMPUTED_VALUE"""),"Facebook Marketing: A Step-by-Step to Your First 1000 Fans!")</f>
        <v>Facebook Marketing: A Step-by-Step to Your First 1000 Fans!</v>
      </c>
      <c r="E333" t="str">
        <f>IFERROR(__xludf.DUMMYFUNCTION("""COMPUTED_VALUE"""),"Facebook Marketing: A Step-by-Step to Your First 1000 Fans!")</f>
        <v>Facebook Marketing: A Step-by-Step to Your First 1000 Fans!</v>
      </c>
      <c r="F333">
        <f>IFERROR(__xludf.DUMMYFUNCTION("""COMPUTED_VALUE"""),781155.0)</f>
        <v>781155</v>
      </c>
      <c r="G333" t="str">
        <f>IFERROR(__xludf.DUMMYFUNCTION("""COMPUTED_VALUE"""),"Benjamin Wilson")</f>
        <v>Benjamin Wilson</v>
      </c>
      <c r="H333" t="str">
        <f>IFERROR(__xludf.DUMMYFUNCTION("""COMPUTED_VALUE"""),"Saturated Topic")</f>
        <v>Saturated Topic</v>
      </c>
      <c r="I333" t="str">
        <f>IFERROR(__xludf.DUMMYFUNCTION("""COMPUTED_VALUE"""),"Marketing")</f>
        <v>Marketing</v>
      </c>
      <c r="J333" t="str">
        <f>IFERROR(__xludf.DUMMYFUNCTION("""COMPUTED_VALUE"""),"Social Media Marketing")</f>
        <v>Social Media Marketing</v>
      </c>
      <c r="K333" s="155">
        <f>IFERROR(__xludf.DUMMYFUNCTION("""COMPUTED_VALUE"""),403314.0)</f>
        <v>403314</v>
      </c>
      <c r="L333" s="140" t="str">
        <f>IFERROR(__xludf.DUMMYFUNCTION("""COMPUTED_VALUE"""),"Facebook Ads &amp; Facebook Marketing MASTERY 2021 | Coursenvy ®")</f>
        <v>Facebook Ads &amp; Facebook Marketing MASTERY 2021 | Coursenvy ®</v>
      </c>
      <c r="M333" s="155">
        <f>IFERROR(__xludf.DUMMYFUNCTION("""COMPUTED_VALUE"""),987428.0)</f>
        <v>987428</v>
      </c>
      <c r="N333" s="140" t="str">
        <f>IFERROR(__xludf.DUMMYFUNCTION("""COMPUTED_VALUE"""),"The Complete Facebook Ads Course - Beginner to Advanced")</f>
        <v>The Complete Facebook Ads Course - Beginner to Advanced</v>
      </c>
    </row>
    <row r="334">
      <c r="A334" s="143">
        <f>IFERROR(__xludf.DUMMYFUNCTION("""COMPUTED_VALUE"""),44286.0)</f>
        <v>44286</v>
      </c>
      <c r="B334">
        <f>IFERROR(__xludf.DUMMYFUNCTION("""COMPUTED_VALUE"""),675770.0)</f>
        <v>675770</v>
      </c>
      <c r="C334" t="str">
        <f>IFERROR(__xludf.DUMMYFUNCTION("""COMPUTED_VALUE"""),"en")</f>
        <v>en</v>
      </c>
      <c r="D334" t="str">
        <f>IFERROR(__xludf.DUMMYFUNCTION("""COMPUTED_VALUE"""),"Thinking Like an Art Director with PaintShop Pro")</f>
        <v>Thinking Like an Art Director with PaintShop Pro</v>
      </c>
      <c r="E334" t="str">
        <f>IFERROR(__xludf.DUMMYFUNCTION("""COMPUTED_VALUE"""),"Thinking Like an Art Director with PaintShop Pro")</f>
        <v>Thinking Like an Art Director with PaintShop Pro</v>
      </c>
      <c r="F334">
        <f>IFERROR(__xludf.DUMMYFUNCTION("""COMPUTED_VALUE"""),1.4432874E7)</f>
        <v>14432874</v>
      </c>
      <c r="G334" t="str">
        <f>IFERROR(__xludf.DUMMYFUNCTION("""COMPUTED_VALUE"""),"Corel Corporation")</f>
        <v>Corel Corporation</v>
      </c>
      <c r="H334" t="str">
        <f>IFERROR(__xludf.DUMMYFUNCTION("""COMPUTED_VALUE"""),"Saturated Topic")</f>
        <v>Saturated Topic</v>
      </c>
      <c r="I334" t="str">
        <f>IFERROR(__xludf.DUMMYFUNCTION("""COMPUTED_VALUE"""),"Design")</f>
        <v>Design</v>
      </c>
      <c r="J334" t="str">
        <f>IFERROR(__xludf.DUMMYFUNCTION("""COMPUTED_VALUE"""),"Design Tools")</f>
        <v>Design Tools</v>
      </c>
      <c r="L334" s="140" t="str">
        <f>IFERROR(__xludf.DUMMYFUNCTION("""COMPUTED_VALUE"""),"")</f>
        <v/>
      </c>
      <c r="N334" s="140" t="str">
        <f>IFERROR(__xludf.DUMMYFUNCTION("""COMPUTED_VALUE"""),"")</f>
        <v/>
      </c>
      <c r="O334" s="140" t="str">
        <f>IFERROR(__xludf.DUMMYFUNCTION("""COMPUTED_VALUE"""),"No Alternatives in Collection- 12/23/20")</f>
        <v>No Alternatives in Collection- 12/23/20</v>
      </c>
    </row>
    <row r="335">
      <c r="A335" s="143">
        <f>IFERROR(__xludf.DUMMYFUNCTION("""COMPUTED_VALUE"""),44286.0)</f>
        <v>44286</v>
      </c>
      <c r="B335">
        <f>IFERROR(__xludf.DUMMYFUNCTION("""COMPUTED_VALUE"""),958132.0)</f>
        <v>958132</v>
      </c>
      <c r="C335" t="str">
        <f>IFERROR(__xludf.DUMMYFUNCTION("""COMPUTED_VALUE"""),"en")</f>
        <v>en</v>
      </c>
      <c r="D335" t="str">
        <f>IFERROR(__xludf.DUMMYFUNCTION("""COMPUTED_VALUE"""),"Learn By Example: jQuery")</f>
        <v>Learn By Example: jQuery</v>
      </c>
      <c r="E335" t="str">
        <f>IFERROR(__xludf.DUMMYFUNCTION("""COMPUTED_VALUE"""),"Learn By Example: jQuery")</f>
        <v>Learn By Example: jQuery</v>
      </c>
      <c r="F335">
        <f>IFERROR(__xludf.DUMMYFUNCTION("""COMPUTED_VALUE"""),1.6442046E7)</f>
        <v>16442046</v>
      </c>
      <c r="G335" t="str">
        <f>IFERROR(__xludf.DUMMYFUNCTION("""COMPUTED_VALUE"""),"Loony Corn")</f>
        <v>Loony Corn</v>
      </c>
      <c r="H335" t="str">
        <f>IFERROR(__xludf.DUMMYFUNCTION("""COMPUTED_VALUE"""),"3 Flags")</f>
        <v>3 Flags</v>
      </c>
      <c r="I335" t="str">
        <f>IFERROR(__xludf.DUMMYFUNCTION("""COMPUTED_VALUE"""),"Development")</f>
        <v>Development</v>
      </c>
      <c r="J335" t="str">
        <f>IFERROR(__xludf.DUMMYFUNCTION("""COMPUTED_VALUE"""),"Web Development")</f>
        <v>Web Development</v>
      </c>
      <c r="K335" s="155">
        <f>IFERROR(__xludf.DUMMYFUNCTION("""COMPUTED_VALUE"""),812588.0)</f>
        <v>812588</v>
      </c>
      <c r="L335" s="140" t="str">
        <f>IFERROR(__xludf.DUMMYFUNCTION("""COMPUTED_VALUE"""),"The Complete jQuery Course: From Beginner To Advanced!")</f>
        <v>The Complete jQuery Course: From Beginner To Advanced!</v>
      </c>
      <c r="N335" s="140" t="str">
        <f>IFERROR(__xludf.DUMMYFUNCTION("""COMPUTED_VALUE"""),"")</f>
        <v/>
      </c>
    </row>
    <row r="336">
      <c r="A336" s="143">
        <f>IFERROR(__xludf.DUMMYFUNCTION("""COMPUTED_VALUE"""),44286.0)</f>
        <v>44286</v>
      </c>
      <c r="B336">
        <f>IFERROR(__xludf.DUMMYFUNCTION("""COMPUTED_VALUE"""),763774.0)</f>
        <v>763774</v>
      </c>
      <c r="C336" t="str">
        <f>IFERROR(__xludf.DUMMYFUNCTION("""COMPUTED_VALUE"""),"en")</f>
        <v>en</v>
      </c>
      <c r="D336" t="str">
        <f>IFERROR(__xludf.DUMMYFUNCTION("""COMPUTED_VALUE"""),"JavaScript Game Development: Create Your Own Breakout Game")</f>
        <v>JavaScript Game Development: Create Your Own Breakout Game</v>
      </c>
      <c r="E336" t="str">
        <f>IFERROR(__xludf.DUMMYFUNCTION("""COMPUTED_VALUE"""),"JavaScript Game Development: Create Your Own Breakout Game")</f>
        <v>JavaScript Game Development: Create Your Own Breakout Game</v>
      </c>
      <c r="F336">
        <f>IFERROR(__xludf.DUMMYFUNCTION("""COMPUTED_VALUE"""),1.2599194E7)</f>
        <v>12599194</v>
      </c>
      <c r="G336" t="str">
        <f>IFERROR(__xludf.DUMMYFUNCTION("""COMPUTED_VALUE"""),"Attila Komaromi")</f>
        <v>Attila Komaromi</v>
      </c>
      <c r="H336" t="str">
        <f>IFERROR(__xludf.DUMMYFUNCTION("""COMPUTED_VALUE"""),"Saturated Topic")</f>
        <v>Saturated Topic</v>
      </c>
      <c r="I336" t="str">
        <f>IFERROR(__xludf.DUMMYFUNCTION("""COMPUTED_VALUE"""),"Development")</f>
        <v>Development</v>
      </c>
      <c r="J336" t="str">
        <f>IFERROR(__xludf.DUMMYFUNCTION("""COMPUTED_VALUE"""),"Mobile Development")</f>
        <v>Mobile Development</v>
      </c>
      <c r="K336" s="155">
        <f>IFERROR(__xludf.DUMMYFUNCTION("""COMPUTED_VALUE"""),535562.0)</f>
        <v>535562</v>
      </c>
      <c r="L336" s="140" t="str">
        <f>IFERROR(__xludf.DUMMYFUNCTION("""COMPUTED_VALUE"""),"")</f>
        <v/>
      </c>
      <c r="M336" s="155">
        <f>IFERROR(__xludf.DUMMYFUNCTION("""COMPUTED_VALUE"""),2231706.0)</f>
        <v>2231706</v>
      </c>
      <c r="N336" s="140" t="str">
        <f>IFERROR(__xludf.DUMMYFUNCTION("""COMPUTED_VALUE"""),"55 Modern JavaScript Dynamic Interactive Projects Games")</f>
        <v>55 Modern JavaScript Dynamic Interactive Projects Games</v>
      </c>
    </row>
    <row r="337">
      <c r="A337" s="143">
        <f>IFERROR(__xludf.DUMMYFUNCTION("""COMPUTED_VALUE"""),44286.0)</f>
        <v>44286</v>
      </c>
      <c r="B337">
        <f>IFERROR(__xludf.DUMMYFUNCTION("""COMPUTED_VALUE"""),1221906.0)</f>
        <v>1221906</v>
      </c>
      <c r="C337" t="str">
        <f>IFERROR(__xludf.DUMMYFUNCTION("""COMPUTED_VALUE"""),"en")</f>
        <v>en</v>
      </c>
      <c r="D337" t="str">
        <f>IFERROR(__xludf.DUMMYFUNCTION("""COMPUTED_VALUE"""),"Markdown: Learn to Write HTML-Ready Content in ANY Web Tool!")</f>
        <v>Markdown: Learn to Write HTML-Ready Content in ANY Web Tool!</v>
      </c>
      <c r="E337" t="str">
        <f>IFERROR(__xludf.DUMMYFUNCTION("""COMPUTED_VALUE"""),"Markdown: Learn to Write HTML-Ready Content in ANY Web Tool!")</f>
        <v>Markdown: Learn to Write HTML-Ready Content in ANY Web Tool!</v>
      </c>
      <c r="F337">
        <f>IFERROR(__xludf.DUMMYFUNCTION("""COMPUTED_VALUE"""),2.3268822E7)</f>
        <v>23268822</v>
      </c>
      <c r="G337" t="str">
        <f>IFERROR(__xludf.DUMMYFUNCTION("""COMPUTED_VALUE"""),"Gareth van Zyl")</f>
        <v>Gareth van Zyl</v>
      </c>
      <c r="H337" t="str">
        <f>IFERROR(__xludf.DUMMYFUNCTION("""COMPUTED_VALUE"""),"Saturated Topic")</f>
        <v>Saturated Topic</v>
      </c>
      <c r="I337" t="str">
        <f>IFERROR(__xludf.DUMMYFUNCTION("""COMPUTED_VALUE"""),"Development")</f>
        <v>Development</v>
      </c>
      <c r="J337" t="str">
        <f>IFERROR(__xludf.DUMMYFUNCTION("""COMPUTED_VALUE"""),"Programming Languages")</f>
        <v>Programming Languages</v>
      </c>
      <c r="K337" s="155">
        <f>IFERROR(__xludf.DUMMYFUNCTION("""COMPUTED_VALUE"""),515220.0)</f>
        <v>515220</v>
      </c>
      <c r="L337" s="140" t="str">
        <f>IFERROR(__xludf.DUMMYFUNCTION("""COMPUTED_VALUE"""),"Markdown Mastery: Simple yet Powerful Writing Format")</f>
        <v>Markdown Mastery: Simple yet Powerful Writing Format</v>
      </c>
      <c r="N337" s="140" t="str">
        <f>IFERROR(__xludf.DUMMYFUNCTION("""COMPUTED_VALUE"""),"")</f>
        <v/>
      </c>
    </row>
    <row r="338">
      <c r="A338" s="143">
        <f>IFERROR(__xludf.DUMMYFUNCTION("""COMPUTED_VALUE"""),44286.0)</f>
        <v>44286</v>
      </c>
      <c r="B338">
        <f>IFERROR(__xludf.DUMMYFUNCTION("""COMPUTED_VALUE"""),765282.0)</f>
        <v>765282</v>
      </c>
      <c r="C338" t="str">
        <f>IFERROR(__xludf.DUMMYFUNCTION("""COMPUTED_VALUE"""),"en")</f>
        <v>en</v>
      </c>
      <c r="D338" t="str">
        <f>IFERROR(__xludf.DUMMYFUNCTION("""COMPUTED_VALUE"""),"Learn 500 Arabic Words with Flashcards + Grammar Essentials")</f>
        <v>Learn 500 Arabic Words with Flashcards + Grammar Essentials</v>
      </c>
      <c r="E338" t="str">
        <f>IFERROR(__xludf.DUMMYFUNCTION("""COMPUTED_VALUE"""),"Learn 500 Arabic Words with Flashcards + Grammar Essentials")</f>
        <v>Learn 500 Arabic Words with Flashcards + Grammar Essentials</v>
      </c>
      <c r="F338">
        <f>IFERROR(__xludf.DUMMYFUNCTION("""COMPUTED_VALUE"""),1.1517624E7)</f>
        <v>11517624</v>
      </c>
      <c r="G338" t="str">
        <f>IFERROR(__xludf.DUMMYFUNCTION("""COMPUTED_VALUE"""),"M Ajmir GOOLAM HOSSEN")</f>
        <v>M Ajmir GOOLAM HOSSEN</v>
      </c>
      <c r="H338" t="str">
        <f>IFERROR(__xludf.DUMMYFUNCTION("""COMPUTED_VALUE"""),"Saturated Topic")</f>
        <v>Saturated Topic</v>
      </c>
      <c r="I338" t="str">
        <f>IFERROR(__xludf.DUMMYFUNCTION("""COMPUTED_VALUE"""),"Personal Development")</f>
        <v>Personal Development</v>
      </c>
      <c r="J338" t="str">
        <f>IFERROR(__xludf.DUMMYFUNCTION("""COMPUTED_VALUE"""),"Language Learning")</f>
        <v>Language Learning</v>
      </c>
      <c r="K338" s="155">
        <f>IFERROR(__xludf.DUMMYFUNCTION("""COMPUTED_VALUE"""),260490.0)</f>
        <v>260490</v>
      </c>
      <c r="L338" s="140" t="str">
        <f>IFERROR(__xludf.DUMMYFUNCTION("""COMPUTED_VALUE"""),"Arabic language | The comprehensive course - Learn modern")</f>
        <v>Arabic language | The comprehensive course - Learn modern</v>
      </c>
      <c r="M338" s="155">
        <f>IFERROR(__xludf.DUMMYFUNCTION("""COMPUTED_VALUE"""),1055828.0)</f>
        <v>1055828</v>
      </c>
      <c r="N338" s="140" t="str">
        <f>IFERROR(__xludf.DUMMYFUNCTION("""COMPUTED_VALUE"""),"Learn Arabic! Start Speaking Arabic Now!")</f>
        <v>Learn Arabic! Start Speaking Arabic Now!</v>
      </c>
    </row>
    <row r="339">
      <c r="A339" s="143">
        <f>IFERROR(__xludf.DUMMYFUNCTION("""COMPUTED_VALUE"""),44286.0)</f>
        <v>44286</v>
      </c>
      <c r="B339">
        <f>IFERROR(__xludf.DUMMYFUNCTION("""COMPUTED_VALUE"""),646934.0)</f>
        <v>646934</v>
      </c>
      <c r="C339" t="str">
        <f>IFERROR(__xludf.DUMMYFUNCTION("""COMPUTED_VALUE"""),"en")</f>
        <v>en</v>
      </c>
      <c r="D339" t="str">
        <f>IFERROR(__xludf.DUMMYFUNCTION("""COMPUTED_VALUE"""),"Linux Security Fundamentals: Level up your security skills")</f>
        <v>Linux Security Fundamentals: Level up your security skills</v>
      </c>
      <c r="E339" t="str">
        <f>IFERROR(__xludf.DUMMYFUNCTION("""COMPUTED_VALUE"""),"Linux Security Fundamentals: Level up your security skills")</f>
        <v>Linux Security Fundamentals: Level up your security skills</v>
      </c>
      <c r="F339">
        <f>IFERROR(__xludf.DUMMYFUNCTION("""COMPUTED_VALUE"""),1.6907628E7)</f>
        <v>16907628</v>
      </c>
      <c r="G339" t="str">
        <f>IFERROR(__xludf.DUMMYFUNCTION("""COMPUTED_VALUE"""),"Daniel Lohin")</f>
        <v>Daniel Lohin</v>
      </c>
      <c r="H339" t="str">
        <f>IFERROR(__xludf.DUMMYFUNCTION("""COMPUTED_VALUE"""),"Saturated Topic")</f>
        <v>Saturated Topic</v>
      </c>
      <c r="I339" t="str">
        <f>IFERROR(__xludf.DUMMYFUNCTION("""COMPUTED_VALUE"""),"IT Operations")</f>
        <v>IT Operations</v>
      </c>
      <c r="J339" t="str">
        <f>IFERROR(__xludf.DUMMYFUNCTION("""COMPUTED_VALUE"""),"Operating Systems &amp; Servers")</f>
        <v>Operating Systems &amp; Servers</v>
      </c>
      <c r="K339" s="155">
        <f>IFERROR(__xludf.DUMMYFUNCTION("""COMPUTED_VALUE"""),755984.0)</f>
        <v>755984</v>
      </c>
      <c r="L339" s="140" t="str">
        <f>IFERROR(__xludf.DUMMYFUNCTION("""COMPUTED_VALUE"""),"Linux Security and Hardening, The Practical Security Guide.")</f>
        <v>Linux Security and Hardening, The Practical Security Guide.</v>
      </c>
      <c r="M339" s="155">
        <f>IFERROR(__xludf.DUMMYFUNCTION("""COMPUTED_VALUE"""),1680940.0)</f>
        <v>1680940</v>
      </c>
      <c r="N339" s="140" t="str">
        <f>IFERROR(__xludf.DUMMYFUNCTION("""COMPUTED_VALUE"""),"Complete Linux Security &amp; Hardening with Practical Examples")</f>
        <v>Complete Linux Security &amp; Hardening with Practical Examples</v>
      </c>
    </row>
    <row r="340">
      <c r="A340" s="143">
        <f>IFERROR(__xludf.DUMMYFUNCTION("""COMPUTED_VALUE"""),44286.0)</f>
        <v>44286</v>
      </c>
      <c r="B340">
        <f>IFERROR(__xludf.DUMMYFUNCTION("""COMPUTED_VALUE"""),561454.0)</f>
        <v>561454</v>
      </c>
      <c r="C340" t="str">
        <f>IFERROR(__xludf.DUMMYFUNCTION("""COMPUTED_VALUE"""),"en")</f>
        <v>en</v>
      </c>
      <c r="D340" t="str">
        <f>IFERROR(__xludf.DUMMYFUNCTION("""COMPUTED_VALUE"""),"Master Microsoft Excel, Outlook and Word 2013 - 26 Hours")</f>
        <v>Master Microsoft Excel, Outlook and Word 2013 - 26 Hours</v>
      </c>
      <c r="E340" t="str">
        <f>IFERROR(__xludf.DUMMYFUNCTION("""COMPUTED_VALUE"""),"Master Microsoft Excel, Outlook and Word 2013 - 26 Hours")</f>
        <v>Master Microsoft Excel, Outlook and Word 2013 - 26 Hours</v>
      </c>
      <c r="F340">
        <f>IFERROR(__xludf.DUMMYFUNCTION("""COMPUTED_VALUE"""),254593.0)</f>
        <v>254593</v>
      </c>
      <c r="G340" t="str">
        <f>IFERROR(__xludf.DUMMYFUNCTION("""COMPUTED_VALUE"""),"Simon Sez IT")</f>
        <v>Simon Sez IT</v>
      </c>
      <c r="H340" t="str">
        <f>IFERROR(__xludf.DUMMYFUNCTION("""COMPUTED_VALUE"""),"Saturated Topic")</f>
        <v>Saturated Topic</v>
      </c>
      <c r="I340" t="str">
        <f>IFERROR(__xludf.DUMMYFUNCTION("""COMPUTED_VALUE"""),"Office Productivity")</f>
        <v>Office Productivity</v>
      </c>
      <c r="J340" t="str">
        <f>IFERROR(__xludf.DUMMYFUNCTION("""COMPUTED_VALUE"""),"Word Processing")</f>
        <v>Word Processing</v>
      </c>
      <c r="K340" s="155">
        <f>IFERROR(__xludf.DUMMYFUNCTION("""COMPUTED_VALUE"""),565120.0)</f>
        <v>565120</v>
      </c>
      <c r="L340" s="140" t="str">
        <f>IFERROR(__xludf.DUMMYFUNCTION("""COMPUTED_VALUE"""),"MS Office 2013: 10-in-1 Courses To Maximize Productivity")</f>
        <v>MS Office 2013: 10-in-1 Courses To Maximize Productivity</v>
      </c>
      <c r="N340" s="140" t="str">
        <f>IFERROR(__xludf.DUMMYFUNCTION("""COMPUTED_VALUE"""),"")</f>
        <v/>
      </c>
    </row>
    <row r="341">
      <c r="A341" s="143">
        <f>IFERROR(__xludf.DUMMYFUNCTION("""COMPUTED_VALUE"""),44287.0)</f>
        <v>44287</v>
      </c>
      <c r="B341">
        <f>IFERROR(__xludf.DUMMYFUNCTION("""COMPUTED_VALUE"""),3681038.0)</f>
        <v>3681038</v>
      </c>
      <c r="C341" t="str">
        <f>IFERROR(__xludf.DUMMYFUNCTION("""COMPUTED_VALUE"""),"en")</f>
        <v>en</v>
      </c>
      <c r="D341" t="str">
        <f>IFERROR(__xludf.DUMMYFUNCTION("""COMPUTED_VALUE"""),"Salesforce Service Cloud Exams/ Practice Tests &amp;Exam Voucher")</f>
        <v>Salesforce Service Cloud Exams/ Practice Tests &amp;Exam Voucher</v>
      </c>
      <c r="E341" t="str">
        <f>IFERROR(__xludf.DUMMYFUNCTION("""COMPUTED_VALUE"""),"Salesforce Service Cloud Exams/ Practice Tests &amp;Exam Voucher")</f>
        <v>Salesforce Service Cloud Exams/ Practice Tests &amp;Exam Voucher</v>
      </c>
      <c r="F341">
        <f>IFERROR(__xludf.DUMMYFUNCTION("""COMPUTED_VALUE"""),7.8429606E7)</f>
        <v>78429606</v>
      </c>
      <c r="G341" s="142" t="str">
        <f>IFERROR(__xludf.DUMMYFUNCTION("""COMPUTED_VALUE"""),"Dhruvak Chokshi")</f>
        <v>Dhruvak Chokshi</v>
      </c>
      <c r="H341" t="str">
        <f>IFERROR(__xludf.DUMMYFUNCTION("""COMPUTED_VALUE"""),"Instructor Practices")</f>
        <v>Instructor Practices</v>
      </c>
      <c r="I341" t="str">
        <f>IFERROR(__xludf.DUMMYFUNCTION("""COMPUTED_VALUE"""),"IT Operations")</f>
        <v>IT Operations</v>
      </c>
      <c r="J341" t="str">
        <f>IFERROR(__xludf.DUMMYFUNCTION("""COMPUTED_VALUE"""),"IT Certifications")</f>
        <v>IT Certifications</v>
      </c>
    </row>
    <row r="342">
      <c r="A342" s="143">
        <f>IFERROR(__xludf.DUMMYFUNCTION("""COMPUTED_VALUE"""),44301.0)</f>
        <v>44301</v>
      </c>
      <c r="B342">
        <f>IFERROR(__xludf.DUMMYFUNCTION("""COMPUTED_VALUE"""),3401208.0)</f>
        <v>3401208</v>
      </c>
      <c r="C342" t="str">
        <f>IFERROR(__xludf.DUMMYFUNCTION("""COMPUTED_VALUE"""),"en")</f>
        <v>en</v>
      </c>
      <c r="D342" t="str">
        <f>IFERROR(__xludf.DUMMYFUNCTION("""COMPUTED_VALUE"""),"[NEW] Computer Networking : Go from Zero to Hero (2021)")</f>
        <v>[NEW] Computer Networking : Go from Zero to Hero (2021)</v>
      </c>
      <c r="E342" t="str">
        <f>IFERROR(__xludf.DUMMYFUNCTION("""COMPUTED_VALUE"""),"[NEW] Computer Networking : Go from Zero to Hero (2021)")</f>
        <v>[NEW] Computer Networking : Go from Zero to Hero (2021)</v>
      </c>
      <c r="F342">
        <f>IFERROR(__xludf.DUMMYFUNCTION("""COMPUTED_VALUE"""),5.0280262E7)</f>
        <v>50280262</v>
      </c>
      <c r="G342" t="str">
        <f>IFERROR(__xludf.DUMMYFUNCTION("""COMPUTED_VALUE"""),"We Secure © • 100,000+ Enrollments")</f>
        <v>We Secure © • 100,000+ Enrollments</v>
      </c>
      <c r="H342" t="str">
        <f>IFERROR(__xludf.DUMMYFUNCTION("""COMPUTED_VALUE"""),"T&amp;S")</f>
        <v>T&amp;S</v>
      </c>
      <c r="I342" t="str">
        <f>IFERROR(__xludf.DUMMYFUNCTION("""COMPUTED_VALUE"""),"IT Operations")</f>
        <v>IT Operations</v>
      </c>
      <c r="J342" t="str">
        <f>IFERROR(__xludf.DUMMYFUNCTION("""COMPUTED_VALUE"""),"Network &amp; Security")</f>
        <v>Network &amp; Security</v>
      </c>
    </row>
    <row r="343">
      <c r="A343" s="143">
        <f>IFERROR(__xludf.DUMMYFUNCTION("""COMPUTED_VALUE"""),44315.0)</f>
        <v>44315</v>
      </c>
      <c r="B343">
        <f>IFERROR(__xludf.DUMMYFUNCTION("""COMPUTED_VALUE"""),1004588.0)</f>
        <v>1004588</v>
      </c>
      <c r="C343" t="str">
        <f>IFERROR(__xludf.DUMMYFUNCTION("""COMPUTED_VALUE"""),"es")</f>
        <v>es</v>
      </c>
      <c r="D343" t="str">
        <f>IFERROR(__xludf.DUMMYFUNCTION("""COMPUTED_VALUE"""),"Hiperconvergencia con Nutanix: instalación y configuración")</f>
        <v>Hiperconvergencia con Nutanix: instalación y configuración</v>
      </c>
      <c r="E343" t="str">
        <f>IFERROR(__xludf.DUMMYFUNCTION("""COMPUTED_VALUE"""),"Hyperconvergence with Nutanix: Installation and configuration")</f>
        <v>Hyperconvergence with Nutanix: Installation and configuration</v>
      </c>
      <c r="F343">
        <f>IFERROR(__xludf.DUMMYFUNCTION("""COMPUTED_VALUE"""),2.4146466E7)</f>
        <v>24146466</v>
      </c>
      <c r="G343" t="str">
        <f>IFERROR(__xludf.DUMMYFUNCTION("""COMPUTED_VALUE"""),"Leandro Ariel Leonhardt")</f>
        <v>Leandro Ariel Leonhardt</v>
      </c>
      <c r="H343" t="str">
        <f>IFERROR(__xludf.DUMMYFUNCTION("""COMPUTED_VALUE"""),"Instructor Request- No Detail")</f>
        <v>Instructor Request- No Detail</v>
      </c>
      <c r="I343" t="str">
        <f>IFERROR(__xludf.DUMMYFUNCTION("""COMPUTED_VALUE"""),"IT Operations")</f>
        <v>IT Operations</v>
      </c>
      <c r="J343" t="str">
        <f>IFERROR(__xludf.DUMMYFUNCTION("""COMPUTED_VALUE"""),"Network &amp; Security")</f>
        <v>Network &amp; Security</v>
      </c>
      <c r="L343" s="140" t="str">
        <f>IFERROR(__xludf.DUMMYFUNCTION("""COMPUTED_VALUE"""),"")</f>
        <v/>
      </c>
      <c r="N343" s="140" t="str">
        <f>IFERROR(__xludf.DUMMYFUNCTION("""COMPUTED_VALUE"""),"")</f>
        <v/>
      </c>
      <c r="O343" s="140" t="str">
        <f>IFERROR(__xludf.DUMMYFUNCTION("""COMPUTED_VALUE"""),"No Alternatives in Collection- 4/17")</f>
        <v>No Alternatives in Collection- 4/17</v>
      </c>
    </row>
    <row r="344">
      <c r="A344" s="143">
        <f>IFERROR(__xludf.DUMMYFUNCTION("""COMPUTED_VALUE"""),44315.0)</f>
        <v>44315</v>
      </c>
      <c r="B344">
        <f>IFERROR(__xludf.DUMMYFUNCTION("""COMPUTED_VALUE"""),613912.0)</f>
        <v>613912</v>
      </c>
      <c r="C344" t="str">
        <f>IFERROR(__xludf.DUMMYFUNCTION("""COMPUTED_VALUE"""),"pt")</f>
        <v>pt</v>
      </c>
      <c r="D344" t="str">
        <f>IFERROR(__xludf.DUMMYFUNCTION("""COMPUTED_VALUE"""),"Torne-se um desenvolvedor Front End Magento")</f>
        <v>Torne-se um desenvolvedor Front End Magento</v>
      </c>
      <c r="E344" t="str">
        <f>IFERROR(__xludf.DUMMYFUNCTION("""COMPUTED_VALUE"""),"Become a Developer Front End Magento")</f>
        <v>Become a Developer Front End Magento</v>
      </c>
      <c r="F344">
        <f>IFERROR(__xludf.DUMMYFUNCTION("""COMPUTED_VALUE"""),9697476.0)</f>
        <v>9697476</v>
      </c>
      <c r="G344" t="str">
        <f>IFERROR(__xludf.DUMMYFUNCTION("""COMPUTED_VALUE"""),"Ricardo Martins")</f>
        <v>Ricardo Martins</v>
      </c>
      <c r="H344" t="str">
        <f>IFERROR(__xludf.DUMMYFUNCTION("""COMPUTED_VALUE"""),"Instructor Request- Opted Out")</f>
        <v>Instructor Request- Opted Out</v>
      </c>
      <c r="I344" t="str">
        <f>IFERROR(__xludf.DUMMYFUNCTION("""COMPUTED_VALUE"""),"Development")</f>
        <v>Development</v>
      </c>
      <c r="J344" t="str">
        <f>IFERROR(__xludf.DUMMYFUNCTION("""COMPUTED_VALUE"""),"Web Development")</f>
        <v>Web Development</v>
      </c>
      <c r="L344" s="140" t="str">
        <f>IFERROR(__xludf.DUMMYFUNCTION("""COMPUTED_VALUE"""),"")</f>
        <v/>
      </c>
      <c r="N344" s="140" t="str">
        <f>IFERROR(__xludf.DUMMYFUNCTION("""COMPUTED_VALUE"""),"")</f>
        <v/>
      </c>
      <c r="O344" s="140" t="str">
        <f>IFERROR(__xludf.DUMMYFUNCTION("""COMPUTED_VALUE"""),"No Alternatives in Collection- 12/18/2020")</f>
        <v>No Alternatives in Collection- 12/18/2020</v>
      </c>
    </row>
    <row r="345">
      <c r="A345" s="143">
        <f>IFERROR(__xludf.DUMMYFUNCTION("""COMPUTED_VALUE"""),44315.0)</f>
        <v>44315</v>
      </c>
      <c r="B345">
        <f>IFERROR(__xludf.DUMMYFUNCTION("""COMPUTED_VALUE"""),3313604.0)</f>
        <v>3313604</v>
      </c>
      <c r="C345" t="str">
        <f>IFERROR(__xludf.DUMMYFUNCTION("""COMPUTED_VALUE"""),"en")</f>
        <v>en</v>
      </c>
      <c r="D345" t="str">
        <f>IFERROR(__xludf.DUMMYFUNCTION("""COMPUTED_VALUE"""),"AI-100 Designing And Implement Azure AI Solution Exam Prep")</f>
        <v>AI-100 Designing And Implement Azure AI Solution Exam Prep</v>
      </c>
      <c r="E345" t="str">
        <f>IFERROR(__xludf.DUMMYFUNCTION("""COMPUTED_VALUE"""),"AI-100 Designing And Implement Azure AI Solution Exam Prep")</f>
        <v>AI-100 Designing And Implement Azure AI Solution Exam Prep</v>
      </c>
      <c r="F345">
        <f>IFERROR(__xludf.DUMMYFUNCTION("""COMPUTED_VALUE"""),1.2548316E8)</f>
        <v>125483160</v>
      </c>
      <c r="G345" t="str">
        <f>IFERROR(__xludf.DUMMYFUNCTION("""COMPUTED_VALUE"""),"CertAcademy Masters")</f>
        <v>CertAcademy Masters</v>
      </c>
      <c r="H345" t="str">
        <f>IFERROR(__xludf.DUMMYFUNCTION("""COMPUTED_VALUE"""),"Instructor Request- No Detail")</f>
        <v>Instructor Request- No Detail</v>
      </c>
      <c r="I345" t="str">
        <f>IFERROR(__xludf.DUMMYFUNCTION("""COMPUTED_VALUE"""),"IT Operations")</f>
        <v>IT Operations</v>
      </c>
      <c r="J345" t="str">
        <f>IFERROR(__xludf.DUMMYFUNCTION("""COMPUTED_VALUE"""),"IT Certifications")</f>
        <v>IT Certifications</v>
      </c>
      <c r="L345" s="140" t="str">
        <f>IFERROR(__xludf.DUMMYFUNCTION("""COMPUTED_VALUE"""),"")</f>
        <v/>
      </c>
      <c r="N345" s="140" t="str">
        <f>IFERROR(__xludf.DUMMYFUNCTION("""COMPUTED_VALUE"""),"")</f>
        <v/>
      </c>
      <c r="O345" s="140" t="str">
        <f>IFERROR(__xludf.DUMMYFUNCTION("""COMPUTED_VALUE"""),"No Alternatives in Collection- 4/17")</f>
        <v>No Alternatives in Collection- 4/17</v>
      </c>
    </row>
    <row r="346">
      <c r="A346" s="143">
        <f>IFERROR(__xludf.DUMMYFUNCTION("""COMPUTED_VALUE"""),44315.0)</f>
        <v>44315</v>
      </c>
      <c r="B346">
        <f>IFERROR(__xludf.DUMMYFUNCTION("""COMPUTED_VALUE"""),92308.0)</f>
        <v>92308</v>
      </c>
      <c r="C346" t="str">
        <f>IFERROR(__xludf.DUMMYFUNCTION("""COMPUTED_VALUE"""),"en")</f>
        <v>en</v>
      </c>
      <c r="D346" t="str">
        <f>IFERROR(__xludf.DUMMYFUNCTION("""COMPUTED_VALUE"""),"Layer 2 Switching &amp; VLAN's for Cisco CCNA")</f>
        <v>Layer 2 Switching &amp; VLAN's for Cisco CCNA</v>
      </c>
      <c r="E346" t="str">
        <f>IFERROR(__xludf.DUMMYFUNCTION("""COMPUTED_VALUE"""),"Layer 2 Switching &amp; VLAN's for Cisco CCNA")</f>
        <v>Layer 2 Switching &amp; VLAN's for Cisco CCNA</v>
      </c>
      <c r="F346">
        <f>IFERROR(__xludf.DUMMYFUNCTION("""COMPUTED_VALUE"""),608262.0)</f>
        <v>608262</v>
      </c>
      <c r="G346" t="str">
        <f>IFERROR(__xludf.DUMMYFUNCTION("""COMPUTED_VALUE"""),"Lazaro Diaz")</f>
        <v>Lazaro Diaz</v>
      </c>
      <c r="H346" t="str">
        <f>IFERROR(__xludf.DUMMYFUNCTION("""COMPUTED_VALUE"""),"Instructor Request- No Detail")</f>
        <v>Instructor Request- No Detail</v>
      </c>
      <c r="I346" t="str">
        <f>IFERROR(__xludf.DUMMYFUNCTION("""COMPUTED_VALUE"""),"IT Operations")</f>
        <v>IT Operations</v>
      </c>
      <c r="J346" t="str">
        <f>IFERROR(__xludf.DUMMYFUNCTION("""COMPUTED_VALUE"""),"IT Certifications")</f>
        <v>IT Certifications</v>
      </c>
      <c r="L346" s="140" t="str">
        <f>IFERROR(__xludf.DUMMYFUNCTION("""COMPUTED_VALUE"""),"")</f>
        <v/>
      </c>
      <c r="N346" s="140" t="str">
        <f>IFERROR(__xludf.DUMMYFUNCTION("""COMPUTED_VALUE"""),"")</f>
        <v/>
      </c>
      <c r="O346" s="140" t="str">
        <f>IFERROR(__xludf.DUMMYFUNCTION("""COMPUTED_VALUE"""),"No Alternatives in Collection- 4/17")</f>
        <v>No Alternatives in Collection- 4/17</v>
      </c>
    </row>
    <row r="347">
      <c r="A347" s="143">
        <f>IFERROR(__xludf.DUMMYFUNCTION("""COMPUTED_VALUE"""),44315.0)</f>
        <v>44315</v>
      </c>
      <c r="B347">
        <f>IFERROR(__xludf.DUMMYFUNCTION("""COMPUTED_VALUE"""),67332.0)</f>
        <v>67332</v>
      </c>
      <c r="C347" t="str">
        <f>IFERROR(__xludf.DUMMYFUNCTION("""COMPUTED_VALUE"""),"en")</f>
        <v>en</v>
      </c>
      <c r="D347" t="str">
        <f>IFERROR(__xludf.DUMMYFUNCTION("""COMPUTED_VALUE"""),"Cisco CCNA: The A, B, C's of IPv6")</f>
        <v>Cisco CCNA: The A, B, C's of IPv6</v>
      </c>
      <c r="E347" t="str">
        <f>IFERROR(__xludf.DUMMYFUNCTION("""COMPUTED_VALUE"""),"Cisco CCNA: The A, B, C's of IPv6")</f>
        <v>Cisco CCNA: The A, B, C's of IPv6</v>
      </c>
      <c r="F347">
        <f>IFERROR(__xludf.DUMMYFUNCTION("""COMPUTED_VALUE"""),608262.0)</f>
        <v>608262</v>
      </c>
      <c r="G347" t="str">
        <f>IFERROR(__xludf.DUMMYFUNCTION("""COMPUTED_VALUE"""),"Lazaro Diaz")</f>
        <v>Lazaro Diaz</v>
      </c>
      <c r="H347" t="str">
        <f>IFERROR(__xludf.DUMMYFUNCTION("""COMPUTED_VALUE"""),"Instructor Request- No Detail")</f>
        <v>Instructor Request- No Detail</v>
      </c>
      <c r="I347" t="str">
        <f>IFERROR(__xludf.DUMMYFUNCTION("""COMPUTED_VALUE"""),"IT Operations")</f>
        <v>IT Operations</v>
      </c>
      <c r="J347" t="str">
        <f>IFERROR(__xludf.DUMMYFUNCTION("""COMPUTED_VALUE"""),"IT Certifications")</f>
        <v>IT Certifications</v>
      </c>
      <c r="K347" s="155">
        <f>IFERROR(__xludf.DUMMYFUNCTION("""COMPUTED_VALUE"""),790516.0)</f>
        <v>790516</v>
      </c>
      <c r="L347" s="140" t="str">
        <f>IFERROR(__xludf.DUMMYFUNCTION("""COMPUTED_VALUE"""),"The Complete Cisco CCNA &amp; CCNP Networking Labs Course 2021")</f>
        <v>The Complete Cisco CCNA &amp; CCNP Networking Labs Course 2021</v>
      </c>
      <c r="M347" s="155">
        <f>IFERROR(__xludf.DUMMYFUNCTION("""COMPUTED_VALUE"""),1311648.0)</f>
        <v>1311648</v>
      </c>
      <c r="N347" s="140" t="str">
        <f>IFERROR(__xludf.DUMMYFUNCTION("""COMPUTED_VALUE"""),"Cisco Troubleshooting Labs For CCNA, CCNP, and CCIE Students")</f>
        <v>Cisco Troubleshooting Labs For CCNA, CCNP, and CCIE Students</v>
      </c>
    </row>
    <row r="348">
      <c r="A348" s="143">
        <f>IFERROR(__xludf.DUMMYFUNCTION("""COMPUTED_VALUE"""),44315.0)</f>
        <v>44315</v>
      </c>
      <c r="B348">
        <f>IFERROR(__xludf.DUMMYFUNCTION("""COMPUTED_VALUE"""),1171824.0)</f>
        <v>1171824</v>
      </c>
      <c r="C348" t="str">
        <f>IFERROR(__xludf.DUMMYFUNCTION("""COMPUTED_VALUE"""),"en")</f>
        <v>en</v>
      </c>
      <c r="D348" t="str">
        <f>IFERROR(__xludf.DUMMYFUNCTION("""COMPUTED_VALUE"""),"NEW Cisco CCNA IPv4 Course!")</f>
        <v>NEW Cisco CCNA IPv4 Course!</v>
      </c>
      <c r="E348" t="str">
        <f>IFERROR(__xludf.DUMMYFUNCTION("""COMPUTED_VALUE"""),"NEW Cisco CCNA IPv4 Course!")</f>
        <v>NEW Cisco CCNA IPv4 Course!</v>
      </c>
      <c r="F348">
        <f>IFERROR(__xludf.DUMMYFUNCTION("""COMPUTED_VALUE"""),608262.0)</f>
        <v>608262</v>
      </c>
      <c r="G348" t="str">
        <f>IFERROR(__xludf.DUMMYFUNCTION("""COMPUTED_VALUE"""),"Lazaro Diaz")</f>
        <v>Lazaro Diaz</v>
      </c>
      <c r="H348" t="str">
        <f>IFERROR(__xludf.DUMMYFUNCTION("""COMPUTED_VALUE"""),"Instructor Request- No Detail")</f>
        <v>Instructor Request- No Detail</v>
      </c>
      <c r="I348" t="str">
        <f>IFERROR(__xludf.DUMMYFUNCTION("""COMPUTED_VALUE"""),"IT Operations")</f>
        <v>IT Operations</v>
      </c>
      <c r="J348" t="str">
        <f>IFERROR(__xludf.DUMMYFUNCTION("""COMPUTED_VALUE"""),"IT Certifications")</f>
        <v>IT Certifications</v>
      </c>
      <c r="L348" s="140" t="str">
        <f>IFERROR(__xludf.DUMMYFUNCTION("""COMPUTED_VALUE"""),"")</f>
        <v/>
      </c>
      <c r="N348" s="140" t="str">
        <f>IFERROR(__xludf.DUMMYFUNCTION("""COMPUTED_VALUE"""),"")</f>
        <v/>
      </c>
      <c r="O348" s="140" t="str">
        <f>IFERROR(__xludf.DUMMYFUNCTION("""COMPUTED_VALUE"""),"No Alternatives in Collection- 4/17")</f>
        <v>No Alternatives in Collection- 4/17</v>
      </c>
    </row>
    <row r="349">
      <c r="A349" s="143">
        <f>IFERROR(__xludf.DUMMYFUNCTION("""COMPUTED_VALUE"""),44315.0)</f>
        <v>44315</v>
      </c>
      <c r="B349">
        <f>IFERROR(__xludf.DUMMYFUNCTION("""COMPUTED_VALUE"""),889978.0)</f>
        <v>889978</v>
      </c>
      <c r="C349" t="str">
        <f>IFERROR(__xludf.DUMMYFUNCTION("""COMPUTED_VALUE"""),"en")</f>
        <v>en</v>
      </c>
      <c r="D349" t="str">
        <f>IFERROR(__xludf.DUMMYFUNCTION("""COMPUTED_VALUE"""),"Cisco CCENT / ICND1 (100-105) + Bonus: The Complete Course")</f>
        <v>Cisco CCENT / ICND1 (100-105) + Bonus: The Complete Course</v>
      </c>
      <c r="E349" t="str">
        <f>IFERROR(__xludf.DUMMYFUNCTION("""COMPUTED_VALUE"""),"Cisco CCENT / ICND1 (100-105) + Bonus: The Complete Course")</f>
        <v>Cisco CCENT / ICND1 (100-105) + Bonus: The Complete Course</v>
      </c>
      <c r="F349">
        <f>IFERROR(__xludf.DUMMYFUNCTION("""COMPUTED_VALUE"""),608262.0)</f>
        <v>608262</v>
      </c>
      <c r="G349" t="str">
        <f>IFERROR(__xludf.DUMMYFUNCTION("""COMPUTED_VALUE"""),"Lazaro Diaz")</f>
        <v>Lazaro Diaz</v>
      </c>
      <c r="H349" t="str">
        <f>IFERROR(__xludf.DUMMYFUNCTION("""COMPUTED_VALUE"""),"Instructor Request- No Detail")</f>
        <v>Instructor Request- No Detail</v>
      </c>
      <c r="I349" t="str">
        <f>IFERROR(__xludf.DUMMYFUNCTION("""COMPUTED_VALUE"""),"IT Operations")</f>
        <v>IT Operations</v>
      </c>
      <c r="J349" t="str">
        <f>IFERROR(__xludf.DUMMYFUNCTION("""COMPUTED_VALUE"""),"IT Certifications")</f>
        <v>IT Certifications</v>
      </c>
      <c r="L349" s="140" t="str">
        <f>IFERROR(__xludf.DUMMYFUNCTION("""COMPUTED_VALUE"""),"")</f>
        <v/>
      </c>
      <c r="N349" s="140" t="str">
        <f>IFERROR(__xludf.DUMMYFUNCTION("""COMPUTED_VALUE"""),"")</f>
        <v/>
      </c>
      <c r="O349" s="140" t="str">
        <f>IFERROR(__xludf.DUMMYFUNCTION("""COMPUTED_VALUE"""),"No Alternatives in Collection- 4/17")</f>
        <v>No Alternatives in Collection- 4/17</v>
      </c>
    </row>
    <row r="350">
      <c r="A350" s="143">
        <f>IFERROR(__xludf.DUMMYFUNCTION("""COMPUTED_VALUE"""),44315.0)</f>
        <v>44315</v>
      </c>
      <c r="B350">
        <f>IFERROR(__xludf.DUMMYFUNCTION("""COMPUTED_VALUE"""),948368.0)</f>
        <v>948368</v>
      </c>
      <c r="C350" t="str">
        <f>IFERROR(__xludf.DUMMYFUNCTION("""COMPUTED_VALUE"""),"en")</f>
        <v>en</v>
      </c>
      <c r="D350" t="str">
        <f>IFERROR(__xludf.DUMMYFUNCTION("""COMPUTED_VALUE"""),"Cisco NEW CCNA R/S (200-125): The Complete Course")</f>
        <v>Cisco NEW CCNA R/S (200-125): The Complete Course</v>
      </c>
      <c r="E350" t="str">
        <f>IFERROR(__xludf.DUMMYFUNCTION("""COMPUTED_VALUE"""),"Cisco NEW CCNA R/S (200-125): The Complete Course")</f>
        <v>Cisco NEW CCNA R/S (200-125): The Complete Course</v>
      </c>
      <c r="F350">
        <f>IFERROR(__xludf.DUMMYFUNCTION("""COMPUTED_VALUE"""),608262.0)</f>
        <v>608262</v>
      </c>
      <c r="G350" t="str">
        <f>IFERROR(__xludf.DUMMYFUNCTION("""COMPUTED_VALUE"""),"Lazaro Diaz")</f>
        <v>Lazaro Diaz</v>
      </c>
      <c r="H350" t="str">
        <f>IFERROR(__xludf.DUMMYFUNCTION("""COMPUTED_VALUE"""),"Instructor Request- No Detail")</f>
        <v>Instructor Request- No Detail</v>
      </c>
      <c r="I350" t="str">
        <f>IFERROR(__xludf.DUMMYFUNCTION("""COMPUTED_VALUE"""),"IT Operations")</f>
        <v>IT Operations</v>
      </c>
      <c r="J350" t="str">
        <f>IFERROR(__xludf.DUMMYFUNCTION("""COMPUTED_VALUE"""),"IT Certifications")</f>
        <v>IT Certifications</v>
      </c>
      <c r="L350" s="140" t="str">
        <f>IFERROR(__xludf.DUMMYFUNCTION("""COMPUTED_VALUE"""),"")</f>
        <v/>
      </c>
      <c r="N350" s="140" t="str">
        <f>IFERROR(__xludf.DUMMYFUNCTION("""COMPUTED_VALUE"""),"")</f>
        <v/>
      </c>
      <c r="O350" s="140" t="str">
        <f>IFERROR(__xludf.DUMMYFUNCTION("""COMPUTED_VALUE"""),"No Alternatives in Collection- 4/17")</f>
        <v>No Alternatives in Collection- 4/17</v>
      </c>
    </row>
    <row r="351">
      <c r="A351" s="143">
        <f>IFERROR(__xludf.DUMMYFUNCTION("""COMPUTED_VALUE"""),44315.0)</f>
        <v>44315</v>
      </c>
      <c r="B351">
        <f>IFERROR(__xludf.DUMMYFUNCTION("""COMPUTED_VALUE"""),403190.0)</f>
        <v>403190</v>
      </c>
      <c r="C351" t="str">
        <f>IFERROR(__xludf.DUMMYFUNCTION("""COMPUTED_VALUE"""),"en")</f>
        <v>en</v>
      </c>
      <c r="D351" t="str">
        <f>IFERROR(__xludf.DUMMYFUNCTION("""COMPUTED_VALUE"""),"Cisco CCNA &amp; NEW CCENT / ICND1 (100-105) Labs &amp; More!")</f>
        <v>Cisco CCNA &amp; NEW CCENT / ICND1 (100-105) Labs &amp; More!</v>
      </c>
      <c r="E351" t="str">
        <f>IFERROR(__xludf.DUMMYFUNCTION("""COMPUTED_VALUE"""),"Cisco CCNA &amp; NEW CCENT / ICND1 (100-105) Labs &amp; More!")</f>
        <v>Cisco CCNA &amp; NEW CCENT / ICND1 (100-105) Labs &amp; More!</v>
      </c>
      <c r="F351">
        <f>IFERROR(__xludf.DUMMYFUNCTION("""COMPUTED_VALUE"""),608262.0)</f>
        <v>608262</v>
      </c>
      <c r="G351" t="str">
        <f>IFERROR(__xludf.DUMMYFUNCTION("""COMPUTED_VALUE"""),"Lazaro Diaz")</f>
        <v>Lazaro Diaz</v>
      </c>
      <c r="H351" t="str">
        <f>IFERROR(__xludf.DUMMYFUNCTION("""COMPUTED_VALUE"""),"Instructor Request- No Detail")</f>
        <v>Instructor Request- No Detail</v>
      </c>
      <c r="I351" t="str">
        <f>IFERROR(__xludf.DUMMYFUNCTION("""COMPUTED_VALUE"""),"IT Operations")</f>
        <v>IT Operations</v>
      </c>
      <c r="J351" t="str">
        <f>IFERROR(__xludf.DUMMYFUNCTION("""COMPUTED_VALUE"""),"IT Certifications")</f>
        <v>IT Certifications</v>
      </c>
      <c r="L351" s="140" t="str">
        <f>IFERROR(__xludf.DUMMYFUNCTION("""COMPUTED_VALUE"""),"")</f>
        <v/>
      </c>
      <c r="N351" s="140" t="str">
        <f>IFERROR(__xludf.DUMMYFUNCTION("""COMPUTED_VALUE"""),"")</f>
        <v/>
      </c>
      <c r="O351" s="140" t="str">
        <f>IFERROR(__xludf.DUMMYFUNCTION("""COMPUTED_VALUE"""),"No Alternatives in Collection- 4/17")</f>
        <v>No Alternatives in Collection- 4/17</v>
      </c>
    </row>
    <row r="352">
      <c r="A352" s="143">
        <f>IFERROR(__xludf.DUMMYFUNCTION("""COMPUTED_VALUE"""),44315.0)</f>
        <v>44315</v>
      </c>
      <c r="B352">
        <f>IFERROR(__xludf.DUMMYFUNCTION("""COMPUTED_VALUE"""),2022160.0)</f>
        <v>2022160</v>
      </c>
      <c r="C352" t="str">
        <f>IFERROR(__xludf.DUMMYFUNCTION("""COMPUTED_VALUE"""),"en")</f>
        <v>en</v>
      </c>
      <c r="D352" t="str">
        <f>IFERROR(__xludf.DUMMYFUNCTION("""COMPUTED_VALUE"""),"MCSA Windows Server 2016 (70-740) Course")</f>
        <v>MCSA Windows Server 2016 (70-740) Course</v>
      </c>
      <c r="E352" t="str">
        <f>IFERROR(__xludf.DUMMYFUNCTION("""COMPUTED_VALUE"""),"MCSA Windows Server 2016 (70-740) Course")</f>
        <v>MCSA Windows Server 2016 (70-740) Course</v>
      </c>
      <c r="F352">
        <f>IFERROR(__xludf.DUMMYFUNCTION("""COMPUTED_VALUE"""),608262.0)</f>
        <v>608262</v>
      </c>
      <c r="G352" t="str">
        <f>IFERROR(__xludf.DUMMYFUNCTION("""COMPUTED_VALUE"""),"Lazaro Diaz")</f>
        <v>Lazaro Diaz</v>
      </c>
      <c r="H352" t="str">
        <f>IFERROR(__xludf.DUMMYFUNCTION("""COMPUTED_VALUE"""),"Instructor Request- No Detail")</f>
        <v>Instructor Request- No Detail</v>
      </c>
      <c r="I352" t="str">
        <f>IFERROR(__xludf.DUMMYFUNCTION("""COMPUTED_VALUE"""),"IT Operations")</f>
        <v>IT Operations</v>
      </c>
      <c r="J352" t="str">
        <f>IFERROR(__xludf.DUMMYFUNCTION("""COMPUTED_VALUE"""),"IT Certifications")</f>
        <v>IT Certifications</v>
      </c>
      <c r="L352" s="140" t="str">
        <f>IFERROR(__xludf.DUMMYFUNCTION("""COMPUTED_VALUE"""),"")</f>
        <v/>
      </c>
      <c r="N352" s="140" t="str">
        <f>IFERROR(__xludf.DUMMYFUNCTION("""COMPUTED_VALUE"""),"")</f>
        <v/>
      </c>
      <c r="O352" s="140" t="str">
        <f>IFERROR(__xludf.DUMMYFUNCTION("""COMPUTED_VALUE"""),"No Alternatives in Collection- 4/17")</f>
        <v>No Alternatives in Collection- 4/17</v>
      </c>
    </row>
    <row r="353">
      <c r="A353" s="143">
        <f>IFERROR(__xludf.DUMMYFUNCTION("""COMPUTED_VALUE"""),44315.0)</f>
        <v>44315</v>
      </c>
      <c r="B353">
        <f>IFERROR(__xludf.DUMMYFUNCTION("""COMPUTED_VALUE"""),52700.0)</f>
        <v>52700</v>
      </c>
      <c r="C353" t="str">
        <f>IFERROR(__xludf.DUMMYFUNCTION("""COMPUTED_VALUE"""),"en")</f>
        <v>en</v>
      </c>
      <c r="D353" t="str">
        <f>IFERROR(__xludf.DUMMYFUNCTION("""COMPUTED_VALUE"""),"Cisco CCNA: Vlans, Access-List &amp; NAT + Bonus Material!")</f>
        <v>Cisco CCNA: Vlans, Access-List &amp; NAT + Bonus Material!</v>
      </c>
      <c r="E353" t="str">
        <f>IFERROR(__xludf.DUMMYFUNCTION("""COMPUTED_VALUE"""),"Cisco CCNA: Vlans, Access-List &amp; NAT + Bonus Material!")</f>
        <v>Cisco CCNA: Vlans, Access-List &amp; NAT + Bonus Material!</v>
      </c>
      <c r="F353">
        <f>IFERROR(__xludf.DUMMYFUNCTION("""COMPUTED_VALUE"""),608262.0)</f>
        <v>608262</v>
      </c>
      <c r="G353" t="str">
        <f>IFERROR(__xludf.DUMMYFUNCTION("""COMPUTED_VALUE"""),"Lazaro Diaz")</f>
        <v>Lazaro Diaz</v>
      </c>
      <c r="H353" t="str">
        <f>IFERROR(__xludf.DUMMYFUNCTION("""COMPUTED_VALUE"""),"Instructor Request- No Detail")</f>
        <v>Instructor Request- No Detail</v>
      </c>
      <c r="I353" t="str">
        <f>IFERROR(__xludf.DUMMYFUNCTION("""COMPUTED_VALUE"""),"IT Operations")</f>
        <v>IT Operations</v>
      </c>
      <c r="J353" t="str">
        <f>IFERROR(__xludf.DUMMYFUNCTION("""COMPUTED_VALUE"""),"IT Certifications")</f>
        <v>IT Certifications</v>
      </c>
      <c r="L353" s="140" t="str">
        <f>IFERROR(__xludf.DUMMYFUNCTION("""COMPUTED_VALUE"""),"")</f>
        <v/>
      </c>
      <c r="N353" s="140" t="str">
        <f>IFERROR(__xludf.DUMMYFUNCTION("""COMPUTED_VALUE"""),"")</f>
        <v/>
      </c>
      <c r="O353" s="140" t="str">
        <f>IFERROR(__xludf.DUMMYFUNCTION("""COMPUTED_VALUE"""),"No Alternatives in Collection- 4/17")</f>
        <v>No Alternatives in Collection- 4/17</v>
      </c>
    </row>
    <row r="354">
      <c r="A354" s="143">
        <f>IFERROR(__xludf.DUMMYFUNCTION("""COMPUTED_VALUE"""),44315.0)</f>
        <v>44315</v>
      </c>
      <c r="B354">
        <f>IFERROR(__xludf.DUMMYFUNCTION("""COMPUTED_VALUE"""),236710.0)</f>
        <v>236710</v>
      </c>
      <c r="C354" t="str">
        <f>IFERROR(__xludf.DUMMYFUNCTION("""COMPUTED_VALUE"""),"en")</f>
        <v>en</v>
      </c>
      <c r="D354" t="str">
        <f>IFERROR(__xludf.DUMMYFUNCTION("""COMPUTED_VALUE"""),"Cisco OSPF Breakdown!")</f>
        <v>Cisco OSPF Breakdown!</v>
      </c>
      <c r="E354" t="str">
        <f>IFERROR(__xludf.DUMMYFUNCTION("""COMPUTED_VALUE"""),"Cisco OSPF Breakdown!")</f>
        <v>Cisco OSPF Breakdown!</v>
      </c>
      <c r="F354">
        <f>IFERROR(__xludf.DUMMYFUNCTION("""COMPUTED_VALUE"""),608262.0)</f>
        <v>608262</v>
      </c>
      <c r="G354" t="str">
        <f>IFERROR(__xludf.DUMMYFUNCTION("""COMPUTED_VALUE"""),"Lazaro Diaz")</f>
        <v>Lazaro Diaz</v>
      </c>
      <c r="H354" t="str">
        <f>IFERROR(__xludf.DUMMYFUNCTION("""COMPUTED_VALUE"""),"Instructor Request- No Detail")</f>
        <v>Instructor Request- No Detail</v>
      </c>
      <c r="I354" t="str">
        <f>IFERROR(__xludf.DUMMYFUNCTION("""COMPUTED_VALUE"""),"IT Operations")</f>
        <v>IT Operations</v>
      </c>
      <c r="J354" t="str">
        <f>IFERROR(__xludf.DUMMYFUNCTION("""COMPUTED_VALUE"""),"Network &amp; Security")</f>
        <v>Network &amp; Security</v>
      </c>
      <c r="K354" s="155">
        <f>IFERROR(__xludf.DUMMYFUNCTION("""COMPUTED_VALUE"""),739854.0)</f>
        <v>739854</v>
      </c>
      <c r="L354" s="140" t="str">
        <f>IFERROR(__xludf.DUMMYFUNCTION("""COMPUTED_VALUE"""),"Cisco OSPF Practical Labs 2021- Basic to Advanced")</f>
        <v>Cisco OSPF Practical Labs 2021- Basic to Advanced</v>
      </c>
      <c r="N354" s="140" t="str">
        <f>IFERROR(__xludf.DUMMYFUNCTION("""COMPUTED_VALUE"""),"")</f>
        <v/>
      </c>
    </row>
    <row r="355">
      <c r="A355" s="143">
        <f>IFERROR(__xludf.DUMMYFUNCTION("""COMPUTED_VALUE"""),44315.0)</f>
        <v>44315</v>
      </c>
      <c r="B355">
        <f>IFERROR(__xludf.DUMMYFUNCTION("""COMPUTED_VALUE"""),2362326.0)</f>
        <v>2362326</v>
      </c>
      <c r="C355" t="str">
        <f>IFERROR(__xludf.DUMMYFUNCTION("""COMPUTED_VALUE"""),"pt")</f>
        <v>pt</v>
      </c>
      <c r="D355" t="str">
        <f>IFERROR(__xludf.DUMMYFUNCTION("""COMPUTED_VALUE"""),"[DESATUALIZADO] Introdução a Segurança da Informação")</f>
        <v>[DESATUALIZADO] Introdução a Segurança da Informação</v>
      </c>
      <c r="E355" t="str">
        <f>IFERROR(__xludf.DUMMYFUNCTION("""COMPUTED_VALUE"""),"[Outdated] Introduction Information security")</f>
        <v>[Outdated] Introduction Information security</v>
      </c>
      <c r="F355">
        <f>IFERROR(__xludf.DUMMYFUNCTION("""COMPUTED_VALUE"""),6.1282052E7)</f>
        <v>61282052</v>
      </c>
      <c r="G355" t="str">
        <f>IFERROR(__xludf.DUMMYFUNCTION("""COMPUTED_VALUE"""),"ByLearn Cursos")</f>
        <v>ByLearn Cursos</v>
      </c>
      <c r="H355" t="str">
        <f>IFERROR(__xludf.DUMMYFUNCTION("""COMPUTED_VALUE"""),"Instructor Request- No Detail")</f>
        <v>Instructor Request- No Detail</v>
      </c>
      <c r="I355" t="str">
        <f>IFERROR(__xludf.DUMMYFUNCTION("""COMPUTED_VALUE"""),"IT Operations")</f>
        <v>IT Operations</v>
      </c>
      <c r="J355" t="str">
        <f>IFERROR(__xludf.DUMMYFUNCTION("""COMPUTED_VALUE"""),"Network &amp; Security")</f>
        <v>Network &amp; Security</v>
      </c>
      <c r="K355" s="155">
        <f>IFERROR(__xludf.DUMMYFUNCTION("""COMPUTED_VALUE"""),3250050.0)</f>
        <v>3250050</v>
      </c>
      <c r="L355" s="140" t="str">
        <f>IFERROR(__xludf.DUMMYFUNCTION("""COMPUTED_VALUE"""),"Segurança da Informação: conceitos para atuar nessa área")</f>
        <v>Segurança da Informação: conceitos para atuar nessa área</v>
      </c>
      <c r="N355" s="140" t="str">
        <f>IFERROR(__xludf.DUMMYFUNCTION("""COMPUTED_VALUE"""),"")</f>
        <v/>
      </c>
    </row>
    <row r="356">
      <c r="A356" s="143">
        <f>IFERROR(__xludf.DUMMYFUNCTION("""COMPUTED_VALUE"""),44315.0)</f>
        <v>44315</v>
      </c>
      <c r="B356">
        <f>IFERROR(__xludf.DUMMYFUNCTION("""COMPUTED_VALUE"""),1432972.0)</f>
        <v>1432972</v>
      </c>
      <c r="C356" t="str">
        <f>IFERROR(__xludf.DUMMYFUNCTION("""COMPUTED_VALUE"""),"es")</f>
        <v>es</v>
      </c>
      <c r="D356" t="str">
        <f>IFERROR(__xludf.DUMMYFUNCTION("""COMPUTED_VALUE"""),"Redes en Microsoft Azure (2018)")</f>
        <v>Redes en Microsoft Azure (2018)</v>
      </c>
      <c r="E356" t="str">
        <f>IFERROR(__xludf.DUMMYFUNCTION("""COMPUTED_VALUE"""),"Networks in Microsoft Azure (2018)")</f>
        <v>Networks in Microsoft Azure (2018)</v>
      </c>
      <c r="F356">
        <f>IFERROR(__xludf.DUMMYFUNCTION("""COMPUTED_VALUE"""),3.7776874E7)</f>
        <v>37776874</v>
      </c>
      <c r="G356" t="str">
        <f>IFERROR(__xludf.DUMMYFUNCTION("""COMPUTED_VALUE"""),"Jonatan Chinchilla")</f>
        <v>Jonatan Chinchilla</v>
      </c>
      <c r="H356" t="str">
        <f>IFERROR(__xludf.DUMMYFUNCTION("""COMPUTED_VALUE"""),"Instructor Request- Outdated")</f>
        <v>Instructor Request- Outdated</v>
      </c>
      <c r="I356" t="str">
        <f>IFERROR(__xludf.DUMMYFUNCTION("""COMPUTED_VALUE"""),"IT Operations")</f>
        <v>IT Operations</v>
      </c>
      <c r="J356" t="str">
        <f>IFERROR(__xludf.DUMMYFUNCTION("""COMPUTED_VALUE"""),"Network &amp; Security")</f>
        <v>Network &amp; Security</v>
      </c>
      <c r="K356" s="155">
        <f>IFERROR(__xludf.DUMMYFUNCTION("""COMPUTED_VALUE"""),2907042.0)</f>
        <v>2907042</v>
      </c>
      <c r="L356" s="140" t="str">
        <f>IFERROR(__xludf.DUMMYFUNCTION("""COMPUTED_VALUE"""),"Curso de redes en Microsoft Azure (IaaS y PaaS)")</f>
        <v>Curso de redes en Microsoft Azure (IaaS y PaaS)</v>
      </c>
      <c r="N356" s="140" t="str">
        <f>IFERROR(__xludf.DUMMYFUNCTION("""COMPUTED_VALUE"""),"")</f>
        <v/>
      </c>
    </row>
    <row r="357">
      <c r="A357" s="143">
        <f>IFERROR(__xludf.DUMMYFUNCTION("""COMPUTED_VALUE"""),44315.0)</f>
        <v>44315</v>
      </c>
      <c r="B357">
        <f>IFERROR(__xludf.DUMMYFUNCTION("""COMPUTED_VALUE"""),548592.0)</f>
        <v>548592</v>
      </c>
      <c r="C357" t="str">
        <f>IFERROR(__xludf.DUMMYFUNCTION("""COMPUTED_VALUE"""),"en")</f>
        <v>en</v>
      </c>
      <c r="D357" t="str">
        <f>IFERROR(__xludf.DUMMYFUNCTION("""COMPUTED_VALUE"""),"Introduction to GIS: Spatial Data Analysis with QGIS")</f>
        <v>Introduction to GIS: Spatial Data Analysis with QGIS</v>
      </c>
      <c r="E357" t="str">
        <f>IFERROR(__xludf.DUMMYFUNCTION("""COMPUTED_VALUE"""),"Introduction to GIS: Spatial Data Analysis with QGIS")</f>
        <v>Introduction to GIS: Spatial Data Analysis with QGIS</v>
      </c>
      <c r="F357">
        <f>IFERROR(__xludf.DUMMYFUNCTION("""COMPUTED_VALUE"""),6114392.0)</f>
        <v>6114392</v>
      </c>
      <c r="G357" t="str">
        <f>IFERROR(__xludf.DUMMYFUNCTION("""COMPUTED_VALUE"""),"Alemayehu Midekisa")</f>
        <v>Alemayehu Midekisa</v>
      </c>
      <c r="H357" t="str">
        <f>IFERROR(__xludf.DUMMYFUNCTION("""COMPUTED_VALUE"""),"Low Rating")</f>
        <v>Low Rating</v>
      </c>
      <c r="I357" t="str">
        <f>IFERROR(__xludf.DUMMYFUNCTION("""COMPUTED_VALUE"""),"Development")</f>
        <v>Development</v>
      </c>
      <c r="J357" t="str">
        <f>IFERROR(__xludf.DUMMYFUNCTION("""COMPUTED_VALUE"""),"Database Design &amp; Development")</f>
        <v>Database Design &amp; Development</v>
      </c>
      <c r="K357" s="155">
        <f>IFERROR(__xludf.DUMMYFUNCTION("""COMPUTED_VALUE"""),762768.0)</f>
        <v>762768</v>
      </c>
      <c r="L357" s="140" t="str">
        <f>IFERROR(__xludf.DUMMYFUNCTION("""COMPUTED_VALUE"""),"Core Spatial Data Analysis: Introductory GIS with R and QGIS")</f>
        <v>Core Spatial Data Analysis: Introductory GIS with R and QGIS</v>
      </c>
      <c r="N357" s="140" t="str">
        <f>IFERROR(__xludf.DUMMYFUNCTION("""COMPUTED_VALUE"""),"")</f>
        <v/>
      </c>
    </row>
    <row r="358">
      <c r="A358" s="143">
        <f>IFERROR(__xludf.DUMMYFUNCTION("""COMPUTED_VALUE"""),44315.0)</f>
        <v>44315</v>
      </c>
      <c r="B358">
        <f>IFERROR(__xludf.DUMMYFUNCTION("""COMPUTED_VALUE"""),720508.0)</f>
        <v>720508</v>
      </c>
      <c r="C358" t="str">
        <f>IFERROR(__xludf.DUMMYFUNCTION("""COMPUTED_VALUE"""),"de")</f>
        <v>de</v>
      </c>
      <c r="D358" t="str">
        <f>IFERROR(__xludf.DUMMYFUNCTION("""COMPUTED_VALUE"""),"360 Grad Architektur mit Unity und Cinema 4D")</f>
        <v>360 Grad Architektur mit Unity und Cinema 4D</v>
      </c>
      <c r="E358" t="str">
        <f>IFERROR(__xludf.DUMMYFUNCTION("""COMPUTED_VALUE"""),"360 degrees architecture with Unity and Cinema 4D")</f>
        <v>360 degrees architecture with Unity and Cinema 4D</v>
      </c>
      <c r="F358">
        <f>IFERROR(__xludf.DUMMYFUNCTION("""COMPUTED_VALUE"""),9844812.0)</f>
        <v>9844812</v>
      </c>
      <c r="G358" t="str">
        <f>IFERROR(__xludf.DUMMYFUNCTION("""COMPUTED_VALUE"""),"Andreas Fülscher")</f>
        <v>Andreas Fülscher</v>
      </c>
      <c r="H358" t="str">
        <f>IFERROR(__xludf.DUMMYFUNCTION("""COMPUTED_VALUE"""),"3 Flags")</f>
        <v>3 Flags</v>
      </c>
      <c r="I358" t="str">
        <f>IFERROR(__xludf.DUMMYFUNCTION("""COMPUTED_VALUE"""),"Development")</f>
        <v>Development</v>
      </c>
      <c r="J358" t="str">
        <f>IFERROR(__xludf.DUMMYFUNCTION("""COMPUTED_VALUE"""),"Mobile Development")</f>
        <v>Mobile Development</v>
      </c>
      <c r="L358" s="140" t="str">
        <f>IFERROR(__xludf.DUMMYFUNCTION("""COMPUTED_VALUE"""),"")</f>
        <v/>
      </c>
      <c r="N358" s="140" t="str">
        <f>IFERROR(__xludf.DUMMYFUNCTION("""COMPUTED_VALUE"""),"")</f>
        <v/>
      </c>
      <c r="O358" s="140" t="str">
        <f>IFERROR(__xludf.DUMMYFUNCTION("""COMPUTED_VALUE"""),"No Alternatives in Collection- 4/17")</f>
        <v>No Alternatives in Collection- 4/17</v>
      </c>
    </row>
    <row r="359">
      <c r="A359" s="143">
        <f>IFERROR(__xludf.DUMMYFUNCTION("""COMPUTED_VALUE"""),44315.0)</f>
        <v>44315</v>
      </c>
      <c r="B359">
        <f>IFERROR(__xludf.DUMMYFUNCTION("""COMPUTED_VALUE"""),508228.0)</f>
        <v>508228</v>
      </c>
      <c r="C359" t="str">
        <f>IFERROR(__xludf.DUMMYFUNCTION("""COMPUTED_VALUE"""),"en")</f>
        <v>en</v>
      </c>
      <c r="D359" t="str">
        <f>IFERROR(__xludf.DUMMYFUNCTION("""COMPUTED_VALUE"""),"Salesforce Development &amp; Administration for Beginners")</f>
        <v>Salesforce Development &amp; Administration for Beginners</v>
      </c>
      <c r="E359" t="str">
        <f>IFERROR(__xludf.DUMMYFUNCTION("""COMPUTED_VALUE"""),"Salesforce Development &amp; Administration for Beginners")</f>
        <v>Salesforce Development &amp; Administration for Beginners</v>
      </c>
      <c r="F359">
        <f>IFERROR(__xludf.DUMMYFUNCTION("""COMPUTED_VALUE"""),1.170832E7)</f>
        <v>11708320</v>
      </c>
      <c r="G359" t="str">
        <f>IFERROR(__xludf.DUMMYFUNCTION("""COMPUTED_VALUE"""),"Aslam Tayyab")</f>
        <v>Aslam Tayyab</v>
      </c>
      <c r="H359" t="str">
        <f>IFERROR(__xludf.DUMMYFUNCTION("""COMPUTED_VALUE"""),"Low Rating")</f>
        <v>Low Rating</v>
      </c>
      <c r="I359" t="str">
        <f>IFERROR(__xludf.DUMMYFUNCTION("""COMPUTED_VALUE"""),"Cloud Computing")</f>
        <v>Cloud Computing</v>
      </c>
      <c r="J359" t="str">
        <f>IFERROR(__xludf.DUMMYFUNCTION("""COMPUTED_VALUE"""),"Cloud Certification")</f>
        <v>Cloud Certification</v>
      </c>
      <c r="K359" s="155">
        <f>IFERROR(__xludf.DUMMYFUNCTION("""COMPUTED_VALUE"""),622466.0)</f>
        <v>622466</v>
      </c>
      <c r="L359" s="140" t="str">
        <f>IFERROR(__xludf.DUMMYFUNCTION("""COMPUTED_VALUE"""),"Salesforce Development Training for Beginners")</f>
        <v>Salesforce Development Training for Beginners</v>
      </c>
      <c r="M359" s="155">
        <f>IFERROR(__xludf.DUMMYFUNCTION("""COMPUTED_VALUE"""),758738.0)</f>
        <v>758738</v>
      </c>
      <c r="N359" s="140" t="str">
        <f>IFERROR(__xludf.DUMMYFUNCTION("""COMPUTED_VALUE"""),"Salesforce Developer Training with real-time project")</f>
        <v>Salesforce Developer Training with real-time project</v>
      </c>
    </row>
    <row r="360">
      <c r="A360" s="143">
        <f>IFERROR(__xludf.DUMMYFUNCTION("""COMPUTED_VALUE"""),44315.0)</f>
        <v>44315</v>
      </c>
      <c r="B360">
        <f>IFERROR(__xludf.DUMMYFUNCTION("""COMPUTED_VALUE"""),2337088.0)</f>
        <v>2337088</v>
      </c>
      <c r="C360" t="str">
        <f>IFERROR(__xludf.DUMMYFUNCTION("""COMPUTED_VALUE"""),"es")</f>
        <v>es</v>
      </c>
      <c r="D360" t="str">
        <f>IFERROR(__xludf.DUMMYFUNCTION("""COMPUTED_VALUE"""),"Growth Hacking con Marketing Digital")</f>
        <v>Growth Hacking con Marketing Digital</v>
      </c>
      <c r="E360" t="str">
        <f>IFERROR(__xludf.DUMMYFUNCTION("""COMPUTED_VALUE"""),"Growth Hacking con Marketing Digital")</f>
        <v>Growth Hacking con Marketing Digital</v>
      </c>
      <c r="F360">
        <f>IFERROR(__xludf.DUMMYFUNCTION("""COMPUTED_VALUE"""),801404.0)</f>
        <v>801404</v>
      </c>
      <c r="G360" t="str">
        <f>IFERROR(__xludf.DUMMYFUNCTION("""COMPUTED_VALUE"""),"Diego Davila")</f>
        <v>Diego Davila</v>
      </c>
      <c r="H360" t="str">
        <f>IFERROR(__xludf.DUMMYFUNCTION("""COMPUTED_VALUE"""),"3 Flags")</f>
        <v>3 Flags</v>
      </c>
      <c r="I360" t="str">
        <f>IFERROR(__xludf.DUMMYFUNCTION("""COMPUTED_VALUE"""),"Marketing")</f>
        <v>Marketing</v>
      </c>
      <c r="J360" t="str">
        <f>IFERROR(__xludf.DUMMYFUNCTION("""COMPUTED_VALUE"""),"Digital Marketing")</f>
        <v>Digital Marketing</v>
      </c>
      <c r="K360" s="155">
        <f>IFERROR(__xludf.DUMMYFUNCTION("""COMPUTED_VALUE"""),932624.0)</f>
        <v>932624</v>
      </c>
      <c r="L360" s="140" t="str">
        <f>IFERROR(__xludf.DUMMYFUNCTION("""COMPUTED_VALUE"""),"Transformación Digital para Empresas y Profesionales.")</f>
        <v>Transformación Digital para Empresas y Profesionales.</v>
      </c>
      <c r="N360" s="140" t="str">
        <f>IFERROR(__xludf.DUMMYFUNCTION("""COMPUTED_VALUE"""),"")</f>
        <v/>
      </c>
    </row>
    <row r="361">
      <c r="A361" s="143">
        <f>IFERROR(__xludf.DUMMYFUNCTION("""COMPUTED_VALUE"""),44315.0)</f>
        <v>44315</v>
      </c>
      <c r="B361">
        <f>IFERROR(__xludf.DUMMYFUNCTION("""COMPUTED_VALUE"""),1823290.0)</f>
        <v>1823290</v>
      </c>
      <c r="C361" t="str">
        <f>IFERROR(__xludf.DUMMYFUNCTION("""COMPUTED_VALUE"""),"en")</f>
        <v>en</v>
      </c>
      <c r="D361" t="str">
        <f>IFERROR(__xludf.DUMMYFUNCTION("""COMPUTED_VALUE"""),"Complete Practical LINQ Tutorial in C#")</f>
        <v>Complete Practical LINQ Tutorial in C#</v>
      </c>
      <c r="E361" t="str">
        <f>IFERROR(__xludf.DUMMYFUNCTION("""COMPUTED_VALUE"""),"Complete Practical LINQ Tutorial in C#")</f>
        <v>Complete Practical LINQ Tutorial in C#</v>
      </c>
      <c r="F361">
        <f>IFERROR(__xludf.DUMMYFUNCTION("""COMPUTED_VALUE"""),426576.0)</f>
        <v>426576</v>
      </c>
      <c r="G361" t="str">
        <f>IFERROR(__xludf.DUMMYFUNCTION("""COMPUTED_VALUE"""),"Engineer Spock")</f>
        <v>Engineer Spock</v>
      </c>
      <c r="H361" t="str">
        <f>IFERROR(__xludf.DUMMYFUNCTION("""COMPUTED_VALUE"""),"3 Flags")</f>
        <v>3 Flags</v>
      </c>
      <c r="I361" t="str">
        <f>IFERROR(__xludf.DUMMYFUNCTION("""COMPUTED_VALUE"""),"Development")</f>
        <v>Development</v>
      </c>
      <c r="J361" t="str">
        <f>IFERROR(__xludf.DUMMYFUNCTION("""COMPUTED_VALUE"""),"Programming Languages")</f>
        <v>Programming Languages</v>
      </c>
      <c r="K361" s="155">
        <f>IFERROR(__xludf.DUMMYFUNCTION("""COMPUTED_VALUE"""),1049954.0)</f>
        <v>1049954</v>
      </c>
      <c r="L361" s="140" t="str">
        <f>IFERROR(__xludf.DUMMYFUNCTION("""COMPUTED_VALUE"""),"Mastering LINQ with C# and .NET")</f>
        <v>Mastering LINQ with C# and .NET</v>
      </c>
      <c r="M361" s="155">
        <f>IFERROR(__xludf.DUMMYFUNCTION("""COMPUTED_VALUE"""),1557782.0)</f>
        <v>1557782</v>
      </c>
      <c r="N361" s="140" t="str">
        <f>IFERROR(__xludf.DUMMYFUNCTION("""COMPUTED_VALUE"""),"The Ultimate LINQ with C# Masterclass - Basics to Advanced")</f>
        <v>The Ultimate LINQ with C# Masterclass - Basics to Advanced</v>
      </c>
    </row>
    <row r="362">
      <c r="A362" s="143">
        <f>IFERROR(__xludf.DUMMYFUNCTION("""COMPUTED_VALUE"""),44315.0)</f>
        <v>44315</v>
      </c>
      <c r="B362">
        <f>IFERROR(__xludf.DUMMYFUNCTION("""COMPUTED_VALUE"""),511424.0)</f>
        <v>511424</v>
      </c>
      <c r="C362" t="str">
        <f>IFERROR(__xludf.DUMMYFUNCTION("""COMPUTED_VALUE"""),"en")</f>
        <v>en</v>
      </c>
      <c r="D362" t="str">
        <f>IFERROR(__xludf.DUMMYFUNCTION("""COMPUTED_VALUE"""),"The Comprehensive Guide to Scene Kit - 3D iOS Development")</f>
        <v>The Comprehensive Guide to Scene Kit - 3D iOS Development</v>
      </c>
      <c r="E362" t="str">
        <f>IFERROR(__xludf.DUMMYFUNCTION("""COMPUTED_VALUE"""),"The Comprehensive Guide to Scene Kit - 3D iOS Development")</f>
        <v>The Comprehensive Guide to Scene Kit - 3D iOS Development</v>
      </c>
      <c r="F362">
        <f>IFERROR(__xludf.DUMMYFUNCTION("""COMPUTED_VALUE"""),7862530.0)</f>
        <v>7862530</v>
      </c>
      <c r="G362" t="str">
        <f>IFERROR(__xludf.DUMMYFUNCTION("""COMPUTED_VALUE"""),"Ibram Uppal")</f>
        <v>Ibram Uppal</v>
      </c>
      <c r="H362" t="str">
        <f>IFERROR(__xludf.DUMMYFUNCTION("""COMPUTED_VALUE"""),"Saturated Topic")</f>
        <v>Saturated Topic</v>
      </c>
      <c r="I362" t="str">
        <f>IFERROR(__xludf.DUMMYFUNCTION("""COMPUTED_VALUE"""),"Development")</f>
        <v>Development</v>
      </c>
      <c r="J362" t="str">
        <f>IFERROR(__xludf.DUMMYFUNCTION("""COMPUTED_VALUE"""),"Mobile Development")</f>
        <v>Mobile Development</v>
      </c>
      <c r="L362" s="140" t="str">
        <f>IFERROR(__xludf.DUMMYFUNCTION("""COMPUTED_VALUE"""),"")</f>
        <v/>
      </c>
      <c r="N362" s="140" t="str">
        <f>IFERROR(__xludf.DUMMYFUNCTION("""COMPUTED_VALUE"""),"")</f>
        <v/>
      </c>
      <c r="O362" s="140" t="str">
        <f>IFERROR(__xludf.DUMMYFUNCTION("""COMPUTED_VALUE"""),"No Alternatives in Collection- 4/17")</f>
        <v>No Alternatives in Collection- 4/17</v>
      </c>
    </row>
    <row r="363">
      <c r="A363" s="143">
        <f>IFERROR(__xludf.DUMMYFUNCTION("""COMPUTED_VALUE"""),44315.0)</f>
        <v>44315</v>
      </c>
      <c r="B363">
        <f>IFERROR(__xludf.DUMMYFUNCTION("""COMPUTED_VALUE"""),1575168.0)</f>
        <v>1575168</v>
      </c>
      <c r="C363" t="str">
        <f>IFERROR(__xludf.DUMMYFUNCTION("""COMPUTED_VALUE"""),"de")</f>
        <v>de</v>
      </c>
      <c r="D363" t="str">
        <f>IFERROR(__xludf.DUMMYFUNCTION("""COMPUTED_VALUE"""),"Motivation Masterkurs - Ziele erreichen")</f>
        <v>Motivation Masterkurs - Ziele erreichen</v>
      </c>
      <c r="E363" t="str">
        <f>IFERROR(__xludf.DUMMYFUNCTION("""COMPUTED_VALUE"""),"Motivation Master Course - achieve goals")</f>
        <v>Motivation Master Course - achieve goals</v>
      </c>
      <c r="F363">
        <f>IFERROR(__xludf.DUMMYFUNCTION("""COMPUTED_VALUE"""),2.7380472E7)</f>
        <v>27380472</v>
      </c>
      <c r="G363" t="str">
        <f>IFERROR(__xludf.DUMMYFUNCTION("""COMPUTED_VALUE"""),"Jannis Riebschläger")</f>
        <v>Jannis Riebschläger</v>
      </c>
      <c r="H363" t="str">
        <f>IFERROR(__xludf.DUMMYFUNCTION("""COMPUTED_VALUE"""),"3 Flags")</f>
        <v>3 Flags</v>
      </c>
      <c r="I363" t="str">
        <f>IFERROR(__xludf.DUMMYFUNCTION("""COMPUTED_VALUE"""),"Personal Development")</f>
        <v>Personal Development</v>
      </c>
      <c r="J363" t="str">
        <f>IFERROR(__xludf.DUMMYFUNCTION("""COMPUTED_VALUE"""),"Personal Growth")</f>
        <v>Personal Growth</v>
      </c>
      <c r="K363" s="155">
        <f>IFERROR(__xludf.DUMMYFUNCTION("""COMPUTED_VALUE"""),3068162.0)</f>
        <v>3068162</v>
      </c>
      <c r="L363" s="140" t="str">
        <f>IFERROR(__xludf.DUMMYFUNCTION("""COMPUTED_VALUE"""),"Motivation ohne tschakka! 10 beste Tools, sich zu motivieren")</f>
        <v>Motivation ohne tschakka! 10 beste Tools, sich zu motivieren</v>
      </c>
      <c r="M363" s="155">
        <f>IFERROR(__xludf.DUMMYFUNCTION("""COMPUTED_VALUE"""),857368.0)</f>
        <v>857368</v>
      </c>
      <c r="N363" s="140" t="str">
        <f>IFERROR(__xludf.DUMMYFUNCTION("""COMPUTED_VALUE"""),"Dein bestes Jahr 2021! Ziele erreichen, erfolgreich leben")</f>
        <v>Dein bestes Jahr 2021! Ziele erreichen, erfolgreich leben</v>
      </c>
    </row>
    <row r="364">
      <c r="A364" s="143">
        <f>IFERROR(__xludf.DUMMYFUNCTION("""COMPUTED_VALUE"""),44315.0)</f>
        <v>44315</v>
      </c>
      <c r="B364">
        <f>IFERROR(__xludf.DUMMYFUNCTION("""COMPUTED_VALUE"""),23911.0)</f>
        <v>23911</v>
      </c>
      <c r="C364" t="str">
        <f>IFERROR(__xludf.DUMMYFUNCTION("""COMPUTED_VALUE"""),"en")</f>
        <v>en</v>
      </c>
      <c r="D364" t="str">
        <f>IFERROR(__xludf.DUMMYFUNCTION("""COMPUTED_VALUE"""),"Cold Calling: A New Approach")</f>
        <v>Cold Calling: A New Approach</v>
      </c>
      <c r="E364" t="str">
        <f>IFERROR(__xludf.DUMMYFUNCTION("""COMPUTED_VALUE"""),"Cold Calling: A New Approach")</f>
        <v>Cold Calling: A New Approach</v>
      </c>
      <c r="F364">
        <f>IFERROR(__xludf.DUMMYFUNCTION("""COMPUTED_VALUE"""),161970.0)</f>
        <v>161970</v>
      </c>
      <c r="G364" t="str">
        <f>IFERROR(__xludf.DUMMYFUNCTION("""COMPUTED_VALUE"""),"Jeffrey Gitomer")</f>
        <v>Jeffrey Gitomer</v>
      </c>
      <c r="H364" t="str">
        <f>IFERROR(__xludf.DUMMYFUNCTION("""COMPUTED_VALUE"""),"Saturated Topic")</f>
        <v>Saturated Topic</v>
      </c>
      <c r="I364" t="str">
        <f>IFERROR(__xludf.DUMMYFUNCTION("""COMPUTED_VALUE"""),"Sales")</f>
        <v>Sales</v>
      </c>
      <c r="J364" t="str">
        <f>IFERROR(__xludf.DUMMYFUNCTION("""COMPUTED_VALUE"""),"Sales Skills &amp; Tools")</f>
        <v>Sales Skills &amp; Tools</v>
      </c>
      <c r="K364" s="155">
        <f>IFERROR(__xludf.DUMMYFUNCTION("""COMPUTED_VALUE"""),1397390.0)</f>
        <v>1397390</v>
      </c>
      <c r="L364" s="140" t="str">
        <f>IFERROR(__xludf.DUMMYFUNCTION("""COMPUTED_VALUE"""),"Cold Calling for B2B Sales: How to Prospect over the Phone")</f>
        <v>Cold Calling for B2B Sales: How to Prospect over the Phone</v>
      </c>
      <c r="N364" s="140" t="str">
        <f>IFERROR(__xludf.DUMMYFUNCTION("""COMPUTED_VALUE"""),"")</f>
        <v/>
      </c>
    </row>
    <row r="365">
      <c r="A365" s="143">
        <f>IFERROR(__xludf.DUMMYFUNCTION("""COMPUTED_VALUE"""),44315.0)</f>
        <v>44315</v>
      </c>
      <c r="B365">
        <f>IFERROR(__xludf.DUMMYFUNCTION("""COMPUTED_VALUE"""),436674.0)</f>
        <v>436674</v>
      </c>
      <c r="C365" t="str">
        <f>IFERROR(__xludf.DUMMYFUNCTION("""COMPUTED_VALUE"""),"en")</f>
        <v>en</v>
      </c>
      <c r="D365" t="str">
        <f>IFERROR(__xludf.DUMMYFUNCTION("""COMPUTED_VALUE"""),"Leadership: Teaching Managers to be Leaders")</f>
        <v>Leadership: Teaching Managers to be Leaders</v>
      </c>
      <c r="E365" t="str">
        <f>IFERROR(__xludf.DUMMYFUNCTION("""COMPUTED_VALUE"""),"Leadership: Teaching Managers to be Leaders")</f>
        <v>Leadership: Teaching Managers to be Leaders</v>
      </c>
      <c r="F365">
        <f>IFERROR(__xludf.DUMMYFUNCTION("""COMPUTED_VALUE"""),8252750.0)</f>
        <v>8252750</v>
      </c>
      <c r="G365" t="str">
        <f>IFERROR(__xludf.DUMMYFUNCTION("""COMPUTED_VALUE"""),"LearnSmart LLC")</f>
        <v>LearnSmart LLC</v>
      </c>
      <c r="H365" t="str">
        <f>IFERROR(__xludf.DUMMYFUNCTION("""COMPUTED_VALUE"""),"Saturated Topic")</f>
        <v>Saturated Topic</v>
      </c>
      <c r="I365" t="str">
        <f>IFERROR(__xludf.DUMMYFUNCTION("""COMPUTED_VALUE"""),"Continuing Education Units")</f>
        <v>Continuing Education Units</v>
      </c>
      <c r="J365" t="str">
        <f>IFERROR(__xludf.DUMMYFUNCTION("""COMPUTED_VALUE"""),"Professional Development Units (PDUs)")</f>
        <v>Professional Development Units (PDUs)</v>
      </c>
      <c r="K365" s="155">
        <f>IFERROR(__xludf.DUMMYFUNCTION("""COMPUTED_VALUE"""),613808.0)</f>
        <v>613808</v>
      </c>
      <c r="L365" s="140" t="str">
        <f>IFERROR(__xludf.DUMMYFUNCTION("""COMPUTED_VALUE"""),"Leadership: Practical Leadership Skills")</f>
        <v>Leadership: Practical Leadership Skills</v>
      </c>
      <c r="N365" s="140" t="str">
        <f>IFERROR(__xludf.DUMMYFUNCTION("""COMPUTED_VALUE"""),"")</f>
        <v/>
      </c>
    </row>
    <row r="366">
      <c r="A366" s="143">
        <f>IFERROR(__xludf.DUMMYFUNCTION("""COMPUTED_VALUE"""),44315.0)</f>
        <v>44315</v>
      </c>
      <c r="B366">
        <f>IFERROR(__xludf.DUMMYFUNCTION("""COMPUTED_VALUE"""),1660096.0)</f>
        <v>1660096</v>
      </c>
      <c r="C366" t="str">
        <f>IFERROR(__xludf.DUMMYFUNCTION("""COMPUTED_VALUE"""),"es")</f>
        <v>es</v>
      </c>
      <c r="D366" t="str">
        <f>IFERROR(__xludf.DUMMYFUNCTION("""COMPUTED_VALUE"""),"Guía completa para ser un profesional del e-mail marketing")</f>
        <v>Guía completa para ser un profesional del e-mail marketing</v>
      </c>
      <c r="E366" t="str">
        <f>IFERROR(__xludf.DUMMYFUNCTION("""COMPUTED_VALUE"""),"Full guide to be an e-mail marketing professional")</f>
        <v>Full guide to be an e-mail marketing professional</v>
      </c>
      <c r="F366">
        <f>IFERROR(__xludf.DUMMYFUNCTION("""COMPUTED_VALUE"""),3.6020374E7)</f>
        <v>36020374</v>
      </c>
      <c r="G366" t="str">
        <f>IFERROR(__xludf.DUMMYFUNCTION("""COMPUTED_VALUE"""),"Sergio Leandro Castro")</f>
        <v>Sergio Leandro Castro</v>
      </c>
      <c r="H366" t="str">
        <f>IFERROR(__xludf.DUMMYFUNCTION("""COMPUTED_VALUE"""),"3 Flags")</f>
        <v>3 Flags</v>
      </c>
      <c r="I366" t="str">
        <f>IFERROR(__xludf.DUMMYFUNCTION("""COMPUTED_VALUE"""),"Marketing")</f>
        <v>Marketing</v>
      </c>
      <c r="J366" t="str">
        <f>IFERROR(__xludf.DUMMYFUNCTION("""COMPUTED_VALUE"""),"Content Marketing")</f>
        <v>Content Marketing</v>
      </c>
      <c r="K366" s="155">
        <f>IFERROR(__xludf.DUMMYFUNCTION("""COMPUTED_VALUE"""),2217998.0)</f>
        <v>2217998</v>
      </c>
      <c r="L366" s="140" t="str">
        <f>IFERROR(__xludf.DUMMYFUNCTION("""COMPUTED_VALUE"""),"Curso Completo de Marketing Digital - 23 Cursos en 1")</f>
        <v>Curso Completo de Marketing Digital - 23 Cursos en 1</v>
      </c>
      <c r="M366" s="155">
        <f>IFERROR(__xludf.DUMMYFUNCTION("""COMPUTED_VALUE"""),1685330.0)</f>
        <v>1685330</v>
      </c>
      <c r="N366" s="140" t="str">
        <f>IFERROR(__xludf.DUMMYFUNCTION("""COMPUTED_VALUE"""),"Marketing Digital Completo: Desde Cero a Experto en el 2020")</f>
        <v>Marketing Digital Completo: Desde Cero a Experto en el 2020</v>
      </c>
    </row>
    <row r="367">
      <c r="A367" s="143">
        <f>IFERROR(__xludf.DUMMYFUNCTION("""COMPUTED_VALUE"""),44315.0)</f>
        <v>44315</v>
      </c>
      <c r="B367">
        <f>IFERROR(__xludf.DUMMYFUNCTION("""COMPUTED_VALUE"""),2286077.0)</f>
        <v>2286077</v>
      </c>
      <c r="C367" t="str">
        <f>IFERROR(__xludf.DUMMYFUNCTION("""COMPUTED_VALUE"""),"en")</f>
        <v>en</v>
      </c>
      <c r="D367" t="str">
        <f>IFERROR(__xludf.DUMMYFUNCTION("""COMPUTED_VALUE"""),"Creating websites with Accelerated Mobile Pages (AMP)")</f>
        <v>Creating websites with Accelerated Mobile Pages (AMP)</v>
      </c>
      <c r="E367" t="str">
        <f>IFERROR(__xludf.DUMMYFUNCTION("""COMPUTED_VALUE"""),"Creating websites with Accelerated Mobile Pages (AMP)")</f>
        <v>Creating websites with Accelerated Mobile Pages (AMP)</v>
      </c>
      <c r="F367">
        <f>IFERROR(__xludf.DUMMYFUNCTION("""COMPUTED_VALUE"""),4.4609338E7)</f>
        <v>44609338</v>
      </c>
      <c r="G367" t="str">
        <f>IFERROR(__xludf.DUMMYFUNCTION("""COMPUTED_VALUE"""),"Stefany Newman")</f>
        <v>Stefany Newman</v>
      </c>
      <c r="H367" t="str">
        <f>IFERROR(__xludf.DUMMYFUNCTION("""COMPUTED_VALUE"""),"3 Flags")</f>
        <v>3 Flags</v>
      </c>
      <c r="I367" t="str">
        <f>IFERROR(__xludf.DUMMYFUNCTION("""COMPUTED_VALUE"""),"Development")</f>
        <v>Development</v>
      </c>
      <c r="J367" t="str">
        <f>IFERROR(__xludf.DUMMYFUNCTION("""COMPUTED_VALUE"""),"Web Development")</f>
        <v>Web Development</v>
      </c>
      <c r="L367" s="140" t="str">
        <f>IFERROR(__xludf.DUMMYFUNCTION("""COMPUTED_VALUE"""),"")</f>
        <v/>
      </c>
      <c r="N367" s="140" t="str">
        <f>IFERROR(__xludf.DUMMYFUNCTION("""COMPUTED_VALUE"""),"")</f>
        <v/>
      </c>
      <c r="O367" s="140" t="str">
        <f>IFERROR(__xludf.DUMMYFUNCTION("""COMPUTED_VALUE"""),"No Alternatives in Collection- 4/17")</f>
        <v>No Alternatives in Collection- 4/17</v>
      </c>
    </row>
    <row r="368">
      <c r="A368" s="143">
        <f>IFERROR(__xludf.DUMMYFUNCTION("""COMPUTED_VALUE"""),44315.0)</f>
        <v>44315</v>
      </c>
      <c r="B368">
        <f>IFERROR(__xludf.DUMMYFUNCTION("""COMPUTED_VALUE"""),876738.0)</f>
        <v>876738</v>
      </c>
      <c r="C368" t="str">
        <f>IFERROR(__xludf.DUMMYFUNCTION("""COMPUTED_VALUE"""),"en")</f>
        <v>en</v>
      </c>
      <c r="D368" t="str">
        <f>IFERROR(__xludf.DUMMYFUNCTION("""COMPUTED_VALUE"""),"Advanced iOS: Volume 1 - All source code updated to Swift 5")</f>
        <v>Advanced iOS: Volume 1 - All source code updated to Swift 5</v>
      </c>
      <c r="E368" t="str">
        <f>IFERROR(__xludf.DUMMYFUNCTION("""COMPUTED_VALUE"""),"Advanced iOS: Volume 1 - All source code updated to Swift 5")</f>
        <v>Advanced iOS: Volume 1 - All source code updated to Swift 5</v>
      </c>
      <c r="F368">
        <f>IFERROR(__xludf.DUMMYFUNCTION("""COMPUTED_VALUE"""),7686566.0)</f>
        <v>7686566</v>
      </c>
      <c r="G368" t="str">
        <f>IFERROR(__xludf.DUMMYFUNCTION("""COMPUTED_VALUE"""),"Stephen DeStefano")</f>
        <v>Stephen DeStefano</v>
      </c>
      <c r="H368" t="str">
        <f>IFERROR(__xludf.DUMMYFUNCTION("""COMPUTED_VALUE"""),"3 Flags")</f>
        <v>3 Flags</v>
      </c>
      <c r="I368" t="str">
        <f>IFERROR(__xludf.DUMMYFUNCTION("""COMPUTED_VALUE"""),"Development")</f>
        <v>Development</v>
      </c>
      <c r="J368" t="str">
        <f>IFERROR(__xludf.DUMMYFUNCTION("""COMPUTED_VALUE"""),"Mobile Development")</f>
        <v>Mobile Development</v>
      </c>
      <c r="L368" s="140" t="str">
        <f>IFERROR(__xludf.DUMMYFUNCTION("""COMPUTED_VALUE"""),"")</f>
        <v/>
      </c>
      <c r="N368" s="140" t="str">
        <f>IFERROR(__xludf.DUMMYFUNCTION("""COMPUTED_VALUE"""),"")</f>
        <v/>
      </c>
      <c r="O368" s="140" t="str">
        <f>IFERROR(__xludf.DUMMYFUNCTION("""COMPUTED_VALUE"""),"No Alternatives in Collection- 4/17")</f>
        <v>No Alternatives in Collection- 4/17</v>
      </c>
    </row>
    <row r="369">
      <c r="A369" s="143">
        <f>IFERROR(__xludf.DUMMYFUNCTION("""COMPUTED_VALUE"""),44315.0)</f>
        <v>44315</v>
      </c>
      <c r="B369">
        <f>IFERROR(__xludf.DUMMYFUNCTION("""COMPUTED_VALUE"""),2228866.0)</f>
        <v>2228866</v>
      </c>
      <c r="C369" t="str">
        <f>IFERROR(__xludf.DUMMYFUNCTION("""COMPUTED_VALUE"""),"fr")</f>
        <v>fr</v>
      </c>
      <c r="D369" t="str">
        <f>IFERROR(__xludf.DUMMYFUNCTION("""COMPUTED_VALUE"""),"Comment attirer ton client idéal ?")</f>
        <v>Comment attirer ton client idéal ?</v>
      </c>
      <c r="E369" t="str">
        <f>IFERROR(__xludf.DUMMYFUNCTION("""COMPUTED_VALUE"""),"How to attract your ideal client?")</f>
        <v>How to attract your ideal client?</v>
      </c>
      <c r="F369">
        <f>IFERROR(__xludf.DUMMYFUNCTION("""COMPUTED_VALUE"""),3.629505E7)</f>
        <v>36295050</v>
      </c>
      <c r="G369" t="str">
        <f>IFERROR(__xludf.DUMMYFUNCTION("""COMPUTED_VALUE"""),"Sylvain Gillet")</f>
        <v>Sylvain Gillet</v>
      </c>
      <c r="H369" t="str">
        <f>IFERROR(__xludf.DUMMYFUNCTION("""COMPUTED_VALUE"""),"3 Flags")</f>
        <v>3 Flags</v>
      </c>
      <c r="I369" t="str">
        <f>IFERROR(__xludf.DUMMYFUNCTION("""COMPUTED_VALUE"""),"Marketing")</f>
        <v>Marketing</v>
      </c>
      <c r="J369" t="str">
        <f>IFERROR(__xludf.DUMMYFUNCTION("""COMPUTED_VALUE"""),"Marketing Strategy")</f>
        <v>Marketing Strategy</v>
      </c>
      <c r="L369" s="140" t="str">
        <f>IFERROR(__xludf.DUMMYFUNCTION("""COMPUTED_VALUE"""),"")</f>
        <v/>
      </c>
      <c r="N369" s="140" t="str">
        <f>IFERROR(__xludf.DUMMYFUNCTION("""COMPUTED_VALUE"""),"")</f>
        <v/>
      </c>
      <c r="O369" s="140" t="str">
        <f>IFERROR(__xludf.DUMMYFUNCTION("""COMPUTED_VALUE"""),"No Alternatives in Collection- 4/17")</f>
        <v>No Alternatives in Collection- 4/17</v>
      </c>
    </row>
    <row r="370">
      <c r="A370" s="143">
        <f>IFERROR(__xludf.DUMMYFUNCTION("""COMPUTED_VALUE"""),44315.0)</f>
        <v>44315</v>
      </c>
      <c r="B370">
        <f>IFERROR(__xludf.DUMMYFUNCTION("""COMPUTED_VALUE"""),1253556.0)</f>
        <v>1253556</v>
      </c>
      <c r="C370" t="str">
        <f>IFERROR(__xludf.DUMMYFUNCTION("""COMPUTED_VALUE"""),"en")</f>
        <v>en</v>
      </c>
      <c r="D370" t="str">
        <f>IFERROR(__xludf.DUMMYFUNCTION("""COMPUTED_VALUE"""),"Become a QlikView Expert")</f>
        <v>Become a QlikView Expert</v>
      </c>
      <c r="E370" t="str">
        <f>IFERROR(__xludf.DUMMYFUNCTION("""COMPUTED_VALUE"""),"Become a QlikView Expert")</f>
        <v>Become a QlikView Expert</v>
      </c>
      <c r="F370">
        <f>IFERROR(__xludf.DUMMYFUNCTION("""COMPUTED_VALUE"""),1.2659282E7)</f>
        <v>12659282</v>
      </c>
      <c r="G370" t="str">
        <f>IFERROR(__xludf.DUMMYFUNCTION("""COMPUTED_VALUE"""),"Vertechs .IO")</f>
        <v>Vertechs .IO</v>
      </c>
      <c r="H370" t="str">
        <f>IFERROR(__xludf.DUMMYFUNCTION("""COMPUTED_VALUE"""),"3 Flags")</f>
        <v>3 Flags</v>
      </c>
      <c r="I370" t="str">
        <f>IFERROR(__xludf.DUMMYFUNCTION("""COMPUTED_VALUE"""),"Data Science")</f>
        <v>Data Science</v>
      </c>
      <c r="J370" t="str">
        <f>IFERROR(__xludf.DUMMYFUNCTION("""COMPUTED_VALUE"""),"Analytics")</f>
        <v>Analytics</v>
      </c>
      <c r="K370" s="155">
        <f>IFERROR(__xludf.DUMMYFUNCTION("""COMPUTED_VALUE"""),1259060.0)</f>
        <v>1259060</v>
      </c>
      <c r="L370" s="140" t="str">
        <f>IFERROR(__xludf.DUMMYFUNCTION("""COMPUTED_VALUE"""),"The Complete QlikView Boot Camp")</f>
        <v>The Complete QlikView Boot Camp</v>
      </c>
      <c r="N370" s="140" t="str">
        <f>IFERROR(__xludf.DUMMYFUNCTION("""COMPUTED_VALUE"""),"")</f>
        <v/>
      </c>
    </row>
    <row r="371">
      <c r="A371" s="143">
        <f>IFERROR(__xludf.DUMMYFUNCTION("""COMPUTED_VALUE"""),44315.0)</f>
        <v>44315</v>
      </c>
      <c r="B371">
        <f>IFERROR(__xludf.DUMMYFUNCTION("""COMPUTED_VALUE"""),467470.0)</f>
        <v>467470</v>
      </c>
      <c r="C371" t="str">
        <f>IFERROR(__xludf.DUMMYFUNCTION("""COMPUTED_VALUE"""),"es")</f>
        <v>es</v>
      </c>
      <c r="D371" t="str">
        <f>IFERROR(__xludf.DUMMYFUNCTION("""COMPUTED_VALUE"""),"AngularJS - Desde Hola Mundo hasta una Aplicación (legacy)")</f>
        <v>AngularJS - Desde Hola Mundo hasta una Aplicación (legacy)</v>
      </c>
      <c r="E371" t="str">
        <f>IFERROR(__xludf.DUMMYFUNCTION("""COMPUTED_VALUE"""),"Angularjs - from Hola World to an Application (Legacy)")</f>
        <v>Angularjs - from Hola World to an Application (Legacy)</v>
      </c>
      <c r="F371">
        <f>IFERROR(__xludf.DUMMYFUNCTION("""COMPUTED_VALUE"""),1.1767934E7)</f>
        <v>11767934</v>
      </c>
      <c r="G371" t="str">
        <f>IFERROR(__xludf.DUMMYFUNCTION("""COMPUTED_VALUE"""),"Fernando Herrera")</f>
        <v>Fernando Herrera</v>
      </c>
      <c r="H371" t="str">
        <f>IFERROR(__xludf.DUMMYFUNCTION("""COMPUTED_VALUE"""),"Instructor Request- No Detail")</f>
        <v>Instructor Request- No Detail</v>
      </c>
      <c r="I371" t="str">
        <f>IFERROR(__xludf.DUMMYFUNCTION("""COMPUTED_VALUE"""),"Development")</f>
        <v>Development</v>
      </c>
      <c r="J371" t="str">
        <f>IFERROR(__xludf.DUMMYFUNCTION("""COMPUTED_VALUE"""),"Web Development")</f>
        <v>Web Development</v>
      </c>
      <c r="L371" s="140" t="str">
        <f>IFERROR(__xludf.DUMMYFUNCTION("""COMPUTED_VALUE"""),"")</f>
        <v/>
      </c>
      <c r="N371" s="140" t="str">
        <f>IFERROR(__xludf.DUMMYFUNCTION("""COMPUTED_VALUE"""),"")</f>
        <v/>
      </c>
      <c r="O371" s="140" t="str">
        <f>IFERROR(__xludf.DUMMYFUNCTION("""COMPUTED_VALUE"""),"No Alternatives in Collection- 4/17")</f>
        <v>No Alternatives in Collection- 4/17</v>
      </c>
    </row>
    <row r="372">
      <c r="A372" s="143">
        <f>IFERROR(__xludf.DUMMYFUNCTION("""COMPUTED_VALUE"""),44315.0)</f>
        <v>44315</v>
      </c>
      <c r="B372">
        <f>IFERROR(__xludf.DUMMYFUNCTION("""COMPUTED_VALUE"""),1145678.0)</f>
        <v>1145678</v>
      </c>
      <c r="C372" t="str">
        <f>IFERROR(__xludf.DUMMYFUNCTION("""COMPUTED_VALUE"""),"es")</f>
        <v>es</v>
      </c>
      <c r="D372" t="str">
        <f>IFERROR(__xludf.DUMMYFUNCTION("""COMPUTED_VALUE"""),"ionic 2/3: Crea apps para Android e iOS desde cero. (legacy)")</f>
        <v>ionic 2/3: Crea apps para Android e iOS desde cero. (legacy)</v>
      </c>
      <c r="E372" t="str">
        <f>IFERROR(__xludf.DUMMYFUNCTION("""COMPUTED_VALUE"""),"Ionic 2/3: Create apps for Android and iOS from scratch. (Legacy)")</f>
        <v>Ionic 2/3: Create apps for Android and iOS from scratch. (Legacy)</v>
      </c>
      <c r="F372">
        <f>IFERROR(__xludf.DUMMYFUNCTION("""COMPUTED_VALUE"""),1.1767934E7)</f>
        <v>11767934</v>
      </c>
      <c r="G372" t="str">
        <f>IFERROR(__xludf.DUMMYFUNCTION("""COMPUTED_VALUE"""),"Fernando Herrera")</f>
        <v>Fernando Herrera</v>
      </c>
      <c r="H372" t="str">
        <f>IFERROR(__xludf.DUMMYFUNCTION("""COMPUTED_VALUE"""),"Instructor Request- No Detail")</f>
        <v>Instructor Request- No Detail</v>
      </c>
      <c r="I372" t="str">
        <f>IFERROR(__xludf.DUMMYFUNCTION("""COMPUTED_VALUE"""),"Development")</f>
        <v>Development</v>
      </c>
      <c r="J372" t="str">
        <f>IFERROR(__xludf.DUMMYFUNCTION("""COMPUTED_VALUE"""),"Mobile Development")</f>
        <v>Mobile Development</v>
      </c>
      <c r="L372" s="140" t="str">
        <f>IFERROR(__xludf.DUMMYFUNCTION("""COMPUTED_VALUE"""),"")</f>
        <v/>
      </c>
      <c r="N372" s="140" t="str">
        <f>IFERROR(__xludf.DUMMYFUNCTION("""COMPUTED_VALUE"""),"")</f>
        <v/>
      </c>
      <c r="O372" s="140" t="str">
        <f>IFERROR(__xludf.DUMMYFUNCTION("""COMPUTED_VALUE"""),"No Alternatives in Collection- 4/17")</f>
        <v>No Alternatives in Collection- 4/17</v>
      </c>
    </row>
    <row r="373">
      <c r="A373" s="143">
        <f>IFERROR(__xludf.DUMMYFUNCTION("""COMPUTED_VALUE"""),44315.0)</f>
        <v>44315</v>
      </c>
      <c r="B373">
        <f>IFERROR(__xludf.DUMMYFUNCTION("""COMPUTED_VALUE"""),1713366.0)</f>
        <v>1713366</v>
      </c>
      <c r="C373" t="str">
        <f>IFERROR(__xludf.DUMMYFUNCTION("""COMPUTED_VALUE"""),"en")</f>
        <v>en</v>
      </c>
      <c r="D373" t="str">
        <f>IFERROR(__xludf.DUMMYFUNCTION("""COMPUTED_VALUE"""),"Freight Broker Training")</f>
        <v>Freight Broker Training</v>
      </c>
      <c r="E373" t="str">
        <f>IFERROR(__xludf.DUMMYFUNCTION("""COMPUTED_VALUE"""),"Freight Broker Training")</f>
        <v>Freight Broker Training</v>
      </c>
      <c r="F373">
        <f>IFERROR(__xludf.DUMMYFUNCTION("""COMPUTED_VALUE"""),4.1559732E7)</f>
        <v>41559732</v>
      </c>
      <c r="G373" t="str">
        <f>IFERROR(__xludf.DUMMYFUNCTION("""COMPUTED_VALUE"""),"Andre Erving")</f>
        <v>Andre Erving</v>
      </c>
      <c r="H373" t="str">
        <f>IFERROR(__xludf.DUMMYFUNCTION("""COMPUTED_VALUE"""),"Instructor Request- Opted Out")</f>
        <v>Instructor Request- Opted Out</v>
      </c>
      <c r="I373" t="str">
        <f>IFERROR(__xludf.DUMMYFUNCTION("""COMPUTED_VALUE"""),"Project Management &amp; Operations")</f>
        <v>Project Management &amp; Operations</v>
      </c>
      <c r="J373" t="str">
        <f>IFERROR(__xludf.DUMMYFUNCTION("""COMPUTED_VALUE"""),"Operations Management")</f>
        <v>Operations Management</v>
      </c>
      <c r="L373" s="140" t="str">
        <f>IFERROR(__xludf.DUMMYFUNCTION("""COMPUTED_VALUE"""),"")</f>
        <v/>
      </c>
      <c r="N373" s="140" t="str">
        <f>IFERROR(__xludf.DUMMYFUNCTION("""COMPUTED_VALUE"""),"")</f>
        <v/>
      </c>
      <c r="O373" s="140" t="str">
        <f>IFERROR(__xludf.DUMMYFUNCTION("""COMPUTED_VALUE"""),"No Alternatives in Collection- 12/18/2020")</f>
        <v>No Alternatives in Collection- 12/18/2020</v>
      </c>
    </row>
    <row r="374">
      <c r="A374" s="143">
        <f>IFERROR(__xludf.DUMMYFUNCTION("""COMPUTED_VALUE"""),44315.0)</f>
        <v>44315</v>
      </c>
      <c r="B374">
        <f>IFERROR(__xludf.DUMMYFUNCTION("""COMPUTED_VALUE"""),432262.0)</f>
        <v>432262</v>
      </c>
      <c r="C374" t="str">
        <f>IFERROR(__xludf.DUMMYFUNCTION("""COMPUTED_VALUE"""),"en")</f>
        <v>en</v>
      </c>
      <c r="D374" t="str">
        <f>IFERROR(__xludf.DUMMYFUNCTION("""COMPUTED_VALUE"""),"Google Ad Grant for Nonprofits")</f>
        <v>Google Ad Grant for Nonprofits</v>
      </c>
      <c r="E374" t="str">
        <f>IFERROR(__xludf.DUMMYFUNCTION("""COMPUTED_VALUE"""),"Google Ad Grant for Nonprofits")</f>
        <v>Google Ad Grant for Nonprofits</v>
      </c>
      <c r="F374">
        <f>IFERROR(__xludf.DUMMYFUNCTION("""COMPUTED_VALUE"""),1.1257976E7)</f>
        <v>11257976</v>
      </c>
      <c r="G374" t="str">
        <f>IFERROR(__xludf.DUMMYFUNCTION("""COMPUTED_VALUE"""),"Whole Whale University")</f>
        <v>Whole Whale University</v>
      </c>
      <c r="H374" t="str">
        <f>IFERROR(__xludf.DUMMYFUNCTION("""COMPUTED_VALUE"""),"Instructor Request- No Detail")</f>
        <v>Instructor Request- No Detail</v>
      </c>
      <c r="I374" t="str">
        <f>IFERROR(__xludf.DUMMYFUNCTION("""COMPUTED_VALUE"""),"Marketing")</f>
        <v>Marketing</v>
      </c>
      <c r="J374" t="str">
        <f>IFERROR(__xludf.DUMMYFUNCTION("""COMPUTED_VALUE"""),"Paid Advertising")</f>
        <v>Paid Advertising</v>
      </c>
      <c r="K374" s="155">
        <f>IFERROR(__xludf.DUMMYFUNCTION("""COMPUTED_VALUE"""),1983870.0)</f>
        <v>1983870</v>
      </c>
      <c r="L374" s="140" t="str">
        <f>IFERROR(__xludf.DUMMYFUNCTION("""COMPUTED_VALUE"""),"Easy, Effective Google Grant Ads for Non-Profits")</f>
        <v>Easy, Effective Google Grant Ads for Non-Profits</v>
      </c>
      <c r="N374" s="140" t="str">
        <f>IFERROR(__xludf.DUMMYFUNCTION("""COMPUTED_VALUE"""),"")</f>
        <v/>
      </c>
    </row>
    <row r="375">
      <c r="A375" s="143">
        <f>IFERROR(__xludf.DUMMYFUNCTION("""COMPUTED_VALUE"""),44315.0)</f>
        <v>44315</v>
      </c>
      <c r="B375">
        <f>IFERROR(__xludf.DUMMYFUNCTION("""COMPUTED_VALUE"""),1886084.0)</f>
        <v>1886084</v>
      </c>
      <c r="C375" t="str">
        <f>IFERROR(__xludf.DUMMYFUNCTION("""COMPUTED_VALUE"""),"pt")</f>
        <v>pt</v>
      </c>
      <c r="D375" t="str">
        <f>IFERROR(__xludf.DUMMYFUNCTION("""COMPUTED_VALUE"""),"IT Governance Management: Governança de TI")</f>
        <v>IT Governance Management: Governança de TI</v>
      </c>
      <c r="E375" t="str">
        <f>IFERROR(__xludf.DUMMYFUNCTION("""COMPUTED_VALUE"""),"IT GOVERNANCE MANAGEMENT: IT Governance")</f>
        <v>IT GOVERNANCE MANAGEMENT: IT Governance</v>
      </c>
      <c r="F375">
        <f>IFERROR(__xludf.DUMMYFUNCTION("""COMPUTED_VALUE"""),2.3658922E7)</f>
        <v>23658922</v>
      </c>
      <c r="G375" t="str">
        <f>IFERROR(__xludf.DUMMYFUNCTION("""COMPUTED_VALUE"""),"George de Almeida Menezes")</f>
        <v>George de Almeida Menezes</v>
      </c>
      <c r="H375" t="str">
        <f>IFERROR(__xludf.DUMMYFUNCTION("""COMPUTED_VALUE"""),"Instructor Request- Opted Out")</f>
        <v>Instructor Request- Opted Out</v>
      </c>
      <c r="I375" t="str">
        <f>IFERROR(__xludf.DUMMYFUNCTION("""COMPUTED_VALUE"""),"Project Management &amp; Operations")</f>
        <v>Project Management &amp; Operations</v>
      </c>
      <c r="J375" t="str">
        <f>IFERROR(__xludf.DUMMYFUNCTION("""COMPUTED_VALUE"""),"Operations Management")</f>
        <v>Operations Management</v>
      </c>
      <c r="L375" s="140" t="str">
        <f>IFERROR(__xludf.DUMMYFUNCTION("""COMPUTED_VALUE"""),"")</f>
        <v/>
      </c>
      <c r="N375" s="140" t="str">
        <f>IFERROR(__xludf.DUMMYFUNCTION("""COMPUTED_VALUE"""),"")</f>
        <v/>
      </c>
      <c r="O375" s="140" t="str">
        <f>IFERROR(__xludf.DUMMYFUNCTION("""COMPUTED_VALUE"""),"No Alternatives in Collection- 12/18/2020")</f>
        <v>No Alternatives in Collection- 12/18/2020</v>
      </c>
    </row>
    <row r="376">
      <c r="A376" s="143">
        <f>IFERROR(__xludf.DUMMYFUNCTION("""COMPUTED_VALUE"""),44315.0)</f>
        <v>44315</v>
      </c>
      <c r="B376">
        <f>IFERROR(__xludf.DUMMYFUNCTION("""COMPUTED_VALUE"""),2401416.0)</f>
        <v>2401416</v>
      </c>
      <c r="C376" t="str">
        <f>IFERROR(__xludf.DUMMYFUNCTION("""COMPUTED_VALUE"""),"en")</f>
        <v>en</v>
      </c>
      <c r="D376" t="str">
        <f>IFERROR(__xludf.DUMMYFUNCTION("""COMPUTED_VALUE"""),"Fundamentals of Asana in 2019 (Project Management)")</f>
        <v>Fundamentals of Asana in 2019 (Project Management)</v>
      </c>
      <c r="E376" t="str">
        <f>IFERROR(__xludf.DUMMYFUNCTION("""COMPUTED_VALUE"""),"Fundamentals of Asana in 2019 (Project Management)")</f>
        <v>Fundamentals of Asana in 2019 (Project Management)</v>
      </c>
      <c r="F376">
        <f>IFERROR(__xludf.DUMMYFUNCTION("""COMPUTED_VALUE"""),9016736.0)</f>
        <v>9016736</v>
      </c>
      <c r="G376" t="str">
        <f>IFERROR(__xludf.DUMMYFUNCTION("""COMPUTED_VALUE"""),"Nikki Parsons")</f>
        <v>Nikki Parsons</v>
      </c>
      <c r="H376" t="str">
        <f>IFERROR(__xludf.DUMMYFUNCTION("""COMPUTED_VALUE"""),"Instructor Request- No Detail")</f>
        <v>Instructor Request- No Detail</v>
      </c>
      <c r="I376" t="str">
        <f>IFERROR(__xludf.DUMMYFUNCTION("""COMPUTED_VALUE"""),"Project Management &amp; Operations")</f>
        <v>Project Management &amp; Operations</v>
      </c>
      <c r="J376" t="str">
        <f>IFERROR(__xludf.DUMMYFUNCTION("""COMPUTED_VALUE"""),"Project Management Tools")</f>
        <v>Project Management Tools</v>
      </c>
      <c r="L376" s="140" t="str">
        <f>IFERROR(__xludf.DUMMYFUNCTION("""COMPUTED_VALUE"""),"")</f>
        <v/>
      </c>
      <c r="N376" s="140" t="str">
        <f>IFERROR(__xludf.DUMMYFUNCTION("""COMPUTED_VALUE"""),"")</f>
        <v/>
      </c>
      <c r="O376" s="140" t="str">
        <f>IFERROR(__xludf.DUMMYFUNCTION("""COMPUTED_VALUE"""),"No Alternatives in Collection 12/24")</f>
        <v>No Alternatives in Collection 12/24</v>
      </c>
    </row>
    <row r="377">
      <c r="A377" s="143">
        <f>IFERROR(__xludf.DUMMYFUNCTION("""COMPUTED_VALUE"""),44315.0)</f>
        <v>44315</v>
      </c>
      <c r="B377">
        <f>IFERROR(__xludf.DUMMYFUNCTION("""COMPUTED_VALUE"""),2397668.0)</f>
        <v>2397668</v>
      </c>
      <c r="C377" t="str">
        <f>IFERROR(__xludf.DUMMYFUNCTION("""COMPUTED_VALUE"""),"en")</f>
        <v>en</v>
      </c>
      <c r="D377" t="str">
        <f>IFERROR(__xludf.DUMMYFUNCTION("""COMPUTED_VALUE"""),"Social Confidence for Introverts")</f>
        <v>Social Confidence for Introverts</v>
      </c>
      <c r="E377" t="str">
        <f>IFERROR(__xludf.DUMMYFUNCTION("""COMPUTED_VALUE"""),"Social Confidence for Introverts")</f>
        <v>Social Confidence for Introverts</v>
      </c>
      <c r="F377">
        <f>IFERROR(__xludf.DUMMYFUNCTION("""COMPUTED_VALUE"""),3.197414E7)</f>
        <v>31974140</v>
      </c>
      <c r="G377" t="str">
        <f>IFERROR(__xludf.DUMMYFUNCTION("""COMPUTED_VALUE"""),"TJ Guttormsen")</f>
        <v>TJ Guttormsen</v>
      </c>
      <c r="H377" t="str">
        <f>IFERROR(__xludf.DUMMYFUNCTION("""COMPUTED_VALUE"""),"Instructor Request- Opted Out")</f>
        <v>Instructor Request- Opted Out</v>
      </c>
      <c r="I377" t="str">
        <f>IFERROR(__xludf.DUMMYFUNCTION("""COMPUTED_VALUE"""),"Personal Development")</f>
        <v>Personal Development</v>
      </c>
      <c r="J377" t="str">
        <f>IFERROR(__xludf.DUMMYFUNCTION("""COMPUTED_VALUE"""),"Personal Growth")</f>
        <v>Personal Growth</v>
      </c>
      <c r="K377" s="155">
        <f>IFERROR(__xludf.DUMMYFUNCTION("""COMPUTED_VALUE"""),2315630.0)</f>
        <v>2315630</v>
      </c>
      <c r="L377" s="140" t="str">
        <f>IFERROR(__xludf.DUMMYFUNCTION("""COMPUTED_VALUE"""),"CONFIDENCE Tools - Confidence &amp; Self Esteem for Introverts")</f>
        <v>CONFIDENCE Tools - Confidence &amp; Self Esteem for Introverts</v>
      </c>
      <c r="N377" s="140" t="str">
        <f>IFERROR(__xludf.DUMMYFUNCTION("""COMPUTED_VALUE"""),"")</f>
        <v/>
      </c>
    </row>
    <row r="378">
      <c r="A378" s="143">
        <f>IFERROR(__xludf.DUMMYFUNCTION("""COMPUTED_VALUE"""),44315.0)</f>
        <v>44315</v>
      </c>
      <c r="B378">
        <f>IFERROR(__xludf.DUMMYFUNCTION("""COMPUTED_VALUE"""),2794640.0)</f>
        <v>2794640</v>
      </c>
      <c r="C378" t="str">
        <f>IFERROR(__xludf.DUMMYFUNCTION("""COMPUTED_VALUE"""),"en")</f>
        <v>en</v>
      </c>
      <c r="D378" t="str">
        <f>IFERROR(__xludf.DUMMYFUNCTION("""COMPUTED_VALUE"""),"Unreal Engine 4: Souls-Like Action RPG w/ Multiplayer")</f>
        <v>Unreal Engine 4: Souls-Like Action RPG w/ Multiplayer</v>
      </c>
      <c r="E378" t="str">
        <f>IFERROR(__xludf.DUMMYFUNCTION("""COMPUTED_VALUE"""),"Unreal Engine 4: Souls-Like Action RPG w/ Multiplayer")</f>
        <v>Unreal Engine 4: Souls-Like Action RPG w/ Multiplayer</v>
      </c>
      <c r="F378">
        <f>IFERROR(__xludf.DUMMYFUNCTION("""COMPUTED_VALUE"""),9088456.0)</f>
        <v>9088456</v>
      </c>
      <c r="G378" t="str">
        <f>IFERROR(__xludf.DUMMYFUNCTION("""COMPUTED_VALUE"""),"Jeff T")</f>
        <v>Jeff T</v>
      </c>
      <c r="H378" t="str">
        <f>IFERROR(__xludf.DUMMYFUNCTION("""COMPUTED_VALUE"""),"Instructor Request- Opted Out")</f>
        <v>Instructor Request- Opted Out</v>
      </c>
      <c r="I378" t="str">
        <f>IFERROR(__xludf.DUMMYFUNCTION("""COMPUTED_VALUE"""),"Development")</f>
        <v>Development</v>
      </c>
      <c r="J378" t="str">
        <f>IFERROR(__xludf.DUMMYFUNCTION("""COMPUTED_VALUE"""),"Game Development")</f>
        <v>Game Development</v>
      </c>
      <c r="L378" s="140" t="str">
        <f>IFERROR(__xludf.DUMMYFUNCTION("""COMPUTED_VALUE"""),"")</f>
        <v/>
      </c>
      <c r="N378" s="140" t="str">
        <f>IFERROR(__xludf.DUMMYFUNCTION("""COMPUTED_VALUE"""),"")</f>
        <v/>
      </c>
      <c r="O378" s="140" t="str">
        <f>IFERROR(__xludf.DUMMYFUNCTION("""COMPUTED_VALUE"""),"No Alternatives in Collection- 12/18/2020")</f>
        <v>No Alternatives in Collection- 12/18/2020</v>
      </c>
    </row>
    <row r="379">
      <c r="A379" s="143">
        <f>IFERROR(__xludf.DUMMYFUNCTION("""COMPUTED_VALUE"""),44315.0)</f>
        <v>44315</v>
      </c>
      <c r="B379">
        <f>IFERROR(__xludf.DUMMYFUNCTION("""COMPUTED_VALUE"""),2029742.0)</f>
        <v>2029742</v>
      </c>
      <c r="C379" t="str">
        <f>IFERROR(__xludf.DUMMYFUNCTION("""COMPUTED_VALUE"""),"de")</f>
        <v>de</v>
      </c>
      <c r="D379" t="str">
        <f>IFERROR(__xludf.DUMMYFUNCTION("""COMPUTED_VALUE"""),"Procreate Handbuch")</f>
        <v>Procreate Handbuch</v>
      </c>
      <c r="E379" t="str">
        <f>IFERROR(__xludf.DUMMYFUNCTION("""COMPUTED_VALUE"""),"Procreate manual")</f>
        <v>Procreate manual</v>
      </c>
      <c r="F379">
        <f>IFERROR(__xludf.DUMMYFUNCTION("""COMPUTED_VALUE"""),5.1563456E7)</f>
        <v>51563456</v>
      </c>
      <c r="G379" t="str">
        <f>IFERROR(__xludf.DUMMYFUNCTION("""COMPUTED_VALUE"""),"Ludmila Blum")</f>
        <v>Ludmila Blum</v>
      </c>
      <c r="H379" t="str">
        <f>IFERROR(__xludf.DUMMYFUNCTION("""COMPUTED_VALUE"""),"Instructor Request- Opted Out")</f>
        <v>Instructor Request- Opted Out</v>
      </c>
      <c r="I379" t="str">
        <f>IFERROR(__xludf.DUMMYFUNCTION("""COMPUTED_VALUE"""),"Design")</f>
        <v>Design</v>
      </c>
      <c r="J379" t="str">
        <f>IFERROR(__xludf.DUMMYFUNCTION("""COMPUTED_VALUE"""),"Graphic Design")</f>
        <v>Graphic Design</v>
      </c>
      <c r="L379" s="140" t="str">
        <f>IFERROR(__xludf.DUMMYFUNCTION("""COMPUTED_VALUE"""),"")</f>
        <v/>
      </c>
      <c r="N379" s="140" t="str">
        <f>IFERROR(__xludf.DUMMYFUNCTION("""COMPUTED_VALUE"""),"")</f>
        <v/>
      </c>
      <c r="O379" s="140" t="str">
        <f>IFERROR(__xludf.DUMMYFUNCTION("""COMPUTED_VALUE"""),"No Alternatives in Collection- 12/18/2020")</f>
        <v>No Alternatives in Collection- 12/18/2020</v>
      </c>
    </row>
    <row r="380">
      <c r="A380" s="143">
        <f>IFERROR(__xludf.DUMMYFUNCTION("""COMPUTED_VALUE"""),44315.0)</f>
        <v>44315</v>
      </c>
      <c r="B380">
        <f>IFERROR(__xludf.DUMMYFUNCTION("""COMPUTED_VALUE"""),1737068.0)</f>
        <v>1737068</v>
      </c>
      <c r="C380" t="str">
        <f>IFERROR(__xludf.DUMMYFUNCTION("""COMPUTED_VALUE"""),"es")</f>
        <v>es</v>
      </c>
      <c r="D380" t="str">
        <f>IFERROR(__xludf.DUMMYFUNCTION("""COMPUTED_VALUE"""),"Curso completo de renta variable")</f>
        <v>Curso completo de renta variable</v>
      </c>
      <c r="E380" t="str">
        <f>IFERROR(__xludf.DUMMYFUNCTION("""COMPUTED_VALUE"""),"Full equity course")</f>
        <v>Full equity course</v>
      </c>
      <c r="F380">
        <f>IFERROR(__xludf.DUMMYFUNCTION("""COMPUTED_VALUE"""),4.8830358E7)</f>
        <v>48830358</v>
      </c>
      <c r="G380" t="str">
        <f>IFERROR(__xludf.DUMMYFUNCTION("""COMPUTED_VALUE"""),"Lualobus PhD")</f>
        <v>Lualobus PhD</v>
      </c>
      <c r="H380" t="str">
        <f>IFERROR(__xludf.DUMMYFUNCTION("""COMPUTED_VALUE"""),"Instructor Request- No Detail")</f>
        <v>Instructor Request- No Detail</v>
      </c>
      <c r="I380" t="str">
        <f>IFERROR(__xludf.DUMMYFUNCTION("""COMPUTED_VALUE"""),"Finance &amp; Accounting")</f>
        <v>Finance &amp; Accounting</v>
      </c>
      <c r="J380" t="str">
        <f>IFERROR(__xludf.DUMMYFUNCTION("""COMPUTED_VALUE"""),"Investing &amp; Trading")</f>
        <v>Investing &amp; Trading</v>
      </c>
      <c r="L380" s="140" t="str">
        <f>IFERROR(__xludf.DUMMYFUNCTION("""COMPUTED_VALUE"""),"")</f>
        <v/>
      </c>
      <c r="N380" s="140" t="str">
        <f>IFERROR(__xludf.DUMMYFUNCTION("""COMPUTED_VALUE"""),"")</f>
        <v/>
      </c>
      <c r="O380" s="140" t="str">
        <f>IFERROR(__xludf.DUMMYFUNCTION("""COMPUTED_VALUE"""),"No Alternatives in Collection 12/24")</f>
        <v>No Alternatives in Collection 12/24</v>
      </c>
    </row>
    <row r="381">
      <c r="A381" s="143">
        <f>IFERROR(__xludf.DUMMYFUNCTION("""COMPUTED_VALUE"""),44315.0)</f>
        <v>44315</v>
      </c>
      <c r="B381">
        <f>IFERROR(__xludf.DUMMYFUNCTION("""COMPUTED_VALUE"""),3196352.0)</f>
        <v>3196352</v>
      </c>
      <c r="C381" t="str">
        <f>IFERROR(__xludf.DUMMYFUNCTION("""COMPUTED_VALUE"""),"en")</f>
        <v>en</v>
      </c>
      <c r="D381" t="str">
        <f>IFERROR(__xludf.DUMMYFUNCTION("""COMPUTED_VALUE"""),"Product Development &amp; Systems Engineering")</f>
        <v>Product Development &amp; Systems Engineering</v>
      </c>
      <c r="E381" t="str">
        <f>IFERROR(__xludf.DUMMYFUNCTION("""COMPUTED_VALUE"""),"Product Development &amp; Systems Engineering")</f>
        <v>Product Development &amp; Systems Engineering</v>
      </c>
      <c r="F381">
        <f>IFERROR(__xludf.DUMMYFUNCTION("""COMPUTED_VALUE"""),2.3504146E7)</f>
        <v>23504146</v>
      </c>
      <c r="G381" t="str">
        <f>IFERROR(__xludf.DUMMYFUNCTION("""COMPUTED_VALUE"""),"Christopher Olson")</f>
        <v>Christopher Olson</v>
      </c>
      <c r="H381" t="str">
        <f>IFERROR(__xludf.DUMMYFUNCTION("""COMPUTED_VALUE"""),"Instructor Request- Opted Out")</f>
        <v>Instructor Request- Opted Out</v>
      </c>
      <c r="I381" t="str">
        <f>IFERROR(__xludf.DUMMYFUNCTION("""COMPUTED_VALUE"""),"Project Management &amp; Operations")</f>
        <v>Project Management &amp; Operations</v>
      </c>
      <c r="J381" t="str">
        <f>IFERROR(__xludf.DUMMYFUNCTION("""COMPUTED_VALUE"""),"Operations Management")</f>
        <v>Operations Management</v>
      </c>
      <c r="L381" s="140" t="str">
        <f>IFERROR(__xludf.DUMMYFUNCTION("""COMPUTED_VALUE"""),"")</f>
        <v/>
      </c>
      <c r="N381" s="140" t="str">
        <f>IFERROR(__xludf.DUMMYFUNCTION("""COMPUTED_VALUE"""),"")</f>
        <v/>
      </c>
      <c r="O381" s="140" t="str">
        <f>IFERROR(__xludf.DUMMYFUNCTION("""COMPUTED_VALUE"""),"No Alternatives in Collection- 12/18/2020")</f>
        <v>No Alternatives in Collection- 12/18/2020</v>
      </c>
    </row>
    <row r="382">
      <c r="A382" s="143">
        <f>IFERROR(__xludf.DUMMYFUNCTION("""COMPUTED_VALUE"""),44315.0)</f>
        <v>44315</v>
      </c>
      <c r="B382">
        <f>IFERROR(__xludf.DUMMYFUNCTION("""COMPUTED_VALUE"""),1131852.0)</f>
        <v>1131852</v>
      </c>
      <c r="C382" t="str">
        <f>IFERROR(__xludf.DUMMYFUNCTION("""COMPUTED_VALUE"""),"es")</f>
        <v>es</v>
      </c>
      <c r="D382" t="str">
        <f>IFERROR(__xludf.DUMMYFUNCTION("""COMPUTED_VALUE"""),"Integrando Docker a su infraestructura y servicios.")</f>
        <v>Integrando Docker a su infraestructura y servicios.</v>
      </c>
      <c r="E382" t="str">
        <f>IFERROR(__xludf.DUMMYFUNCTION("""COMPUTED_VALUE"""),"Integrating Docker to your infrastructure and services.")</f>
        <v>Integrating Docker to your infrastructure and services.</v>
      </c>
      <c r="F382">
        <f>IFERROR(__xludf.DUMMYFUNCTION("""COMPUTED_VALUE"""),2.955838E7)</f>
        <v>29558380</v>
      </c>
      <c r="G382" t="str">
        <f>IFERROR(__xludf.DUMMYFUNCTION("""COMPUTED_VALUE"""),"Manuel Morejón")</f>
        <v>Manuel Morejón</v>
      </c>
      <c r="H382" t="str">
        <f>IFERROR(__xludf.DUMMYFUNCTION("""COMPUTED_VALUE"""),"Instructor Request- No Detail")</f>
        <v>Instructor Request- No Detail</v>
      </c>
      <c r="I382" t="str">
        <f>IFERROR(__xludf.DUMMYFUNCTION("""COMPUTED_VALUE"""),"Development")</f>
        <v>Development</v>
      </c>
      <c r="J382" t="str">
        <f>IFERROR(__xludf.DUMMYFUNCTION("""COMPUTED_VALUE"""),"Development Tools")</f>
        <v>Development Tools</v>
      </c>
      <c r="L382" s="140" t="str">
        <f>IFERROR(__xludf.DUMMYFUNCTION("""COMPUTED_VALUE"""),"")</f>
        <v/>
      </c>
      <c r="N382" s="140" t="str">
        <f>IFERROR(__xludf.DUMMYFUNCTION("""COMPUTED_VALUE"""),"")</f>
        <v/>
      </c>
      <c r="O382" s="140" t="str">
        <f>IFERROR(__xludf.DUMMYFUNCTION("""COMPUTED_VALUE"""),"No Alternatives in Collection 12/24")</f>
        <v>No Alternatives in Collection 12/24</v>
      </c>
    </row>
    <row r="383">
      <c r="A383" s="143">
        <f>IFERROR(__xludf.DUMMYFUNCTION("""COMPUTED_VALUE"""),44315.0)</f>
        <v>44315</v>
      </c>
      <c r="B383">
        <f>IFERROR(__xludf.DUMMYFUNCTION("""COMPUTED_VALUE"""),1347248.0)</f>
        <v>1347248</v>
      </c>
      <c r="C383" t="str">
        <f>IFERROR(__xludf.DUMMYFUNCTION("""COMPUTED_VALUE"""),"pt")</f>
        <v>pt</v>
      </c>
      <c r="D383" t="str">
        <f>IFERROR(__xludf.DUMMYFUNCTION("""COMPUTED_VALUE"""),"Automação de Testes com Selenium WebDriver em Java")</f>
        <v>Automação de Testes com Selenium WebDriver em Java</v>
      </c>
      <c r="E383" t="str">
        <f>IFERROR(__xludf.DUMMYFUNCTION("""COMPUTED_VALUE"""),"Automation of tests with Selenium WebDriver in Java")</f>
        <v>Automation of tests with Selenium WebDriver in Java</v>
      </c>
      <c r="F383">
        <f>IFERROR(__xludf.DUMMYFUNCTION("""COMPUTED_VALUE"""),3.116863E7)</f>
        <v>31168630</v>
      </c>
      <c r="G383" t="str">
        <f>IFERROR(__xludf.DUMMYFUNCTION("""COMPUTED_VALUE"""),"Júlio de Lima")</f>
        <v>Júlio de Lima</v>
      </c>
      <c r="H383" t="str">
        <f>IFERROR(__xludf.DUMMYFUNCTION("""COMPUTED_VALUE"""),"Instructor Request- No Detail")</f>
        <v>Instructor Request- No Detail</v>
      </c>
      <c r="I383" t="str">
        <f>IFERROR(__xludf.DUMMYFUNCTION("""COMPUTED_VALUE"""),"Development")</f>
        <v>Development</v>
      </c>
      <c r="J383" t="str">
        <f>IFERROR(__xludf.DUMMYFUNCTION("""COMPUTED_VALUE"""),"Software Testing")</f>
        <v>Software Testing</v>
      </c>
      <c r="K383" s="155">
        <f>IFERROR(__xludf.DUMMYFUNCTION("""COMPUTED_VALUE"""),2286517.0)</f>
        <v>2286517</v>
      </c>
      <c r="L383" s="140" t="str">
        <f>IFERROR(__xludf.DUMMYFUNCTION("""COMPUTED_VALUE"""),"Processo de Automação de Teste Com Selenium WebDriver e Java")</f>
        <v>Processo de Automação de Teste Com Selenium WebDriver e Java</v>
      </c>
      <c r="N383" s="140" t="str">
        <f>IFERROR(__xludf.DUMMYFUNCTION("""COMPUTED_VALUE"""),"")</f>
        <v/>
      </c>
    </row>
    <row r="384">
      <c r="A384" s="143">
        <f>IFERROR(__xludf.DUMMYFUNCTION("""COMPUTED_VALUE"""),44319.0)</f>
        <v>44319</v>
      </c>
      <c r="B384">
        <f>IFERROR(__xludf.DUMMYFUNCTION("""COMPUTED_VALUE"""),3642154.0)</f>
        <v>3642154</v>
      </c>
      <c r="C384" t="str">
        <f>IFERROR(__xludf.DUMMYFUNCTION("""COMPUTED_VALUE"""),"en")</f>
        <v>en</v>
      </c>
      <c r="D384" t="str">
        <f>IFERROR(__xludf.DUMMYFUNCTION("""COMPUTED_VALUE"""),"ITIL 4 MP Transition (Unofficial) - 4 Practice Exams")</f>
        <v>ITIL 4 MP Transition (Unofficial) - 4 Practice Exams</v>
      </c>
      <c r="E384" t="str">
        <f>IFERROR(__xludf.DUMMYFUNCTION("""COMPUTED_VALUE"""),"ITIL 4 MP Transition (Unofficial) - 4 Practice Exams")</f>
        <v>ITIL 4 MP Transition (Unofficial) - 4 Practice Exams</v>
      </c>
      <c r="F384">
        <f>IFERROR(__xludf.DUMMYFUNCTION("""COMPUTED_VALUE"""),7.3652344E7)</f>
        <v>73652344</v>
      </c>
      <c r="G384" t="str">
        <f>IFERROR(__xludf.DUMMYFUNCTION("""COMPUTED_VALUE"""),"ELIO PERCESEPE | ACCREDITED LEAD TRAINER")</f>
        <v>ELIO PERCESEPE | ACCREDITED LEAD TRAINER</v>
      </c>
      <c r="H384" t="str">
        <f>IFERROR(__xludf.DUMMYFUNCTION("""COMPUTED_VALUE"""),"T&amp;S")</f>
        <v>T&amp;S</v>
      </c>
      <c r="I384" t="str">
        <f>IFERROR(__xludf.DUMMYFUNCTION("""COMPUTED_VALUE"""),"IT Operations")</f>
        <v>IT Operations</v>
      </c>
      <c r="J384" t="str">
        <f>IFERROR(__xludf.DUMMYFUNCTION("""COMPUTED_VALUE"""),"IT Certifications")</f>
        <v>IT Certifications</v>
      </c>
    </row>
    <row r="385">
      <c r="A385" s="143">
        <f>IFERROR(__xludf.DUMMYFUNCTION("""COMPUTED_VALUE"""),44327.0)</f>
        <v>44327</v>
      </c>
      <c r="B385">
        <f>IFERROR(__xludf.DUMMYFUNCTION("""COMPUTED_VALUE"""),472444.0)</f>
        <v>472444</v>
      </c>
      <c r="C385" t="str">
        <f>IFERROR(__xludf.DUMMYFUNCTION("""COMPUTED_VALUE"""),"en")</f>
        <v>en</v>
      </c>
      <c r="D385" t="str">
        <f>IFERROR(__xludf.DUMMYFUNCTION("""COMPUTED_VALUE"""),"TERADATA: Data Warehousing technology")</f>
        <v>TERADATA: Data Warehousing technology</v>
      </c>
      <c r="E385" t="str">
        <f>IFERROR(__xludf.DUMMYFUNCTION("""COMPUTED_VALUE"""),"TERADATA: Data Warehousing technology")</f>
        <v>TERADATA: Data Warehousing technology</v>
      </c>
      <c r="F385">
        <f>IFERROR(__xludf.DUMMYFUNCTION("""COMPUTED_VALUE"""),862417.0)</f>
        <v>862417</v>
      </c>
      <c r="G385" t="str">
        <f>IFERROR(__xludf.DUMMYFUNCTION("""COMPUTED_VALUE"""),"Jigar Vora")</f>
        <v>Jigar Vora</v>
      </c>
      <c r="H385" t="str">
        <f>IFERROR(__xludf.DUMMYFUNCTION("""COMPUTED_VALUE"""),"T&amp;S")</f>
        <v>T&amp;S</v>
      </c>
      <c r="I385" t="str">
        <f>IFERROR(__xludf.DUMMYFUNCTION("""COMPUTED_VALUE"""),"IT Operations")</f>
        <v>IT Operations</v>
      </c>
      <c r="J385" t="str">
        <f>IFERROR(__xludf.DUMMYFUNCTION("""COMPUTED_VALUE"""),"IT Certifications")</f>
        <v>IT Certifications</v>
      </c>
      <c r="K385" s="155">
        <f>IFERROR(__xludf.DUMMYFUNCTION("""COMPUTED_VALUE"""),3824370.0)</f>
        <v>3824370</v>
      </c>
      <c r="L385" s="140" t="str">
        <f>IFERROR(__xludf.DUMMYFUNCTION("""COMPUTED_VALUE"""),"SQL - Teradata SQL for Data Science and Data Analytics 2021")</f>
        <v>SQL - Teradata SQL for Data Science and Data Analytics 2021</v>
      </c>
    </row>
    <row r="386">
      <c r="A386" s="143">
        <f>IFERROR(__xludf.DUMMYFUNCTION("""COMPUTED_VALUE"""),44330.0)</f>
        <v>44330</v>
      </c>
      <c r="B386">
        <f>IFERROR(__xludf.DUMMYFUNCTION("""COMPUTED_VALUE"""),1314986.0)</f>
        <v>1314986</v>
      </c>
      <c r="C386" t="str">
        <f>IFERROR(__xludf.DUMMYFUNCTION("""COMPUTED_VALUE"""),"tr")</f>
        <v>tr</v>
      </c>
      <c r="D386" t="str">
        <f>IFERROR(__xludf.DUMMYFUNCTION("""COMPUTED_VALUE"""),"Python 3: A' dan Z' ye Programlama")</f>
        <v>Python 3: A' dan Z' ye Programlama</v>
      </c>
      <c r="E386" t="str">
        <f>IFERROR(__xludf.DUMMYFUNCTION("""COMPUTED_VALUE"""),"Python 3: Programming from Z to Z")</f>
        <v>Python 3: Programming from Z to Z</v>
      </c>
      <c r="F386">
        <f>IFERROR(__xludf.DUMMYFUNCTION("""COMPUTED_VALUE"""),1.6262164E7)</f>
        <v>16262164</v>
      </c>
      <c r="G386" t="str">
        <f>IFERROR(__xludf.DUMMYFUNCTION("""COMPUTED_VALUE"""),"Volkan Tasci")</f>
        <v>Volkan Tasci</v>
      </c>
      <c r="H386" t="str">
        <f>IFERROR(__xludf.DUMMYFUNCTION("""COMPUTED_VALUE"""),"T&amp;S")</f>
        <v>T&amp;S</v>
      </c>
      <c r="I386" t="str">
        <f>IFERROR(__xludf.DUMMYFUNCTION("""COMPUTED_VALUE"""),"Development")</f>
        <v>Development</v>
      </c>
      <c r="J386" t="str">
        <f>IFERROR(__xludf.DUMMYFUNCTION("""COMPUTED_VALUE"""),"Programming Languages")</f>
        <v>Programming Languages</v>
      </c>
      <c r="K386">
        <f>IFERROR(__xludf.DUMMYFUNCTION("""COMPUTED_VALUE"""),2734880.0)</f>
        <v>2734880</v>
      </c>
      <c r="L386" s="140" t="str">
        <f>IFERROR(__xludf.DUMMYFUNCTION("""COMPUTED_VALUE"""),"Python 3: Sıfırdan Programcılık Mesleğine")</f>
        <v>Python 3: Sıfırdan Programcılık Mesleğine</v>
      </c>
    </row>
    <row r="387">
      <c r="A387" s="143">
        <f>IFERROR(__xludf.DUMMYFUNCTION("""COMPUTED_VALUE"""),44330.0)</f>
        <v>44330</v>
      </c>
      <c r="B387">
        <f>IFERROR(__xludf.DUMMYFUNCTION("""COMPUTED_VALUE"""),1421288.0)</f>
        <v>1421288</v>
      </c>
      <c r="C387" t="str">
        <f>IFERROR(__xludf.DUMMYFUNCTION("""COMPUTED_VALUE"""),"en")</f>
        <v>en</v>
      </c>
      <c r="D387" t="str">
        <f>IFERROR(__xludf.DUMMYFUNCTION("""COMPUTED_VALUE"""),"Infinite Mind: Acquire Photographic Memory &amp; Become a Genius")</f>
        <v>Infinite Mind: Acquire Photographic Memory &amp; Become a Genius</v>
      </c>
      <c r="E387" t="str">
        <f>IFERROR(__xludf.DUMMYFUNCTION("""COMPUTED_VALUE"""),"Infinite Mind: Acquire Photographic Memory &amp; Become a Genius")</f>
        <v>Infinite Mind: Acquire Photographic Memory &amp; Become a Genius</v>
      </c>
      <c r="F387">
        <f>IFERROR(__xludf.DUMMYFUNCTION("""COMPUTED_VALUE"""),1.874522E7)</f>
        <v>18745220</v>
      </c>
      <c r="G387" t="str">
        <f>IFERROR(__xludf.DUMMYFUNCTION("""COMPUTED_VALUE"""),"Nasif Sufian")</f>
        <v>Nasif Sufian</v>
      </c>
      <c r="H387" t="str">
        <f>IFERROR(__xludf.DUMMYFUNCTION("""COMPUTED_VALUE"""),"T&amp;S")</f>
        <v>T&amp;S</v>
      </c>
      <c r="I387" t="str">
        <f>IFERROR(__xludf.DUMMYFUNCTION("""COMPUTED_VALUE"""),"Personal Development")</f>
        <v>Personal Development</v>
      </c>
      <c r="J387" t="str">
        <f>IFERROR(__xludf.DUMMYFUNCTION("""COMPUTED_VALUE"""),"Personal Growth")</f>
        <v>Personal Growth</v>
      </c>
      <c r="K387" s="155">
        <f>IFERROR(__xludf.DUMMYFUNCTION("""COMPUTED_VALUE"""),591930.0)</f>
        <v>591930</v>
      </c>
      <c r="L387" s="140" t="str">
        <f>IFERROR(__xludf.DUMMYFUNCTION("""COMPUTED_VALUE"""),"Become a SuperLearner® 2: Learn Speed Reading &amp; Boost Memory")</f>
        <v>Become a SuperLearner® 2: Learn Speed Reading &amp; Boost Memory</v>
      </c>
      <c r="M387" s="155">
        <f>IFERROR(__xludf.DUMMYFUNCTION("""COMPUTED_VALUE"""),571876.0)</f>
        <v>571876</v>
      </c>
      <c r="N387" s="140" t="str">
        <f>IFERROR(__xludf.DUMMYFUNCTION("""COMPUTED_VALUE"""),"10X SUPERHUMAN Learning: Speed Reading &amp; Memory Booster")</f>
        <v>10X SUPERHUMAN Learning: Speed Reading &amp; Memory Booster</v>
      </c>
    </row>
    <row r="388">
      <c r="A388" s="143">
        <f>IFERROR(__xludf.DUMMYFUNCTION("""COMPUTED_VALUE"""),44330.0)</f>
        <v>44330</v>
      </c>
      <c r="B388">
        <f>IFERROR(__xludf.DUMMYFUNCTION("""COMPUTED_VALUE"""),2976966.0)</f>
        <v>2976966</v>
      </c>
      <c r="C388" t="str">
        <f>IFERROR(__xludf.DUMMYFUNCTION("""COMPUTED_VALUE"""),"tr")</f>
        <v>tr</v>
      </c>
      <c r="D388" t="str">
        <f>IFERROR(__xludf.DUMMYFUNCTION("""COMPUTED_VALUE"""),"Docker ve Swarm Orkestrasyon")</f>
        <v>Docker ve Swarm Orkestrasyon</v>
      </c>
      <c r="E388" t="str">
        <f>IFERROR(__xludf.DUMMYFUNCTION("""COMPUTED_VALUE"""),"Docker and swarm orchestration")</f>
        <v>Docker and swarm orchestration</v>
      </c>
      <c r="F388">
        <f>IFERROR(__xludf.DUMMYFUNCTION("""COMPUTED_VALUE"""),1.6262164E7)</f>
        <v>16262164</v>
      </c>
      <c r="G388" t="str">
        <f>IFERROR(__xludf.DUMMYFUNCTION("""COMPUTED_VALUE"""),"Volkan Tasci")</f>
        <v>Volkan Tasci</v>
      </c>
      <c r="H388" t="str">
        <f>IFERROR(__xludf.DUMMYFUNCTION("""COMPUTED_VALUE"""),"T&amp;S")</f>
        <v>T&amp;S</v>
      </c>
      <c r="I388" t="str">
        <f>IFERROR(__xludf.DUMMYFUNCTION("""COMPUTED_VALUE"""),"Development")</f>
        <v>Development</v>
      </c>
      <c r="J388" t="str">
        <f>IFERROR(__xludf.DUMMYFUNCTION("""COMPUTED_VALUE"""),"Development Tools")</f>
        <v>Development Tools</v>
      </c>
      <c r="K388" s="155">
        <f>IFERROR(__xludf.DUMMYFUNCTION("""COMPUTED_VALUE"""),2293755.0)</f>
        <v>2293755</v>
      </c>
      <c r="L388" s="140" t="str">
        <f>IFERROR(__xludf.DUMMYFUNCTION("""COMPUTED_VALUE"""),"Docker: A'dan Z'ye Tüm Yönleriyle")</f>
        <v>Docker: A'dan Z'ye Tüm Yönleriyle</v>
      </c>
      <c r="M388" s="155">
        <f>IFERROR(__xludf.DUMMYFUNCTION("""COMPUTED_VALUE"""),2300078.0)</f>
        <v>2300078</v>
      </c>
      <c r="N388" s="140" t="str">
        <f>IFERROR(__xludf.DUMMYFUNCTION("""COMPUTED_VALUE"""),"Docker: Sıfırdan Tüm Yönleriyle Öğrenin (İddialı)")</f>
        <v>Docker: Sıfırdan Tüm Yönleriyle Öğrenin (İddialı)</v>
      </c>
    </row>
    <row r="389">
      <c r="A389" s="143">
        <f>IFERROR(__xludf.DUMMYFUNCTION("""COMPUTED_VALUE"""),44340.0)</f>
        <v>44340</v>
      </c>
      <c r="B389">
        <f>IFERROR(__xludf.DUMMYFUNCTION("""COMPUTED_VALUE"""),3914646.0)</f>
        <v>3914646</v>
      </c>
      <c r="C389" t="str">
        <f>IFERROR(__xludf.DUMMYFUNCTION("""COMPUTED_VALUE"""),"en")</f>
        <v>en</v>
      </c>
      <c r="D389" t="str">
        <f>IFERROR(__xludf.DUMMYFUNCTION("""COMPUTED_VALUE"""),"Python Data Science Bootcamp with 5 Data Science Projects")</f>
        <v>Python Data Science Bootcamp with 5 Data Science Projects</v>
      </c>
      <c r="E389" t="str">
        <f>IFERROR(__xludf.DUMMYFUNCTION("""COMPUTED_VALUE"""),"Python Data Science Bootcamp with 5 Data Science Projects")</f>
        <v>Python Data Science Bootcamp with 5 Data Science Projects</v>
      </c>
      <c r="F389">
        <f>IFERROR(__xludf.DUMMYFUNCTION("""COMPUTED_VALUE"""),1.2686184E7)</f>
        <v>12686184</v>
      </c>
      <c r="G389" t="str">
        <f>IFERROR(__xludf.DUMMYFUNCTION("""COMPUTED_VALUE"""),"Data Is Good Team")</f>
        <v>Data Is Good Team</v>
      </c>
      <c r="H389" t="str">
        <f>IFERROR(__xludf.DUMMYFUNCTION("""COMPUTED_VALUE"""),"T&amp;S")</f>
        <v>T&amp;S</v>
      </c>
      <c r="I389" t="str">
        <f>IFERROR(__xludf.DUMMYFUNCTION("""COMPUTED_VALUE"""),"Data Science")</f>
        <v>Data Science</v>
      </c>
      <c r="J389" t="str">
        <f>IFERROR(__xludf.DUMMYFUNCTION("""COMPUTED_VALUE"""),"Analytics")</f>
        <v>Analytics</v>
      </c>
      <c r="K389">
        <f>IFERROR(__xludf.DUMMYFUNCTION("""COMPUTED_VALUE"""),1754098.0)</f>
        <v>1754098</v>
      </c>
      <c r="L389" s="140" t="str">
        <f>IFERROR(__xludf.DUMMYFUNCTION("""COMPUTED_VALUE"""),"The Data Science Course 2021: Complete Data Science Bootcamp")</f>
        <v>The Data Science Course 2021: Complete Data Science Bootcamp</v>
      </c>
      <c r="M389" s="155">
        <f>IFERROR(__xludf.DUMMYFUNCTION("""COMPUTED_VALUE"""),2511476.0)</f>
        <v>2511476</v>
      </c>
      <c r="N389" s="140" t="str">
        <f>IFERROR(__xludf.DUMMYFUNCTION("""COMPUTED_VALUE"""),"Complete Machine Learning &amp; Data Science Bootcamp 2021")</f>
        <v>Complete Machine Learning &amp; Data Science Bootcamp 2021</v>
      </c>
    </row>
    <row r="390">
      <c r="A390" s="143">
        <f>IFERROR(__xludf.DUMMYFUNCTION("""COMPUTED_VALUE"""),44347.0)</f>
        <v>44347</v>
      </c>
      <c r="B390">
        <f>IFERROR(__xludf.DUMMYFUNCTION("""COMPUTED_VALUE"""),413618.0)</f>
        <v>413618</v>
      </c>
      <c r="C390" t="str">
        <f>IFERROR(__xludf.DUMMYFUNCTION("""COMPUTED_VALUE"""),"en")</f>
        <v>en</v>
      </c>
      <c r="D390" t="str">
        <f>IFERROR(__xludf.DUMMYFUNCTION("""COMPUTED_VALUE"""),"SASS - Beginner Crash Course")</f>
        <v>SASS - Beginner Crash Course</v>
      </c>
      <c r="E390" t="str">
        <f>IFERROR(__xludf.DUMMYFUNCTION("""COMPUTED_VALUE"""),"SASS - Beginner Crash Course")</f>
        <v>SASS - Beginner Crash Course</v>
      </c>
      <c r="F390">
        <f>IFERROR(__xludf.DUMMYFUNCTION("""COMPUTED_VALUE"""),843892.0)</f>
        <v>843892</v>
      </c>
      <c r="G390" t="str">
        <f>IFERROR(__xludf.DUMMYFUNCTION("""COMPUTED_VALUE"""),"Sandra L")</f>
        <v>Sandra L</v>
      </c>
      <c r="H390" t="str">
        <f>IFERROR(__xludf.DUMMYFUNCTION("""COMPUTED_VALUE"""),"3 Flags")</f>
        <v>3 Flags</v>
      </c>
      <c r="I390" t="str">
        <f>IFERROR(__xludf.DUMMYFUNCTION("""COMPUTED_VALUE"""),"Development")</f>
        <v>Development</v>
      </c>
      <c r="J390" t="str">
        <f>IFERROR(__xludf.DUMMYFUNCTION("""COMPUTED_VALUE"""),"Web Development")</f>
        <v>Web Development</v>
      </c>
    </row>
    <row r="391">
      <c r="A391" s="143">
        <f>IFERROR(__xludf.DUMMYFUNCTION("""COMPUTED_VALUE"""),44351.0)</f>
        <v>44351</v>
      </c>
      <c r="B391">
        <f>IFERROR(__xludf.DUMMYFUNCTION("""COMPUTED_VALUE"""),3671038.0)</f>
        <v>3671038</v>
      </c>
      <c r="C391" t="str">
        <f>IFERROR(__xludf.DUMMYFUNCTION("""COMPUTED_VALUE"""),"en")</f>
        <v>en</v>
      </c>
      <c r="D391" t="str">
        <f>IFERROR(__xludf.DUMMYFUNCTION("""COMPUTED_VALUE"""),"Process Improvement")</f>
        <v>Process Improvement</v>
      </c>
      <c r="E391" t="str">
        <f>IFERROR(__xludf.DUMMYFUNCTION("""COMPUTED_VALUE"""),"Process Improvement")</f>
        <v>Process Improvement</v>
      </c>
      <c r="H391" t="str">
        <f>IFERROR(__xludf.DUMMYFUNCTION("""COMPUTED_VALUE"""),"T&amp;S")</f>
        <v>T&amp;S</v>
      </c>
      <c r="I391" t="str">
        <f>IFERROR(__xludf.DUMMYFUNCTION("""COMPUTED_VALUE"""),"Project Management &amp; Operations")</f>
        <v>Project Management &amp; Operations</v>
      </c>
      <c r="J391" t="str">
        <f>IFERROR(__xludf.DUMMYFUNCTION("""COMPUTED_VALUE"""),"Operations Management")</f>
        <v>Operations Management</v>
      </c>
      <c r="K391">
        <f>IFERROR(__xludf.DUMMYFUNCTION("""COMPUTED_VALUE"""),2340560.0)</f>
        <v>2340560</v>
      </c>
      <c r="L391" s="140" t="str">
        <f>IFERROR(__xludf.DUMMYFUNCTION("""COMPUTED_VALUE"""),"Leadership, Business Process Improvement, &amp; Process Mapping!")</f>
        <v>Leadership, Business Process Improvement, &amp; Process Mapping!</v>
      </c>
    </row>
    <row r="392">
      <c r="A392" s="143">
        <f>IFERROR(__xludf.DUMMYFUNCTION("""COMPUTED_VALUE"""),44351.0)</f>
        <v>44351</v>
      </c>
      <c r="B392">
        <f>IFERROR(__xludf.DUMMYFUNCTION("""COMPUTED_VALUE"""),1081670.0)</f>
        <v>1081670</v>
      </c>
      <c r="C392" t="str">
        <f>IFERROR(__xludf.DUMMYFUNCTION("""COMPUTED_VALUE"""),"en")</f>
        <v>en</v>
      </c>
      <c r="D392" t="str">
        <f>IFERROR(__xludf.DUMMYFUNCTION("""COMPUTED_VALUE"""),"UAS/Drone Remote Pilot Test Prep for Part 107")</f>
        <v>UAS/Drone Remote Pilot Test Prep for Part 107</v>
      </c>
      <c r="E392" t="str">
        <f>IFERROR(__xludf.DUMMYFUNCTION("""COMPUTED_VALUE"""),"UAS/Drone Remote Pilot Test Prep for Part 107")</f>
        <v>UAS/Drone Remote Pilot Test Prep for Part 107</v>
      </c>
      <c r="F392">
        <f>IFERROR(__xludf.DUMMYFUNCTION("""COMPUTED_VALUE"""),1.5381238E7)</f>
        <v>15381238</v>
      </c>
      <c r="G392" t="str">
        <f>IFERROR(__xludf.DUMMYFUNCTION("""COMPUTED_VALUE"""),"Greg Reverdiau")</f>
        <v>Greg Reverdiau</v>
      </c>
      <c r="H392" t="str">
        <f>IFERROR(__xludf.DUMMYFUNCTION("""COMPUTED_VALUE"""),"Instructor Request- Opted Out")</f>
        <v>Instructor Request- Opted Out</v>
      </c>
      <c r="I392" t="str">
        <f>IFERROR(__xludf.DUMMYFUNCTION("""COMPUTED_VALUE"""),"IT Operations")</f>
        <v>IT Operations</v>
      </c>
      <c r="J392" t="str">
        <f>IFERROR(__xludf.DUMMYFUNCTION("""COMPUTED_VALUE"""),"Hardware")</f>
        <v>Hardware</v>
      </c>
    </row>
    <row r="393">
      <c r="A393" s="143">
        <f>IFERROR(__xludf.DUMMYFUNCTION("""COMPUTED_VALUE"""),44358.0)</f>
        <v>44358</v>
      </c>
      <c r="B393">
        <f>IFERROR(__xludf.DUMMYFUNCTION("""COMPUTED_VALUE"""),3118336.0)</f>
        <v>3118336</v>
      </c>
      <c r="C393" t="str">
        <f>IFERROR(__xludf.DUMMYFUNCTION("""COMPUTED_VALUE"""),"en")</f>
        <v>en</v>
      </c>
      <c r="D393" t="str">
        <f>IFERROR(__xludf.DUMMYFUNCTION("""COMPUTED_VALUE"""),"Tally Erp 9 + Tally Prime with GST 2021 - Certificate Course")</f>
        <v>Tally Erp 9 + Tally Prime with GST 2021 - Certificate Course</v>
      </c>
      <c r="E393" t="str">
        <f>IFERROR(__xludf.DUMMYFUNCTION("""COMPUTED_VALUE"""),"Tally Erp 9 + Tally Prime with GST 2021 - Certificate Course")</f>
        <v>Tally Erp 9 + Tally Prime with GST 2021 - Certificate Course</v>
      </c>
      <c r="F393">
        <f>IFERROR(__xludf.DUMMYFUNCTION("""COMPUTED_VALUE"""),3.832718E7)</f>
        <v>38327180</v>
      </c>
      <c r="G393" t="str">
        <f>IFERROR(__xludf.DUMMYFUNCTION("""COMPUTED_VALUE"""),"K.R. Gupta")</f>
        <v>K.R. Gupta</v>
      </c>
      <c r="H393" t="str">
        <f>IFERROR(__xludf.DUMMYFUNCTION("""COMPUTED_VALUE"""),"T&amp;S")</f>
        <v>T&amp;S</v>
      </c>
      <c r="I393" t="str">
        <f>IFERROR(__xludf.DUMMYFUNCTION("""COMPUTED_VALUE"""),"Finance &amp; Accounting")</f>
        <v>Finance &amp; Accounting</v>
      </c>
      <c r="J393" t="str">
        <f>IFERROR(__xludf.DUMMYFUNCTION("""COMPUTED_VALUE"""),"Accounting Software")</f>
        <v>Accounting Software</v>
      </c>
      <c r="K393">
        <f>IFERROR(__xludf.DUMMYFUNCTION("""COMPUTED_VALUE"""),2942738.0)</f>
        <v>2942738</v>
      </c>
      <c r="L393" s="140" t="str">
        <f>IFERROR(__xludf.DUMMYFUNCTION("""COMPUTED_VALUE"""),"Complete Tally ERP 9 (GST) Course with Live Project 2021")</f>
        <v>Complete Tally ERP 9 (GST) Course with Live Project 2021</v>
      </c>
    </row>
    <row r="394">
      <c r="A394" s="143">
        <f>IFERROR(__xludf.DUMMYFUNCTION("""COMPUTED_VALUE"""),44361.0)</f>
        <v>44361</v>
      </c>
      <c r="B394">
        <f>IFERROR(__xludf.DUMMYFUNCTION("""COMPUTED_VALUE"""),2236572.0)</f>
        <v>2236572</v>
      </c>
      <c r="C394" t="str">
        <f>IFERROR(__xludf.DUMMYFUNCTION("""COMPUTED_VALUE"""),"en")</f>
        <v>en</v>
      </c>
      <c r="D394" t="str">
        <f>IFERROR(__xludf.DUMMYFUNCTION("""COMPUTED_VALUE"""),"DevOps Essentials")</f>
        <v>DevOps Essentials</v>
      </c>
      <c r="E394" t="str">
        <f>IFERROR(__xludf.DUMMYFUNCTION("""COMPUTED_VALUE"""),"DevOps Essentials")</f>
        <v>DevOps Essentials</v>
      </c>
      <c r="G394" t="str">
        <f>IFERROR(__xludf.DUMMYFUNCTION("""COMPUTED_VALUE"""),"Linux Academy")</f>
        <v>Linux Academy</v>
      </c>
      <c r="H394" t="str">
        <f>IFERROR(__xludf.DUMMYFUNCTION("""COMPUTED_VALUE"""),"T&amp;S")</f>
        <v>T&amp;S</v>
      </c>
      <c r="I394" t="str">
        <f>IFERROR(__xludf.DUMMYFUNCTION("""COMPUTED_VALUE"""),"Development")</f>
        <v>Development</v>
      </c>
      <c r="J394" t="str">
        <f>IFERROR(__xludf.DUMMYFUNCTION("""COMPUTED_VALUE"""),"Development Tools")</f>
        <v>Development Tools</v>
      </c>
      <c r="K394">
        <f>IFERROR(__xludf.DUMMYFUNCTION("""COMPUTED_VALUE"""),3321604.0)</f>
        <v>3321604</v>
      </c>
      <c r="L394" s="140" t="str">
        <f>IFERROR(__xludf.DUMMYFUNCTION("""COMPUTED_VALUE"""),"The DevOps Essentials - The Handbook")</f>
        <v>The DevOps Essentials - The Handbook</v>
      </c>
    </row>
    <row r="395">
      <c r="A395" s="143">
        <f>IFERROR(__xludf.DUMMYFUNCTION("""COMPUTED_VALUE"""),44361.0)</f>
        <v>44361</v>
      </c>
      <c r="B395">
        <f>IFERROR(__xludf.DUMMYFUNCTION("""COMPUTED_VALUE"""),964656.0)</f>
        <v>964656</v>
      </c>
      <c r="C395" t="str">
        <f>IFERROR(__xludf.DUMMYFUNCTION("""COMPUTED_VALUE"""),"en")</f>
        <v>en</v>
      </c>
      <c r="D395" t="str">
        <f>IFERROR(__xludf.DUMMYFUNCTION("""COMPUTED_VALUE"""),"AWS Concepts")</f>
        <v>AWS Concepts</v>
      </c>
      <c r="E395" t="str">
        <f>IFERROR(__xludf.DUMMYFUNCTION("""COMPUTED_VALUE"""),"AWS Concepts")</f>
        <v>AWS Concepts</v>
      </c>
      <c r="G395" t="str">
        <f>IFERROR(__xludf.DUMMYFUNCTION("""COMPUTED_VALUE"""),"Linux Academy")</f>
        <v>Linux Academy</v>
      </c>
      <c r="H395" t="str">
        <f>IFERROR(__xludf.DUMMYFUNCTION("""COMPUTED_VALUE"""),"T&amp;S")</f>
        <v>T&amp;S</v>
      </c>
      <c r="I395" t="str">
        <f>IFERROR(__xludf.DUMMYFUNCTION("""COMPUTED_VALUE"""),"Cloud Computing")</f>
        <v>Cloud Computing</v>
      </c>
      <c r="J395" t="str">
        <f>IFERROR(__xludf.DUMMYFUNCTION("""COMPUTED_VALUE"""),"Cloud Fundamentals")</f>
        <v>Cloud Fundamentals</v>
      </c>
      <c r="K395">
        <f>IFERROR(__xludf.DUMMYFUNCTION("""COMPUTED_VALUE"""),1108858.0)</f>
        <v>1108858</v>
      </c>
      <c r="L395" s="140" t="str">
        <f>IFERROR(__xludf.DUMMYFUNCTION("""COMPUTED_VALUE"""),"AWS Essentials")</f>
        <v>AWS Essentials</v>
      </c>
      <c r="M395" s="155">
        <f>IFERROR(__xludf.DUMMYFUNCTION("""COMPUTED_VALUE"""),3329962.0)</f>
        <v>3329962</v>
      </c>
      <c r="N395" s="140" t="str">
        <f>IFERROR(__xludf.DUMMYFUNCTION("""COMPUTED_VALUE"""),"Introduction to Cloud Computing on Amazon AWS for Beginners")</f>
        <v>Introduction to Cloud Computing on Amazon AWS for Beginners</v>
      </c>
    </row>
    <row r="396">
      <c r="A396" s="143">
        <f>IFERROR(__xludf.DUMMYFUNCTION("""COMPUTED_VALUE"""),44361.0)</f>
        <v>44361</v>
      </c>
      <c r="B396">
        <f>IFERROR(__xludf.DUMMYFUNCTION("""COMPUTED_VALUE"""),1845824.0)</f>
        <v>1845824</v>
      </c>
      <c r="C396" t="str">
        <f>IFERROR(__xludf.DUMMYFUNCTION("""COMPUTED_VALUE"""),"en")</f>
        <v>en</v>
      </c>
      <c r="D396" t="str">
        <f>IFERROR(__xludf.DUMMYFUNCTION("""COMPUTED_VALUE"""),"AWS Certified Solutions Architect - Associate")</f>
        <v>AWS Certified Solutions Architect - Associate</v>
      </c>
      <c r="E396" t="str">
        <f>IFERROR(__xludf.DUMMYFUNCTION("""COMPUTED_VALUE"""),"AWS Certified Solutions Architect - Associate")</f>
        <v>AWS Certified Solutions Architect - Associate</v>
      </c>
      <c r="G396" t="str">
        <f>IFERROR(__xludf.DUMMYFUNCTION("""COMPUTED_VALUE"""),"Linux Academy")</f>
        <v>Linux Academy</v>
      </c>
      <c r="H396" t="str">
        <f>IFERROR(__xludf.DUMMYFUNCTION("""COMPUTED_VALUE"""),"T&amp;S")</f>
        <v>T&amp;S</v>
      </c>
      <c r="I396" t="str">
        <f>IFERROR(__xludf.DUMMYFUNCTION("""COMPUTED_VALUE"""),"IT Operations")</f>
        <v>IT Operations</v>
      </c>
      <c r="J396" t="str">
        <f>IFERROR(__xludf.DUMMYFUNCTION("""COMPUTED_VALUE"""),"IT Certifications")</f>
        <v>IT Certifications</v>
      </c>
      <c r="K396">
        <f>IFERROR(__xludf.DUMMYFUNCTION("""COMPUTED_VALUE"""),2196488.0)</f>
        <v>2196488</v>
      </c>
      <c r="L396" s="140" t="str">
        <f>IFERROR(__xludf.DUMMYFUNCTION("""COMPUTED_VALUE"""),"Ultimate AWS Certified Solutions Architect Associate 2021")</f>
        <v>Ultimate AWS Certified Solutions Architect Associate 2021</v>
      </c>
    </row>
    <row r="397">
      <c r="A397" s="143">
        <f>IFERROR(__xludf.DUMMYFUNCTION("""COMPUTED_VALUE"""),44361.0)</f>
        <v>44361</v>
      </c>
      <c r="B397">
        <f>IFERROR(__xludf.DUMMYFUNCTION("""COMPUTED_VALUE"""),1824298.0)</f>
        <v>1824298</v>
      </c>
      <c r="C397" t="str">
        <f>IFERROR(__xludf.DUMMYFUNCTION("""COMPUTED_VALUE"""),"en")</f>
        <v>en</v>
      </c>
      <c r="D397" t="str">
        <f>IFERROR(__xludf.DUMMYFUNCTION("""COMPUTED_VALUE"""),"AWS Certified Developer - Associate")</f>
        <v>AWS Certified Developer - Associate</v>
      </c>
      <c r="E397" t="str">
        <f>IFERROR(__xludf.DUMMYFUNCTION("""COMPUTED_VALUE"""),"AWS Certified Developer - Associate")</f>
        <v>AWS Certified Developer - Associate</v>
      </c>
      <c r="G397" t="str">
        <f>IFERROR(__xludf.DUMMYFUNCTION("""COMPUTED_VALUE"""),"Linux Academy")</f>
        <v>Linux Academy</v>
      </c>
      <c r="H397" t="str">
        <f>IFERROR(__xludf.DUMMYFUNCTION("""COMPUTED_VALUE"""),"T&amp;S")</f>
        <v>T&amp;S</v>
      </c>
      <c r="I397" t="str">
        <f>IFERROR(__xludf.DUMMYFUNCTION("""COMPUTED_VALUE"""),"IT Operations")</f>
        <v>IT Operations</v>
      </c>
      <c r="J397" t="str">
        <f>IFERROR(__xludf.DUMMYFUNCTION("""COMPUTED_VALUE"""),"IT Certifications")</f>
        <v>IT Certifications</v>
      </c>
      <c r="K397">
        <f>IFERROR(__xludf.DUMMYFUNCTION("""COMPUTED_VALUE"""),1921420.0)</f>
        <v>1921420</v>
      </c>
      <c r="L397" s="140" t="str">
        <f>IFERROR(__xludf.DUMMYFUNCTION("""COMPUTED_VALUE"""),"Ultimate AWS Certified Developer Associate 2021 - NEW!")</f>
        <v>Ultimate AWS Certified Developer Associate 2021 - NEW!</v>
      </c>
    </row>
    <row r="398">
      <c r="A398" s="143">
        <f>IFERROR(__xludf.DUMMYFUNCTION("""COMPUTED_VALUE"""),44361.0)</f>
        <v>44361</v>
      </c>
      <c r="B398">
        <f>IFERROR(__xludf.DUMMYFUNCTION("""COMPUTED_VALUE"""),1466834.0)</f>
        <v>1466834</v>
      </c>
      <c r="C398" t="str">
        <f>IFERROR(__xludf.DUMMYFUNCTION("""COMPUTED_VALUE"""),"en")</f>
        <v>en</v>
      </c>
      <c r="D398" t="str">
        <f>IFERROR(__xludf.DUMMYFUNCTION("""COMPUTED_VALUE"""),"AWS Certified Cloud Practitioner (LEGACY)")</f>
        <v>AWS Certified Cloud Practitioner (LEGACY)</v>
      </c>
      <c r="E398" t="str">
        <f>IFERROR(__xludf.DUMMYFUNCTION("""COMPUTED_VALUE"""),"AWS Certified Cloud Practitioner (LEGACY)")</f>
        <v>AWS Certified Cloud Practitioner (LEGACY)</v>
      </c>
      <c r="G398" t="str">
        <f>IFERROR(__xludf.DUMMYFUNCTION("""COMPUTED_VALUE"""),"Linux Academy")</f>
        <v>Linux Academy</v>
      </c>
      <c r="H398" t="str">
        <f>IFERROR(__xludf.DUMMYFUNCTION("""COMPUTED_VALUE"""),"T&amp;S")</f>
        <v>T&amp;S</v>
      </c>
      <c r="I398" t="str">
        <f>IFERROR(__xludf.DUMMYFUNCTION("""COMPUTED_VALUE"""),"IT Operations")</f>
        <v>IT Operations</v>
      </c>
      <c r="J398" t="str">
        <f>IFERROR(__xludf.DUMMYFUNCTION("""COMPUTED_VALUE"""),"IT Certifications")</f>
        <v>IT Certifications</v>
      </c>
      <c r="K398">
        <f>IFERROR(__xludf.DUMMYFUNCTION("""COMPUTED_VALUE"""),3142166.0)</f>
        <v>3142166</v>
      </c>
      <c r="L398" s="140" t="str">
        <f>IFERROR(__xludf.DUMMYFUNCTION("""COMPUTED_VALUE"""),"[NEW] Ultimate AWS Certified Cloud Practitioner - 2021")</f>
        <v>[NEW] Ultimate AWS Certified Cloud Practitioner - 2021</v>
      </c>
    </row>
    <row r="399">
      <c r="A399" s="143">
        <f>IFERROR(__xludf.DUMMYFUNCTION("""COMPUTED_VALUE"""),44361.0)</f>
        <v>44361</v>
      </c>
      <c r="B399">
        <f>IFERROR(__xludf.DUMMYFUNCTION("""COMPUTED_VALUE"""),1311068.0)</f>
        <v>1311068</v>
      </c>
      <c r="C399" t="str">
        <f>IFERROR(__xludf.DUMMYFUNCTION("""COMPUTED_VALUE"""),"en")</f>
        <v>en</v>
      </c>
      <c r="D399" t="str">
        <f>IFERROR(__xludf.DUMMYFUNCTION("""COMPUTED_VALUE"""),"Red Hat Certified Systems Administrator Prep")</f>
        <v>Red Hat Certified Systems Administrator Prep</v>
      </c>
      <c r="E399" t="str">
        <f>IFERROR(__xludf.DUMMYFUNCTION("""COMPUTED_VALUE"""),"Red Hat Certified Systems Administrator Prep")</f>
        <v>Red Hat Certified Systems Administrator Prep</v>
      </c>
      <c r="G399" t="str">
        <f>IFERROR(__xludf.DUMMYFUNCTION("""COMPUTED_VALUE"""),"Linux Academy")</f>
        <v>Linux Academy</v>
      </c>
      <c r="H399" t="str">
        <f>IFERROR(__xludf.DUMMYFUNCTION("""COMPUTED_VALUE"""),"T&amp;S")</f>
        <v>T&amp;S</v>
      </c>
      <c r="I399" t="str">
        <f>IFERROR(__xludf.DUMMYFUNCTION("""COMPUTED_VALUE"""),"IT Operations")</f>
        <v>IT Operations</v>
      </c>
      <c r="J399" t="str">
        <f>IFERROR(__xludf.DUMMYFUNCTION("""COMPUTED_VALUE"""),"IT Certifications")</f>
        <v>IT Certifications</v>
      </c>
      <c r="K399">
        <f>IFERROR(__xludf.DUMMYFUNCTION("""COMPUTED_VALUE"""),1523066.0)</f>
        <v>1523066</v>
      </c>
      <c r="L399" s="140" t="str">
        <f>IFERROR(__xludf.DUMMYFUNCTION("""COMPUTED_VALUE"""),"Complete Linux Training Course to Get Your Dream IT Job 2021")</f>
        <v>Complete Linux Training Course to Get Your Dream IT Job 2021</v>
      </c>
    </row>
    <row r="400">
      <c r="A400" s="143">
        <f>IFERROR(__xludf.DUMMYFUNCTION("""COMPUTED_VALUE"""),44361.0)</f>
        <v>44361</v>
      </c>
      <c r="B400">
        <f>IFERROR(__xludf.DUMMYFUNCTION("""COMPUTED_VALUE"""),2231112.0)</f>
        <v>2231112</v>
      </c>
      <c r="C400" t="str">
        <f>IFERROR(__xludf.DUMMYFUNCTION("""COMPUTED_VALUE"""),"en")</f>
        <v>en</v>
      </c>
      <c r="D400" t="str">
        <f>IFERROR(__xludf.DUMMYFUNCTION("""COMPUTED_VALUE"""),"AWS Essentials (2019)")</f>
        <v>AWS Essentials (2019)</v>
      </c>
      <c r="E400" t="str">
        <f>IFERROR(__xludf.DUMMYFUNCTION("""COMPUTED_VALUE"""),"AWS Essentials (2019)")</f>
        <v>AWS Essentials (2019)</v>
      </c>
      <c r="G400" t="str">
        <f>IFERROR(__xludf.DUMMYFUNCTION("""COMPUTED_VALUE"""),"Linux Academy")</f>
        <v>Linux Academy</v>
      </c>
      <c r="H400" t="str">
        <f>IFERROR(__xludf.DUMMYFUNCTION("""COMPUTED_VALUE"""),"T&amp;S")</f>
        <v>T&amp;S</v>
      </c>
      <c r="I400" t="str">
        <f>IFERROR(__xludf.DUMMYFUNCTION("""COMPUTED_VALUE"""),"Cloud Computing")</f>
        <v>Cloud Computing</v>
      </c>
      <c r="J400" t="str">
        <f>IFERROR(__xludf.DUMMYFUNCTION("""COMPUTED_VALUE"""),"Cloud Fundamentals")</f>
        <v>Cloud Fundamentals</v>
      </c>
      <c r="K400">
        <f>IFERROR(__xludf.DUMMYFUNCTION("""COMPUTED_VALUE"""),3329962.0)</f>
        <v>3329962</v>
      </c>
      <c r="L400" s="140" t="str">
        <f>IFERROR(__xludf.DUMMYFUNCTION("""COMPUTED_VALUE"""),"Introduction to Cloud Computing on Amazon AWS for Beginners")</f>
        <v>Introduction to Cloud Computing on Amazon AWS for Beginners</v>
      </c>
    </row>
    <row r="401">
      <c r="A401" s="143">
        <f>IFERROR(__xludf.DUMMYFUNCTION("""COMPUTED_VALUE"""),44361.0)</f>
        <v>44361</v>
      </c>
      <c r="B401">
        <f>IFERROR(__xludf.DUMMYFUNCTION("""COMPUTED_VALUE"""),1047358.0)</f>
        <v>1047358</v>
      </c>
      <c r="C401" t="str">
        <f>IFERROR(__xludf.DUMMYFUNCTION("""COMPUTED_VALUE"""),"en")</f>
        <v>en</v>
      </c>
      <c r="D401" t="str">
        <f>IFERROR(__xludf.DUMMYFUNCTION("""COMPUTED_VALUE"""),"Serverless Concepts")</f>
        <v>Serverless Concepts</v>
      </c>
      <c r="E401" t="str">
        <f>IFERROR(__xludf.DUMMYFUNCTION("""COMPUTED_VALUE"""),"Serverless Concepts")</f>
        <v>Serverless Concepts</v>
      </c>
      <c r="G401" t="str">
        <f>IFERROR(__xludf.DUMMYFUNCTION("""COMPUTED_VALUE"""),"Linux Academy")</f>
        <v>Linux Academy</v>
      </c>
      <c r="H401" t="str">
        <f>IFERROR(__xludf.DUMMYFUNCTION("""COMPUTED_VALUE"""),"T&amp;S")</f>
        <v>T&amp;S</v>
      </c>
      <c r="I401" t="str">
        <f>IFERROR(__xludf.DUMMYFUNCTION("""COMPUTED_VALUE"""),"Cloud Computing")</f>
        <v>Cloud Computing</v>
      </c>
      <c r="J401" t="str">
        <f>IFERROR(__xludf.DUMMYFUNCTION("""COMPUTED_VALUE"""),"Cloud Fundamentals")</f>
        <v>Cloud Fundamentals</v>
      </c>
      <c r="K401">
        <f>IFERROR(__xludf.DUMMYFUNCTION("""COMPUTED_VALUE"""),3511854.0)</f>
        <v>3511854</v>
      </c>
      <c r="L401" s="140" t="str">
        <f>IFERROR(__xludf.DUMMYFUNCTION("""COMPUTED_VALUE"""),"AWS Lambda &amp; Azure Functions - Go Serverless")</f>
        <v>AWS Lambda &amp; Azure Functions - Go Serverless</v>
      </c>
      <c r="M401" s="155">
        <f>IFERROR(__xludf.DUMMYFUNCTION("""COMPUTED_VALUE"""),2604078.0)</f>
        <v>2604078</v>
      </c>
      <c r="N401" s="140" t="str">
        <f>IFERROR(__xludf.DUMMYFUNCTION("""COMPUTED_VALUE"""),"Google Cloud Platform (GCP) Fundamentals for Beginners")</f>
        <v>Google Cloud Platform (GCP) Fundamentals for Beginners</v>
      </c>
    </row>
    <row r="402">
      <c r="A402" s="143">
        <f>IFERROR(__xludf.DUMMYFUNCTION("""COMPUTED_VALUE"""),44361.0)</f>
        <v>44361</v>
      </c>
      <c r="B402">
        <f>IFERROR(__xludf.DUMMYFUNCTION("""COMPUTED_VALUE"""),1905402.0)</f>
        <v>1905402</v>
      </c>
      <c r="C402" t="str">
        <f>IFERROR(__xludf.DUMMYFUNCTION("""COMPUTED_VALUE"""),"en")</f>
        <v>en</v>
      </c>
      <c r="D402" t="str">
        <f>IFERROR(__xludf.DUMMYFUNCTION("""COMPUTED_VALUE"""),"AWS Certified SysOps Administrator - Associate")</f>
        <v>AWS Certified SysOps Administrator - Associate</v>
      </c>
      <c r="E402" t="str">
        <f>IFERROR(__xludf.DUMMYFUNCTION("""COMPUTED_VALUE"""),"AWS Certified SysOps Administrator - Associate")</f>
        <v>AWS Certified SysOps Administrator - Associate</v>
      </c>
      <c r="G402" t="str">
        <f>IFERROR(__xludf.DUMMYFUNCTION("""COMPUTED_VALUE"""),"Linux Academy")</f>
        <v>Linux Academy</v>
      </c>
      <c r="H402" t="str">
        <f>IFERROR(__xludf.DUMMYFUNCTION("""COMPUTED_VALUE"""),"T&amp;S")</f>
        <v>T&amp;S</v>
      </c>
      <c r="I402" t="str">
        <f>IFERROR(__xludf.DUMMYFUNCTION("""COMPUTED_VALUE"""),"IT Operations")</f>
        <v>IT Operations</v>
      </c>
      <c r="J402" t="str">
        <f>IFERROR(__xludf.DUMMYFUNCTION("""COMPUTED_VALUE"""),"IT Certifications")</f>
        <v>IT Certifications</v>
      </c>
      <c r="K402">
        <f>IFERROR(__xludf.DUMMYFUNCTION("""COMPUTED_VALUE"""),2051741.0)</f>
        <v>2051741</v>
      </c>
      <c r="L402" s="140" t="str">
        <f>IFERROR(__xludf.DUMMYFUNCTION("""COMPUTED_VALUE"""),"Ultimate AWS Certified SysOps Administrator Associate 2021")</f>
        <v>Ultimate AWS Certified SysOps Administrator Associate 2021</v>
      </c>
    </row>
    <row r="403">
      <c r="A403" s="143">
        <f>IFERROR(__xludf.DUMMYFUNCTION("""COMPUTED_VALUE"""),44361.0)</f>
        <v>44361</v>
      </c>
      <c r="B403">
        <f>IFERROR(__xludf.DUMMYFUNCTION("""COMPUTED_VALUE"""),1435072.0)</f>
        <v>1435072</v>
      </c>
      <c r="C403" t="str">
        <f>IFERROR(__xludf.DUMMYFUNCTION("""COMPUTED_VALUE"""),"en")</f>
        <v>en</v>
      </c>
      <c r="D403" t="str">
        <f>IFERROR(__xludf.DUMMYFUNCTION("""COMPUTED_VALUE"""),"Learn Amazon Web Services (AWS): The complete introduction")</f>
        <v>Learn Amazon Web Services (AWS): The complete introduction</v>
      </c>
      <c r="E403" t="str">
        <f>IFERROR(__xludf.DUMMYFUNCTION("""COMPUTED_VALUE"""),"Learn Amazon Web Services (AWS): The complete introduction")</f>
        <v>Learn Amazon Web Services (AWS): The complete introduction</v>
      </c>
      <c r="G403" t="str">
        <f>IFERROR(__xludf.DUMMYFUNCTION("""COMPUTED_VALUE"""),"Linux Academy")</f>
        <v>Linux Academy</v>
      </c>
      <c r="H403" t="str">
        <f>IFERROR(__xludf.DUMMYFUNCTION("""COMPUTED_VALUE"""),"T&amp;S")</f>
        <v>T&amp;S</v>
      </c>
      <c r="I403" t="str">
        <f>IFERROR(__xludf.DUMMYFUNCTION("""COMPUTED_VALUE"""),"Cloud Computing")</f>
        <v>Cloud Computing</v>
      </c>
      <c r="J403" t="str">
        <f>IFERROR(__xludf.DUMMYFUNCTION("""COMPUTED_VALUE"""),"Cloud Fundamentals")</f>
        <v>Cloud Fundamentals</v>
      </c>
      <c r="K403">
        <f>IFERROR(__xludf.DUMMYFUNCTION("""COMPUTED_VALUE"""),3329962.0)</f>
        <v>3329962</v>
      </c>
      <c r="L403" s="140" t="str">
        <f>IFERROR(__xludf.DUMMYFUNCTION("""COMPUTED_VALUE"""),"Introduction to Cloud Computing on Amazon AWS for Beginners")</f>
        <v>Introduction to Cloud Computing on Amazon AWS for Beginners</v>
      </c>
    </row>
    <row r="404">
      <c r="A404" s="143">
        <f>IFERROR(__xludf.DUMMYFUNCTION("""COMPUTED_VALUE"""),44369.0)</f>
        <v>44369</v>
      </c>
      <c r="B404">
        <f>IFERROR(__xludf.DUMMYFUNCTION("""COMPUTED_VALUE"""),4095874.0)</f>
        <v>4095874</v>
      </c>
      <c r="C404" t="str">
        <f>IFERROR(__xludf.DUMMYFUNCTION("""COMPUTED_VALUE"""),"en")</f>
        <v>en</v>
      </c>
      <c r="D404" t="str">
        <f>IFERROR(__xludf.DUMMYFUNCTION("""COMPUTED_VALUE"""),"MICROSOFT POWER BI DA-100 Certification Exam: Practice Test")</f>
        <v>MICROSOFT POWER BI DA-100 Certification Exam: Practice Test</v>
      </c>
      <c r="E404" t="str">
        <f>IFERROR(__xludf.DUMMYFUNCTION("""COMPUTED_VALUE"""),"MICROSOFT POWER BI DA-100 Certification Exam: Practice Test")</f>
        <v>MICROSOFT POWER BI DA-100 Certification Exam: Practice Test</v>
      </c>
      <c r="F404">
        <f>IFERROR(__xludf.DUMMYFUNCTION("""COMPUTED_VALUE"""),1.27209556E8)</f>
        <v>127209556</v>
      </c>
      <c r="H404" t="str">
        <f>IFERROR(__xludf.DUMMYFUNCTION("""COMPUTED_VALUE"""),"T&amp;S")</f>
        <v>T&amp;S</v>
      </c>
      <c r="I404" t="str">
        <f>IFERROR(__xludf.DUMMYFUNCTION("""COMPUTED_VALUE"""),"IT Operations")</f>
        <v>IT Operations</v>
      </c>
      <c r="J404" t="str">
        <f>IFERROR(__xludf.DUMMYFUNCTION("""COMPUTED_VALUE"""),"IT Certifications")</f>
        <v>IT Certifications</v>
      </c>
      <c r="K404">
        <f>IFERROR(__xludf.DUMMYFUNCTION("""COMPUTED_VALUE"""),3386922.0)</f>
        <v>3386922</v>
      </c>
      <c r="L404" s="140" t="str">
        <f>IFERROR(__xludf.DUMMYFUNCTION("""COMPUTED_VALUE"""),"MICROSOFT POWER BI DA-100 EXAM: Advanced 2021 Practice Test")</f>
        <v>MICROSOFT POWER BI DA-100 EXAM: Advanced 2021 Practice Test</v>
      </c>
    </row>
    <row r="405">
      <c r="A405" s="143">
        <f>IFERROR(__xludf.DUMMYFUNCTION("""COMPUTED_VALUE"""),44371.0)</f>
        <v>44371</v>
      </c>
      <c r="B405">
        <f>IFERROR(__xludf.DUMMYFUNCTION("""COMPUTED_VALUE"""),1518650.0)</f>
        <v>1518650</v>
      </c>
      <c r="C405" t="str">
        <f>IFERROR(__xludf.DUMMYFUNCTION("""COMPUTED_VALUE"""),"pt")</f>
        <v>pt</v>
      </c>
      <c r="D405" t="str">
        <f>IFERROR(__xludf.DUMMYFUNCTION("""COMPUTED_VALUE"""),"Gestão Ágil com Scrum - Preparatório certificação PSM I ™")</f>
        <v>Gestão Ágil com Scrum - Preparatório certificação PSM I ™</v>
      </c>
      <c r="E405" t="str">
        <f>IFERROR(__xludf.DUMMYFUNCTION("""COMPUTED_VALUE"""),"Agile Management with Scrum - PSM I ™ Certification Preparatory")</f>
        <v>Agile Management with Scrum - PSM I ™ Certification Preparatory</v>
      </c>
      <c r="F405">
        <f>IFERROR(__xludf.DUMMYFUNCTION("""COMPUTED_VALUE"""),2.7334774E7)</f>
        <v>27334774</v>
      </c>
      <c r="G405" t="str">
        <f>IFERROR(__xludf.DUMMYFUNCTION("""COMPUTED_VALUE"""),"Jonathan Maia")</f>
        <v>Jonathan Maia</v>
      </c>
      <c r="H405" t="str">
        <f>IFERROR(__xludf.DUMMYFUNCTION("""COMPUTED_VALUE"""),"Instructor Request- Opted Out")</f>
        <v>Instructor Request- Opted Out</v>
      </c>
      <c r="I405" t="str">
        <f>IFERROR(__xludf.DUMMYFUNCTION("""COMPUTED_VALUE"""),"Project Management &amp; Operations")</f>
        <v>Project Management &amp; Operations</v>
      </c>
      <c r="J405" t="str">
        <f>IFERROR(__xludf.DUMMYFUNCTION("""COMPUTED_VALUE"""),"Project Management Certifications")</f>
        <v>Project Management Certifications</v>
      </c>
      <c r="K405">
        <f>IFERROR(__xludf.DUMMYFUNCTION("""COMPUTED_VALUE"""),1030206.0)</f>
        <v>1030206</v>
      </c>
      <c r="L405" s="140" t="str">
        <f>IFERROR(__xludf.DUMMYFUNCTION("""COMPUTED_VALUE"""),"Certificação Scrum Master: Curso Preparatório COMPLETO")</f>
        <v>Certificação Scrum Master: Curso Preparatório COMPLETO</v>
      </c>
      <c r="N405" s="140" t="str">
        <f>IFERROR(__xludf.DUMMYFUNCTION("""COMPUTED_VALUE"""),"")</f>
        <v/>
      </c>
    </row>
    <row r="406">
      <c r="A406" s="143">
        <f>IFERROR(__xludf.DUMMYFUNCTION("""COMPUTED_VALUE"""),44371.0)</f>
        <v>44371</v>
      </c>
      <c r="B406">
        <f>IFERROR(__xludf.DUMMYFUNCTION("""COMPUTED_VALUE"""),2490968.0)</f>
        <v>2490968</v>
      </c>
      <c r="C406" t="str">
        <f>IFERROR(__xludf.DUMMYFUNCTION("""COMPUTED_VALUE"""),"en")</f>
        <v>en</v>
      </c>
      <c r="D406" t="str">
        <f>IFERROR(__xludf.DUMMYFUNCTION("""COMPUTED_VALUE"""),"Digital Oil and Gas")</f>
        <v>Digital Oil and Gas</v>
      </c>
      <c r="E406" t="str">
        <f>IFERROR(__xludf.DUMMYFUNCTION("""COMPUTED_VALUE"""),"Digital Oil and Gas")</f>
        <v>Digital Oil and Gas</v>
      </c>
      <c r="F406">
        <f>IFERROR(__xludf.DUMMYFUNCTION("""COMPUTED_VALUE"""),7.6860728E7)</f>
        <v>76860728</v>
      </c>
      <c r="G406" t="str">
        <f>IFERROR(__xludf.DUMMYFUNCTION("""COMPUTED_VALUE"""),"Geoffrey Cann")</f>
        <v>Geoffrey Cann</v>
      </c>
      <c r="H406" t="str">
        <f>IFERROR(__xludf.DUMMYFUNCTION("""COMPUTED_VALUE"""),"Instructor Request- Opted Out")</f>
        <v>Instructor Request- Opted Out</v>
      </c>
      <c r="I406" t="str">
        <f>IFERROR(__xludf.DUMMYFUNCTION("""COMPUTED_VALUE"""),"Data Science")</f>
        <v>Data Science</v>
      </c>
      <c r="J406" t="str">
        <f>IFERROR(__xludf.DUMMYFUNCTION("""COMPUTED_VALUE"""),"Analytics")</f>
        <v>Analytics</v>
      </c>
      <c r="L406" s="140" t="str">
        <f>IFERROR(__xludf.DUMMYFUNCTION("""COMPUTED_VALUE"""),"")</f>
        <v/>
      </c>
      <c r="N406" s="140" t="str">
        <f>IFERROR(__xludf.DUMMYFUNCTION("""COMPUTED_VALUE"""),"")</f>
        <v/>
      </c>
      <c r="O406" s="140" t="str">
        <f>IFERROR(__xludf.DUMMYFUNCTION("""COMPUTED_VALUE"""),"No Alternatives in Collection- 5/15/2021")</f>
        <v>No Alternatives in Collection- 5/15/2021</v>
      </c>
    </row>
    <row r="407">
      <c r="A407" s="143">
        <f>IFERROR(__xludf.DUMMYFUNCTION("""COMPUTED_VALUE"""),44371.0)</f>
        <v>44371</v>
      </c>
      <c r="B407">
        <f>IFERROR(__xludf.DUMMYFUNCTION("""COMPUTED_VALUE"""),974264.0)</f>
        <v>974264</v>
      </c>
      <c r="C407" t="str">
        <f>IFERROR(__xludf.DUMMYFUNCTION("""COMPUTED_VALUE"""),"de")</f>
        <v>de</v>
      </c>
      <c r="D407" t="str">
        <f>IFERROR(__xludf.DUMMYFUNCTION("""COMPUTED_VALUE"""),"Website erstellen - Wordpress Kurs für Anfänger")</f>
        <v>Website erstellen - Wordpress Kurs für Anfänger</v>
      </c>
      <c r="E407" t="str">
        <f>IFERROR(__xludf.DUMMYFUNCTION("""COMPUTED_VALUE"""),"Create website - WordPress course for beginners")</f>
        <v>Create website - WordPress course for beginners</v>
      </c>
      <c r="F407">
        <f>IFERROR(__xludf.DUMMYFUNCTION("""COMPUTED_VALUE"""),2.610551E7)</f>
        <v>26105510</v>
      </c>
      <c r="G407" t="str">
        <f>IFERROR(__xludf.DUMMYFUNCTION("""COMPUTED_VALUE"""),"Christoph-Moritz Reich")</f>
        <v>Christoph-Moritz Reich</v>
      </c>
      <c r="H407" t="str">
        <f>IFERROR(__xludf.DUMMYFUNCTION("""COMPUTED_VALUE"""),"Instructor Request- No Detail")</f>
        <v>Instructor Request- No Detail</v>
      </c>
      <c r="I407" t="str">
        <f>IFERROR(__xludf.DUMMYFUNCTION("""COMPUTED_VALUE"""),"Development")</f>
        <v>Development</v>
      </c>
      <c r="J407" t="str">
        <f>IFERROR(__xludf.DUMMYFUNCTION("""COMPUTED_VALUE"""),"Web Development")</f>
        <v>Web Development</v>
      </c>
      <c r="K407">
        <f>IFERROR(__xludf.DUMMYFUNCTION("""COMPUTED_VALUE"""),1565094.0)</f>
        <v>1565094</v>
      </c>
      <c r="L407" s="140" t="str">
        <f>IFERROR(__xludf.DUMMYFUNCTION("""COMPUTED_VALUE"""),"Wordpress Einfach &amp; Komplett: Erstelle deine eigene Website")</f>
        <v>Wordpress Einfach &amp; Komplett: Erstelle deine eigene Website</v>
      </c>
      <c r="M407" s="155">
        <f>IFERROR(__xludf.DUMMYFUNCTION("""COMPUTED_VALUE"""),1012816.0)</f>
        <v>1012816</v>
      </c>
      <c r="N407" s="140" t="str">
        <f>IFERROR(__xludf.DUMMYFUNCTION("""COMPUTED_VALUE"""),"WordPress für Macher und Anwender - vom Anfänger zum Profi")</f>
        <v>WordPress für Macher und Anwender - vom Anfänger zum Profi</v>
      </c>
    </row>
    <row r="408">
      <c r="A408" s="143">
        <f>IFERROR(__xludf.DUMMYFUNCTION("""COMPUTED_VALUE"""),44371.0)</f>
        <v>44371</v>
      </c>
      <c r="B408">
        <f>IFERROR(__xludf.DUMMYFUNCTION("""COMPUTED_VALUE"""),1649658.0)</f>
        <v>1649658</v>
      </c>
      <c r="C408" t="str">
        <f>IFERROR(__xludf.DUMMYFUNCTION("""COMPUTED_VALUE"""),"pt")</f>
        <v>pt</v>
      </c>
      <c r="D408" t="str">
        <f>IFERROR(__xludf.DUMMYFUNCTION("""COMPUTED_VALUE"""),"Administração Empreendedora e Startups")</f>
        <v>Administração Empreendedora e Startups</v>
      </c>
      <c r="E408" t="str">
        <f>IFERROR(__xludf.DUMMYFUNCTION("""COMPUTED_VALUE"""),"Entrepreneurial Administration and Startups")</f>
        <v>Entrepreneurial Administration and Startups</v>
      </c>
      <c r="F408">
        <f>IFERROR(__xludf.DUMMYFUNCTION("""COMPUTED_VALUE"""),604558.0)</f>
        <v>604558</v>
      </c>
      <c r="G408" t="str">
        <f>IFERROR(__xludf.DUMMYFUNCTION("""COMPUTED_VALUE"""),"Marcelo Barcia")</f>
        <v>Marcelo Barcia</v>
      </c>
      <c r="H408" t="str">
        <f>IFERROR(__xludf.DUMMYFUNCTION("""COMPUTED_VALUE"""),"Instructor Request- Opted Out")</f>
        <v>Instructor Request- Opted Out</v>
      </c>
      <c r="I408" t="str">
        <f>IFERROR(__xludf.DUMMYFUNCTION("""COMPUTED_VALUE"""),"Leadership &amp; Management")</f>
        <v>Leadership &amp; Management</v>
      </c>
      <c r="J408" t="str">
        <f>IFERROR(__xludf.DUMMYFUNCTION("""COMPUTED_VALUE"""),"Strategy")</f>
        <v>Strategy</v>
      </c>
      <c r="L408" s="140" t="str">
        <f>IFERROR(__xludf.DUMMYFUNCTION("""COMPUTED_VALUE"""),"")</f>
        <v/>
      </c>
      <c r="N408" s="140" t="str">
        <f>IFERROR(__xludf.DUMMYFUNCTION("""COMPUTED_VALUE"""),"")</f>
        <v/>
      </c>
      <c r="O408" s="140" t="str">
        <f>IFERROR(__xludf.DUMMYFUNCTION("""COMPUTED_VALUE"""),"No Alternatives in Collection- 5/15/2021")</f>
        <v>No Alternatives in Collection- 5/15/2021</v>
      </c>
    </row>
    <row r="409">
      <c r="A409" s="143">
        <f>IFERROR(__xludf.DUMMYFUNCTION("""COMPUTED_VALUE"""),44371.0)</f>
        <v>44371</v>
      </c>
      <c r="B409">
        <f>IFERROR(__xludf.DUMMYFUNCTION("""COMPUTED_VALUE"""),1145300.0)</f>
        <v>1145300</v>
      </c>
      <c r="C409" t="str">
        <f>IFERROR(__xludf.DUMMYFUNCTION("""COMPUTED_VALUE"""),"pt")</f>
        <v>pt</v>
      </c>
      <c r="D409" t="str">
        <f>IFERROR(__xludf.DUMMYFUNCTION("""COMPUTED_VALUE"""),"Design &amp; Criação de Personagens")</f>
        <v>Design &amp; Criação de Personagens</v>
      </c>
      <c r="E409" t="str">
        <f>IFERROR(__xludf.DUMMYFUNCTION("""COMPUTED_VALUE"""),"Design &amp; Character Creation")</f>
        <v>Design &amp; Character Creation</v>
      </c>
      <c r="F409">
        <f>IFERROR(__xludf.DUMMYFUNCTION("""COMPUTED_VALUE"""),9289512.0)</f>
        <v>9289512</v>
      </c>
      <c r="G409" t="str">
        <f>IFERROR(__xludf.DUMMYFUNCTION("""COMPUTED_VALUE"""),"Dado Almeida")</f>
        <v>Dado Almeida</v>
      </c>
      <c r="H409" t="str">
        <f>IFERROR(__xludf.DUMMYFUNCTION("""COMPUTED_VALUE"""),"Instructor Request- No Detail")</f>
        <v>Instructor Request- No Detail</v>
      </c>
      <c r="I409" t="str">
        <f>IFERROR(__xludf.DUMMYFUNCTION("""COMPUTED_VALUE"""),"Design")</f>
        <v>Design</v>
      </c>
      <c r="J409" t="str">
        <f>IFERROR(__xludf.DUMMYFUNCTION("""COMPUTED_VALUE"""),"Game Design")</f>
        <v>Game Design</v>
      </c>
      <c r="K409">
        <f>IFERROR(__xludf.DUMMYFUNCTION("""COMPUTED_VALUE"""),1566242.0)</f>
        <v>1566242</v>
      </c>
      <c r="L409" s="140" t="str">
        <f>IFERROR(__xludf.DUMMYFUNCTION("""COMPUTED_VALUE"""),"Curso 3ds Max : Design e Criação de Personagens 3D")</f>
        <v>Curso 3ds Max : Design e Criação de Personagens 3D</v>
      </c>
      <c r="M409" s="155">
        <f>IFERROR(__xludf.DUMMYFUNCTION("""COMPUTED_VALUE"""),1862698.0)</f>
        <v>1862698</v>
      </c>
      <c r="N409" s="140" t="str">
        <f>IFERROR(__xludf.DUMMYFUNCTION("""COMPUTED_VALUE"""),"Maya - Design e Criação de Personagens 3D")</f>
        <v>Maya - Design e Criação de Personagens 3D</v>
      </c>
    </row>
    <row r="410">
      <c r="A410" s="143">
        <f>IFERROR(__xludf.DUMMYFUNCTION("""COMPUTED_VALUE"""),44371.0)</f>
        <v>44371</v>
      </c>
      <c r="B410">
        <f>IFERROR(__xludf.DUMMYFUNCTION("""COMPUTED_VALUE"""),1255236.0)</f>
        <v>1255236</v>
      </c>
      <c r="C410" t="str">
        <f>IFERROR(__xludf.DUMMYFUNCTION("""COMPUTED_VALUE"""),"de")</f>
        <v>de</v>
      </c>
      <c r="D410" t="str">
        <f>IFERROR(__xludf.DUMMYFUNCTION("""COMPUTED_VALUE"""),"Erfolgreiche Landingpages durch Insiderwissen")</f>
        <v>Erfolgreiche Landingpages durch Insiderwissen</v>
      </c>
      <c r="E410" t="str">
        <f>IFERROR(__xludf.DUMMYFUNCTION("""COMPUTED_VALUE"""),"Successful landingpages through inside knowledge")</f>
        <v>Successful landingpages through inside knowledge</v>
      </c>
      <c r="F410">
        <f>IFERROR(__xludf.DUMMYFUNCTION("""COMPUTED_VALUE"""),7764654.0)</f>
        <v>7764654</v>
      </c>
      <c r="G410" t="str">
        <f>IFERROR(__xludf.DUMMYFUNCTION("""COMPUTED_VALUE"""),"Frank Schatz (frankfragen.com)")</f>
        <v>Frank Schatz (frankfragen.com)</v>
      </c>
      <c r="H410" t="str">
        <f>IFERROR(__xludf.DUMMYFUNCTION("""COMPUTED_VALUE"""),"Instructor Request- Opted Out")</f>
        <v>Instructor Request- Opted Out</v>
      </c>
      <c r="I410" t="str">
        <f>IFERROR(__xludf.DUMMYFUNCTION("""COMPUTED_VALUE"""),"Marketing")</f>
        <v>Marketing</v>
      </c>
      <c r="J410" t="str">
        <f>IFERROR(__xludf.DUMMYFUNCTION("""COMPUTED_VALUE"""),"Digital Marketing")</f>
        <v>Digital Marketing</v>
      </c>
      <c r="K410">
        <f>IFERROR(__xludf.DUMMYFUNCTION("""COMPUTED_VALUE"""),1219236.0)</f>
        <v>1219236</v>
      </c>
      <c r="L410" s="140" t="str">
        <f>IFERROR(__xludf.DUMMYFUNCTION("""COMPUTED_VALUE"""),"⭐️[Mehr Leads] Landingpages &amp; Lead-Generation mit WordPress!")</f>
        <v>⭐️[Mehr Leads] Landingpages &amp; Lead-Generation mit WordPress!</v>
      </c>
      <c r="N410" s="140" t="str">
        <f>IFERROR(__xludf.DUMMYFUNCTION("""COMPUTED_VALUE"""),"")</f>
        <v/>
      </c>
    </row>
    <row r="411">
      <c r="A411" s="143">
        <f>IFERROR(__xludf.DUMMYFUNCTION("""COMPUTED_VALUE"""),44371.0)</f>
        <v>44371</v>
      </c>
      <c r="B411">
        <f>IFERROR(__xludf.DUMMYFUNCTION("""COMPUTED_VALUE"""),2954952.0)</f>
        <v>2954952</v>
      </c>
      <c r="C411" t="str">
        <f>IFERROR(__xludf.DUMMYFUNCTION("""COMPUTED_VALUE"""),"en")</f>
        <v>en</v>
      </c>
      <c r="D411" t="str">
        <f>IFERROR(__xludf.DUMMYFUNCTION("""COMPUTED_VALUE"""),"100% Sure Success in Day Trading : My SECRET™ Strategy")</f>
        <v>100% Sure Success in Day Trading : My SECRET™ Strategy</v>
      </c>
      <c r="E411" t="str">
        <f>IFERROR(__xludf.DUMMYFUNCTION("""COMPUTED_VALUE"""),"100% Sure Success in Day Trading : My SECRET™ Strategy")</f>
        <v>100% Sure Success in Day Trading : My SECRET™ Strategy</v>
      </c>
      <c r="F411">
        <f>IFERROR(__xludf.DUMMYFUNCTION("""COMPUTED_VALUE"""),6.943456E7)</f>
        <v>69434560</v>
      </c>
      <c r="G411" t="str">
        <f>IFERROR(__xludf.DUMMYFUNCTION("""COMPUTED_VALUE"""),"Manish Kumar (CPDT, CPIA, CPTA &amp; IPCE) (Day Trading &amp; Swing Trading Professional and Investor)")</f>
        <v>Manish Kumar (CPDT, CPIA, CPTA &amp; IPCE) (Day Trading &amp; Swing Trading Professional and Investor)</v>
      </c>
      <c r="H411" t="str">
        <f>IFERROR(__xludf.DUMMYFUNCTION("""COMPUTED_VALUE"""),"Low Rating")</f>
        <v>Low Rating</v>
      </c>
      <c r="I411" t="str">
        <f>IFERROR(__xludf.DUMMYFUNCTION("""COMPUTED_VALUE"""),"Finance &amp; Accounting")</f>
        <v>Finance &amp; Accounting</v>
      </c>
      <c r="J411" t="str">
        <f>IFERROR(__xludf.DUMMYFUNCTION("""COMPUTED_VALUE"""),"Investing &amp; Trading")</f>
        <v>Investing &amp; Trading</v>
      </c>
      <c r="K411">
        <f>IFERROR(__xludf.DUMMYFUNCTION("""COMPUTED_VALUE"""),1255136.0)</f>
        <v>1255136</v>
      </c>
      <c r="L411" s="140" t="str">
        <f>IFERROR(__xludf.DUMMYFUNCTION("""COMPUTED_VALUE"""),"Technical Analysis MasterClass:Trading By Technical Analysis")</f>
        <v>Technical Analysis MasterClass:Trading By Technical Analysis</v>
      </c>
      <c r="N411" s="140" t="str">
        <f>IFERROR(__xludf.DUMMYFUNCTION("""COMPUTED_VALUE"""),"")</f>
        <v/>
      </c>
    </row>
    <row r="412">
      <c r="A412" s="143">
        <f>IFERROR(__xludf.DUMMYFUNCTION("""COMPUTED_VALUE"""),44371.0)</f>
        <v>44371</v>
      </c>
      <c r="B412">
        <f>IFERROR(__xludf.DUMMYFUNCTION("""COMPUTED_VALUE"""),1577518.0)</f>
        <v>1577518</v>
      </c>
      <c r="C412" t="str">
        <f>IFERROR(__xludf.DUMMYFUNCTION("""COMPUTED_VALUE"""),"en")</f>
        <v>en</v>
      </c>
      <c r="D412" t="str">
        <f>IFERROR(__xludf.DUMMYFUNCTION("""COMPUTED_VALUE"""),"Learn ETL Testing With Informatica PowerCenter Today")</f>
        <v>Learn ETL Testing With Informatica PowerCenter Today</v>
      </c>
      <c r="E412" t="str">
        <f>IFERROR(__xludf.DUMMYFUNCTION("""COMPUTED_VALUE"""),"Learn ETL Testing With Informatica PowerCenter Today")</f>
        <v>Learn ETL Testing With Informatica PowerCenter Today</v>
      </c>
      <c r="F412">
        <f>IFERROR(__xludf.DUMMYFUNCTION("""COMPUTED_VALUE"""),1.1623954E7)</f>
        <v>11623954</v>
      </c>
      <c r="G412" t="str">
        <f>IFERROR(__xludf.DUMMYFUNCTION("""COMPUTED_VALUE"""),"The Startup Central Co.")</f>
        <v>The Startup Central Co.</v>
      </c>
      <c r="H412" t="str">
        <f>IFERROR(__xludf.DUMMYFUNCTION("""COMPUTED_VALUE"""),"Low Rating")</f>
        <v>Low Rating</v>
      </c>
      <c r="I412" t="str">
        <f>IFERROR(__xludf.DUMMYFUNCTION("""COMPUTED_VALUE"""),"IT Operations")</f>
        <v>IT Operations</v>
      </c>
      <c r="J412" t="str">
        <f>IFERROR(__xludf.DUMMYFUNCTION("""COMPUTED_VALUE"""),"IT Certifications")</f>
        <v>IT Certifications</v>
      </c>
      <c r="L412" s="140" t="str">
        <f>IFERROR(__xludf.DUMMYFUNCTION("""COMPUTED_VALUE"""),"")</f>
        <v/>
      </c>
      <c r="N412" s="140" t="str">
        <f>IFERROR(__xludf.DUMMYFUNCTION("""COMPUTED_VALUE"""),"")</f>
        <v/>
      </c>
      <c r="O412" s="140" t="str">
        <f>IFERROR(__xludf.DUMMYFUNCTION("""COMPUTED_VALUE"""),"No Alternatives in Collection- 5/15/2021")</f>
        <v>No Alternatives in Collection- 5/15/2021</v>
      </c>
    </row>
    <row r="413">
      <c r="A413" s="143">
        <f>IFERROR(__xludf.DUMMYFUNCTION("""COMPUTED_VALUE"""),44371.0)</f>
        <v>44371</v>
      </c>
      <c r="B413">
        <f>IFERROR(__xludf.DUMMYFUNCTION("""COMPUTED_VALUE"""),2369426.0)</f>
        <v>2369426</v>
      </c>
      <c r="C413" t="str">
        <f>IFERROR(__xludf.DUMMYFUNCTION("""COMPUTED_VALUE"""),"en")</f>
        <v>en</v>
      </c>
      <c r="D413" t="str">
        <f>IFERROR(__xludf.DUMMYFUNCTION("""COMPUTED_VALUE"""),"Complete Angular 11 from Zero to Hero | Get Hired")</f>
        <v>Complete Angular 11 from Zero to Hero | Get Hired</v>
      </c>
      <c r="E413" t="str">
        <f>IFERROR(__xludf.DUMMYFUNCTION("""COMPUTED_VALUE"""),"Complete Angular 11 from Zero to Hero | Get Hired")</f>
        <v>Complete Angular 11 from Zero to Hero | Get Hired</v>
      </c>
      <c r="F413">
        <f>IFERROR(__xludf.DUMMYFUNCTION("""COMPUTED_VALUE"""),2.9219118E7)</f>
        <v>29219118</v>
      </c>
      <c r="G413" t="str">
        <f>IFERROR(__xludf.DUMMYFUNCTION("""COMPUTED_VALUE"""),"M Darwish")</f>
        <v>M Darwish</v>
      </c>
      <c r="H413" t="str">
        <f>IFERROR(__xludf.DUMMYFUNCTION("""COMPUTED_VALUE"""),"Low Rating")</f>
        <v>Low Rating</v>
      </c>
      <c r="I413" t="str">
        <f>IFERROR(__xludf.DUMMYFUNCTION("""COMPUTED_VALUE"""),"Development")</f>
        <v>Development</v>
      </c>
      <c r="J413" t="str">
        <f>IFERROR(__xludf.DUMMYFUNCTION("""COMPUTED_VALUE"""),"Web Development")</f>
        <v>Web Development</v>
      </c>
      <c r="L413" s="140" t="str">
        <f>IFERROR(__xludf.DUMMYFUNCTION("""COMPUTED_VALUE"""),"")</f>
        <v/>
      </c>
      <c r="N413" s="140" t="str">
        <f>IFERROR(__xludf.DUMMYFUNCTION("""COMPUTED_VALUE"""),"")</f>
        <v/>
      </c>
      <c r="O413" s="140" t="str">
        <f>IFERROR(__xludf.DUMMYFUNCTION("""COMPUTED_VALUE"""),"No Alternatives in Collection- 5/15/2021")</f>
        <v>No Alternatives in Collection- 5/15/2021</v>
      </c>
    </row>
    <row r="414">
      <c r="A414" s="143">
        <f>IFERROR(__xludf.DUMMYFUNCTION("""COMPUTED_VALUE"""),44371.0)</f>
        <v>44371</v>
      </c>
      <c r="B414">
        <f>IFERROR(__xludf.DUMMYFUNCTION("""COMPUTED_VALUE"""),950614.0)</f>
        <v>950614</v>
      </c>
      <c r="C414" t="str">
        <f>IFERROR(__xludf.DUMMYFUNCTION("""COMPUTED_VALUE"""),"en")</f>
        <v>en</v>
      </c>
      <c r="D414" t="str">
        <f>IFERROR(__xludf.DUMMYFUNCTION("""COMPUTED_VALUE"""),"Master Computer Vision™ OpenCV4 in Python with Deep Learning")</f>
        <v>Master Computer Vision™ OpenCV4 in Python with Deep Learning</v>
      </c>
      <c r="E414" t="str">
        <f>IFERROR(__xludf.DUMMYFUNCTION("""COMPUTED_VALUE"""),"Master Computer Vision™ OpenCV4 in Python with Deep Learning")</f>
        <v>Master Computer Vision™ OpenCV4 in Python with Deep Learning</v>
      </c>
      <c r="F414">
        <f>IFERROR(__xludf.DUMMYFUNCTION("""COMPUTED_VALUE"""),9054848.0)</f>
        <v>9054848</v>
      </c>
      <c r="G414" t="str">
        <f>IFERROR(__xludf.DUMMYFUNCTION("""COMPUTED_VALUE"""),"Rajeev D. Ratan")</f>
        <v>Rajeev D. Ratan</v>
      </c>
      <c r="H414" t="str">
        <f>IFERROR(__xludf.DUMMYFUNCTION("""COMPUTED_VALUE"""),"Low Rating")</f>
        <v>Low Rating</v>
      </c>
      <c r="I414" t="str">
        <f>IFERROR(__xludf.DUMMYFUNCTION("""COMPUTED_VALUE"""),"Data Science")</f>
        <v>Data Science</v>
      </c>
      <c r="J414" t="str">
        <f>IFERROR(__xludf.DUMMYFUNCTION("""COMPUTED_VALUE"""),"Machine Learning")</f>
        <v>Machine Learning</v>
      </c>
      <c r="K414">
        <f>IFERROR(__xludf.DUMMYFUNCTION("""COMPUTED_VALUE"""),1982382.0)</f>
        <v>1982382</v>
      </c>
      <c r="L414" s="140" t="str">
        <f>IFERROR(__xludf.DUMMYFUNCTION("""COMPUTED_VALUE"""),"Python for Computer Vision with OpenCV and Deep Learning")</f>
        <v>Python for Computer Vision with OpenCV and Deep Learning</v>
      </c>
      <c r="N414" s="140" t="str">
        <f>IFERROR(__xludf.DUMMYFUNCTION("""COMPUTED_VALUE"""),"")</f>
        <v/>
      </c>
    </row>
    <row r="415">
      <c r="A415" s="143">
        <f>IFERROR(__xludf.DUMMYFUNCTION("""COMPUTED_VALUE"""),44371.0)</f>
        <v>44371</v>
      </c>
      <c r="B415">
        <f>IFERROR(__xludf.DUMMYFUNCTION("""COMPUTED_VALUE"""),1701332.0)</f>
        <v>1701332</v>
      </c>
      <c r="C415" t="str">
        <f>IFERROR(__xludf.DUMMYFUNCTION("""COMPUTED_VALUE"""),"en")</f>
        <v>en</v>
      </c>
      <c r="D415" t="str">
        <f>IFERROR(__xludf.DUMMYFUNCTION("""COMPUTED_VALUE"""),"Learn Redis And Utilize Jedis With Spring Data Redis")</f>
        <v>Learn Redis And Utilize Jedis With Spring Data Redis</v>
      </c>
      <c r="E415" t="str">
        <f>IFERROR(__xludf.DUMMYFUNCTION("""COMPUTED_VALUE"""),"Learn Redis And Utilize Jedis With Spring Data Redis")</f>
        <v>Learn Redis And Utilize Jedis With Spring Data Redis</v>
      </c>
      <c r="F415">
        <f>IFERROR(__xludf.DUMMYFUNCTION("""COMPUTED_VALUE"""),4.8539626E7)</f>
        <v>48539626</v>
      </c>
      <c r="G415" t="str">
        <f>IFERROR(__xludf.DUMMYFUNCTION("""COMPUTED_VALUE"""),"Bassem Abuein")</f>
        <v>Bassem Abuein</v>
      </c>
      <c r="H415" t="str">
        <f>IFERROR(__xludf.DUMMYFUNCTION("""COMPUTED_VALUE"""),"Low Rating")</f>
        <v>Low Rating</v>
      </c>
      <c r="I415" t="str">
        <f>IFERROR(__xludf.DUMMYFUNCTION("""COMPUTED_VALUE"""),"Development")</f>
        <v>Development</v>
      </c>
      <c r="J415" t="str">
        <f>IFERROR(__xludf.DUMMYFUNCTION("""COMPUTED_VALUE"""),"Database Design &amp; Development")</f>
        <v>Database Design &amp; Development</v>
      </c>
      <c r="L415" s="140" t="str">
        <f>IFERROR(__xludf.DUMMYFUNCTION("""COMPUTED_VALUE"""),"")</f>
        <v/>
      </c>
      <c r="N415" s="140" t="str">
        <f>IFERROR(__xludf.DUMMYFUNCTION("""COMPUTED_VALUE"""),"")</f>
        <v/>
      </c>
      <c r="O415" s="140" t="str">
        <f>IFERROR(__xludf.DUMMYFUNCTION("""COMPUTED_VALUE"""),"No Alternatives in Collection- 5/15/2021")</f>
        <v>No Alternatives in Collection- 5/15/2021</v>
      </c>
    </row>
    <row r="416">
      <c r="A416" s="143">
        <f>IFERROR(__xludf.DUMMYFUNCTION("""COMPUTED_VALUE"""),44371.0)</f>
        <v>44371</v>
      </c>
      <c r="B416">
        <f>IFERROR(__xludf.DUMMYFUNCTION("""COMPUTED_VALUE"""),2362076.0)</f>
        <v>2362076</v>
      </c>
      <c r="C416" t="str">
        <f>IFERROR(__xludf.DUMMYFUNCTION("""COMPUTED_VALUE"""),"en")</f>
        <v>en</v>
      </c>
      <c r="D416" t="str">
        <f>IFERROR(__xludf.DUMMYFUNCTION("""COMPUTED_VALUE"""),"AZ-300 Microsoft Azure Architect Practice Exam Questions NEW")</f>
        <v>AZ-300 Microsoft Azure Architect Practice Exam Questions NEW</v>
      </c>
      <c r="E416" t="str">
        <f>IFERROR(__xludf.DUMMYFUNCTION("""COMPUTED_VALUE"""),"AZ-300 Microsoft Azure Architect Practice Exam Questions NEW")</f>
        <v>AZ-300 Microsoft Azure Architect Practice Exam Questions NEW</v>
      </c>
      <c r="F416">
        <f>IFERROR(__xludf.DUMMYFUNCTION("""COMPUTED_VALUE"""),6.6334414E7)</f>
        <v>66334414</v>
      </c>
      <c r="G416" t="str">
        <f>IFERROR(__xludf.DUMMYFUNCTION("""COMPUTED_VALUE"""),"Andrew Bettany (MVP)")</f>
        <v>Andrew Bettany (MVP)</v>
      </c>
      <c r="H416" t="str">
        <f>IFERROR(__xludf.DUMMYFUNCTION("""COMPUTED_VALUE"""),"Low Rating")</f>
        <v>Low Rating</v>
      </c>
      <c r="I416" t="str">
        <f>IFERROR(__xludf.DUMMYFUNCTION("""COMPUTED_VALUE"""),"IT Operations")</f>
        <v>IT Operations</v>
      </c>
      <c r="J416" t="str">
        <f>IFERROR(__xludf.DUMMYFUNCTION("""COMPUTED_VALUE"""),"IT Certifications")</f>
        <v>IT Certifications</v>
      </c>
      <c r="L416" s="140" t="str">
        <f>IFERROR(__xludf.DUMMYFUNCTION("""COMPUTED_VALUE"""),"")</f>
        <v/>
      </c>
      <c r="N416" s="140" t="str">
        <f>IFERROR(__xludf.DUMMYFUNCTION("""COMPUTED_VALUE"""),"")</f>
        <v/>
      </c>
      <c r="O416" s="140" t="str">
        <f>IFERROR(__xludf.DUMMYFUNCTION("""COMPUTED_VALUE"""),"No Alternatives in Collection- 5/15/2021")</f>
        <v>No Alternatives in Collection- 5/15/2021</v>
      </c>
    </row>
    <row r="417">
      <c r="A417" s="143">
        <f>IFERROR(__xludf.DUMMYFUNCTION("""COMPUTED_VALUE"""),44371.0)</f>
        <v>44371</v>
      </c>
      <c r="B417">
        <f>IFERROR(__xludf.DUMMYFUNCTION("""COMPUTED_VALUE"""),826352.0)</f>
        <v>826352</v>
      </c>
      <c r="C417" t="str">
        <f>IFERROR(__xludf.DUMMYFUNCTION("""COMPUTED_VALUE"""),"en")</f>
        <v>en</v>
      </c>
      <c r="D417" t="str">
        <f>IFERROR(__xludf.DUMMYFUNCTION("""COMPUTED_VALUE"""),"SAP Simple Finance Course")</f>
        <v>SAP Simple Finance Course</v>
      </c>
      <c r="E417" t="str">
        <f>IFERROR(__xludf.DUMMYFUNCTION("""COMPUTED_VALUE"""),"SAP Simple Finance Course")</f>
        <v>SAP Simple Finance Course</v>
      </c>
      <c r="F417">
        <f>IFERROR(__xludf.DUMMYFUNCTION("""COMPUTED_VALUE"""),2.1758538E7)</f>
        <v>21758538</v>
      </c>
      <c r="G417" t="str">
        <f>IFERROR(__xludf.DUMMYFUNCTION("""COMPUTED_VALUE"""),"BizExcel Solutions (2010)")</f>
        <v>BizExcel Solutions (2010)</v>
      </c>
      <c r="H417" t="str">
        <f>IFERROR(__xludf.DUMMYFUNCTION("""COMPUTED_VALUE"""),"Low Rating")</f>
        <v>Low Rating</v>
      </c>
      <c r="I417" t="str">
        <f>IFERROR(__xludf.DUMMYFUNCTION("""COMPUTED_VALUE"""),"Data Science")</f>
        <v>Data Science</v>
      </c>
      <c r="J417" t="str">
        <f>IFERROR(__xludf.DUMMYFUNCTION("""COMPUTED_VALUE"""),"Analytics")</f>
        <v>Analytics</v>
      </c>
      <c r="L417" s="140" t="str">
        <f>IFERROR(__xludf.DUMMYFUNCTION("""COMPUTED_VALUE"""),"")</f>
        <v/>
      </c>
      <c r="N417" s="140" t="str">
        <f>IFERROR(__xludf.DUMMYFUNCTION("""COMPUTED_VALUE"""),"")</f>
        <v/>
      </c>
      <c r="O417" s="140" t="str">
        <f>IFERROR(__xludf.DUMMYFUNCTION("""COMPUTED_VALUE"""),"No Alternatives in Collection- 5/15/2021")</f>
        <v>No Alternatives in Collection- 5/15/2021</v>
      </c>
    </row>
    <row r="418">
      <c r="A418" s="143">
        <f>IFERROR(__xludf.DUMMYFUNCTION("""COMPUTED_VALUE"""),44371.0)</f>
        <v>44371</v>
      </c>
      <c r="B418">
        <f>IFERROR(__xludf.DUMMYFUNCTION("""COMPUTED_VALUE"""),2779654.0)</f>
        <v>2779654</v>
      </c>
      <c r="C418" t="str">
        <f>IFERROR(__xludf.DUMMYFUNCTION("""COMPUTED_VALUE"""),"en")</f>
        <v>en</v>
      </c>
      <c r="D418" t="str">
        <f>IFERROR(__xludf.DUMMYFUNCTION("""COMPUTED_VALUE"""),"AZ-104 Microsoft Azure Administrator Practice Exam Questions")</f>
        <v>AZ-104 Microsoft Azure Administrator Practice Exam Questions</v>
      </c>
      <c r="E418" t="str">
        <f>IFERROR(__xludf.DUMMYFUNCTION("""COMPUTED_VALUE"""),"AZ-104 Microsoft Azure Administrator Practice Exam Questions")</f>
        <v>AZ-104 Microsoft Azure Administrator Practice Exam Questions</v>
      </c>
      <c r="F418">
        <f>IFERROR(__xludf.DUMMYFUNCTION("""COMPUTED_VALUE"""),6.6334414E7)</f>
        <v>66334414</v>
      </c>
      <c r="G418" t="str">
        <f>IFERROR(__xludf.DUMMYFUNCTION("""COMPUTED_VALUE"""),"Andrew Bettany (MVP)")</f>
        <v>Andrew Bettany (MVP)</v>
      </c>
      <c r="H418" t="str">
        <f>IFERROR(__xludf.DUMMYFUNCTION("""COMPUTED_VALUE"""),"Low Rating")</f>
        <v>Low Rating</v>
      </c>
      <c r="I418" t="str">
        <f>IFERROR(__xludf.DUMMYFUNCTION("""COMPUTED_VALUE"""),"IT Operations")</f>
        <v>IT Operations</v>
      </c>
      <c r="J418" t="str">
        <f>IFERROR(__xludf.DUMMYFUNCTION("""COMPUTED_VALUE"""),"IT Certifications")</f>
        <v>IT Certifications</v>
      </c>
      <c r="K418">
        <f>IFERROR(__xludf.DUMMYFUNCTION("""COMPUTED_VALUE"""),2131244.0)</f>
        <v>2131244</v>
      </c>
      <c r="L418" s="140" t="str">
        <f>IFERROR(__xludf.DUMMYFUNCTION("""COMPUTED_VALUE"""),"AZ-104 Microsoft Azure Administrator Certification 2021")</f>
        <v>AZ-104 Microsoft Azure Administrator Certification 2021</v>
      </c>
      <c r="M418" s="155">
        <f>IFERROR(__xludf.DUMMYFUNCTION("""COMPUTED_VALUE"""),1927250.0)</f>
        <v>1927250</v>
      </c>
      <c r="N418" s="140" t="str">
        <f>IFERROR(__xludf.DUMMYFUNCTION("""COMPUTED_VALUE"""),"Microsoft AZ-104:Azure Administrator Exam Certification 2020")</f>
        <v>Microsoft AZ-104:Azure Administrator Exam Certification 2020</v>
      </c>
    </row>
    <row r="419">
      <c r="A419" s="143">
        <f>IFERROR(__xludf.DUMMYFUNCTION("""COMPUTED_VALUE"""),44371.0)</f>
        <v>44371</v>
      </c>
      <c r="B419">
        <f>IFERROR(__xludf.DUMMYFUNCTION("""COMPUTED_VALUE"""),1386964.0)</f>
        <v>1386964</v>
      </c>
      <c r="C419" t="str">
        <f>IFERROR(__xludf.DUMMYFUNCTION("""COMPUTED_VALUE"""),"en")</f>
        <v>en</v>
      </c>
      <c r="D419" t="str">
        <f>IFERROR(__xludf.DUMMYFUNCTION("""COMPUTED_VALUE"""),"Introduction to Hiring and Recruiting Strategy")</f>
        <v>Introduction to Hiring and Recruiting Strategy</v>
      </c>
      <c r="E419" t="str">
        <f>IFERROR(__xludf.DUMMYFUNCTION("""COMPUTED_VALUE"""),"Introduction to Hiring and Recruiting Strategy")</f>
        <v>Introduction to Hiring and Recruiting Strategy</v>
      </c>
      <c r="F419">
        <f>IFERROR(__xludf.DUMMYFUNCTION("""COMPUTED_VALUE"""),268782.0)</f>
        <v>268782</v>
      </c>
      <c r="G419" t="str">
        <f>IFERROR(__xludf.DUMMYFUNCTION("""COMPUTED_VALUE"""),"Amy Ahearn")</f>
        <v>Amy Ahearn</v>
      </c>
      <c r="H419" t="str">
        <f>IFERROR(__xludf.DUMMYFUNCTION("""COMPUTED_VALUE"""),"Low Rating")</f>
        <v>Low Rating</v>
      </c>
      <c r="I419" t="str">
        <f>IFERROR(__xludf.DUMMYFUNCTION("""COMPUTED_VALUE"""),"Workplace &amp; Human Resources")</f>
        <v>Workplace &amp; Human Resources</v>
      </c>
      <c r="J419" t="str">
        <f>IFERROR(__xludf.DUMMYFUNCTION("""COMPUTED_VALUE"""),"Talent Management")</f>
        <v>Talent Management</v>
      </c>
      <c r="K419">
        <f>IFERROR(__xludf.DUMMYFUNCTION("""COMPUTED_VALUE"""),1434700.0)</f>
        <v>1434700</v>
      </c>
      <c r="L419" s="140" t="str">
        <f>IFERROR(__xludf.DUMMYFUNCTION("""COMPUTED_VALUE"""),"[2021] Recruiting: Talent Acquisition &amp; Hiring (Version 3)")</f>
        <v>[2021] Recruiting: Talent Acquisition &amp; Hiring (Version 3)</v>
      </c>
      <c r="M419" s="155">
        <f>IFERROR(__xludf.DUMMYFUNCTION("""COMPUTED_VALUE"""),312042.0)</f>
        <v>312042</v>
      </c>
      <c r="N419" s="140" t="str">
        <f>IFERROR(__xludf.DUMMYFUNCTION("""COMPUTED_VALUE"""),"Recruitment Interviewing Essentials: Interviewing Made Easy")</f>
        <v>Recruitment Interviewing Essentials: Interviewing Made Easy</v>
      </c>
    </row>
    <row r="420">
      <c r="A420" s="143">
        <f>IFERROR(__xludf.DUMMYFUNCTION("""COMPUTED_VALUE"""),44371.0)</f>
        <v>44371</v>
      </c>
      <c r="B420">
        <f>IFERROR(__xludf.DUMMYFUNCTION("""COMPUTED_VALUE"""),1993270.0)</f>
        <v>1993270</v>
      </c>
      <c r="C420" t="str">
        <f>IFERROR(__xludf.DUMMYFUNCTION("""COMPUTED_VALUE"""),"en")</f>
        <v>en</v>
      </c>
      <c r="D420" t="str">
        <f>IFERROR(__xludf.DUMMYFUNCTION("""COMPUTED_VALUE"""),"Bluetooth Low Energy (BLE) From Ground Up™")</f>
        <v>Bluetooth Low Energy (BLE) From Ground Up™</v>
      </c>
      <c r="E420" t="str">
        <f>IFERROR(__xludf.DUMMYFUNCTION("""COMPUTED_VALUE"""),"Bluetooth Low Energy (BLE) From Ground Up™")</f>
        <v>Bluetooth Low Energy (BLE) From Ground Up™</v>
      </c>
      <c r="F420">
        <f>IFERROR(__xludf.DUMMYFUNCTION("""COMPUTED_VALUE"""),2.4388648E7)</f>
        <v>24388648</v>
      </c>
      <c r="G420" t="str">
        <f>IFERROR(__xludf.DUMMYFUNCTION("""COMPUTED_VALUE"""),"Israel Gbati")</f>
        <v>Israel Gbati</v>
      </c>
      <c r="H420" t="str">
        <f>IFERROR(__xludf.DUMMYFUNCTION("""COMPUTED_VALUE"""),"Low Rating")</f>
        <v>Low Rating</v>
      </c>
      <c r="I420" t="str">
        <f>IFERROR(__xludf.DUMMYFUNCTION("""COMPUTED_VALUE"""),"IT Operations")</f>
        <v>IT Operations</v>
      </c>
      <c r="J420" t="str">
        <f>IFERROR(__xludf.DUMMYFUNCTION("""COMPUTED_VALUE"""),"Network &amp; Security")</f>
        <v>Network &amp; Security</v>
      </c>
      <c r="L420" s="140" t="str">
        <f>IFERROR(__xludf.DUMMYFUNCTION("""COMPUTED_VALUE"""),"")</f>
        <v/>
      </c>
      <c r="N420" s="140" t="str">
        <f>IFERROR(__xludf.DUMMYFUNCTION("""COMPUTED_VALUE"""),"")</f>
        <v/>
      </c>
      <c r="O420" s="140" t="str">
        <f>IFERROR(__xludf.DUMMYFUNCTION("""COMPUTED_VALUE"""),"No Alternatives in Collection- 5/15/2021")</f>
        <v>No Alternatives in Collection- 5/15/2021</v>
      </c>
    </row>
    <row r="421">
      <c r="A421" s="143">
        <f>IFERROR(__xludf.DUMMYFUNCTION("""COMPUTED_VALUE"""),44371.0)</f>
        <v>44371</v>
      </c>
      <c r="B421">
        <f>IFERROR(__xludf.DUMMYFUNCTION("""COMPUTED_VALUE"""),2355222.0)</f>
        <v>2355222</v>
      </c>
      <c r="C421" t="str">
        <f>IFERROR(__xludf.DUMMYFUNCTION("""COMPUTED_VALUE"""),"en")</f>
        <v>en</v>
      </c>
      <c r="D421" t="str">
        <f>IFERROR(__xludf.DUMMYFUNCTION("""COMPUTED_VALUE"""),"Oracle E-Business Suite (R12.1.3) Technical RICEW")</f>
        <v>Oracle E-Business Suite (R12.1.3) Technical RICEW</v>
      </c>
      <c r="E421" t="str">
        <f>IFERROR(__xludf.DUMMYFUNCTION("""COMPUTED_VALUE"""),"Oracle E-Business Suite (R12.1.3) Technical RICEW")</f>
        <v>Oracle E-Business Suite (R12.1.3) Technical RICEW</v>
      </c>
      <c r="F421">
        <f>IFERROR(__xludf.DUMMYFUNCTION("""COMPUTED_VALUE"""),6.5462858E7)</f>
        <v>65462858</v>
      </c>
      <c r="G421" t="str">
        <f>IFERROR(__xludf.DUMMYFUNCTION("""COMPUTED_VALUE"""),"Sreeram ERPTech")</f>
        <v>Sreeram ERPTech</v>
      </c>
      <c r="H421" t="str">
        <f>IFERROR(__xludf.DUMMYFUNCTION("""COMPUTED_VALUE"""),"Low Rating")</f>
        <v>Low Rating</v>
      </c>
      <c r="I421" t="str">
        <f>IFERROR(__xludf.DUMMYFUNCTION("""COMPUTED_VALUE"""),"Development")</f>
        <v>Development</v>
      </c>
      <c r="J421" t="str">
        <f>IFERROR(__xludf.DUMMYFUNCTION("""COMPUTED_VALUE"""),"Development Tools")</f>
        <v>Development Tools</v>
      </c>
      <c r="L421" s="140" t="str">
        <f>IFERROR(__xludf.DUMMYFUNCTION("""COMPUTED_VALUE"""),"")</f>
        <v/>
      </c>
      <c r="N421" s="140" t="str">
        <f>IFERROR(__xludf.DUMMYFUNCTION("""COMPUTED_VALUE"""),"")</f>
        <v/>
      </c>
      <c r="O421" s="140" t="str">
        <f>IFERROR(__xludf.DUMMYFUNCTION("""COMPUTED_VALUE"""),"No Alternatives in Collection- 5/15/2021")</f>
        <v>No Alternatives in Collection- 5/15/2021</v>
      </c>
    </row>
    <row r="422">
      <c r="A422" s="143">
        <f>IFERROR(__xludf.DUMMYFUNCTION("""COMPUTED_VALUE"""),44371.0)</f>
        <v>44371</v>
      </c>
      <c r="B422">
        <f>IFERROR(__xludf.DUMMYFUNCTION("""COMPUTED_VALUE"""),1892340.0)</f>
        <v>1892340</v>
      </c>
      <c r="C422" t="str">
        <f>IFERROR(__xludf.DUMMYFUNCTION("""COMPUTED_VALUE"""),"en")</f>
        <v>en</v>
      </c>
      <c r="D422" t="str">
        <f>IFERROR(__xludf.DUMMYFUNCTION("""COMPUTED_VALUE"""),"VLSI System On Chip Design")</f>
        <v>VLSI System On Chip Design</v>
      </c>
      <c r="E422" t="str">
        <f>IFERROR(__xludf.DUMMYFUNCTION("""COMPUTED_VALUE"""),"VLSI System On Chip Design")</f>
        <v>VLSI System On Chip Design</v>
      </c>
      <c r="F422">
        <f>IFERROR(__xludf.DUMMYFUNCTION("""COMPUTED_VALUE"""),5.4204072E7)</f>
        <v>54204072</v>
      </c>
      <c r="G422" t="str">
        <f>IFERROR(__xludf.DUMMYFUNCTION("""COMPUTED_VALUE"""),"Sivakumar P R")</f>
        <v>Sivakumar P R</v>
      </c>
      <c r="H422" t="str">
        <f>IFERROR(__xludf.DUMMYFUNCTION("""COMPUTED_VALUE"""),"Low Rating")</f>
        <v>Low Rating</v>
      </c>
      <c r="I422" t="str">
        <f>IFERROR(__xludf.DUMMYFUNCTION("""COMPUTED_VALUE"""),"IT Operations")</f>
        <v>IT Operations</v>
      </c>
      <c r="J422" t="str">
        <f>IFERROR(__xludf.DUMMYFUNCTION("""COMPUTED_VALUE"""),"Hardware")</f>
        <v>Hardware</v>
      </c>
      <c r="L422" s="140" t="str">
        <f>IFERROR(__xludf.DUMMYFUNCTION("""COMPUTED_VALUE"""),"")</f>
        <v/>
      </c>
      <c r="N422" s="140" t="str">
        <f>IFERROR(__xludf.DUMMYFUNCTION("""COMPUTED_VALUE"""),"")</f>
        <v/>
      </c>
      <c r="O422" s="140" t="str">
        <f>IFERROR(__xludf.DUMMYFUNCTION("""COMPUTED_VALUE"""),"No Alternatives in Collection- 5/15/2021")</f>
        <v>No Alternatives in Collection- 5/15/2021</v>
      </c>
    </row>
    <row r="423">
      <c r="A423" s="143">
        <f>IFERROR(__xludf.DUMMYFUNCTION("""COMPUTED_VALUE"""),44371.0)</f>
        <v>44371</v>
      </c>
      <c r="B423">
        <f>IFERROR(__xludf.DUMMYFUNCTION("""COMPUTED_VALUE"""),933482.0)</f>
        <v>933482</v>
      </c>
      <c r="C423" t="str">
        <f>IFERROR(__xludf.DUMMYFUNCTION("""COMPUTED_VALUE"""),"en")</f>
        <v>en</v>
      </c>
      <c r="D423" t="str">
        <f>IFERROR(__xludf.DUMMYFUNCTION("""COMPUTED_VALUE"""),"Event Management for Beginners")</f>
        <v>Event Management for Beginners</v>
      </c>
      <c r="E423" t="str">
        <f>IFERROR(__xludf.DUMMYFUNCTION("""COMPUTED_VALUE"""),"Event Management for Beginners")</f>
        <v>Event Management for Beginners</v>
      </c>
      <c r="F423">
        <f>IFERROR(__xludf.DUMMYFUNCTION("""COMPUTED_VALUE"""),2.181148E7)</f>
        <v>21811480</v>
      </c>
      <c r="G423" t="str">
        <f>IFERROR(__xludf.DUMMYFUNCTION("""COMPUTED_VALUE"""),"Lisa Price")</f>
        <v>Lisa Price</v>
      </c>
      <c r="H423" t="str">
        <f>IFERROR(__xludf.DUMMYFUNCTION("""COMPUTED_VALUE"""),"Low Rating")</f>
        <v>Low Rating</v>
      </c>
      <c r="I423" t="str">
        <f>IFERROR(__xludf.DUMMYFUNCTION("""COMPUTED_VALUE"""),"Marketing")</f>
        <v>Marketing</v>
      </c>
      <c r="J423" t="str">
        <f>IFERROR(__xludf.DUMMYFUNCTION("""COMPUTED_VALUE"""),"Paid Advertising")</f>
        <v>Paid Advertising</v>
      </c>
      <c r="K423">
        <f>IFERROR(__xludf.DUMMYFUNCTION("""COMPUTED_VALUE"""),253804.0)</f>
        <v>253804</v>
      </c>
      <c r="L423" s="140" t="str">
        <f>IFERROR(__xludf.DUMMYFUNCTION("""COMPUTED_VALUE"""),"Successful Events: Event Planning, Marketing &amp; Management")</f>
        <v>Successful Events: Event Planning, Marketing &amp; Management</v>
      </c>
      <c r="N423" s="140" t="str">
        <f>IFERROR(__xludf.DUMMYFUNCTION("""COMPUTED_VALUE"""),"")</f>
        <v/>
      </c>
    </row>
    <row r="424">
      <c r="A424" s="143">
        <f>IFERROR(__xludf.DUMMYFUNCTION("""COMPUTED_VALUE"""),44371.0)</f>
        <v>44371</v>
      </c>
      <c r="B424">
        <f>IFERROR(__xludf.DUMMYFUNCTION("""COMPUTED_VALUE"""),3062318.0)</f>
        <v>3062318</v>
      </c>
      <c r="C424" t="str">
        <f>IFERROR(__xludf.DUMMYFUNCTION("""COMPUTED_VALUE"""),"en")</f>
        <v>en</v>
      </c>
      <c r="D424" t="str">
        <f>IFERROR(__xludf.DUMMYFUNCTION("""COMPUTED_VALUE"""),"Strategic HR in Modern Times")</f>
        <v>Strategic HR in Modern Times</v>
      </c>
      <c r="E424" t="str">
        <f>IFERROR(__xludf.DUMMYFUNCTION("""COMPUTED_VALUE"""),"Strategic HR in Modern Times")</f>
        <v>Strategic HR in Modern Times</v>
      </c>
      <c r="F424">
        <f>IFERROR(__xludf.DUMMYFUNCTION("""COMPUTED_VALUE"""),3.3173552E7)</f>
        <v>33173552</v>
      </c>
      <c r="G424" t="str">
        <f>IFERROR(__xludf.DUMMYFUNCTION("""COMPUTED_VALUE"""),"Tobi Odunowo")</f>
        <v>Tobi Odunowo</v>
      </c>
      <c r="H424" t="str">
        <f>IFERROR(__xludf.DUMMYFUNCTION("""COMPUTED_VALUE"""),"Low Rating")</f>
        <v>Low Rating</v>
      </c>
      <c r="I424" t="str">
        <f>IFERROR(__xludf.DUMMYFUNCTION("""COMPUTED_VALUE"""),"Workplace &amp; Human Resources")</f>
        <v>Workplace &amp; Human Resources</v>
      </c>
      <c r="J424" t="str">
        <f>IFERROR(__xludf.DUMMYFUNCTION("""COMPUTED_VALUE"""),"Human Resources Fundamentals")</f>
        <v>Human Resources Fundamentals</v>
      </c>
      <c r="K424">
        <f>IFERROR(__xludf.DUMMYFUNCTION("""COMPUTED_VALUE"""),379374.0)</f>
        <v>379374</v>
      </c>
      <c r="L424" s="140" t="str">
        <f>IFERROR(__xludf.DUMMYFUNCTION("""COMPUTED_VALUE"""),"Learn HR Fundamentals for a Career in Human Resources")</f>
        <v>Learn HR Fundamentals for a Career in Human Resources</v>
      </c>
      <c r="N424" s="140" t="str">
        <f>IFERROR(__xludf.DUMMYFUNCTION("""COMPUTED_VALUE"""),"")</f>
        <v/>
      </c>
    </row>
    <row r="425">
      <c r="A425" s="143">
        <f>IFERROR(__xludf.DUMMYFUNCTION("""COMPUTED_VALUE"""),44371.0)</f>
        <v>44371</v>
      </c>
      <c r="B425">
        <f>IFERROR(__xludf.DUMMYFUNCTION("""COMPUTED_VALUE"""),63115.0)</f>
        <v>63115</v>
      </c>
      <c r="C425" t="str">
        <f>IFERROR(__xludf.DUMMYFUNCTION("""COMPUTED_VALUE"""),"en")</f>
        <v>en</v>
      </c>
      <c r="D425" t="str">
        <f>IFERROR(__xludf.DUMMYFUNCTION("""COMPUTED_VALUE"""),"Learn Estimating &amp; Cost Control")</f>
        <v>Learn Estimating &amp; Cost Control</v>
      </c>
      <c r="E425" t="str">
        <f>IFERROR(__xludf.DUMMYFUNCTION("""COMPUTED_VALUE"""),"Learn Estimating &amp; Cost Control")</f>
        <v>Learn Estimating &amp; Cost Control</v>
      </c>
      <c r="F425">
        <f>IFERROR(__xludf.DUMMYFUNCTION("""COMPUTED_VALUE"""),909855.0)</f>
        <v>909855</v>
      </c>
      <c r="G425" t="str">
        <f>IFERROR(__xludf.DUMMYFUNCTION("""COMPUTED_VALUE"""),"Exner Education")</f>
        <v>Exner Education</v>
      </c>
      <c r="H425" t="str">
        <f>IFERROR(__xludf.DUMMYFUNCTION("""COMPUTED_VALUE"""),"Low Rating")</f>
        <v>Low Rating</v>
      </c>
      <c r="I425" t="str">
        <f>IFERROR(__xludf.DUMMYFUNCTION("""COMPUTED_VALUE"""),"Finance &amp; Accounting")</f>
        <v>Finance &amp; Accounting</v>
      </c>
      <c r="J425" t="str">
        <f>IFERROR(__xludf.DUMMYFUNCTION("""COMPUTED_VALUE"""),"Finance Fundamentals")</f>
        <v>Finance Fundamentals</v>
      </c>
      <c r="K425">
        <f>IFERROR(__xludf.DUMMYFUNCTION("""COMPUTED_VALUE"""),700080.0)</f>
        <v>700080</v>
      </c>
      <c r="L425" s="140" t="str">
        <f>IFERROR(__xludf.DUMMYFUNCTION("""COMPUTED_VALUE"""),"Budgeting for Business")</f>
        <v>Budgeting for Business</v>
      </c>
      <c r="N425" s="140" t="str">
        <f>IFERROR(__xludf.DUMMYFUNCTION("""COMPUTED_VALUE"""),"")</f>
        <v/>
      </c>
    </row>
    <row r="426">
      <c r="A426" s="143">
        <f>IFERROR(__xludf.DUMMYFUNCTION("""COMPUTED_VALUE"""),44371.0)</f>
        <v>44371</v>
      </c>
      <c r="B426">
        <f>IFERROR(__xludf.DUMMYFUNCTION("""COMPUTED_VALUE"""),2514076.0)</f>
        <v>2514076</v>
      </c>
      <c r="C426" t="str">
        <f>IFERROR(__xludf.DUMMYFUNCTION("""COMPUTED_VALUE"""),"en")</f>
        <v>en</v>
      </c>
      <c r="D426" t="str">
        <f>IFERROR(__xludf.DUMMYFUNCTION("""COMPUTED_VALUE"""),"GCP - Professional Cloud Architect - Practice Exams - FREE!")</f>
        <v>GCP - Professional Cloud Architect - Practice Exams - FREE!</v>
      </c>
      <c r="E426" t="str">
        <f>IFERROR(__xludf.DUMMYFUNCTION("""COMPUTED_VALUE"""),"GCP - Professional Cloud Architect - Practice Exams - FREE!")</f>
        <v>GCP - Professional Cloud Architect - Practice Exams - FREE!</v>
      </c>
      <c r="F426">
        <f>IFERROR(__xludf.DUMMYFUNCTION("""COMPUTED_VALUE"""),7.473323E7)</f>
        <v>74733230</v>
      </c>
      <c r="G426" t="str">
        <f>IFERROR(__xludf.DUMMYFUNCTION("""COMPUTED_VALUE"""),"Richard Kopeikin")</f>
        <v>Richard Kopeikin</v>
      </c>
      <c r="H426" t="str">
        <f>IFERROR(__xludf.DUMMYFUNCTION("""COMPUTED_VALUE"""),"Low Rating")</f>
        <v>Low Rating</v>
      </c>
      <c r="I426" t="str">
        <f>IFERROR(__xludf.DUMMYFUNCTION("""COMPUTED_VALUE"""),"Cloud Computing")</f>
        <v>Cloud Computing</v>
      </c>
      <c r="J426" t="str">
        <f>IFERROR(__xludf.DUMMYFUNCTION("""COMPUTED_VALUE"""),"Cloud Certification")</f>
        <v>Cloud Certification</v>
      </c>
      <c r="K426">
        <f>IFERROR(__xludf.DUMMYFUNCTION("""COMPUTED_VALUE"""),1299656.0)</f>
        <v>1299656</v>
      </c>
      <c r="L426" s="140" t="str">
        <f>IFERROR(__xludf.DUMMYFUNCTION("""COMPUTED_VALUE"""),"GCP: Complete Google Data Engineer and Cloud Architect Guide")</f>
        <v>GCP: Complete Google Data Engineer and Cloud Architect Guide</v>
      </c>
      <c r="N426" s="140" t="str">
        <f>IFERROR(__xludf.DUMMYFUNCTION("""COMPUTED_VALUE"""),"")</f>
        <v/>
      </c>
    </row>
    <row r="427">
      <c r="A427" s="143">
        <f>IFERROR(__xludf.DUMMYFUNCTION("""COMPUTED_VALUE"""),44371.0)</f>
        <v>44371</v>
      </c>
      <c r="B427">
        <f>IFERROR(__xludf.DUMMYFUNCTION("""COMPUTED_VALUE"""),1278524.0)</f>
        <v>1278524</v>
      </c>
      <c r="C427" t="str">
        <f>IFERROR(__xludf.DUMMYFUNCTION("""COMPUTED_VALUE"""),"en")</f>
        <v>en</v>
      </c>
      <c r="D427" t="str">
        <f>IFERROR(__xludf.DUMMYFUNCTION("""COMPUTED_VALUE"""),"AWS MasterClass: DevOps w/ AWS Command Line Interface (CLI)")</f>
        <v>AWS MasterClass: DevOps w/ AWS Command Line Interface (CLI)</v>
      </c>
      <c r="E427" t="str">
        <f>IFERROR(__xludf.DUMMYFUNCTION("""COMPUTED_VALUE"""),"AWS MasterClass: DevOps w/ AWS Command Line Interface (CLI)")</f>
        <v>AWS MasterClass: DevOps w/ AWS Command Line Interface (CLI)</v>
      </c>
      <c r="F427">
        <f>IFERROR(__xludf.DUMMYFUNCTION("""COMPUTED_VALUE"""),2.9951918E7)</f>
        <v>29951918</v>
      </c>
      <c r="G427" t="str">
        <f>IFERROR(__xludf.DUMMYFUNCTION("""COMPUTED_VALUE"""),"TetraNoodle Team")</f>
        <v>TetraNoodle Team</v>
      </c>
      <c r="H427" t="str">
        <f>IFERROR(__xludf.DUMMYFUNCTION("""COMPUTED_VALUE"""),"Low Rating")</f>
        <v>Low Rating</v>
      </c>
      <c r="I427" t="str">
        <f>IFERROR(__xludf.DUMMYFUNCTION("""COMPUTED_VALUE"""),"IT Operations")</f>
        <v>IT Operations</v>
      </c>
      <c r="J427" t="str">
        <f>IFERROR(__xludf.DUMMYFUNCTION("""COMPUTED_VALUE"""),"IT Certifications")</f>
        <v>IT Certifications</v>
      </c>
      <c r="L427" s="140" t="str">
        <f>IFERROR(__xludf.DUMMYFUNCTION("""COMPUTED_VALUE"""),"")</f>
        <v/>
      </c>
      <c r="N427" s="140" t="str">
        <f>IFERROR(__xludf.DUMMYFUNCTION("""COMPUTED_VALUE"""),"")</f>
        <v/>
      </c>
      <c r="O427" s="140" t="str">
        <f>IFERROR(__xludf.DUMMYFUNCTION("""COMPUTED_VALUE"""),"No Alternatives in Collection- 5/15/2021")</f>
        <v>No Alternatives in Collection- 5/15/2021</v>
      </c>
    </row>
    <row r="428">
      <c r="A428" s="143">
        <f>IFERROR(__xludf.DUMMYFUNCTION("""COMPUTED_VALUE"""),44371.0)</f>
        <v>44371</v>
      </c>
      <c r="B428">
        <f>IFERROR(__xludf.DUMMYFUNCTION("""COMPUTED_VALUE"""),935288.0)</f>
        <v>935288</v>
      </c>
      <c r="C428" t="str">
        <f>IFERROR(__xludf.DUMMYFUNCTION("""COMPUTED_VALUE"""),"en")</f>
        <v>en</v>
      </c>
      <c r="D428" t="str">
        <f>IFERROR(__xludf.DUMMYFUNCTION("""COMPUTED_VALUE"""),"Quick Start to GTD")</f>
        <v>Quick Start to GTD</v>
      </c>
      <c r="E428" t="str">
        <f>IFERROR(__xludf.DUMMYFUNCTION("""COMPUTED_VALUE"""),"Quick Start to GTD")</f>
        <v>Quick Start to GTD</v>
      </c>
      <c r="F428">
        <f>IFERROR(__xludf.DUMMYFUNCTION("""COMPUTED_VALUE"""),1293438.0)</f>
        <v>1293438</v>
      </c>
      <c r="G428" t="str">
        <f>IFERROR(__xludf.DUMMYFUNCTION("""COMPUTED_VALUE"""),"Dan LeFebvre")</f>
        <v>Dan LeFebvre</v>
      </c>
      <c r="H428" t="str">
        <f>IFERROR(__xludf.DUMMYFUNCTION("""COMPUTED_VALUE"""),"Low Rating")</f>
        <v>Low Rating</v>
      </c>
      <c r="I428" t="str">
        <f>IFERROR(__xludf.DUMMYFUNCTION("""COMPUTED_VALUE"""),"Personal Development")</f>
        <v>Personal Development</v>
      </c>
      <c r="J428" t="str">
        <f>IFERROR(__xludf.DUMMYFUNCTION("""COMPUTED_VALUE"""),"Personal Growth")</f>
        <v>Personal Growth</v>
      </c>
      <c r="K428">
        <f>IFERROR(__xludf.DUMMYFUNCTION("""COMPUTED_VALUE"""),376472.0)</f>
        <v>376472</v>
      </c>
      <c r="L428" s="140" t="str">
        <f>IFERROR(__xludf.DUMMYFUNCTION("""COMPUTED_VALUE"""),"Get Things Done: How To Organize Your Life And Take Action")</f>
        <v>Get Things Done: How To Organize Your Life And Take Action</v>
      </c>
      <c r="N428" s="140" t="str">
        <f>IFERROR(__xludf.DUMMYFUNCTION("""COMPUTED_VALUE"""),"")</f>
        <v/>
      </c>
    </row>
    <row r="429">
      <c r="A429" s="143">
        <f>IFERROR(__xludf.DUMMYFUNCTION("""COMPUTED_VALUE"""),44371.0)</f>
        <v>44371</v>
      </c>
      <c r="B429">
        <f>IFERROR(__xludf.DUMMYFUNCTION("""COMPUTED_VALUE"""),1326122.0)</f>
        <v>1326122</v>
      </c>
      <c r="C429" t="str">
        <f>IFERROR(__xludf.DUMMYFUNCTION("""COMPUTED_VALUE"""),"en")</f>
        <v>en</v>
      </c>
      <c r="D429" t="str">
        <f>IFERROR(__xludf.DUMMYFUNCTION("""COMPUTED_VALUE"""),"Process Validation (101) in ISO 9001/Quality/Risk Management")</f>
        <v>Process Validation (101) in ISO 9001/Quality/Risk Management</v>
      </c>
      <c r="E429" t="str">
        <f>IFERROR(__xludf.DUMMYFUNCTION("""COMPUTED_VALUE"""),"Process Validation (101) in ISO 9001/Quality/Risk Management")</f>
        <v>Process Validation (101) in ISO 9001/Quality/Risk Management</v>
      </c>
      <c r="F429">
        <f>IFERROR(__xludf.DUMMYFUNCTION("""COMPUTED_VALUE"""),1.6933278E7)</f>
        <v>16933278</v>
      </c>
      <c r="G429" t="str">
        <f>IFERROR(__xludf.DUMMYFUNCTION("""COMPUTED_VALUE"""),"Marco CATANOSSI")</f>
        <v>Marco CATANOSSI</v>
      </c>
      <c r="H429" t="str">
        <f>IFERROR(__xludf.DUMMYFUNCTION("""COMPUTED_VALUE"""),"Low Rating")</f>
        <v>Low Rating</v>
      </c>
      <c r="I429" t="str">
        <f>IFERROR(__xludf.DUMMYFUNCTION("""COMPUTED_VALUE"""),"Project Management &amp; Operations")</f>
        <v>Project Management &amp; Operations</v>
      </c>
      <c r="J429" t="str">
        <f>IFERROR(__xludf.DUMMYFUNCTION("""COMPUTED_VALUE"""),"Operations Management")</f>
        <v>Operations Management</v>
      </c>
      <c r="K429">
        <f>IFERROR(__xludf.DUMMYFUNCTION("""COMPUTED_VALUE"""),1049210.0)</f>
        <v>1049210</v>
      </c>
      <c r="L429" s="140" t="str">
        <f>IFERROR(__xludf.DUMMYFUNCTION("""COMPUTED_VALUE"""),"ISO 9001:2015 Quality Management System Auditor Course")</f>
        <v>ISO 9001:2015 Quality Management System Auditor Course</v>
      </c>
      <c r="M429" s="155">
        <f>IFERROR(__xludf.DUMMYFUNCTION("""COMPUTED_VALUE"""),942882.0)</f>
        <v>942882</v>
      </c>
      <c r="N429" s="140" t="str">
        <f>IFERROR(__xludf.DUMMYFUNCTION("""COMPUTED_VALUE"""),"Mastering ISO 9001:2015+Self-Assessment Tool")</f>
        <v>Mastering ISO 9001:2015+Self-Assessment Tool</v>
      </c>
    </row>
    <row r="430">
      <c r="A430" s="143">
        <f>IFERROR(__xludf.DUMMYFUNCTION("""COMPUTED_VALUE"""),44371.0)</f>
        <v>44371</v>
      </c>
      <c r="B430">
        <f>IFERROR(__xludf.DUMMYFUNCTION("""COMPUTED_VALUE"""),756296.0)</f>
        <v>756296</v>
      </c>
      <c r="C430" t="str">
        <f>IFERROR(__xludf.DUMMYFUNCTION("""COMPUTED_VALUE"""),"en")</f>
        <v>en</v>
      </c>
      <c r="D430" t="str">
        <f>IFERROR(__xludf.DUMMYFUNCTION("""COMPUTED_VALUE"""),"SharePoint Online part 1 Sites, Lists and Libraries")</f>
        <v>SharePoint Online part 1 Sites, Lists and Libraries</v>
      </c>
      <c r="E430" t="str">
        <f>IFERROR(__xludf.DUMMYFUNCTION("""COMPUTED_VALUE"""),"SharePoint Online part 1 Sites, Lists and Libraries")</f>
        <v>SharePoint Online part 1 Sites, Lists and Libraries</v>
      </c>
      <c r="F430">
        <f>IFERROR(__xludf.DUMMYFUNCTION("""COMPUTED_VALUE"""),1.9563266E7)</f>
        <v>19563266</v>
      </c>
      <c r="G430" t="str">
        <f>IFERROR(__xludf.DUMMYFUNCTION("""COMPUTED_VALUE"""),"Kristof De Vos")</f>
        <v>Kristof De Vos</v>
      </c>
      <c r="H430" t="str">
        <f>IFERROR(__xludf.DUMMYFUNCTION("""COMPUTED_VALUE"""),"Low Rating")</f>
        <v>Low Rating</v>
      </c>
      <c r="I430" t="str">
        <f>IFERROR(__xludf.DUMMYFUNCTION("""COMPUTED_VALUE"""),"Office Productivity")</f>
        <v>Office Productivity</v>
      </c>
      <c r="J430" t="str">
        <f>IFERROR(__xludf.DUMMYFUNCTION("""COMPUTED_VALUE"""),"Collaboration")</f>
        <v>Collaboration</v>
      </c>
      <c r="K430">
        <f>IFERROR(__xludf.DUMMYFUNCTION("""COMPUTED_VALUE"""),646452.0)</f>
        <v>646452</v>
      </c>
      <c r="L430" s="140" t="str">
        <f>IFERROR(__xludf.DUMMYFUNCTION("""COMPUTED_VALUE"""),"Getting Started With SharePoint Online")</f>
        <v>Getting Started With SharePoint Online</v>
      </c>
      <c r="N430" s="140" t="str">
        <f>IFERROR(__xludf.DUMMYFUNCTION("""COMPUTED_VALUE"""),"")</f>
        <v/>
      </c>
    </row>
    <row r="431">
      <c r="A431" s="143">
        <f>IFERROR(__xludf.DUMMYFUNCTION("""COMPUTED_VALUE"""),44371.0)</f>
        <v>44371</v>
      </c>
      <c r="B431">
        <f>IFERROR(__xludf.DUMMYFUNCTION("""COMPUTED_VALUE"""),1573030.0)</f>
        <v>1573030</v>
      </c>
      <c r="C431" t="str">
        <f>IFERROR(__xludf.DUMMYFUNCTION("""COMPUTED_VALUE"""),"en")</f>
        <v>en</v>
      </c>
      <c r="D431" t="str">
        <f>IFERROR(__xludf.DUMMYFUNCTION("""COMPUTED_VALUE"""),"Burp-suite: A Master of bug bounty hunter")</f>
        <v>Burp-suite: A Master of bug bounty hunter</v>
      </c>
      <c r="E431" t="str">
        <f>IFERROR(__xludf.DUMMYFUNCTION("""COMPUTED_VALUE"""),"Burp-suite: A Master of bug bounty hunter")</f>
        <v>Burp-suite: A Master of bug bounty hunter</v>
      </c>
      <c r="F431">
        <f>IFERROR(__xludf.DUMMYFUNCTION("""COMPUTED_VALUE"""),3.9614992E7)</f>
        <v>39614992</v>
      </c>
      <c r="G431" t="str">
        <f>IFERROR(__xludf.DUMMYFUNCTION("""COMPUTED_VALUE"""),"Sac hackken")</f>
        <v>Sac hackken</v>
      </c>
      <c r="H431" t="str">
        <f>IFERROR(__xludf.DUMMYFUNCTION("""COMPUTED_VALUE"""),"Low Rating")</f>
        <v>Low Rating</v>
      </c>
      <c r="I431" t="str">
        <f>IFERROR(__xludf.DUMMYFUNCTION("""COMPUTED_VALUE"""),"IT Operations")</f>
        <v>IT Operations</v>
      </c>
      <c r="J431" t="str">
        <f>IFERROR(__xludf.DUMMYFUNCTION("""COMPUTED_VALUE"""),"Network &amp; Security")</f>
        <v>Network &amp; Security</v>
      </c>
      <c r="K431">
        <f>IFERROR(__xludf.DUMMYFUNCTION("""COMPUTED_VALUE"""),2642432.0)</f>
        <v>2642432</v>
      </c>
      <c r="L431" s="140" t="str">
        <f>IFERROR(__xludf.DUMMYFUNCTION("""COMPUTED_VALUE"""),"")</f>
        <v/>
      </c>
      <c r="M431" s="155">
        <f>IFERROR(__xludf.DUMMYFUNCTION("""COMPUTED_VALUE"""),1289926.0)</f>
        <v>1289926</v>
      </c>
      <c r="N431" s="140" t="str">
        <f>IFERROR(__xludf.DUMMYFUNCTION("""COMPUTED_VALUE"""),"Hacking Web Applications and Penetration Testing: Fast Start")</f>
        <v>Hacking Web Applications and Penetration Testing: Fast Start</v>
      </c>
    </row>
    <row r="432">
      <c r="A432" s="143">
        <f>IFERROR(__xludf.DUMMYFUNCTION("""COMPUTED_VALUE"""),44371.0)</f>
        <v>44371</v>
      </c>
      <c r="B432">
        <f>IFERROR(__xludf.DUMMYFUNCTION("""COMPUTED_VALUE"""),2815357.0)</f>
        <v>2815357</v>
      </c>
      <c r="C432" t="str">
        <f>IFERROR(__xludf.DUMMYFUNCTION("""COMPUTED_VALUE"""),"en")</f>
        <v>en</v>
      </c>
      <c r="D432" t="str">
        <f>IFERROR(__xludf.DUMMYFUNCTION("""COMPUTED_VALUE"""),"Advanced React (Render Performance Best Practices Patterns)")</f>
        <v>Advanced React (Render Performance Best Practices Patterns)</v>
      </c>
      <c r="E432" t="str">
        <f>IFERROR(__xludf.DUMMYFUNCTION("""COMPUTED_VALUE"""),"Advanced React (Render Performance Best Practices Patterns)")</f>
        <v>Advanced React (Render Performance Best Practices Patterns)</v>
      </c>
      <c r="F432">
        <f>IFERROR(__xludf.DUMMYFUNCTION("""COMPUTED_VALUE"""),6810658.0)</f>
        <v>6810658</v>
      </c>
      <c r="G432" t="str">
        <f>IFERROR(__xludf.DUMMYFUNCTION("""COMPUTED_VALUE"""),"Eyas Mattar")</f>
        <v>Eyas Mattar</v>
      </c>
      <c r="H432" t="str">
        <f>IFERROR(__xludf.DUMMYFUNCTION("""COMPUTED_VALUE"""),"Low Rating")</f>
        <v>Low Rating</v>
      </c>
      <c r="I432" t="str">
        <f>IFERROR(__xludf.DUMMYFUNCTION("""COMPUTED_VALUE"""),"Development")</f>
        <v>Development</v>
      </c>
      <c r="J432" t="str">
        <f>IFERROR(__xludf.DUMMYFUNCTION("""COMPUTED_VALUE"""),"Web Development")</f>
        <v>Web Development</v>
      </c>
      <c r="K432">
        <f>IFERROR(__xludf.DUMMYFUNCTION("""COMPUTED_VALUE"""),1362070.0)</f>
        <v>1362070</v>
      </c>
      <c r="L432" s="140" t="str">
        <f>IFERROR(__xludf.DUMMYFUNCTION("""COMPUTED_VALUE"""),"React - The Complete Guide (incl Hooks, React Router, Redux)")</f>
        <v>React - The Complete Guide (incl Hooks, React Router, Redux)</v>
      </c>
      <c r="N432" s="140" t="str">
        <f>IFERROR(__xludf.DUMMYFUNCTION("""COMPUTED_VALUE"""),"")</f>
        <v/>
      </c>
    </row>
    <row r="433">
      <c r="A433" s="143">
        <f>IFERROR(__xludf.DUMMYFUNCTION("""COMPUTED_VALUE"""),44371.0)</f>
        <v>44371</v>
      </c>
      <c r="B433">
        <f>IFERROR(__xludf.DUMMYFUNCTION("""COMPUTED_VALUE"""),395378.0)</f>
        <v>395378</v>
      </c>
      <c r="C433" t="str">
        <f>IFERROR(__xludf.DUMMYFUNCTION("""COMPUTED_VALUE"""),"en")</f>
        <v>en</v>
      </c>
      <c r="D433" t="str">
        <f>IFERROR(__xludf.DUMMYFUNCTION("""COMPUTED_VALUE"""),"B2B Sales - Close More Deals, Get More Leads, Work Less")</f>
        <v>B2B Sales - Close More Deals, Get More Leads, Work Less</v>
      </c>
      <c r="E433" t="str">
        <f>IFERROR(__xludf.DUMMYFUNCTION("""COMPUTED_VALUE"""),"B2B Sales - Close More Deals, Get More Leads, Work Less")</f>
        <v>B2B Sales - Close More Deals, Get More Leads, Work Less</v>
      </c>
      <c r="F433">
        <f>IFERROR(__xludf.DUMMYFUNCTION("""COMPUTED_VALUE"""),1.0017982E7)</f>
        <v>10017982</v>
      </c>
      <c r="G433" t="str">
        <f>IFERROR(__xludf.DUMMYFUNCTION("""COMPUTED_VALUE"""),"Dan Englander")</f>
        <v>Dan Englander</v>
      </c>
      <c r="H433" t="str">
        <f>IFERROR(__xludf.DUMMYFUNCTION("""COMPUTED_VALUE"""),"Low Rating")</f>
        <v>Low Rating</v>
      </c>
      <c r="I433" t="str">
        <f>IFERROR(__xludf.DUMMYFUNCTION("""COMPUTED_VALUE"""),"Sales")</f>
        <v>Sales</v>
      </c>
      <c r="J433" t="str">
        <f>IFERROR(__xludf.DUMMYFUNCTION("""COMPUTED_VALUE"""),"Sales Skills &amp; Tools")</f>
        <v>Sales Skills &amp; Tools</v>
      </c>
      <c r="K433">
        <f>IFERROR(__xludf.DUMMYFUNCTION("""COMPUTED_VALUE"""),1449746.0)</f>
        <v>1449746</v>
      </c>
      <c r="L433" s="140" t="str">
        <f>IFERROR(__xludf.DUMMYFUNCTION("""COMPUTED_VALUE"""),"Business Development &amp; B2B Sales for Startups- Sales Valley")</f>
        <v>Business Development &amp; B2B Sales for Startups- Sales Valley</v>
      </c>
      <c r="M433" s="155">
        <f>IFERROR(__xludf.DUMMYFUNCTION("""COMPUTED_VALUE"""),1426364.0)</f>
        <v>1426364</v>
      </c>
      <c r="N433" s="140" t="str">
        <f>IFERROR(__xludf.DUMMYFUNCTION("""COMPUTED_VALUE"""),"Sales Machine: The Sales Training B2B Master Course")</f>
        <v>Sales Machine: The Sales Training B2B Master Course</v>
      </c>
    </row>
    <row r="434">
      <c r="A434" s="143">
        <f>IFERROR(__xludf.DUMMYFUNCTION("""COMPUTED_VALUE"""),44371.0)</f>
        <v>44371</v>
      </c>
      <c r="B434">
        <f>IFERROR(__xludf.DUMMYFUNCTION("""COMPUTED_VALUE"""),1029244.0)</f>
        <v>1029244</v>
      </c>
      <c r="C434" t="str">
        <f>IFERROR(__xludf.DUMMYFUNCTION("""COMPUTED_VALUE"""),"en")</f>
        <v>en</v>
      </c>
      <c r="D434" t="str">
        <f>IFERROR(__xludf.DUMMYFUNCTION("""COMPUTED_VALUE"""),"CompTIA Linux+ LX0-101 &amp; LX0-102")</f>
        <v>CompTIA Linux+ LX0-101 &amp; LX0-102</v>
      </c>
      <c r="E434" t="str">
        <f>IFERROR(__xludf.DUMMYFUNCTION("""COMPUTED_VALUE"""),"CompTIA Linux+ LX0-101 &amp; LX0-102")</f>
        <v>CompTIA Linux+ LX0-101 &amp; LX0-102</v>
      </c>
      <c r="F434">
        <f>IFERROR(__xludf.DUMMYFUNCTION("""COMPUTED_VALUE"""),2.6445626E7)</f>
        <v>26445626</v>
      </c>
      <c r="G434" t="str">
        <f>IFERROR(__xludf.DUMMYFUNCTION("""COMPUTED_VALUE"""),"Dynamic Expanse")</f>
        <v>Dynamic Expanse</v>
      </c>
      <c r="H434" t="str">
        <f>IFERROR(__xludf.DUMMYFUNCTION("""COMPUTED_VALUE"""),"Low Rating")</f>
        <v>Low Rating</v>
      </c>
      <c r="I434" t="str">
        <f>IFERROR(__xludf.DUMMYFUNCTION("""COMPUTED_VALUE"""),"IT Operations")</f>
        <v>IT Operations</v>
      </c>
      <c r="J434" t="str">
        <f>IFERROR(__xludf.DUMMYFUNCTION("""COMPUTED_VALUE"""),"IT Certifications")</f>
        <v>IT Certifications</v>
      </c>
      <c r="L434" s="140" t="str">
        <f>IFERROR(__xludf.DUMMYFUNCTION("""COMPUTED_VALUE"""),"")</f>
        <v/>
      </c>
      <c r="N434" s="140" t="str">
        <f>IFERROR(__xludf.DUMMYFUNCTION("""COMPUTED_VALUE"""),"")</f>
        <v/>
      </c>
      <c r="O434" s="140" t="str">
        <f>IFERROR(__xludf.DUMMYFUNCTION("""COMPUTED_VALUE"""),"No Alternatives in Collection- 5/15/2021")</f>
        <v>No Alternatives in Collection- 5/15/2021</v>
      </c>
    </row>
    <row r="435">
      <c r="A435" s="143">
        <f>IFERROR(__xludf.DUMMYFUNCTION("""COMPUTED_VALUE"""),44371.0)</f>
        <v>44371</v>
      </c>
      <c r="B435">
        <f>IFERROR(__xludf.DUMMYFUNCTION("""COMPUTED_VALUE"""),1412464.0)</f>
        <v>1412464</v>
      </c>
      <c r="C435" t="str">
        <f>IFERROR(__xludf.DUMMYFUNCTION("""COMPUTED_VALUE"""),"en")</f>
        <v>en</v>
      </c>
      <c r="D435" t="str">
        <f>IFERROR(__xludf.DUMMYFUNCTION("""COMPUTED_VALUE"""),"Data Structures and Algorithms in C++ For Coding Interview")</f>
        <v>Data Structures and Algorithms in C++ For Coding Interview</v>
      </c>
      <c r="E435" t="str">
        <f>IFERROR(__xludf.DUMMYFUNCTION("""COMPUTED_VALUE"""),"Data Structures and Algorithms in C++ For Coding Interview")</f>
        <v>Data Structures and Algorithms in C++ For Coding Interview</v>
      </c>
      <c r="F435">
        <f>IFERROR(__xludf.DUMMYFUNCTION("""COMPUTED_VALUE"""),2247048.0)</f>
        <v>2247048</v>
      </c>
      <c r="G435" t="str">
        <f>IFERROR(__xludf.DUMMYFUNCTION("""COMPUTED_VALUE"""),"El Farouk Yasser")</f>
        <v>El Farouk Yasser</v>
      </c>
      <c r="H435" t="str">
        <f>IFERROR(__xludf.DUMMYFUNCTION("""COMPUTED_VALUE"""),"Low Rating")</f>
        <v>Low Rating</v>
      </c>
      <c r="I435" t="str">
        <f>IFERROR(__xludf.DUMMYFUNCTION("""COMPUTED_VALUE"""),"Development")</f>
        <v>Development</v>
      </c>
      <c r="J435" t="str">
        <f>IFERROR(__xludf.DUMMYFUNCTION("""COMPUTED_VALUE"""),"Software Engineering")</f>
        <v>Software Engineering</v>
      </c>
      <c r="K435">
        <f>IFERROR(__xludf.DUMMYFUNCTION("""COMPUTED_VALUE"""),1917546.0)</f>
        <v>1917546</v>
      </c>
      <c r="L435" s="140" t="str">
        <f>IFERROR(__xludf.DUMMYFUNCTION("""COMPUTED_VALUE"""),"Master the Coding Interview: Data Structures + Algorithms")</f>
        <v>Master the Coding Interview: Data Structures + Algorithms</v>
      </c>
      <c r="M435" s="155">
        <f>IFERROR(__xludf.DUMMYFUNCTION("""COMPUTED_VALUE"""),2121018.0)</f>
        <v>2121018</v>
      </c>
      <c r="N435" s="140" t="str">
        <f>IFERROR(__xludf.DUMMYFUNCTION("""COMPUTED_VALUE"""),"Mastering Data Structures &amp; Algorithms using C and C++")</f>
        <v>Mastering Data Structures &amp; Algorithms using C and C++</v>
      </c>
    </row>
    <row r="436">
      <c r="A436" s="143">
        <f>IFERROR(__xludf.DUMMYFUNCTION("""COMPUTED_VALUE"""),44371.0)</f>
        <v>44371</v>
      </c>
      <c r="B436">
        <f>IFERROR(__xludf.DUMMYFUNCTION("""COMPUTED_VALUE"""),1392722.0)</f>
        <v>1392722</v>
      </c>
      <c r="C436" t="str">
        <f>IFERROR(__xludf.DUMMYFUNCTION("""COMPUTED_VALUE"""),"en")</f>
        <v>en</v>
      </c>
      <c r="D436" t="str">
        <f>IFERROR(__xludf.DUMMYFUNCTION("""COMPUTED_VALUE"""),"Learn the Basics of Waste Management: Manage &amp; Reduce Waste")</f>
        <v>Learn the Basics of Waste Management: Manage &amp; Reduce Waste</v>
      </c>
      <c r="E436" t="str">
        <f>IFERROR(__xludf.DUMMYFUNCTION("""COMPUTED_VALUE"""),"Learn the Basics of Waste Management: Manage &amp; Reduce Waste")</f>
        <v>Learn the Basics of Waste Management: Manage &amp; Reduce Waste</v>
      </c>
      <c r="F436">
        <f>IFERROR(__xludf.DUMMYFUNCTION("""COMPUTED_VALUE"""),3.0110334E7)</f>
        <v>30110334</v>
      </c>
      <c r="G436" t="str">
        <f>IFERROR(__xludf.DUMMYFUNCTION("""COMPUTED_VALUE"""),"LetsTute Make it Easy")</f>
        <v>LetsTute Make it Easy</v>
      </c>
      <c r="H436" t="str">
        <f>IFERROR(__xludf.DUMMYFUNCTION("""COMPUTED_VALUE"""),"Low Rating")</f>
        <v>Low Rating</v>
      </c>
      <c r="I436" t="str">
        <f>IFERROR(__xludf.DUMMYFUNCTION("""COMPUTED_VALUE"""),"Project Management &amp; Operations")</f>
        <v>Project Management &amp; Operations</v>
      </c>
      <c r="J436" t="str">
        <f>IFERROR(__xludf.DUMMYFUNCTION("""COMPUTED_VALUE"""),"Operations Management")</f>
        <v>Operations Management</v>
      </c>
      <c r="K436">
        <f>IFERROR(__xludf.DUMMYFUNCTION("""COMPUTED_VALUE"""),1897892.0)</f>
        <v>1897892</v>
      </c>
      <c r="L436" s="140" t="str">
        <f>IFERROR(__xludf.DUMMYFUNCTION("""COMPUTED_VALUE"""),"Solid Waste Mangement")</f>
        <v>Solid Waste Mangement</v>
      </c>
      <c r="N436" s="140" t="str">
        <f>IFERROR(__xludf.DUMMYFUNCTION("""COMPUTED_VALUE"""),"")</f>
        <v/>
      </c>
    </row>
    <row r="437">
      <c r="A437" s="143">
        <f>IFERROR(__xludf.DUMMYFUNCTION("""COMPUTED_VALUE"""),44371.0)</f>
        <v>44371</v>
      </c>
      <c r="B437">
        <f>IFERROR(__xludf.DUMMYFUNCTION("""COMPUTED_VALUE"""),1916776.0)</f>
        <v>1916776</v>
      </c>
      <c r="C437" t="str">
        <f>IFERROR(__xludf.DUMMYFUNCTION("""COMPUTED_VALUE"""),"en")</f>
        <v>en</v>
      </c>
      <c r="D437" t="str">
        <f>IFERROR(__xludf.DUMMYFUNCTION("""COMPUTED_VALUE"""),"PMP Exam Maths, Formulas &amp; Equations Simplified for PMP 6")</f>
        <v>PMP Exam Maths, Formulas &amp; Equations Simplified for PMP 6</v>
      </c>
      <c r="E437" t="str">
        <f>IFERROR(__xludf.DUMMYFUNCTION("""COMPUTED_VALUE"""),"PMP Exam Maths, Formulas &amp; Equations Simplified for PMP 6")</f>
        <v>PMP Exam Maths, Formulas &amp; Equations Simplified for PMP 6</v>
      </c>
      <c r="F437">
        <f>IFERROR(__xludf.DUMMYFUNCTION("""COMPUTED_VALUE"""),3.9725896E7)</f>
        <v>39725896</v>
      </c>
      <c r="G437" t="str">
        <f>IFERROR(__xludf.DUMMYFUNCTION("""COMPUTED_VALUE"""),"Ahsan Riaz PMP")</f>
        <v>Ahsan Riaz PMP</v>
      </c>
      <c r="H437" t="str">
        <f>IFERROR(__xludf.DUMMYFUNCTION("""COMPUTED_VALUE"""),"Low Rating")</f>
        <v>Low Rating</v>
      </c>
      <c r="I437" t="str">
        <f>IFERROR(__xludf.DUMMYFUNCTION("""COMPUTED_VALUE"""),"Project Management &amp; Operations")</f>
        <v>Project Management &amp; Operations</v>
      </c>
      <c r="J437" t="str">
        <f>IFERROR(__xludf.DUMMYFUNCTION("""COMPUTED_VALUE"""),"Project Management Certifications")</f>
        <v>Project Management Certifications</v>
      </c>
      <c r="K437">
        <f>IFERROR(__xludf.DUMMYFUNCTION("""COMPUTED_VALUE"""),2503124.0)</f>
        <v>2503124</v>
      </c>
      <c r="L437" s="140" t="str">
        <f>IFERROR(__xludf.DUMMYFUNCTION("""COMPUTED_VALUE"""),"PMP: The Complete PMP Course &amp; Practice Exam PMI PMBOK 6 '20")</f>
        <v>PMP: The Complete PMP Course &amp; Practice Exam PMI PMBOK 6 '20</v>
      </c>
      <c r="N437" s="140" t="str">
        <f>IFERROR(__xludf.DUMMYFUNCTION("""COMPUTED_VALUE"""),"")</f>
        <v/>
      </c>
    </row>
    <row r="438">
      <c r="A438" s="143">
        <f>IFERROR(__xludf.DUMMYFUNCTION("""COMPUTED_VALUE"""),44371.0)</f>
        <v>44371</v>
      </c>
      <c r="B438">
        <f>IFERROR(__xludf.DUMMYFUNCTION("""COMPUTED_VALUE"""),1192724.0)</f>
        <v>1192724</v>
      </c>
      <c r="C438" t="str">
        <f>IFERROR(__xludf.DUMMYFUNCTION("""COMPUTED_VALUE"""),"es")</f>
        <v>es</v>
      </c>
      <c r="D438" t="str">
        <f>IFERROR(__xludf.DUMMYFUNCTION("""COMPUTED_VALUE"""),"Google Analytics, Curso completo con Profesor Certificado")</f>
        <v>Google Analytics, Curso completo con Profesor Certificado</v>
      </c>
      <c r="E438" t="str">
        <f>IFERROR(__xludf.DUMMYFUNCTION("""COMPUTED_VALUE"""),"Google Analytics, Full Course with Certified Professor")</f>
        <v>Google Analytics, Full Course with Certified Professor</v>
      </c>
      <c r="F438">
        <f>IFERROR(__xludf.DUMMYFUNCTION("""COMPUTED_VALUE"""),2646070.0)</f>
        <v>2646070</v>
      </c>
      <c r="G438" t="str">
        <f>IFERROR(__xludf.DUMMYFUNCTION("""COMPUTED_VALUE"""),"Nicolas Laczka")</f>
        <v>Nicolas Laczka</v>
      </c>
      <c r="H438" t="str">
        <f>IFERROR(__xludf.DUMMYFUNCTION("""COMPUTED_VALUE"""),"Low Rating")</f>
        <v>Low Rating</v>
      </c>
      <c r="I438" t="str">
        <f>IFERROR(__xludf.DUMMYFUNCTION("""COMPUTED_VALUE"""),"Marketing")</f>
        <v>Marketing</v>
      </c>
      <c r="J438" t="str">
        <f>IFERROR(__xludf.DUMMYFUNCTION("""COMPUTED_VALUE"""),"Marketing Analytics &amp; Automation")</f>
        <v>Marketing Analytics &amp; Automation</v>
      </c>
      <c r="K438">
        <f>IFERROR(__xludf.DUMMYFUNCTION("""COMPUTED_VALUE"""),2217998.0)</f>
        <v>2217998</v>
      </c>
      <c r="L438" s="140" t="str">
        <f>IFERROR(__xludf.DUMMYFUNCTION("""COMPUTED_VALUE"""),"Curso Completo de Marketing Digital - 23 Cursos en 1")</f>
        <v>Curso Completo de Marketing Digital - 23 Cursos en 1</v>
      </c>
      <c r="N438" s="140" t="str">
        <f>IFERROR(__xludf.DUMMYFUNCTION("""COMPUTED_VALUE"""),"")</f>
        <v/>
      </c>
    </row>
    <row r="439">
      <c r="A439" s="143">
        <f>IFERROR(__xludf.DUMMYFUNCTION("""COMPUTED_VALUE"""),44371.0)</f>
        <v>44371</v>
      </c>
      <c r="B439">
        <f>IFERROR(__xludf.DUMMYFUNCTION("""COMPUTED_VALUE"""),1759390.0)</f>
        <v>1759390</v>
      </c>
      <c r="C439" t="str">
        <f>IFERROR(__xludf.DUMMYFUNCTION("""COMPUTED_VALUE"""),"de")</f>
        <v>de</v>
      </c>
      <c r="D439" t="str">
        <f>IFERROR(__xludf.DUMMYFUNCTION("""COMPUTED_VALUE"""),"Spring Boot")</f>
        <v>Spring Boot</v>
      </c>
      <c r="E439" t="str">
        <f>IFERROR(__xludf.DUMMYFUNCTION("""COMPUTED_VALUE"""),"Spring Boot")</f>
        <v>Spring Boot</v>
      </c>
      <c r="F439">
        <f>IFERROR(__xludf.DUMMYFUNCTION("""COMPUTED_VALUE"""),2.2857774E7)</f>
        <v>22857774</v>
      </c>
      <c r="G439" t="str">
        <f>IFERROR(__xludf.DUMMYFUNCTION("""COMPUTED_VALUE"""),"Christian Trutz")</f>
        <v>Christian Trutz</v>
      </c>
      <c r="H439" t="str">
        <f>IFERROR(__xludf.DUMMYFUNCTION("""COMPUTED_VALUE"""),"Low Rating")</f>
        <v>Low Rating</v>
      </c>
      <c r="I439" t="str">
        <f>IFERROR(__xludf.DUMMYFUNCTION("""COMPUTED_VALUE"""),"Development")</f>
        <v>Development</v>
      </c>
      <c r="J439" t="str">
        <f>IFERROR(__xludf.DUMMYFUNCTION("""COMPUTED_VALUE"""),"Web Development")</f>
        <v>Web Development</v>
      </c>
      <c r="L439" s="140" t="str">
        <f>IFERROR(__xludf.DUMMYFUNCTION("""COMPUTED_VALUE"""),"")</f>
        <v/>
      </c>
      <c r="N439" s="140" t="str">
        <f>IFERROR(__xludf.DUMMYFUNCTION("""COMPUTED_VALUE"""),"")</f>
        <v/>
      </c>
      <c r="O439" s="140" t="str">
        <f>IFERROR(__xludf.DUMMYFUNCTION("""COMPUTED_VALUE"""),"No Alternatives in Collection- 5/15/2021")</f>
        <v>No Alternatives in Collection- 5/15/2021</v>
      </c>
    </row>
    <row r="440">
      <c r="A440" s="143">
        <f>IFERROR(__xludf.DUMMYFUNCTION("""COMPUTED_VALUE"""),44371.0)</f>
        <v>44371</v>
      </c>
      <c r="B440">
        <f>IFERROR(__xludf.DUMMYFUNCTION("""COMPUTED_VALUE"""),1099324.0)</f>
        <v>1099324</v>
      </c>
      <c r="C440" t="str">
        <f>IFERROR(__xludf.DUMMYFUNCTION("""COMPUTED_VALUE"""),"pt")</f>
        <v>pt</v>
      </c>
      <c r="D440" t="str">
        <f>IFERROR(__xludf.DUMMYFUNCTION("""COMPUTED_VALUE"""),"AWS para Iniciantes")</f>
        <v>AWS para Iniciantes</v>
      </c>
      <c r="E440" t="str">
        <f>IFERROR(__xludf.DUMMYFUNCTION("""COMPUTED_VALUE"""),"AWS for beginners")</f>
        <v>AWS for beginners</v>
      </c>
      <c r="F440">
        <f>IFERROR(__xludf.DUMMYFUNCTION("""COMPUTED_VALUE"""),5377106.0)</f>
        <v>5377106</v>
      </c>
      <c r="G440" t="str">
        <f>IFERROR(__xludf.DUMMYFUNCTION("""COMPUTED_VALUE"""),"Francisco Edilton")</f>
        <v>Francisco Edilton</v>
      </c>
      <c r="H440" t="str">
        <f>IFERROR(__xludf.DUMMYFUNCTION("""COMPUTED_VALUE"""),"Low Rating")</f>
        <v>Low Rating</v>
      </c>
      <c r="I440" t="str">
        <f>IFERROR(__xludf.DUMMYFUNCTION("""COMPUTED_VALUE"""),"Cloud Computing")</f>
        <v>Cloud Computing</v>
      </c>
      <c r="J440" t="str">
        <f>IFERROR(__xludf.DUMMYFUNCTION("""COMPUTED_VALUE"""),"Cloud Fundamentals")</f>
        <v>Cloud Fundamentals</v>
      </c>
      <c r="K440">
        <f>IFERROR(__xludf.DUMMYFUNCTION("""COMPUTED_VALUE"""),1802016.0)</f>
        <v>1802016</v>
      </c>
      <c r="L440" s="140" t="str">
        <f>IFERROR(__xludf.DUMMYFUNCTION("""COMPUTED_VALUE"""),"AWS para Iniciantes 2020 - Aprenda e Domine a nuvem Amazon")</f>
        <v>AWS para Iniciantes 2020 - Aprenda e Domine a nuvem Amazon</v>
      </c>
      <c r="N440" s="140" t="str">
        <f>IFERROR(__xludf.DUMMYFUNCTION("""COMPUTED_VALUE"""),"")</f>
        <v/>
      </c>
    </row>
    <row r="441">
      <c r="A441" s="143">
        <f>IFERROR(__xludf.DUMMYFUNCTION("""COMPUTED_VALUE"""),44371.0)</f>
        <v>44371</v>
      </c>
      <c r="B441">
        <f>IFERROR(__xludf.DUMMYFUNCTION("""COMPUTED_VALUE"""),3156278.0)</f>
        <v>3156278</v>
      </c>
      <c r="C441" t="str">
        <f>IFERROR(__xludf.DUMMYFUNCTION("""COMPUTED_VALUE"""),"ja")</f>
        <v>ja</v>
      </c>
      <c r="D441" t="str">
        <f>IFERROR(__xludf.DUMMYFUNCTION("""COMPUTED_VALUE"""),"コロナ時代の「超 テレワーク 仕事術」 週4日の働きで成果を上げる、リモートワーク先進企業の生産性アップ術 160分講座")</f>
        <v>コロナ時代の「超 テレワーク 仕事術」 週4日の働きで成果を上げる、リモートワーク先進企業の生産性アップ術 160分講座</v>
      </c>
      <c r="E441" t="str">
        <f>IFERROR(__xludf.DUMMYFUNCTION("""COMPUTED_VALUE"""),"Productivity of remote work advanced companies 160 minutes course to achieve results by the work of 4 days a week in the Corona era ""Super telework work")</f>
        <v>Productivity of remote work advanced companies 160 minutes course to achieve results by the work of 4 days a week in the Corona era "Super telework work</v>
      </c>
      <c r="F441">
        <f>IFERROR(__xludf.DUMMYFUNCTION("""COMPUTED_VALUE"""),5.7154614E7)</f>
        <v>57154614</v>
      </c>
      <c r="G441" t="str">
        <f>IFERROR(__xludf.DUMMYFUNCTION("""COMPUTED_VALUE"""),"拓 渡辺")</f>
        <v>拓 渡辺</v>
      </c>
      <c r="H441" t="str">
        <f>IFERROR(__xludf.DUMMYFUNCTION("""COMPUTED_VALUE"""),"Low Rating")</f>
        <v>Low Rating</v>
      </c>
      <c r="I441" t="str">
        <f>IFERROR(__xludf.DUMMYFUNCTION("""COMPUTED_VALUE"""),"Office Productivity")</f>
        <v>Office Productivity</v>
      </c>
      <c r="J441" t="str">
        <f>IFERROR(__xludf.DUMMYFUNCTION("""COMPUTED_VALUE"""),"Collaboration")</f>
        <v>Collaboration</v>
      </c>
      <c r="L441" s="140" t="str">
        <f>IFERROR(__xludf.DUMMYFUNCTION("""COMPUTED_VALUE"""),"")</f>
        <v/>
      </c>
      <c r="N441" s="140" t="str">
        <f>IFERROR(__xludf.DUMMYFUNCTION("""COMPUTED_VALUE"""),"")</f>
        <v/>
      </c>
      <c r="O441" s="140" t="str">
        <f>IFERROR(__xludf.DUMMYFUNCTION("""COMPUTED_VALUE"""),"No Alternatives in Collection - 2/20/2021")</f>
        <v>No Alternatives in Collection - 2/20/2021</v>
      </c>
    </row>
    <row r="442">
      <c r="A442" s="143">
        <f>IFERROR(__xludf.DUMMYFUNCTION("""COMPUTED_VALUE"""),44371.0)</f>
        <v>44371</v>
      </c>
      <c r="B442">
        <f>IFERROR(__xludf.DUMMYFUNCTION("""COMPUTED_VALUE"""),1317912.0)</f>
        <v>1317912</v>
      </c>
      <c r="C442" t="str">
        <f>IFERROR(__xludf.DUMMYFUNCTION("""COMPUTED_VALUE"""),"ja")</f>
        <v>ja</v>
      </c>
      <c r="D442" t="str">
        <f>IFERROR(__xludf.DUMMYFUNCTION("""COMPUTED_VALUE"""),"【更新：2021.01.10】会社の売り上げに貢献するSNS活用 基礎講座（企業ブログ活用の重点解説付き）")</f>
        <v>【更新：2021.01.10】会社の売り上げに貢献するSNS活用 基礎講座（企業ブログ活用の重点解説付き）</v>
      </c>
      <c r="E442" t="str">
        <f>IFERROR(__xludf.DUMMYFUNCTION("""COMPUTED_VALUE"""),"[Update: 2021.01.10] SNS utilization basic course contributing to company sales (with priority commentary of corporate blog utilization)")</f>
        <v>[Update: 2021.01.10] SNS utilization basic course contributing to company sales (with priority commentary of corporate blog utilization)</v>
      </c>
      <c r="F442">
        <f>IFERROR(__xludf.DUMMYFUNCTION("""COMPUTED_VALUE"""),2.3165802E7)</f>
        <v>23165802</v>
      </c>
      <c r="G442" t="str">
        <f>IFERROR(__xludf.DUMMYFUNCTION("""COMPUTED_VALUE"""),"遠藤 聡")</f>
        <v>遠藤 聡</v>
      </c>
      <c r="H442" t="str">
        <f>IFERROR(__xludf.DUMMYFUNCTION("""COMPUTED_VALUE"""),"Low Rating")</f>
        <v>Low Rating</v>
      </c>
      <c r="I442" t="str">
        <f>IFERROR(__xludf.DUMMYFUNCTION("""COMPUTED_VALUE"""),"Marketing")</f>
        <v>Marketing</v>
      </c>
      <c r="J442" t="str">
        <f>IFERROR(__xludf.DUMMYFUNCTION("""COMPUTED_VALUE"""),"Digital Marketing")</f>
        <v>Digital Marketing</v>
      </c>
      <c r="L442" s="140" t="str">
        <f>IFERROR(__xludf.DUMMYFUNCTION("""COMPUTED_VALUE"""),"")</f>
        <v/>
      </c>
      <c r="N442" s="140" t="str">
        <f>IFERROR(__xludf.DUMMYFUNCTION("""COMPUTED_VALUE"""),"")</f>
        <v/>
      </c>
      <c r="O442" s="140" t="str">
        <f>IFERROR(__xludf.DUMMYFUNCTION("""COMPUTED_VALUE"""),"No Alternatives in Collection - 2/20/2021")</f>
        <v>No Alternatives in Collection - 2/20/2021</v>
      </c>
    </row>
    <row r="443">
      <c r="A443" s="143">
        <f>IFERROR(__xludf.DUMMYFUNCTION("""COMPUTED_VALUE"""),44371.0)</f>
        <v>44371</v>
      </c>
      <c r="B443">
        <f>IFERROR(__xludf.DUMMYFUNCTION("""COMPUTED_VALUE"""),1723362.0)</f>
        <v>1723362</v>
      </c>
      <c r="C443" t="str">
        <f>IFERROR(__xludf.DUMMYFUNCTION("""COMPUTED_VALUE"""),"pt")</f>
        <v>pt</v>
      </c>
      <c r="D443" t="str">
        <f>IFERROR(__xludf.DUMMYFUNCTION("""COMPUTED_VALUE"""),"Como Vender Mais Com Ofertas Poderosas e Persuasivas + Copy")</f>
        <v>Como Vender Mais Com Ofertas Poderosas e Persuasivas + Copy</v>
      </c>
      <c r="E443" t="str">
        <f>IFERROR(__xludf.DUMMYFUNCTION("""COMPUTED_VALUE"""),"How to sell more with powerful and persuasive offers + copy")</f>
        <v>How to sell more with powerful and persuasive offers + copy</v>
      </c>
      <c r="F443">
        <f>IFERROR(__xludf.DUMMYFUNCTION("""COMPUTED_VALUE"""),4.416018E7)</f>
        <v>44160180</v>
      </c>
      <c r="G443" t="str">
        <f>IFERROR(__xludf.DUMMYFUNCTION("""COMPUTED_VALUE"""),"Edson L P Camacho")</f>
        <v>Edson L P Camacho</v>
      </c>
      <c r="H443" t="str">
        <f>IFERROR(__xludf.DUMMYFUNCTION("""COMPUTED_VALUE"""),"3 Flags")</f>
        <v>3 Flags</v>
      </c>
      <c r="I443" t="str">
        <f>IFERROR(__xludf.DUMMYFUNCTION("""COMPUTED_VALUE"""),"Marketing")</f>
        <v>Marketing</v>
      </c>
      <c r="J443" t="str">
        <f>IFERROR(__xludf.DUMMYFUNCTION("""COMPUTED_VALUE"""),"Content Marketing")</f>
        <v>Content Marketing</v>
      </c>
      <c r="L443" s="140" t="str">
        <f>IFERROR(__xludf.DUMMYFUNCTION("""COMPUTED_VALUE"""),"")</f>
        <v/>
      </c>
      <c r="N443" s="140" t="str">
        <f>IFERROR(__xludf.DUMMYFUNCTION("""COMPUTED_VALUE"""),"")</f>
        <v/>
      </c>
      <c r="O443" s="140" t="str">
        <f>IFERROR(__xludf.DUMMYFUNCTION("""COMPUTED_VALUE"""),"No Alternatives in Collection- 5/15/2021")</f>
        <v>No Alternatives in Collection- 5/15/2021</v>
      </c>
    </row>
    <row r="444">
      <c r="A444" s="143">
        <f>IFERROR(__xludf.DUMMYFUNCTION("""COMPUTED_VALUE"""),44371.0)</f>
        <v>44371</v>
      </c>
      <c r="B444">
        <f>IFERROR(__xludf.DUMMYFUNCTION("""COMPUTED_VALUE"""),1958442.0)</f>
        <v>1958442</v>
      </c>
      <c r="C444" t="str">
        <f>IFERROR(__xludf.DUMMYFUNCTION("""COMPUTED_VALUE"""),"pt")</f>
        <v>pt</v>
      </c>
      <c r="D444" t="str">
        <f>IFERROR(__xludf.DUMMYFUNCTION("""COMPUTED_VALUE"""),"Gestão de Marketing | Atualizado |")</f>
        <v>Gestão de Marketing | Atualizado |</v>
      </c>
      <c r="E444" t="str">
        <f>IFERROR(__xludf.DUMMYFUNCTION("""COMPUTED_VALUE"""),"Marketing Management | Updated |")</f>
        <v>Marketing Management | Updated |</v>
      </c>
      <c r="F444">
        <f>IFERROR(__xludf.DUMMYFUNCTION("""COMPUTED_VALUE"""),3.330866E7)</f>
        <v>33308660</v>
      </c>
      <c r="G444" t="str">
        <f>IFERROR(__xludf.DUMMYFUNCTION("""COMPUTED_VALUE"""),"Ronilde Martins")</f>
        <v>Ronilde Martins</v>
      </c>
      <c r="H444" t="str">
        <f>IFERROR(__xludf.DUMMYFUNCTION("""COMPUTED_VALUE"""),"3 Flags")</f>
        <v>3 Flags</v>
      </c>
      <c r="I444" t="str">
        <f>IFERROR(__xludf.DUMMYFUNCTION("""COMPUTED_VALUE"""),"Marketing")</f>
        <v>Marketing</v>
      </c>
      <c r="J444" t="str">
        <f>IFERROR(__xludf.DUMMYFUNCTION("""COMPUTED_VALUE"""),"Marketing Strategy")</f>
        <v>Marketing Strategy</v>
      </c>
      <c r="K444">
        <f>IFERROR(__xludf.DUMMYFUNCTION("""COMPUTED_VALUE"""),2110806.0)</f>
        <v>2110806</v>
      </c>
      <c r="L444" s="140" t="str">
        <f>IFERROR(__xludf.DUMMYFUNCTION("""COMPUTED_VALUE"""),"Estratégia de Marketing")</f>
        <v>Estratégia de Marketing</v>
      </c>
      <c r="M444" s="155">
        <f>IFERROR(__xludf.DUMMYFUNCTION("""COMPUTED_VALUE"""),1684832.0)</f>
        <v>1684832</v>
      </c>
      <c r="N444" s="140" t="str">
        <f>IFERROR(__xludf.DUMMYFUNCTION("""COMPUTED_VALUE"""),"Curso Completo de Marketing Digital - 23 Cursos em 1")</f>
        <v>Curso Completo de Marketing Digital - 23 Cursos em 1</v>
      </c>
    </row>
    <row r="445">
      <c r="A445" s="143">
        <f>IFERROR(__xludf.DUMMYFUNCTION("""COMPUTED_VALUE"""),44371.0)</f>
        <v>44371</v>
      </c>
      <c r="B445">
        <f>IFERROR(__xludf.DUMMYFUNCTION("""COMPUTED_VALUE"""),1521426.0)</f>
        <v>1521426</v>
      </c>
      <c r="C445" t="str">
        <f>IFERROR(__xludf.DUMMYFUNCTION("""COMPUTED_VALUE"""),"fr")</f>
        <v>fr</v>
      </c>
      <c r="D445" t="str">
        <f>IFERROR(__xludf.DUMMYFUNCTION("""COMPUTED_VALUE"""),"CCNA7: Examen Cisco CCNA 200-301")</f>
        <v>CCNA7: Examen Cisco CCNA 200-301</v>
      </c>
      <c r="E445" t="str">
        <f>IFERROR(__xludf.DUMMYFUNCTION("""COMPUTED_VALUE"""),"CCNA7: Cisco CCNA 200-301 exam")</f>
        <v>CCNA7: Cisco CCNA 200-301 exam</v>
      </c>
      <c r="F445">
        <f>IFERROR(__xludf.DUMMYFUNCTION("""COMPUTED_VALUE"""),3.6522712E7)</f>
        <v>36522712</v>
      </c>
      <c r="G445" t="str">
        <f>IFERROR(__xludf.DUMMYFUNCTION("""COMPUTED_VALUE"""),"Damien | Cisco | CCNA")</f>
        <v>Damien | Cisco | CCNA</v>
      </c>
      <c r="H445" t="str">
        <f>IFERROR(__xludf.DUMMYFUNCTION("""COMPUTED_VALUE"""),"3 Flags")</f>
        <v>3 Flags</v>
      </c>
      <c r="I445" t="str">
        <f>IFERROR(__xludf.DUMMYFUNCTION("""COMPUTED_VALUE"""),"IT Operations")</f>
        <v>IT Operations</v>
      </c>
      <c r="J445" t="str">
        <f>IFERROR(__xludf.DUMMYFUNCTION("""COMPUTED_VALUE"""),"IT Certifications")</f>
        <v>IT Certifications</v>
      </c>
      <c r="L445" s="140" t="str">
        <f>IFERROR(__xludf.DUMMYFUNCTION("""COMPUTED_VALUE"""),"")</f>
        <v/>
      </c>
      <c r="N445" s="140" t="str">
        <f>IFERROR(__xludf.DUMMYFUNCTION("""COMPUTED_VALUE"""),"")</f>
        <v/>
      </c>
      <c r="O445" s="140" t="str">
        <f>IFERROR(__xludf.DUMMYFUNCTION("""COMPUTED_VALUE"""),"No Alternatives in Collection- 5/15/2021")</f>
        <v>No Alternatives in Collection- 5/15/2021</v>
      </c>
    </row>
    <row r="446">
      <c r="A446" s="143">
        <f>IFERROR(__xludf.DUMMYFUNCTION("""COMPUTED_VALUE"""),44371.0)</f>
        <v>44371</v>
      </c>
      <c r="B446">
        <f>IFERROR(__xludf.DUMMYFUNCTION("""COMPUTED_VALUE"""),225170.0)</f>
        <v>225170</v>
      </c>
      <c r="C446" t="str">
        <f>IFERROR(__xludf.DUMMYFUNCTION("""COMPUTED_VALUE"""),"es")</f>
        <v>es</v>
      </c>
      <c r="D446" t="str">
        <f>IFERROR(__xludf.DUMMYFUNCTION("""COMPUTED_VALUE"""),"Introducción a la programación orientada a objetos con PHP")</f>
        <v>Introducción a la programación orientada a objetos con PHP</v>
      </c>
      <c r="E446" t="str">
        <f>IFERROR(__xludf.DUMMYFUNCTION("""COMPUTED_VALUE"""),"Introduction to Object-oriented Programming with PHP")</f>
        <v>Introduction to Object-oriented Programming with PHP</v>
      </c>
      <c r="F446">
        <f>IFERROR(__xludf.DUMMYFUNCTION("""COMPUTED_VALUE"""),171706.0)</f>
        <v>171706</v>
      </c>
      <c r="G446" t="str">
        <f>IFERROR(__xludf.DUMMYFUNCTION("""COMPUTED_VALUE"""),"Francisco Javier Arce Anguiano")</f>
        <v>Francisco Javier Arce Anguiano</v>
      </c>
      <c r="H446" t="str">
        <f>IFERROR(__xludf.DUMMYFUNCTION("""COMPUTED_VALUE"""),"3 Flags")</f>
        <v>3 Flags</v>
      </c>
      <c r="I446" t="str">
        <f>IFERROR(__xludf.DUMMYFUNCTION("""COMPUTED_VALUE"""),"Development")</f>
        <v>Development</v>
      </c>
      <c r="J446" t="str">
        <f>IFERROR(__xludf.DUMMYFUNCTION("""COMPUTED_VALUE"""),"Programming Languages")</f>
        <v>Programming Languages</v>
      </c>
      <c r="L446" s="140" t="str">
        <f>IFERROR(__xludf.DUMMYFUNCTION("""COMPUTED_VALUE"""),"")</f>
        <v/>
      </c>
      <c r="N446" s="140" t="str">
        <f>IFERROR(__xludf.DUMMYFUNCTION("""COMPUTED_VALUE"""),"")</f>
        <v/>
      </c>
      <c r="O446" s="140" t="str">
        <f>IFERROR(__xludf.DUMMYFUNCTION("""COMPUTED_VALUE"""),"No Alternatives in Collection- 5/15/2021")</f>
        <v>No Alternatives in Collection- 5/15/2021</v>
      </c>
    </row>
    <row r="447">
      <c r="A447" s="143">
        <f>IFERROR(__xludf.DUMMYFUNCTION("""COMPUTED_VALUE"""),44371.0)</f>
        <v>44371</v>
      </c>
      <c r="B447">
        <f>IFERROR(__xludf.DUMMYFUNCTION("""COMPUTED_VALUE"""),1696802.0)</f>
        <v>1696802</v>
      </c>
      <c r="C447" t="str">
        <f>IFERROR(__xludf.DUMMYFUNCTION("""COMPUTED_VALUE"""),"es")</f>
        <v>es</v>
      </c>
      <c r="D447" t="str">
        <f>IFERROR(__xludf.DUMMYFUNCTION("""COMPUTED_VALUE"""),"Fundamentos de Programación, Algoritmos en 5 Lenguajes.")</f>
        <v>Fundamentos de Programación, Algoritmos en 5 Lenguajes.</v>
      </c>
      <c r="E447" t="str">
        <f>IFERROR(__xludf.DUMMYFUNCTION("""COMPUTED_VALUE"""),"Fundamentals of programming, algorithms in 5 languages.")</f>
        <v>Fundamentals of programming, algorithms in 5 languages.</v>
      </c>
      <c r="F447">
        <f>IFERROR(__xludf.DUMMYFUNCTION("""COMPUTED_VALUE"""),2.2152664E7)</f>
        <v>22152664</v>
      </c>
      <c r="G447" t="str">
        <f>IFERROR(__xludf.DUMMYFUNCTION("""COMPUTED_VALUE"""),"Edward Vidal")</f>
        <v>Edward Vidal</v>
      </c>
      <c r="H447" t="str">
        <f>IFERROR(__xludf.DUMMYFUNCTION("""COMPUTED_VALUE"""),"3 Flags")</f>
        <v>3 Flags</v>
      </c>
      <c r="I447" t="str">
        <f>IFERROR(__xludf.DUMMYFUNCTION("""COMPUTED_VALUE"""),"Development")</f>
        <v>Development</v>
      </c>
      <c r="J447" t="str">
        <f>IFERROR(__xludf.DUMMYFUNCTION("""COMPUTED_VALUE"""),"Programming Languages")</f>
        <v>Programming Languages</v>
      </c>
      <c r="K447">
        <f>IFERROR(__xludf.DUMMYFUNCTION("""COMPUTED_VALUE"""),1192848.0)</f>
        <v>1192848</v>
      </c>
      <c r="L447" s="140" t="str">
        <f>IFERROR(__xludf.DUMMYFUNCTION("""COMPUTED_VALUE"""),"Fundamentos de Programación")</f>
        <v>Fundamentos de Programación</v>
      </c>
      <c r="N447" s="140" t="str">
        <f>IFERROR(__xludf.DUMMYFUNCTION("""COMPUTED_VALUE"""),"")</f>
        <v/>
      </c>
    </row>
    <row r="448">
      <c r="A448" s="143">
        <f>IFERROR(__xludf.DUMMYFUNCTION("""COMPUTED_VALUE"""),44371.0)</f>
        <v>44371</v>
      </c>
      <c r="B448">
        <f>IFERROR(__xludf.DUMMYFUNCTION("""COMPUTED_VALUE"""),1864090.0)</f>
        <v>1864090</v>
      </c>
      <c r="C448" t="str">
        <f>IFERROR(__xludf.DUMMYFUNCTION("""COMPUTED_VALUE"""),"es")</f>
        <v>es</v>
      </c>
      <c r="D448" t="str">
        <f>IFERROR(__xludf.DUMMYFUNCTION("""COMPUTED_VALUE"""),"Curso de AndroidX y Firebase con Java Login y crud de datos")</f>
        <v>Curso de AndroidX y Firebase con Java Login y crud de datos</v>
      </c>
      <c r="E448" t="str">
        <f>IFERROR(__xludf.DUMMYFUNCTION("""COMPUTED_VALUE"""),"Androidx and Firebase Course with Java Login and Data Crud")</f>
        <v>Androidx and Firebase Course with Java Login and Data Crud</v>
      </c>
      <c r="F448">
        <f>IFERROR(__xludf.DUMMYFUNCTION("""COMPUTED_VALUE"""),3.8783516E7)</f>
        <v>38783516</v>
      </c>
      <c r="G448" t="str">
        <f>IFERROR(__xludf.DUMMYFUNCTION("""COMPUTED_VALUE"""),"Alex Joel Pagoada Suazo")</f>
        <v>Alex Joel Pagoada Suazo</v>
      </c>
      <c r="H448" t="str">
        <f>IFERROR(__xludf.DUMMYFUNCTION("""COMPUTED_VALUE"""),"3 Flags")</f>
        <v>3 Flags</v>
      </c>
      <c r="I448" t="str">
        <f>IFERROR(__xludf.DUMMYFUNCTION("""COMPUTED_VALUE"""),"Development")</f>
        <v>Development</v>
      </c>
      <c r="J448" t="str">
        <f>IFERROR(__xludf.DUMMYFUNCTION("""COMPUTED_VALUE"""),"Mobile Development")</f>
        <v>Mobile Development</v>
      </c>
      <c r="L448" s="140" t="str">
        <f>IFERROR(__xludf.DUMMYFUNCTION("""COMPUTED_VALUE"""),"")</f>
        <v/>
      </c>
      <c r="N448" s="140" t="str">
        <f>IFERROR(__xludf.DUMMYFUNCTION("""COMPUTED_VALUE"""),"")</f>
        <v/>
      </c>
      <c r="O448" s="140" t="str">
        <f>IFERROR(__xludf.DUMMYFUNCTION("""COMPUTED_VALUE"""),"No Alternatives in Collection- 5/15/2021")</f>
        <v>No Alternatives in Collection- 5/15/2021</v>
      </c>
    </row>
    <row r="449">
      <c r="A449" s="143">
        <f>IFERROR(__xludf.DUMMYFUNCTION("""COMPUTED_VALUE"""),44371.0)</f>
        <v>44371</v>
      </c>
      <c r="B449">
        <f>IFERROR(__xludf.DUMMYFUNCTION("""COMPUTED_VALUE"""),555262.0)</f>
        <v>555262</v>
      </c>
      <c r="C449" t="str">
        <f>IFERROR(__xludf.DUMMYFUNCTION("""COMPUTED_VALUE"""),"de")</f>
        <v>de</v>
      </c>
      <c r="D449" t="str">
        <f>IFERROR(__xludf.DUMMYFUNCTION("""COMPUTED_VALUE"""),"Google Apps für Anfänger (deutsch)")</f>
        <v>Google Apps für Anfänger (deutsch)</v>
      </c>
      <c r="E449" t="str">
        <f>IFERROR(__xludf.DUMMYFUNCTION("""COMPUTED_VALUE"""),"Google Apps for Beginners (German)")</f>
        <v>Google Apps for Beginners (German)</v>
      </c>
      <c r="F449">
        <f>IFERROR(__xludf.DUMMYFUNCTION("""COMPUTED_VALUE"""),1.2755414E7)</f>
        <v>12755414</v>
      </c>
      <c r="G449" t="str">
        <f>IFERROR(__xludf.DUMMYFUNCTION("""COMPUTED_VALUE"""),"Andreas Ruehlow")</f>
        <v>Andreas Ruehlow</v>
      </c>
      <c r="H449" t="str">
        <f>IFERROR(__xludf.DUMMYFUNCTION("""COMPUTED_VALUE"""),"3 Flags")</f>
        <v>3 Flags</v>
      </c>
      <c r="I449" t="str">
        <f>IFERROR(__xludf.DUMMYFUNCTION("""COMPUTED_VALUE"""),"Office Productivity")</f>
        <v>Office Productivity</v>
      </c>
      <c r="J449" t="str">
        <f>IFERROR(__xludf.DUMMYFUNCTION("""COMPUTED_VALUE"""),"Collaboration")</f>
        <v>Collaboration</v>
      </c>
      <c r="L449" s="140" t="str">
        <f>IFERROR(__xludf.DUMMYFUNCTION("""COMPUTED_VALUE"""),"")</f>
        <v/>
      </c>
      <c r="N449" s="140" t="str">
        <f>IFERROR(__xludf.DUMMYFUNCTION("""COMPUTED_VALUE"""),"")</f>
        <v/>
      </c>
      <c r="O449" s="140" t="str">
        <f>IFERROR(__xludf.DUMMYFUNCTION("""COMPUTED_VALUE"""),"No Alternatives in Collection- 5/15/2021")</f>
        <v>No Alternatives in Collection- 5/15/2021</v>
      </c>
    </row>
    <row r="450">
      <c r="A450" s="143">
        <f>IFERROR(__xludf.DUMMYFUNCTION("""COMPUTED_VALUE"""),44371.0)</f>
        <v>44371</v>
      </c>
      <c r="B450">
        <f>IFERROR(__xludf.DUMMYFUNCTION("""COMPUTED_VALUE"""),1152720.0)</f>
        <v>1152720</v>
      </c>
      <c r="C450" t="str">
        <f>IFERROR(__xludf.DUMMYFUNCTION("""COMPUTED_VALUE"""),"de")</f>
        <v>de</v>
      </c>
      <c r="D450" t="str">
        <f>IFERROR(__xludf.DUMMYFUNCTION("""COMPUTED_VALUE"""),"Dein Powerstart für Einsteiger: Android 8 Apps und Firebase")</f>
        <v>Dein Powerstart für Einsteiger: Android 8 Apps und Firebase</v>
      </c>
      <c r="E450" t="str">
        <f>IFERROR(__xludf.DUMMYFUNCTION("""COMPUTED_VALUE"""),"Your PowerStart for beginners: Android 8 apps and Firebase")</f>
        <v>Your PowerStart for beginners: Android 8 apps and Firebase</v>
      </c>
      <c r="F450">
        <f>IFERROR(__xludf.DUMMYFUNCTION("""COMPUTED_VALUE"""),2.3546956E7)</f>
        <v>23546956</v>
      </c>
      <c r="G450" t="str">
        <f>IFERROR(__xludf.DUMMYFUNCTION("""COMPUTED_VALUE"""),"Frithjof Ebert")</f>
        <v>Frithjof Ebert</v>
      </c>
      <c r="H450" t="str">
        <f>IFERROR(__xludf.DUMMYFUNCTION("""COMPUTED_VALUE"""),"3 Flags")</f>
        <v>3 Flags</v>
      </c>
      <c r="I450" t="str">
        <f>IFERROR(__xludf.DUMMYFUNCTION("""COMPUTED_VALUE"""),"Development")</f>
        <v>Development</v>
      </c>
      <c r="J450" t="str">
        <f>IFERROR(__xludf.DUMMYFUNCTION("""COMPUTED_VALUE"""),"Mobile Development")</f>
        <v>Mobile Development</v>
      </c>
      <c r="L450" s="140" t="str">
        <f>IFERROR(__xludf.DUMMYFUNCTION("""COMPUTED_VALUE"""),"")</f>
        <v/>
      </c>
      <c r="N450" s="140" t="str">
        <f>IFERROR(__xludf.DUMMYFUNCTION("""COMPUTED_VALUE"""),"")</f>
        <v/>
      </c>
      <c r="O450" s="140" t="str">
        <f>IFERROR(__xludf.DUMMYFUNCTION("""COMPUTED_VALUE"""),"No Alternatives in Collection- 5/15/2021")</f>
        <v>No Alternatives in Collection- 5/15/2021</v>
      </c>
    </row>
    <row r="451">
      <c r="A451" s="143">
        <f>IFERROR(__xludf.DUMMYFUNCTION("""COMPUTED_VALUE"""),44371.0)</f>
        <v>44371</v>
      </c>
      <c r="B451">
        <f>IFERROR(__xludf.DUMMYFUNCTION("""COMPUTED_VALUE"""),2182570.0)</f>
        <v>2182570</v>
      </c>
      <c r="C451" t="str">
        <f>IFERROR(__xludf.DUMMYFUNCTION("""COMPUTED_VALUE"""),"de")</f>
        <v>de</v>
      </c>
      <c r="D451" t="str">
        <f>IFERROR(__xludf.DUMMYFUNCTION("""COMPUTED_VALUE"""),"Produktivität steigern: Effizientes Zeitmanagement im Alltag")</f>
        <v>Produktivität steigern: Effizientes Zeitmanagement im Alltag</v>
      </c>
      <c r="E451" t="str">
        <f>IFERROR(__xludf.DUMMYFUNCTION("""COMPUTED_VALUE"""),"Increase productivity: Efficient time management in everyday life")</f>
        <v>Increase productivity: Efficient time management in everyday life</v>
      </c>
      <c r="F451">
        <f>IFERROR(__xludf.DUMMYFUNCTION("""COMPUTED_VALUE"""),6.384641E7)</f>
        <v>63846410</v>
      </c>
      <c r="G451" t="str">
        <f>IFERROR(__xludf.DUMMYFUNCTION("""COMPUTED_VALUE"""),"Florian Friebus")</f>
        <v>Florian Friebus</v>
      </c>
      <c r="H451" t="str">
        <f>IFERROR(__xludf.DUMMYFUNCTION("""COMPUTED_VALUE"""),"3 Flags")</f>
        <v>3 Flags</v>
      </c>
      <c r="I451" t="str">
        <f>IFERROR(__xludf.DUMMYFUNCTION("""COMPUTED_VALUE"""),"Personal Development")</f>
        <v>Personal Development</v>
      </c>
      <c r="J451" t="str">
        <f>IFERROR(__xludf.DUMMYFUNCTION("""COMPUTED_VALUE"""),"Personal Growth")</f>
        <v>Personal Growth</v>
      </c>
      <c r="K451">
        <f>IFERROR(__xludf.DUMMYFUNCTION("""COMPUTED_VALUE"""),976538.0)</f>
        <v>976538</v>
      </c>
      <c r="L451" s="140" t="str">
        <f>IFERROR(__xludf.DUMMYFUNCTION("""COMPUTED_VALUE"""),"Effizienz und Effektivität steigern: Mehr Produktivität!")</f>
        <v>Effizienz und Effektivität steigern: Mehr Produktivität!</v>
      </c>
      <c r="M451" s="155">
        <f>IFERROR(__xludf.DUMMYFUNCTION("""COMPUTED_VALUE"""),748718.0)</f>
        <v>748718</v>
      </c>
      <c r="N451" s="140" t="str">
        <f>IFERROR(__xludf.DUMMYFUNCTION("""COMPUTED_VALUE"""),"Superproduktiv werden! Tipps, Tricks, Tools und Strategien")</f>
        <v>Superproduktiv werden! Tipps, Tricks, Tools und Strategien</v>
      </c>
    </row>
    <row r="452">
      <c r="A452" s="143">
        <f>IFERROR(__xludf.DUMMYFUNCTION("""COMPUTED_VALUE"""),44371.0)</f>
        <v>44371</v>
      </c>
      <c r="B452">
        <f>IFERROR(__xludf.DUMMYFUNCTION("""COMPUTED_VALUE"""),413618.0)</f>
        <v>413618</v>
      </c>
      <c r="C452" t="str">
        <f>IFERROR(__xludf.DUMMYFUNCTION("""COMPUTED_VALUE"""),"en")</f>
        <v>en</v>
      </c>
      <c r="D452" t="str">
        <f>IFERROR(__xludf.DUMMYFUNCTION("""COMPUTED_VALUE"""),"SASS - Beginner Crash Course")</f>
        <v>SASS - Beginner Crash Course</v>
      </c>
      <c r="E452" t="str">
        <f>IFERROR(__xludf.DUMMYFUNCTION("""COMPUTED_VALUE"""),"SASS - Beginner Crash Course")</f>
        <v>SASS - Beginner Crash Course</v>
      </c>
      <c r="F452">
        <f>IFERROR(__xludf.DUMMYFUNCTION("""COMPUTED_VALUE"""),843892.0)</f>
        <v>843892</v>
      </c>
      <c r="G452" t="str">
        <f>IFERROR(__xludf.DUMMYFUNCTION("""COMPUTED_VALUE"""),"Sandra L")</f>
        <v>Sandra L</v>
      </c>
      <c r="H452" t="str">
        <f>IFERROR(__xludf.DUMMYFUNCTION("""COMPUTED_VALUE"""),"3 Flags")</f>
        <v>3 Flags</v>
      </c>
      <c r="I452" t="str">
        <f>IFERROR(__xludf.DUMMYFUNCTION("""COMPUTED_VALUE"""),"Development")</f>
        <v>Development</v>
      </c>
      <c r="J452" t="str">
        <f>IFERROR(__xludf.DUMMYFUNCTION("""COMPUTED_VALUE"""),"Web Development")</f>
        <v>Web Development</v>
      </c>
      <c r="K452">
        <f>IFERROR(__xludf.DUMMYFUNCTION("""COMPUTED_VALUE"""),2031086.0)</f>
        <v>2031086</v>
      </c>
      <c r="L452" s="140" t="str">
        <f>IFERROR(__xludf.DUMMYFUNCTION("""COMPUTED_VALUE"""),"SASS - The Complete SASS Course (CSS Preprocessor)")</f>
        <v>SASS - The Complete SASS Course (CSS Preprocessor)</v>
      </c>
      <c r="M452" s="155">
        <f>IFERROR(__xludf.DUMMYFUNCTION("""COMPUTED_VALUE"""),746014.0)</f>
        <v>746014</v>
      </c>
      <c r="N452" s="140" t="str">
        <f>IFERROR(__xludf.DUMMYFUNCTION("""COMPUTED_VALUE"""),"The Complete Sass &amp; SCSS Course: From Beginner to Advanced")</f>
        <v>The Complete Sass &amp; SCSS Course: From Beginner to Advanced</v>
      </c>
    </row>
    <row r="453">
      <c r="A453" s="143">
        <f>IFERROR(__xludf.DUMMYFUNCTION("""COMPUTED_VALUE"""),44371.0)</f>
        <v>44371</v>
      </c>
      <c r="B453">
        <f>IFERROR(__xludf.DUMMYFUNCTION("""COMPUTED_VALUE"""),585496.0)</f>
        <v>585496</v>
      </c>
      <c r="C453" t="str">
        <f>IFERROR(__xludf.DUMMYFUNCTION("""COMPUTED_VALUE"""),"en")</f>
        <v>en</v>
      </c>
      <c r="D453" t="str">
        <f>IFERROR(__xludf.DUMMYFUNCTION("""COMPUTED_VALUE"""),"Ultimate AngularJS: Build a Real-World App from Scratch")</f>
        <v>Ultimate AngularJS: Build a Real-World App from Scratch</v>
      </c>
      <c r="E453" t="str">
        <f>IFERROR(__xludf.DUMMYFUNCTION("""COMPUTED_VALUE"""),"Ultimate AngularJS: Build a Real-World App from Scratch")</f>
        <v>Ultimate AngularJS: Build a Real-World App from Scratch</v>
      </c>
      <c r="F453">
        <f>IFERROR(__xludf.DUMMYFUNCTION("""COMPUTED_VALUE"""),422607.0)</f>
        <v>422607</v>
      </c>
      <c r="G453" t="str">
        <f>IFERROR(__xludf.DUMMYFUNCTION("""COMPUTED_VALUE"""),"Brad Hussey")</f>
        <v>Brad Hussey</v>
      </c>
      <c r="H453" t="str">
        <f>IFERROR(__xludf.DUMMYFUNCTION("""COMPUTED_VALUE"""),"3 Flags")</f>
        <v>3 Flags</v>
      </c>
      <c r="I453" t="str">
        <f>IFERROR(__xludf.DUMMYFUNCTION("""COMPUTED_VALUE"""),"Development")</f>
        <v>Development</v>
      </c>
      <c r="J453" t="str">
        <f>IFERROR(__xludf.DUMMYFUNCTION("""COMPUTED_VALUE"""),"Web Development")</f>
        <v>Web Development</v>
      </c>
      <c r="K453">
        <f>IFERROR(__xludf.DUMMYFUNCTION("""COMPUTED_VALUE"""),289230.0)</f>
        <v>289230</v>
      </c>
      <c r="L453" s="140" t="str">
        <f>IFERROR(__xludf.DUMMYFUNCTION("""COMPUTED_VALUE"""),"Learn and Understand AngularJS")</f>
        <v>Learn and Understand AngularJS</v>
      </c>
      <c r="N453" s="140" t="str">
        <f>IFERROR(__xludf.DUMMYFUNCTION("""COMPUTED_VALUE"""),"")</f>
        <v/>
      </c>
    </row>
    <row r="454">
      <c r="A454" s="143">
        <f>IFERROR(__xludf.DUMMYFUNCTION("""COMPUTED_VALUE"""),44371.0)</f>
        <v>44371</v>
      </c>
      <c r="B454">
        <f>IFERROR(__xludf.DUMMYFUNCTION("""COMPUTED_VALUE"""),1267792.0)</f>
        <v>1267792</v>
      </c>
      <c r="C454" t="str">
        <f>IFERROR(__xludf.DUMMYFUNCTION("""COMPUTED_VALUE"""),"en")</f>
        <v>en</v>
      </c>
      <c r="D454" t="str">
        <f>IFERROR(__xludf.DUMMYFUNCTION("""COMPUTED_VALUE"""),"Framer Crash Course – Design, Code, and Collaborate")</f>
        <v>Framer Crash Course – Design, Code, and Collaborate</v>
      </c>
      <c r="E454" t="str">
        <f>IFERROR(__xludf.DUMMYFUNCTION("""COMPUTED_VALUE"""),"Framer Crash Course – Design, Code, and Collaborate")</f>
        <v>Framer Crash Course – Design, Code, and Collaborate</v>
      </c>
      <c r="F454">
        <f>IFERROR(__xludf.DUMMYFUNCTION("""COMPUTED_VALUE"""),4214534.0)</f>
        <v>4214534</v>
      </c>
      <c r="G454" t="str">
        <f>IFERROR(__xludf.DUMMYFUNCTION("""COMPUTED_VALUE"""),"Pablo Stanley")</f>
        <v>Pablo Stanley</v>
      </c>
      <c r="H454" t="str">
        <f>IFERROR(__xludf.DUMMYFUNCTION("""COMPUTED_VALUE"""),"3 Flags")</f>
        <v>3 Flags</v>
      </c>
      <c r="I454" t="str">
        <f>IFERROR(__xludf.DUMMYFUNCTION("""COMPUTED_VALUE"""),"Design")</f>
        <v>Design</v>
      </c>
      <c r="J454" t="str">
        <f>IFERROR(__xludf.DUMMYFUNCTION("""COMPUTED_VALUE"""),"Web Design")</f>
        <v>Web Design</v>
      </c>
      <c r="L454" s="140" t="str">
        <f>IFERROR(__xludf.DUMMYFUNCTION("""COMPUTED_VALUE"""),"")</f>
        <v/>
      </c>
      <c r="N454" s="140" t="str">
        <f>IFERROR(__xludf.DUMMYFUNCTION("""COMPUTED_VALUE"""),"")</f>
        <v/>
      </c>
      <c r="O454" s="140" t="str">
        <f>IFERROR(__xludf.DUMMYFUNCTION("""COMPUTED_VALUE"""),"No Alternatives in Collection- 5/15/2021")</f>
        <v>No Alternatives in Collection- 5/15/2021</v>
      </c>
    </row>
    <row r="455">
      <c r="A455" s="143">
        <f>IFERROR(__xludf.DUMMYFUNCTION("""COMPUTED_VALUE"""),44371.0)</f>
        <v>44371</v>
      </c>
      <c r="B455">
        <f>IFERROR(__xludf.DUMMYFUNCTION("""COMPUTED_VALUE"""),1320788.0)</f>
        <v>1320788</v>
      </c>
      <c r="C455" t="str">
        <f>IFERROR(__xludf.DUMMYFUNCTION("""COMPUTED_VALUE"""),"en")</f>
        <v>en</v>
      </c>
      <c r="D455" t="str">
        <f>IFERROR(__xludf.DUMMYFUNCTION("""COMPUTED_VALUE"""),"React, Redux, &amp; Enzyme - Introducing Apps &amp; Tests")</f>
        <v>React, Redux, &amp; Enzyme - Introducing Apps &amp; Tests</v>
      </c>
      <c r="E455" t="str">
        <f>IFERROR(__xludf.DUMMYFUNCTION("""COMPUTED_VALUE"""),"React, Redux, &amp; Enzyme - Introducing Apps &amp; Tests")</f>
        <v>React, Redux, &amp; Enzyme - Introducing Apps &amp; Tests</v>
      </c>
      <c r="F455">
        <f>IFERROR(__xludf.DUMMYFUNCTION("""COMPUTED_VALUE"""),1.068748E7)</f>
        <v>10687480</v>
      </c>
      <c r="G455" t="str">
        <f>IFERROR(__xludf.DUMMYFUNCTION("""COMPUTED_VALUE"""),"David Joseph Katz")</f>
        <v>David Joseph Katz</v>
      </c>
      <c r="H455" t="str">
        <f>IFERROR(__xludf.DUMMYFUNCTION("""COMPUTED_VALUE"""),"3 Flags")</f>
        <v>3 Flags</v>
      </c>
      <c r="I455" t="str">
        <f>IFERROR(__xludf.DUMMYFUNCTION("""COMPUTED_VALUE"""),"Development")</f>
        <v>Development</v>
      </c>
      <c r="J455" t="str">
        <f>IFERROR(__xludf.DUMMYFUNCTION("""COMPUTED_VALUE"""),"Web Development")</f>
        <v>Web Development</v>
      </c>
      <c r="L455" s="140" t="str">
        <f>IFERROR(__xludf.DUMMYFUNCTION("""COMPUTED_VALUE"""),"")</f>
        <v/>
      </c>
      <c r="N455" s="140" t="str">
        <f>IFERROR(__xludf.DUMMYFUNCTION("""COMPUTED_VALUE"""),"")</f>
        <v/>
      </c>
      <c r="O455" s="140" t="str">
        <f>IFERROR(__xludf.DUMMYFUNCTION("""COMPUTED_VALUE"""),"No Alternatives in Collection- 5/15/2021")</f>
        <v>No Alternatives in Collection- 5/15/2021</v>
      </c>
    </row>
    <row r="456">
      <c r="A456" s="143">
        <f>IFERROR(__xludf.DUMMYFUNCTION("""COMPUTED_VALUE"""),44371.0)</f>
        <v>44371</v>
      </c>
      <c r="B456">
        <f>IFERROR(__xludf.DUMMYFUNCTION("""COMPUTED_VALUE"""),1377538.0)</f>
        <v>1377538</v>
      </c>
      <c r="C456" t="str">
        <f>IFERROR(__xludf.DUMMYFUNCTION("""COMPUTED_VALUE"""),"en")</f>
        <v>en</v>
      </c>
      <c r="D456" t="str">
        <f>IFERROR(__xludf.DUMMYFUNCTION("""COMPUTED_VALUE"""),"Complete Selenium Ruby Automation Engineer Bootcamp")</f>
        <v>Complete Selenium Ruby Automation Engineer Bootcamp</v>
      </c>
      <c r="E456" t="str">
        <f>IFERROR(__xludf.DUMMYFUNCTION("""COMPUTED_VALUE"""),"Complete Selenium Ruby Automation Engineer Bootcamp")</f>
        <v>Complete Selenium Ruby Automation Engineer Bootcamp</v>
      </c>
      <c r="F456">
        <f>IFERROR(__xludf.DUMMYFUNCTION("""COMPUTED_VALUE"""),413843.0)</f>
        <v>413843</v>
      </c>
      <c r="G456" t="str">
        <f>IFERROR(__xludf.DUMMYFUNCTION("""COMPUTED_VALUE"""),"Ashok Tulachan")</f>
        <v>Ashok Tulachan</v>
      </c>
      <c r="H456" t="str">
        <f>IFERROR(__xludf.DUMMYFUNCTION("""COMPUTED_VALUE"""),"3 Flags")</f>
        <v>3 Flags</v>
      </c>
      <c r="I456" t="str">
        <f>IFERROR(__xludf.DUMMYFUNCTION("""COMPUTED_VALUE"""),"Development")</f>
        <v>Development</v>
      </c>
      <c r="J456" t="str">
        <f>IFERROR(__xludf.DUMMYFUNCTION("""COMPUTED_VALUE"""),"Software Testing")</f>
        <v>Software Testing</v>
      </c>
      <c r="L456" s="140" t="str">
        <f>IFERROR(__xludf.DUMMYFUNCTION("""COMPUTED_VALUE"""),"")</f>
        <v/>
      </c>
      <c r="N456" s="140" t="str">
        <f>IFERROR(__xludf.DUMMYFUNCTION("""COMPUTED_VALUE"""),"")</f>
        <v/>
      </c>
      <c r="O456" s="140" t="str">
        <f>IFERROR(__xludf.DUMMYFUNCTION("""COMPUTED_VALUE"""),"No Alternatives in Collection- 5/15/2021")</f>
        <v>No Alternatives in Collection- 5/15/2021</v>
      </c>
    </row>
    <row r="457">
      <c r="A457" s="143">
        <f>IFERROR(__xludf.DUMMYFUNCTION("""COMPUTED_VALUE"""),44371.0)</f>
        <v>44371</v>
      </c>
      <c r="B457">
        <f>IFERROR(__xludf.DUMMYFUNCTION("""COMPUTED_VALUE"""),1534200.0)</f>
        <v>1534200</v>
      </c>
      <c r="C457" t="str">
        <f>IFERROR(__xludf.DUMMYFUNCTION("""COMPUTED_VALUE"""),"en")</f>
        <v>en</v>
      </c>
      <c r="D457" t="str">
        <f>IFERROR(__xludf.DUMMYFUNCTION("""COMPUTED_VALUE"""),"70-764 Administering a SQL Database Infrastructure")</f>
        <v>70-764 Administering a SQL Database Infrastructure</v>
      </c>
      <c r="E457" t="str">
        <f>IFERROR(__xludf.DUMMYFUNCTION("""COMPUTED_VALUE"""),"70-764 Administering a SQL Database Infrastructure")</f>
        <v>70-764 Administering a SQL Database Infrastructure</v>
      </c>
      <c r="F457">
        <f>IFERROR(__xludf.DUMMYFUNCTION("""COMPUTED_VALUE"""),536205.0)</f>
        <v>536205</v>
      </c>
      <c r="G457" t="str">
        <f>IFERROR(__xludf.DUMMYFUNCTION("""COMPUTED_VALUE"""),"Gulab Chand Tejwani")</f>
        <v>Gulab Chand Tejwani</v>
      </c>
      <c r="H457" t="str">
        <f>IFERROR(__xludf.DUMMYFUNCTION("""COMPUTED_VALUE"""),"3 Flags")</f>
        <v>3 Flags</v>
      </c>
      <c r="I457" t="str">
        <f>IFERROR(__xludf.DUMMYFUNCTION("""COMPUTED_VALUE"""),"IT Operations")</f>
        <v>IT Operations</v>
      </c>
      <c r="J457" t="str">
        <f>IFERROR(__xludf.DUMMYFUNCTION("""COMPUTED_VALUE"""),"IT Certifications")</f>
        <v>IT Certifications</v>
      </c>
      <c r="L457" s="140" t="str">
        <f>IFERROR(__xludf.DUMMYFUNCTION("""COMPUTED_VALUE"""),"")</f>
        <v/>
      </c>
      <c r="N457" s="140" t="str">
        <f>IFERROR(__xludf.DUMMYFUNCTION("""COMPUTED_VALUE"""),"")</f>
        <v/>
      </c>
      <c r="O457" s="140" t="str">
        <f>IFERROR(__xludf.DUMMYFUNCTION("""COMPUTED_VALUE"""),"No Alternatives in Collection- 5/15/2021")</f>
        <v>No Alternatives in Collection- 5/15/2021</v>
      </c>
    </row>
    <row r="458">
      <c r="A458" s="143">
        <f>IFERROR(__xludf.DUMMYFUNCTION("""COMPUTED_VALUE"""),44371.0)</f>
        <v>44371</v>
      </c>
      <c r="B458">
        <f>IFERROR(__xludf.DUMMYFUNCTION("""COMPUTED_VALUE"""),3459188.0)</f>
        <v>3459188</v>
      </c>
      <c r="C458" t="str">
        <f>IFERROR(__xludf.DUMMYFUNCTION("""COMPUTED_VALUE"""),"en")</f>
        <v>en</v>
      </c>
      <c r="D458" t="str">
        <f>IFERROR(__xludf.DUMMYFUNCTION("""COMPUTED_VALUE"""),"Snowflake Certification Preparation")</f>
        <v>Snowflake Certification Preparation</v>
      </c>
      <c r="E458" t="str">
        <f>IFERROR(__xludf.DUMMYFUNCTION("""COMPUTED_VALUE"""),"Snowflake Certification Preparation")</f>
        <v>Snowflake Certification Preparation</v>
      </c>
      <c r="F458">
        <f>IFERROR(__xludf.DUMMYFUNCTION("""COMPUTED_VALUE"""),4632656.0)</f>
        <v>4632656</v>
      </c>
      <c r="G458" t="str">
        <f>IFERROR(__xludf.DUMMYFUNCTION("""COMPUTED_VALUE"""),"Joyee D")</f>
        <v>Joyee D</v>
      </c>
      <c r="H458" t="str">
        <f>IFERROR(__xludf.DUMMYFUNCTION("""COMPUTED_VALUE"""),"Instructor Request- Opted Out")</f>
        <v>Instructor Request- Opted Out</v>
      </c>
      <c r="I458" t="str">
        <f>IFERROR(__xludf.DUMMYFUNCTION("""COMPUTED_VALUE"""),"IT Operations")</f>
        <v>IT Operations</v>
      </c>
      <c r="J458" t="str">
        <f>IFERROR(__xludf.DUMMYFUNCTION("""COMPUTED_VALUE"""),"IT Certifications")</f>
        <v>IT Certifications</v>
      </c>
      <c r="K458">
        <f>IFERROR(__xludf.DUMMYFUNCTION("""COMPUTED_VALUE"""),2644586.0)</f>
        <v>2644586</v>
      </c>
      <c r="L458" s="140" t="str">
        <f>IFERROR(__xludf.DUMMYFUNCTION("""COMPUTED_VALUE"""),"Tackling Snowflake Certification - Practice Questions")</f>
        <v>Tackling Snowflake Certification - Practice Questions</v>
      </c>
      <c r="N458" s="140" t="str">
        <f>IFERROR(__xludf.DUMMYFUNCTION("""COMPUTED_VALUE"""),"")</f>
        <v/>
      </c>
    </row>
    <row r="459">
      <c r="A459" s="143">
        <f>IFERROR(__xludf.DUMMYFUNCTION("""COMPUTED_VALUE"""),44371.0)</f>
        <v>44371</v>
      </c>
      <c r="B459">
        <f>IFERROR(__xludf.DUMMYFUNCTION("""COMPUTED_VALUE"""),2526860.0)</f>
        <v>2526860</v>
      </c>
      <c r="C459" t="str">
        <f>IFERROR(__xludf.DUMMYFUNCTION("""COMPUTED_VALUE"""),"en")</f>
        <v>en</v>
      </c>
      <c r="D459" t="str">
        <f>IFERROR(__xludf.DUMMYFUNCTION("""COMPUTED_VALUE"""),"Power Engineering: Power System Analysis - Part 1")</f>
        <v>Power Engineering: Power System Analysis - Part 1</v>
      </c>
      <c r="E459" t="str">
        <f>IFERROR(__xludf.DUMMYFUNCTION("""COMPUTED_VALUE"""),"Power Engineering: Power System Analysis - Part 1")</f>
        <v>Power Engineering: Power System Analysis - Part 1</v>
      </c>
      <c r="F459">
        <f>IFERROR(__xludf.DUMMYFUNCTION("""COMPUTED_VALUE"""),3.5421218E7)</f>
        <v>35421218</v>
      </c>
      <c r="G459" t="str">
        <f>IFERROR(__xludf.DUMMYFUNCTION("""COMPUTED_VALUE"""),"Ricardo Romero, PE")</f>
        <v>Ricardo Romero, PE</v>
      </c>
      <c r="H459" t="str">
        <f>IFERROR(__xludf.DUMMYFUNCTION("""COMPUTED_VALUE"""),"Instructor Request- Opted Out")</f>
        <v>Instructor Request- Opted Out</v>
      </c>
      <c r="I459" t="str">
        <f>IFERROR(__xludf.DUMMYFUNCTION("""COMPUTED_VALUE"""),"IT Operations")</f>
        <v>IT Operations</v>
      </c>
      <c r="J459" t="str">
        <f>IFERROR(__xludf.DUMMYFUNCTION("""COMPUTED_VALUE"""),"Hardware")</f>
        <v>Hardware</v>
      </c>
      <c r="K459">
        <f>IFERROR(__xludf.DUMMYFUNCTION("""COMPUTED_VALUE"""),2132994.0)</f>
        <v>2132994</v>
      </c>
      <c r="L459" s="140" t="str">
        <f>IFERROR(__xludf.DUMMYFUNCTION("""COMPUTED_VALUE"""),"Distribution Power Engineering Fundamentals")</f>
        <v>Distribution Power Engineering Fundamentals</v>
      </c>
      <c r="M459" s="155">
        <f>IFERROR(__xludf.DUMMYFUNCTION("""COMPUTED_VALUE"""),683406.0)</f>
        <v>683406</v>
      </c>
      <c r="N459" s="140" t="str">
        <f>IFERROR(__xludf.DUMMYFUNCTION("""COMPUTED_VALUE"""),"Electrical Power Engineering Principles")</f>
        <v>Electrical Power Engineering Principles</v>
      </c>
    </row>
    <row r="460">
      <c r="A460" s="143">
        <f>IFERROR(__xludf.DUMMYFUNCTION("""COMPUTED_VALUE"""),44371.0)</f>
        <v>44371</v>
      </c>
      <c r="B460">
        <f>IFERROR(__xludf.DUMMYFUNCTION("""COMPUTED_VALUE"""),2945452.0)</f>
        <v>2945452</v>
      </c>
      <c r="C460" t="str">
        <f>IFERROR(__xludf.DUMMYFUNCTION("""COMPUTED_VALUE"""),"en")</f>
        <v>en</v>
      </c>
      <c r="D460" t="str">
        <f>IFERROR(__xludf.DUMMYFUNCTION("""COMPUTED_VALUE"""),"Power Engineering: Power System Analysis - Part 2")</f>
        <v>Power Engineering: Power System Analysis - Part 2</v>
      </c>
      <c r="E460" t="str">
        <f>IFERROR(__xludf.DUMMYFUNCTION("""COMPUTED_VALUE"""),"Power Engineering: Power System Analysis - Part 2")</f>
        <v>Power Engineering: Power System Analysis - Part 2</v>
      </c>
      <c r="F460">
        <f>IFERROR(__xludf.DUMMYFUNCTION("""COMPUTED_VALUE"""),3.5421218E7)</f>
        <v>35421218</v>
      </c>
      <c r="G460" t="str">
        <f>IFERROR(__xludf.DUMMYFUNCTION("""COMPUTED_VALUE"""),"Ricardo Romero, PE")</f>
        <v>Ricardo Romero, PE</v>
      </c>
      <c r="H460" t="str">
        <f>IFERROR(__xludf.DUMMYFUNCTION("""COMPUTED_VALUE"""),"Instructor Request- Opted Out")</f>
        <v>Instructor Request- Opted Out</v>
      </c>
      <c r="I460" t="str">
        <f>IFERROR(__xludf.DUMMYFUNCTION("""COMPUTED_VALUE"""),"IT Operations")</f>
        <v>IT Operations</v>
      </c>
      <c r="J460" t="str">
        <f>IFERROR(__xludf.DUMMYFUNCTION("""COMPUTED_VALUE"""),"Hardware")</f>
        <v>Hardware</v>
      </c>
      <c r="K460">
        <f>IFERROR(__xludf.DUMMYFUNCTION("""COMPUTED_VALUE"""),2132994.0)</f>
        <v>2132994</v>
      </c>
      <c r="L460" s="140" t="str">
        <f>IFERROR(__xludf.DUMMYFUNCTION("""COMPUTED_VALUE"""),"Distribution Power Engineering Fundamentals")</f>
        <v>Distribution Power Engineering Fundamentals</v>
      </c>
      <c r="M460" s="155">
        <f>IFERROR(__xludf.DUMMYFUNCTION("""COMPUTED_VALUE"""),683406.0)</f>
        <v>683406</v>
      </c>
      <c r="N460" s="140" t="str">
        <f>IFERROR(__xludf.DUMMYFUNCTION("""COMPUTED_VALUE"""),"Electrical Power Engineering Principles")</f>
        <v>Electrical Power Engineering Principles</v>
      </c>
    </row>
    <row r="461">
      <c r="A461" s="143">
        <f>IFERROR(__xludf.DUMMYFUNCTION("""COMPUTED_VALUE"""),44371.0)</f>
        <v>44371</v>
      </c>
      <c r="B461">
        <f>IFERROR(__xludf.DUMMYFUNCTION("""COMPUTED_VALUE"""),2476576.0)</f>
        <v>2476576</v>
      </c>
      <c r="C461" t="str">
        <f>IFERROR(__xludf.DUMMYFUNCTION("""COMPUTED_VALUE"""),"en")</f>
        <v>en</v>
      </c>
      <c r="D461" t="str">
        <f>IFERROR(__xludf.DUMMYFUNCTION("""COMPUTED_VALUE"""),"MikroTik Security Engineer with LABS")</f>
        <v>MikroTik Security Engineer with LABS</v>
      </c>
      <c r="E461" t="str">
        <f>IFERROR(__xludf.DUMMYFUNCTION("""COMPUTED_VALUE"""),"MikroTik Security Engineer with LABS")</f>
        <v>MikroTik Security Engineer with LABS</v>
      </c>
      <c r="F461">
        <f>IFERROR(__xludf.DUMMYFUNCTION("""COMPUTED_VALUE"""),424712.0)</f>
        <v>424712</v>
      </c>
      <c r="G461" t="str">
        <f>IFERROR(__xludf.DUMMYFUNCTION("""COMPUTED_VALUE"""),"Maher Haddad")</f>
        <v>Maher Haddad</v>
      </c>
      <c r="H461" t="str">
        <f>IFERROR(__xludf.DUMMYFUNCTION("""COMPUTED_VALUE"""),"Instructor Request- Opted Out")</f>
        <v>Instructor Request- Opted Out</v>
      </c>
      <c r="I461" t="str">
        <f>IFERROR(__xludf.DUMMYFUNCTION("""COMPUTED_VALUE"""),"IT Operations")</f>
        <v>IT Operations</v>
      </c>
      <c r="J461" t="str">
        <f>IFERROR(__xludf.DUMMYFUNCTION("""COMPUTED_VALUE"""),"IT Certifications")</f>
        <v>IT Certifications</v>
      </c>
      <c r="L461" s="140" t="str">
        <f>IFERROR(__xludf.DUMMYFUNCTION("""COMPUTED_VALUE"""),"")</f>
        <v/>
      </c>
      <c r="N461" s="140" t="str">
        <f>IFERROR(__xludf.DUMMYFUNCTION("""COMPUTED_VALUE"""),"")</f>
        <v/>
      </c>
      <c r="O461" s="140" t="str">
        <f>IFERROR(__xludf.DUMMYFUNCTION("""COMPUTED_VALUE"""),"No Alternatives in Collection- 5/16/2021")</f>
        <v>No Alternatives in Collection- 5/16/2021</v>
      </c>
    </row>
    <row r="462">
      <c r="A462" s="143">
        <f>IFERROR(__xludf.DUMMYFUNCTION("""COMPUTED_VALUE"""),44371.0)</f>
        <v>44371</v>
      </c>
      <c r="B462">
        <f>IFERROR(__xludf.DUMMYFUNCTION("""COMPUTED_VALUE"""),2382139.0)</f>
        <v>2382139</v>
      </c>
      <c r="C462" t="str">
        <f>IFERROR(__xludf.DUMMYFUNCTION("""COMPUTED_VALUE"""),"en")</f>
        <v>en</v>
      </c>
      <c r="D462" t="str">
        <f>IFERROR(__xludf.DUMMYFUNCTION("""COMPUTED_VALUE"""),"MikroTik Switching - Spanning Tree Protocol")</f>
        <v>MikroTik Switching - Spanning Tree Protocol</v>
      </c>
      <c r="E462" t="str">
        <f>IFERROR(__xludf.DUMMYFUNCTION("""COMPUTED_VALUE"""),"MikroTik Switching - Spanning Tree Protocol")</f>
        <v>MikroTik Switching - Spanning Tree Protocol</v>
      </c>
      <c r="F462">
        <f>IFERROR(__xludf.DUMMYFUNCTION("""COMPUTED_VALUE"""),424712.0)</f>
        <v>424712</v>
      </c>
      <c r="G462" t="str">
        <f>IFERROR(__xludf.DUMMYFUNCTION("""COMPUTED_VALUE"""),"Maher Haddad")</f>
        <v>Maher Haddad</v>
      </c>
      <c r="H462" t="str">
        <f>IFERROR(__xludf.DUMMYFUNCTION("""COMPUTED_VALUE"""),"Instructor Request- Opted Out")</f>
        <v>Instructor Request- Opted Out</v>
      </c>
      <c r="I462" t="str">
        <f>IFERROR(__xludf.DUMMYFUNCTION("""COMPUTED_VALUE"""),"IT Operations")</f>
        <v>IT Operations</v>
      </c>
      <c r="J462" t="str">
        <f>IFERROR(__xludf.DUMMYFUNCTION("""COMPUTED_VALUE"""),"Network &amp; Security")</f>
        <v>Network &amp; Security</v>
      </c>
      <c r="L462" s="140" t="str">
        <f>IFERROR(__xludf.DUMMYFUNCTION("""COMPUTED_VALUE"""),"")</f>
        <v/>
      </c>
      <c r="N462" s="140" t="str">
        <f>IFERROR(__xludf.DUMMYFUNCTION("""COMPUTED_VALUE"""),"")</f>
        <v/>
      </c>
      <c r="O462" s="140" t="str">
        <f>IFERROR(__xludf.DUMMYFUNCTION("""COMPUTED_VALUE"""),"No Alternatives in Collection- 5/16/2021")</f>
        <v>No Alternatives in Collection- 5/16/2021</v>
      </c>
    </row>
    <row r="463">
      <c r="A463" s="143">
        <f>IFERROR(__xludf.DUMMYFUNCTION("""COMPUTED_VALUE"""),44371.0)</f>
        <v>44371</v>
      </c>
      <c r="B463">
        <f>IFERROR(__xludf.DUMMYFUNCTION("""COMPUTED_VALUE"""),1213804.0)</f>
        <v>1213804</v>
      </c>
      <c r="C463" t="str">
        <f>IFERROR(__xludf.DUMMYFUNCTION("""COMPUTED_VALUE"""),"en")</f>
        <v>en</v>
      </c>
      <c r="D463" t="str">
        <f>IFERROR(__xludf.DUMMYFUNCTION("""COMPUTED_VALUE"""),"OSPF on MikroTik with LABS")</f>
        <v>OSPF on MikroTik with LABS</v>
      </c>
      <c r="E463" t="str">
        <f>IFERROR(__xludf.DUMMYFUNCTION("""COMPUTED_VALUE"""),"OSPF on MikroTik with LABS")</f>
        <v>OSPF on MikroTik with LABS</v>
      </c>
      <c r="F463">
        <f>IFERROR(__xludf.DUMMYFUNCTION("""COMPUTED_VALUE"""),424712.0)</f>
        <v>424712</v>
      </c>
      <c r="G463" t="str">
        <f>IFERROR(__xludf.DUMMYFUNCTION("""COMPUTED_VALUE"""),"Maher Haddad")</f>
        <v>Maher Haddad</v>
      </c>
      <c r="H463" t="str">
        <f>IFERROR(__xludf.DUMMYFUNCTION("""COMPUTED_VALUE"""),"Instructor Request- Opted Out")</f>
        <v>Instructor Request- Opted Out</v>
      </c>
      <c r="I463" t="str">
        <f>IFERROR(__xludf.DUMMYFUNCTION("""COMPUTED_VALUE"""),"IT Operations")</f>
        <v>IT Operations</v>
      </c>
      <c r="J463" t="str">
        <f>IFERROR(__xludf.DUMMYFUNCTION("""COMPUTED_VALUE"""),"Network &amp; Security")</f>
        <v>Network &amp; Security</v>
      </c>
      <c r="L463" s="140" t="str">
        <f>IFERROR(__xludf.DUMMYFUNCTION("""COMPUTED_VALUE"""),"")</f>
        <v/>
      </c>
      <c r="N463" s="140" t="str">
        <f>IFERROR(__xludf.DUMMYFUNCTION("""COMPUTED_VALUE"""),"")</f>
        <v/>
      </c>
      <c r="O463" s="140" t="str">
        <f>IFERROR(__xludf.DUMMYFUNCTION("""COMPUTED_VALUE"""),"No Alternatives in Collection- 5/16/2021")</f>
        <v>No Alternatives in Collection- 5/16/2021</v>
      </c>
    </row>
    <row r="464">
      <c r="A464" s="143">
        <f>IFERROR(__xludf.DUMMYFUNCTION("""COMPUTED_VALUE"""),44371.0)</f>
        <v>44371</v>
      </c>
      <c r="B464">
        <f>IFERROR(__xludf.DUMMYFUNCTION("""COMPUTED_VALUE"""),1942834.0)</f>
        <v>1942834</v>
      </c>
      <c r="C464" t="str">
        <f>IFERROR(__xludf.DUMMYFUNCTION("""COMPUTED_VALUE"""),"en")</f>
        <v>en</v>
      </c>
      <c r="D464" t="str">
        <f>IFERROR(__xludf.DUMMYFUNCTION("""COMPUTED_VALUE"""),"MikroTik CAPsMAN with LABS")</f>
        <v>MikroTik CAPsMAN with LABS</v>
      </c>
      <c r="E464" t="str">
        <f>IFERROR(__xludf.DUMMYFUNCTION("""COMPUTED_VALUE"""),"MikroTik CAPsMAN with LABS")</f>
        <v>MikroTik CAPsMAN with LABS</v>
      </c>
      <c r="F464">
        <f>IFERROR(__xludf.DUMMYFUNCTION("""COMPUTED_VALUE"""),424712.0)</f>
        <v>424712</v>
      </c>
      <c r="G464" t="str">
        <f>IFERROR(__xludf.DUMMYFUNCTION("""COMPUTED_VALUE"""),"Maher Haddad")</f>
        <v>Maher Haddad</v>
      </c>
      <c r="H464" t="str">
        <f>IFERROR(__xludf.DUMMYFUNCTION("""COMPUTED_VALUE"""),"Instructor Request- Opted Out")</f>
        <v>Instructor Request- Opted Out</v>
      </c>
      <c r="I464" t="str">
        <f>IFERROR(__xludf.DUMMYFUNCTION("""COMPUTED_VALUE"""),"IT Operations")</f>
        <v>IT Operations</v>
      </c>
      <c r="J464" t="str">
        <f>IFERROR(__xludf.DUMMYFUNCTION("""COMPUTED_VALUE"""),"Network &amp; Security")</f>
        <v>Network &amp; Security</v>
      </c>
      <c r="L464" s="140" t="str">
        <f>IFERROR(__xludf.DUMMYFUNCTION("""COMPUTED_VALUE"""),"")</f>
        <v/>
      </c>
      <c r="N464" s="140" t="str">
        <f>IFERROR(__xludf.DUMMYFUNCTION("""COMPUTED_VALUE"""),"")</f>
        <v/>
      </c>
      <c r="O464" s="140" t="str">
        <f>IFERROR(__xludf.DUMMYFUNCTION("""COMPUTED_VALUE"""),"No Alternatives in Collection- 5/16/2021")</f>
        <v>No Alternatives in Collection- 5/16/2021</v>
      </c>
    </row>
    <row r="465">
      <c r="A465" s="143">
        <f>IFERROR(__xludf.DUMMYFUNCTION("""COMPUTED_VALUE"""),44371.0)</f>
        <v>44371</v>
      </c>
      <c r="B465">
        <f>IFERROR(__xludf.DUMMYFUNCTION("""COMPUTED_VALUE"""),2347582.0)</f>
        <v>2347582</v>
      </c>
      <c r="C465" t="str">
        <f>IFERROR(__xludf.DUMMYFUNCTION("""COMPUTED_VALUE"""),"en")</f>
        <v>en</v>
      </c>
      <c r="D465" t="str">
        <f>IFERROR(__xludf.DUMMYFUNCTION("""COMPUTED_VALUE"""),"MikroTik Failover Setup with LABS")</f>
        <v>MikroTik Failover Setup with LABS</v>
      </c>
      <c r="E465" t="str">
        <f>IFERROR(__xludf.DUMMYFUNCTION("""COMPUTED_VALUE"""),"MikroTik Failover Setup with LABS")</f>
        <v>MikroTik Failover Setup with LABS</v>
      </c>
      <c r="F465">
        <f>IFERROR(__xludf.DUMMYFUNCTION("""COMPUTED_VALUE"""),424712.0)</f>
        <v>424712</v>
      </c>
      <c r="G465" t="str">
        <f>IFERROR(__xludf.DUMMYFUNCTION("""COMPUTED_VALUE"""),"Maher Haddad")</f>
        <v>Maher Haddad</v>
      </c>
      <c r="H465" t="str">
        <f>IFERROR(__xludf.DUMMYFUNCTION("""COMPUTED_VALUE"""),"Instructor Request- Opted Out")</f>
        <v>Instructor Request- Opted Out</v>
      </c>
      <c r="I465" t="str">
        <f>IFERROR(__xludf.DUMMYFUNCTION("""COMPUTED_VALUE"""),"IT Operations")</f>
        <v>IT Operations</v>
      </c>
      <c r="J465" t="str">
        <f>IFERROR(__xludf.DUMMYFUNCTION("""COMPUTED_VALUE"""),"Network &amp; Security")</f>
        <v>Network &amp; Security</v>
      </c>
      <c r="L465" s="140" t="str">
        <f>IFERROR(__xludf.DUMMYFUNCTION("""COMPUTED_VALUE"""),"")</f>
        <v/>
      </c>
      <c r="N465" s="140" t="str">
        <f>IFERROR(__xludf.DUMMYFUNCTION("""COMPUTED_VALUE"""),"")</f>
        <v/>
      </c>
      <c r="O465" s="140" t="str">
        <f>IFERROR(__xludf.DUMMYFUNCTION("""COMPUTED_VALUE"""),"No Alternatives in Collection- 5/16/2021")</f>
        <v>No Alternatives in Collection- 5/16/2021</v>
      </c>
    </row>
    <row r="466">
      <c r="A466" s="143">
        <f>IFERROR(__xludf.DUMMYFUNCTION("""COMPUTED_VALUE"""),44371.0)</f>
        <v>44371</v>
      </c>
      <c r="B466">
        <f>IFERROR(__xludf.DUMMYFUNCTION("""COMPUTED_VALUE"""),1319432.0)</f>
        <v>1319432</v>
      </c>
      <c r="C466" t="str">
        <f>IFERROR(__xludf.DUMMYFUNCTION("""COMPUTED_VALUE"""),"en")</f>
        <v>en</v>
      </c>
      <c r="D466" t="str">
        <f>IFERROR(__xludf.DUMMYFUNCTION("""COMPUTED_VALUE"""),"Fortinet FortiGate Firewall 5-in-1 Training Bundle")</f>
        <v>Fortinet FortiGate Firewall 5-in-1 Training Bundle</v>
      </c>
      <c r="E466" t="str">
        <f>IFERROR(__xludf.DUMMYFUNCTION("""COMPUTED_VALUE"""),"Fortinet FortiGate Firewall 5-in-1 Training Bundle")</f>
        <v>Fortinet FortiGate Firewall 5-in-1 Training Bundle</v>
      </c>
      <c r="F466">
        <f>IFERROR(__xludf.DUMMYFUNCTION("""COMPUTED_VALUE"""),3.3906212E7)</f>
        <v>33906212</v>
      </c>
      <c r="G466" t="str">
        <f>IFERROR(__xludf.DUMMYFUNCTION("""COMPUTED_VALUE"""),"XaaS Technologies | 140.000+ Students")</f>
        <v>XaaS Technologies | 140.000+ Students</v>
      </c>
      <c r="H466" t="str">
        <f>IFERROR(__xludf.DUMMYFUNCTION("""COMPUTED_VALUE"""),"Instructor Request- Reviews")</f>
        <v>Instructor Request- Reviews</v>
      </c>
      <c r="I466" t="str">
        <f>IFERROR(__xludf.DUMMYFUNCTION("""COMPUTED_VALUE"""),"IT Operations")</f>
        <v>IT Operations</v>
      </c>
      <c r="J466" t="str">
        <f>IFERROR(__xludf.DUMMYFUNCTION("""COMPUTED_VALUE"""),"Network &amp; Security")</f>
        <v>Network &amp; Security</v>
      </c>
      <c r="K466">
        <f>IFERROR(__xludf.DUMMYFUNCTION("""COMPUTED_VALUE"""),2373480.0)</f>
        <v>2373480</v>
      </c>
      <c r="L466" s="140" t="str">
        <f>IFERROR(__xludf.DUMMYFUNCTION("""COMPUTED_VALUE"""),"Fortigate Firewall - Admin Crash Course")</f>
        <v>Fortigate Firewall - Admin Crash Course</v>
      </c>
      <c r="N466" s="140" t="str">
        <f>IFERROR(__xludf.DUMMYFUNCTION("""COMPUTED_VALUE"""),"")</f>
        <v/>
      </c>
    </row>
    <row r="467">
      <c r="A467" s="143">
        <f>IFERROR(__xludf.DUMMYFUNCTION("""COMPUTED_VALUE"""),44371.0)</f>
        <v>44371</v>
      </c>
      <c r="B467">
        <f>IFERROR(__xludf.DUMMYFUNCTION("""COMPUTED_VALUE"""),1399984.0)</f>
        <v>1399984</v>
      </c>
      <c r="C467" t="str">
        <f>IFERROR(__xludf.DUMMYFUNCTION("""COMPUTED_VALUE"""),"fr")</f>
        <v>fr</v>
      </c>
      <c r="D467" t="str">
        <f>IFERROR(__xludf.DUMMYFUNCTION("""COMPUTED_VALUE"""),"Leader Impact 3.0")</f>
        <v>Leader Impact 3.0</v>
      </c>
      <c r="E467" t="str">
        <f>IFERROR(__xludf.DUMMYFUNCTION("""COMPUTED_VALUE"""),"Leader Impact 3.0")</f>
        <v>Leader Impact 3.0</v>
      </c>
      <c r="F467">
        <f>IFERROR(__xludf.DUMMYFUNCTION("""COMPUTED_VALUE"""),3.7608724E7)</f>
        <v>37608724</v>
      </c>
      <c r="G467" t="str">
        <f>IFERROR(__xludf.DUMMYFUNCTION("""COMPUTED_VALUE"""),"Dorian Martinez")</f>
        <v>Dorian Martinez</v>
      </c>
      <c r="H467" t="str">
        <f>IFERROR(__xludf.DUMMYFUNCTION("""COMPUTED_VALUE"""),"Instructor Request- Opted Out")</f>
        <v>Instructor Request- Opted Out</v>
      </c>
      <c r="I467" t="str">
        <f>IFERROR(__xludf.DUMMYFUNCTION("""COMPUTED_VALUE"""),"Leadership &amp; Management")</f>
        <v>Leadership &amp; Management</v>
      </c>
      <c r="J467" t="str">
        <f>IFERROR(__xludf.DUMMYFUNCTION("""COMPUTED_VALUE"""),"Leadership")</f>
        <v>Leadership</v>
      </c>
      <c r="K467">
        <f>IFERROR(__xludf.DUMMYFUNCTION("""COMPUTED_VALUE"""),2860286.0)</f>
        <v>2860286</v>
      </c>
      <c r="L467" s="140" t="str">
        <f>IFERROR(__xludf.DUMMYFUNCTION("""COMPUTED_VALUE"""),"Leadership – devenez un leader inspirant")</f>
        <v>Leadership – devenez un leader inspirant</v>
      </c>
      <c r="N467" s="140" t="str">
        <f>IFERROR(__xludf.DUMMYFUNCTION("""COMPUTED_VALUE"""),"")</f>
        <v/>
      </c>
    </row>
    <row r="468">
      <c r="A468" s="143">
        <f>IFERROR(__xludf.DUMMYFUNCTION("""COMPUTED_VALUE"""),44371.0)</f>
        <v>44371</v>
      </c>
      <c r="B468">
        <f>IFERROR(__xludf.DUMMYFUNCTION("""COMPUTED_VALUE"""),1105678.0)</f>
        <v>1105678</v>
      </c>
      <c r="C468" t="str">
        <f>IFERROR(__xludf.DUMMYFUNCTION("""COMPUTED_VALUE"""),"pt")</f>
        <v>pt</v>
      </c>
      <c r="D468" t="str">
        <f>IFERROR(__xludf.DUMMYFUNCTION("""COMPUTED_VALUE"""),"Desenvolvedor Qlikview do Zero")</f>
        <v>Desenvolvedor Qlikview do Zero</v>
      </c>
      <c r="E468" t="str">
        <f>IFERROR(__xludf.DUMMYFUNCTION("""COMPUTED_VALUE"""),"Zero Qlikview developer")</f>
        <v>Zero Qlikview developer</v>
      </c>
      <c r="F468">
        <f>IFERROR(__xludf.DUMMYFUNCTION("""COMPUTED_VALUE"""),1.4126894E7)</f>
        <v>14126894</v>
      </c>
      <c r="G468" t="str">
        <f>IFERROR(__xludf.DUMMYFUNCTION("""COMPUTED_VALUE"""),"André Prado")</f>
        <v>André Prado</v>
      </c>
      <c r="H468" t="str">
        <f>IFERROR(__xludf.DUMMYFUNCTION("""COMPUTED_VALUE"""),"Instructor Request- Outdated")</f>
        <v>Instructor Request- Outdated</v>
      </c>
      <c r="I468" t="str">
        <f>IFERROR(__xludf.DUMMYFUNCTION("""COMPUTED_VALUE"""),"Data Science")</f>
        <v>Data Science</v>
      </c>
      <c r="J468" t="str">
        <f>IFERROR(__xludf.DUMMYFUNCTION("""COMPUTED_VALUE"""),"Analytics")</f>
        <v>Analytics</v>
      </c>
      <c r="L468" s="140" t="str">
        <f>IFERROR(__xludf.DUMMYFUNCTION("""COMPUTED_VALUE"""),"")</f>
        <v/>
      </c>
      <c r="N468" s="140" t="str">
        <f>IFERROR(__xludf.DUMMYFUNCTION("""COMPUTED_VALUE"""),"")</f>
        <v/>
      </c>
      <c r="O468" s="140" t="str">
        <f>IFERROR(__xludf.DUMMYFUNCTION("""COMPUTED_VALUE"""),"No Alternatives in Collection- 5/16/2021")</f>
        <v>No Alternatives in Collection- 5/16/2021</v>
      </c>
    </row>
    <row r="469">
      <c r="A469" s="143">
        <f>IFERROR(__xludf.DUMMYFUNCTION("""COMPUTED_VALUE"""),44371.0)</f>
        <v>44371</v>
      </c>
      <c r="B469">
        <f>IFERROR(__xludf.DUMMYFUNCTION("""COMPUTED_VALUE"""),2917868.0)</f>
        <v>2917868</v>
      </c>
      <c r="C469" t="str">
        <f>IFERROR(__xludf.DUMMYFUNCTION("""COMPUTED_VALUE"""),"en")</f>
        <v>en</v>
      </c>
      <c r="D469" t="str">
        <f>IFERROR(__xludf.DUMMYFUNCTION("""COMPUTED_VALUE"""),"Microsoft Power Virtual Agents for beginners")</f>
        <v>Microsoft Power Virtual Agents for beginners</v>
      </c>
      <c r="E469" t="str">
        <f>IFERROR(__xludf.DUMMYFUNCTION("""COMPUTED_VALUE"""),"Microsoft Power Virtual Agents for beginners")</f>
        <v>Microsoft Power Virtual Agents for beginners</v>
      </c>
      <c r="F469">
        <f>IFERROR(__xludf.DUMMYFUNCTION("""COMPUTED_VALUE"""),6.8119893E7)</f>
        <v>68119893</v>
      </c>
      <c r="G469" t="str">
        <f>IFERROR(__xludf.DUMMYFUNCTION("""COMPUTED_VALUE"""),"Renato Romão")</f>
        <v>Renato Romão</v>
      </c>
      <c r="H469" t="str">
        <f>IFERROR(__xludf.DUMMYFUNCTION("""COMPUTED_VALUE"""),"Instructor Request- Opted Out")</f>
        <v>Instructor Request- Opted Out</v>
      </c>
      <c r="I469" t="str">
        <f>IFERROR(__xludf.DUMMYFUNCTION("""COMPUTED_VALUE"""),"IT Operations")</f>
        <v>IT Operations</v>
      </c>
      <c r="J469" t="str">
        <f>IFERROR(__xludf.DUMMYFUNCTION("""COMPUTED_VALUE"""),"Operating Systems &amp; Servers")</f>
        <v>Operating Systems &amp; Servers</v>
      </c>
      <c r="L469" s="140" t="str">
        <f>IFERROR(__xludf.DUMMYFUNCTION("""COMPUTED_VALUE"""),"")</f>
        <v/>
      </c>
      <c r="N469" s="140" t="str">
        <f>IFERROR(__xludf.DUMMYFUNCTION("""COMPUTED_VALUE"""),"")</f>
        <v/>
      </c>
      <c r="O469" s="140" t="str">
        <f>IFERROR(__xludf.DUMMYFUNCTION("""COMPUTED_VALUE"""),"No Alternatives in Collection- 5/16/2021")</f>
        <v>No Alternatives in Collection- 5/16/2021</v>
      </c>
    </row>
    <row r="470">
      <c r="A470" s="143">
        <f>IFERROR(__xludf.DUMMYFUNCTION("""COMPUTED_VALUE"""),44371.0)</f>
        <v>44371</v>
      </c>
      <c r="B470">
        <f>IFERROR(__xludf.DUMMYFUNCTION("""COMPUTED_VALUE"""),2246722.0)</f>
        <v>2246722</v>
      </c>
      <c r="C470" t="str">
        <f>IFERROR(__xludf.DUMMYFUNCTION("""COMPUTED_VALUE"""),"pt")</f>
        <v>pt</v>
      </c>
      <c r="D470" t="str">
        <f>IFERROR(__xludf.DUMMYFUNCTION("""COMPUTED_VALUE"""),"Crie sites profissionais com Wordpress 2021 - 6 Projetos")</f>
        <v>Crie sites profissionais com Wordpress 2021 - 6 Projetos</v>
      </c>
      <c r="E470" t="str">
        <f>IFERROR(__xludf.DUMMYFUNCTION("""COMPUTED_VALUE"""),"Create professional websites with WordPress 2021 - 6 projects")</f>
        <v>Create professional websites with WordPress 2021 - 6 projects</v>
      </c>
      <c r="F470">
        <f>IFERROR(__xludf.DUMMYFUNCTION("""COMPUTED_VALUE"""),3195542.0)</f>
        <v>3195542</v>
      </c>
      <c r="G470" t="str">
        <f>IFERROR(__xludf.DUMMYFUNCTION("""COMPUTED_VALUE"""),"Jamilton Damasceno")</f>
        <v>Jamilton Damasceno</v>
      </c>
      <c r="H470" t="str">
        <f>IFERROR(__xludf.DUMMYFUNCTION("""COMPUTED_VALUE"""),"Instructor Request- Opted Out")</f>
        <v>Instructor Request- Opted Out</v>
      </c>
      <c r="I470" t="str">
        <f>IFERROR(__xludf.DUMMYFUNCTION("""COMPUTED_VALUE"""),"Development")</f>
        <v>Development</v>
      </c>
      <c r="J470" t="str">
        <f>IFERROR(__xludf.DUMMYFUNCTION("""COMPUTED_VALUE"""),"Web Development")</f>
        <v>Web Development</v>
      </c>
      <c r="K470">
        <f>IFERROR(__xludf.DUMMYFUNCTION("""COMPUTED_VALUE"""),1529576.0)</f>
        <v>1529576</v>
      </c>
      <c r="L470" s="140" t="str">
        <f>IFERROR(__xludf.DUMMYFUNCTION("""COMPUTED_VALUE"""),"Curso Completo Criar Sites com Design Profissional WordPress")</f>
        <v>Curso Completo Criar Sites com Design Profissional WordPress</v>
      </c>
      <c r="M470" s="155">
        <f>IFERROR(__xludf.DUMMYFUNCTION("""COMPUTED_VALUE"""),411462.0)</f>
        <v>411462</v>
      </c>
      <c r="N470" s="140" t="str">
        <f>IFERROR(__xludf.DUMMYFUNCTION("""COMPUTED_VALUE"""),"Wordpress - Como Criar Um Site Profissional Para Seu Negocio")</f>
        <v>Wordpress - Como Criar Um Site Profissional Para Seu Negocio</v>
      </c>
    </row>
    <row r="471">
      <c r="A471" s="143">
        <f>IFERROR(__xludf.DUMMYFUNCTION("""COMPUTED_VALUE"""),44371.0)</f>
        <v>44371</v>
      </c>
      <c r="B471">
        <f>IFERROR(__xludf.DUMMYFUNCTION("""COMPUTED_VALUE"""),2173004.0)</f>
        <v>2173004</v>
      </c>
      <c r="C471" t="str">
        <f>IFERROR(__xludf.DUMMYFUNCTION("""COMPUTED_VALUE"""),"pt")</f>
        <v>pt</v>
      </c>
      <c r="D471" t="str">
        <f>IFERROR(__xludf.DUMMYFUNCTION("""COMPUTED_VALUE"""),"Desenvolvimento Android e IOS com Flutter 2021 -Crie 15 Apps")</f>
        <v>Desenvolvimento Android e IOS com Flutter 2021 -Crie 15 Apps</v>
      </c>
      <c r="E471" t="str">
        <f>IFERROR(__xludf.DUMMYFUNCTION("""COMPUTED_VALUE"""),"Android and iOS Development with Flutter 2021 -Crieve 15 Apps")</f>
        <v>Android and iOS Development with Flutter 2021 -Crieve 15 Apps</v>
      </c>
      <c r="F471">
        <f>IFERROR(__xludf.DUMMYFUNCTION("""COMPUTED_VALUE"""),3195542.0)</f>
        <v>3195542</v>
      </c>
      <c r="G471" t="str">
        <f>IFERROR(__xludf.DUMMYFUNCTION("""COMPUTED_VALUE"""),"Jamilton Damasceno")</f>
        <v>Jamilton Damasceno</v>
      </c>
      <c r="H471" t="str">
        <f>IFERROR(__xludf.DUMMYFUNCTION("""COMPUTED_VALUE"""),"Instructor Request- Opted Out")</f>
        <v>Instructor Request- Opted Out</v>
      </c>
      <c r="I471" t="str">
        <f>IFERROR(__xludf.DUMMYFUNCTION("""COMPUTED_VALUE"""),"Development")</f>
        <v>Development</v>
      </c>
      <c r="J471" t="str">
        <f>IFERROR(__xludf.DUMMYFUNCTION("""COMPUTED_VALUE"""),"Mobile Development")</f>
        <v>Mobile Development</v>
      </c>
      <c r="K471">
        <f>IFERROR(__xludf.DUMMYFUNCTION("""COMPUTED_VALUE"""),2710728.0)</f>
        <v>2710728</v>
      </c>
      <c r="L471" s="140" t="str">
        <f>IFERROR(__xludf.DUMMYFUNCTION("""COMPUTED_VALUE"""),"Aprenda Flutter e Desenvolva Apps Para Android e IOS 2021")</f>
        <v>Aprenda Flutter e Desenvolva Apps Para Android e IOS 2021</v>
      </c>
      <c r="N471" s="140" t="str">
        <f>IFERROR(__xludf.DUMMYFUNCTION("""COMPUTED_VALUE"""),"")</f>
        <v/>
      </c>
    </row>
    <row r="472">
      <c r="A472" s="143">
        <f>IFERROR(__xludf.DUMMYFUNCTION("""COMPUTED_VALUE"""),44371.0)</f>
        <v>44371</v>
      </c>
      <c r="B472">
        <f>IFERROR(__xludf.DUMMYFUNCTION("""COMPUTED_VALUE"""),2228938.0)</f>
        <v>2228938</v>
      </c>
      <c r="C472" t="str">
        <f>IFERROR(__xludf.DUMMYFUNCTION("""COMPUTED_VALUE"""),"en")</f>
        <v>en</v>
      </c>
      <c r="D472" t="str">
        <f>IFERROR(__xludf.DUMMYFUNCTION("""COMPUTED_VALUE"""),"pfSense Fundamentals - Secure Networks With pfSense Firewall")</f>
        <v>pfSense Fundamentals - Secure Networks With pfSense Firewall</v>
      </c>
      <c r="E472" t="str">
        <f>IFERROR(__xludf.DUMMYFUNCTION("""COMPUTED_VALUE"""),"pfSense Fundamentals - Secure Networks With pfSense Firewall")</f>
        <v>pfSense Fundamentals - Secure Networks With pfSense Firewall</v>
      </c>
      <c r="F472">
        <f>IFERROR(__xludf.DUMMYFUNCTION("""COMPUTED_VALUE"""),4824406.0)</f>
        <v>4824406</v>
      </c>
      <c r="G472" t="str">
        <f>IFERROR(__xludf.DUMMYFUNCTION("""COMPUTED_VALUE"""),"Ted LeRoy")</f>
        <v>Ted LeRoy</v>
      </c>
      <c r="H472" t="str">
        <f>IFERROR(__xludf.DUMMYFUNCTION("""COMPUTED_VALUE"""),"Instructor Request- Exclusivity")</f>
        <v>Instructor Request- Exclusivity</v>
      </c>
      <c r="I472" t="str">
        <f>IFERROR(__xludf.DUMMYFUNCTION("""COMPUTED_VALUE"""),"IT Operations")</f>
        <v>IT Operations</v>
      </c>
      <c r="J472" t="str">
        <f>IFERROR(__xludf.DUMMYFUNCTION("""COMPUTED_VALUE"""),"Network &amp; Security")</f>
        <v>Network &amp; Security</v>
      </c>
      <c r="K472">
        <f>IFERROR(__xludf.DUMMYFUNCTION("""COMPUTED_VALUE"""),1568078.0)</f>
        <v>1568078</v>
      </c>
      <c r="L472" s="140" t="str">
        <f>IFERROR(__xludf.DUMMYFUNCTION("""COMPUTED_VALUE"""),"Mastering pfSense")</f>
        <v>Mastering pfSense</v>
      </c>
      <c r="N472" s="140" t="str">
        <f>IFERROR(__xludf.DUMMYFUNCTION("""COMPUTED_VALUE"""),"")</f>
        <v/>
      </c>
    </row>
    <row r="473">
      <c r="A473" s="143">
        <f>IFERROR(__xludf.DUMMYFUNCTION("""COMPUTED_VALUE"""),44371.0)</f>
        <v>44371</v>
      </c>
      <c r="B473">
        <f>IFERROR(__xludf.DUMMYFUNCTION("""COMPUTED_VALUE"""),364530.0)</f>
        <v>364530</v>
      </c>
      <c r="C473" t="str">
        <f>IFERROR(__xludf.DUMMYFUNCTION("""COMPUTED_VALUE"""),"en")</f>
        <v>en</v>
      </c>
      <c r="D473" t="str">
        <f>IFERROR(__xludf.DUMMYFUNCTION("""COMPUTED_VALUE"""),"Data Processing with Python")</f>
        <v>Data Processing with Python</v>
      </c>
      <c r="E473" t="str">
        <f>IFERROR(__xludf.DUMMYFUNCTION("""COMPUTED_VALUE"""),"Data Processing with Python")</f>
        <v>Data Processing with Python</v>
      </c>
      <c r="F473">
        <f>IFERROR(__xludf.DUMMYFUNCTION("""COMPUTED_VALUE"""),717783.0)</f>
        <v>717783</v>
      </c>
      <c r="G473" t="str">
        <f>IFERROR(__xludf.DUMMYFUNCTION("""COMPUTED_VALUE"""),"Ardit Sulce")</f>
        <v>Ardit Sulce</v>
      </c>
      <c r="H473" t="str">
        <f>IFERROR(__xludf.DUMMYFUNCTION("""COMPUTED_VALUE"""),"Instructor Request- Outdated")</f>
        <v>Instructor Request- Outdated</v>
      </c>
      <c r="I473" t="str">
        <f>IFERROR(__xludf.DUMMYFUNCTION("""COMPUTED_VALUE"""),"Data Science")</f>
        <v>Data Science</v>
      </c>
      <c r="J473" t="str">
        <f>IFERROR(__xludf.DUMMYFUNCTION("""COMPUTED_VALUE"""),"Analytics")</f>
        <v>Analytics</v>
      </c>
      <c r="L473" s="140" t="str">
        <f>IFERROR(__xludf.DUMMYFUNCTION("""COMPUTED_VALUE"""),"")</f>
        <v/>
      </c>
      <c r="N473" s="140" t="str">
        <f>IFERROR(__xludf.DUMMYFUNCTION("""COMPUTED_VALUE"""),"")</f>
        <v/>
      </c>
      <c r="O473" s="140" t="str">
        <f>IFERROR(__xludf.DUMMYFUNCTION("""COMPUTED_VALUE"""),"No Alternatives in Collection- 3/20")</f>
        <v>No Alternatives in Collection- 3/20</v>
      </c>
    </row>
    <row r="474">
      <c r="A474" s="143">
        <f>IFERROR(__xludf.DUMMYFUNCTION("""COMPUTED_VALUE"""),44371.0)</f>
        <v>44371</v>
      </c>
      <c r="B474">
        <f>IFERROR(__xludf.DUMMYFUNCTION("""COMPUTED_VALUE"""),2985506.0)</f>
        <v>2985506</v>
      </c>
      <c r="C474" t="str">
        <f>IFERROR(__xludf.DUMMYFUNCTION("""COMPUTED_VALUE"""),"en")</f>
        <v>en</v>
      </c>
      <c r="D474" t="str">
        <f>IFERROR(__xludf.DUMMYFUNCTION("""COMPUTED_VALUE"""),"DevOps Deployment Automation with Terraform, AWS and Docker")</f>
        <v>DevOps Deployment Automation with Terraform, AWS and Docker</v>
      </c>
      <c r="E474" t="str">
        <f>IFERROR(__xludf.DUMMYFUNCTION("""COMPUTED_VALUE"""),"DevOps Deployment Automation with Terraform, AWS and Docker")</f>
        <v>DevOps Deployment Automation with Terraform, AWS and Docker</v>
      </c>
      <c r="F474">
        <f>IFERROR(__xludf.DUMMYFUNCTION("""COMPUTED_VALUE"""),2.9223738E7)</f>
        <v>29223738</v>
      </c>
      <c r="G474" t="str">
        <f>IFERROR(__xludf.DUMMYFUNCTION("""COMPUTED_VALUE"""),"Mark Winterbottom")</f>
        <v>Mark Winterbottom</v>
      </c>
      <c r="H474" t="str">
        <f>IFERROR(__xludf.DUMMYFUNCTION("""COMPUTED_VALUE"""),"Instructor Request- Exclusivity")</f>
        <v>Instructor Request- Exclusivity</v>
      </c>
      <c r="I474" t="str">
        <f>IFERROR(__xludf.DUMMYFUNCTION("""COMPUTED_VALUE"""),"Development")</f>
        <v>Development</v>
      </c>
      <c r="J474" t="str">
        <f>IFERROR(__xludf.DUMMYFUNCTION("""COMPUTED_VALUE"""),"Development Tools")</f>
        <v>Development Tools</v>
      </c>
      <c r="L474" s="140" t="str">
        <f>IFERROR(__xludf.DUMMYFUNCTION("""COMPUTED_VALUE"""),"")</f>
        <v/>
      </c>
      <c r="N474" s="140" t="str">
        <f>IFERROR(__xludf.DUMMYFUNCTION("""COMPUTED_VALUE"""),"")</f>
        <v/>
      </c>
      <c r="O474" s="140" t="str">
        <f>IFERROR(__xludf.DUMMYFUNCTION("""COMPUTED_VALUE"""),"No Alternatives in Collection- 3/20")</f>
        <v>No Alternatives in Collection- 3/20</v>
      </c>
    </row>
    <row r="475">
      <c r="A475" s="143">
        <f>IFERROR(__xludf.DUMMYFUNCTION("""COMPUTED_VALUE"""),44371.0)</f>
        <v>44371</v>
      </c>
      <c r="B475">
        <f>IFERROR(__xludf.DUMMYFUNCTION("""COMPUTED_VALUE"""),2420386.0)</f>
        <v>2420386</v>
      </c>
      <c r="C475" t="str">
        <f>IFERROR(__xludf.DUMMYFUNCTION("""COMPUTED_VALUE"""),"en")</f>
        <v>en</v>
      </c>
      <c r="D475" t="str">
        <f>IFERROR(__xludf.DUMMYFUNCTION("""COMPUTED_VALUE"""),"FRM Part 1 (2020) - Book 1 - Foundations of Risk Management")</f>
        <v>FRM Part 1 (2020) - Book 1 - Foundations of Risk Management</v>
      </c>
      <c r="E475" t="str">
        <f>IFERROR(__xludf.DUMMYFUNCTION("""COMPUTED_VALUE"""),"FRM Part 1 (2020) - Book 1 - Foundations of Risk Management")</f>
        <v>FRM Part 1 (2020) - Book 1 - Foundations of Risk Management</v>
      </c>
      <c r="F475">
        <f>IFERROR(__xludf.DUMMYFUNCTION("""COMPUTED_VALUE"""),6.049832E7)</f>
        <v>60498320</v>
      </c>
      <c r="G475" t="str">
        <f>IFERROR(__xludf.DUMMYFUNCTION("""COMPUTED_VALUE"""),"Analyst Prep")</f>
        <v>Analyst Prep</v>
      </c>
      <c r="H475" t="str">
        <f>IFERROR(__xludf.DUMMYFUNCTION("""COMPUTED_VALUE"""),"Course Series")</f>
        <v>Course Series</v>
      </c>
      <c r="I475" t="str">
        <f>IFERROR(__xludf.DUMMYFUNCTION("""COMPUTED_VALUE"""),"Project Management &amp; Operations")</f>
        <v>Project Management &amp; Operations</v>
      </c>
      <c r="J475" t="str">
        <f>IFERROR(__xludf.DUMMYFUNCTION("""COMPUTED_VALUE"""),"Operations Management")</f>
        <v>Operations Management</v>
      </c>
      <c r="L475" s="140" t="str">
        <f>IFERROR(__xludf.DUMMYFUNCTION("""COMPUTED_VALUE"""),"")</f>
        <v/>
      </c>
      <c r="N475" s="140" t="str">
        <f>IFERROR(__xludf.DUMMYFUNCTION("""COMPUTED_VALUE"""),"")</f>
        <v/>
      </c>
      <c r="O475" s="140" t="str">
        <f>IFERROR(__xludf.DUMMYFUNCTION("""COMPUTED_VALUE"""),"No Alternatives in Collection- 3/20")</f>
        <v>No Alternatives in Collection- 3/20</v>
      </c>
    </row>
    <row r="476">
      <c r="A476" s="143">
        <f>IFERROR(__xludf.DUMMYFUNCTION("""COMPUTED_VALUE"""),44371.0)</f>
        <v>44371</v>
      </c>
      <c r="B476">
        <f>IFERROR(__xludf.DUMMYFUNCTION("""COMPUTED_VALUE"""),3734400.0)</f>
        <v>3734400</v>
      </c>
      <c r="C476" t="str">
        <f>IFERROR(__xludf.DUMMYFUNCTION("""COMPUTED_VALUE"""),"en")</f>
        <v>en</v>
      </c>
      <c r="D476" t="str">
        <f>IFERROR(__xludf.DUMMYFUNCTION("""COMPUTED_VALUE"""),"SAFe(R) Scrum Master 5.0 (SSM) - Practice Exams 2021")</f>
        <v>SAFe(R) Scrum Master 5.0 (SSM) - Practice Exams 2021</v>
      </c>
      <c r="E476" t="str">
        <f>IFERROR(__xludf.DUMMYFUNCTION("""COMPUTED_VALUE"""),"SAFe(R) Scrum Master 5.0 (SSM) - Practice Exams 2021")</f>
        <v>SAFe(R) Scrum Master 5.0 (SSM) - Practice Exams 2021</v>
      </c>
      <c r="H476" t="str">
        <f>IFERROR(__xludf.DUMMYFUNCTION("""COMPUTED_VALUE"""),"T&amp;S")</f>
        <v>T&amp;S</v>
      </c>
      <c r="I476" t="str">
        <f>IFERROR(__xludf.DUMMYFUNCTION("""COMPUTED_VALUE"""),"Project Management &amp; Operations")</f>
        <v>Project Management &amp; Operations</v>
      </c>
      <c r="J476" t="str">
        <f>IFERROR(__xludf.DUMMYFUNCTION("""COMPUTED_VALUE"""),"Project Management Certifications")</f>
        <v>Project Management Certifications</v>
      </c>
    </row>
    <row r="477">
      <c r="A477" s="143">
        <f>IFERROR(__xludf.DUMMYFUNCTION("""COMPUTED_VALUE"""),44371.0)</f>
        <v>44371</v>
      </c>
      <c r="B477">
        <f>IFERROR(__xludf.DUMMYFUNCTION("""COMPUTED_VALUE"""),3734432.0)</f>
        <v>3734432</v>
      </c>
      <c r="C477" t="str">
        <f>IFERROR(__xludf.DUMMYFUNCTION("""COMPUTED_VALUE"""),"en")</f>
        <v>en</v>
      </c>
      <c r="D477" t="str">
        <f>IFERROR(__xludf.DUMMYFUNCTION("""COMPUTED_VALUE"""),"Leading SAFe(R) 5.0.1 and 5.1- SA-Practice Exams 2021")</f>
        <v>Leading SAFe(R) 5.0.1 and 5.1- SA-Practice Exams 2021</v>
      </c>
      <c r="E477" t="str">
        <f>IFERROR(__xludf.DUMMYFUNCTION("""COMPUTED_VALUE"""),"Leading SAFe(R) 5.0.1 and 5.1- SA-Practice Exams 2021")</f>
        <v>Leading SAFe(R) 5.0.1 and 5.1- SA-Practice Exams 2021</v>
      </c>
      <c r="H477" t="str">
        <f>IFERROR(__xludf.DUMMYFUNCTION("""COMPUTED_VALUE"""),"T&amp;S")</f>
        <v>T&amp;S</v>
      </c>
      <c r="I477" t="str">
        <f>IFERROR(__xludf.DUMMYFUNCTION("""COMPUTED_VALUE"""),"Project Management &amp; Operations")</f>
        <v>Project Management &amp; Operations</v>
      </c>
      <c r="J477" t="str">
        <f>IFERROR(__xludf.DUMMYFUNCTION("""COMPUTED_VALUE"""),"Project Management Certifications")</f>
        <v>Project Management Certifications</v>
      </c>
    </row>
    <row r="478">
      <c r="A478" s="143">
        <f>IFERROR(__xludf.DUMMYFUNCTION("""COMPUTED_VALUE"""),44375.0)</f>
        <v>44375</v>
      </c>
      <c r="B478">
        <f>IFERROR(__xludf.DUMMYFUNCTION("""COMPUTED_VALUE"""),3710188.0)</f>
        <v>3710188</v>
      </c>
      <c r="C478" t="str">
        <f>IFERROR(__xludf.DUMMYFUNCTION("""COMPUTED_VALUE"""),"en")</f>
        <v>en</v>
      </c>
      <c r="D478" t="str">
        <f>IFERROR(__xludf.DUMMYFUNCTION("""COMPUTED_VALUE"""),"A Course on Part Modelling in PTC Creo Software")</f>
        <v>A Course on Part Modelling in PTC Creo Software</v>
      </c>
      <c r="E478" t="str">
        <f>IFERROR(__xludf.DUMMYFUNCTION("""COMPUTED_VALUE"""),"A Course on Part Modelling in PTC Creo Software")</f>
        <v>A Course on Part Modelling in PTC Creo Software</v>
      </c>
      <c r="F478">
        <f>IFERROR(__xludf.DUMMYFUNCTION("""COMPUTED_VALUE"""),1.26920764E8)</f>
        <v>126920764</v>
      </c>
      <c r="G478" t="str">
        <f>IFERROR(__xludf.DUMMYFUNCTION("""COMPUTED_VALUE"""),"Pankaj Ramanlal Beldar")</f>
        <v>Pankaj Ramanlal Beldar</v>
      </c>
      <c r="H478" t="str">
        <f>IFERROR(__xludf.DUMMYFUNCTION("""COMPUTED_VALUE"""),"T&amp;S")</f>
        <v>T&amp;S</v>
      </c>
      <c r="I478" t="str">
        <f>IFERROR(__xludf.DUMMYFUNCTION("""COMPUTED_VALUE"""),"IT Operations")</f>
        <v>IT Operations</v>
      </c>
      <c r="J478" t="str">
        <f>IFERROR(__xludf.DUMMYFUNCTION("""COMPUTED_VALUE"""),"Hardware")</f>
        <v>Hardware</v>
      </c>
    </row>
    <row r="479">
      <c r="A479" s="143">
        <f>IFERROR(__xludf.DUMMYFUNCTION("""COMPUTED_VALUE"""),44377.0)</f>
        <v>44377</v>
      </c>
      <c r="B479">
        <f>IFERROR(__xludf.DUMMYFUNCTION("""COMPUTED_VALUE"""),983670.0)</f>
        <v>983670</v>
      </c>
      <c r="C479" t="str">
        <f>IFERROR(__xludf.DUMMYFUNCTION("""COMPUTED_VALUE"""),"pt")</f>
        <v>pt</v>
      </c>
      <c r="D479" t="str">
        <f>IFERROR(__xludf.DUMMYFUNCTION("""COMPUTED_VALUE"""),"Aprenda Inglês Com Conversas: Mais Confiança Ao Falar Inglês")</f>
        <v>Aprenda Inglês Com Conversas: Mais Confiança Ao Falar Inglês</v>
      </c>
      <c r="E479" t="str">
        <f>IFERROR(__xludf.DUMMYFUNCTION("""COMPUTED_VALUE"""),"Learn English with conversations: more confidence when speaking English")</f>
        <v>Learn English with conversations: more confidence when speaking English</v>
      </c>
      <c r="F479">
        <f>IFERROR(__xludf.DUMMYFUNCTION("""COMPUTED_VALUE"""),2717766.0)</f>
        <v>2717766</v>
      </c>
      <c r="G479" t="str">
        <f>IFERROR(__xludf.DUMMYFUNCTION("""COMPUTED_VALUE"""),"Gabriel Silva")</f>
        <v>Gabriel Silva</v>
      </c>
      <c r="H479" t="str">
        <f>IFERROR(__xludf.DUMMYFUNCTION("""COMPUTED_VALUE"""),"Instructor Request- Opted Out")</f>
        <v>Instructor Request- Opted Out</v>
      </c>
      <c r="I479" t="str">
        <f>IFERROR(__xludf.DUMMYFUNCTION("""COMPUTED_VALUE"""),"Personal Development")</f>
        <v>Personal Development</v>
      </c>
      <c r="J479" t="str">
        <f>IFERROR(__xludf.DUMMYFUNCTION("""COMPUTED_VALUE"""),"Language Learning")</f>
        <v>Language Learning</v>
      </c>
      <c r="L479" s="140" t="str">
        <f>IFERROR(__xludf.DUMMYFUNCTION("""COMPUTED_VALUE"""),"")</f>
        <v/>
      </c>
      <c r="N479" s="140" t="str">
        <f>IFERROR(__xludf.DUMMYFUNCTION("""COMPUTED_VALUE"""),"")</f>
        <v/>
      </c>
    </row>
    <row r="480">
      <c r="A480" s="143">
        <f>IFERROR(__xludf.DUMMYFUNCTION("""COMPUTED_VALUE"""),44377.0)</f>
        <v>44377</v>
      </c>
      <c r="B480">
        <f>IFERROR(__xludf.DUMMYFUNCTION("""COMPUTED_VALUE"""),2725272.0)</f>
        <v>2725272</v>
      </c>
      <c r="C480" t="str">
        <f>IFERROR(__xludf.DUMMYFUNCTION("""COMPUTED_VALUE"""),"en")</f>
        <v>en</v>
      </c>
      <c r="D480" t="str">
        <f>IFERROR(__xludf.DUMMYFUNCTION("""COMPUTED_VALUE"""),"Modern Server Side Rendering with React and Next.JS")</f>
        <v>Modern Server Side Rendering with React and Next.JS</v>
      </c>
      <c r="E480" t="str">
        <f>IFERROR(__xludf.DUMMYFUNCTION("""COMPUTED_VALUE"""),"Modern Server Side Rendering with React and Next.JS")</f>
        <v>Modern Server Side Rendering with React and Next.JS</v>
      </c>
      <c r="F480">
        <f>IFERROR(__xludf.DUMMYFUNCTION("""COMPUTED_VALUE"""),9.828591E7)</f>
        <v>98285910</v>
      </c>
      <c r="G480" t="str">
        <f>IFERROR(__xludf.DUMMYFUNCTION("""COMPUTED_VALUE"""),"Eduardo Silva")</f>
        <v>Eduardo Silva</v>
      </c>
      <c r="H480" t="str">
        <f>IFERROR(__xludf.DUMMYFUNCTION("""COMPUTED_VALUE"""),"Instructor Request- Outdated")</f>
        <v>Instructor Request- Outdated</v>
      </c>
      <c r="I480" t="str">
        <f>IFERROR(__xludf.DUMMYFUNCTION("""COMPUTED_VALUE"""),"Development")</f>
        <v>Development</v>
      </c>
      <c r="J480" t="str">
        <f>IFERROR(__xludf.DUMMYFUNCTION("""COMPUTED_VALUE"""),"Web Development")</f>
        <v>Web Development</v>
      </c>
      <c r="K480">
        <f>IFERROR(__xludf.DUMMYFUNCTION("""COMPUTED_VALUE"""),2019358.0)</f>
        <v>2019358</v>
      </c>
      <c r="L480" s="140" t="str">
        <f>IFERROR(__xludf.DUMMYFUNCTION("""COMPUTED_VALUE"""),"Universal React with Next.js - The Ultimate Guide")</f>
        <v>Universal React with Next.js - The Ultimate Guide</v>
      </c>
      <c r="M480" s="155">
        <f>IFERROR(__xludf.DUMMYFUNCTION("""COMPUTED_VALUE"""),2000856.0)</f>
        <v>2000856</v>
      </c>
      <c r="N480" s="140" t="str">
        <f>IFERROR(__xludf.DUMMYFUNCTION("""COMPUTED_VALUE"""),"Complete Next.js with React &amp; Node - Beautiful Portfolio App")</f>
        <v>Complete Next.js with React &amp; Node - Beautiful Portfolio App</v>
      </c>
    </row>
    <row r="481">
      <c r="A481" s="143">
        <f>IFERROR(__xludf.DUMMYFUNCTION("""COMPUTED_VALUE"""),44377.0)</f>
        <v>44377</v>
      </c>
      <c r="B481">
        <f>IFERROR(__xludf.DUMMYFUNCTION("""COMPUTED_VALUE"""),222628.0)</f>
        <v>222628</v>
      </c>
      <c r="C481" t="str">
        <f>IFERROR(__xludf.DUMMYFUNCTION("""COMPUTED_VALUE"""),"en")</f>
        <v>en</v>
      </c>
      <c r="D481" t="str">
        <f>IFERROR(__xludf.DUMMYFUNCTION("""COMPUTED_VALUE"""),"Java/Apache Maven: Stop Building Java Programs the Hard Way!")</f>
        <v>Java/Apache Maven: Stop Building Java Programs the Hard Way!</v>
      </c>
      <c r="E481" t="str">
        <f>IFERROR(__xludf.DUMMYFUNCTION("""COMPUTED_VALUE"""),"Java/Apache Maven: Stop Building Java Programs the Hard Way!")</f>
        <v>Java/Apache Maven: Stop Building Java Programs the Hard Way!</v>
      </c>
      <c r="F481">
        <f>IFERROR(__xludf.DUMMYFUNCTION("""COMPUTED_VALUE"""),5223274.0)</f>
        <v>5223274</v>
      </c>
      <c r="G481" t="str">
        <f>IFERROR(__xludf.DUMMYFUNCTION("""COMPUTED_VALUE"""),"Bruce E. Hilton")</f>
        <v>Bruce E. Hilton</v>
      </c>
      <c r="H481" t="str">
        <f>IFERROR(__xludf.DUMMYFUNCTION("""COMPUTED_VALUE"""),"Low Rating")</f>
        <v>Low Rating</v>
      </c>
      <c r="I481" t="str">
        <f>IFERROR(__xludf.DUMMYFUNCTION("""COMPUTED_VALUE"""),"Development")</f>
        <v>Development</v>
      </c>
      <c r="J481" t="str">
        <f>IFERROR(__xludf.DUMMYFUNCTION("""COMPUTED_VALUE"""),"Programming Languages")</f>
        <v>Programming Languages</v>
      </c>
      <c r="K481">
        <f>IFERROR(__xludf.DUMMYFUNCTION("""COMPUTED_VALUE"""),2043700.0)</f>
        <v>2043700</v>
      </c>
      <c r="L481" s="140" t="str">
        <f>IFERROR(__xludf.DUMMYFUNCTION("""COMPUTED_VALUE"""),"Apache Maven: Beginner to Guru")</f>
        <v>Apache Maven: Beginner to Guru</v>
      </c>
      <c r="N481" s="140" t="str">
        <f>IFERROR(__xludf.DUMMYFUNCTION("""COMPUTED_VALUE"""),"")</f>
        <v/>
      </c>
    </row>
    <row r="482">
      <c r="A482" s="143">
        <f>IFERROR(__xludf.DUMMYFUNCTION("""COMPUTED_VALUE"""),44377.0)</f>
        <v>44377</v>
      </c>
      <c r="B482">
        <f>IFERROR(__xludf.DUMMYFUNCTION("""COMPUTED_VALUE"""),861106.0)</f>
        <v>861106</v>
      </c>
      <c r="C482" t="str">
        <f>IFERROR(__xludf.DUMMYFUNCTION("""COMPUTED_VALUE"""),"en")</f>
        <v>en</v>
      </c>
      <c r="D482" t="str">
        <f>IFERROR(__xludf.DUMMYFUNCTION("""COMPUTED_VALUE"""),"Learning Sketchup for Beginners")</f>
        <v>Learning Sketchup for Beginners</v>
      </c>
      <c r="E482" t="str">
        <f>IFERROR(__xludf.DUMMYFUNCTION("""COMPUTED_VALUE"""),"Learning Sketchup for Beginners")</f>
        <v>Learning Sketchup for Beginners</v>
      </c>
      <c r="F482">
        <f>IFERROR(__xludf.DUMMYFUNCTION("""COMPUTED_VALUE"""),2.2843788E7)</f>
        <v>22843788</v>
      </c>
      <c r="G482" t="str">
        <f>IFERROR(__xludf.DUMMYFUNCTION("""COMPUTED_VALUE"""),"Todd Wilberdon")</f>
        <v>Todd Wilberdon</v>
      </c>
      <c r="H482" t="str">
        <f>IFERROR(__xludf.DUMMYFUNCTION("""COMPUTED_VALUE"""),"Low Rating")</f>
        <v>Low Rating</v>
      </c>
      <c r="I482" t="str">
        <f>IFERROR(__xludf.DUMMYFUNCTION("""COMPUTED_VALUE"""),"Design")</f>
        <v>Design</v>
      </c>
      <c r="J482" t="str">
        <f>IFERROR(__xludf.DUMMYFUNCTION("""COMPUTED_VALUE"""),"3D &amp; Animation")</f>
        <v>3D &amp; Animation</v>
      </c>
      <c r="K482">
        <f>IFERROR(__xludf.DUMMYFUNCTION("""COMPUTED_VALUE"""),2738212.0)</f>
        <v>2738212</v>
      </c>
      <c r="L482" s="140" t="str">
        <f>IFERROR(__xludf.DUMMYFUNCTION("""COMPUTED_VALUE"""),"")</f>
        <v/>
      </c>
      <c r="N482" s="140" t="str">
        <f>IFERROR(__xludf.DUMMYFUNCTION("""COMPUTED_VALUE"""),"")</f>
        <v/>
      </c>
    </row>
    <row r="483">
      <c r="A483" s="143">
        <f>IFERROR(__xludf.DUMMYFUNCTION("""COMPUTED_VALUE"""),44377.0)</f>
        <v>44377</v>
      </c>
      <c r="B483">
        <f>IFERROR(__xludf.DUMMYFUNCTION("""COMPUTED_VALUE"""),944172.0)</f>
        <v>944172</v>
      </c>
      <c r="C483" t="str">
        <f>IFERROR(__xludf.DUMMYFUNCTION("""COMPUTED_VALUE"""),"en")</f>
        <v>en</v>
      </c>
      <c r="D483" t="str">
        <f>IFERROR(__xludf.DUMMYFUNCTION("""COMPUTED_VALUE"""),"C*5 Introduction - This course is scheduled to be retired")</f>
        <v>C*5 Introduction - This course is scheduled to be retired</v>
      </c>
      <c r="E483" t="str">
        <f>IFERROR(__xludf.DUMMYFUNCTION("""COMPUTED_VALUE"""),"C*5 Introduction - This course is scheduled to be retired")</f>
        <v>C*5 Introduction - This course is scheduled to be retired</v>
      </c>
      <c r="F483">
        <f>IFERROR(__xludf.DUMMYFUNCTION("""COMPUTED_VALUE"""),1.9097E7)</f>
        <v>19097000</v>
      </c>
      <c r="G483" t="str">
        <f>IFERROR(__xludf.DUMMYFUNCTION("""COMPUTED_VALUE"""),"Ludmila Vrazelova")</f>
        <v>Ludmila Vrazelova</v>
      </c>
      <c r="H483" t="str">
        <f>IFERROR(__xludf.DUMMYFUNCTION("""COMPUTED_VALUE"""),"Low Rating")</f>
        <v>Low Rating</v>
      </c>
      <c r="I483" t="str">
        <f>IFERROR(__xludf.DUMMYFUNCTION("""COMPUTED_VALUE"""),"IT Operations")</f>
        <v>IT Operations</v>
      </c>
      <c r="J483" t="str">
        <f>IFERROR(__xludf.DUMMYFUNCTION("""COMPUTED_VALUE"""),"IT Certifications")</f>
        <v>IT Certifications</v>
      </c>
      <c r="L483" s="140" t="str">
        <f>IFERROR(__xludf.DUMMYFUNCTION("""COMPUTED_VALUE"""),"")</f>
        <v/>
      </c>
      <c r="N483" s="140" t="str">
        <f>IFERROR(__xludf.DUMMYFUNCTION("""COMPUTED_VALUE"""),"")</f>
        <v/>
      </c>
      <c r="O483" s="140" t="str">
        <f>IFERROR(__xludf.DUMMYFUNCTION("""COMPUTED_VALUE"""),"No Alternatives in Collection- 5/16/2021")</f>
        <v>No Alternatives in Collection- 5/16/2021</v>
      </c>
    </row>
    <row r="484">
      <c r="A484" s="143">
        <f>IFERROR(__xludf.DUMMYFUNCTION("""COMPUTED_VALUE"""),44377.0)</f>
        <v>44377</v>
      </c>
      <c r="B484">
        <f>IFERROR(__xludf.DUMMYFUNCTION("""COMPUTED_VALUE"""),128964.0)</f>
        <v>128964</v>
      </c>
      <c r="C484" t="str">
        <f>IFERROR(__xludf.DUMMYFUNCTION("""COMPUTED_VALUE"""),"en")</f>
        <v>en</v>
      </c>
      <c r="D484" t="str">
        <f>IFERROR(__xludf.DUMMYFUNCTION("""COMPUTED_VALUE"""),"Master KnockoutJS : Knockout JS - JavaScript MVVM")</f>
        <v>Master KnockoutJS : Knockout JS - JavaScript MVVM</v>
      </c>
      <c r="E484" t="str">
        <f>IFERROR(__xludf.DUMMYFUNCTION("""COMPUTED_VALUE"""),"Master KnockoutJS : Knockout JS - JavaScript MVVM")</f>
        <v>Master KnockoutJS : Knockout JS - JavaScript MVVM</v>
      </c>
      <c r="F484">
        <f>IFERROR(__xludf.DUMMYFUNCTION("""COMPUTED_VALUE"""),215435.0)</f>
        <v>215435</v>
      </c>
      <c r="G484" t="str">
        <f>IFERROR(__xludf.DUMMYFUNCTION("""COMPUTED_VALUE"""),"SkillBakery Studio")</f>
        <v>SkillBakery Studio</v>
      </c>
      <c r="H484" t="str">
        <f>IFERROR(__xludf.DUMMYFUNCTION("""COMPUTED_VALUE"""),"3 Flags")</f>
        <v>3 Flags</v>
      </c>
      <c r="I484" t="str">
        <f>IFERROR(__xludf.DUMMYFUNCTION("""COMPUTED_VALUE"""),"Development")</f>
        <v>Development</v>
      </c>
      <c r="J484" t="str">
        <f>IFERROR(__xludf.DUMMYFUNCTION("""COMPUTED_VALUE"""),"Web Development")</f>
        <v>Web Development</v>
      </c>
      <c r="L484" s="140" t="str">
        <f>IFERROR(__xludf.DUMMYFUNCTION("""COMPUTED_VALUE"""),"")</f>
        <v/>
      </c>
      <c r="N484" s="140" t="str">
        <f>IFERROR(__xludf.DUMMYFUNCTION("""COMPUTED_VALUE"""),"")</f>
        <v/>
      </c>
      <c r="O484" s="140" t="str">
        <f>IFERROR(__xludf.DUMMYFUNCTION("""COMPUTED_VALUE"""),"No Alternatives in Collection- 5/16/2021")</f>
        <v>No Alternatives in Collection- 5/16/2021</v>
      </c>
    </row>
    <row r="485">
      <c r="A485" s="143">
        <f>IFERROR(__xludf.DUMMYFUNCTION("""COMPUTED_VALUE"""),44377.0)</f>
        <v>44377</v>
      </c>
      <c r="B485">
        <f>IFERROR(__xludf.DUMMYFUNCTION("""COMPUTED_VALUE"""),515332.0)</f>
        <v>515332</v>
      </c>
      <c r="C485" t="str">
        <f>IFERROR(__xludf.DUMMYFUNCTION("""COMPUTED_VALUE"""),"en")</f>
        <v>en</v>
      </c>
      <c r="D485" t="str">
        <f>IFERROR(__xludf.DUMMYFUNCTION("""COMPUTED_VALUE"""),"Importing from China - How to manage your first China trip")</f>
        <v>Importing from China - How to manage your first China trip</v>
      </c>
      <c r="E485" t="str">
        <f>IFERROR(__xludf.DUMMYFUNCTION("""COMPUTED_VALUE"""),"Importing from China - How to manage your first China trip")</f>
        <v>Importing from China - How to manage your first China trip</v>
      </c>
      <c r="F485">
        <f>IFERROR(__xludf.DUMMYFUNCTION("""COMPUTED_VALUE"""),1.1574566E7)</f>
        <v>11574566</v>
      </c>
      <c r="G485" t="str">
        <f>IFERROR(__xludf.DUMMYFUNCTION("""COMPUTED_VALUE"""),"Manuel Becvar")</f>
        <v>Manuel Becvar</v>
      </c>
      <c r="H485" t="str">
        <f>IFERROR(__xludf.DUMMYFUNCTION("""COMPUTED_VALUE"""),"3 Flags")</f>
        <v>3 Flags</v>
      </c>
      <c r="I485" t="str">
        <f>IFERROR(__xludf.DUMMYFUNCTION("""COMPUTED_VALUE"""),"Leadership &amp; Management")</f>
        <v>Leadership &amp; Management</v>
      </c>
      <c r="J485" t="str">
        <f>IFERROR(__xludf.DUMMYFUNCTION("""COMPUTED_VALUE"""),"Strategy")</f>
        <v>Strategy</v>
      </c>
      <c r="L485" s="140" t="str">
        <f>IFERROR(__xludf.DUMMYFUNCTION("""COMPUTED_VALUE"""),"")</f>
        <v/>
      </c>
      <c r="N485" s="140" t="str">
        <f>IFERROR(__xludf.DUMMYFUNCTION("""COMPUTED_VALUE"""),"")</f>
        <v/>
      </c>
      <c r="O485" s="140" t="str">
        <f>IFERROR(__xludf.DUMMYFUNCTION("""COMPUTED_VALUE"""),"No Alternatives in Collection- 5/16/2021")</f>
        <v>No Alternatives in Collection- 5/16/2021</v>
      </c>
    </row>
    <row r="486">
      <c r="A486" s="143">
        <f>IFERROR(__xludf.DUMMYFUNCTION("""COMPUTED_VALUE"""),44377.0)</f>
        <v>44377</v>
      </c>
      <c r="B486">
        <f>IFERROR(__xludf.DUMMYFUNCTION("""COMPUTED_VALUE"""),705934.0)</f>
        <v>705934</v>
      </c>
      <c r="C486" t="str">
        <f>IFERROR(__xludf.DUMMYFUNCTION("""COMPUTED_VALUE"""),"en")</f>
        <v>en</v>
      </c>
      <c r="D486" t="str">
        <f>IFERROR(__xludf.DUMMYFUNCTION("""COMPUTED_VALUE"""),"Android N: From Beginner to Paid Professional")</f>
        <v>Android N: From Beginner to Paid Professional</v>
      </c>
      <c r="E486" t="str">
        <f>IFERROR(__xludf.DUMMYFUNCTION("""COMPUTED_VALUE"""),"Android N: From Beginner to Paid Professional")</f>
        <v>Android N: From Beginner to Paid Professional</v>
      </c>
      <c r="F486">
        <f>IFERROR(__xludf.DUMMYFUNCTION("""COMPUTED_VALUE"""),1.421449E7)</f>
        <v>14214490</v>
      </c>
      <c r="G486" t="str">
        <f>IFERROR(__xludf.DUMMYFUNCTION("""COMPUTED_VALUE"""),"Mark Wahlbeck")</f>
        <v>Mark Wahlbeck</v>
      </c>
      <c r="H486" t="str">
        <f>IFERROR(__xludf.DUMMYFUNCTION("""COMPUTED_VALUE"""),"3 Flags")</f>
        <v>3 Flags</v>
      </c>
      <c r="I486" t="str">
        <f>IFERROR(__xludf.DUMMYFUNCTION("""COMPUTED_VALUE"""),"Development")</f>
        <v>Development</v>
      </c>
      <c r="J486" t="str">
        <f>IFERROR(__xludf.DUMMYFUNCTION("""COMPUTED_VALUE"""),"Mobile Development")</f>
        <v>Mobile Development</v>
      </c>
      <c r="K486">
        <f>IFERROR(__xludf.DUMMYFUNCTION("""COMPUTED_VALUE"""),951618.0)</f>
        <v>951618</v>
      </c>
      <c r="L486" s="140" t="str">
        <f>IFERROR(__xludf.DUMMYFUNCTION("""COMPUTED_VALUE"""),"The Complete Android N Developer Course")</f>
        <v>The Complete Android N Developer Course</v>
      </c>
      <c r="N486" s="140" t="str">
        <f>IFERROR(__xludf.DUMMYFUNCTION("""COMPUTED_VALUE"""),"")</f>
        <v/>
      </c>
    </row>
    <row r="487">
      <c r="A487" s="143">
        <f>IFERROR(__xludf.DUMMYFUNCTION("""COMPUTED_VALUE"""),44377.0)</f>
        <v>44377</v>
      </c>
      <c r="B487">
        <f>IFERROR(__xludf.DUMMYFUNCTION("""COMPUTED_VALUE"""),867198.0)</f>
        <v>867198</v>
      </c>
      <c r="C487" t="str">
        <f>IFERROR(__xludf.DUMMYFUNCTION("""COMPUTED_VALUE"""),"en")</f>
        <v>en</v>
      </c>
      <c r="D487" t="str">
        <f>IFERROR(__xludf.DUMMYFUNCTION("""COMPUTED_VALUE"""),"The Complete Spine Game Rigging &amp; Animation Course")</f>
        <v>The Complete Spine Game Rigging &amp; Animation Course</v>
      </c>
      <c r="E487" t="str">
        <f>IFERROR(__xludf.DUMMYFUNCTION("""COMPUTED_VALUE"""),"The Complete Spine Game Rigging &amp; Animation Course")</f>
        <v>The Complete Spine Game Rigging &amp; Animation Course</v>
      </c>
      <c r="F487">
        <f>IFERROR(__xludf.DUMMYFUNCTION("""COMPUTED_VALUE"""),1.7082766E7)</f>
        <v>17082766</v>
      </c>
      <c r="G487" t="str">
        <f>IFERROR(__xludf.DUMMYFUNCTION("""COMPUTED_VALUE"""),"Jaysen Batchelor")</f>
        <v>Jaysen Batchelor</v>
      </c>
      <c r="H487" t="str">
        <f>IFERROR(__xludf.DUMMYFUNCTION("""COMPUTED_VALUE"""),"3 Flags")</f>
        <v>3 Flags</v>
      </c>
      <c r="I487" t="str">
        <f>IFERROR(__xludf.DUMMYFUNCTION("""COMPUTED_VALUE"""),"Design")</f>
        <v>Design</v>
      </c>
      <c r="J487" t="str">
        <f>IFERROR(__xludf.DUMMYFUNCTION("""COMPUTED_VALUE"""),"Game Design")</f>
        <v>Game Design</v>
      </c>
      <c r="L487" s="140" t="str">
        <f>IFERROR(__xludf.DUMMYFUNCTION("""COMPUTED_VALUE"""),"")</f>
        <v/>
      </c>
      <c r="N487" s="140" t="str">
        <f>IFERROR(__xludf.DUMMYFUNCTION("""COMPUTED_VALUE"""),"")</f>
        <v/>
      </c>
      <c r="O487" s="140" t="str">
        <f>IFERROR(__xludf.DUMMYFUNCTION("""COMPUTED_VALUE"""),"No Alternatives in Collection- 5/16/2021")</f>
        <v>No Alternatives in Collection- 5/16/2021</v>
      </c>
    </row>
    <row r="488">
      <c r="A488" s="143">
        <f>IFERROR(__xludf.DUMMYFUNCTION("""COMPUTED_VALUE"""),44377.0)</f>
        <v>44377</v>
      </c>
      <c r="B488">
        <f>IFERROR(__xludf.DUMMYFUNCTION("""COMPUTED_VALUE"""),927046.0)</f>
        <v>927046</v>
      </c>
      <c r="C488" t="str">
        <f>IFERROR(__xludf.DUMMYFUNCTION("""COMPUTED_VALUE"""),"fr")</f>
        <v>fr</v>
      </c>
      <c r="D488" t="str">
        <f>IFERROR(__xludf.DUMMYFUNCTION("""COMPUTED_VALUE"""),"Devenez un leader charismatique - Chilina Hills")</f>
        <v>Devenez un leader charismatique - Chilina Hills</v>
      </c>
      <c r="E488" t="str">
        <f>IFERROR(__xludf.DUMMYFUNCTION("""COMPUTED_VALUE"""),"Become a Charismatic Leader - Chilina Hills")</f>
        <v>Become a Charismatic Leader - Chilina Hills</v>
      </c>
      <c r="F488">
        <f>IFERROR(__xludf.DUMMYFUNCTION("""COMPUTED_VALUE"""),2.3795902E7)</f>
        <v>23795902</v>
      </c>
      <c r="G488" t="str">
        <f>IFERROR(__xludf.DUMMYFUNCTION("""COMPUTED_VALUE"""),"Weelearn : Regardez - Apprenez")</f>
        <v>Weelearn : Regardez - Apprenez</v>
      </c>
      <c r="H488" t="str">
        <f>IFERROR(__xludf.DUMMYFUNCTION("""COMPUTED_VALUE"""),"3 Flags")</f>
        <v>3 Flags</v>
      </c>
      <c r="I488" t="str">
        <f>IFERROR(__xludf.DUMMYFUNCTION("""COMPUTED_VALUE"""),"Leadership &amp; Management")</f>
        <v>Leadership &amp; Management</v>
      </c>
      <c r="J488" t="str">
        <f>IFERROR(__xludf.DUMMYFUNCTION("""COMPUTED_VALUE"""),"Leadership")</f>
        <v>Leadership</v>
      </c>
      <c r="L488" s="140" t="str">
        <f>IFERROR(__xludf.DUMMYFUNCTION("""COMPUTED_VALUE"""),"")</f>
        <v/>
      </c>
      <c r="N488" s="140" t="str">
        <f>IFERROR(__xludf.DUMMYFUNCTION("""COMPUTED_VALUE"""),"")</f>
        <v/>
      </c>
      <c r="O488" s="140" t="str">
        <f>IFERROR(__xludf.DUMMYFUNCTION("""COMPUTED_VALUE"""),"No Alternatives in Collection- 5/16/2021")</f>
        <v>No Alternatives in Collection- 5/16/2021</v>
      </c>
    </row>
    <row r="489">
      <c r="A489" s="143">
        <f>IFERROR(__xludf.DUMMYFUNCTION("""COMPUTED_VALUE"""),44377.0)</f>
        <v>44377</v>
      </c>
      <c r="B489">
        <f>IFERROR(__xludf.DUMMYFUNCTION("""COMPUTED_VALUE"""),990674.0)</f>
        <v>990674</v>
      </c>
      <c r="C489" t="str">
        <f>IFERROR(__xludf.DUMMYFUNCTION("""COMPUTED_VALUE"""),"es")</f>
        <v>es</v>
      </c>
      <c r="D489" t="str">
        <f>IFERROR(__xludf.DUMMYFUNCTION("""COMPUTED_VALUE"""),"Curso de NodeJS y Angular - Crea webapps con el MEAN Stack")</f>
        <v>Curso de NodeJS y Angular - Crea webapps con el MEAN Stack</v>
      </c>
      <c r="E489" t="str">
        <f>IFERROR(__xludf.DUMMYFUNCTION("""COMPUTED_VALUE"""),"Nodejs and Angular Course - Create Webapps with Mean Stack")</f>
        <v>Nodejs and Angular Course - Create Webapps with Mean Stack</v>
      </c>
      <c r="F489">
        <f>IFERROR(__xludf.DUMMYFUNCTION("""COMPUTED_VALUE"""),1.6661812E7)</f>
        <v>16661812</v>
      </c>
      <c r="G489" t="str">
        <f>IFERROR(__xludf.DUMMYFUNCTION("""COMPUTED_VALUE"""),"Víctor Robles")</f>
        <v>Víctor Robles</v>
      </c>
      <c r="H489" t="str">
        <f>IFERROR(__xludf.DUMMYFUNCTION("""COMPUTED_VALUE"""),"3 Flags")</f>
        <v>3 Flags</v>
      </c>
      <c r="I489" t="str">
        <f>IFERROR(__xludf.DUMMYFUNCTION("""COMPUTED_VALUE"""),"Development")</f>
        <v>Development</v>
      </c>
      <c r="J489" t="str">
        <f>IFERROR(__xludf.DUMMYFUNCTION("""COMPUTED_VALUE"""),"Web Development")</f>
        <v>Web Development</v>
      </c>
      <c r="K489">
        <f>IFERROR(__xludf.DUMMYFUNCTION("""COMPUTED_VALUE"""),867948.0)</f>
        <v>867948</v>
      </c>
      <c r="L489" s="140" t="str">
        <f>IFERROR(__xludf.DUMMYFUNCTION("""COMPUTED_VALUE"""),"Máster en JavaScript: ECMAScript, Angular 9+, React, NodeJS")</f>
        <v>Máster en JavaScript: ECMAScript, Angular 9+, React, NodeJS</v>
      </c>
      <c r="N489" s="140" t="str">
        <f>IFERROR(__xludf.DUMMYFUNCTION("""COMPUTED_VALUE"""),"")</f>
        <v/>
      </c>
    </row>
    <row r="490">
      <c r="A490" s="143">
        <f>IFERROR(__xludf.DUMMYFUNCTION("""COMPUTED_VALUE"""),44377.0)</f>
        <v>44377</v>
      </c>
      <c r="B490">
        <f>IFERROR(__xludf.DUMMYFUNCTION("""COMPUTED_VALUE"""),1573728.0)</f>
        <v>1573728</v>
      </c>
      <c r="C490" t="str">
        <f>IFERROR(__xludf.DUMMYFUNCTION("""COMPUTED_VALUE"""),"en")</f>
        <v>en</v>
      </c>
      <c r="D490" t="str">
        <f>IFERROR(__xludf.DUMMYFUNCTION("""COMPUTED_VALUE"""),"Biotechnology Law: GMOs to Designer Babies")</f>
        <v>Biotechnology Law: GMOs to Designer Babies</v>
      </c>
      <c r="E490" t="str">
        <f>IFERROR(__xludf.DUMMYFUNCTION("""COMPUTED_VALUE"""),"Biotechnology Law: GMOs to Designer Babies")</f>
        <v>Biotechnology Law: GMOs to Designer Babies</v>
      </c>
      <c r="F490">
        <f>IFERROR(__xludf.DUMMYFUNCTION("""COMPUTED_VALUE"""),6068464.0)</f>
        <v>6068464</v>
      </c>
      <c r="G490" t="str">
        <f>IFERROR(__xludf.DUMMYFUNCTION("""COMPUTED_VALUE"""),"Victoria Sutton")</f>
        <v>Victoria Sutton</v>
      </c>
      <c r="H490" t="str">
        <f>IFERROR(__xludf.DUMMYFUNCTION("""COMPUTED_VALUE"""),"3 Flags")</f>
        <v>3 Flags</v>
      </c>
      <c r="I490" t="str">
        <f>IFERROR(__xludf.DUMMYFUNCTION("""COMPUTED_VALUE"""),"Personal Development")</f>
        <v>Personal Development</v>
      </c>
      <c r="J490" t="str">
        <f>IFERROR(__xludf.DUMMYFUNCTION("""COMPUTED_VALUE"""),"Hobbies")</f>
        <v>Hobbies</v>
      </c>
      <c r="K490">
        <f>IFERROR(__xludf.DUMMYFUNCTION("""COMPUTED_VALUE"""),123238.0)</f>
        <v>123238</v>
      </c>
      <c r="L490" s="140" t="str">
        <f>IFERROR(__xludf.DUMMYFUNCTION("""COMPUTED_VALUE"""),"Biotechnology/Biotech Business, Policy, Law, and Science")</f>
        <v>Biotechnology/Biotech Business, Policy, Law, and Science</v>
      </c>
      <c r="N490" s="140" t="str">
        <f>IFERROR(__xludf.DUMMYFUNCTION("""COMPUTED_VALUE"""),"")</f>
        <v/>
      </c>
    </row>
    <row r="491">
      <c r="A491" s="143">
        <f>IFERROR(__xludf.DUMMYFUNCTION("""COMPUTED_VALUE"""),44377.0)</f>
        <v>44377</v>
      </c>
      <c r="B491">
        <f>IFERROR(__xludf.DUMMYFUNCTION("""COMPUTED_VALUE"""),1954786.0)</f>
        <v>1954786</v>
      </c>
      <c r="C491" t="str">
        <f>IFERROR(__xludf.DUMMYFUNCTION("""COMPUTED_VALUE"""),"en")</f>
        <v>en</v>
      </c>
      <c r="D491" t="str">
        <f>IFERROR(__xludf.DUMMYFUNCTION("""COMPUTED_VALUE"""),"Linux Security &amp; Hardening, The Practical Approach")</f>
        <v>Linux Security &amp; Hardening, The Practical Approach</v>
      </c>
      <c r="E491" t="str">
        <f>IFERROR(__xludf.DUMMYFUNCTION("""COMPUTED_VALUE"""),"Linux Security &amp; Hardening, The Practical Approach")</f>
        <v>Linux Security &amp; Hardening, The Practical Approach</v>
      </c>
      <c r="F491">
        <f>IFERROR(__xludf.DUMMYFUNCTION("""COMPUTED_VALUE"""),3.4791612E7)</f>
        <v>34791612</v>
      </c>
      <c r="G491" t="str">
        <f>IFERROR(__xludf.DUMMYFUNCTION("""COMPUTED_VALUE"""),"Shikhar Verma • 35,000+ Students Worldwide")</f>
        <v>Shikhar Verma • 35,000+ Students Worldwide</v>
      </c>
      <c r="H491" t="str">
        <f>IFERROR(__xludf.DUMMYFUNCTION("""COMPUTED_VALUE"""),"3 Flags")</f>
        <v>3 Flags</v>
      </c>
      <c r="I491" t="str">
        <f>IFERROR(__xludf.DUMMYFUNCTION("""COMPUTED_VALUE"""),"IT Operations")</f>
        <v>IT Operations</v>
      </c>
      <c r="J491" t="str">
        <f>IFERROR(__xludf.DUMMYFUNCTION("""COMPUTED_VALUE"""),"Network &amp; Security")</f>
        <v>Network &amp; Security</v>
      </c>
      <c r="K491">
        <f>IFERROR(__xludf.DUMMYFUNCTION("""COMPUTED_VALUE"""),755984.0)</f>
        <v>755984</v>
      </c>
      <c r="L491" s="140" t="str">
        <f>IFERROR(__xludf.DUMMYFUNCTION("""COMPUTED_VALUE"""),"Linux Security and Hardening, The Practical Security Guide.")</f>
        <v>Linux Security and Hardening, The Practical Security Guide.</v>
      </c>
      <c r="N491" s="140" t="str">
        <f>IFERROR(__xludf.DUMMYFUNCTION("""COMPUTED_VALUE"""),"")</f>
        <v/>
      </c>
    </row>
    <row r="492">
      <c r="A492" s="143">
        <f>IFERROR(__xludf.DUMMYFUNCTION("""COMPUTED_VALUE"""),44377.0)</f>
        <v>44377</v>
      </c>
      <c r="B492">
        <f>IFERROR(__xludf.DUMMYFUNCTION("""COMPUTED_VALUE"""),2133570.0)</f>
        <v>2133570</v>
      </c>
      <c r="C492" t="str">
        <f>IFERROR(__xludf.DUMMYFUNCTION("""COMPUTED_VALUE"""),"de")</f>
        <v>de</v>
      </c>
      <c r="D492" t="str">
        <f>IFERROR(__xludf.DUMMYFUNCTION("""COMPUTED_VALUE"""),"Pinterest Marketing, die meist unterschätze Plattform")</f>
        <v>Pinterest Marketing, die meist unterschätze Plattform</v>
      </c>
      <c r="E492" t="str">
        <f>IFERROR(__xludf.DUMMYFUNCTION("""COMPUTED_VALUE"""),"Pinterest marketing, the mostly underestimated platform")</f>
        <v>Pinterest marketing, the mostly underestimated platform</v>
      </c>
      <c r="F492">
        <f>IFERROR(__xludf.DUMMYFUNCTION("""COMPUTED_VALUE"""),1.9111278E7)</f>
        <v>19111278</v>
      </c>
      <c r="G492" t="str">
        <f>IFERROR(__xludf.DUMMYFUNCTION("""COMPUTED_VALUE"""),"Ecom Bird")</f>
        <v>Ecom Bird</v>
      </c>
      <c r="H492" t="str">
        <f>IFERROR(__xludf.DUMMYFUNCTION("""COMPUTED_VALUE"""),"3 Flags")</f>
        <v>3 Flags</v>
      </c>
      <c r="I492" t="str">
        <f>IFERROR(__xludf.DUMMYFUNCTION("""COMPUTED_VALUE"""),"Marketing")</f>
        <v>Marketing</v>
      </c>
      <c r="J492" t="str">
        <f>IFERROR(__xludf.DUMMYFUNCTION("""COMPUTED_VALUE"""),"Social Media Marketing")</f>
        <v>Social Media Marketing</v>
      </c>
      <c r="L492" s="140" t="str">
        <f>IFERROR(__xludf.DUMMYFUNCTION("""COMPUTED_VALUE"""),"")</f>
        <v/>
      </c>
      <c r="N492" s="140" t="str">
        <f>IFERROR(__xludf.DUMMYFUNCTION("""COMPUTED_VALUE"""),"")</f>
        <v/>
      </c>
      <c r="O492" s="140" t="str">
        <f>IFERROR(__xludf.DUMMYFUNCTION("""COMPUTED_VALUE"""),"No Alternatives in Collection- 5/16/2021")</f>
        <v>No Alternatives in Collection- 5/16/2021</v>
      </c>
    </row>
    <row r="493">
      <c r="A493" s="143">
        <f>IFERROR(__xludf.DUMMYFUNCTION("""COMPUTED_VALUE"""),44377.0)</f>
        <v>44377</v>
      </c>
      <c r="B493">
        <f>IFERROR(__xludf.DUMMYFUNCTION("""COMPUTED_VALUE"""),2146650.0)</f>
        <v>2146650</v>
      </c>
      <c r="C493" t="str">
        <f>IFERROR(__xludf.DUMMYFUNCTION("""COMPUTED_VALUE"""),"ja")</f>
        <v>ja</v>
      </c>
      <c r="D493" t="str">
        <f>IFERROR(__xludf.DUMMYFUNCTION("""COMPUTED_VALUE"""),"【夢月流】Pythonスクレイピング入門2～Web APIを使ってスクレイピングプログラムを素早く作るコツを教えます～")</f>
        <v>【夢月流】Pythonスクレイピング入門2～Web APIを使ってスクレイピングプログラムを素早く作るコツを教えます～</v>
      </c>
      <c r="E493" t="str">
        <f>IFERROR(__xludf.DUMMYFUNCTION("""COMPUTED_VALUE"""),"[Yumatsu Moon] Python Scraping introductory 2 ~ Use the web API to teach the scraping program quickly to make a scraping program ~")</f>
        <v>[Yumatsu Moon] Python Scraping introductory 2 ~ Use the web API to teach the scraping program quickly to make a scraping program ~</v>
      </c>
      <c r="F493">
        <f>IFERROR(__xludf.DUMMYFUNCTION("""COMPUTED_VALUE"""),4.1415224E7)</f>
        <v>41415224</v>
      </c>
      <c r="G493" t="str">
        <f>IFERROR(__xludf.DUMMYFUNCTION("""COMPUTED_VALUE"""),"速水 夢月")</f>
        <v>速水 夢月</v>
      </c>
      <c r="H493" t="str">
        <f>IFERROR(__xludf.DUMMYFUNCTION("""COMPUTED_VALUE"""),"3 Flags")</f>
        <v>3 Flags</v>
      </c>
      <c r="I493" t="str">
        <f>IFERROR(__xludf.DUMMYFUNCTION("""COMPUTED_VALUE"""),"Development")</f>
        <v>Development</v>
      </c>
      <c r="J493" t="str">
        <f>IFERROR(__xludf.DUMMYFUNCTION("""COMPUTED_VALUE"""),"Programming Languages")</f>
        <v>Programming Languages</v>
      </c>
      <c r="L493" s="140" t="str">
        <f>IFERROR(__xludf.DUMMYFUNCTION("""COMPUTED_VALUE"""),"")</f>
        <v/>
      </c>
      <c r="N493" s="140" t="str">
        <f>IFERROR(__xludf.DUMMYFUNCTION("""COMPUTED_VALUE"""),"")</f>
        <v/>
      </c>
      <c r="O493" s="140" t="str">
        <f>IFERROR(__xludf.DUMMYFUNCTION("""COMPUTED_VALUE"""),"No Alternatives in Collection - 2/20/2021")</f>
        <v>No Alternatives in Collection - 2/20/2021</v>
      </c>
    </row>
    <row r="494">
      <c r="A494" s="143">
        <f>IFERROR(__xludf.DUMMYFUNCTION("""COMPUTED_VALUE"""),44377.0)</f>
        <v>44377</v>
      </c>
      <c r="B494">
        <f>IFERROR(__xludf.DUMMYFUNCTION("""COMPUTED_VALUE"""),2570764.0)</f>
        <v>2570764</v>
      </c>
      <c r="C494" t="str">
        <f>IFERROR(__xludf.DUMMYFUNCTION("""COMPUTED_VALUE"""),"de")</f>
        <v>de</v>
      </c>
      <c r="D494" t="str">
        <f>IFERROR(__xludf.DUMMYFUNCTION("""COMPUTED_VALUE"""),"Docker für Softwareentwickler - Schnellstart für den Alltag")</f>
        <v>Docker für Softwareentwickler - Schnellstart für den Alltag</v>
      </c>
      <c r="E494" t="str">
        <f>IFERROR(__xludf.DUMMYFUNCTION("""COMPUTED_VALUE"""),"Docker for software developer - Quick start for everyday life")</f>
        <v>Docker for software developer - Quick start for everyday life</v>
      </c>
      <c r="F494">
        <f>IFERROR(__xludf.DUMMYFUNCTION("""COMPUTED_VALUE"""),5.4120468E7)</f>
        <v>54120468</v>
      </c>
      <c r="G494" t="str">
        <f>IFERROR(__xludf.DUMMYFUNCTION("""COMPUTED_VALUE"""),"Timo H. | C# Development | .Net | DevOps")</f>
        <v>Timo H. | C# Development | .Net | DevOps</v>
      </c>
      <c r="H494" t="str">
        <f>IFERROR(__xludf.DUMMYFUNCTION("""COMPUTED_VALUE"""),"3 Flags")</f>
        <v>3 Flags</v>
      </c>
      <c r="I494" t="str">
        <f>IFERROR(__xludf.DUMMYFUNCTION("""COMPUTED_VALUE"""),"Development")</f>
        <v>Development</v>
      </c>
      <c r="J494" t="str">
        <f>IFERROR(__xludf.DUMMYFUNCTION("""COMPUTED_VALUE"""),"Web Development")</f>
        <v>Web Development</v>
      </c>
      <c r="L494" s="140" t="str">
        <f>IFERROR(__xludf.DUMMYFUNCTION("""COMPUTED_VALUE"""),"")</f>
        <v/>
      </c>
      <c r="N494" s="140" t="str">
        <f>IFERROR(__xludf.DUMMYFUNCTION("""COMPUTED_VALUE"""),"")</f>
        <v/>
      </c>
      <c r="O494" s="140" t="str">
        <f>IFERROR(__xludf.DUMMYFUNCTION("""COMPUTED_VALUE"""),"No Alternatives in Collection- 5/16/2021")</f>
        <v>No Alternatives in Collection- 5/16/2021</v>
      </c>
    </row>
    <row r="495">
      <c r="A495" s="143">
        <f>IFERROR(__xludf.DUMMYFUNCTION("""COMPUTED_VALUE"""),44377.0)</f>
        <v>44377</v>
      </c>
      <c r="B495">
        <f>IFERROR(__xludf.DUMMYFUNCTION("""COMPUTED_VALUE"""),2488744.0)</f>
        <v>2488744</v>
      </c>
      <c r="C495" t="str">
        <f>IFERROR(__xludf.DUMMYFUNCTION("""COMPUTED_VALUE"""),"en")</f>
        <v>en</v>
      </c>
      <c r="D495" t="str">
        <f>IFERROR(__xludf.DUMMYFUNCTION("""COMPUTED_VALUE"""),"An Introduction to the Ethernet/IP Protocol")</f>
        <v>An Introduction to the Ethernet/IP Protocol</v>
      </c>
      <c r="E495" t="str">
        <f>IFERROR(__xludf.DUMMYFUNCTION("""COMPUTED_VALUE"""),"An Introduction to the Ethernet/IP Protocol")</f>
        <v>An Introduction to the Ethernet/IP Protocol</v>
      </c>
      <c r="F495">
        <f>IFERROR(__xludf.DUMMYFUNCTION("""COMPUTED_VALUE"""),209114.0)</f>
        <v>209114</v>
      </c>
      <c r="G495" t="str">
        <f>IFERROR(__xludf.DUMMYFUNCTION("""COMPUTED_VALUE"""),"Emile Ackbarali")</f>
        <v>Emile Ackbarali</v>
      </c>
      <c r="H495" t="str">
        <f>IFERROR(__xludf.DUMMYFUNCTION("""COMPUTED_VALUE"""),"Instructor Request- Opted Out")</f>
        <v>Instructor Request- Opted Out</v>
      </c>
      <c r="I495" t="str">
        <f>IFERROR(__xludf.DUMMYFUNCTION("""COMPUTED_VALUE"""),"IT Operations")</f>
        <v>IT Operations</v>
      </c>
      <c r="J495" t="str">
        <f>IFERROR(__xludf.DUMMYFUNCTION("""COMPUTED_VALUE"""),"Network &amp; Security")</f>
        <v>Network &amp; Security</v>
      </c>
      <c r="L495" s="140" t="str">
        <f>IFERROR(__xludf.DUMMYFUNCTION("""COMPUTED_VALUE"""),"")</f>
        <v/>
      </c>
      <c r="N495" s="140" t="str">
        <f>IFERROR(__xludf.DUMMYFUNCTION("""COMPUTED_VALUE"""),"")</f>
        <v/>
      </c>
      <c r="O495" s="140" t="str">
        <f>IFERROR(__xludf.DUMMYFUNCTION("""COMPUTED_VALUE"""),"No Alternatives in Collection - 2/20/2021")</f>
        <v>No Alternatives in Collection - 2/20/2021</v>
      </c>
    </row>
    <row r="496">
      <c r="A496" s="143">
        <f>IFERROR(__xludf.DUMMYFUNCTION("""COMPUTED_VALUE"""),44377.0)</f>
        <v>44377</v>
      </c>
      <c r="B496">
        <f>IFERROR(__xludf.DUMMYFUNCTION("""COMPUTED_VALUE"""),2142064.0)</f>
        <v>2142064</v>
      </c>
      <c r="C496" t="str">
        <f>IFERROR(__xludf.DUMMYFUNCTION("""COMPUTED_VALUE"""),"en")</f>
        <v>en</v>
      </c>
      <c r="D496" t="str">
        <f>IFERROR(__xludf.DUMMYFUNCTION("""COMPUTED_VALUE"""),"How to Program an Arduino for CAN bus Network Communication")</f>
        <v>How to Program an Arduino for CAN bus Network Communication</v>
      </c>
      <c r="E496" t="str">
        <f>IFERROR(__xludf.DUMMYFUNCTION("""COMPUTED_VALUE"""),"How to Program an Arduino for CAN bus Network Communication")</f>
        <v>How to Program an Arduino for CAN bus Network Communication</v>
      </c>
      <c r="F496">
        <f>IFERROR(__xludf.DUMMYFUNCTION("""COMPUTED_VALUE"""),209114.0)</f>
        <v>209114</v>
      </c>
      <c r="G496" t="str">
        <f>IFERROR(__xludf.DUMMYFUNCTION("""COMPUTED_VALUE"""),"Emile Ackbarali")</f>
        <v>Emile Ackbarali</v>
      </c>
      <c r="H496" t="str">
        <f>IFERROR(__xludf.DUMMYFUNCTION("""COMPUTED_VALUE"""),"Instructor Request- Opted Out")</f>
        <v>Instructor Request- Opted Out</v>
      </c>
      <c r="I496" t="str">
        <f>IFERROR(__xludf.DUMMYFUNCTION("""COMPUTED_VALUE"""),"IT Operations")</f>
        <v>IT Operations</v>
      </c>
      <c r="J496" t="str">
        <f>IFERROR(__xludf.DUMMYFUNCTION("""COMPUTED_VALUE"""),"Hardware")</f>
        <v>Hardware</v>
      </c>
      <c r="L496" s="140" t="str">
        <f>IFERROR(__xludf.DUMMYFUNCTION("""COMPUTED_VALUE"""),"")</f>
        <v/>
      </c>
      <c r="N496" s="140" t="str">
        <f>IFERROR(__xludf.DUMMYFUNCTION("""COMPUTED_VALUE"""),"")</f>
        <v/>
      </c>
      <c r="O496" s="140" t="str">
        <f>IFERROR(__xludf.DUMMYFUNCTION("""COMPUTED_VALUE"""),"No Alternatives in Collection - 2/20/2021")</f>
        <v>No Alternatives in Collection - 2/20/2021</v>
      </c>
    </row>
    <row r="497">
      <c r="A497" s="143">
        <f>IFERROR(__xludf.DUMMYFUNCTION("""COMPUTED_VALUE"""),44377.0)</f>
        <v>44377</v>
      </c>
      <c r="B497">
        <f>IFERROR(__xludf.DUMMYFUNCTION("""COMPUTED_VALUE"""),1204520.0)</f>
        <v>1204520</v>
      </c>
      <c r="C497" t="str">
        <f>IFERROR(__xludf.DUMMYFUNCTION("""COMPUTED_VALUE"""),"en")</f>
        <v>en</v>
      </c>
      <c r="D497" t="str">
        <f>IFERROR(__xludf.DUMMYFUNCTION("""COMPUTED_VALUE"""),"A Practical Introduction to the BACnet Protocol")</f>
        <v>A Practical Introduction to the BACnet Protocol</v>
      </c>
      <c r="E497" t="str">
        <f>IFERROR(__xludf.DUMMYFUNCTION("""COMPUTED_VALUE"""),"A Practical Introduction to the BACnet Protocol")</f>
        <v>A Practical Introduction to the BACnet Protocol</v>
      </c>
      <c r="F497">
        <f>IFERROR(__xludf.DUMMYFUNCTION("""COMPUTED_VALUE"""),209114.0)</f>
        <v>209114</v>
      </c>
      <c r="G497" t="str">
        <f>IFERROR(__xludf.DUMMYFUNCTION("""COMPUTED_VALUE"""),"Emile Ackbarali")</f>
        <v>Emile Ackbarali</v>
      </c>
      <c r="H497" t="str">
        <f>IFERROR(__xludf.DUMMYFUNCTION("""COMPUTED_VALUE"""),"Instructor Request- Opted Out")</f>
        <v>Instructor Request- Opted Out</v>
      </c>
      <c r="I497" t="str">
        <f>IFERROR(__xludf.DUMMYFUNCTION("""COMPUTED_VALUE"""),"IT Operations")</f>
        <v>IT Operations</v>
      </c>
      <c r="J497" t="str">
        <f>IFERROR(__xludf.DUMMYFUNCTION("""COMPUTED_VALUE"""),"Hardware")</f>
        <v>Hardware</v>
      </c>
      <c r="L497" s="140" t="str">
        <f>IFERROR(__xludf.DUMMYFUNCTION("""COMPUTED_VALUE"""),"")</f>
        <v/>
      </c>
      <c r="N497" s="140" t="str">
        <f>IFERROR(__xludf.DUMMYFUNCTION("""COMPUTED_VALUE"""),"")</f>
        <v/>
      </c>
      <c r="O497" s="140" t="str">
        <f>IFERROR(__xludf.DUMMYFUNCTION("""COMPUTED_VALUE"""),"No Alternatives in Collection - 2/20/2021")</f>
        <v>No Alternatives in Collection - 2/20/2021</v>
      </c>
    </row>
    <row r="498">
      <c r="A498" s="143">
        <f>IFERROR(__xludf.DUMMYFUNCTION("""COMPUTED_VALUE"""),44377.0)</f>
        <v>44377</v>
      </c>
      <c r="B498">
        <f>IFERROR(__xludf.DUMMYFUNCTION("""COMPUTED_VALUE"""),1832650.0)</f>
        <v>1832650</v>
      </c>
      <c r="C498" t="str">
        <f>IFERROR(__xludf.DUMMYFUNCTION("""COMPUTED_VALUE"""),"en")</f>
        <v>en</v>
      </c>
      <c r="D498" t="str">
        <f>IFERROR(__xludf.DUMMYFUNCTION("""COMPUTED_VALUE"""),"An Introduction to Profibus DP Networking")</f>
        <v>An Introduction to Profibus DP Networking</v>
      </c>
      <c r="E498" t="str">
        <f>IFERROR(__xludf.DUMMYFUNCTION("""COMPUTED_VALUE"""),"An Introduction to Profibus DP Networking")</f>
        <v>An Introduction to Profibus DP Networking</v>
      </c>
      <c r="F498">
        <f>IFERROR(__xludf.DUMMYFUNCTION("""COMPUTED_VALUE"""),209114.0)</f>
        <v>209114</v>
      </c>
      <c r="G498" t="str">
        <f>IFERROR(__xludf.DUMMYFUNCTION("""COMPUTED_VALUE"""),"Emile Ackbarali")</f>
        <v>Emile Ackbarali</v>
      </c>
      <c r="H498" t="str">
        <f>IFERROR(__xludf.DUMMYFUNCTION("""COMPUTED_VALUE"""),"Instructor Request- Opted Out")</f>
        <v>Instructor Request- Opted Out</v>
      </c>
      <c r="I498" t="str">
        <f>IFERROR(__xludf.DUMMYFUNCTION("""COMPUTED_VALUE"""),"IT Operations")</f>
        <v>IT Operations</v>
      </c>
      <c r="J498" t="str">
        <f>IFERROR(__xludf.DUMMYFUNCTION("""COMPUTED_VALUE"""),"Network &amp; Security")</f>
        <v>Network &amp; Security</v>
      </c>
      <c r="L498" s="140" t="str">
        <f>IFERROR(__xludf.DUMMYFUNCTION("""COMPUTED_VALUE"""),"")</f>
        <v/>
      </c>
      <c r="N498" s="140" t="str">
        <f>IFERROR(__xludf.DUMMYFUNCTION("""COMPUTED_VALUE"""),"")</f>
        <v/>
      </c>
      <c r="O498" s="140" t="str">
        <f>IFERROR(__xludf.DUMMYFUNCTION("""COMPUTED_VALUE"""),"No Alternatives in Collection - 2/20/2021")</f>
        <v>No Alternatives in Collection - 2/20/2021</v>
      </c>
    </row>
    <row r="499">
      <c r="A499" s="143">
        <f>IFERROR(__xludf.DUMMYFUNCTION("""COMPUTED_VALUE"""),44377.0)</f>
        <v>44377</v>
      </c>
      <c r="B499">
        <f>IFERROR(__xludf.DUMMYFUNCTION("""COMPUTED_VALUE"""),65618.0)</f>
        <v>65618</v>
      </c>
      <c r="C499" t="str">
        <f>IFERROR(__xludf.DUMMYFUNCTION("""COMPUTED_VALUE"""),"en")</f>
        <v>en</v>
      </c>
      <c r="D499" t="str">
        <f>IFERROR(__xludf.DUMMYFUNCTION("""COMPUTED_VALUE"""),"Mastering Modbus RS485 Network Communication")</f>
        <v>Mastering Modbus RS485 Network Communication</v>
      </c>
      <c r="E499" t="str">
        <f>IFERROR(__xludf.DUMMYFUNCTION("""COMPUTED_VALUE"""),"Mastering Modbus RS485 Network Communication")</f>
        <v>Mastering Modbus RS485 Network Communication</v>
      </c>
      <c r="F499">
        <f>IFERROR(__xludf.DUMMYFUNCTION("""COMPUTED_VALUE"""),209114.0)</f>
        <v>209114</v>
      </c>
      <c r="G499" t="str">
        <f>IFERROR(__xludf.DUMMYFUNCTION("""COMPUTED_VALUE"""),"Emile Ackbarali")</f>
        <v>Emile Ackbarali</v>
      </c>
      <c r="H499" t="str">
        <f>IFERROR(__xludf.DUMMYFUNCTION("""COMPUTED_VALUE"""),"Instructor Request- Opted Out")</f>
        <v>Instructor Request- Opted Out</v>
      </c>
      <c r="I499" t="str">
        <f>IFERROR(__xludf.DUMMYFUNCTION("""COMPUTED_VALUE"""),"IT Operations")</f>
        <v>IT Operations</v>
      </c>
      <c r="J499" t="str">
        <f>IFERROR(__xludf.DUMMYFUNCTION("""COMPUTED_VALUE"""),"Network &amp; Security")</f>
        <v>Network &amp; Security</v>
      </c>
      <c r="L499" s="140" t="str">
        <f>IFERROR(__xludf.DUMMYFUNCTION("""COMPUTED_VALUE"""),"")</f>
        <v/>
      </c>
      <c r="N499" s="140" t="str">
        <f>IFERROR(__xludf.DUMMYFUNCTION("""COMPUTED_VALUE"""),"")</f>
        <v/>
      </c>
      <c r="O499" s="140" t="str">
        <f>IFERROR(__xludf.DUMMYFUNCTION("""COMPUTED_VALUE"""),"No Alternatives in Collection - 2/20/2021")</f>
        <v>No Alternatives in Collection - 2/20/2021</v>
      </c>
    </row>
    <row r="500">
      <c r="A500" s="143">
        <f>IFERROR(__xludf.DUMMYFUNCTION("""COMPUTED_VALUE"""),44377.0)</f>
        <v>44377</v>
      </c>
      <c r="B500">
        <f>IFERROR(__xludf.DUMMYFUNCTION("""COMPUTED_VALUE"""),865936.0)</f>
        <v>865936</v>
      </c>
      <c r="C500" t="str">
        <f>IFERROR(__xludf.DUMMYFUNCTION("""COMPUTED_VALUE"""),"en")</f>
        <v>en</v>
      </c>
      <c r="D500" t="str">
        <f>IFERROR(__xludf.DUMMYFUNCTION("""COMPUTED_VALUE"""),"How to Install and Configure OPC Client/Server Software")</f>
        <v>How to Install and Configure OPC Client/Server Software</v>
      </c>
      <c r="E500" t="str">
        <f>IFERROR(__xludf.DUMMYFUNCTION("""COMPUTED_VALUE"""),"How to Install and Configure OPC Client/Server Software")</f>
        <v>How to Install and Configure OPC Client/Server Software</v>
      </c>
      <c r="F500">
        <f>IFERROR(__xludf.DUMMYFUNCTION("""COMPUTED_VALUE"""),209114.0)</f>
        <v>209114</v>
      </c>
      <c r="G500" t="str">
        <f>IFERROR(__xludf.DUMMYFUNCTION("""COMPUTED_VALUE"""),"Emile Ackbarali")</f>
        <v>Emile Ackbarali</v>
      </c>
      <c r="H500" t="str">
        <f>IFERROR(__xludf.DUMMYFUNCTION("""COMPUTED_VALUE"""),"Instructor Request- Opted Out")</f>
        <v>Instructor Request- Opted Out</v>
      </c>
      <c r="I500" t="str">
        <f>IFERROR(__xludf.DUMMYFUNCTION("""COMPUTED_VALUE"""),"IT Operations")</f>
        <v>IT Operations</v>
      </c>
      <c r="J500" t="str">
        <f>IFERROR(__xludf.DUMMYFUNCTION("""COMPUTED_VALUE"""),"Operating Systems &amp; Servers")</f>
        <v>Operating Systems &amp; Servers</v>
      </c>
      <c r="L500" s="140" t="str">
        <f>IFERROR(__xludf.DUMMYFUNCTION("""COMPUTED_VALUE"""),"")</f>
        <v/>
      </c>
      <c r="N500" s="140" t="str">
        <f>IFERROR(__xludf.DUMMYFUNCTION("""COMPUTED_VALUE"""),"")</f>
        <v/>
      </c>
      <c r="O500" s="140" t="str">
        <f>IFERROR(__xludf.DUMMYFUNCTION("""COMPUTED_VALUE"""),"No Alternatives in Collection - 2/20/2021")</f>
        <v>No Alternatives in Collection - 2/20/2021</v>
      </c>
    </row>
    <row r="501">
      <c r="A501" s="143">
        <f>IFERROR(__xludf.DUMMYFUNCTION("""COMPUTED_VALUE"""),44377.0)</f>
        <v>44377</v>
      </c>
      <c r="B501">
        <f>IFERROR(__xludf.DUMMYFUNCTION("""COMPUTED_VALUE"""),854042.0)</f>
        <v>854042</v>
      </c>
      <c r="C501" t="str">
        <f>IFERROR(__xludf.DUMMYFUNCTION("""COMPUTED_VALUE"""),"en")</f>
        <v>en</v>
      </c>
      <c r="D501" t="str">
        <f>IFERROR(__xludf.DUMMYFUNCTION("""COMPUTED_VALUE"""),"Mastering Modbus TCP/IP Network Communication")</f>
        <v>Mastering Modbus TCP/IP Network Communication</v>
      </c>
      <c r="E501" t="str">
        <f>IFERROR(__xludf.DUMMYFUNCTION("""COMPUTED_VALUE"""),"Mastering Modbus TCP/IP Network Communication")</f>
        <v>Mastering Modbus TCP/IP Network Communication</v>
      </c>
      <c r="F501">
        <f>IFERROR(__xludf.DUMMYFUNCTION("""COMPUTED_VALUE"""),209114.0)</f>
        <v>209114</v>
      </c>
      <c r="G501" t="str">
        <f>IFERROR(__xludf.DUMMYFUNCTION("""COMPUTED_VALUE"""),"Emile Ackbarali")</f>
        <v>Emile Ackbarali</v>
      </c>
      <c r="H501" t="str">
        <f>IFERROR(__xludf.DUMMYFUNCTION("""COMPUTED_VALUE"""),"Instructor Request- Opted Out")</f>
        <v>Instructor Request- Opted Out</v>
      </c>
      <c r="I501" t="str">
        <f>IFERROR(__xludf.DUMMYFUNCTION("""COMPUTED_VALUE"""),"IT Operations")</f>
        <v>IT Operations</v>
      </c>
      <c r="J501" t="str">
        <f>IFERROR(__xludf.DUMMYFUNCTION("""COMPUTED_VALUE"""),"Network &amp; Security")</f>
        <v>Network &amp; Security</v>
      </c>
      <c r="L501" s="140" t="str">
        <f>IFERROR(__xludf.DUMMYFUNCTION("""COMPUTED_VALUE"""),"")</f>
        <v/>
      </c>
      <c r="N501" s="140" t="str">
        <f>IFERROR(__xludf.DUMMYFUNCTION("""COMPUTED_VALUE"""),"")</f>
        <v/>
      </c>
      <c r="O501" s="140" t="str">
        <f>IFERROR(__xludf.DUMMYFUNCTION("""COMPUTED_VALUE"""),"No Alternatives in Collection - 2/20/2021")</f>
        <v>No Alternatives in Collection - 2/20/2021</v>
      </c>
    </row>
    <row r="502">
      <c r="A502" s="143">
        <f>IFERROR(__xludf.DUMMYFUNCTION("""COMPUTED_VALUE"""),44377.0)</f>
        <v>44377</v>
      </c>
      <c r="B502">
        <f>IFERROR(__xludf.DUMMYFUNCTION("""COMPUTED_VALUE"""),2787982.0)</f>
        <v>2787982</v>
      </c>
      <c r="C502" t="str">
        <f>IFERROR(__xludf.DUMMYFUNCTION("""COMPUTED_VALUE"""),"en")</f>
        <v>en</v>
      </c>
      <c r="D502" t="str">
        <f>IFERROR(__xludf.DUMMYFUNCTION("""COMPUTED_VALUE"""),"Basics of Digital Signal Processing for Power Engineers")</f>
        <v>Basics of Digital Signal Processing for Power Engineers</v>
      </c>
      <c r="E502" t="str">
        <f>IFERROR(__xludf.DUMMYFUNCTION("""COMPUTED_VALUE"""),"Basics of Digital Signal Processing for Power Engineers")</f>
        <v>Basics of Digital Signal Processing for Power Engineers</v>
      </c>
      <c r="F502">
        <f>IFERROR(__xludf.DUMMYFUNCTION("""COMPUTED_VALUE"""),3.507923E7)</f>
        <v>35079230</v>
      </c>
      <c r="G502" t="str">
        <f>IFERROR(__xludf.DUMMYFUNCTION("""COMPUTED_VALUE"""),"Shivkumar Iyer")</f>
        <v>Shivkumar Iyer</v>
      </c>
      <c r="H502" t="str">
        <f>IFERROR(__xludf.DUMMYFUNCTION("""COMPUTED_VALUE"""),"Instructor Request- Opted Out")</f>
        <v>Instructor Request- Opted Out</v>
      </c>
      <c r="I502" t="str">
        <f>IFERROR(__xludf.DUMMYFUNCTION("""COMPUTED_VALUE"""),"Development")</f>
        <v>Development</v>
      </c>
      <c r="J502" t="str">
        <f>IFERROR(__xludf.DUMMYFUNCTION("""COMPUTED_VALUE"""),"Programming Languages")</f>
        <v>Programming Languages</v>
      </c>
      <c r="K502">
        <f>IFERROR(__xludf.DUMMYFUNCTION("""COMPUTED_VALUE"""),1923998.0)</f>
        <v>1923998</v>
      </c>
      <c r="L502" s="140" t="str">
        <f>IFERROR(__xludf.DUMMYFUNCTION("""COMPUTED_VALUE"""),"Signal processing problems, solved in MATLAB and in Python")</f>
        <v>Signal processing problems, solved in MATLAB and in Python</v>
      </c>
      <c r="N502" s="140" t="str">
        <f>IFERROR(__xludf.DUMMYFUNCTION("""COMPUTED_VALUE"""),"")</f>
        <v/>
      </c>
    </row>
    <row r="503">
      <c r="A503" s="143">
        <f>IFERROR(__xludf.DUMMYFUNCTION("""COMPUTED_VALUE"""),44377.0)</f>
        <v>44377</v>
      </c>
      <c r="B503">
        <f>IFERROR(__xludf.DUMMYFUNCTION("""COMPUTED_VALUE"""),2653142.0)</f>
        <v>2653142</v>
      </c>
      <c r="C503" t="str">
        <f>IFERROR(__xludf.DUMMYFUNCTION("""COMPUTED_VALUE"""),"en")</f>
        <v>en</v>
      </c>
      <c r="D503" t="str">
        <f>IFERROR(__xludf.DUMMYFUNCTION("""COMPUTED_VALUE"""),"Simulating Power Electronic Circuits using Python")</f>
        <v>Simulating Power Electronic Circuits using Python</v>
      </c>
      <c r="E503" t="str">
        <f>IFERROR(__xludf.DUMMYFUNCTION("""COMPUTED_VALUE"""),"Simulating Power Electronic Circuits using Python")</f>
        <v>Simulating Power Electronic Circuits using Python</v>
      </c>
      <c r="F503">
        <f>IFERROR(__xludf.DUMMYFUNCTION("""COMPUTED_VALUE"""),3.507923E7)</f>
        <v>35079230</v>
      </c>
      <c r="G503" t="str">
        <f>IFERROR(__xludf.DUMMYFUNCTION("""COMPUTED_VALUE"""),"Shivkumar Iyer")</f>
        <v>Shivkumar Iyer</v>
      </c>
      <c r="H503" t="str">
        <f>IFERROR(__xludf.DUMMYFUNCTION("""COMPUTED_VALUE"""),"Instructor Request- Opted Out")</f>
        <v>Instructor Request- Opted Out</v>
      </c>
      <c r="I503" t="str">
        <f>IFERROR(__xludf.DUMMYFUNCTION("""COMPUTED_VALUE"""),"Development")</f>
        <v>Development</v>
      </c>
      <c r="J503" t="str">
        <f>IFERROR(__xludf.DUMMYFUNCTION("""COMPUTED_VALUE"""),"Software Testing")</f>
        <v>Software Testing</v>
      </c>
      <c r="L503" s="140" t="str">
        <f>IFERROR(__xludf.DUMMYFUNCTION("""COMPUTED_VALUE"""),"")</f>
        <v/>
      </c>
      <c r="N503" s="140" t="str">
        <f>IFERROR(__xludf.DUMMYFUNCTION("""COMPUTED_VALUE"""),"")</f>
        <v/>
      </c>
      <c r="O503" s="140" t="str">
        <f>IFERROR(__xludf.DUMMYFUNCTION("""COMPUTED_VALUE"""),"No Alternatives in Collection - 2/20/2021")</f>
        <v>No Alternatives in Collection - 2/20/2021</v>
      </c>
    </row>
    <row r="504">
      <c r="A504" s="143">
        <f>IFERROR(__xludf.DUMMYFUNCTION("""COMPUTED_VALUE"""),44377.0)</f>
        <v>44377</v>
      </c>
      <c r="B504">
        <f>IFERROR(__xludf.DUMMYFUNCTION("""COMPUTED_VALUE"""),1461592.0)</f>
        <v>1461592</v>
      </c>
      <c r="C504" t="str">
        <f>IFERROR(__xludf.DUMMYFUNCTION("""COMPUTED_VALUE"""),"en")</f>
        <v>en</v>
      </c>
      <c r="D504" t="str">
        <f>IFERROR(__xludf.DUMMYFUNCTION("""COMPUTED_VALUE"""),"Become AWS Certified - Solutions Architect Associate 2018")</f>
        <v>Become AWS Certified - Solutions Architect Associate 2018</v>
      </c>
      <c r="E504" t="str">
        <f>IFERROR(__xludf.DUMMYFUNCTION("""COMPUTED_VALUE"""),"Become AWS Certified - Solutions Architect Associate 2018")</f>
        <v>Become AWS Certified - Solutions Architect Associate 2018</v>
      </c>
      <c r="F504">
        <f>IFERROR(__xludf.DUMMYFUNCTION("""COMPUTED_VALUE"""),3.3231436E7)</f>
        <v>33231436</v>
      </c>
      <c r="G504" t="str">
        <f>IFERROR(__xludf.DUMMYFUNCTION("""COMPUTED_VALUE"""),"Codestars by Rob Percival")</f>
        <v>Codestars by Rob Percival</v>
      </c>
      <c r="H504" t="str">
        <f>IFERROR(__xludf.DUMMYFUNCTION("""COMPUTED_VALUE"""),"Instructor Request- Leaving Udemy")</f>
        <v>Instructor Request- Leaving Udemy</v>
      </c>
      <c r="I504" t="str">
        <f>IFERROR(__xludf.DUMMYFUNCTION("""COMPUTED_VALUE"""),"IT Operations")</f>
        <v>IT Operations</v>
      </c>
      <c r="J504" t="str">
        <f>IFERROR(__xludf.DUMMYFUNCTION("""COMPUTED_VALUE"""),"IT Certifications")</f>
        <v>IT Certifications</v>
      </c>
      <c r="K504">
        <f>IFERROR(__xludf.DUMMYFUNCTION("""COMPUTED_VALUE"""),2196488.0)</f>
        <v>2196488</v>
      </c>
      <c r="L504" s="140" t="str">
        <f>IFERROR(__xludf.DUMMYFUNCTION("""COMPUTED_VALUE"""),"Ultimate AWS Certified Solutions Architect Associate 2021")</f>
        <v>Ultimate AWS Certified Solutions Architect Associate 2021</v>
      </c>
      <c r="M504" s="155">
        <f>IFERROR(__xludf.DUMMYFUNCTION("""COMPUTED_VALUE"""),2469516.0)</f>
        <v>2469516</v>
      </c>
      <c r="N504" s="140" t="str">
        <f>IFERROR(__xludf.DUMMYFUNCTION("""COMPUTED_VALUE"""),"AWS Certified Solutions Architect Associate - 2021 [SAA-C02]")</f>
        <v>AWS Certified Solutions Architect Associate - 2021 [SAA-C02]</v>
      </c>
    </row>
    <row r="505">
      <c r="A505" s="143">
        <f>IFERROR(__xludf.DUMMYFUNCTION("""COMPUTED_VALUE"""),44377.0)</f>
        <v>44377</v>
      </c>
      <c r="B505">
        <f>IFERROR(__xludf.DUMMYFUNCTION("""COMPUTED_VALUE"""),2331576.0)</f>
        <v>2331576</v>
      </c>
      <c r="C505" t="str">
        <f>IFERROR(__xludf.DUMMYFUNCTION("""COMPUTED_VALUE"""),"en")</f>
        <v>en</v>
      </c>
      <c r="D505" t="str">
        <f>IFERROR(__xludf.DUMMYFUNCTION("""COMPUTED_VALUE"""),"Autocad 2020 - 21 crash course")</f>
        <v>Autocad 2020 - 21 crash course</v>
      </c>
      <c r="E505" t="str">
        <f>IFERROR(__xludf.DUMMYFUNCTION("""COMPUTED_VALUE"""),"Autocad 2020 - 21 crash course")</f>
        <v>Autocad 2020 - 21 crash course</v>
      </c>
      <c r="F505">
        <f>IFERROR(__xludf.DUMMYFUNCTION("""COMPUTED_VALUE"""),1.3544462E7)</f>
        <v>13544462</v>
      </c>
      <c r="G505" t="str">
        <f>IFERROR(__xludf.DUMMYFUNCTION("""COMPUTED_VALUE"""),"Ahmad Kandil")</f>
        <v>Ahmad Kandil</v>
      </c>
      <c r="H505" t="str">
        <f>IFERROR(__xludf.DUMMYFUNCTION("""COMPUTED_VALUE"""),"Instructor Request- Opted Out")</f>
        <v>Instructor Request- Opted Out</v>
      </c>
      <c r="I505" t="str">
        <f>IFERROR(__xludf.DUMMYFUNCTION("""COMPUTED_VALUE"""),"Design")</f>
        <v>Design</v>
      </c>
      <c r="J505" t="str">
        <f>IFERROR(__xludf.DUMMYFUNCTION("""COMPUTED_VALUE"""),"Design Tools")</f>
        <v>Design Tools</v>
      </c>
      <c r="K505">
        <f>IFERROR(__xludf.DUMMYFUNCTION("""COMPUTED_VALUE"""),1271196.0)</f>
        <v>1271196</v>
      </c>
      <c r="L505" s="140" t="str">
        <f>IFERROR(__xludf.DUMMYFUNCTION("""COMPUTED_VALUE"""),"The complete AutoCAD 2018-21 course")</f>
        <v>The complete AutoCAD 2018-21 course</v>
      </c>
      <c r="N505" s="140" t="str">
        <f>IFERROR(__xludf.DUMMYFUNCTION("""COMPUTED_VALUE"""),"")</f>
        <v/>
      </c>
    </row>
    <row r="506">
      <c r="A506" s="143">
        <f>IFERROR(__xludf.DUMMYFUNCTION("""COMPUTED_VALUE"""),44377.0)</f>
        <v>44377</v>
      </c>
      <c r="B506">
        <f>IFERROR(__xludf.DUMMYFUNCTION("""COMPUTED_VALUE"""),1664482.0)</f>
        <v>1664482</v>
      </c>
      <c r="C506" t="str">
        <f>IFERROR(__xludf.DUMMYFUNCTION("""COMPUTED_VALUE"""),"en")</f>
        <v>en</v>
      </c>
      <c r="D506" t="str">
        <f>IFERROR(__xludf.DUMMYFUNCTION("""COMPUTED_VALUE"""),"The Complete VMware vSphere 7 : Beginner to Advanced-pt 2/2")</f>
        <v>The Complete VMware vSphere 7 : Beginner to Advanced-pt 2/2</v>
      </c>
      <c r="E506" t="str">
        <f>IFERROR(__xludf.DUMMYFUNCTION("""COMPUTED_VALUE"""),"The Complete VMware vSphere 7 : Beginner to Advanced-pt 2/2")</f>
        <v>The Complete VMware vSphere 7 : Beginner to Advanced-pt 2/2</v>
      </c>
      <c r="F506">
        <f>IFERROR(__xludf.DUMMYFUNCTION("""COMPUTED_VALUE"""),4464406.0)</f>
        <v>4464406</v>
      </c>
      <c r="G506" t="str">
        <f>IFERROR(__xludf.DUMMYFUNCTION("""COMPUTED_VALUE"""),"Fettah Ben")</f>
        <v>Fettah Ben</v>
      </c>
      <c r="H506" t="str">
        <f>IFERROR(__xludf.DUMMYFUNCTION("""COMPUTED_VALUE"""),"Course Series")</f>
        <v>Course Series</v>
      </c>
      <c r="I506" t="str">
        <f>IFERROR(__xludf.DUMMYFUNCTION("""COMPUTED_VALUE"""),"Data Science")</f>
        <v>Data Science</v>
      </c>
      <c r="J506" t="str">
        <f>IFERROR(__xludf.DUMMYFUNCTION("""COMPUTED_VALUE"""),"Big Data")</f>
        <v>Big Data</v>
      </c>
      <c r="L506" s="140" t="str">
        <f>IFERROR(__xludf.DUMMYFUNCTION("""COMPUTED_VALUE"""),"")</f>
        <v/>
      </c>
      <c r="N506" s="140" t="str">
        <f>IFERROR(__xludf.DUMMYFUNCTION("""COMPUTED_VALUE"""),"")</f>
        <v/>
      </c>
      <c r="O506" s="140" t="str">
        <f>IFERROR(__xludf.DUMMYFUNCTION("""COMPUTED_VALUE"""),"No Alternatives in Collection- 4/17")</f>
        <v>No Alternatives in Collection- 4/17</v>
      </c>
    </row>
    <row r="507">
      <c r="A507" s="143">
        <f>IFERROR(__xludf.DUMMYFUNCTION("""COMPUTED_VALUE"""),44377.0)</f>
        <v>44377</v>
      </c>
      <c r="B507">
        <f>IFERROR(__xludf.DUMMYFUNCTION("""COMPUTED_VALUE"""),1528508.0)</f>
        <v>1528508</v>
      </c>
      <c r="C507" t="str">
        <f>IFERROR(__xludf.DUMMYFUNCTION("""COMPUTED_VALUE"""),"en")</f>
        <v>en</v>
      </c>
      <c r="D507" t="str">
        <f>IFERROR(__xludf.DUMMYFUNCTION("""COMPUTED_VALUE"""),"Game Character Course - ZBrush to Substance Painter and more")</f>
        <v>Game Character Course - ZBrush to Substance Painter and more</v>
      </c>
      <c r="E507" t="str">
        <f>IFERROR(__xludf.DUMMYFUNCTION("""COMPUTED_VALUE"""),"Game Character Course - ZBrush to Substance Painter and more")</f>
        <v>Game Character Course - ZBrush to Substance Painter and more</v>
      </c>
      <c r="F507">
        <f>IFERROR(__xludf.DUMMYFUNCTION("""COMPUTED_VALUE"""),2.397448E7)</f>
        <v>23974480</v>
      </c>
      <c r="G507" t="str">
        <f>IFERROR(__xludf.DUMMYFUNCTION("""COMPUTED_VALUE"""),"UK Online Training Centre")</f>
        <v>UK Online Training Centre</v>
      </c>
      <c r="H507" t="str">
        <f>IFERROR(__xludf.DUMMYFUNCTION("""COMPUTED_VALUE"""),"Saturated Topic")</f>
        <v>Saturated Topic</v>
      </c>
      <c r="I507" t="str">
        <f>IFERROR(__xludf.DUMMYFUNCTION("""COMPUTED_VALUE"""),"Design")</f>
        <v>Design</v>
      </c>
      <c r="J507" t="str">
        <f>IFERROR(__xludf.DUMMYFUNCTION("""COMPUTED_VALUE"""),"Game Design")</f>
        <v>Game Design</v>
      </c>
      <c r="K507">
        <f>IFERROR(__xludf.DUMMYFUNCTION("""COMPUTED_VALUE"""),1533210.0)</f>
        <v>1533210</v>
      </c>
      <c r="L507" s="140" t="str">
        <f>IFERROR(__xludf.DUMMYFUNCTION("""COMPUTED_VALUE"""),"Realistic Character Modeling For Game In Maya and Zbrush")</f>
        <v>Realistic Character Modeling For Game In Maya and Zbrush</v>
      </c>
      <c r="N507" s="140" t="str">
        <f>IFERROR(__xludf.DUMMYFUNCTION("""COMPUTED_VALUE"""),"")</f>
        <v/>
      </c>
    </row>
    <row r="508">
      <c r="A508" s="143">
        <f>IFERROR(__xludf.DUMMYFUNCTION("""COMPUTED_VALUE"""),44377.0)</f>
        <v>44377</v>
      </c>
      <c r="B508">
        <f>IFERROR(__xludf.DUMMYFUNCTION("""COMPUTED_VALUE"""),1380708.0)</f>
        <v>1380708</v>
      </c>
      <c r="C508" t="str">
        <f>IFERROR(__xludf.DUMMYFUNCTION("""COMPUTED_VALUE"""),"en")</f>
        <v>en</v>
      </c>
      <c r="D508" t="str">
        <f>IFERROR(__xludf.DUMMYFUNCTION("""COMPUTED_VALUE"""),"Sketchup Architect Beginner Fast Track")</f>
        <v>Sketchup Architect Beginner Fast Track</v>
      </c>
      <c r="E508" t="str">
        <f>IFERROR(__xludf.DUMMYFUNCTION("""COMPUTED_VALUE"""),"Sketchup Architect Beginner Fast Track")</f>
        <v>Sketchup Architect Beginner Fast Track</v>
      </c>
      <c r="F508">
        <f>IFERROR(__xludf.DUMMYFUNCTION("""COMPUTED_VALUE"""),3.6744616E7)</f>
        <v>36744616</v>
      </c>
      <c r="G508" t="str">
        <f>IFERROR(__xludf.DUMMYFUNCTION("""COMPUTED_VALUE"""),"Thomas Soltren")</f>
        <v>Thomas Soltren</v>
      </c>
      <c r="H508" t="str">
        <f>IFERROR(__xludf.DUMMYFUNCTION("""COMPUTED_VALUE"""),"Saturated Topic")</f>
        <v>Saturated Topic</v>
      </c>
      <c r="I508" t="str">
        <f>IFERROR(__xludf.DUMMYFUNCTION("""COMPUTED_VALUE"""),"Design")</f>
        <v>Design</v>
      </c>
      <c r="J508" t="str">
        <f>IFERROR(__xludf.DUMMYFUNCTION("""COMPUTED_VALUE"""),"Design Tools")</f>
        <v>Design Tools</v>
      </c>
      <c r="K508">
        <f>IFERROR(__xludf.DUMMYFUNCTION("""COMPUTED_VALUE"""),295705.0)</f>
        <v>295705</v>
      </c>
      <c r="L508" s="140" t="str">
        <f>IFERROR(__xludf.DUMMYFUNCTION("""COMPUTED_VALUE"""),"SketchUp for Woodworkers: bring your designs to life in 3D")</f>
        <v>SketchUp for Woodworkers: bring your designs to life in 3D</v>
      </c>
      <c r="N508" s="140" t="str">
        <f>IFERROR(__xludf.DUMMYFUNCTION("""COMPUTED_VALUE"""),"")</f>
        <v/>
      </c>
    </row>
    <row r="509">
      <c r="A509" s="143">
        <f>IFERROR(__xludf.DUMMYFUNCTION("""COMPUTED_VALUE"""),44377.0)</f>
        <v>44377</v>
      </c>
      <c r="B509">
        <f>IFERROR(__xludf.DUMMYFUNCTION("""COMPUTED_VALUE"""),832716.0)</f>
        <v>832716</v>
      </c>
      <c r="C509" t="str">
        <f>IFERROR(__xludf.DUMMYFUNCTION("""COMPUTED_VALUE"""),"en")</f>
        <v>en</v>
      </c>
      <c r="D509" t="str">
        <f>IFERROR(__xludf.DUMMYFUNCTION("""COMPUTED_VALUE"""),"LX Design 101: Teach Anything in the Workplace!")</f>
        <v>LX Design 101: Teach Anything in the Workplace!</v>
      </c>
      <c r="E509" t="str">
        <f>IFERROR(__xludf.DUMMYFUNCTION("""COMPUTED_VALUE"""),"LX Design 101: Teach Anything in the Workplace!")</f>
        <v>LX Design 101: Teach Anything in the Workplace!</v>
      </c>
      <c r="F509">
        <f>IFERROR(__xludf.DUMMYFUNCTION("""COMPUTED_VALUE"""),2.2227952E7)</f>
        <v>22227952</v>
      </c>
      <c r="G509" t="str">
        <f>IFERROR(__xludf.DUMMYFUNCTION("""COMPUTED_VALUE"""),"Marcela Pineros")</f>
        <v>Marcela Pineros</v>
      </c>
      <c r="H509" t="str">
        <f>IFERROR(__xludf.DUMMYFUNCTION("""COMPUTED_VALUE"""),"Saturated Topic")</f>
        <v>Saturated Topic</v>
      </c>
      <c r="I509" t="str">
        <f>IFERROR(__xludf.DUMMYFUNCTION("""COMPUTED_VALUE"""),"Workplace &amp; Human Resources")</f>
        <v>Workplace &amp; Human Resources</v>
      </c>
      <c r="J509" t="str">
        <f>IFERROR(__xludf.DUMMYFUNCTION("""COMPUTED_VALUE"""),"Learning &amp; Development")</f>
        <v>Learning &amp; Development</v>
      </c>
      <c r="K509">
        <f>IFERROR(__xludf.DUMMYFUNCTION("""COMPUTED_VALUE"""),1691534.0)</f>
        <v>1691534</v>
      </c>
      <c r="L509" s="140" t="str">
        <f>IFERROR(__xludf.DUMMYFUNCTION("""COMPUTED_VALUE"""),"Instructional Design for Classroom Training")</f>
        <v>Instructional Design for Classroom Training</v>
      </c>
      <c r="N509" s="140" t="str">
        <f>IFERROR(__xludf.DUMMYFUNCTION("""COMPUTED_VALUE"""),"")</f>
        <v/>
      </c>
    </row>
    <row r="510">
      <c r="A510" s="143">
        <f>IFERROR(__xludf.DUMMYFUNCTION("""COMPUTED_VALUE"""),44377.0)</f>
        <v>44377</v>
      </c>
      <c r="B510">
        <f>IFERROR(__xludf.DUMMYFUNCTION("""COMPUTED_VALUE"""),430152.0)</f>
        <v>430152</v>
      </c>
      <c r="C510" t="str">
        <f>IFERROR(__xludf.DUMMYFUNCTION("""COMPUTED_VALUE"""),"en")</f>
        <v>en</v>
      </c>
      <c r="D510" t="str">
        <f>IFERROR(__xludf.DUMMYFUNCTION("""COMPUTED_VALUE"""),"Adobe Captivate - Focus on Demonstrations")</f>
        <v>Adobe Captivate - Focus on Demonstrations</v>
      </c>
      <c r="E510" t="str">
        <f>IFERROR(__xludf.DUMMYFUNCTION("""COMPUTED_VALUE"""),"Adobe Captivate - Focus on Demonstrations")</f>
        <v>Adobe Captivate - Focus on Demonstrations</v>
      </c>
      <c r="F510">
        <f>IFERROR(__xludf.DUMMYFUNCTION("""COMPUTED_VALUE"""),59027.0)</f>
        <v>59027</v>
      </c>
      <c r="G510" t="str">
        <f>IFERROR(__xludf.DUMMYFUNCTION("""COMPUTED_VALUE"""),"Rick Stone")</f>
        <v>Rick Stone</v>
      </c>
      <c r="H510" t="str">
        <f>IFERROR(__xludf.DUMMYFUNCTION("""COMPUTED_VALUE"""),"Saturated Topic")</f>
        <v>Saturated Topic</v>
      </c>
      <c r="I510" t="str">
        <f>IFERROR(__xludf.DUMMYFUNCTION("""COMPUTED_VALUE"""),"Workplace &amp; Human Resources")</f>
        <v>Workplace &amp; Human Resources</v>
      </c>
      <c r="J510" t="str">
        <f>IFERROR(__xludf.DUMMYFUNCTION("""COMPUTED_VALUE"""),"Learning &amp; Development")</f>
        <v>Learning &amp; Development</v>
      </c>
      <c r="K510">
        <f>IFERROR(__xludf.DUMMYFUNCTION("""COMPUTED_VALUE"""),435882.0)</f>
        <v>435882</v>
      </c>
      <c r="L510" s="140" t="str">
        <f>IFERROR(__xludf.DUMMYFUNCTION("""COMPUTED_VALUE"""),"Adobe Captivate - Focus on Simulations")</f>
        <v>Adobe Captivate - Focus on Simulations</v>
      </c>
      <c r="N510" s="140" t="str">
        <f>IFERROR(__xludf.DUMMYFUNCTION("""COMPUTED_VALUE"""),"")</f>
        <v/>
      </c>
    </row>
    <row r="511">
      <c r="A511" s="143">
        <f>IFERROR(__xludf.DUMMYFUNCTION("""COMPUTED_VALUE"""),44377.0)</f>
        <v>44377</v>
      </c>
      <c r="B511">
        <f>IFERROR(__xludf.DUMMYFUNCTION("""COMPUTED_VALUE"""),956380.0)</f>
        <v>956380</v>
      </c>
      <c r="C511" t="str">
        <f>IFERROR(__xludf.DUMMYFUNCTION("""COMPUTED_VALUE"""),"en")</f>
        <v>en</v>
      </c>
      <c r="D511" t="str">
        <f>IFERROR(__xludf.DUMMYFUNCTION("""COMPUTED_VALUE"""),"FPGA Turbo Series - Implementing a UART")</f>
        <v>FPGA Turbo Series - Implementing a UART</v>
      </c>
      <c r="E511" t="str">
        <f>IFERROR(__xludf.DUMMYFUNCTION("""COMPUTED_VALUE"""),"FPGA Turbo Series - Implementing a UART")</f>
        <v>FPGA Turbo Series - Implementing a UART</v>
      </c>
      <c r="F511">
        <f>IFERROR(__xludf.DUMMYFUNCTION("""COMPUTED_VALUE"""),9593581.0)</f>
        <v>9593581</v>
      </c>
      <c r="G511" t="str">
        <f>IFERROR(__xludf.DUMMYFUNCTION("""COMPUTED_VALUE"""),"Jordan Christman")</f>
        <v>Jordan Christman</v>
      </c>
      <c r="H511" t="str">
        <f>IFERROR(__xludf.DUMMYFUNCTION("""COMPUTED_VALUE"""),"Saturated Topic")</f>
        <v>Saturated Topic</v>
      </c>
      <c r="I511" t="str">
        <f>IFERROR(__xludf.DUMMYFUNCTION("""COMPUTED_VALUE"""),"IT Operations")</f>
        <v>IT Operations</v>
      </c>
      <c r="J511" t="str">
        <f>IFERROR(__xludf.DUMMYFUNCTION("""COMPUTED_VALUE"""),"Hardware")</f>
        <v>Hardware</v>
      </c>
      <c r="K511">
        <f>IFERROR(__xludf.DUMMYFUNCTION("""COMPUTED_VALUE"""),425522.0)</f>
        <v>425522</v>
      </c>
      <c r="L511" s="140" t="str">
        <f>IFERROR(__xludf.DUMMYFUNCTION("""COMPUTED_VALUE"""),"Learn VHDL and FPGA Development")</f>
        <v>Learn VHDL and FPGA Development</v>
      </c>
      <c r="N511" s="140" t="str">
        <f>IFERROR(__xludf.DUMMYFUNCTION("""COMPUTED_VALUE"""),"")</f>
        <v/>
      </c>
    </row>
    <row r="512">
      <c r="A512" s="143">
        <f>IFERROR(__xludf.DUMMYFUNCTION("""COMPUTED_VALUE"""),44377.0)</f>
        <v>44377</v>
      </c>
      <c r="B512">
        <f>IFERROR(__xludf.DUMMYFUNCTION("""COMPUTED_VALUE"""),186420.0)</f>
        <v>186420</v>
      </c>
      <c r="C512" t="str">
        <f>IFERROR(__xludf.DUMMYFUNCTION("""COMPUTED_VALUE"""),"en")</f>
        <v>en</v>
      </c>
      <c r="D512" t="str">
        <f>IFERROR(__xludf.DUMMYFUNCTION("""COMPUTED_VALUE"""),"Learn SystemVerilog Assertions and Coverage Coding in-depth")</f>
        <v>Learn SystemVerilog Assertions and Coverage Coding in-depth</v>
      </c>
      <c r="E512" t="str">
        <f>IFERROR(__xludf.DUMMYFUNCTION("""COMPUTED_VALUE"""),"Learn SystemVerilog Assertions and Coverage Coding in-depth")</f>
        <v>Learn SystemVerilog Assertions and Coverage Coding in-depth</v>
      </c>
      <c r="F512">
        <f>IFERROR(__xludf.DUMMYFUNCTION("""COMPUTED_VALUE"""),3584552.0)</f>
        <v>3584552</v>
      </c>
      <c r="G512" t="str">
        <f>IFERROR(__xludf.DUMMYFUNCTION("""COMPUTED_VALUE"""),"Ramdas Mozhikunnath M")</f>
        <v>Ramdas Mozhikunnath M</v>
      </c>
      <c r="H512" t="str">
        <f>IFERROR(__xludf.DUMMYFUNCTION("""COMPUTED_VALUE"""),"Saturated Topic")</f>
        <v>Saturated Topic</v>
      </c>
      <c r="I512" t="str">
        <f>IFERROR(__xludf.DUMMYFUNCTION("""COMPUTED_VALUE"""),"IT Operations")</f>
        <v>IT Operations</v>
      </c>
      <c r="J512" t="str">
        <f>IFERROR(__xludf.DUMMYFUNCTION("""COMPUTED_VALUE"""),"Hardware")</f>
        <v>Hardware</v>
      </c>
      <c r="K512">
        <f>IFERROR(__xludf.DUMMYFUNCTION("""COMPUTED_VALUE"""),761780.0)</f>
        <v>761780</v>
      </c>
      <c r="L512" s="140" t="str">
        <f>IFERROR(__xludf.DUMMYFUNCTION("""COMPUTED_VALUE"""),"SystemVerilog Assertions &amp; Functional Coverage FROM SCRATCH")</f>
        <v>SystemVerilog Assertions &amp; Functional Coverage FROM SCRATCH</v>
      </c>
      <c r="N512" s="140" t="str">
        <f>IFERROR(__xludf.DUMMYFUNCTION("""COMPUTED_VALUE"""),"")</f>
        <v/>
      </c>
    </row>
    <row r="513">
      <c r="A513" s="143">
        <f>IFERROR(__xludf.DUMMYFUNCTION("""COMPUTED_VALUE"""),44377.0)</f>
        <v>44377</v>
      </c>
      <c r="B513">
        <f>IFERROR(__xludf.DUMMYFUNCTION("""COMPUTED_VALUE"""),1946068.0)</f>
        <v>1946068</v>
      </c>
      <c r="C513" t="str">
        <f>IFERROR(__xludf.DUMMYFUNCTION("""COMPUTED_VALUE"""),"en")</f>
        <v>en</v>
      </c>
      <c r="D513" t="str">
        <f>IFERROR(__xludf.DUMMYFUNCTION("""COMPUTED_VALUE"""),"SDF: Weblog Forensics")</f>
        <v>SDF: Weblog Forensics</v>
      </c>
      <c r="E513" t="str">
        <f>IFERROR(__xludf.DUMMYFUNCTION("""COMPUTED_VALUE"""),"SDF: Weblog Forensics")</f>
        <v>SDF: Weblog Forensics</v>
      </c>
      <c r="F513">
        <f>IFERROR(__xludf.DUMMYFUNCTION("""COMPUTED_VALUE"""),3804670.0)</f>
        <v>3804670</v>
      </c>
      <c r="G513" t="str">
        <f>IFERROR(__xludf.DUMMYFUNCTION("""COMPUTED_VALUE"""),"Michael Leclair")</f>
        <v>Michael Leclair</v>
      </c>
      <c r="H513" t="str">
        <f>IFERROR(__xludf.DUMMYFUNCTION("""COMPUTED_VALUE"""),"Saturated Topic")</f>
        <v>Saturated Topic</v>
      </c>
      <c r="I513" t="str">
        <f>IFERROR(__xludf.DUMMYFUNCTION("""COMPUTED_VALUE"""),"IT Operations")</f>
        <v>IT Operations</v>
      </c>
      <c r="J513" t="str">
        <f>IFERROR(__xludf.DUMMYFUNCTION("""COMPUTED_VALUE"""),"Network &amp; Security")</f>
        <v>Network &amp; Security</v>
      </c>
      <c r="K513">
        <f>IFERROR(__xludf.DUMMYFUNCTION("""COMPUTED_VALUE"""),296510.0)</f>
        <v>296510</v>
      </c>
      <c r="L513" s="140" t="str">
        <f>IFERROR(__xludf.DUMMYFUNCTION("""COMPUTED_VALUE"""),"Surviving Digital Forensics: Understanding OS X Time Stamps")</f>
        <v>Surviving Digital Forensics: Understanding OS X Time Stamps</v>
      </c>
      <c r="N513" s="140" t="str">
        <f>IFERROR(__xludf.DUMMYFUNCTION("""COMPUTED_VALUE"""),"")</f>
        <v/>
      </c>
    </row>
    <row r="514">
      <c r="A514" s="143">
        <f>IFERROR(__xludf.DUMMYFUNCTION("""COMPUTED_VALUE"""),44377.0)</f>
        <v>44377</v>
      </c>
      <c r="B514">
        <f>IFERROR(__xludf.DUMMYFUNCTION("""COMPUTED_VALUE"""),118284.0)</f>
        <v>118284</v>
      </c>
      <c r="C514" t="str">
        <f>IFERROR(__xludf.DUMMYFUNCTION("""COMPUTED_VALUE"""),"en")</f>
        <v>en</v>
      </c>
      <c r="D514" t="str">
        <f>IFERROR(__xludf.DUMMYFUNCTION("""COMPUTED_VALUE"""),"Learn QuickBooks Pro 2014 the Easy Way")</f>
        <v>Learn QuickBooks Pro 2014 the Easy Way</v>
      </c>
      <c r="E514" t="str">
        <f>IFERROR(__xludf.DUMMYFUNCTION("""COMPUTED_VALUE"""),"Learn QuickBooks Pro 2014 the Easy Way")</f>
        <v>Learn QuickBooks Pro 2014 the Easy Way</v>
      </c>
      <c r="F514">
        <f>IFERROR(__xludf.DUMMYFUNCTION("""COMPUTED_VALUE"""),254593.0)</f>
        <v>254593</v>
      </c>
      <c r="G514" t="str">
        <f>IFERROR(__xludf.DUMMYFUNCTION("""COMPUTED_VALUE"""),"Simon Sez IT")</f>
        <v>Simon Sez IT</v>
      </c>
      <c r="H514" t="str">
        <f>IFERROR(__xludf.DUMMYFUNCTION("""COMPUTED_VALUE"""),"Saturated Topic")</f>
        <v>Saturated Topic</v>
      </c>
      <c r="I514" t="str">
        <f>IFERROR(__xludf.DUMMYFUNCTION("""COMPUTED_VALUE"""),"Finance &amp; Accounting")</f>
        <v>Finance &amp; Accounting</v>
      </c>
      <c r="J514" t="str">
        <f>IFERROR(__xludf.DUMMYFUNCTION("""COMPUTED_VALUE"""),"Accounting Software")</f>
        <v>Accounting Software</v>
      </c>
      <c r="K514">
        <f>IFERROR(__xludf.DUMMYFUNCTION("""COMPUTED_VALUE"""),627760.0)</f>
        <v>627760</v>
      </c>
      <c r="L514" s="140" t="str">
        <f>IFERROR(__xludf.DUMMYFUNCTION("""COMPUTED_VALUE"""),"Master QuickBooks Pro 2015 &amp; 2016 the Easy Way")</f>
        <v>Master QuickBooks Pro 2015 &amp; 2016 the Easy Way</v>
      </c>
      <c r="N514" s="140" t="str">
        <f>IFERROR(__xludf.DUMMYFUNCTION("""COMPUTED_VALUE"""),"")</f>
        <v/>
      </c>
    </row>
    <row r="515">
      <c r="A515" s="143">
        <f>IFERROR(__xludf.DUMMYFUNCTION("""COMPUTED_VALUE"""),44377.0)</f>
        <v>44377</v>
      </c>
      <c r="B515">
        <f>IFERROR(__xludf.DUMMYFUNCTION("""COMPUTED_VALUE"""),1490828.0)</f>
        <v>1490828</v>
      </c>
      <c r="C515" t="str">
        <f>IFERROR(__xludf.DUMMYFUNCTION("""COMPUTED_VALUE"""),"en")</f>
        <v>en</v>
      </c>
      <c r="D515" t="str">
        <f>IFERROR(__xludf.DUMMYFUNCTION("""COMPUTED_VALUE"""),"MikroTik RouterOS Hardening LABS")</f>
        <v>MikroTik RouterOS Hardening LABS</v>
      </c>
      <c r="E515" t="str">
        <f>IFERROR(__xludf.DUMMYFUNCTION("""COMPUTED_VALUE"""),"MikroTik RouterOS Hardening LABS")</f>
        <v>MikroTik RouterOS Hardening LABS</v>
      </c>
      <c r="F515">
        <f>IFERROR(__xludf.DUMMYFUNCTION("""COMPUTED_VALUE"""),424712.0)</f>
        <v>424712</v>
      </c>
      <c r="G515" t="str">
        <f>IFERROR(__xludf.DUMMYFUNCTION("""COMPUTED_VALUE"""),"Maher Haddad")</f>
        <v>Maher Haddad</v>
      </c>
      <c r="H515" t="str">
        <f>IFERROR(__xludf.DUMMYFUNCTION("""COMPUTED_VALUE"""),"Saturated Topic")</f>
        <v>Saturated Topic</v>
      </c>
      <c r="I515" t="str">
        <f>IFERROR(__xludf.DUMMYFUNCTION("""COMPUTED_VALUE"""),"IT Operations")</f>
        <v>IT Operations</v>
      </c>
      <c r="J515" t="str">
        <f>IFERROR(__xludf.DUMMYFUNCTION("""COMPUTED_VALUE"""),"Network &amp; Security")</f>
        <v>Network &amp; Security</v>
      </c>
      <c r="K515">
        <f>IFERROR(__xludf.DUMMYFUNCTION("""COMPUTED_VALUE"""),1264466.0)</f>
        <v>1264466</v>
      </c>
      <c r="L515" s="140" t="str">
        <f>IFERROR(__xludf.DUMMYFUNCTION("""COMPUTED_VALUE"""),"MikroTik Routing All-in-1 Video Bootcamp")</f>
        <v>MikroTik Routing All-in-1 Video Bootcamp</v>
      </c>
      <c r="N515" s="140" t="str">
        <f>IFERROR(__xludf.DUMMYFUNCTION("""COMPUTED_VALUE"""),"")</f>
        <v/>
      </c>
    </row>
    <row r="516">
      <c r="A516" s="143">
        <f>IFERROR(__xludf.DUMMYFUNCTION("""COMPUTED_VALUE"""),44377.0)</f>
        <v>44377</v>
      </c>
      <c r="B516">
        <f>IFERROR(__xludf.DUMMYFUNCTION("""COMPUTED_VALUE"""),1341536.0)</f>
        <v>1341536</v>
      </c>
      <c r="C516" t="str">
        <f>IFERROR(__xludf.DUMMYFUNCTION("""COMPUTED_VALUE"""),"en")</f>
        <v>en</v>
      </c>
      <c r="D516" t="str">
        <f>IFERROR(__xludf.DUMMYFUNCTION("""COMPUTED_VALUE"""),"MikroTik Hotspot with User Manager")</f>
        <v>MikroTik Hotspot with User Manager</v>
      </c>
      <c r="E516" t="str">
        <f>IFERROR(__xludf.DUMMYFUNCTION("""COMPUTED_VALUE"""),"MikroTik Hotspot with User Manager")</f>
        <v>MikroTik Hotspot with User Manager</v>
      </c>
      <c r="F516">
        <f>IFERROR(__xludf.DUMMYFUNCTION("""COMPUTED_VALUE"""),424712.0)</f>
        <v>424712</v>
      </c>
      <c r="G516" t="str">
        <f>IFERROR(__xludf.DUMMYFUNCTION("""COMPUTED_VALUE"""),"Maher Haddad")</f>
        <v>Maher Haddad</v>
      </c>
      <c r="H516" t="str">
        <f>IFERROR(__xludf.DUMMYFUNCTION("""COMPUTED_VALUE"""),"Saturated Topic")</f>
        <v>Saturated Topic</v>
      </c>
      <c r="I516" t="str">
        <f>IFERROR(__xludf.DUMMYFUNCTION("""COMPUTED_VALUE"""),"IT Operations")</f>
        <v>IT Operations</v>
      </c>
      <c r="J516" t="str">
        <f>IFERROR(__xludf.DUMMYFUNCTION("""COMPUTED_VALUE"""),"Network &amp; Security")</f>
        <v>Network &amp; Security</v>
      </c>
      <c r="L516" s="140" t="str">
        <f>IFERROR(__xludf.DUMMYFUNCTION("""COMPUTED_VALUE"""),"")</f>
        <v/>
      </c>
      <c r="N516" s="140" t="str">
        <f>IFERROR(__xludf.DUMMYFUNCTION("""COMPUTED_VALUE"""),"")</f>
        <v/>
      </c>
      <c r="O516" s="140" t="str">
        <f>IFERROR(__xludf.DUMMYFUNCTION("""COMPUTED_VALUE"""),"No Alternatives in Collection- 4/17")</f>
        <v>No Alternatives in Collection- 4/17</v>
      </c>
    </row>
    <row r="517">
      <c r="A517" s="143">
        <f>IFERROR(__xludf.DUMMYFUNCTION("""COMPUTED_VALUE"""),44377.0)</f>
        <v>44377</v>
      </c>
      <c r="B517">
        <f>IFERROR(__xludf.DUMMYFUNCTION("""COMPUTED_VALUE"""),635302.0)</f>
        <v>635302</v>
      </c>
      <c r="C517" t="str">
        <f>IFERROR(__xludf.DUMMYFUNCTION("""COMPUTED_VALUE"""),"en")</f>
        <v>en</v>
      </c>
      <c r="D517" t="str">
        <f>IFERROR(__xludf.DUMMYFUNCTION("""COMPUTED_VALUE"""),"Asterisk Administrators Guide to VoIP Polycom IP SIP Phones")</f>
        <v>Asterisk Administrators Guide to VoIP Polycom IP SIP Phones</v>
      </c>
      <c r="E517" t="str">
        <f>IFERROR(__xludf.DUMMYFUNCTION("""COMPUTED_VALUE"""),"Asterisk Administrators Guide to VoIP Polycom IP SIP Phones")</f>
        <v>Asterisk Administrators Guide to VoIP Polycom IP SIP Phones</v>
      </c>
      <c r="F517">
        <f>IFERROR(__xludf.DUMMYFUNCTION("""COMPUTED_VALUE"""),8583172.0)</f>
        <v>8583172</v>
      </c>
      <c r="G517" t="str">
        <f>IFERROR(__xludf.DUMMYFUNCTION("""COMPUTED_VALUE"""),"Jon Manning")</f>
        <v>Jon Manning</v>
      </c>
      <c r="H517" t="str">
        <f>IFERROR(__xludf.DUMMYFUNCTION("""COMPUTED_VALUE"""),"Saturated Topic")</f>
        <v>Saturated Topic</v>
      </c>
      <c r="I517" t="str">
        <f>IFERROR(__xludf.DUMMYFUNCTION("""COMPUTED_VALUE"""),"IT Operations")</f>
        <v>IT Operations</v>
      </c>
      <c r="J517" t="str">
        <f>IFERROR(__xludf.DUMMYFUNCTION("""COMPUTED_VALUE"""),"Operating Systems &amp; Servers")</f>
        <v>Operating Systems &amp; Servers</v>
      </c>
      <c r="K517">
        <f>IFERROR(__xludf.DUMMYFUNCTION("""COMPUTED_VALUE"""),1219330.0)</f>
        <v>1219330</v>
      </c>
      <c r="L517" s="140" t="str">
        <f>IFERROR(__xludf.DUMMYFUNCTION("""COMPUTED_VALUE"""),"FreePBX Asterisk 13 VoIP Server Administration Step by Step")</f>
        <v>FreePBX Asterisk 13 VoIP Server Administration Step by Step</v>
      </c>
      <c r="N517" s="140" t="str">
        <f>IFERROR(__xludf.DUMMYFUNCTION("""COMPUTED_VALUE"""),"")</f>
        <v/>
      </c>
    </row>
    <row r="518">
      <c r="A518" s="143">
        <f>IFERROR(__xludf.DUMMYFUNCTION("""COMPUTED_VALUE"""),44377.0)</f>
        <v>44377</v>
      </c>
      <c r="B518">
        <f>IFERROR(__xludf.DUMMYFUNCTION("""COMPUTED_VALUE"""),1780364.0)</f>
        <v>1780364</v>
      </c>
      <c r="C518" t="str">
        <f>IFERROR(__xludf.DUMMYFUNCTION("""COMPUTED_VALUE"""),"pt")</f>
        <v>pt</v>
      </c>
      <c r="D518" t="str">
        <f>IFERROR(__xludf.DUMMYFUNCTION("""COMPUTED_VALUE"""),"Os segredos da Influência e linguagem corporal")</f>
        <v>Os segredos da Influência e linguagem corporal</v>
      </c>
      <c r="E518" t="str">
        <f>IFERROR(__xludf.DUMMYFUNCTION("""COMPUTED_VALUE"""),"Secrets of influence and body language")</f>
        <v>Secrets of influence and body language</v>
      </c>
      <c r="F518">
        <f>IFERROR(__xludf.DUMMYFUNCTION("""COMPUTED_VALUE"""),1.8446008E7)</f>
        <v>18446008</v>
      </c>
      <c r="G518" t="str">
        <f>IFERROR(__xludf.DUMMYFUNCTION("""COMPUTED_VALUE"""),"Danilo Marcos Farias Mota")</f>
        <v>Danilo Marcos Farias Mota</v>
      </c>
      <c r="H518" t="str">
        <f>IFERROR(__xludf.DUMMYFUNCTION("""COMPUTED_VALUE"""),"Instructor Request- Opted Out")</f>
        <v>Instructor Request- Opted Out</v>
      </c>
      <c r="I518" t="str">
        <f>IFERROR(__xludf.DUMMYFUNCTION("""COMPUTED_VALUE"""),"Leadership &amp; Management")</f>
        <v>Leadership &amp; Management</v>
      </c>
      <c r="J518" t="str">
        <f>IFERROR(__xludf.DUMMYFUNCTION("""COMPUTED_VALUE"""),"Communication")</f>
        <v>Communication</v>
      </c>
      <c r="K518">
        <f>IFERROR(__xludf.DUMMYFUNCTION("""COMPUTED_VALUE"""),3858926.0)</f>
        <v>3858926</v>
      </c>
      <c r="L518" s="140" t="str">
        <f>IFERROR(__xludf.DUMMYFUNCTION("""COMPUTED_VALUE"""),"Curso de Linguagem Corporal no Universo Corporativo")</f>
        <v>Curso de Linguagem Corporal no Universo Corporativo</v>
      </c>
      <c r="N518" s="140" t="str">
        <f>IFERROR(__xludf.DUMMYFUNCTION("""COMPUTED_VALUE"""),"")</f>
        <v/>
      </c>
    </row>
    <row r="519">
      <c r="A519" s="143">
        <f>IFERROR(__xludf.DUMMYFUNCTION("""COMPUTED_VALUE"""),44377.0)</f>
        <v>44377</v>
      </c>
      <c r="B519">
        <f>IFERROR(__xludf.DUMMYFUNCTION("""COMPUTED_VALUE"""),2295997.0)</f>
        <v>2295997</v>
      </c>
      <c r="C519" t="str">
        <f>IFERROR(__xludf.DUMMYFUNCTION("""COMPUTED_VALUE"""),"pt")</f>
        <v>pt</v>
      </c>
      <c r="D519" t="str">
        <f>IFERROR(__xludf.DUMMYFUNCTION("""COMPUTED_VALUE"""),"Curso Completo de MS Project - Do básico ao Avançado")</f>
        <v>Curso Completo de MS Project - Do básico ao Avançado</v>
      </c>
      <c r="E519" t="str">
        <f>IFERROR(__xludf.DUMMYFUNCTION("""COMPUTED_VALUE"""),"Full MS Project Course - From the Basic to Advanced")</f>
        <v>Full MS Project Course - From the Basic to Advanced</v>
      </c>
      <c r="F519">
        <f>IFERROR(__xludf.DUMMYFUNCTION("""COMPUTED_VALUE"""),3.589356E7)</f>
        <v>35893560</v>
      </c>
      <c r="G519" t="str">
        <f>IFERROR(__xludf.DUMMYFUNCTION("""COMPUTED_VALUE"""),"Eduardo Yto")</f>
        <v>Eduardo Yto</v>
      </c>
      <c r="H519" t="str">
        <f>IFERROR(__xludf.DUMMYFUNCTION("""COMPUTED_VALUE"""),"Instructor Request- Opted Out")</f>
        <v>Instructor Request- Opted Out</v>
      </c>
      <c r="I519" t="str">
        <f>IFERROR(__xludf.DUMMYFUNCTION("""COMPUTED_VALUE"""),"Project Management &amp; Operations")</f>
        <v>Project Management &amp; Operations</v>
      </c>
      <c r="J519" t="str">
        <f>IFERROR(__xludf.DUMMYFUNCTION("""COMPUTED_VALUE"""),"Project Management Tools")</f>
        <v>Project Management Tools</v>
      </c>
      <c r="L519" s="140" t="str">
        <f>IFERROR(__xludf.DUMMYFUNCTION("""COMPUTED_VALUE"""),"")</f>
        <v/>
      </c>
      <c r="N519" s="140" t="str">
        <f>IFERROR(__xludf.DUMMYFUNCTION("""COMPUTED_VALUE"""),"")</f>
        <v/>
      </c>
    </row>
    <row r="520">
      <c r="A520" s="143">
        <f>IFERROR(__xludf.DUMMYFUNCTION("""COMPUTED_VALUE"""),44377.0)</f>
        <v>44377</v>
      </c>
      <c r="B520">
        <f>IFERROR(__xludf.DUMMYFUNCTION("""COMPUTED_VALUE"""),1511314.0)</f>
        <v>1511314</v>
      </c>
      <c r="C520" t="str">
        <f>IFERROR(__xludf.DUMMYFUNCTION("""COMPUTED_VALUE"""),"pt")</f>
        <v>pt</v>
      </c>
      <c r="D520" t="str">
        <f>IFERROR(__xludf.DUMMYFUNCTION("""COMPUTED_VALUE"""),"Solver - Resolva Problemas de Logística usando o Excel")</f>
        <v>Solver - Resolva Problemas de Logística usando o Excel</v>
      </c>
      <c r="E520" t="str">
        <f>IFERROR(__xludf.DUMMYFUNCTION("""COMPUTED_VALUE"""),"Solver - Solve Logistics Problems Using Excel")</f>
        <v>Solver - Solve Logistics Problems Using Excel</v>
      </c>
      <c r="F520">
        <f>IFERROR(__xludf.DUMMYFUNCTION("""COMPUTED_VALUE"""),1.0935528E7)</f>
        <v>10935528</v>
      </c>
      <c r="G520" t="str">
        <f>IFERROR(__xludf.DUMMYFUNCTION("""COMPUTED_VALUE"""),"Cristina Gramani")</f>
        <v>Cristina Gramani</v>
      </c>
      <c r="H520" t="str">
        <f>IFERROR(__xludf.DUMMYFUNCTION("""COMPUTED_VALUE"""),"Instructor Request- Opted Out")</f>
        <v>Instructor Request- Opted Out</v>
      </c>
      <c r="I520" t="str">
        <f>IFERROR(__xludf.DUMMYFUNCTION("""COMPUTED_VALUE"""),"Project Management &amp; Operations")</f>
        <v>Project Management &amp; Operations</v>
      </c>
      <c r="J520" t="str">
        <f>IFERROR(__xludf.DUMMYFUNCTION("""COMPUTED_VALUE"""),"Operations Management")</f>
        <v>Operations Management</v>
      </c>
      <c r="L520" s="140" t="str">
        <f>IFERROR(__xludf.DUMMYFUNCTION("""COMPUTED_VALUE"""),"")</f>
        <v/>
      </c>
      <c r="N520" s="140" t="str">
        <f>IFERROR(__xludf.DUMMYFUNCTION("""COMPUTED_VALUE"""),"")</f>
        <v/>
      </c>
    </row>
    <row r="521">
      <c r="A521" s="143">
        <f>IFERROR(__xludf.DUMMYFUNCTION("""COMPUTED_VALUE"""),44391.0)</f>
        <v>44391</v>
      </c>
      <c r="B521">
        <f>IFERROR(__xludf.DUMMYFUNCTION("""COMPUTED_VALUE"""),1612806.0)</f>
        <v>1612806</v>
      </c>
      <c r="C521" t="str">
        <f>IFERROR(__xludf.DUMMYFUNCTION("""COMPUTED_VALUE"""),"en")</f>
        <v>en</v>
      </c>
      <c r="D521" t="str">
        <f>IFERROR(__xludf.DUMMYFUNCTION("""COMPUTED_VALUE"""),"Change Management")</f>
        <v>Change Management</v>
      </c>
      <c r="E521" t="str">
        <f>IFERROR(__xludf.DUMMYFUNCTION("""COMPUTED_VALUE"""),"Change Management")</f>
        <v>Change Management</v>
      </c>
      <c r="F521">
        <f>IFERROR(__xludf.DUMMYFUNCTION("""COMPUTED_VALUE"""),4.5938368E7)</f>
        <v>45938368</v>
      </c>
      <c r="G521" t="str">
        <f>IFERROR(__xludf.DUMMYFUNCTION("""COMPUTED_VALUE"""),"MicroLearn Ltd")</f>
        <v>MicroLearn Ltd</v>
      </c>
      <c r="H521" t="str">
        <f>IFERROR(__xludf.DUMMYFUNCTION("""COMPUTED_VALUE"""),"Inappropriate Content")</f>
        <v>Inappropriate Content</v>
      </c>
      <c r="I521" t="str">
        <f>IFERROR(__xludf.DUMMYFUNCTION("""COMPUTED_VALUE"""),"Leadership &amp; Management")</f>
        <v>Leadership &amp; Management</v>
      </c>
      <c r="J521" t="str">
        <f>IFERROR(__xludf.DUMMYFUNCTION("""COMPUTED_VALUE"""),"Strategy")</f>
        <v>Strategy</v>
      </c>
      <c r="K521">
        <f>IFERROR(__xludf.DUMMYFUNCTION("""COMPUTED_VALUE"""),2266662.0)</f>
        <v>2266662</v>
      </c>
      <c r="L521" s="140" t="str">
        <f>IFERROR(__xludf.DUMMYFUNCTION("""COMPUTED_VALUE"""),"CHANGE MANAGEMENT FOR ORGANIZATIONS: Drive Strategic Results")</f>
        <v>CHANGE MANAGEMENT FOR ORGANIZATIONS: Drive Strategic Results</v>
      </c>
      <c r="M521" s="155">
        <f>IFERROR(__xludf.DUMMYFUNCTION("""COMPUTED_VALUE"""),1337472.0)</f>
        <v>1337472</v>
      </c>
      <c r="N521" s="140" t="str">
        <f>IFERROR(__xludf.DUMMYFUNCTION("""COMPUTED_VALUE"""),"Change Management: Real World Strategies &amp; Tools")</f>
        <v>Change Management: Real World Strategies &amp; Tools</v>
      </c>
    </row>
    <row r="522">
      <c r="A522" s="143">
        <f>IFERROR(__xludf.DUMMYFUNCTION("""COMPUTED_VALUE"""),44392.0)</f>
        <v>44392</v>
      </c>
      <c r="B522">
        <f>IFERROR(__xludf.DUMMYFUNCTION("""COMPUTED_VALUE"""),3742998.0)</f>
        <v>3742998</v>
      </c>
      <c r="C522" t="str">
        <f>IFERROR(__xludf.DUMMYFUNCTION("""COMPUTED_VALUE"""),"en")</f>
        <v>en</v>
      </c>
      <c r="D522" t="str">
        <f>IFERROR(__xludf.DUMMYFUNCTION("""COMPUTED_VALUE"""),"CATIA V5 BASIC TO EXPERT IN INTERIOR &amp; EXTERIOR")</f>
        <v>CATIA V5 BASIC TO EXPERT IN INTERIOR &amp; EXTERIOR</v>
      </c>
      <c r="E522" t="str">
        <f>IFERROR(__xludf.DUMMYFUNCTION("""COMPUTED_VALUE"""),"CATIA V5 BASIC TO EXPERT IN INTERIOR &amp; EXTERIOR")</f>
        <v>CATIA V5 BASIC TO EXPERT IN INTERIOR &amp; EXTERIOR</v>
      </c>
      <c r="F522">
        <f>IFERROR(__xludf.DUMMYFUNCTION("""COMPUTED_VALUE"""),1.46174404E8)</f>
        <v>146174404</v>
      </c>
      <c r="G522" t="str">
        <f>IFERROR(__xludf.DUMMYFUNCTION("""COMPUTED_VALUE"""),"Manjeet singh Bhatia")</f>
        <v>Manjeet singh Bhatia</v>
      </c>
      <c r="H522" t="str">
        <f>IFERROR(__xludf.DUMMYFUNCTION("""COMPUTED_VALUE"""),"T&amp;S")</f>
        <v>T&amp;S</v>
      </c>
      <c r="I522" t="str">
        <f>IFERROR(__xludf.DUMMYFUNCTION("""COMPUTED_VALUE"""),"Design")</f>
        <v>Design</v>
      </c>
      <c r="J522" t="str">
        <f>IFERROR(__xludf.DUMMYFUNCTION("""COMPUTED_VALUE"""),"Design Tools")</f>
        <v>Design Tools</v>
      </c>
    </row>
    <row r="523">
      <c r="A523" s="143">
        <f>IFERROR(__xludf.DUMMYFUNCTION("""COMPUTED_VALUE"""),44405.0)</f>
        <v>44405</v>
      </c>
      <c r="B523">
        <f>IFERROR(__xludf.DUMMYFUNCTION("""COMPUTED_VALUE"""),3461878.0)</f>
        <v>3461878</v>
      </c>
      <c r="C523" t="str">
        <f>IFERROR(__xludf.DUMMYFUNCTION("""COMPUTED_VALUE"""),"en")</f>
        <v>en</v>
      </c>
      <c r="D523" t="str">
        <f>IFERROR(__xludf.DUMMYFUNCTION("""COMPUTED_VALUE"""),"SAP Activate Project Manager Material &amp; Test | C_ACTIVATE13")</f>
        <v>SAP Activate Project Manager Material &amp; Test | C_ACTIVATE13</v>
      </c>
      <c r="E523" t="str">
        <f>IFERROR(__xludf.DUMMYFUNCTION("""COMPUTED_VALUE"""),"SAP Activate Project Manager Material &amp; Test | C_ACTIVATE13")</f>
        <v>SAP Activate Project Manager Material &amp; Test | C_ACTIVATE13</v>
      </c>
      <c r="F523">
        <f>IFERROR(__xludf.DUMMYFUNCTION("""COMPUTED_VALUE"""),1.07938844E8)</f>
        <v>107938844</v>
      </c>
      <c r="G523" t="str">
        <f>IFERROR(__xludf.DUMMYFUNCTION("""COMPUTED_VALUE"""),"SAP Guruji")</f>
        <v>SAP Guruji</v>
      </c>
      <c r="H523" t="str">
        <f>IFERROR(__xludf.DUMMYFUNCTION("""COMPUTED_VALUE"""),"T&amp;S")</f>
        <v>T&amp;S</v>
      </c>
      <c r="I523" t="str">
        <f>IFERROR(__xludf.DUMMYFUNCTION("""COMPUTED_VALUE"""),"IT Operations")</f>
        <v>IT Operations</v>
      </c>
      <c r="J523" t="str">
        <f>IFERROR(__xludf.DUMMYFUNCTION("""COMPUTED_VALUE"""),"IT Certifications")</f>
        <v>IT Certifications</v>
      </c>
    </row>
    <row r="524">
      <c r="A524" s="143">
        <f>IFERROR(__xludf.DUMMYFUNCTION("""COMPUTED_VALUE"""),44405.0)</f>
        <v>44405</v>
      </c>
      <c r="B524">
        <f>IFERROR(__xludf.DUMMYFUNCTION("""COMPUTED_VALUE"""),3647856.0)</f>
        <v>3647856</v>
      </c>
      <c r="C524" t="str">
        <f>IFERROR(__xludf.DUMMYFUNCTION("""COMPUTED_VALUE"""),"en")</f>
        <v>en</v>
      </c>
      <c r="D524" t="str">
        <f>IFERROR(__xludf.DUMMYFUNCTION("""COMPUTED_VALUE"""),"SAP Analytics Cloud C_SAC_2021 Certification Exam Guide")</f>
        <v>SAP Analytics Cloud C_SAC_2021 Certification Exam Guide</v>
      </c>
      <c r="E524" t="str">
        <f>IFERROR(__xludf.DUMMYFUNCTION("""COMPUTED_VALUE"""),"SAP Analytics Cloud C_SAC_2021 Certification Exam Guide")</f>
        <v>SAP Analytics Cloud C_SAC_2021 Certification Exam Guide</v>
      </c>
      <c r="F524">
        <f>IFERROR(__xludf.DUMMYFUNCTION("""COMPUTED_VALUE"""),1.34557224E8)</f>
        <v>134557224</v>
      </c>
      <c r="G524" t="str">
        <f>IFERROR(__xludf.DUMMYFUNCTION("""COMPUTED_VALUE"""),"Soumyajit DasMazumdar")</f>
        <v>Soumyajit DasMazumdar</v>
      </c>
      <c r="H524" t="str">
        <f>IFERROR(__xludf.DUMMYFUNCTION("""COMPUTED_VALUE"""),"T&amp;S")</f>
        <v>T&amp;S</v>
      </c>
      <c r="I524" t="str">
        <f>IFERROR(__xludf.DUMMYFUNCTION("""COMPUTED_VALUE"""),"IT Operations")</f>
        <v>IT Operations</v>
      </c>
      <c r="J524" t="str">
        <f>IFERROR(__xludf.DUMMYFUNCTION("""COMPUTED_VALUE"""),"IT Certifications")</f>
        <v>IT Certifications</v>
      </c>
    </row>
    <row r="525">
      <c r="A525" s="143">
        <f>IFERROR(__xludf.DUMMYFUNCTION("""COMPUTED_VALUE"""),44407.0)</f>
        <v>44407</v>
      </c>
      <c r="B525">
        <f>IFERROR(__xludf.DUMMYFUNCTION("""COMPUTED_VALUE"""),1244360.0)</f>
        <v>1244360</v>
      </c>
      <c r="C525" t="str">
        <f>IFERROR(__xludf.DUMMYFUNCTION("""COMPUTED_VALUE"""),"en")</f>
        <v>en</v>
      </c>
      <c r="D525" t="str">
        <f>IFERROR(__xludf.DUMMYFUNCTION("""COMPUTED_VALUE"""),"How to Prepare Your Taxes")</f>
        <v>How to Prepare Your Taxes</v>
      </c>
      <c r="E525" t="str">
        <f>IFERROR(__xludf.DUMMYFUNCTION("""COMPUTED_VALUE"""),"How to Prepare Your Taxes")</f>
        <v>How to Prepare Your Taxes</v>
      </c>
      <c r="F525">
        <f>IFERROR(__xludf.DUMMYFUNCTION("""COMPUTED_VALUE"""),3.2858064E7)</f>
        <v>32858064</v>
      </c>
      <c r="G525" t="str">
        <f>IFERROR(__xludf.DUMMYFUNCTION("""COMPUTED_VALUE"""),"John Crowder, EA")</f>
        <v>John Crowder, EA</v>
      </c>
      <c r="H525" t="str">
        <f>IFERROR(__xludf.DUMMYFUNCTION("""COMPUTED_VALUE"""),"Instructor Request- Opted Out")</f>
        <v>Instructor Request- Opted Out</v>
      </c>
      <c r="I525" t="str">
        <f>IFERROR(__xludf.DUMMYFUNCTION("""COMPUTED_VALUE"""),"Finance &amp; Accounting")</f>
        <v>Finance &amp; Accounting</v>
      </c>
      <c r="J525" t="str">
        <f>IFERROR(__xludf.DUMMYFUNCTION("""COMPUTED_VALUE"""),"Accounting")</f>
        <v>Accounting</v>
      </c>
      <c r="K525">
        <f>IFERROR(__xludf.DUMMYFUNCTION("""COMPUTED_VALUE"""),1531082.0)</f>
        <v>1531082</v>
      </c>
      <c r="L525" s="140" t="str">
        <f>IFERROR(__xludf.DUMMYFUNCTION("""COMPUTED_VALUE"""),"How to Prepare Your U.S. Federal Tax Returns Online")</f>
        <v>How to Prepare Your U.S. Federal Tax Returns Online</v>
      </c>
      <c r="N525" s="140" t="str">
        <f>IFERROR(__xludf.DUMMYFUNCTION("""COMPUTED_VALUE"""),"")</f>
        <v/>
      </c>
    </row>
    <row r="526">
      <c r="A526" s="143">
        <f>IFERROR(__xludf.DUMMYFUNCTION("""COMPUTED_VALUE"""),44407.0)</f>
        <v>44407</v>
      </c>
      <c r="B526">
        <f>IFERROR(__xludf.DUMMYFUNCTION("""COMPUTED_VALUE"""),2825199.0)</f>
        <v>2825199</v>
      </c>
      <c r="C526" t="str">
        <f>IFERROR(__xludf.DUMMYFUNCTION("""COMPUTED_VALUE"""),"fr")</f>
        <v>fr</v>
      </c>
      <c r="D526" t="str">
        <f>IFERROR(__xludf.DUMMYFUNCTION("""COMPUTED_VALUE"""),"Le guide complet pour débuter sur Arduino de A à Z")</f>
        <v>Le guide complet pour débuter sur Arduino de A à Z</v>
      </c>
      <c r="E526" t="str">
        <f>IFERROR(__xludf.DUMMYFUNCTION("""COMPUTED_VALUE"""),"The complete guide to start on Arduino from A to Z")</f>
        <v>The complete guide to start on Arduino from A to Z</v>
      </c>
      <c r="F526">
        <f>IFERROR(__xludf.DUMMYFUNCTION("""COMPUTED_VALUE"""),6.7734072E7)</f>
        <v>67734072</v>
      </c>
      <c r="G526" t="str">
        <f>IFERROR(__xludf.DUMMYFUNCTION("""COMPUTED_VALUE"""),"Alexandre et Maxime DUTRES")</f>
        <v>Alexandre et Maxime DUTRES</v>
      </c>
      <c r="H526" t="str">
        <f>IFERROR(__xludf.DUMMYFUNCTION("""COMPUTED_VALUE"""),"Instructor Request- Leaving Udemy")</f>
        <v>Instructor Request- Leaving Udemy</v>
      </c>
      <c r="I526" t="str">
        <f>IFERROR(__xludf.DUMMYFUNCTION("""COMPUTED_VALUE"""),"Development")</f>
        <v>Development</v>
      </c>
      <c r="J526" t="str">
        <f>IFERROR(__xludf.DUMMYFUNCTION("""COMPUTED_VALUE"""),"Programming Languages")</f>
        <v>Programming Languages</v>
      </c>
      <c r="K526">
        <f>IFERROR(__xludf.DUMMYFUNCTION("""COMPUTED_VALUE"""),1364900.0)</f>
        <v>1364900</v>
      </c>
      <c r="L526" s="140" t="str">
        <f>IFERROR(__xludf.DUMMYFUNCTION("""COMPUTED_VALUE"""),"Formation Complète sur Arduino : les premiers pas vers l'IoT")</f>
        <v>Formation Complète sur Arduino : les premiers pas vers l'IoT</v>
      </c>
      <c r="N526" s="140" t="str">
        <f>IFERROR(__xludf.DUMMYFUNCTION("""COMPUTED_VALUE"""),"")</f>
        <v/>
      </c>
    </row>
    <row r="527">
      <c r="A527" s="143">
        <f>IFERROR(__xludf.DUMMYFUNCTION("""COMPUTED_VALUE"""),44407.0)</f>
        <v>44407</v>
      </c>
      <c r="B527">
        <f>IFERROR(__xludf.DUMMYFUNCTION("""COMPUTED_VALUE"""),115204.0)</f>
        <v>115204</v>
      </c>
      <c r="C527" t="str">
        <f>IFERROR(__xludf.DUMMYFUNCTION("""COMPUTED_VALUE"""),"es")</f>
        <v>es</v>
      </c>
      <c r="D527" t="str">
        <f>IFERROR(__xludf.DUMMYFUNCTION("""COMPUTED_VALUE"""),"Scrum: un marco para el desarrollo ágil de proyectos")</f>
        <v>Scrum: un marco para el desarrollo ágil de proyectos</v>
      </c>
      <c r="E527" t="str">
        <f>IFERROR(__xludf.DUMMYFUNCTION("""COMPUTED_VALUE"""),"Scrum: A framework for agile project development")</f>
        <v>Scrum: A framework for agile project development</v>
      </c>
      <c r="F527">
        <f>IFERROR(__xludf.DUMMYFUNCTION("""COMPUTED_VALUE"""),2347154.0)</f>
        <v>2347154</v>
      </c>
      <c r="G527" t="str">
        <f>IFERROR(__xludf.DUMMYFUNCTION("""COMPUTED_VALUE"""),"KNOWMENT Formación, consultoría y coaching")</f>
        <v>KNOWMENT Formación, consultoría y coaching</v>
      </c>
      <c r="H527" t="str">
        <f>IFERROR(__xludf.DUMMYFUNCTION("""COMPUTED_VALUE"""),"Low Rating")</f>
        <v>Low Rating</v>
      </c>
      <c r="I527" t="str">
        <f>IFERROR(__xludf.DUMMYFUNCTION("""COMPUTED_VALUE"""),"Development")</f>
        <v>Development</v>
      </c>
      <c r="J527" t="str">
        <f>IFERROR(__xludf.DUMMYFUNCTION("""COMPUTED_VALUE"""),"Software Engineering")</f>
        <v>Software Engineering</v>
      </c>
      <c r="L527" s="140" t="str">
        <f>IFERROR(__xludf.DUMMYFUNCTION("""COMPUTED_VALUE"""),"")</f>
        <v/>
      </c>
      <c r="N527" s="140" t="str">
        <f>IFERROR(__xludf.DUMMYFUNCTION("""COMPUTED_VALUE"""),"")</f>
        <v/>
      </c>
      <c r="O527" s="140" t="str">
        <f>IFERROR(__xludf.DUMMYFUNCTION("""COMPUTED_VALUE"""),"No Alternatives in Collection - 2/20/2021")</f>
        <v>No Alternatives in Collection - 2/20/2021</v>
      </c>
    </row>
    <row r="528">
      <c r="A528" s="143">
        <f>IFERROR(__xludf.DUMMYFUNCTION("""COMPUTED_VALUE"""),44407.0)</f>
        <v>44407</v>
      </c>
      <c r="B528">
        <f>IFERROR(__xludf.DUMMYFUNCTION("""COMPUTED_VALUE"""),287862.0)</f>
        <v>287862</v>
      </c>
      <c r="C528" t="str">
        <f>IFERROR(__xludf.DUMMYFUNCTION("""COMPUTED_VALUE"""),"en")</f>
        <v>en</v>
      </c>
      <c r="D528" t="str">
        <f>IFERROR(__xludf.DUMMYFUNCTION("""COMPUTED_VALUE"""),"[2021] Learn How to Build a Personal Brand on LinkedIn®")</f>
        <v>[2021] Learn How to Build a Personal Brand on LinkedIn®</v>
      </c>
      <c r="E528" t="str">
        <f>IFERROR(__xludf.DUMMYFUNCTION("""COMPUTED_VALUE"""),"[2021] Learn How to Build a Personal Brand on LinkedIn®")</f>
        <v>[2021] Learn How to Build a Personal Brand on LinkedIn®</v>
      </c>
      <c r="F528">
        <f>IFERROR(__xludf.DUMMYFUNCTION("""COMPUTED_VALUE"""),6707032.0)</f>
        <v>6707032</v>
      </c>
      <c r="G528" t="str">
        <f>IFERROR(__xludf.DUMMYFUNCTION("""COMPUTED_VALUE"""),"James Patton Jones")</f>
        <v>James Patton Jones</v>
      </c>
      <c r="H528" t="str">
        <f>IFERROR(__xludf.DUMMYFUNCTION("""COMPUTED_VALUE"""),"Low Rating")</f>
        <v>Low Rating</v>
      </c>
      <c r="I528" t="str">
        <f>IFERROR(__xludf.DUMMYFUNCTION("""COMPUTED_VALUE"""),"Marketing")</f>
        <v>Marketing</v>
      </c>
      <c r="J528" t="str">
        <f>IFERROR(__xludf.DUMMYFUNCTION("""COMPUTED_VALUE"""),"Marketing Strategy")</f>
        <v>Marketing Strategy</v>
      </c>
      <c r="K528">
        <f>IFERROR(__xludf.DUMMYFUNCTION("""COMPUTED_VALUE"""),1149896.0)</f>
        <v>1149896</v>
      </c>
      <c r="L528" s="140" t="str">
        <f>IFERROR(__xludf.DUMMYFUNCTION("""COMPUTED_VALUE"""),"Newly Updated for 2020/21 - Comprehensive Guide to LinkedIn")</f>
        <v>Newly Updated for 2020/21 - Comprehensive Guide to LinkedIn</v>
      </c>
      <c r="N528" s="140" t="str">
        <f>IFERROR(__xludf.DUMMYFUNCTION("""COMPUTED_VALUE"""),"")</f>
        <v/>
      </c>
    </row>
    <row r="529">
      <c r="A529" s="143">
        <f>IFERROR(__xludf.DUMMYFUNCTION("""COMPUTED_VALUE"""),44407.0)</f>
        <v>44407</v>
      </c>
      <c r="B529">
        <f>IFERROR(__xludf.DUMMYFUNCTION("""COMPUTED_VALUE"""),379644.0)</f>
        <v>379644</v>
      </c>
      <c r="C529" t="str">
        <f>IFERROR(__xludf.DUMMYFUNCTION("""COMPUTED_VALUE"""),"en")</f>
        <v>en</v>
      </c>
      <c r="D529" t="str">
        <f>IFERROR(__xludf.DUMMYFUNCTION("""COMPUTED_VALUE"""),"Master Mathematical Cryptography 2020: Crack Any Code")</f>
        <v>Master Mathematical Cryptography 2020: Crack Any Code</v>
      </c>
      <c r="E529" t="str">
        <f>IFERROR(__xludf.DUMMYFUNCTION("""COMPUTED_VALUE"""),"Master Mathematical Cryptography 2020: Crack Any Code")</f>
        <v>Master Mathematical Cryptography 2020: Crack Any Code</v>
      </c>
      <c r="F529">
        <f>IFERROR(__xludf.DUMMYFUNCTION("""COMPUTED_VALUE"""),6631300.0)</f>
        <v>6631300</v>
      </c>
      <c r="G529" t="str">
        <f>IFERROR(__xludf.DUMMYFUNCTION("""COMPUTED_VALUE"""),"Kody Amour")</f>
        <v>Kody Amour</v>
      </c>
      <c r="H529" t="str">
        <f>IFERROR(__xludf.DUMMYFUNCTION("""COMPUTED_VALUE"""),"Low Rating")</f>
        <v>Low Rating</v>
      </c>
      <c r="I529" t="str">
        <f>IFERROR(__xludf.DUMMYFUNCTION("""COMPUTED_VALUE"""),"IT Operations")</f>
        <v>IT Operations</v>
      </c>
      <c r="J529" t="str">
        <f>IFERROR(__xludf.DUMMYFUNCTION("""COMPUTED_VALUE"""),"Network &amp; Security")</f>
        <v>Network &amp; Security</v>
      </c>
      <c r="L529" s="140" t="str">
        <f>IFERROR(__xludf.DUMMYFUNCTION("""COMPUTED_VALUE"""),"")</f>
        <v/>
      </c>
      <c r="N529" s="140" t="str">
        <f>IFERROR(__xludf.DUMMYFUNCTION("""COMPUTED_VALUE"""),"")</f>
        <v/>
      </c>
      <c r="O529" s="140" t="str">
        <f>IFERROR(__xludf.DUMMYFUNCTION("""COMPUTED_VALUE"""),"No Alternatives in Collection - 2/20/2021")</f>
        <v>No Alternatives in Collection - 2/20/2021</v>
      </c>
    </row>
    <row r="530">
      <c r="A530" s="143">
        <f>IFERROR(__xludf.DUMMYFUNCTION("""COMPUTED_VALUE"""),44407.0)</f>
        <v>44407</v>
      </c>
      <c r="B530">
        <f>IFERROR(__xludf.DUMMYFUNCTION("""COMPUTED_VALUE"""),447734.0)</f>
        <v>447734</v>
      </c>
      <c r="C530" t="str">
        <f>IFERROR(__xludf.DUMMYFUNCTION("""COMPUTED_VALUE"""),"en")</f>
        <v>en</v>
      </c>
      <c r="D530" t="str">
        <f>IFERROR(__xludf.DUMMYFUNCTION("""COMPUTED_VALUE"""),"SVG &amp; CSS Animation - Using HTML &amp; CSS")</f>
        <v>SVG &amp; CSS Animation - Using HTML &amp; CSS</v>
      </c>
      <c r="E530" t="str">
        <f>IFERROR(__xludf.DUMMYFUNCTION("""COMPUTED_VALUE"""),"SVG &amp; CSS Animation - Using HTML &amp; CSS")</f>
        <v>SVG &amp; CSS Animation - Using HTML &amp; CSS</v>
      </c>
      <c r="F530">
        <f>IFERROR(__xludf.DUMMYFUNCTION("""COMPUTED_VALUE"""),3891344.0)</f>
        <v>3891344</v>
      </c>
      <c r="G530" t="str">
        <f>IFERROR(__xludf.DUMMYFUNCTION("""COMPUTED_VALUE"""),"Code Collective")</f>
        <v>Code Collective</v>
      </c>
      <c r="H530" t="str">
        <f>IFERROR(__xludf.DUMMYFUNCTION("""COMPUTED_VALUE"""),"Low Rating")</f>
        <v>Low Rating</v>
      </c>
      <c r="I530" t="str">
        <f>IFERROR(__xludf.DUMMYFUNCTION("""COMPUTED_VALUE"""),"Development")</f>
        <v>Development</v>
      </c>
      <c r="J530" t="str">
        <f>IFERROR(__xludf.DUMMYFUNCTION("""COMPUTED_VALUE"""),"Web Development")</f>
        <v>Web Development</v>
      </c>
      <c r="K530">
        <f>IFERROR(__xludf.DUMMYFUNCTION("""COMPUTED_VALUE"""),939962.0)</f>
        <v>939962</v>
      </c>
      <c r="L530" s="140" t="str">
        <f>IFERROR(__xludf.DUMMYFUNCTION("""COMPUTED_VALUE"""),"Learn SVG Animation - With HTML, CSS &amp; Javascript")</f>
        <v>Learn SVG Animation - With HTML, CSS &amp; Javascript</v>
      </c>
      <c r="N530" s="140" t="str">
        <f>IFERROR(__xludf.DUMMYFUNCTION("""COMPUTED_VALUE"""),"")</f>
        <v/>
      </c>
    </row>
    <row r="531">
      <c r="A531" s="143">
        <f>IFERROR(__xludf.DUMMYFUNCTION("""COMPUTED_VALUE"""),44407.0)</f>
        <v>44407</v>
      </c>
      <c r="B531">
        <f>IFERROR(__xludf.DUMMYFUNCTION("""COMPUTED_VALUE"""),775472.0)</f>
        <v>775472</v>
      </c>
      <c r="C531" t="str">
        <f>IFERROR(__xludf.DUMMYFUNCTION("""COMPUTED_VALUE"""),"en")</f>
        <v>en</v>
      </c>
      <c r="D531" t="str">
        <f>IFERROR(__xludf.DUMMYFUNCTION("""COMPUTED_VALUE"""),"Cloud Computing Sales")</f>
        <v>Cloud Computing Sales</v>
      </c>
      <c r="E531" t="str">
        <f>IFERROR(__xludf.DUMMYFUNCTION("""COMPUTED_VALUE"""),"Cloud Computing Sales")</f>
        <v>Cloud Computing Sales</v>
      </c>
      <c r="F531">
        <f>IFERROR(__xludf.DUMMYFUNCTION("""COMPUTED_VALUE"""),1.8482776E7)</f>
        <v>18482776</v>
      </c>
      <c r="G531" t="str">
        <f>IFERROR(__xludf.DUMMYFUNCTION("""COMPUTED_VALUE"""),"Stephen Turner")</f>
        <v>Stephen Turner</v>
      </c>
      <c r="H531" t="str">
        <f>IFERROR(__xludf.DUMMYFUNCTION("""COMPUTED_VALUE"""),"Low Rating")</f>
        <v>Low Rating</v>
      </c>
      <c r="I531" t="str">
        <f>IFERROR(__xludf.DUMMYFUNCTION("""COMPUTED_VALUE"""),"Sales")</f>
        <v>Sales</v>
      </c>
      <c r="J531" t="str">
        <f>IFERROR(__xludf.DUMMYFUNCTION("""COMPUTED_VALUE"""),"Sales Skills &amp; Tools")</f>
        <v>Sales Skills &amp; Tools</v>
      </c>
      <c r="L531" s="140" t="str">
        <f>IFERROR(__xludf.DUMMYFUNCTION("""COMPUTED_VALUE"""),"")</f>
        <v/>
      </c>
      <c r="N531" s="140" t="str">
        <f>IFERROR(__xludf.DUMMYFUNCTION("""COMPUTED_VALUE"""),"")</f>
        <v/>
      </c>
      <c r="O531" s="140" t="str">
        <f>IFERROR(__xludf.DUMMYFUNCTION("""COMPUTED_VALUE"""),"No Alternatives in Collection- 2/20/2021")</f>
        <v>No Alternatives in Collection- 2/20/2021</v>
      </c>
    </row>
    <row r="532">
      <c r="A532" s="143">
        <f>IFERROR(__xludf.DUMMYFUNCTION("""COMPUTED_VALUE"""),44407.0)</f>
        <v>44407</v>
      </c>
      <c r="B532">
        <f>IFERROR(__xludf.DUMMYFUNCTION("""COMPUTED_VALUE"""),804700.0)</f>
        <v>804700</v>
      </c>
      <c r="C532" t="str">
        <f>IFERROR(__xludf.DUMMYFUNCTION("""COMPUTED_VALUE"""),"en")</f>
        <v>en</v>
      </c>
      <c r="D532" t="str">
        <f>IFERROR(__xludf.DUMMYFUNCTION("""COMPUTED_VALUE"""),"SAP Finance and Controlling")</f>
        <v>SAP Finance and Controlling</v>
      </c>
      <c r="E532" t="str">
        <f>IFERROR(__xludf.DUMMYFUNCTION("""COMPUTED_VALUE"""),"SAP Finance and Controlling")</f>
        <v>SAP Finance and Controlling</v>
      </c>
      <c r="F532">
        <f>IFERROR(__xludf.DUMMYFUNCTION("""COMPUTED_VALUE"""),2173104.0)</f>
        <v>2173104</v>
      </c>
      <c r="G532" t="str">
        <f>IFERROR(__xludf.DUMMYFUNCTION("""COMPUTED_VALUE"""),"AUMTECH Solutions")</f>
        <v>AUMTECH Solutions</v>
      </c>
      <c r="H532" t="str">
        <f>IFERROR(__xludf.DUMMYFUNCTION("""COMPUTED_VALUE"""),"Low Rating")</f>
        <v>Low Rating</v>
      </c>
      <c r="I532" t="str">
        <f>IFERROR(__xludf.DUMMYFUNCTION("""COMPUTED_VALUE"""),"Finance &amp; Accounting")</f>
        <v>Finance &amp; Accounting</v>
      </c>
      <c r="J532" t="str">
        <f>IFERROR(__xludf.DUMMYFUNCTION("""COMPUTED_VALUE"""),"Accounting Software")</f>
        <v>Accounting Software</v>
      </c>
      <c r="K532">
        <f>IFERROR(__xludf.DUMMYFUNCTION("""COMPUTED_VALUE"""),826352.0)</f>
        <v>826352</v>
      </c>
      <c r="L532" s="140" t="str">
        <f>IFERROR(__xludf.DUMMYFUNCTION("""COMPUTED_VALUE"""),"SAP Simple Finance Course")</f>
        <v>SAP Simple Finance Course</v>
      </c>
      <c r="N532" s="140" t="str">
        <f>IFERROR(__xludf.DUMMYFUNCTION("""COMPUTED_VALUE"""),"")</f>
        <v/>
      </c>
    </row>
    <row r="533">
      <c r="A533" s="143">
        <f>IFERROR(__xludf.DUMMYFUNCTION("""COMPUTED_VALUE"""),44407.0)</f>
        <v>44407</v>
      </c>
      <c r="B533">
        <f>IFERROR(__xludf.DUMMYFUNCTION("""COMPUTED_VALUE"""),817926.0)</f>
        <v>817926</v>
      </c>
      <c r="C533" t="str">
        <f>IFERROR(__xludf.DUMMYFUNCTION("""COMPUTED_VALUE"""),"en")</f>
        <v>en</v>
      </c>
      <c r="D533" t="str">
        <f>IFERROR(__xludf.DUMMYFUNCTION("""COMPUTED_VALUE"""),"Unity Android Game Development : Build 7 2D &amp; 3D Games")</f>
        <v>Unity Android Game Development : Build 7 2D &amp; 3D Games</v>
      </c>
      <c r="E533" t="str">
        <f>IFERROR(__xludf.DUMMYFUNCTION("""COMPUTED_VALUE"""),"Unity Android Game Development : Build 7 2D &amp; 3D Games")</f>
        <v>Unity Android Game Development : Build 7 2D &amp; 3D Games</v>
      </c>
      <c r="F533">
        <f>IFERROR(__xludf.DUMMYFUNCTION("""COMPUTED_VALUE"""),721401.0)</f>
        <v>721401</v>
      </c>
      <c r="G533" t="str">
        <f>IFERROR(__xludf.DUMMYFUNCTION("""COMPUTED_VALUE"""),"Raja Biswas")</f>
        <v>Raja Biswas</v>
      </c>
      <c r="H533" t="str">
        <f>IFERROR(__xludf.DUMMYFUNCTION("""COMPUTED_VALUE"""),"Low Rating")</f>
        <v>Low Rating</v>
      </c>
      <c r="I533" t="str">
        <f>IFERROR(__xludf.DUMMYFUNCTION("""COMPUTED_VALUE"""),"Development")</f>
        <v>Development</v>
      </c>
      <c r="J533" t="str">
        <f>IFERROR(__xludf.DUMMYFUNCTION("""COMPUTED_VALUE"""),"Mobile Development")</f>
        <v>Mobile Development</v>
      </c>
      <c r="K533">
        <f>IFERROR(__xludf.DUMMYFUNCTION("""COMPUTED_VALUE"""),980770.0)</f>
        <v>980770</v>
      </c>
      <c r="L533" s="140" t="str">
        <f>IFERROR(__xludf.DUMMYFUNCTION("""COMPUTED_VALUE"""),"Unity Game Development Build 2D &amp; 3D Games")</f>
        <v>Unity Game Development Build 2D &amp; 3D Games</v>
      </c>
      <c r="M533" s="155">
        <f>IFERROR(__xludf.DUMMYFUNCTION("""COMPUTED_VALUE"""),1328572.0)</f>
        <v>1328572</v>
      </c>
      <c r="N533" s="140" t="str">
        <f>IFERROR(__xludf.DUMMYFUNCTION("""COMPUTED_VALUE"""),"The Ultimate Guide to Game Development with Unity 2019")</f>
        <v>The Ultimate Guide to Game Development with Unity 2019</v>
      </c>
    </row>
    <row r="534">
      <c r="A534" s="143">
        <f>IFERROR(__xludf.DUMMYFUNCTION("""COMPUTED_VALUE"""),44407.0)</f>
        <v>44407</v>
      </c>
      <c r="B534">
        <f>IFERROR(__xludf.DUMMYFUNCTION("""COMPUTED_VALUE"""),986552.0)</f>
        <v>986552</v>
      </c>
      <c r="C534" t="str">
        <f>IFERROR(__xludf.DUMMYFUNCTION("""COMPUTED_VALUE"""),"en")</f>
        <v>en</v>
      </c>
      <c r="D534" t="str">
        <f>IFERROR(__xludf.DUMMYFUNCTION("""COMPUTED_VALUE"""),"CISSP - Certified Information Systems Security Professional")</f>
        <v>CISSP - Certified Information Systems Security Professional</v>
      </c>
      <c r="E534" t="str">
        <f>IFERROR(__xludf.DUMMYFUNCTION("""COMPUTED_VALUE"""),"CISSP - Certified Information Systems Security Professional")</f>
        <v>CISSP - Certified Information Systems Security Professional</v>
      </c>
      <c r="F534">
        <f>IFERROR(__xludf.DUMMYFUNCTION("""COMPUTED_VALUE"""),2.6445626E7)</f>
        <v>26445626</v>
      </c>
      <c r="G534" t="str">
        <f>IFERROR(__xludf.DUMMYFUNCTION("""COMPUTED_VALUE"""),"Dynamic Expanse")</f>
        <v>Dynamic Expanse</v>
      </c>
      <c r="H534" t="str">
        <f>IFERROR(__xludf.DUMMYFUNCTION("""COMPUTED_VALUE"""),"Low Rating")</f>
        <v>Low Rating</v>
      </c>
      <c r="I534" t="str">
        <f>IFERROR(__xludf.DUMMYFUNCTION("""COMPUTED_VALUE"""),"IT Operations")</f>
        <v>IT Operations</v>
      </c>
      <c r="J534" t="str">
        <f>IFERROR(__xludf.DUMMYFUNCTION("""COMPUTED_VALUE"""),"IT Certifications")</f>
        <v>IT Certifications</v>
      </c>
      <c r="K534">
        <f>IFERROR(__xludf.DUMMYFUNCTION("""COMPUTED_VALUE"""),1348924.0)</f>
        <v>1348924</v>
      </c>
      <c r="L534" s="140" t="str">
        <f>IFERROR(__xludf.DUMMYFUNCTION("""COMPUTED_VALUE"""),"CISSP Certification: CISSP Domain 1 &amp; 2 Boot Camp UPDATED 21")</f>
        <v>CISSP Certification: CISSP Domain 1 &amp; 2 Boot Camp UPDATED 21</v>
      </c>
      <c r="N534" s="140" t="str">
        <f>IFERROR(__xludf.DUMMYFUNCTION("""COMPUTED_VALUE"""),"")</f>
        <v/>
      </c>
    </row>
    <row r="535">
      <c r="A535" s="143">
        <f>IFERROR(__xludf.DUMMYFUNCTION("""COMPUTED_VALUE"""),44407.0)</f>
        <v>44407</v>
      </c>
      <c r="B535">
        <f>IFERROR(__xludf.DUMMYFUNCTION("""COMPUTED_VALUE"""),1052294.0)</f>
        <v>1052294</v>
      </c>
      <c r="C535" t="str">
        <f>IFERROR(__xludf.DUMMYFUNCTION("""COMPUTED_VALUE"""),"en")</f>
        <v>en</v>
      </c>
      <c r="D535" t="str">
        <f>IFERROR(__xludf.DUMMYFUNCTION("""COMPUTED_VALUE"""),"Master Planning v3.0 (2020): Plan Your Week, Month and Year")</f>
        <v>Master Planning v3.0 (2020): Plan Your Week, Month and Year</v>
      </c>
      <c r="E535" t="str">
        <f>IFERROR(__xludf.DUMMYFUNCTION("""COMPUTED_VALUE"""),"Master Planning v3.0 (2020): Plan Your Week, Month and Year")</f>
        <v>Master Planning v3.0 (2020): Plan Your Week, Month and Year</v>
      </c>
      <c r="F535">
        <f>IFERROR(__xludf.DUMMYFUNCTION("""COMPUTED_VALUE"""),528574.0)</f>
        <v>528574</v>
      </c>
      <c r="G535" t="str">
        <f>IFERROR(__xludf.DUMMYFUNCTION("""COMPUTED_VALUE"""),"Timothy Kenny")</f>
        <v>Timothy Kenny</v>
      </c>
      <c r="H535" t="str">
        <f>IFERROR(__xludf.DUMMYFUNCTION("""COMPUTED_VALUE"""),"Low Rating")</f>
        <v>Low Rating</v>
      </c>
      <c r="I535" t="str">
        <f>IFERROR(__xludf.DUMMYFUNCTION("""COMPUTED_VALUE"""),"Personal Development")</f>
        <v>Personal Development</v>
      </c>
      <c r="J535" t="str">
        <f>IFERROR(__xludf.DUMMYFUNCTION("""COMPUTED_VALUE"""),"Personal Growth")</f>
        <v>Personal Growth</v>
      </c>
      <c r="L535" s="140" t="str">
        <f>IFERROR(__xludf.DUMMYFUNCTION("""COMPUTED_VALUE"""),"")</f>
        <v/>
      </c>
      <c r="N535" s="140" t="str">
        <f>IFERROR(__xludf.DUMMYFUNCTION("""COMPUTED_VALUE"""),"")</f>
        <v/>
      </c>
      <c r="O535" s="140" t="str">
        <f>IFERROR(__xludf.DUMMYFUNCTION("""COMPUTED_VALUE"""),"No Alternatives in Collection- 2/20/2021")</f>
        <v>No Alternatives in Collection- 2/20/2021</v>
      </c>
    </row>
    <row r="536">
      <c r="A536" s="143">
        <f>IFERROR(__xludf.DUMMYFUNCTION("""COMPUTED_VALUE"""),44407.0)</f>
        <v>44407</v>
      </c>
      <c r="B536">
        <f>IFERROR(__xludf.DUMMYFUNCTION("""COMPUTED_VALUE"""),1053272.0)</f>
        <v>1053272</v>
      </c>
      <c r="C536" t="str">
        <f>IFERROR(__xludf.DUMMYFUNCTION("""COMPUTED_VALUE"""),"en")</f>
        <v>en</v>
      </c>
      <c r="D536" t="str">
        <f>IFERROR(__xludf.DUMMYFUNCTION("""COMPUTED_VALUE"""),"Finance Training for Financial Analysts")</f>
        <v>Finance Training for Financial Analysts</v>
      </c>
      <c r="E536" t="str">
        <f>IFERROR(__xludf.DUMMYFUNCTION("""COMPUTED_VALUE"""),"Finance Training for Financial Analysts")</f>
        <v>Finance Training for Financial Analysts</v>
      </c>
      <c r="F536">
        <f>IFERROR(__xludf.DUMMYFUNCTION("""COMPUTED_VALUE"""),1.2237678E7)</f>
        <v>12237678</v>
      </c>
      <c r="G536" t="str">
        <f>IFERROR(__xludf.DUMMYFUNCTION("""COMPUTED_VALUE"""),"Ashish Agarwal")</f>
        <v>Ashish Agarwal</v>
      </c>
      <c r="H536" t="str">
        <f>IFERROR(__xludf.DUMMYFUNCTION("""COMPUTED_VALUE"""),"Low Rating")</f>
        <v>Low Rating</v>
      </c>
      <c r="I536" t="str">
        <f>IFERROR(__xludf.DUMMYFUNCTION("""COMPUTED_VALUE"""),"Finance &amp; Accounting")</f>
        <v>Finance &amp; Accounting</v>
      </c>
      <c r="J536" t="str">
        <f>IFERROR(__xludf.DUMMYFUNCTION("""COMPUTED_VALUE"""),"Financial Modeling &amp; Analysis")</f>
        <v>Financial Modeling &amp; Analysis</v>
      </c>
      <c r="K536">
        <f>IFERROR(__xludf.DUMMYFUNCTION("""COMPUTED_VALUE"""),648826.0)</f>
        <v>648826</v>
      </c>
      <c r="L536" s="140" t="str">
        <f>IFERROR(__xludf.DUMMYFUNCTION("""COMPUTED_VALUE"""),"The Complete Financial Analyst Course 2021")</f>
        <v>The Complete Financial Analyst Course 2021</v>
      </c>
      <c r="N536" s="140" t="str">
        <f>IFERROR(__xludf.DUMMYFUNCTION("""COMPUTED_VALUE"""),"")</f>
        <v/>
      </c>
    </row>
    <row r="537">
      <c r="A537" s="143">
        <f>IFERROR(__xludf.DUMMYFUNCTION("""COMPUTED_VALUE"""),44407.0)</f>
        <v>44407</v>
      </c>
      <c r="B537">
        <f>IFERROR(__xludf.DUMMYFUNCTION("""COMPUTED_VALUE"""),1075954.0)</f>
        <v>1075954</v>
      </c>
      <c r="C537" t="str">
        <f>IFERROR(__xludf.DUMMYFUNCTION("""COMPUTED_VALUE"""),"en")</f>
        <v>en</v>
      </c>
      <c r="D537" t="str">
        <f>IFERROR(__xludf.DUMMYFUNCTION("""COMPUTED_VALUE"""),"Digital Signal Processing (DSP) From Ground Up™ with MATLAB")</f>
        <v>Digital Signal Processing (DSP) From Ground Up™ with MATLAB</v>
      </c>
      <c r="E537" t="str">
        <f>IFERROR(__xludf.DUMMYFUNCTION("""COMPUTED_VALUE"""),"Digital Signal Processing (DSP) From Ground Up™ with MATLAB")</f>
        <v>Digital Signal Processing (DSP) From Ground Up™ with MATLAB</v>
      </c>
      <c r="F537">
        <f>IFERROR(__xludf.DUMMYFUNCTION("""COMPUTED_VALUE"""),2.4388648E7)</f>
        <v>24388648</v>
      </c>
      <c r="G537" t="str">
        <f>IFERROR(__xludf.DUMMYFUNCTION("""COMPUTED_VALUE"""),"Israel Gbati")</f>
        <v>Israel Gbati</v>
      </c>
      <c r="H537" t="str">
        <f>IFERROR(__xludf.DUMMYFUNCTION("""COMPUTED_VALUE"""),"Low Rating")</f>
        <v>Low Rating</v>
      </c>
      <c r="I537" t="str">
        <f>IFERROR(__xludf.DUMMYFUNCTION("""COMPUTED_VALUE"""),"Data Science")</f>
        <v>Data Science</v>
      </c>
      <c r="J537" t="str">
        <f>IFERROR(__xludf.DUMMYFUNCTION("""COMPUTED_VALUE"""),"Data Visualization")</f>
        <v>Data Visualization</v>
      </c>
      <c r="K537">
        <f>IFERROR(__xludf.DUMMYFUNCTION("""COMPUTED_VALUE"""),1923998.0)</f>
        <v>1923998</v>
      </c>
      <c r="L537" s="140" t="str">
        <f>IFERROR(__xludf.DUMMYFUNCTION("""COMPUTED_VALUE"""),"Signal processing problems, solved in MATLAB and in Python")</f>
        <v>Signal processing problems, solved in MATLAB and in Python</v>
      </c>
      <c r="N537" s="140" t="str">
        <f>IFERROR(__xludf.DUMMYFUNCTION("""COMPUTED_VALUE"""),"")</f>
        <v/>
      </c>
    </row>
    <row r="538">
      <c r="A538" s="143">
        <f>IFERROR(__xludf.DUMMYFUNCTION("""COMPUTED_VALUE"""),44407.0)</f>
        <v>44407</v>
      </c>
      <c r="B538">
        <f>IFERROR(__xludf.DUMMYFUNCTION("""COMPUTED_VALUE"""),1138374.0)</f>
        <v>1138374</v>
      </c>
      <c r="C538" t="str">
        <f>IFERROR(__xludf.DUMMYFUNCTION("""COMPUTED_VALUE"""),"en")</f>
        <v>en</v>
      </c>
      <c r="D538" t="str">
        <f>IFERROR(__xludf.DUMMYFUNCTION("""COMPUTED_VALUE"""),"REST API Automation:REST Assured,Serenity BDD Framework")</f>
        <v>REST API Automation:REST Assured,Serenity BDD Framework</v>
      </c>
      <c r="E538" t="str">
        <f>IFERROR(__xludf.DUMMYFUNCTION("""COMPUTED_VALUE"""),"REST API Automation:REST Assured,Serenity BDD Framework")</f>
        <v>REST API Automation:REST Assured,Serenity BDD Framework</v>
      </c>
      <c r="F538">
        <f>IFERROR(__xludf.DUMMYFUNCTION("""COMPUTED_VALUE"""),2.7522982E7)</f>
        <v>27522982</v>
      </c>
      <c r="G538" t="str">
        <f>IFERROR(__xludf.DUMMYFUNCTION("""COMPUTED_VALUE"""),"Tejasvi Hegde")</f>
        <v>Tejasvi Hegde</v>
      </c>
      <c r="H538" t="str">
        <f>IFERROR(__xludf.DUMMYFUNCTION("""COMPUTED_VALUE"""),"Low Rating")</f>
        <v>Low Rating</v>
      </c>
      <c r="I538" t="str">
        <f>IFERROR(__xludf.DUMMYFUNCTION("""COMPUTED_VALUE"""),"Development")</f>
        <v>Development</v>
      </c>
      <c r="J538" t="str">
        <f>IFERROR(__xludf.DUMMYFUNCTION("""COMPUTED_VALUE"""),"Development Tools")</f>
        <v>Development Tools</v>
      </c>
      <c r="L538" s="140" t="str">
        <f>IFERROR(__xludf.DUMMYFUNCTION("""COMPUTED_VALUE"""),"")</f>
        <v/>
      </c>
      <c r="N538" s="140" t="str">
        <f>IFERROR(__xludf.DUMMYFUNCTION("""COMPUTED_VALUE"""),"")</f>
        <v/>
      </c>
      <c r="O538" s="140" t="str">
        <f>IFERROR(__xludf.DUMMYFUNCTION("""COMPUTED_VALUE"""),"No Alternatives in Collection- 2/20/2021")</f>
        <v>No Alternatives in Collection- 2/20/2021</v>
      </c>
    </row>
    <row r="539">
      <c r="A539" s="143">
        <f>IFERROR(__xludf.DUMMYFUNCTION("""COMPUTED_VALUE"""),44407.0)</f>
        <v>44407</v>
      </c>
      <c r="B539">
        <f>IFERROR(__xludf.DUMMYFUNCTION("""COMPUTED_VALUE"""),1177364.0)</f>
        <v>1177364</v>
      </c>
      <c r="C539" t="str">
        <f>IFERROR(__xludf.DUMMYFUNCTION("""COMPUTED_VALUE"""),"en")</f>
        <v>en</v>
      </c>
      <c r="D539" t="str">
        <f>IFERROR(__xludf.DUMMYFUNCTION("""COMPUTED_VALUE"""),"IBM SPSS AMOS Foundation Course: SEM Scratch to Advanced")</f>
        <v>IBM SPSS AMOS Foundation Course: SEM Scratch to Advanced</v>
      </c>
      <c r="E539" t="str">
        <f>IFERROR(__xludf.DUMMYFUNCTION("""COMPUTED_VALUE"""),"IBM SPSS AMOS Foundation Course: SEM Scratch to Advanced")</f>
        <v>IBM SPSS AMOS Foundation Course: SEM Scratch to Advanced</v>
      </c>
      <c r="F539">
        <f>IFERROR(__xludf.DUMMYFUNCTION("""COMPUTED_VALUE"""),5069472.0)</f>
        <v>5069472</v>
      </c>
      <c r="G539" t="str">
        <f>IFERROR(__xludf.DUMMYFUNCTION("""COMPUTED_VALUE"""),"Dr. Sanjay Singh")</f>
        <v>Dr. Sanjay Singh</v>
      </c>
      <c r="H539" t="str">
        <f>IFERROR(__xludf.DUMMYFUNCTION("""COMPUTED_VALUE"""),"Low Rating")</f>
        <v>Low Rating</v>
      </c>
      <c r="I539" t="str">
        <f>IFERROR(__xludf.DUMMYFUNCTION("""COMPUTED_VALUE"""),"Data Science")</f>
        <v>Data Science</v>
      </c>
      <c r="J539" t="str">
        <f>IFERROR(__xludf.DUMMYFUNCTION("""COMPUTED_VALUE"""),"Analytics")</f>
        <v>Analytics</v>
      </c>
      <c r="L539" s="140" t="str">
        <f>IFERROR(__xludf.DUMMYFUNCTION("""COMPUTED_VALUE"""),"")</f>
        <v/>
      </c>
      <c r="N539" s="140" t="str">
        <f>IFERROR(__xludf.DUMMYFUNCTION("""COMPUTED_VALUE"""),"")</f>
        <v/>
      </c>
      <c r="O539" s="140" t="str">
        <f>IFERROR(__xludf.DUMMYFUNCTION("""COMPUTED_VALUE"""),"No Alternatives in Collection- 2/20/2021")</f>
        <v>No Alternatives in Collection- 2/20/2021</v>
      </c>
    </row>
    <row r="540">
      <c r="A540" s="143">
        <f>IFERROR(__xludf.DUMMYFUNCTION("""COMPUTED_VALUE"""),44407.0)</f>
        <v>44407</v>
      </c>
      <c r="B540">
        <f>IFERROR(__xludf.DUMMYFUNCTION("""COMPUTED_VALUE"""),1297046.0)</f>
        <v>1297046</v>
      </c>
      <c r="C540" t="str">
        <f>IFERROR(__xludf.DUMMYFUNCTION("""COMPUTED_VALUE"""),"en")</f>
        <v>en</v>
      </c>
      <c r="D540" t="str">
        <f>IFERROR(__xludf.DUMMYFUNCTION("""COMPUTED_VALUE"""),"Performance Management: Objective setting for NEW MANAGERS")</f>
        <v>Performance Management: Objective setting for NEW MANAGERS</v>
      </c>
      <c r="E540" t="str">
        <f>IFERROR(__xludf.DUMMYFUNCTION("""COMPUTED_VALUE"""),"Performance Management: Objective setting for NEW MANAGERS")</f>
        <v>Performance Management: Objective setting for NEW MANAGERS</v>
      </c>
      <c r="F540">
        <f>IFERROR(__xludf.DUMMYFUNCTION("""COMPUTED_VALUE"""),5297180.0)</f>
        <v>5297180</v>
      </c>
      <c r="G540" t="str">
        <f>IFERROR(__xludf.DUMMYFUNCTION("""COMPUTED_VALUE"""),"Richard Lock")</f>
        <v>Richard Lock</v>
      </c>
      <c r="H540" t="str">
        <f>IFERROR(__xludf.DUMMYFUNCTION("""COMPUTED_VALUE"""),"Low Rating")</f>
        <v>Low Rating</v>
      </c>
      <c r="I540" t="str">
        <f>IFERROR(__xludf.DUMMYFUNCTION("""COMPUTED_VALUE"""),"Leadership &amp; Management")</f>
        <v>Leadership &amp; Management</v>
      </c>
      <c r="J540" t="str">
        <f>IFERROR(__xludf.DUMMYFUNCTION("""COMPUTED_VALUE"""),"Leadership")</f>
        <v>Leadership</v>
      </c>
      <c r="K540">
        <f>IFERROR(__xludf.DUMMYFUNCTION("""COMPUTED_VALUE"""),1349100.0)</f>
        <v>1349100</v>
      </c>
      <c r="L540" s="140" t="str">
        <f>IFERROR(__xludf.DUMMYFUNCTION("""COMPUTED_VALUE"""),"Performance Management For Managers")</f>
        <v>Performance Management For Managers</v>
      </c>
      <c r="M540" s="155">
        <f>IFERROR(__xludf.DUMMYFUNCTION("""COMPUTED_VALUE"""),1211916.0)</f>
        <v>1211916</v>
      </c>
      <c r="N540" s="140" t="str">
        <f>IFERROR(__xludf.DUMMYFUNCTION("""COMPUTED_VALUE"""),"[2021] The Essentials of Feedback &amp; Performance Management")</f>
        <v>[2021] The Essentials of Feedback &amp; Performance Management</v>
      </c>
    </row>
    <row r="541">
      <c r="A541" s="143">
        <f>IFERROR(__xludf.DUMMYFUNCTION("""COMPUTED_VALUE"""),44407.0)</f>
        <v>44407</v>
      </c>
      <c r="B541">
        <f>IFERROR(__xludf.DUMMYFUNCTION("""COMPUTED_VALUE"""),1315926.0)</f>
        <v>1315926</v>
      </c>
      <c r="C541" t="str">
        <f>IFERROR(__xludf.DUMMYFUNCTION("""COMPUTED_VALUE"""),"ja")</f>
        <v>ja</v>
      </c>
      <c r="D541" t="str">
        <f>IFERROR(__xludf.DUMMYFUNCTION("""COMPUTED_VALUE"""),"【TensorFlow・Kerasで学ぶ】時系列データ処理入門（RNN/LSTM, Word2Vec)")</f>
        <v>【TensorFlow・Kerasで学ぶ】時系列データ処理入門（RNN/LSTM, Word2Vec)</v>
      </c>
      <c r="E541" t="str">
        <f>IFERROR(__xludf.DUMMYFUNCTION("""COMPUTED_VALUE"""),"[Learning with Tensorflow · Keras] Introduction to time series data processing (RNN / LSTM, Word2VEC)")</f>
        <v>[Learning with Tensorflow · Keras] Introduction to time series data processing (RNN / LSTM, Word2VEC)</v>
      </c>
      <c r="F541">
        <f>IFERROR(__xludf.DUMMYFUNCTION("""COMPUTED_VALUE"""),654126.0)</f>
        <v>654126</v>
      </c>
      <c r="G541" t="str">
        <f>IFERROR(__xludf.DUMMYFUNCTION("""COMPUTED_VALUE"""),"井上 博樹 (Hiroki Inoue)")</f>
        <v>井上 博樹 (Hiroki Inoue)</v>
      </c>
      <c r="H541" t="str">
        <f>IFERROR(__xludf.DUMMYFUNCTION("""COMPUTED_VALUE"""),"Low Rating")</f>
        <v>Low Rating</v>
      </c>
      <c r="I541" t="str">
        <f>IFERROR(__xludf.DUMMYFUNCTION("""COMPUTED_VALUE"""),"Data Science")</f>
        <v>Data Science</v>
      </c>
      <c r="J541" t="str">
        <f>IFERROR(__xludf.DUMMYFUNCTION("""COMPUTED_VALUE"""),"Machine Learning")</f>
        <v>Machine Learning</v>
      </c>
      <c r="L541" s="140" t="str">
        <f>IFERROR(__xludf.DUMMYFUNCTION("""COMPUTED_VALUE"""),"")</f>
        <v/>
      </c>
      <c r="N541" s="140" t="str">
        <f>IFERROR(__xludf.DUMMYFUNCTION("""COMPUTED_VALUE"""),"")</f>
        <v/>
      </c>
      <c r="O541" s="140" t="str">
        <f>IFERROR(__xludf.DUMMYFUNCTION("""COMPUTED_VALUE"""),"No Alternatives in Collection- 2/20/2021")</f>
        <v>No Alternatives in Collection- 2/20/2021</v>
      </c>
    </row>
    <row r="542">
      <c r="A542" s="143">
        <f>IFERROR(__xludf.DUMMYFUNCTION("""COMPUTED_VALUE"""),44407.0)</f>
        <v>44407</v>
      </c>
      <c r="B542">
        <f>IFERROR(__xludf.DUMMYFUNCTION("""COMPUTED_VALUE"""),1317696.0)</f>
        <v>1317696</v>
      </c>
      <c r="C542" t="str">
        <f>IFERROR(__xludf.DUMMYFUNCTION("""COMPUTED_VALUE"""),"de")</f>
        <v>de</v>
      </c>
      <c r="D542" t="str">
        <f>IFERROR(__xludf.DUMMYFUNCTION("""COMPUTED_VALUE"""),"Jetzt mit Bootstrap 4 starten - mit Praxisprojekt!")</f>
        <v>Jetzt mit Bootstrap 4 starten - mit Praxisprojekt!</v>
      </c>
      <c r="E542" t="str">
        <f>IFERROR(__xludf.DUMMYFUNCTION("""COMPUTED_VALUE"""),"Start now with bootstrap 4 - with practical project!")</f>
        <v>Start now with bootstrap 4 - with practical project!</v>
      </c>
      <c r="F542">
        <f>IFERROR(__xludf.DUMMYFUNCTION("""COMPUTED_VALUE"""),6884622.0)</f>
        <v>6884622</v>
      </c>
      <c r="G542" t="str">
        <f>IFERROR(__xludf.DUMMYFUNCTION("""COMPUTED_VALUE"""),"Bill Langhardt")</f>
        <v>Bill Langhardt</v>
      </c>
      <c r="H542" t="str">
        <f>IFERROR(__xludf.DUMMYFUNCTION("""COMPUTED_VALUE"""),"Low Rating")</f>
        <v>Low Rating</v>
      </c>
      <c r="I542" t="str">
        <f>IFERROR(__xludf.DUMMYFUNCTION("""COMPUTED_VALUE"""),"Development")</f>
        <v>Development</v>
      </c>
      <c r="J542" t="str">
        <f>IFERROR(__xludf.DUMMYFUNCTION("""COMPUTED_VALUE"""),"Web Development")</f>
        <v>Web Development</v>
      </c>
      <c r="K542">
        <f>IFERROR(__xludf.DUMMYFUNCTION("""COMPUTED_VALUE"""),2014020.0)</f>
        <v>2014020</v>
      </c>
      <c r="L542" s="140" t="str">
        <f>IFERROR(__xludf.DUMMYFUNCTION("""COMPUTED_VALUE"""),"Bootstrap 4 - Meistere modernes Webdesign mit 5 Projekten")</f>
        <v>Bootstrap 4 - Meistere modernes Webdesign mit 5 Projekten</v>
      </c>
      <c r="N542" s="140" t="str">
        <f>IFERROR(__xludf.DUMMYFUNCTION("""COMPUTED_VALUE"""),"")</f>
        <v/>
      </c>
    </row>
    <row r="543">
      <c r="A543" s="143">
        <f>IFERROR(__xludf.DUMMYFUNCTION("""COMPUTED_VALUE"""),44407.0)</f>
        <v>44407</v>
      </c>
      <c r="B543">
        <f>IFERROR(__xludf.DUMMYFUNCTION("""COMPUTED_VALUE"""),1435028.0)</f>
        <v>1435028</v>
      </c>
      <c r="C543" t="str">
        <f>IFERROR(__xludf.DUMMYFUNCTION("""COMPUTED_VALUE"""),"en")</f>
        <v>en</v>
      </c>
      <c r="D543" t="str">
        <f>IFERROR(__xludf.DUMMYFUNCTION("""COMPUTED_VALUE"""),"Personal Branding Masterclass: The Complete Branding Course")</f>
        <v>Personal Branding Masterclass: The Complete Branding Course</v>
      </c>
      <c r="E543" t="str">
        <f>IFERROR(__xludf.DUMMYFUNCTION("""COMPUTED_VALUE"""),"Personal Branding Masterclass: The Complete Branding Course")</f>
        <v>Personal Branding Masterclass: The Complete Branding Course</v>
      </c>
      <c r="F543">
        <f>IFERROR(__xludf.DUMMYFUNCTION("""COMPUTED_VALUE"""),3.8397392E7)</f>
        <v>38397392</v>
      </c>
      <c r="G543" t="str">
        <f>IFERROR(__xludf.DUMMYFUNCTION("""COMPUTED_VALUE"""),"Phil Pallen Academy")</f>
        <v>Phil Pallen Academy</v>
      </c>
      <c r="H543" t="str">
        <f>IFERROR(__xludf.DUMMYFUNCTION("""COMPUTED_VALUE"""),"Low Rating")</f>
        <v>Low Rating</v>
      </c>
      <c r="I543" t="str">
        <f>IFERROR(__xludf.DUMMYFUNCTION("""COMPUTED_VALUE"""),"Marketing")</f>
        <v>Marketing</v>
      </c>
      <c r="J543" t="str">
        <f>IFERROR(__xludf.DUMMYFUNCTION("""COMPUTED_VALUE"""),"Marketing Strategy")</f>
        <v>Marketing Strategy</v>
      </c>
      <c r="K543">
        <f>IFERROR(__xludf.DUMMYFUNCTION("""COMPUTED_VALUE"""),3594684.0)</f>
        <v>3594684</v>
      </c>
      <c r="L543" s="140" t="str">
        <f>IFERROR(__xludf.DUMMYFUNCTION("""COMPUTED_VALUE"""),"Master Your Personal Brand Like a Marketing Pro")</f>
        <v>Master Your Personal Brand Like a Marketing Pro</v>
      </c>
      <c r="M543" s="155">
        <f>IFERROR(__xludf.DUMMYFUNCTION("""COMPUTED_VALUE"""),636806.0)</f>
        <v>636806</v>
      </c>
      <c r="N543" s="140" t="str">
        <f>IFERROR(__xludf.DUMMYFUNCTION("""COMPUTED_VALUE"""),"Personal Branding Mastery: The System To Reinvent Yourself!")</f>
        <v>Personal Branding Mastery: The System To Reinvent Yourself!</v>
      </c>
    </row>
    <row r="544">
      <c r="A544" s="143">
        <f>IFERROR(__xludf.DUMMYFUNCTION("""COMPUTED_VALUE"""),44407.0)</f>
        <v>44407</v>
      </c>
      <c r="B544">
        <f>IFERROR(__xludf.DUMMYFUNCTION("""COMPUTED_VALUE"""),1465626.0)</f>
        <v>1465626</v>
      </c>
      <c r="C544" t="str">
        <f>IFERROR(__xludf.DUMMYFUNCTION("""COMPUTED_VALUE"""),"en")</f>
        <v>en</v>
      </c>
      <c r="D544" t="str">
        <f>IFERROR(__xludf.DUMMYFUNCTION("""COMPUTED_VALUE"""),"Ultimate Venture Capital: How to model investment rounds")</f>
        <v>Ultimate Venture Capital: How to model investment rounds</v>
      </c>
      <c r="E544" t="str">
        <f>IFERROR(__xludf.DUMMYFUNCTION("""COMPUTED_VALUE"""),"Ultimate Venture Capital: How to model investment rounds")</f>
        <v>Ultimate Venture Capital: How to model investment rounds</v>
      </c>
      <c r="F544">
        <f>IFERROR(__xludf.DUMMYFUNCTION("""COMPUTED_VALUE"""),4.077549E7)</f>
        <v>40775490</v>
      </c>
      <c r="G544" t="str">
        <f>IFERROR(__xludf.DUMMYFUNCTION("""COMPUTED_VALUE"""),"Kiley Grant")</f>
        <v>Kiley Grant</v>
      </c>
      <c r="H544" t="str">
        <f>IFERROR(__xludf.DUMMYFUNCTION("""COMPUTED_VALUE"""),"Low Rating")</f>
        <v>Low Rating</v>
      </c>
      <c r="I544" t="str">
        <f>IFERROR(__xludf.DUMMYFUNCTION("""COMPUTED_VALUE"""),"Finance &amp; Accounting")</f>
        <v>Finance &amp; Accounting</v>
      </c>
      <c r="J544" t="str">
        <f>IFERROR(__xludf.DUMMYFUNCTION("""COMPUTED_VALUE"""),"Finance Fundamentals")</f>
        <v>Finance Fundamentals</v>
      </c>
      <c r="L544" s="140" t="str">
        <f>IFERROR(__xludf.DUMMYFUNCTION("""COMPUTED_VALUE"""),"")</f>
        <v/>
      </c>
      <c r="N544" s="140" t="str">
        <f>IFERROR(__xludf.DUMMYFUNCTION("""COMPUTED_VALUE"""),"")</f>
        <v/>
      </c>
      <c r="O544" s="140" t="str">
        <f>IFERROR(__xludf.DUMMYFUNCTION("""COMPUTED_VALUE"""),"No Alternatives in Collection- 2/20/2021")</f>
        <v>No Alternatives in Collection- 2/20/2021</v>
      </c>
    </row>
    <row r="545">
      <c r="A545" s="143">
        <f>IFERROR(__xludf.DUMMYFUNCTION("""COMPUTED_VALUE"""),44407.0)</f>
        <v>44407</v>
      </c>
      <c r="B545">
        <f>IFERROR(__xludf.DUMMYFUNCTION("""COMPUTED_VALUE"""),1580296.0)</f>
        <v>1580296</v>
      </c>
      <c r="C545" t="str">
        <f>IFERROR(__xludf.DUMMYFUNCTION("""COMPUTED_VALUE"""),"en")</f>
        <v>en</v>
      </c>
      <c r="D545" t="str">
        <f>IFERROR(__xludf.DUMMYFUNCTION("""COMPUTED_VALUE"""),"2020 Complete Instagram Marketing Masterclass: Become a Pro")</f>
        <v>2020 Complete Instagram Marketing Masterclass: Become a Pro</v>
      </c>
      <c r="E545" t="str">
        <f>IFERROR(__xludf.DUMMYFUNCTION("""COMPUTED_VALUE"""),"2020 Complete Instagram Marketing Masterclass: Become a Pro")</f>
        <v>2020 Complete Instagram Marketing Masterclass: Become a Pro</v>
      </c>
      <c r="F545">
        <f>IFERROR(__xludf.DUMMYFUNCTION("""COMPUTED_VALUE"""),1.9739064E7)</f>
        <v>19739064</v>
      </c>
      <c r="G545" t="str">
        <f>IFERROR(__xludf.DUMMYFUNCTION("""COMPUTED_VALUE"""),"Pouya Eti • Digital Marketing Expert")</f>
        <v>Pouya Eti • Digital Marketing Expert</v>
      </c>
      <c r="H545" t="str">
        <f>IFERROR(__xludf.DUMMYFUNCTION("""COMPUTED_VALUE"""),"Low Rating")</f>
        <v>Low Rating</v>
      </c>
      <c r="I545" t="str">
        <f>IFERROR(__xludf.DUMMYFUNCTION("""COMPUTED_VALUE"""),"Marketing")</f>
        <v>Marketing</v>
      </c>
      <c r="J545" t="str">
        <f>IFERROR(__xludf.DUMMYFUNCTION("""COMPUTED_VALUE"""),"Social Media Marketing")</f>
        <v>Social Media Marketing</v>
      </c>
      <c r="K545">
        <f>IFERROR(__xludf.DUMMYFUNCTION("""COMPUTED_VALUE"""),484606.0)</f>
        <v>484606</v>
      </c>
      <c r="L545" s="140" t="str">
        <f>IFERROR(__xludf.DUMMYFUNCTION("""COMPUTED_VALUE"""),"Instagram Marketing 2021: Complete Guide To Instagram Growth")</f>
        <v>Instagram Marketing 2021: Complete Guide To Instagram Growth</v>
      </c>
      <c r="M545" s="155">
        <f>IFERROR(__xludf.DUMMYFUNCTION("""COMPUTED_VALUE"""),1692684.0)</f>
        <v>1692684</v>
      </c>
      <c r="N545" s="140" t="str">
        <f>IFERROR(__xludf.DUMMYFUNCTION("""COMPUTED_VALUE"""),"Instagram Marketing 2021: Hashtags, Live, Stories, Ads &amp;more")</f>
        <v>Instagram Marketing 2021: Hashtags, Live, Stories, Ads &amp;more</v>
      </c>
    </row>
    <row r="546">
      <c r="A546" s="143">
        <f>IFERROR(__xludf.DUMMYFUNCTION("""COMPUTED_VALUE"""),44407.0)</f>
        <v>44407</v>
      </c>
      <c r="B546">
        <f>IFERROR(__xludf.DUMMYFUNCTION("""COMPUTED_VALUE"""),1608456.0)</f>
        <v>1608456</v>
      </c>
      <c r="C546" t="str">
        <f>IFERROR(__xludf.DUMMYFUNCTION("""COMPUTED_VALUE"""),"en")</f>
        <v>en</v>
      </c>
      <c r="D546" t="str">
        <f>IFERROR(__xludf.DUMMYFUNCTION("""COMPUTED_VALUE"""),"Certified Information Security Manager (CISM)")</f>
        <v>Certified Information Security Manager (CISM)</v>
      </c>
      <c r="E546" t="str">
        <f>IFERROR(__xludf.DUMMYFUNCTION("""COMPUTED_VALUE"""),"Certified Information Security Manager (CISM)")</f>
        <v>Certified Information Security Manager (CISM)</v>
      </c>
      <c r="F546">
        <f>IFERROR(__xludf.DUMMYFUNCTION("""COMPUTED_VALUE"""),4.3284762E7)</f>
        <v>43284762</v>
      </c>
      <c r="G546" t="str">
        <f>IFERROR(__xludf.DUMMYFUNCTION("""COMPUTED_VALUE"""),"Integrity Training")</f>
        <v>Integrity Training</v>
      </c>
      <c r="H546" t="str">
        <f>IFERROR(__xludf.DUMMYFUNCTION("""COMPUTED_VALUE"""),"Low Rating")</f>
        <v>Low Rating</v>
      </c>
      <c r="I546" t="str">
        <f>IFERROR(__xludf.DUMMYFUNCTION("""COMPUTED_VALUE"""),"IT Operations")</f>
        <v>IT Operations</v>
      </c>
      <c r="J546" t="str">
        <f>IFERROR(__xludf.DUMMYFUNCTION("""COMPUTED_VALUE"""),"IT Certifications")</f>
        <v>IT Certifications</v>
      </c>
      <c r="K546">
        <f>IFERROR(__xludf.DUMMYFUNCTION("""COMPUTED_VALUE"""),2311262.0)</f>
        <v>2311262</v>
      </c>
      <c r="L546" s="140" t="str">
        <f>IFERROR(__xludf.DUMMYFUNCTION("""COMPUTED_VALUE"""),"CISM Certification: FULL 150 question CISM practice test '21")</f>
        <v>CISM Certification: FULL 150 question CISM practice test '21</v>
      </c>
      <c r="N546" s="140" t="str">
        <f>IFERROR(__xludf.DUMMYFUNCTION("""COMPUTED_VALUE"""),"")</f>
        <v/>
      </c>
    </row>
    <row r="547">
      <c r="A547" s="143">
        <f>IFERROR(__xludf.DUMMYFUNCTION("""COMPUTED_VALUE"""),44407.0)</f>
        <v>44407</v>
      </c>
      <c r="B547">
        <f>IFERROR(__xludf.DUMMYFUNCTION("""COMPUTED_VALUE"""),1641996.0)</f>
        <v>1641996</v>
      </c>
      <c r="C547" t="str">
        <f>IFERROR(__xludf.DUMMYFUNCTION("""COMPUTED_VALUE"""),"en")</f>
        <v>en</v>
      </c>
      <c r="D547" t="str">
        <f>IFERROR(__xludf.DUMMYFUNCTION("""COMPUTED_VALUE"""),"ISO 45001 Occupational Safety &amp; Health Management System")</f>
        <v>ISO 45001 Occupational Safety &amp; Health Management System</v>
      </c>
      <c r="E547" t="str">
        <f>IFERROR(__xludf.DUMMYFUNCTION("""COMPUTED_VALUE"""),"ISO 45001 Occupational Safety &amp; Health Management System")</f>
        <v>ISO 45001 Occupational Safety &amp; Health Management System</v>
      </c>
      <c r="F547">
        <f>IFERROR(__xludf.DUMMYFUNCTION("""COMPUTED_VALUE"""),1.9639622E7)</f>
        <v>19639622</v>
      </c>
      <c r="G547" t="str">
        <f>IFERROR(__xludf.DUMMYFUNCTION("""COMPUTED_VALUE"""),"Syed Muhammad Shamuel Shees")</f>
        <v>Syed Muhammad Shamuel Shees</v>
      </c>
      <c r="H547" t="str">
        <f>IFERROR(__xludf.DUMMYFUNCTION("""COMPUTED_VALUE"""),"Low Rating")</f>
        <v>Low Rating</v>
      </c>
      <c r="I547" t="str">
        <f>IFERROR(__xludf.DUMMYFUNCTION("""COMPUTED_VALUE"""),"Project Management &amp; Operations")</f>
        <v>Project Management &amp; Operations</v>
      </c>
      <c r="J547" t="str">
        <f>IFERROR(__xludf.DUMMYFUNCTION("""COMPUTED_VALUE"""),"Operations Management")</f>
        <v>Operations Management</v>
      </c>
      <c r="K547">
        <f>IFERROR(__xludf.DUMMYFUNCTION("""COMPUTED_VALUE"""),1627590.0)</f>
        <v>1627590</v>
      </c>
      <c r="L547" s="140" t="str">
        <f>IFERROR(__xludf.DUMMYFUNCTION("""COMPUTED_VALUE"""),"ISO 45001. Occupational Health &amp; Safety management system")</f>
        <v>ISO 45001. Occupational Health &amp; Safety management system</v>
      </c>
      <c r="N547" s="140" t="str">
        <f>IFERROR(__xludf.DUMMYFUNCTION("""COMPUTED_VALUE"""),"")</f>
        <v/>
      </c>
    </row>
    <row r="548">
      <c r="A548" s="143">
        <f>IFERROR(__xludf.DUMMYFUNCTION("""COMPUTED_VALUE"""),44407.0)</f>
        <v>44407</v>
      </c>
      <c r="B548">
        <f>IFERROR(__xludf.DUMMYFUNCTION("""COMPUTED_VALUE"""),1824816.0)</f>
        <v>1824816</v>
      </c>
      <c r="C548" t="str">
        <f>IFERROR(__xludf.DUMMYFUNCTION("""COMPUTED_VALUE"""),"en")</f>
        <v>en</v>
      </c>
      <c r="D548" t="str">
        <f>IFERROR(__xludf.DUMMYFUNCTION("""COMPUTED_VALUE"""),"Kaizen - Continuous Improvement Practitioner Course")</f>
        <v>Kaizen - Continuous Improvement Practitioner Course</v>
      </c>
      <c r="E548" t="str">
        <f>IFERROR(__xludf.DUMMYFUNCTION("""COMPUTED_VALUE"""),"Kaizen - Continuous Improvement Practitioner Course")</f>
        <v>Kaizen - Continuous Improvement Practitioner Course</v>
      </c>
      <c r="F548">
        <f>IFERROR(__xludf.DUMMYFUNCTION("""COMPUTED_VALUE"""),4.33531E7)</f>
        <v>43353100</v>
      </c>
      <c r="G548" t="str">
        <f>IFERROR(__xludf.DUMMYFUNCTION("""COMPUTED_VALUE"""),"OpEx GURU")</f>
        <v>OpEx GURU</v>
      </c>
      <c r="H548" t="str">
        <f>IFERROR(__xludf.DUMMYFUNCTION("""COMPUTED_VALUE"""),"Low Rating")</f>
        <v>Low Rating</v>
      </c>
      <c r="I548" t="str">
        <f>IFERROR(__xludf.DUMMYFUNCTION("""COMPUTED_VALUE"""),"Project Management &amp; Operations")</f>
        <v>Project Management &amp; Operations</v>
      </c>
      <c r="J548" t="str">
        <f>IFERROR(__xludf.DUMMYFUNCTION("""COMPUTED_VALUE"""),"Operations Management")</f>
        <v>Operations Management</v>
      </c>
      <c r="L548" s="140" t="str">
        <f>IFERROR(__xludf.DUMMYFUNCTION("""COMPUTED_VALUE"""),"")</f>
        <v/>
      </c>
      <c r="N548" s="140" t="str">
        <f>IFERROR(__xludf.DUMMYFUNCTION("""COMPUTED_VALUE"""),"")</f>
        <v/>
      </c>
      <c r="O548" s="140" t="str">
        <f>IFERROR(__xludf.DUMMYFUNCTION("""COMPUTED_VALUE"""),"No Alternatives in Collection- 2/20/2021")</f>
        <v>No Alternatives in Collection- 2/20/2021</v>
      </c>
    </row>
    <row r="549">
      <c r="A549" s="143">
        <f>IFERROR(__xludf.DUMMYFUNCTION("""COMPUTED_VALUE"""),44407.0)</f>
        <v>44407</v>
      </c>
      <c r="B549">
        <f>IFERROR(__xludf.DUMMYFUNCTION("""COMPUTED_VALUE"""),1851456.0)</f>
        <v>1851456</v>
      </c>
      <c r="C549" t="str">
        <f>IFERROR(__xludf.DUMMYFUNCTION("""COMPUTED_VALUE"""),"ja")</f>
        <v>ja</v>
      </c>
      <c r="D549" t="str">
        <f>IFERROR(__xludf.DUMMYFUNCTION("""COMPUTED_VALUE"""),"Raspberry Pi とTensorFlow ではじめるAI・IoTアプリ開発入門")</f>
        <v>Raspberry Pi とTensorFlow ではじめるAI・IoTアプリ開発入門</v>
      </c>
      <c r="E549" t="str">
        <f>IFERROR(__xludf.DUMMYFUNCTION("""COMPUTED_VALUE"""),"Introduction to AI, IoT application development starting with RASPBERRY PI and TENSORFLOW")</f>
        <v>Introduction to AI, IoT application development starting with RASPBERRY PI and TENSORFLOW</v>
      </c>
      <c r="F549">
        <f>IFERROR(__xludf.DUMMYFUNCTION("""COMPUTED_VALUE"""),654126.0)</f>
        <v>654126</v>
      </c>
      <c r="G549" t="str">
        <f>IFERROR(__xludf.DUMMYFUNCTION("""COMPUTED_VALUE"""),"井上 博樹 (Hiroki Inoue)")</f>
        <v>井上 博樹 (Hiroki Inoue)</v>
      </c>
      <c r="H549" t="str">
        <f>IFERROR(__xludf.DUMMYFUNCTION("""COMPUTED_VALUE"""),"Low Rating")</f>
        <v>Low Rating</v>
      </c>
      <c r="I549" t="str">
        <f>IFERROR(__xludf.DUMMYFUNCTION("""COMPUTED_VALUE"""),"IT Operations")</f>
        <v>IT Operations</v>
      </c>
      <c r="J549" t="str">
        <f>IFERROR(__xludf.DUMMYFUNCTION("""COMPUTED_VALUE"""),"Hardware")</f>
        <v>Hardware</v>
      </c>
      <c r="L549" s="140" t="str">
        <f>IFERROR(__xludf.DUMMYFUNCTION("""COMPUTED_VALUE"""),"")</f>
        <v/>
      </c>
      <c r="N549" s="140" t="str">
        <f>IFERROR(__xludf.DUMMYFUNCTION("""COMPUTED_VALUE"""),"")</f>
        <v/>
      </c>
      <c r="O549" s="140" t="str">
        <f>IFERROR(__xludf.DUMMYFUNCTION("""COMPUTED_VALUE"""),"No Alternatives in Collection- 2/20/2021")</f>
        <v>No Alternatives in Collection- 2/20/2021</v>
      </c>
    </row>
    <row r="550">
      <c r="A550" s="143">
        <f>IFERROR(__xludf.DUMMYFUNCTION("""COMPUTED_VALUE"""),44407.0)</f>
        <v>44407</v>
      </c>
      <c r="B550">
        <f>IFERROR(__xludf.DUMMYFUNCTION("""COMPUTED_VALUE"""),1919594.0)</f>
        <v>1919594</v>
      </c>
      <c r="C550" t="str">
        <f>IFERROR(__xludf.DUMMYFUNCTION("""COMPUTED_VALUE"""),"en")</f>
        <v>en</v>
      </c>
      <c r="D550" t="str">
        <f>IFERROR(__xludf.DUMMYFUNCTION("""COMPUTED_VALUE"""),"Amazon (AWS) QuickSight, Glue, Athena &amp; S3 Fundamentals")</f>
        <v>Amazon (AWS) QuickSight, Glue, Athena &amp; S3 Fundamentals</v>
      </c>
      <c r="E550" t="str">
        <f>IFERROR(__xludf.DUMMYFUNCTION("""COMPUTED_VALUE"""),"Amazon (AWS) QuickSight, Glue, Athena &amp; S3 Fundamentals")</f>
        <v>Amazon (AWS) QuickSight, Glue, Athena &amp; S3 Fundamentals</v>
      </c>
      <c r="F550">
        <f>IFERROR(__xludf.DUMMYFUNCTION("""COMPUTED_VALUE"""),2.2747594E7)</f>
        <v>22747594</v>
      </c>
      <c r="G550" t="str">
        <f>IFERROR(__xludf.DUMMYFUNCTION("""COMPUTED_VALUE"""),"ClayDesk E-learning")</f>
        <v>ClayDesk E-learning</v>
      </c>
      <c r="H550" t="str">
        <f>IFERROR(__xludf.DUMMYFUNCTION("""COMPUTED_VALUE"""),"Low Rating")</f>
        <v>Low Rating</v>
      </c>
      <c r="I550" t="str">
        <f>IFERROR(__xludf.DUMMYFUNCTION("""COMPUTED_VALUE"""),"Data Science")</f>
        <v>Data Science</v>
      </c>
      <c r="J550" t="str">
        <f>IFERROR(__xludf.DUMMYFUNCTION("""COMPUTED_VALUE"""),"Analytics")</f>
        <v>Analytics</v>
      </c>
      <c r="K550">
        <f>IFERROR(__xludf.DUMMYFUNCTION("""COMPUTED_VALUE"""),1721218.0)</f>
        <v>1721218</v>
      </c>
      <c r="L550" s="140" t="str">
        <f>IFERROR(__xludf.DUMMYFUNCTION("""COMPUTED_VALUE"""),"Mastering AWS Glue, QuickSight, Athena &amp; Redshift Spectrum")</f>
        <v>Mastering AWS Glue, QuickSight, Athena &amp; Redshift Spectrum</v>
      </c>
      <c r="N550" s="140" t="str">
        <f>IFERROR(__xludf.DUMMYFUNCTION("""COMPUTED_VALUE"""),"")</f>
        <v/>
      </c>
    </row>
    <row r="551">
      <c r="A551" s="143">
        <f>IFERROR(__xludf.DUMMYFUNCTION("""COMPUTED_VALUE"""),44407.0)</f>
        <v>44407</v>
      </c>
      <c r="B551">
        <f>IFERROR(__xludf.DUMMYFUNCTION("""COMPUTED_VALUE"""),2276255.0)</f>
        <v>2276255</v>
      </c>
      <c r="C551" t="str">
        <f>IFERROR(__xludf.DUMMYFUNCTION("""COMPUTED_VALUE"""),"en")</f>
        <v>en</v>
      </c>
      <c r="D551" t="str">
        <f>IFERROR(__xludf.DUMMYFUNCTION("""COMPUTED_VALUE"""),"Revenue Recognition - IFRS 15 &amp; ASC 606")</f>
        <v>Revenue Recognition - IFRS 15 &amp; ASC 606</v>
      </c>
      <c r="E551" t="str">
        <f>IFERROR(__xludf.DUMMYFUNCTION("""COMPUTED_VALUE"""),"Revenue Recognition - IFRS 15 &amp; ASC 606")</f>
        <v>Revenue Recognition - IFRS 15 &amp; ASC 606</v>
      </c>
      <c r="F551">
        <f>IFERROR(__xludf.DUMMYFUNCTION("""COMPUTED_VALUE"""),5.7653386E7)</f>
        <v>57653386</v>
      </c>
      <c r="G551" t="str">
        <f>IFERROR(__xludf.DUMMYFUNCTION("""COMPUTED_VALUE"""),"Raffaelson Academy")</f>
        <v>Raffaelson Academy</v>
      </c>
      <c r="H551" t="str">
        <f>IFERROR(__xludf.DUMMYFUNCTION("""COMPUTED_VALUE"""),"Low Rating")</f>
        <v>Low Rating</v>
      </c>
      <c r="I551" t="str">
        <f>IFERROR(__xludf.DUMMYFUNCTION("""COMPUTED_VALUE"""),"Finance &amp; Accounting")</f>
        <v>Finance &amp; Accounting</v>
      </c>
      <c r="J551" t="str">
        <f>IFERROR(__xludf.DUMMYFUNCTION("""COMPUTED_VALUE"""),"Accounting")</f>
        <v>Accounting</v>
      </c>
      <c r="L551" s="140" t="str">
        <f>IFERROR(__xludf.DUMMYFUNCTION("""COMPUTED_VALUE"""),"")</f>
        <v/>
      </c>
      <c r="N551" s="140" t="str">
        <f>IFERROR(__xludf.DUMMYFUNCTION("""COMPUTED_VALUE"""),"")</f>
        <v/>
      </c>
      <c r="O551" s="140" t="str">
        <f>IFERROR(__xludf.DUMMYFUNCTION("""COMPUTED_VALUE"""),"No Alternatives in Collection- 2/20/2021")</f>
        <v>No Alternatives in Collection- 2/20/2021</v>
      </c>
    </row>
    <row r="552">
      <c r="A552" s="143">
        <f>IFERROR(__xludf.DUMMYFUNCTION("""COMPUTED_VALUE"""),44407.0)</f>
        <v>44407</v>
      </c>
      <c r="B552">
        <f>IFERROR(__xludf.DUMMYFUNCTION("""COMPUTED_VALUE"""),2399596.0)</f>
        <v>2399596</v>
      </c>
      <c r="C552" t="str">
        <f>IFERROR(__xludf.DUMMYFUNCTION("""COMPUTED_VALUE"""),"en")</f>
        <v>en</v>
      </c>
      <c r="D552" t="str">
        <f>IFERROR(__xludf.DUMMYFUNCTION("""COMPUTED_VALUE"""),"Oracle 19c Database - An Introduction")</f>
        <v>Oracle 19c Database - An Introduction</v>
      </c>
      <c r="E552" t="str">
        <f>IFERROR(__xludf.DUMMYFUNCTION("""COMPUTED_VALUE"""),"Oracle 19c Database - An Introduction")</f>
        <v>Oracle 19c Database - An Introduction</v>
      </c>
      <c r="F552">
        <f>IFERROR(__xludf.DUMMYFUNCTION("""COMPUTED_VALUE"""),4.116464E7)</f>
        <v>41164640</v>
      </c>
      <c r="G552" t="str">
        <f>IFERROR(__xludf.DUMMYFUNCTION("""COMPUTED_VALUE"""),"Sanesh Kale")</f>
        <v>Sanesh Kale</v>
      </c>
      <c r="H552" t="str">
        <f>IFERROR(__xludf.DUMMYFUNCTION("""COMPUTED_VALUE"""),"Low Rating")</f>
        <v>Low Rating</v>
      </c>
      <c r="I552" t="str">
        <f>IFERROR(__xludf.DUMMYFUNCTION("""COMPUTED_VALUE"""),"IT Operations")</f>
        <v>IT Operations</v>
      </c>
      <c r="J552" t="str">
        <f>IFERROR(__xludf.DUMMYFUNCTION("""COMPUTED_VALUE"""),"Database Administration")</f>
        <v>Database Administration</v>
      </c>
      <c r="L552" s="140" t="str">
        <f>IFERROR(__xludf.DUMMYFUNCTION("""COMPUTED_VALUE"""),"")</f>
        <v/>
      </c>
      <c r="N552" s="140" t="str">
        <f>IFERROR(__xludf.DUMMYFUNCTION("""COMPUTED_VALUE"""),"")</f>
        <v/>
      </c>
      <c r="O552" s="140" t="str">
        <f>IFERROR(__xludf.DUMMYFUNCTION("""COMPUTED_VALUE"""),"No Alternatives in Collection- 2/20/2021")</f>
        <v>No Alternatives in Collection- 2/20/2021</v>
      </c>
    </row>
    <row r="553">
      <c r="A553" s="143">
        <f>IFERROR(__xludf.DUMMYFUNCTION("""COMPUTED_VALUE"""),44407.0)</f>
        <v>44407</v>
      </c>
      <c r="B553">
        <f>IFERROR(__xludf.DUMMYFUNCTION("""COMPUTED_VALUE"""),2425526.0)</f>
        <v>2425526</v>
      </c>
      <c r="C553" t="str">
        <f>IFERROR(__xludf.DUMMYFUNCTION("""COMPUTED_VALUE"""),"en")</f>
        <v>en</v>
      </c>
      <c r="D553" t="str">
        <f>IFERROR(__xludf.DUMMYFUNCTION("""COMPUTED_VALUE"""),"Salesforce Admin Certification (CRT-101) Practice Tests")</f>
        <v>Salesforce Admin Certification (CRT-101) Practice Tests</v>
      </c>
      <c r="E553" t="str">
        <f>IFERROR(__xludf.DUMMYFUNCTION("""COMPUTED_VALUE"""),"Salesforce Admin Certification (CRT-101) Practice Tests")</f>
        <v>Salesforce Admin Certification (CRT-101) Practice Tests</v>
      </c>
      <c r="F553">
        <f>IFERROR(__xludf.DUMMYFUNCTION("""COMPUTED_VALUE"""),7.1669648E7)</f>
        <v>71669648</v>
      </c>
      <c r="G553" t="str">
        <f>IFERROR(__xludf.DUMMYFUNCTION("""COMPUTED_VALUE"""),"Rakesh Gupta")</f>
        <v>Rakesh Gupta</v>
      </c>
      <c r="H553" t="str">
        <f>IFERROR(__xludf.DUMMYFUNCTION("""COMPUTED_VALUE"""),"Low Rating")</f>
        <v>Low Rating</v>
      </c>
      <c r="I553" t="str">
        <f>IFERROR(__xludf.DUMMYFUNCTION("""COMPUTED_VALUE"""),"IT Operations")</f>
        <v>IT Operations</v>
      </c>
      <c r="J553" t="str">
        <f>IFERROR(__xludf.DUMMYFUNCTION("""COMPUTED_VALUE"""),"IT Certifications")</f>
        <v>IT Certifications</v>
      </c>
      <c r="L553" s="140" t="str">
        <f>IFERROR(__xludf.DUMMYFUNCTION("""COMPUTED_VALUE"""),"")</f>
        <v/>
      </c>
      <c r="N553" s="140" t="str">
        <f>IFERROR(__xludf.DUMMYFUNCTION("""COMPUTED_VALUE"""),"")</f>
        <v/>
      </c>
      <c r="O553" s="140" t="str">
        <f>IFERROR(__xludf.DUMMYFUNCTION("""COMPUTED_VALUE"""),"No Alternatives in Collection- 2/20/2021")</f>
        <v>No Alternatives in Collection- 2/20/2021</v>
      </c>
    </row>
    <row r="554">
      <c r="A554" s="143">
        <f>IFERROR(__xludf.DUMMYFUNCTION("""COMPUTED_VALUE"""),44407.0)</f>
        <v>44407</v>
      </c>
      <c r="B554">
        <f>IFERROR(__xludf.DUMMYFUNCTION("""COMPUTED_VALUE"""),2558896.0)</f>
        <v>2558896</v>
      </c>
      <c r="C554" t="str">
        <f>IFERROR(__xludf.DUMMYFUNCTION("""COMPUTED_VALUE"""),"en")</f>
        <v>en</v>
      </c>
      <c r="D554" t="str">
        <f>IFERROR(__xludf.DUMMYFUNCTION("""COMPUTED_VALUE"""),"Unit, integration and functional Testing in Golang (Go)")</f>
        <v>Unit, integration and functional Testing in Golang (Go)</v>
      </c>
      <c r="E554" t="str">
        <f>IFERROR(__xludf.DUMMYFUNCTION("""COMPUTED_VALUE"""),"Unit, integration and functional Testing in Golang (Go)")</f>
        <v>Unit, integration and functional Testing in Golang (Go)</v>
      </c>
      <c r="F554">
        <f>IFERROR(__xludf.DUMMYFUNCTION("""COMPUTED_VALUE"""),1.6468024E7)</f>
        <v>16468024</v>
      </c>
      <c r="G554" t="str">
        <f>IFERROR(__xludf.DUMMYFUNCTION("""COMPUTED_VALUE"""),"Federico León")</f>
        <v>Federico León</v>
      </c>
      <c r="H554" t="str">
        <f>IFERROR(__xludf.DUMMYFUNCTION("""COMPUTED_VALUE"""),"Low Rating")</f>
        <v>Low Rating</v>
      </c>
      <c r="I554" t="str">
        <f>IFERROR(__xludf.DUMMYFUNCTION("""COMPUTED_VALUE"""),"Development")</f>
        <v>Development</v>
      </c>
      <c r="J554" t="str">
        <f>IFERROR(__xludf.DUMMYFUNCTION("""COMPUTED_VALUE"""),"Programming Languages")</f>
        <v>Programming Languages</v>
      </c>
      <c r="K554">
        <f>IFERROR(__xludf.DUMMYFUNCTION("""COMPUTED_VALUE"""),1309202.0)</f>
        <v>1309202</v>
      </c>
      <c r="L554" s="140" t="str">
        <f>IFERROR(__xludf.DUMMYFUNCTION("""COMPUTED_VALUE"""),"Go: The Complete Developer's Guide (Golang)")</f>
        <v>Go: The Complete Developer's Guide (Golang)</v>
      </c>
      <c r="M554" s="155">
        <f>IFERROR(__xludf.DUMMYFUNCTION("""COMPUTED_VALUE"""),2413006.0)</f>
        <v>2413006</v>
      </c>
      <c r="N554" s="140" t="str">
        <f>IFERROR(__xludf.DUMMYFUNCTION("""COMPUTED_VALUE"""),"Master Go (Golang) Programming:The Complete Go Bootcamp 2021")</f>
        <v>Master Go (Golang) Programming:The Complete Go Bootcamp 2021</v>
      </c>
    </row>
    <row r="555">
      <c r="A555" s="143">
        <f>IFERROR(__xludf.DUMMYFUNCTION("""COMPUTED_VALUE"""),44407.0)</f>
        <v>44407</v>
      </c>
      <c r="B555">
        <f>IFERROR(__xludf.DUMMYFUNCTION("""COMPUTED_VALUE"""),2778790.0)</f>
        <v>2778790</v>
      </c>
      <c r="C555" t="str">
        <f>IFERROR(__xludf.DUMMYFUNCTION("""COMPUTED_VALUE"""),"de")</f>
        <v>de</v>
      </c>
      <c r="D555" t="str">
        <f>IFERROR(__xludf.DUMMYFUNCTION("""COMPUTED_VALUE"""),"REST APIs mit Asp.Net core und C# entwicklen")</f>
        <v>REST APIs mit Asp.Net core und C# entwicklen</v>
      </c>
      <c r="E555" t="str">
        <f>IFERROR(__xludf.DUMMYFUNCTION("""COMPUTED_VALUE"""),"Rest APIs with ASP.NET Core and C # develop")</f>
        <v>Rest APIs with ASP.NET Core and C # develop</v>
      </c>
      <c r="F555">
        <f>IFERROR(__xludf.DUMMYFUNCTION("""COMPUTED_VALUE"""),5.4120468E7)</f>
        <v>54120468</v>
      </c>
      <c r="G555" t="str">
        <f>IFERROR(__xludf.DUMMYFUNCTION("""COMPUTED_VALUE"""),"Timo H. | C# Development | .Net | DevOps")</f>
        <v>Timo H. | C# Development | .Net | DevOps</v>
      </c>
      <c r="H555" t="str">
        <f>IFERROR(__xludf.DUMMYFUNCTION("""COMPUTED_VALUE"""),"Low Rating")</f>
        <v>Low Rating</v>
      </c>
      <c r="I555" t="str">
        <f>IFERROR(__xludf.DUMMYFUNCTION("""COMPUTED_VALUE"""),"Development")</f>
        <v>Development</v>
      </c>
      <c r="J555" t="str">
        <f>IFERROR(__xludf.DUMMYFUNCTION("""COMPUTED_VALUE"""),"Web Development")</f>
        <v>Web Development</v>
      </c>
      <c r="L555" s="140" t="str">
        <f>IFERROR(__xludf.DUMMYFUNCTION("""COMPUTED_VALUE"""),"")</f>
        <v/>
      </c>
      <c r="N555" s="140" t="str">
        <f>IFERROR(__xludf.DUMMYFUNCTION("""COMPUTED_VALUE"""),"")</f>
        <v/>
      </c>
      <c r="O555" s="140" t="str">
        <f>IFERROR(__xludf.DUMMYFUNCTION("""COMPUTED_VALUE"""),"No Alternatives in Collection- 2/20/2021")</f>
        <v>No Alternatives in Collection- 2/20/2021</v>
      </c>
    </row>
    <row r="556">
      <c r="A556" s="143">
        <f>IFERROR(__xludf.DUMMYFUNCTION("""COMPUTED_VALUE"""),44407.0)</f>
        <v>44407</v>
      </c>
      <c r="B556">
        <f>IFERROR(__xludf.DUMMYFUNCTION("""COMPUTED_VALUE"""),84676.0)</f>
        <v>84676</v>
      </c>
      <c r="C556" t="str">
        <f>IFERROR(__xludf.DUMMYFUNCTION("""COMPUTED_VALUE"""),"es")</f>
        <v>es</v>
      </c>
      <c r="D556" t="str">
        <f>IFERROR(__xludf.DUMMYFUNCTION("""COMPUTED_VALUE"""),"Aprende Java Enterprise Edition (JavaEE) paso a paso")</f>
        <v>Aprende Java Enterprise Edition (JavaEE) paso a paso</v>
      </c>
      <c r="E556" t="str">
        <f>IFERROR(__xludf.DUMMYFUNCTION("""COMPUTED_VALUE"""),"Learn Java Enterprise Edition (JAVAE) Step by step")</f>
        <v>Learn Java Enterprise Edition (JAVAE) Step by step</v>
      </c>
      <c r="F556">
        <f>IFERROR(__xludf.DUMMYFUNCTION("""COMPUTED_VALUE"""),1435594.0)</f>
        <v>1435594</v>
      </c>
      <c r="G556" t="str">
        <f>IFERROR(__xludf.DUMMYFUNCTION("""COMPUTED_VALUE"""),"Global Mentoring Ing. Ubaldo Acosta")</f>
        <v>Global Mentoring Ing. Ubaldo Acosta</v>
      </c>
      <c r="H556" t="str">
        <f>IFERROR(__xludf.DUMMYFUNCTION("""COMPUTED_VALUE"""),"3 Flags")</f>
        <v>3 Flags</v>
      </c>
      <c r="I556" t="str">
        <f>IFERROR(__xludf.DUMMYFUNCTION("""COMPUTED_VALUE"""),"Development")</f>
        <v>Development</v>
      </c>
      <c r="J556" t="str">
        <f>IFERROR(__xludf.DUMMYFUNCTION("""COMPUTED_VALUE"""),"Programming Languages")</f>
        <v>Programming Languages</v>
      </c>
      <c r="K556">
        <f>IFERROR(__xludf.DUMMYFUNCTION("""COMPUTED_VALUE"""),2558556.0)</f>
        <v>2558556</v>
      </c>
      <c r="L556" s="140" t="str">
        <f>IFERROR(__xludf.DUMMYFUNCTION("""COMPUTED_VALUE"""),"Angular y Java EE - Conviértete en Java Full Stack Developer")</f>
        <v>Angular y Java EE - Conviértete en Java Full Stack Developer</v>
      </c>
      <c r="M556" s="155">
        <f>IFERROR(__xludf.DUMMYFUNCTION("""COMPUTED_VALUE"""),1187500.0)</f>
        <v>1187500</v>
      </c>
      <c r="N556" s="140" t="str">
        <f>IFERROR(__xludf.DUMMYFUNCTION("""COMPUTED_VALUE"""),"Java EE 7 &amp; Frameworks - JSF2, Spring 4, Struts 2 y EJB3")</f>
        <v>Java EE 7 &amp; Frameworks - JSF2, Spring 4, Struts 2 y EJB3</v>
      </c>
    </row>
    <row r="557">
      <c r="A557" s="143">
        <f>IFERROR(__xludf.DUMMYFUNCTION("""COMPUTED_VALUE"""),44407.0)</f>
        <v>44407</v>
      </c>
      <c r="B557">
        <f>IFERROR(__xludf.DUMMYFUNCTION("""COMPUTED_VALUE"""),132138.0)</f>
        <v>132138</v>
      </c>
      <c r="C557" t="str">
        <f>IFERROR(__xludf.DUMMYFUNCTION("""COMPUTED_VALUE"""),"en")</f>
        <v>en</v>
      </c>
      <c r="D557" t="str">
        <f>IFERROR(__xludf.DUMMYFUNCTION("""COMPUTED_VALUE"""),"Oracle Performance Tuning")</f>
        <v>Oracle Performance Tuning</v>
      </c>
      <c r="E557" t="str">
        <f>IFERROR(__xludf.DUMMYFUNCTION("""COMPUTED_VALUE"""),"Oracle Performance Tuning")</f>
        <v>Oracle Performance Tuning</v>
      </c>
      <c r="F557">
        <f>IFERROR(__xludf.DUMMYFUNCTION("""COMPUTED_VALUE"""),2807780.0)</f>
        <v>2807780</v>
      </c>
      <c r="G557" t="str">
        <f>IFERROR(__xludf.DUMMYFUNCTION("""COMPUTED_VALUE"""),"Amit Arora")</f>
        <v>Amit Arora</v>
      </c>
      <c r="H557" t="str">
        <f>IFERROR(__xludf.DUMMYFUNCTION("""COMPUTED_VALUE"""),"3 Flags")</f>
        <v>3 Flags</v>
      </c>
      <c r="I557" t="str">
        <f>IFERROR(__xludf.DUMMYFUNCTION("""COMPUTED_VALUE"""),"IT Operations")</f>
        <v>IT Operations</v>
      </c>
      <c r="J557" t="str">
        <f>IFERROR(__xludf.DUMMYFUNCTION("""COMPUTED_VALUE"""),"Database Administration")</f>
        <v>Database Administration</v>
      </c>
      <c r="K557">
        <f>IFERROR(__xludf.DUMMYFUNCTION("""COMPUTED_VALUE"""),1637872.0)</f>
        <v>1637872</v>
      </c>
      <c r="L557" s="140" t="str">
        <f>IFERROR(__xludf.DUMMYFUNCTION("""COMPUTED_VALUE"""),"Oracle SQL Performance Tuning Masterclass 2021")</f>
        <v>Oracle SQL Performance Tuning Masterclass 2021</v>
      </c>
      <c r="N557" s="140" t="str">
        <f>IFERROR(__xludf.DUMMYFUNCTION("""COMPUTED_VALUE"""),"")</f>
        <v/>
      </c>
    </row>
    <row r="558">
      <c r="A558" s="143">
        <f>IFERROR(__xludf.DUMMYFUNCTION("""COMPUTED_VALUE"""),44407.0)</f>
        <v>44407</v>
      </c>
      <c r="B558">
        <f>IFERROR(__xludf.DUMMYFUNCTION("""COMPUTED_VALUE"""),449900.0)</f>
        <v>449900</v>
      </c>
      <c r="C558" t="str">
        <f>IFERROR(__xludf.DUMMYFUNCTION("""COMPUTED_VALUE"""),"en")</f>
        <v>en</v>
      </c>
      <c r="D558" t="str">
        <f>IFERROR(__xludf.DUMMYFUNCTION("""COMPUTED_VALUE"""),"Salesforce Apex Coding &amp; VisualForce Designing for beginners")</f>
        <v>Salesforce Apex Coding &amp; VisualForce Designing for beginners</v>
      </c>
      <c r="E558" t="str">
        <f>IFERROR(__xludf.DUMMYFUNCTION("""COMPUTED_VALUE"""),"Salesforce Apex Coding &amp; VisualForce Designing for beginners")</f>
        <v>Salesforce Apex Coding &amp; VisualForce Designing for beginners</v>
      </c>
      <c r="F558">
        <f>IFERROR(__xludf.DUMMYFUNCTION("""COMPUTED_VALUE"""),1.170832E7)</f>
        <v>11708320</v>
      </c>
      <c r="G558" t="str">
        <f>IFERROR(__xludf.DUMMYFUNCTION("""COMPUTED_VALUE"""),"Aslam Tayyab")</f>
        <v>Aslam Tayyab</v>
      </c>
      <c r="H558" t="str">
        <f>IFERROR(__xludf.DUMMYFUNCTION("""COMPUTED_VALUE"""),"3 Flags")</f>
        <v>3 Flags</v>
      </c>
      <c r="I558" t="str">
        <f>IFERROR(__xludf.DUMMYFUNCTION("""COMPUTED_VALUE"""),"Development")</f>
        <v>Development</v>
      </c>
      <c r="J558" t="str">
        <f>IFERROR(__xludf.DUMMYFUNCTION("""COMPUTED_VALUE"""),"Web Development")</f>
        <v>Web Development</v>
      </c>
      <c r="K558">
        <f>IFERROR(__xludf.DUMMYFUNCTION("""COMPUTED_VALUE"""),648408.0)</f>
        <v>648408</v>
      </c>
      <c r="L558" s="140" t="str">
        <f>IFERROR(__xludf.DUMMYFUNCTION("""COMPUTED_VALUE"""),"Salesforce Apex Programming Language")</f>
        <v>Salesforce Apex Programming Language</v>
      </c>
      <c r="M558" s="155">
        <f>IFERROR(__xludf.DUMMYFUNCTION("""COMPUTED_VALUE"""),680088.0)</f>
        <v>680088</v>
      </c>
      <c r="N558" s="140" t="str">
        <f>IFERROR(__xludf.DUMMYFUNCTION("""COMPUTED_VALUE"""),"Salesforce Visualforce Development: Create Visualforce pages")</f>
        <v>Salesforce Visualforce Development: Create Visualforce pages</v>
      </c>
    </row>
    <row r="559">
      <c r="A559" s="143">
        <f>IFERROR(__xludf.DUMMYFUNCTION("""COMPUTED_VALUE"""),44407.0)</f>
        <v>44407</v>
      </c>
      <c r="B559">
        <f>IFERROR(__xludf.DUMMYFUNCTION("""COMPUTED_VALUE"""),495990.0)</f>
        <v>495990</v>
      </c>
      <c r="C559" t="str">
        <f>IFERROR(__xludf.DUMMYFUNCTION("""COMPUTED_VALUE"""),"de")</f>
        <v>de</v>
      </c>
      <c r="D559" t="str">
        <f>IFERROR(__xludf.DUMMYFUNCTION("""COMPUTED_VALUE"""),"JavaFX 8 - Der Einstieg in die Java-GUI Programmierung")</f>
        <v>JavaFX 8 - Der Einstieg in die Java-GUI Programmierung</v>
      </c>
      <c r="E559" t="str">
        <f>IFERROR(__xludf.DUMMYFUNCTION("""COMPUTED_VALUE"""),"JAVAFX 8 - The entry into the Java-GUI programming")</f>
        <v>JAVAFX 8 - The entry into the Java-GUI programming</v>
      </c>
      <c r="F559">
        <f>IFERROR(__xludf.DUMMYFUNCTION("""COMPUTED_VALUE"""),7301716.0)</f>
        <v>7301716</v>
      </c>
      <c r="G559" t="str">
        <f>IFERROR(__xludf.DUMMYFUNCTION("""COMPUTED_VALUE"""),"Jakob Schaal")</f>
        <v>Jakob Schaal</v>
      </c>
      <c r="H559" t="str">
        <f>IFERROR(__xludf.DUMMYFUNCTION("""COMPUTED_VALUE"""),"3 Flags")</f>
        <v>3 Flags</v>
      </c>
      <c r="I559" t="str">
        <f>IFERROR(__xludf.DUMMYFUNCTION("""COMPUTED_VALUE"""),"Development")</f>
        <v>Development</v>
      </c>
      <c r="J559" t="str">
        <f>IFERROR(__xludf.DUMMYFUNCTION("""COMPUTED_VALUE"""),"Programming Languages")</f>
        <v>Programming Languages</v>
      </c>
      <c r="K559">
        <f>IFERROR(__xludf.DUMMYFUNCTION("""COMPUTED_VALUE"""),1315502.0)</f>
        <v>1315502</v>
      </c>
      <c r="L559" s="140" t="str">
        <f>IFERROR(__xludf.DUMMYFUNCTION("""COMPUTED_VALUE"""),"JavaFX - Java Programme mit Oberflächen / GUIs erstellen")</f>
        <v>JavaFX - Java Programme mit Oberflächen / GUIs erstellen</v>
      </c>
      <c r="N559" s="140" t="str">
        <f>IFERROR(__xludf.DUMMYFUNCTION("""COMPUTED_VALUE"""),"")</f>
        <v/>
      </c>
    </row>
    <row r="560">
      <c r="A560" s="143">
        <f>IFERROR(__xludf.DUMMYFUNCTION("""COMPUTED_VALUE"""),44407.0)</f>
        <v>44407</v>
      </c>
      <c r="B560">
        <f>IFERROR(__xludf.DUMMYFUNCTION("""COMPUTED_VALUE"""),735854.0)</f>
        <v>735854</v>
      </c>
      <c r="C560" t="str">
        <f>IFERROR(__xludf.DUMMYFUNCTION("""COMPUTED_VALUE"""),"de")</f>
        <v>de</v>
      </c>
      <c r="D560" t="str">
        <f>IFERROR(__xludf.DUMMYFUNCTION("""COMPUTED_VALUE"""),"Embarcadero Delphi für Anfänger und Fortgeschrittene")</f>
        <v>Embarcadero Delphi für Anfänger und Fortgeschrittene</v>
      </c>
      <c r="E560" t="str">
        <f>IFERROR(__xludf.DUMMYFUNCTION("""COMPUTED_VALUE"""),"Embarcadero Delphi for beginners and advanced")</f>
        <v>Embarcadero Delphi for beginners and advanced</v>
      </c>
      <c r="F560">
        <f>IFERROR(__xludf.DUMMYFUNCTION("""COMPUTED_VALUE"""),1.7264532E7)</f>
        <v>17264532</v>
      </c>
      <c r="G560" t="str">
        <f>IFERROR(__xludf.DUMMYFUNCTION("""COMPUTED_VALUE"""),"André Schaberick")</f>
        <v>André Schaberick</v>
      </c>
      <c r="H560" t="str">
        <f>IFERROR(__xludf.DUMMYFUNCTION("""COMPUTED_VALUE"""),"3 Flags")</f>
        <v>3 Flags</v>
      </c>
      <c r="I560" t="str">
        <f>IFERROR(__xludf.DUMMYFUNCTION("""COMPUTED_VALUE"""),"IT Operations")</f>
        <v>IT Operations</v>
      </c>
      <c r="J560" t="str">
        <f>IFERROR(__xludf.DUMMYFUNCTION("""COMPUTED_VALUE"""),"Network &amp; Security")</f>
        <v>Network &amp; Security</v>
      </c>
      <c r="L560" s="140" t="str">
        <f>IFERROR(__xludf.DUMMYFUNCTION("""COMPUTED_VALUE"""),"")</f>
        <v/>
      </c>
      <c r="N560" s="140" t="str">
        <f>IFERROR(__xludf.DUMMYFUNCTION("""COMPUTED_VALUE"""),"")</f>
        <v/>
      </c>
      <c r="O560" s="140" t="str">
        <f>IFERROR(__xludf.DUMMYFUNCTION("""COMPUTED_VALUE"""),"No Alternatives in Collection- 2/20/2021")</f>
        <v>No Alternatives in Collection- 2/20/2021</v>
      </c>
    </row>
    <row r="561">
      <c r="A561" s="143">
        <f>IFERROR(__xludf.DUMMYFUNCTION("""COMPUTED_VALUE"""),44407.0)</f>
        <v>44407</v>
      </c>
      <c r="B561">
        <f>IFERROR(__xludf.DUMMYFUNCTION("""COMPUTED_VALUE"""),780640.0)</f>
        <v>780640</v>
      </c>
      <c r="C561" t="str">
        <f>IFERROR(__xludf.DUMMYFUNCTION("""COMPUTED_VALUE"""),"en")</f>
        <v>en</v>
      </c>
      <c r="D561" t="str">
        <f>IFERROR(__xludf.DUMMYFUNCTION("""COMPUTED_VALUE"""),"Oracle Business Intelligence Enterprise Edition (OBIEE 11g)")</f>
        <v>Oracle Business Intelligence Enterprise Edition (OBIEE 11g)</v>
      </c>
      <c r="E561" t="str">
        <f>IFERROR(__xludf.DUMMYFUNCTION("""COMPUTED_VALUE"""),"Oracle Business Intelligence Enterprise Edition (OBIEE 11g)")</f>
        <v>Oracle Business Intelligence Enterprise Edition (OBIEE 11g)</v>
      </c>
      <c r="F561">
        <f>IFERROR(__xludf.DUMMYFUNCTION("""COMPUTED_VALUE"""),7158174.0)</f>
        <v>7158174</v>
      </c>
      <c r="G561" t="str">
        <f>IFERROR(__xludf.DUMMYFUNCTION("""COMPUTED_VALUE"""),"Habergeons Technologies")</f>
        <v>Habergeons Technologies</v>
      </c>
      <c r="H561" t="str">
        <f>IFERROR(__xludf.DUMMYFUNCTION("""COMPUTED_VALUE"""),"3 Flags")</f>
        <v>3 Flags</v>
      </c>
      <c r="I561" t="str">
        <f>IFERROR(__xludf.DUMMYFUNCTION("""COMPUTED_VALUE"""),"IT Operations")</f>
        <v>IT Operations</v>
      </c>
      <c r="J561" t="str">
        <f>IFERROR(__xludf.DUMMYFUNCTION("""COMPUTED_VALUE"""),"Database Administration")</f>
        <v>Database Administration</v>
      </c>
      <c r="L561" s="140" t="str">
        <f>IFERROR(__xludf.DUMMYFUNCTION("""COMPUTED_VALUE"""),"")</f>
        <v/>
      </c>
      <c r="N561" s="140" t="str">
        <f>IFERROR(__xludf.DUMMYFUNCTION("""COMPUTED_VALUE"""),"")</f>
        <v/>
      </c>
      <c r="O561" s="140" t="str">
        <f>IFERROR(__xludf.DUMMYFUNCTION("""COMPUTED_VALUE"""),"No Alternatives in Collection- 2/20/2021")</f>
        <v>No Alternatives in Collection- 2/20/2021</v>
      </c>
    </row>
    <row r="562">
      <c r="A562" s="143">
        <f>IFERROR(__xludf.DUMMYFUNCTION("""COMPUTED_VALUE"""),44407.0)</f>
        <v>44407</v>
      </c>
      <c r="B562">
        <f>IFERROR(__xludf.DUMMYFUNCTION("""COMPUTED_VALUE"""),1051702.0)</f>
        <v>1051702</v>
      </c>
      <c r="C562" t="str">
        <f>IFERROR(__xludf.DUMMYFUNCTION("""COMPUTED_VALUE"""),"es")</f>
        <v>es</v>
      </c>
      <c r="D562" t="str">
        <f>IFERROR(__xludf.DUMMYFUNCTION("""COMPUTED_VALUE"""),"Negocia como experto")</f>
        <v>Negocia como experto</v>
      </c>
      <c r="E562" t="str">
        <f>IFERROR(__xludf.DUMMYFUNCTION("""COMPUTED_VALUE"""),"Negotiate as an expert")</f>
        <v>Negotiate as an expert</v>
      </c>
      <c r="F562">
        <f>IFERROR(__xludf.DUMMYFUNCTION("""COMPUTED_VALUE"""),1.5967698E7)</f>
        <v>15967698</v>
      </c>
      <c r="G562" t="str">
        <f>IFERROR(__xludf.DUMMYFUNCTION("""COMPUTED_VALUE"""),"Ricardo Díaz G.")</f>
        <v>Ricardo Díaz G.</v>
      </c>
      <c r="H562" t="str">
        <f>IFERROR(__xludf.DUMMYFUNCTION("""COMPUTED_VALUE"""),"3 Flags")</f>
        <v>3 Flags</v>
      </c>
      <c r="I562" t="str">
        <f>IFERROR(__xludf.DUMMYFUNCTION("""COMPUTED_VALUE"""),"Leadership &amp; Management")</f>
        <v>Leadership &amp; Management</v>
      </c>
      <c r="J562" t="str">
        <f>IFERROR(__xludf.DUMMYFUNCTION("""COMPUTED_VALUE"""),"Communication")</f>
        <v>Communication</v>
      </c>
      <c r="K562">
        <f>IFERROR(__xludf.DUMMYFUNCTION("""COMPUTED_VALUE"""),899216.0)</f>
        <v>899216</v>
      </c>
      <c r="L562" s="140" t="str">
        <f>IFERROR(__xludf.DUMMYFUNCTION("""COMPUTED_VALUE"""),"Negociación: Cómo Negociar con Eficacia y Éxito")</f>
        <v>Negociación: Cómo Negociar con Eficacia y Éxito</v>
      </c>
      <c r="M562" s="155">
        <f>IFERROR(__xludf.DUMMYFUNCTION("""COMPUTED_VALUE"""),1868882.0)</f>
        <v>1868882</v>
      </c>
      <c r="N562" s="140" t="str">
        <f>IFERROR(__xludf.DUMMYFUNCTION("""COMPUTED_VALUE"""),"Negociación Creativa - El Modelo de Negociación de Harvard")</f>
        <v>Negociación Creativa - El Modelo de Negociación de Harvard</v>
      </c>
    </row>
    <row r="563">
      <c r="A563" s="143">
        <f>IFERROR(__xludf.DUMMYFUNCTION("""COMPUTED_VALUE"""),44407.0)</f>
        <v>44407</v>
      </c>
      <c r="B563">
        <f>IFERROR(__xludf.DUMMYFUNCTION("""COMPUTED_VALUE"""),1185096.0)</f>
        <v>1185096</v>
      </c>
      <c r="C563" t="str">
        <f>IFERROR(__xludf.DUMMYFUNCTION("""COMPUTED_VALUE"""),"es")</f>
        <v>es</v>
      </c>
      <c r="D563" t="str">
        <f>IFERROR(__xludf.DUMMYFUNCTION("""COMPUTED_VALUE"""),"Desarrollo Web Spring Framework 4.3 &amp; Hibernate")</f>
        <v>Desarrollo Web Spring Framework 4.3 &amp; Hibernate</v>
      </c>
      <c r="E563" t="str">
        <f>IFERROR(__xludf.DUMMYFUNCTION("""COMPUTED_VALUE"""),"Desarrollo Web Spring Framework 4.3 &amp; Hibernate")</f>
        <v>Desarrollo Web Spring Framework 4.3 &amp; Hibernate</v>
      </c>
      <c r="F563">
        <f>IFERROR(__xludf.DUMMYFUNCTION("""COMPUTED_VALUE"""),3.1337086E7)</f>
        <v>31337086</v>
      </c>
      <c r="G563" t="str">
        <f>IFERROR(__xludf.DUMMYFUNCTION("""COMPUTED_VALUE"""),"Andrés José Guzmán")</f>
        <v>Andrés José Guzmán</v>
      </c>
      <c r="H563" t="str">
        <f>IFERROR(__xludf.DUMMYFUNCTION("""COMPUTED_VALUE"""),"3 Flags")</f>
        <v>3 Flags</v>
      </c>
      <c r="I563" t="str">
        <f>IFERROR(__xludf.DUMMYFUNCTION("""COMPUTED_VALUE"""),"Development")</f>
        <v>Development</v>
      </c>
      <c r="J563" t="str">
        <f>IFERROR(__xludf.DUMMYFUNCTION("""COMPUTED_VALUE"""),"Web Development")</f>
        <v>Web Development</v>
      </c>
      <c r="L563" s="140" t="str">
        <f>IFERROR(__xludf.DUMMYFUNCTION("""COMPUTED_VALUE"""),"")</f>
        <v/>
      </c>
      <c r="N563" s="140" t="str">
        <f>IFERROR(__xludf.DUMMYFUNCTION("""COMPUTED_VALUE"""),"")</f>
        <v/>
      </c>
      <c r="O563" s="140" t="str">
        <f>IFERROR(__xludf.DUMMYFUNCTION("""COMPUTED_VALUE"""),"No Alternatives in Collection- 2/20/2021")</f>
        <v>No Alternatives in Collection- 2/20/2021</v>
      </c>
    </row>
    <row r="564">
      <c r="A564" s="143">
        <f>IFERROR(__xludf.DUMMYFUNCTION("""COMPUTED_VALUE"""),44407.0)</f>
        <v>44407</v>
      </c>
      <c r="B564">
        <f>IFERROR(__xludf.DUMMYFUNCTION("""COMPUTED_VALUE"""),1426848.0)</f>
        <v>1426848</v>
      </c>
      <c r="C564" t="str">
        <f>IFERROR(__xludf.DUMMYFUNCTION("""COMPUTED_VALUE"""),"es")</f>
        <v>es</v>
      </c>
      <c r="D564" t="str">
        <f>IFERROR(__xludf.DUMMYFUNCTION("""COMPUTED_VALUE"""),"Adobe InDesign CC: Curso Completo desde Cero")</f>
        <v>Adobe InDesign CC: Curso Completo desde Cero</v>
      </c>
      <c r="E564" t="str">
        <f>IFERROR(__xludf.DUMMYFUNCTION("""COMPUTED_VALUE"""),"Adobe InDesign CC: Complete course from scratch")</f>
        <v>Adobe InDesign CC: Complete course from scratch</v>
      </c>
      <c r="F564">
        <f>IFERROR(__xludf.DUMMYFUNCTION("""COMPUTED_VALUE"""),3252408.0)</f>
        <v>3252408</v>
      </c>
      <c r="G564" t="str">
        <f>IFERROR(__xludf.DUMMYFUNCTION("""COMPUTED_VALUE"""),"Felipe Nicholls")</f>
        <v>Felipe Nicholls</v>
      </c>
      <c r="H564" t="str">
        <f>IFERROR(__xludf.DUMMYFUNCTION("""COMPUTED_VALUE"""),"3 Flags")</f>
        <v>3 Flags</v>
      </c>
      <c r="I564" t="str">
        <f>IFERROR(__xludf.DUMMYFUNCTION("""COMPUTED_VALUE"""),"Design")</f>
        <v>Design</v>
      </c>
      <c r="J564" t="str">
        <f>IFERROR(__xludf.DUMMYFUNCTION("""COMPUTED_VALUE"""),"Design Tools")</f>
        <v>Design Tools</v>
      </c>
      <c r="K564">
        <f>IFERROR(__xludf.DUMMYFUNCTION("""COMPUTED_VALUE"""),1784656.0)</f>
        <v>1784656</v>
      </c>
      <c r="L564" s="140" t="str">
        <f>IFERROR(__xludf.DUMMYFUNCTION("""COMPUTED_VALUE"""),"Adobe InDesign CC Máster: De Básico a Profesional.")</f>
        <v>Adobe InDesign CC Máster: De Básico a Profesional.</v>
      </c>
      <c r="N564" s="140" t="str">
        <f>IFERROR(__xludf.DUMMYFUNCTION("""COMPUTED_VALUE"""),"")</f>
        <v/>
      </c>
    </row>
    <row r="565">
      <c r="A565" s="143">
        <f>IFERROR(__xludf.DUMMYFUNCTION("""COMPUTED_VALUE"""),44407.0)</f>
        <v>44407</v>
      </c>
      <c r="B565">
        <f>IFERROR(__xludf.DUMMYFUNCTION("""COMPUTED_VALUE"""),1500692.0)</f>
        <v>1500692</v>
      </c>
      <c r="C565" t="str">
        <f>IFERROR(__xludf.DUMMYFUNCTION("""COMPUTED_VALUE"""),"de")</f>
        <v>de</v>
      </c>
      <c r="D565" t="str">
        <f>IFERROR(__xludf.DUMMYFUNCTION("""COMPUTED_VALUE"""),"Angular 5 - Moderne Webseiten erstellen")</f>
        <v>Angular 5 - Moderne Webseiten erstellen</v>
      </c>
      <c r="E565" t="str">
        <f>IFERROR(__xludf.DUMMYFUNCTION("""COMPUTED_VALUE"""),"Angular 5 - Create modern web pages")</f>
        <v>Angular 5 - Create modern web pages</v>
      </c>
      <c r="F565">
        <f>IFERROR(__xludf.DUMMYFUNCTION("""COMPUTED_VALUE"""),3.3250852E7)</f>
        <v>33250852</v>
      </c>
      <c r="G565" t="str">
        <f>IFERROR(__xludf.DUMMYFUNCTION("""COMPUTED_VALUE"""),"Cedric Mössner")</f>
        <v>Cedric Mössner</v>
      </c>
      <c r="H565" t="str">
        <f>IFERROR(__xludf.DUMMYFUNCTION("""COMPUTED_VALUE"""),"3 Flags")</f>
        <v>3 Flags</v>
      </c>
      <c r="I565" t="str">
        <f>IFERROR(__xludf.DUMMYFUNCTION("""COMPUTED_VALUE"""),"Development")</f>
        <v>Development</v>
      </c>
      <c r="J565" t="str">
        <f>IFERROR(__xludf.DUMMYFUNCTION("""COMPUTED_VALUE"""),"Web Development")</f>
        <v>Web Development</v>
      </c>
      <c r="L565" s="140" t="str">
        <f>IFERROR(__xludf.DUMMYFUNCTION("""COMPUTED_VALUE"""),"")</f>
        <v/>
      </c>
      <c r="N565" s="140" t="str">
        <f>IFERROR(__xludf.DUMMYFUNCTION("""COMPUTED_VALUE"""),"")</f>
        <v/>
      </c>
      <c r="O565" s="140" t="str">
        <f>IFERROR(__xludf.DUMMYFUNCTION("""COMPUTED_VALUE"""),"No Alternatives in Collection- 2/20/2021")</f>
        <v>No Alternatives in Collection- 2/20/2021</v>
      </c>
    </row>
    <row r="566">
      <c r="A566" s="143">
        <f>IFERROR(__xludf.DUMMYFUNCTION("""COMPUTED_VALUE"""),44407.0)</f>
        <v>44407</v>
      </c>
      <c r="B566">
        <f>IFERROR(__xludf.DUMMYFUNCTION("""COMPUTED_VALUE"""),1573940.0)</f>
        <v>1573940</v>
      </c>
      <c r="C566" t="str">
        <f>IFERROR(__xludf.DUMMYFUNCTION("""COMPUTED_VALUE"""),"en")</f>
        <v>en</v>
      </c>
      <c r="D566" t="str">
        <f>IFERROR(__xludf.DUMMYFUNCTION("""COMPUTED_VALUE"""),"Oracle Database Administration Cloud Backup and Recovery")</f>
        <v>Oracle Database Administration Cloud Backup and Recovery</v>
      </c>
      <c r="E566" t="str">
        <f>IFERROR(__xludf.DUMMYFUNCTION("""COMPUTED_VALUE"""),"Oracle Database Administration Cloud Backup and Recovery")</f>
        <v>Oracle Database Administration Cloud Backup and Recovery</v>
      </c>
      <c r="F566">
        <f>IFERROR(__xludf.DUMMYFUNCTION("""COMPUTED_VALUE"""),3.5028788E7)</f>
        <v>35028788</v>
      </c>
      <c r="G566" t="str">
        <f>IFERROR(__xludf.DUMMYFUNCTION("""COMPUTED_VALUE"""),"Zulqarnain Hayat")</f>
        <v>Zulqarnain Hayat</v>
      </c>
      <c r="H566" t="str">
        <f>IFERROR(__xludf.DUMMYFUNCTION("""COMPUTED_VALUE"""),"3 Flags")</f>
        <v>3 Flags</v>
      </c>
      <c r="I566" t="str">
        <f>IFERROR(__xludf.DUMMYFUNCTION("""COMPUTED_VALUE"""),"IT Operations")</f>
        <v>IT Operations</v>
      </c>
      <c r="J566" t="str">
        <f>IFERROR(__xludf.DUMMYFUNCTION("""COMPUTED_VALUE"""),"Database Administration")</f>
        <v>Database Administration</v>
      </c>
      <c r="L566" s="140" t="str">
        <f>IFERROR(__xludf.DUMMYFUNCTION("""COMPUTED_VALUE"""),"")</f>
        <v/>
      </c>
      <c r="N566" s="140" t="str">
        <f>IFERROR(__xludf.DUMMYFUNCTION("""COMPUTED_VALUE"""),"")</f>
        <v/>
      </c>
      <c r="O566" s="140" t="str">
        <f>IFERROR(__xludf.DUMMYFUNCTION("""COMPUTED_VALUE"""),"No Alternatives in Collection- 2/20/2021")</f>
        <v>No Alternatives in Collection- 2/20/2021</v>
      </c>
    </row>
    <row r="567">
      <c r="A567" s="143">
        <f>IFERROR(__xludf.DUMMYFUNCTION("""COMPUTED_VALUE"""),44407.0)</f>
        <v>44407</v>
      </c>
      <c r="B567">
        <f>IFERROR(__xludf.DUMMYFUNCTION("""COMPUTED_VALUE"""),1673162.0)</f>
        <v>1673162</v>
      </c>
      <c r="C567" t="str">
        <f>IFERROR(__xludf.DUMMYFUNCTION("""COMPUTED_VALUE"""),"es")</f>
        <v>es</v>
      </c>
      <c r="D567" t="str">
        <f>IFERROR(__xludf.DUMMYFUNCTION("""COMPUTED_VALUE"""),"Crea una landing page EFECTIVA, gratuita y sin programar")</f>
        <v>Crea una landing page EFECTIVA, gratuita y sin programar</v>
      </c>
      <c r="E567" t="str">
        <f>IFERROR(__xludf.DUMMYFUNCTION("""COMPUTED_VALUE"""),"Create an effective, free and unprogrammed landing page")</f>
        <v>Create an effective, free and unprogrammed landing page</v>
      </c>
      <c r="F567">
        <f>IFERROR(__xludf.DUMMYFUNCTION("""COMPUTED_VALUE"""),1.441566E7)</f>
        <v>14415660</v>
      </c>
      <c r="G567" t="str">
        <f>IFERROR(__xludf.DUMMYFUNCTION("""COMPUTED_VALUE"""),"Luis Eduardo Amaya Uribe")</f>
        <v>Luis Eduardo Amaya Uribe</v>
      </c>
      <c r="H567" t="str">
        <f>IFERROR(__xludf.DUMMYFUNCTION("""COMPUTED_VALUE"""),"3 Flags")</f>
        <v>3 Flags</v>
      </c>
      <c r="I567" t="str">
        <f>IFERROR(__xludf.DUMMYFUNCTION("""COMPUTED_VALUE"""),"Marketing")</f>
        <v>Marketing</v>
      </c>
      <c r="J567" t="str">
        <f>IFERROR(__xludf.DUMMYFUNCTION("""COMPUTED_VALUE"""),"Digital Marketing")</f>
        <v>Digital Marketing</v>
      </c>
      <c r="K567">
        <f>IFERROR(__xludf.DUMMYFUNCTION("""COMPUTED_VALUE"""),1316648.0)</f>
        <v>1316648</v>
      </c>
      <c r="L567" s="140" t="str">
        <f>IFERROR(__xludf.DUMMYFUNCTION("""COMPUTED_VALUE"""),"Landing Pages y Embudos de Venta - Actualizado 2021")</f>
        <v>Landing Pages y Embudos de Venta - Actualizado 2021</v>
      </c>
      <c r="N567" s="140" t="str">
        <f>IFERROR(__xludf.DUMMYFUNCTION("""COMPUTED_VALUE"""),"")</f>
        <v/>
      </c>
    </row>
    <row r="568">
      <c r="A568" s="143">
        <f>IFERROR(__xludf.DUMMYFUNCTION("""COMPUTED_VALUE"""),44407.0)</f>
        <v>44407</v>
      </c>
      <c r="B568">
        <f>IFERROR(__xludf.DUMMYFUNCTION("""COMPUTED_VALUE"""),1824856.0)</f>
        <v>1824856</v>
      </c>
      <c r="C568" t="str">
        <f>IFERROR(__xludf.DUMMYFUNCTION("""COMPUTED_VALUE"""),"ja")</f>
        <v>ja</v>
      </c>
      <c r="D568" t="str">
        <f>IFERROR(__xludf.DUMMYFUNCTION("""COMPUTED_VALUE"""),"【ARKit2.0対応】6つのチャレンジでARKitを徹底攻略")</f>
        <v>【ARKit2.0対応】6つのチャレンジでARKitを徹底攻略</v>
      </c>
      <c r="E568" t="str">
        <f>IFERROR(__xludf.DUMMYFUNCTION("""COMPUTED_VALUE"""),"[ARKIT 2.0 correspondence] Thoroughly capture Arkit with six challenges")</f>
        <v>[ARKIT 2.0 correspondence] Thoroughly capture Arkit with six challenges</v>
      </c>
      <c r="F568">
        <f>IFERROR(__xludf.DUMMYFUNCTION("""COMPUTED_VALUE"""),4.889419E7)</f>
        <v>48894190</v>
      </c>
      <c r="G568" t="str">
        <f>IFERROR(__xludf.DUMMYFUNCTION("""COMPUTED_VALUE"""),"KBOY from Flutter大学")</f>
        <v>KBOY from Flutter大学</v>
      </c>
      <c r="H568" t="str">
        <f>IFERROR(__xludf.DUMMYFUNCTION("""COMPUTED_VALUE"""),"3 Flags")</f>
        <v>3 Flags</v>
      </c>
      <c r="I568" t="str">
        <f>IFERROR(__xludf.DUMMYFUNCTION("""COMPUTED_VALUE"""),"Development")</f>
        <v>Development</v>
      </c>
      <c r="J568" t="str">
        <f>IFERROR(__xludf.DUMMYFUNCTION("""COMPUTED_VALUE"""),"Mobile Development")</f>
        <v>Mobile Development</v>
      </c>
      <c r="L568" s="140" t="str">
        <f>IFERROR(__xludf.DUMMYFUNCTION("""COMPUTED_VALUE"""),"")</f>
        <v/>
      </c>
      <c r="N568" s="140" t="str">
        <f>IFERROR(__xludf.DUMMYFUNCTION("""COMPUTED_VALUE"""),"")</f>
        <v/>
      </c>
      <c r="O568" s="140" t="str">
        <f>IFERROR(__xludf.DUMMYFUNCTION("""COMPUTED_VALUE"""),"No Alternatives in Collection- 3/20")</f>
        <v>No Alternatives in Collection- 3/20</v>
      </c>
    </row>
    <row r="569">
      <c r="A569" s="143">
        <f>IFERROR(__xludf.DUMMYFUNCTION("""COMPUTED_VALUE"""),44407.0)</f>
        <v>44407</v>
      </c>
      <c r="B569">
        <f>IFERROR(__xludf.DUMMYFUNCTION("""COMPUTED_VALUE"""),1861088.0)</f>
        <v>1861088</v>
      </c>
      <c r="C569" t="str">
        <f>IFERROR(__xludf.DUMMYFUNCTION("""COMPUTED_VALUE"""),"en")</f>
        <v>en</v>
      </c>
      <c r="D569" t="str">
        <f>IFERROR(__xludf.DUMMYFUNCTION("""COMPUTED_VALUE"""),"Ionic 4 Crash Course with Heartstone API &amp; Angular")</f>
        <v>Ionic 4 Crash Course with Heartstone API &amp; Angular</v>
      </c>
      <c r="E569" t="str">
        <f>IFERROR(__xludf.DUMMYFUNCTION("""COMPUTED_VALUE"""),"Ionic 4 Crash Course with Heartstone API &amp; Angular")</f>
        <v>Ionic 4 Crash Course with Heartstone API &amp; Angular</v>
      </c>
      <c r="F569">
        <f>IFERROR(__xludf.DUMMYFUNCTION("""COMPUTED_VALUE"""),1.6261332E7)</f>
        <v>16261332</v>
      </c>
      <c r="G569" t="str">
        <f>IFERROR(__xludf.DUMMYFUNCTION("""COMPUTED_VALUE"""),"Filip Jerga")</f>
        <v>Filip Jerga</v>
      </c>
      <c r="H569" t="str">
        <f>IFERROR(__xludf.DUMMYFUNCTION("""COMPUTED_VALUE"""),"3 Flags")</f>
        <v>3 Flags</v>
      </c>
      <c r="I569" t="str">
        <f>IFERROR(__xludf.DUMMYFUNCTION("""COMPUTED_VALUE"""),"Development")</f>
        <v>Development</v>
      </c>
      <c r="J569" t="str">
        <f>IFERROR(__xludf.DUMMYFUNCTION("""COMPUTED_VALUE"""),"Mobile Development")</f>
        <v>Mobile Development</v>
      </c>
      <c r="K569">
        <f>IFERROR(__xludf.DUMMYFUNCTION("""COMPUTED_VALUE"""),1070124.0)</f>
        <v>1070124</v>
      </c>
      <c r="L569" s="140" t="str">
        <f>IFERROR(__xludf.DUMMYFUNCTION("""COMPUTED_VALUE"""),"Ionic - Build iOS, Android &amp; Web Apps with Ionic &amp; Angular")</f>
        <v>Ionic - Build iOS, Android &amp; Web Apps with Ionic &amp; Angular</v>
      </c>
      <c r="N569" s="140" t="str">
        <f>IFERROR(__xludf.DUMMYFUNCTION("""COMPUTED_VALUE"""),"")</f>
        <v/>
      </c>
    </row>
    <row r="570">
      <c r="A570" s="143">
        <f>IFERROR(__xludf.DUMMYFUNCTION("""COMPUTED_VALUE"""),44407.0)</f>
        <v>44407</v>
      </c>
      <c r="B570">
        <f>IFERROR(__xludf.DUMMYFUNCTION("""COMPUTED_VALUE"""),1876670.0)</f>
        <v>1876670</v>
      </c>
      <c r="C570" t="str">
        <f>IFERROR(__xludf.DUMMYFUNCTION("""COMPUTED_VALUE"""),"pt")</f>
        <v>pt</v>
      </c>
      <c r="D570" t="str">
        <f>IFERROR(__xludf.DUMMYFUNCTION("""COMPUTED_VALUE"""),"Desenvolva sua Liderança com o Programa TOOL")</f>
        <v>Desenvolva sua Liderança com o Programa TOOL</v>
      </c>
      <c r="E570" t="str">
        <f>IFERROR(__xludf.DUMMYFUNCTION("""COMPUTED_VALUE"""),"Develop your leadership with the Tool program")</f>
        <v>Develop your leadership with the Tool program</v>
      </c>
      <c r="F570">
        <f>IFERROR(__xludf.DUMMYFUNCTION("""COMPUTED_VALUE"""),5.367604E7)</f>
        <v>53676040</v>
      </c>
      <c r="G570" t="str">
        <f>IFERROR(__xludf.DUMMYFUNCTION("""COMPUTED_VALUE"""),"Ricardo Mallet")</f>
        <v>Ricardo Mallet</v>
      </c>
      <c r="H570" t="str">
        <f>IFERROR(__xludf.DUMMYFUNCTION("""COMPUTED_VALUE"""),"3 Flags")</f>
        <v>3 Flags</v>
      </c>
      <c r="I570" t="str">
        <f>IFERROR(__xludf.DUMMYFUNCTION("""COMPUTED_VALUE"""),"Leadership &amp; Management")</f>
        <v>Leadership &amp; Management</v>
      </c>
      <c r="J570" t="str">
        <f>IFERROR(__xludf.DUMMYFUNCTION("""COMPUTED_VALUE"""),"Leadership")</f>
        <v>Leadership</v>
      </c>
      <c r="K570">
        <f>IFERROR(__xludf.DUMMYFUNCTION("""COMPUTED_VALUE"""),1039944.0)</f>
        <v>1039944</v>
      </c>
      <c r="L570" s="140" t="str">
        <f>IFERROR(__xludf.DUMMYFUNCTION("""COMPUTED_VALUE"""),"Fundamentos da Liderança e como fazer Gestão de Pessoas")</f>
        <v>Fundamentos da Liderança e como fazer Gestão de Pessoas</v>
      </c>
      <c r="M570" s="155">
        <f>IFERROR(__xludf.DUMMYFUNCTION("""COMPUTED_VALUE"""),939842.0)</f>
        <v>939842</v>
      </c>
      <c r="N570" s="140" t="str">
        <f>IFERROR(__xludf.DUMMYFUNCTION("""COMPUTED_VALUE"""),"Liderança de Alta Performance")</f>
        <v>Liderança de Alta Performance</v>
      </c>
    </row>
    <row r="571">
      <c r="A571" s="143">
        <f>IFERROR(__xludf.DUMMYFUNCTION("""COMPUTED_VALUE"""),44407.0)</f>
        <v>44407</v>
      </c>
      <c r="B571">
        <f>IFERROR(__xludf.DUMMYFUNCTION("""COMPUTED_VALUE"""),2231456.0)</f>
        <v>2231456</v>
      </c>
      <c r="C571" t="str">
        <f>IFERROR(__xludf.DUMMYFUNCTION("""COMPUTED_VALUE"""),"pt")</f>
        <v>pt</v>
      </c>
      <c r="D571" t="str">
        <f>IFERROR(__xludf.DUMMYFUNCTION("""COMPUTED_VALUE"""),"Python para Data Science do Zero Absoluto ao Domínio em 5h")</f>
        <v>Python para Data Science do Zero Absoluto ao Domínio em 5h</v>
      </c>
      <c r="E571" t="str">
        <f>IFERROR(__xludf.DUMMYFUNCTION("""COMPUTED_VALUE"""),"Python for Data Science from absolute zero to domain at 5h")</f>
        <v>Python for Data Science from absolute zero to domain at 5h</v>
      </c>
      <c r="F571">
        <f>IFERROR(__xludf.DUMMYFUNCTION("""COMPUTED_VALUE"""),7480860.0)</f>
        <v>7480860</v>
      </c>
      <c r="G571" t="str">
        <f>IFERROR(__xludf.DUMMYFUNCTION("""COMPUTED_VALUE"""),"Isaías Lira")</f>
        <v>Isaías Lira</v>
      </c>
      <c r="H571" t="str">
        <f>IFERROR(__xludf.DUMMYFUNCTION("""COMPUTED_VALUE"""),"3 Flags")</f>
        <v>3 Flags</v>
      </c>
      <c r="I571" t="str">
        <f>IFERROR(__xludf.DUMMYFUNCTION("""COMPUTED_VALUE"""),"Data Science")</f>
        <v>Data Science</v>
      </c>
      <c r="J571" t="str">
        <f>IFERROR(__xludf.DUMMYFUNCTION("""COMPUTED_VALUE"""),"Big Data")</f>
        <v>Big Data</v>
      </c>
      <c r="K571">
        <f>IFERROR(__xludf.DUMMYFUNCTION("""COMPUTED_VALUE"""),1419916.0)</f>
        <v>1419916</v>
      </c>
      <c r="L571" s="140" t="str">
        <f>IFERROR(__xludf.DUMMYFUNCTION("""COMPUTED_VALUE"""),"Machine Learning e Data Science com Python de A à Z")</f>
        <v>Machine Learning e Data Science com Python de A à Z</v>
      </c>
      <c r="M571" s="155">
        <f>IFERROR(__xludf.DUMMYFUNCTION("""COMPUTED_VALUE"""),2531236.0)</f>
        <v>2531236</v>
      </c>
      <c r="N571" s="140" t="str">
        <f>IFERROR(__xludf.DUMMYFUNCTION("""COMPUTED_VALUE"""),"Data Science e Machine Learning com Estatística e Python")</f>
        <v>Data Science e Machine Learning com Estatística e Python</v>
      </c>
    </row>
    <row r="572">
      <c r="A572" s="143">
        <f>IFERROR(__xludf.DUMMYFUNCTION("""COMPUTED_VALUE"""),44407.0)</f>
        <v>44407</v>
      </c>
      <c r="B572">
        <f>IFERROR(__xludf.DUMMYFUNCTION("""COMPUTED_VALUE"""),3034862.0)</f>
        <v>3034862</v>
      </c>
      <c r="C572" t="str">
        <f>IFERROR(__xludf.DUMMYFUNCTION("""COMPUTED_VALUE"""),"en")</f>
        <v>en</v>
      </c>
      <c r="D572" t="str">
        <f>IFERROR(__xludf.DUMMYFUNCTION("""COMPUTED_VALUE"""),"Optimizing web performance and critical rendering path")</f>
        <v>Optimizing web performance and critical rendering path</v>
      </c>
      <c r="E572" t="str">
        <f>IFERROR(__xludf.DUMMYFUNCTION("""COMPUTED_VALUE"""),"Optimizing web performance and critical rendering path")</f>
        <v>Optimizing web performance and critical rendering path</v>
      </c>
      <c r="F572">
        <f>IFERROR(__xludf.DUMMYFUNCTION("""COMPUTED_VALUE"""),3.0354622E7)</f>
        <v>30354622</v>
      </c>
      <c r="G572" t="str">
        <f>IFERROR(__xludf.DUMMYFUNCTION("""COMPUTED_VALUE"""),"Vislavski Miroslav")</f>
        <v>Vislavski Miroslav</v>
      </c>
      <c r="H572" t="str">
        <f>IFERROR(__xludf.DUMMYFUNCTION("""COMPUTED_VALUE"""),"Instructor Request- Exclusivity")</f>
        <v>Instructor Request- Exclusivity</v>
      </c>
      <c r="I572" t="str">
        <f>IFERROR(__xludf.DUMMYFUNCTION("""COMPUTED_VALUE"""),"Development")</f>
        <v>Development</v>
      </c>
      <c r="J572" t="str">
        <f>IFERROR(__xludf.DUMMYFUNCTION("""COMPUTED_VALUE"""),"Web Development")</f>
        <v>Web Development</v>
      </c>
      <c r="K572">
        <f>IFERROR(__xludf.DUMMYFUNCTION("""COMPUTED_VALUE"""),1650610.0)</f>
        <v>1650610</v>
      </c>
      <c r="L572" s="140" t="str">
        <f>IFERROR(__xludf.DUMMYFUNCTION("""COMPUTED_VALUE"""),"The Complete Junior to Senior Web Developer Roadmap (2021)")</f>
        <v>The Complete Junior to Senior Web Developer Roadmap (2021)</v>
      </c>
      <c r="N572" s="140" t="str">
        <f>IFERROR(__xludf.DUMMYFUNCTION("""COMPUTED_VALUE"""),"")</f>
        <v/>
      </c>
    </row>
    <row r="573">
      <c r="A573" s="143">
        <f>IFERROR(__xludf.DUMMYFUNCTION("""COMPUTED_VALUE"""),44407.0)</f>
        <v>44407</v>
      </c>
      <c r="B573">
        <f>IFERROR(__xludf.DUMMYFUNCTION("""COMPUTED_VALUE"""),1899018.0)</f>
        <v>1899018</v>
      </c>
      <c r="C573" t="str">
        <f>IFERROR(__xludf.DUMMYFUNCTION("""COMPUTED_VALUE"""),"pt")</f>
        <v>pt</v>
      </c>
      <c r="D573" t="str">
        <f>IFERROR(__xludf.DUMMYFUNCTION("""COMPUTED_VALUE"""),"Dialogflow Completo-Domine a Criação de Assistentes Virtuais")</f>
        <v>Dialogflow Completo-Domine a Criação de Assistentes Virtuais</v>
      </c>
      <c r="E573" t="str">
        <f>IFERROR(__xludf.DUMMYFUNCTION("""COMPUTED_VALUE"""),"Dialogflow complete-dominate the creation of virtual assistants")</f>
        <v>Dialogflow complete-dominate the creation of virtual assistants</v>
      </c>
      <c r="F573">
        <f>IFERROR(__xludf.DUMMYFUNCTION("""COMPUTED_VALUE"""),1.4233182E7)</f>
        <v>14233182</v>
      </c>
      <c r="G573" t="str">
        <f>IFERROR(__xludf.DUMMYFUNCTION("""COMPUTED_VALUE"""),"Universidade Global")</f>
        <v>Universidade Global</v>
      </c>
      <c r="H573" t="str">
        <f>IFERROR(__xludf.DUMMYFUNCTION("""COMPUTED_VALUE"""),"Instructor Request- Outdated")</f>
        <v>Instructor Request- Outdated</v>
      </c>
      <c r="I573" t="str">
        <f>IFERROR(__xludf.DUMMYFUNCTION("""COMPUTED_VALUE"""),"Development")</f>
        <v>Development</v>
      </c>
      <c r="J573" t="str">
        <f>IFERROR(__xludf.DUMMYFUNCTION("""COMPUTED_VALUE"""),"Web Development")</f>
        <v>Web Development</v>
      </c>
      <c r="K573">
        <f>IFERROR(__xludf.DUMMYFUNCTION("""COMPUTED_VALUE"""),2397400.0)</f>
        <v>2397400</v>
      </c>
      <c r="L573" s="140" t="str">
        <f>IFERROR(__xludf.DUMMYFUNCTION("""COMPUTED_VALUE"""),"Dialogflow Avançado-Domine a Plataforma por Completo")</f>
        <v>Dialogflow Avançado-Domine a Plataforma por Completo</v>
      </c>
      <c r="N573" s="140" t="str">
        <f>IFERROR(__xludf.DUMMYFUNCTION("""COMPUTED_VALUE"""),"")</f>
        <v/>
      </c>
    </row>
    <row r="574">
      <c r="A574" s="143">
        <f>IFERROR(__xludf.DUMMYFUNCTION("""COMPUTED_VALUE"""),44407.0)</f>
        <v>44407</v>
      </c>
      <c r="B574">
        <f>IFERROR(__xludf.DUMMYFUNCTION("""COMPUTED_VALUE"""),872834.0)</f>
        <v>872834</v>
      </c>
      <c r="C574" t="str">
        <f>IFERROR(__xludf.DUMMYFUNCTION("""COMPUTED_VALUE"""),"en")</f>
        <v>en</v>
      </c>
      <c r="D574" t="str">
        <f>IFERROR(__xludf.DUMMYFUNCTION("""COMPUTED_VALUE"""),"Unsupervised Machine Learning Hidden Markov Models in Python")</f>
        <v>Unsupervised Machine Learning Hidden Markov Models in Python</v>
      </c>
      <c r="E574" t="str">
        <f>IFERROR(__xludf.DUMMYFUNCTION("""COMPUTED_VALUE"""),"Unsupervised Machine Learning Hidden Markov Models in Python")</f>
        <v>Unsupervised Machine Learning Hidden Markov Models in Python</v>
      </c>
      <c r="F574">
        <f>IFERROR(__xludf.DUMMYFUNCTION("""COMPUTED_VALUE"""),7.539175E7)</f>
        <v>75391750</v>
      </c>
      <c r="G574" t="str">
        <f>IFERROR(__xludf.DUMMYFUNCTION("""COMPUTED_VALUE"""),"Lazy Programmer Team")</f>
        <v>Lazy Programmer Team</v>
      </c>
      <c r="H574" t="str">
        <f>IFERROR(__xludf.DUMMYFUNCTION("""COMPUTED_VALUE"""),"Instructor Request- Opted Out")</f>
        <v>Instructor Request- Opted Out</v>
      </c>
      <c r="I574" t="str">
        <f>IFERROR(__xludf.DUMMYFUNCTION("""COMPUTED_VALUE"""),"Data Science")</f>
        <v>Data Science</v>
      </c>
      <c r="J574" t="str">
        <f>IFERROR(__xludf.DUMMYFUNCTION("""COMPUTED_VALUE"""),"Machine Learning")</f>
        <v>Machine Learning</v>
      </c>
      <c r="L574" s="140" t="str">
        <f>IFERROR(__xludf.DUMMYFUNCTION("""COMPUTED_VALUE"""),"")</f>
        <v/>
      </c>
      <c r="N574" s="140" t="str">
        <f>IFERROR(__xludf.DUMMYFUNCTION("""COMPUTED_VALUE"""),"")</f>
        <v/>
      </c>
      <c r="O574" s="140" t="str">
        <f>IFERROR(__xludf.DUMMYFUNCTION("""COMPUTED_VALUE"""),"No Alternatives in Collection- 2/21/2021")</f>
        <v>No Alternatives in Collection- 2/21/2021</v>
      </c>
    </row>
    <row r="575">
      <c r="A575" s="143">
        <f>IFERROR(__xludf.DUMMYFUNCTION("""COMPUTED_VALUE"""),44407.0)</f>
        <v>44407</v>
      </c>
      <c r="B575">
        <f>IFERROR(__xludf.DUMMYFUNCTION("""COMPUTED_VALUE"""),2020688.0)</f>
        <v>2020688</v>
      </c>
      <c r="C575" t="str">
        <f>IFERROR(__xludf.DUMMYFUNCTION("""COMPUTED_VALUE"""),"en")</f>
        <v>en</v>
      </c>
      <c r="D575" t="str">
        <f>IFERROR(__xludf.DUMMYFUNCTION("""COMPUTED_VALUE"""),"Machine Learning and AI: Support Vector Machines in Python")</f>
        <v>Machine Learning and AI: Support Vector Machines in Python</v>
      </c>
      <c r="E575" t="str">
        <f>IFERROR(__xludf.DUMMYFUNCTION("""COMPUTED_VALUE"""),"Machine Learning and AI: Support Vector Machines in Python")</f>
        <v>Machine Learning and AI: Support Vector Machines in Python</v>
      </c>
      <c r="F575">
        <f>IFERROR(__xludf.DUMMYFUNCTION("""COMPUTED_VALUE"""),7.539175E7)</f>
        <v>75391750</v>
      </c>
      <c r="G575" t="str">
        <f>IFERROR(__xludf.DUMMYFUNCTION("""COMPUTED_VALUE"""),"Lazy Programmer Team")</f>
        <v>Lazy Programmer Team</v>
      </c>
      <c r="H575" t="str">
        <f>IFERROR(__xludf.DUMMYFUNCTION("""COMPUTED_VALUE"""),"Instructor Request- Opted Out")</f>
        <v>Instructor Request- Opted Out</v>
      </c>
      <c r="I575" t="str">
        <f>IFERROR(__xludf.DUMMYFUNCTION("""COMPUTED_VALUE"""),"Data Science")</f>
        <v>Data Science</v>
      </c>
      <c r="J575" t="str">
        <f>IFERROR(__xludf.DUMMYFUNCTION("""COMPUTED_VALUE"""),"Machine Learning")</f>
        <v>Machine Learning</v>
      </c>
      <c r="K575">
        <f>IFERROR(__xludf.DUMMYFUNCTION("""COMPUTED_VALUE"""),903744.0)</f>
        <v>903744</v>
      </c>
      <c r="L575" s="140" t="str">
        <f>IFERROR(__xludf.DUMMYFUNCTION("""COMPUTED_VALUE"""),"Python for Data Science and Machine Learning Bootcamp")</f>
        <v>Python for Data Science and Machine Learning Bootcamp</v>
      </c>
      <c r="N575" s="140" t="str">
        <f>IFERROR(__xludf.DUMMYFUNCTION("""COMPUTED_VALUE"""),"")</f>
        <v/>
      </c>
    </row>
    <row r="576">
      <c r="A576" s="143">
        <f>IFERROR(__xludf.DUMMYFUNCTION("""COMPUTED_VALUE"""),44407.0)</f>
        <v>44407</v>
      </c>
      <c r="B576">
        <f>IFERROR(__xludf.DUMMYFUNCTION("""COMPUTED_VALUE"""),1281492.0)</f>
        <v>1281492</v>
      </c>
      <c r="C576" t="str">
        <f>IFERROR(__xludf.DUMMYFUNCTION("""COMPUTED_VALUE"""),"en")</f>
        <v>en</v>
      </c>
      <c r="D576" t="str">
        <f>IFERROR(__xludf.DUMMYFUNCTION("""COMPUTED_VALUE"""),"Deep Learning: GANs and Variational Autoencoders")</f>
        <v>Deep Learning: GANs and Variational Autoencoders</v>
      </c>
      <c r="E576" t="str">
        <f>IFERROR(__xludf.DUMMYFUNCTION("""COMPUTED_VALUE"""),"Deep Learning: GANs and Variational Autoencoders")</f>
        <v>Deep Learning: GANs and Variational Autoencoders</v>
      </c>
      <c r="F576">
        <f>IFERROR(__xludf.DUMMYFUNCTION("""COMPUTED_VALUE"""),7.539175E7)</f>
        <v>75391750</v>
      </c>
      <c r="G576" t="str">
        <f>IFERROR(__xludf.DUMMYFUNCTION("""COMPUTED_VALUE"""),"Lazy Programmer Team")</f>
        <v>Lazy Programmer Team</v>
      </c>
      <c r="H576" t="str">
        <f>IFERROR(__xludf.DUMMYFUNCTION("""COMPUTED_VALUE"""),"Instructor Request- Opted Out")</f>
        <v>Instructor Request- Opted Out</v>
      </c>
      <c r="I576" t="str">
        <f>IFERROR(__xludf.DUMMYFUNCTION("""COMPUTED_VALUE"""),"Data Science")</f>
        <v>Data Science</v>
      </c>
      <c r="J576" t="str">
        <f>IFERROR(__xludf.DUMMYFUNCTION("""COMPUTED_VALUE"""),"Machine Learning")</f>
        <v>Machine Learning</v>
      </c>
      <c r="L576" s="140" t="str">
        <f>IFERROR(__xludf.DUMMYFUNCTION("""COMPUTED_VALUE"""),"")</f>
        <v/>
      </c>
      <c r="N576" s="140" t="str">
        <f>IFERROR(__xludf.DUMMYFUNCTION("""COMPUTED_VALUE"""),"")</f>
        <v/>
      </c>
      <c r="O576" s="140" t="str">
        <f>IFERROR(__xludf.DUMMYFUNCTION("""COMPUTED_VALUE"""),"No Alternatives in Collection- 2/21/2021")</f>
        <v>No Alternatives in Collection- 2/21/2021</v>
      </c>
    </row>
    <row r="577">
      <c r="A577" s="143">
        <f>IFERROR(__xludf.DUMMYFUNCTION("""COMPUTED_VALUE"""),44407.0)</f>
        <v>44407</v>
      </c>
      <c r="B577">
        <f>IFERROR(__xludf.DUMMYFUNCTION("""COMPUTED_VALUE"""),1070824.0)</f>
        <v>1070824</v>
      </c>
      <c r="C577" t="str">
        <f>IFERROR(__xludf.DUMMYFUNCTION("""COMPUTED_VALUE"""),"en")</f>
        <v>en</v>
      </c>
      <c r="D577" t="str">
        <f>IFERROR(__xludf.DUMMYFUNCTION("""COMPUTED_VALUE"""),"Snort Intrusion Detection, Rule Writing, and PCAP Analysis")</f>
        <v>Snort Intrusion Detection, Rule Writing, and PCAP Analysis</v>
      </c>
      <c r="E577" t="str">
        <f>IFERROR(__xludf.DUMMYFUNCTION("""COMPUTED_VALUE"""),"Snort Intrusion Detection, Rule Writing, and PCAP Analysis")</f>
        <v>Snort Intrusion Detection, Rule Writing, and PCAP Analysis</v>
      </c>
      <c r="F577">
        <f>IFERROR(__xludf.DUMMYFUNCTION("""COMPUTED_VALUE"""),1.9679032E7)</f>
        <v>19679032</v>
      </c>
      <c r="G577" t="str">
        <f>IFERROR(__xludf.DUMMYFUNCTION("""COMPUTED_VALUE"""),"Jesse Kurrus, M.S., OSCP, CEH, Security+, Linux+, Network+, CISSP")</f>
        <v>Jesse Kurrus, M.S., OSCP, CEH, Security+, Linux+, Network+, CISSP</v>
      </c>
      <c r="H577" t="str">
        <f>IFERROR(__xludf.DUMMYFUNCTION("""COMPUTED_VALUE"""),"Instructor Request- Outdated")</f>
        <v>Instructor Request- Outdated</v>
      </c>
      <c r="I577" t="str">
        <f>IFERROR(__xludf.DUMMYFUNCTION("""COMPUTED_VALUE"""),"IT Operations")</f>
        <v>IT Operations</v>
      </c>
      <c r="J577" t="str">
        <f>IFERROR(__xludf.DUMMYFUNCTION("""COMPUTED_VALUE"""),"Network &amp; Security")</f>
        <v>Network &amp; Security</v>
      </c>
      <c r="L577" s="140" t="str">
        <f>IFERROR(__xludf.DUMMYFUNCTION("""COMPUTED_VALUE"""),"")</f>
        <v/>
      </c>
      <c r="N577" s="140" t="str">
        <f>IFERROR(__xludf.DUMMYFUNCTION("""COMPUTED_VALUE"""),"")</f>
        <v/>
      </c>
      <c r="O577" s="140" t="str">
        <f>IFERROR(__xludf.DUMMYFUNCTION("""COMPUTED_VALUE"""),"No Alternatives in Collection- 2/21/2021")</f>
        <v>No Alternatives in Collection- 2/21/2021</v>
      </c>
    </row>
    <row r="578">
      <c r="A578" s="143">
        <f>IFERROR(__xludf.DUMMYFUNCTION("""COMPUTED_VALUE"""),44407.0)</f>
        <v>44407</v>
      </c>
      <c r="B578">
        <f>IFERROR(__xludf.DUMMYFUNCTION("""COMPUTED_VALUE"""),1205570.0)</f>
        <v>1205570</v>
      </c>
      <c r="C578" t="str">
        <f>IFERROR(__xludf.DUMMYFUNCTION("""COMPUTED_VALUE"""),"en")</f>
        <v>en</v>
      </c>
      <c r="D578" t="str">
        <f>IFERROR(__xludf.DUMMYFUNCTION("""COMPUTED_VALUE"""),"Network Security Analysis Using Wireshark, Snort, and SO")</f>
        <v>Network Security Analysis Using Wireshark, Snort, and SO</v>
      </c>
      <c r="E578" t="str">
        <f>IFERROR(__xludf.DUMMYFUNCTION("""COMPUTED_VALUE"""),"Network Security Analysis Using Wireshark, Snort, and SO")</f>
        <v>Network Security Analysis Using Wireshark, Snort, and SO</v>
      </c>
      <c r="F578">
        <f>IFERROR(__xludf.DUMMYFUNCTION("""COMPUTED_VALUE"""),1.9679032E7)</f>
        <v>19679032</v>
      </c>
      <c r="G578" t="str">
        <f>IFERROR(__xludf.DUMMYFUNCTION("""COMPUTED_VALUE"""),"Jesse Kurrus, M.S., OSCP, CEH, Security+, Linux+, Network+, CISSP")</f>
        <v>Jesse Kurrus, M.S., OSCP, CEH, Security+, Linux+, Network+, CISSP</v>
      </c>
      <c r="H578" t="str">
        <f>IFERROR(__xludf.DUMMYFUNCTION("""COMPUTED_VALUE"""),"Instructor Request- Outdated")</f>
        <v>Instructor Request- Outdated</v>
      </c>
      <c r="I578" t="str">
        <f>IFERROR(__xludf.DUMMYFUNCTION("""COMPUTED_VALUE"""),"IT Operations")</f>
        <v>IT Operations</v>
      </c>
      <c r="J578" t="str">
        <f>IFERROR(__xludf.DUMMYFUNCTION("""COMPUTED_VALUE"""),"Network &amp; Security")</f>
        <v>Network &amp; Security</v>
      </c>
      <c r="K578">
        <f>IFERROR(__xludf.DUMMYFUNCTION("""COMPUTED_VALUE"""),2351336.0)</f>
        <v>2351336</v>
      </c>
      <c r="L578" s="140" t="str">
        <f>IFERROR(__xludf.DUMMYFUNCTION("""COMPUTED_VALUE"""),"Wireshark: Packet Analysis and Ethical Hacking: Core Skills")</f>
        <v>Wireshark: Packet Analysis and Ethical Hacking: Core Skills</v>
      </c>
      <c r="N578" s="140" t="str">
        <f>IFERROR(__xludf.DUMMYFUNCTION("""COMPUTED_VALUE"""),"")</f>
        <v/>
      </c>
    </row>
    <row r="579">
      <c r="A579" s="143">
        <f>IFERROR(__xludf.DUMMYFUNCTION("""COMPUTED_VALUE"""),44407.0)</f>
        <v>44407</v>
      </c>
      <c r="B579">
        <f>IFERROR(__xludf.DUMMYFUNCTION("""COMPUTED_VALUE"""),2313274.0)</f>
        <v>2313274</v>
      </c>
      <c r="C579" t="str">
        <f>IFERROR(__xludf.DUMMYFUNCTION("""COMPUTED_VALUE"""),"en")</f>
        <v>en</v>
      </c>
      <c r="D579" t="str">
        <f>IFERROR(__xludf.DUMMYFUNCTION("""COMPUTED_VALUE"""),"Affinity Photo for the iPad: Special Effects")</f>
        <v>Affinity Photo for the iPad: Special Effects</v>
      </c>
      <c r="E579" t="str">
        <f>IFERROR(__xludf.DUMMYFUNCTION("""COMPUTED_VALUE"""),"Affinity Photo for the iPad: Special Effects")</f>
        <v>Affinity Photo for the iPad: Special Effects</v>
      </c>
      <c r="F579">
        <f>IFERROR(__xludf.DUMMYFUNCTION("""COMPUTED_VALUE"""),1.184796E7)</f>
        <v>11847960</v>
      </c>
      <c r="G579" t="str">
        <f>IFERROR(__xludf.DUMMYFUNCTION("""COMPUTED_VALUE"""),"Simon Foster")</f>
        <v>Simon Foster</v>
      </c>
      <c r="H579" t="str">
        <f>IFERROR(__xludf.DUMMYFUNCTION("""COMPUTED_VALUE"""),"Instructor Request- Opted Out")</f>
        <v>Instructor Request- Opted Out</v>
      </c>
      <c r="I579" t="str">
        <f>IFERROR(__xludf.DUMMYFUNCTION("""COMPUTED_VALUE"""),"Design")</f>
        <v>Design</v>
      </c>
      <c r="J579" t="str">
        <f>IFERROR(__xludf.DUMMYFUNCTION("""COMPUTED_VALUE"""),"Design Tools")</f>
        <v>Design Tools</v>
      </c>
      <c r="L579" s="140" t="str">
        <f>IFERROR(__xludf.DUMMYFUNCTION("""COMPUTED_VALUE"""),"")</f>
        <v/>
      </c>
      <c r="N579" s="140" t="str">
        <f>IFERROR(__xludf.DUMMYFUNCTION("""COMPUTED_VALUE"""),"")</f>
        <v/>
      </c>
      <c r="O579" s="140" t="str">
        <f>IFERROR(__xludf.DUMMYFUNCTION("""COMPUTED_VALUE"""),"No Alternatives in Collection- 2/21/2021")</f>
        <v>No Alternatives in Collection- 2/21/2021</v>
      </c>
    </row>
    <row r="580">
      <c r="A580" s="143">
        <f>IFERROR(__xludf.DUMMYFUNCTION("""COMPUTED_VALUE"""),44407.0)</f>
        <v>44407</v>
      </c>
      <c r="B580">
        <f>IFERROR(__xludf.DUMMYFUNCTION("""COMPUTED_VALUE"""),1411952.0)</f>
        <v>1411952</v>
      </c>
      <c r="C580" t="str">
        <f>IFERROR(__xludf.DUMMYFUNCTION("""COMPUTED_VALUE"""),"en")</f>
        <v>en</v>
      </c>
      <c r="D580" t="str">
        <f>IFERROR(__xludf.DUMMYFUNCTION("""COMPUTED_VALUE"""),"Affinity Photo for the iPad")</f>
        <v>Affinity Photo for the iPad</v>
      </c>
      <c r="E580" t="str">
        <f>IFERROR(__xludf.DUMMYFUNCTION("""COMPUTED_VALUE"""),"Affinity Photo for the iPad")</f>
        <v>Affinity Photo for the iPad</v>
      </c>
      <c r="F580">
        <f>IFERROR(__xludf.DUMMYFUNCTION("""COMPUTED_VALUE"""),1.184796E7)</f>
        <v>11847960</v>
      </c>
      <c r="G580" t="str">
        <f>IFERROR(__xludf.DUMMYFUNCTION("""COMPUTED_VALUE"""),"Simon Foster")</f>
        <v>Simon Foster</v>
      </c>
      <c r="H580" t="str">
        <f>IFERROR(__xludf.DUMMYFUNCTION("""COMPUTED_VALUE"""),"Instructor Request- Opted Out")</f>
        <v>Instructor Request- Opted Out</v>
      </c>
      <c r="I580" t="str">
        <f>IFERROR(__xludf.DUMMYFUNCTION("""COMPUTED_VALUE"""),"Design")</f>
        <v>Design</v>
      </c>
      <c r="J580" t="str">
        <f>IFERROR(__xludf.DUMMYFUNCTION("""COMPUTED_VALUE"""),"Design Tools")</f>
        <v>Design Tools</v>
      </c>
      <c r="L580" s="140" t="str">
        <f>IFERROR(__xludf.DUMMYFUNCTION("""COMPUTED_VALUE"""),"")</f>
        <v/>
      </c>
      <c r="N580" s="140" t="str">
        <f>IFERROR(__xludf.DUMMYFUNCTION("""COMPUTED_VALUE"""),"")</f>
        <v/>
      </c>
      <c r="O580" s="140" t="str">
        <f>IFERROR(__xludf.DUMMYFUNCTION("""COMPUTED_VALUE"""),"No Alternatives in Collection- 2/21/2021")</f>
        <v>No Alternatives in Collection- 2/21/2021</v>
      </c>
    </row>
    <row r="581">
      <c r="A581" s="143">
        <f>IFERROR(__xludf.DUMMYFUNCTION("""COMPUTED_VALUE"""),44407.0)</f>
        <v>44407</v>
      </c>
      <c r="B581">
        <f>IFERROR(__xludf.DUMMYFUNCTION("""COMPUTED_VALUE"""),839384.0)</f>
        <v>839384</v>
      </c>
      <c r="C581" t="str">
        <f>IFERROR(__xludf.DUMMYFUNCTION("""COMPUTED_VALUE"""),"en")</f>
        <v>en</v>
      </c>
      <c r="D581" t="str">
        <f>IFERROR(__xludf.DUMMYFUNCTION("""COMPUTED_VALUE"""),"Affinity Photo: Raw Image Development")</f>
        <v>Affinity Photo: Raw Image Development</v>
      </c>
      <c r="E581" t="str">
        <f>IFERROR(__xludf.DUMMYFUNCTION("""COMPUTED_VALUE"""),"Affinity Photo: Raw Image Development")</f>
        <v>Affinity Photo: Raw Image Development</v>
      </c>
      <c r="F581">
        <f>IFERROR(__xludf.DUMMYFUNCTION("""COMPUTED_VALUE"""),1.184796E7)</f>
        <v>11847960</v>
      </c>
      <c r="G581" t="str">
        <f>IFERROR(__xludf.DUMMYFUNCTION("""COMPUTED_VALUE"""),"Simon Foster")</f>
        <v>Simon Foster</v>
      </c>
      <c r="H581" t="str">
        <f>IFERROR(__xludf.DUMMYFUNCTION("""COMPUTED_VALUE"""),"Instructor Request- Opted Out")</f>
        <v>Instructor Request- Opted Out</v>
      </c>
      <c r="I581" t="str">
        <f>IFERROR(__xludf.DUMMYFUNCTION("""COMPUTED_VALUE"""),"Design")</f>
        <v>Design</v>
      </c>
      <c r="J581" t="str">
        <f>IFERROR(__xludf.DUMMYFUNCTION("""COMPUTED_VALUE"""),"Graphic Design")</f>
        <v>Graphic Design</v>
      </c>
      <c r="L581" s="140" t="str">
        <f>IFERROR(__xludf.DUMMYFUNCTION("""COMPUTED_VALUE"""),"")</f>
        <v/>
      </c>
      <c r="N581" s="140" t="str">
        <f>IFERROR(__xludf.DUMMYFUNCTION("""COMPUTED_VALUE"""),"")</f>
        <v/>
      </c>
      <c r="O581" s="140" t="str">
        <f>IFERROR(__xludf.DUMMYFUNCTION("""COMPUTED_VALUE"""),"No Alternatives in Collection- 2/21/2021")</f>
        <v>No Alternatives in Collection- 2/21/2021</v>
      </c>
    </row>
    <row r="582">
      <c r="A582" s="143">
        <f>IFERROR(__xludf.DUMMYFUNCTION("""COMPUTED_VALUE"""),44407.0)</f>
        <v>44407</v>
      </c>
      <c r="B582">
        <f>IFERROR(__xludf.DUMMYFUNCTION("""COMPUTED_VALUE"""),794572.0)</f>
        <v>794572</v>
      </c>
      <c r="C582" t="str">
        <f>IFERROR(__xludf.DUMMYFUNCTION("""COMPUTED_VALUE"""),"en")</f>
        <v>en</v>
      </c>
      <c r="D582" t="str">
        <f>IFERROR(__xludf.DUMMYFUNCTION("""COMPUTED_VALUE"""),"Affinity Photo: Solid Foundations")</f>
        <v>Affinity Photo: Solid Foundations</v>
      </c>
      <c r="E582" t="str">
        <f>IFERROR(__xludf.DUMMYFUNCTION("""COMPUTED_VALUE"""),"Affinity Photo: Solid Foundations")</f>
        <v>Affinity Photo: Solid Foundations</v>
      </c>
      <c r="F582">
        <f>IFERROR(__xludf.DUMMYFUNCTION("""COMPUTED_VALUE"""),1.184796E7)</f>
        <v>11847960</v>
      </c>
      <c r="G582" t="str">
        <f>IFERROR(__xludf.DUMMYFUNCTION("""COMPUTED_VALUE"""),"Simon Foster")</f>
        <v>Simon Foster</v>
      </c>
      <c r="H582" t="str">
        <f>IFERROR(__xludf.DUMMYFUNCTION("""COMPUTED_VALUE"""),"Instructor Request- Opted Out")</f>
        <v>Instructor Request- Opted Out</v>
      </c>
      <c r="I582" t="str">
        <f>IFERROR(__xludf.DUMMYFUNCTION("""COMPUTED_VALUE"""),"Design")</f>
        <v>Design</v>
      </c>
      <c r="J582" t="str">
        <f>IFERROR(__xludf.DUMMYFUNCTION("""COMPUTED_VALUE"""),"Graphic Design")</f>
        <v>Graphic Design</v>
      </c>
      <c r="L582" s="140" t="str">
        <f>IFERROR(__xludf.DUMMYFUNCTION("""COMPUTED_VALUE"""),"")</f>
        <v/>
      </c>
      <c r="N582" s="140" t="str">
        <f>IFERROR(__xludf.DUMMYFUNCTION("""COMPUTED_VALUE"""),"")</f>
        <v/>
      </c>
      <c r="O582" s="140" t="str">
        <f>IFERROR(__xludf.DUMMYFUNCTION("""COMPUTED_VALUE"""),"No Alternatives in Collection- 2/21/2021")</f>
        <v>No Alternatives in Collection- 2/21/2021</v>
      </c>
    </row>
    <row r="583">
      <c r="A583" s="143">
        <f>IFERROR(__xludf.DUMMYFUNCTION("""COMPUTED_VALUE"""),44407.0)</f>
        <v>44407</v>
      </c>
      <c r="B583">
        <f>IFERROR(__xludf.DUMMYFUNCTION("""COMPUTED_VALUE"""),1725776.0)</f>
        <v>1725776</v>
      </c>
      <c r="C583" t="str">
        <f>IFERROR(__xludf.DUMMYFUNCTION("""COMPUTED_VALUE"""),"fr")</f>
        <v>fr</v>
      </c>
      <c r="D583" t="str">
        <f>IFERROR(__xludf.DUMMYFUNCTION("""COMPUTED_VALUE"""),"Préparation à la Certification PMP6- OBSOLETE: ancienne vers")</f>
        <v>Préparation à la Certification PMP6- OBSOLETE: ancienne vers</v>
      </c>
      <c r="E583" t="str">
        <f>IFERROR(__xludf.DUMMYFUNCTION("""COMPUTED_VALUE"""),"Preparation for PMP6- Obsolete certification: old to")</f>
        <v>Preparation for PMP6- Obsolete certification: old to</v>
      </c>
      <c r="F583">
        <f>IFERROR(__xludf.DUMMYFUNCTION("""COMPUTED_VALUE"""),5154746.0)</f>
        <v>5154746</v>
      </c>
      <c r="G583" t="str">
        <f>IFERROR(__xludf.DUMMYFUNCTION("""COMPUTED_VALUE"""),"MN F")</f>
        <v>MN F</v>
      </c>
      <c r="H583" t="str">
        <f>IFERROR(__xludf.DUMMYFUNCTION("""COMPUTED_VALUE"""),"Instructor Request- Opted Out")</f>
        <v>Instructor Request- Opted Out</v>
      </c>
      <c r="I583" t="str">
        <f>IFERROR(__xludf.DUMMYFUNCTION("""COMPUTED_VALUE"""),"Project Management &amp; Operations")</f>
        <v>Project Management &amp; Operations</v>
      </c>
      <c r="J583" t="str">
        <f>IFERROR(__xludf.DUMMYFUNCTION("""COMPUTED_VALUE"""),"Project Management Certifications")</f>
        <v>Project Management Certifications</v>
      </c>
      <c r="L583" s="140" t="str">
        <f>IFERROR(__xludf.DUMMYFUNCTION("""COMPUTED_VALUE"""),"")</f>
        <v/>
      </c>
      <c r="N583" s="140" t="str">
        <f>IFERROR(__xludf.DUMMYFUNCTION("""COMPUTED_VALUE"""),"")</f>
        <v/>
      </c>
      <c r="O583" s="140" t="str">
        <f>IFERROR(__xludf.DUMMYFUNCTION("""COMPUTED_VALUE"""),"No Alternatives in Collection- 2/21/2021")</f>
        <v>No Alternatives in Collection- 2/21/2021</v>
      </c>
    </row>
    <row r="584">
      <c r="A584" s="143">
        <f>IFERROR(__xludf.DUMMYFUNCTION("""COMPUTED_VALUE"""),44407.0)</f>
        <v>44407</v>
      </c>
      <c r="B584">
        <f>IFERROR(__xludf.DUMMYFUNCTION("""COMPUTED_VALUE"""),1488132.0)</f>
        <v>1488132</v>
      </c>
      <c r="C584" t="str">
        <f>IFERROR(__xludf.DUMMYFUNCTION("""COMPUTED_VALUE"""),"en")</f>
        <v>en</v>
      </c>
      <c r="D584" t="str">
        <f>IFERROR(__xludf.DUMMYFUNCTION("""COMPUTED_VALUE"""),"CDI/CD with TeamCity From Beginner to Advanced")</f>
        <v>CDI/CD with TeamCity From Beginner to Advanced</v>
      </c>
      <c r="E584" t="str">
        <f>IFERROR(__xludf.DUMMYFUNCTION("""COMPUTED_VALUE"""),"CDI/CD with TeamCity From Beginner to Advanced")</f>
        <v>CDI/CD with TeamCity From Beginner to Advanced</v>
      </c>
      <c r="F584">
        <f>IFERROR(__xludf.DUMMYFUNCTION("""COMPUTED_VALUE"""),1.8350228E7)</f>
        <v>18350228</v>
      </c>
      <c r="G584" t="str">
        <f>IFERROR(__xludf.DUMMYFUNCTION("""COMPUTED_VALUE"""),"Aref K.")</f>
        <v>Aref K.</v>
      </c>
      <c r="H584" t="str">
        <f>IFERROR(__xludf.DUMMYFUNCTION("""COMPUTED_VALUE"""),"Instructor Request- Outdated")</f>
        <v>Instructor Request- Outdated</v>
      </c>
      <c r="I584" t="str">
        <f>IFERROR(__xludf.DUMMYFUNCTION("""COMPUTED_VALUE"""),"Development")</f>
        <v>Development</v>
      </c>
      <c r="J584" t="str">
        <f>IFERROR(__xludf.DUMMYFUNCTION("""COMPUTED_VALUE"""),"Development Tools")</f>
        <v>Development Tools</v>
      </c>
      <c r="K584">
        <f>IFERROR(__xludf.DUMMYFUNCTION("""COMPUTED_VALUE"""),2755630.0)</f>
        <v>2755630</v>
      </c>
      <c r="L584" s="140" t="str">
        <f>IFERROR(__xludf.DUMMYFUNCTION("""COMPUTED_VALUE"""),"Mastering CI/CD with TeamCity and Octopus Deploy")</f>
        <v>Mastering CI/CD with TeamCity and Octopus Deploy</v>
      </c>
      <c r="N584" s="140" t="str">
        <f>IFERROR(__xludf.DUMMYFUNCTION("""COMPUTED_VALUE"""),"")</f>
        <v/>
      </c>
    </row>
    <row r="585">
      <c r="A585" s="143">
        <f>IFERROR(__xludf.DUMMYFUNCTION("""COMPUTED_VALUE"""),44407.0)</f>
        <v>44407</v>
      </c>
      <c r="B585">
        <f>IFERROR(__xludf.DUMMYFUNCTION("""COMPUTED_VALUE"""),1831792.0)</f>
        <v>1831792</v>
      </c>
      <c r="C585" t="str">
        <f>IFERROR(__xludf.DUMMYFUNCTION("""COMPUTED_VALUE"""),"es")</f>
        <v>es</v>
      </c>
      <c r="D585" t="str">
        <f>IFERROR(__xludf.DUMMYFUNCTION("""COMPUTED_VALUE"""),"Cómo Aprender Inglés en Casa Rápido con 3 Técnicas Fáciles")</f>
        <v>Cómo Aprender Inglés en Casa Rápido con 3 Técnicas Fáciles</v>
      </c>
      <c r="E585" t="str">
        <f>IFERROR(__xludf.DUMMYFUNCTION("""COMPUTED_VALUE"""),"How to learn English at fast house with 3 easy techniques")</f>
        <v>How to learn English at fast house with 3 easy techniques</v>
      </c>
      <c r="F585">
        <f>IFERROR(__xludf.DUMMYFUNCTION("""COMPUTED_VALUE"""),3.0120312E7)</f>
        <v>30120312</v>
      </c>
      <c r="G585" t="str">
        <f>IFERROR(__xludf.DUMMYFUNCTION("""COMPUTED_VALUE"""),"Inglés Sin Gramática")</f>
        <v>Inglés Sin Gramática</v>
      </c>
      <c r="H585" t="str">
        <f>IFERROR(__xludf.DUMMYFUNCTION("""COMPUTED_VALUE"""),"Instructor Request- Leaving Udemy")</f>
        <v>Instructor Request- Leaving Udemy</v>
      </c>
      <c r="I585" t="str">
        <f>IFERROR(__xludf.DUMMYFUNCTION("""COMPUTED_VALUE"""),"Personal Development")</f>
        <v>Personal Development</v>
      </c>
      <c r="J585" t="str">
        <f>IFERROR(__xludf.DUMMYFUNCTION("""COMPUTED_VALUE"""),"Language Learning")</f>
        <v>Language Learning</v>
      </c>
      <c r="K585">
        <f>IFERROR(__xludf.DUMMYFUNCTION("""COMPUTED_VALUE"""),1159626.0)</f>
        <v>1159626</v>
      </c>
      <c r="L585" s="140" t="str">
        <f>IFERROR(__xludf.DUMMYFUNCTION("""COMPUTED_VALUE"""),"Inglés Básico para Principiantes: Una sólida base, hablando.")</f>
        <v>Inglés Básico para Principiantes: Una sólida base, hablando.</v>
      </c>
      <c r="N585" s="140" t="str">
        <f>IFERROR(__xludf.DUMMYFUNCTION("""COMPUTED_VALUE"""),"")</f>
        <v/>
      </c>
    </row>
    <row r="586">
      <c r="A586" s="143">
        <f>IFERROR(__xludf.DUMMYFUNCTION("""COMPUTED_VALUE"""),44407.0)</f>
        <v>44407</v>
      </c>
      <c r="B586">
        <f>IFERROR(__xludf.DUMMYFUNCTION("""COMPUTED_VALUE"""),3487918.0)</f>
        <v>3487918</v>
      </c>
      <c r="C586" t="str">
        <f>IFERROR(__xludf.DUMMYFUNCTION("""COMPUTED_VALUE"""),"en")</f>
        <v>en</v>
      </c>
      <c r="D586" t="str">
        <f>IFERROR(__xludf.DUMMYFUNCTION("""COMPUTED_VALUE"""),"Electric Vehicle Charging Station")</f>
        <v>Electric Vehicle Charging Station</v>
      </c>
      <c r="E586" t="str">
        <f>IFERROR(__xludf.DUMMYFUNCTION("""COMPUTED_VALUE"""),"Electric Vehicle Charging Station")</f>
        <v>Electric Vehicle Charging Station</v>
      </c>
      <c r="F586">
        <f>IFERROR(__xludf.DUMMYFUNCTION("""COMPUTED_VALUE"""),1.23957546E8)</f>
        <v>123957546</v>
      </c>
      <c r="G586" t="str">
        <f>IFERROR(__xludf.DUMMYFUNCTION("""COMPUTED_VALUE"""),"Ion Oboroc")</f>
        <v>Ion Oboroc</v>
      </c>
      <c r="H586" t="str">
        <f>IFERROR(__xludf.DUMMYFUNCTION("""COMPUTED_VALUE"""),"Instructor Request- Opted Out")</f>
        <v>Instructor Request- Opted Out</v>
      </c>
      <c r="I586" t="str">
        <f>IFERROR(__xludf.DUMMYFUNCTION("""COMPUTED_VALUE"""),"IT Operations")</f>
        <v>IT Operations</v>
      </c>
      <c r="J586" t="str">
        <f>IFERROR(__xludf.DUMMYFUNCTION("""COMPUTED_VALUE"""),"Hardware")</f>
        <v>Hardware</v>
      </c>
      <c r="L586" s="140" t="str">
        <f>IFERROR(__xludf.DUMMYFUNCTION("""COMPUTED_VALUE"""),"")</f>
        <v/>
      </c>
      <c r="N586" s="140" t="str">
        <f>IFERROR(__xludf.DUMMYFUNCTION("""COMPUTED_VALUE"""),"")</f>
        <v/>
      </c>
      <c r="O586" s="140" t="str">
        <f>IFERROR(__xludf.DUMMYFUNCTION("""COMPUTED_VALUE"""),"No Alternatives in Collection- 3/20")</f>
        <v>No Alternatives in Collection- 3/20</v>
      </c>
    </row>
    <row r="587">
      <c r="A587" s="143">
        <f>IFERROR(__xludf.DUMMYFUNCTION("""COMPUTED_VALUE"""),44407.0)</f>
        <v>44407</v>
      </c>
      <c r="B587">
        <f>IFERROR(__xludf.DUMMYFUNCTION("""COMPUTED_VALUE"""),3158102.0)</f>
        <v>3158102</v>
      </c>
      <c r="C587" t="str">
        <f>IFERROR(__xludf.DUMMYFUNCTION("""COMPUTED_VALUE"""),"en")</f>
        <v>en</v>
      </c>
      <c r="D587" t="str">
        <f>IFERROR(__xludf.DUMMYFUNCTION("""COMPUTED_VALUE"""),"GeoServer from A-Z")</f>
        <v>GeoServer from A-Z</v>
      </c>
      <c r="E587" t="str">
        <f>IFERROR(__xludf.DUMMYFUNCTION("""COMPUTED_VALUE"""),"GeoServer from A-Z")</f>
        <v>GeoServer from A-Z</v>
      </c>
      <c r="F587">
        <f>IFERROR(__xludf.DUMMYFUNCTION("""COMPUTED_VALUE"""),1.5977958E7)</f>
        <v>15977958</v>
      </c>
      <c r="G587" t="str">
        <f>IFERROR(__xludf.DUMMYFUNCTION("""COMPUTED_VALUE"""),"Michael Miller")</f>
        <v>Michael Miller</v>
      </c>
      <c r="H587" t="str">
        <f>IFERROR(__xludf.DUMMYFUNCTION("""COMPUTED_VALUE"""),"Instructor Request- Opted Out")</f>
        <v>Instructor Request- Opted Out</v>
      </c>
      <c r="I587" t="str">
        <f>IFERROR(__xludf.DUMMYFUNCTION("""COMPUTED_VALUE"""),"IT Operations")</f>
        <v>IT Operations</v>
      </c>
      <c r="J587" t="str">
        <f>IFERROR(__xludf.DUMMYFUNCTION("""COMPUTED_VALUE"""),"Network &amp; Security")</f>
        <v>Network &amp; Security</v>
      </c>
      <c r="L587" s="140" t="str">
        <f>IFERROR(__xludf.DUMMYFUNCTION("""COMPUTED_VALUE"""),"")</f>
        <v/>
      </c>
      <c r="N587" s="140" t="str">
        <f>IFERROR(__xludf.DUMMYFUNCTION("""COMPUTED_VALUE"""),"")</f>
        <v/>
      </c>
      <c r="O587" s="140" t="str">
        <f>IFERROR(__xludf.DUMMYFUNCTION("""COMPUTED_VALUE"""),"No Alternatives in Collection- 3/20")</f>
        <v>No Alternatives in Collection- 3/20</v>
      </c>
    </row>
    <row r="588">
      <c r="A588" s="143">
        <f>IFERROR(__xludf.DUMMYFUNCTION("""COMPUTED_VALUE"""),44407.0)</f>
        <v>44407</v>
      </c>
      <c r="B588">
        <f>IFERROR(__xludf.DUMMYFUNCTION("""COMPUTED_VALUE"""),3248294.0)</f>
        <v>3248294</v>
      </c>
      <c r="C588" t="str">
        <f>IFERROR(__xludf.DUMMYFUNCTION("""COMPUTED_VALUE"""),"pt")</f>
        <v>pt</v>
      </c>
      <c r="D588" t="str">
        <f>IFERROR(__xludf.DUMMYFUNCTION("""COMPUTED_VALUE"""),"Curso de Verb Tenses - Os 12 Tempos Verbais do Inglês")</f>
        <v>Curso de Verb Tenses - Os 12 Tempos Verbais do Inglês</v>
      </c>
      <c r="E588" t="str">
        <f>IFERROR(__xludf.DUMMYFUNCTION("""COMPUTED_VALUE"""),"Verb Tenses Course - The 12 Verbal English Times")</f>
        <v>Verb Tenses Course - The 12 Verbal English Times</v>
      </c>
      <c r="F588">
        <f>IFERROR(__xludf.DUMMYFUNCTION("""COMPUTED_VALUE"""),9.5845356E7)</f>
        <v>95845356</v>
      </c>
      <c r="G588" t="str">
        <f>IFERROR(__xludf.DUMMYFUNCTION("""COMPUTED_VALUE"""),"Vanina Junqueira França Felipe")</f>
        <v>Vanina Junqueira França Felipe</v>
      </c>
      <c r="H588" t="str">
        <f>IFERROR(__xludf.DUMMYFUNCTION("""COMPUTED_VALUE"""),"Instructor Request- Opted Out")</f>
        <v>Instructor Request- Opted Out</v>
      </c>
      <c r="I588" t="str">
        <f>IFERROR(__xludf.DUMMYFUNCTION("""COMPUTED_VALUE"""),"Personal Development")</f>
        <v>Personal Development</v>
      </c>
      <c r="J588" t="str">
        <f>IFERROR(__xludf.DUMMYFUNCTION("""COMPUTED_VALUE"""),"Language Learning")</f>
        <v>Language Learning</v>
      </c>
      <c r="K588">
        <f>IFERROR(__xludf.DUMMYFUNCTION("""COMPUTED_VALUE"""),1306760.0)</f>
        <v>1306760</v>
      </c>
      <c r="L588" s="140" t="str">
        <f>IFERROR(__xludf.DUMMYFUNCTION("""COMPUTED_VALUE"""),"Curso de Inglês - Domine Tempos Verbais e Fale Melhor Agora!")</f>
        <v>Curso de Inglês - Domine Tempos Verbais e Fale Melhor Agora!</v>
      </c>
      <c r="N588" s="140" t="str">
        <f>IFERROR(__xludf.DUMMYFUNCTION("""COMPUTED_VALUE"""),"")</f>
        <v/>
      </c>
    </row>
    <row r="589">
      <c r="A589" s="143">
        <f>IFERROR(__xludf.DUMMYFUNCTION("""COMPUTED_VALUE"""),44407.0)</f>
        <v>44407</v>
      </c>
      <c r="B589">
        <f>IFERROR(__xludf.DUMMYFUNCTION("""COMPUTED_VALUE"""),3054580.0)</f>
        <v>3054580</v>
      </c>
      <c r="C589" t="str">
        <f>IFERROR(__xludf.DUMMYFUNCTION("""COMPUTED_VALUE"""),"fr")</f>
        <v>fr</v>
      </c>
      <c r="D589" t="str">
        <f>IFERROR(__xludf.DUMMYFUNCTION("""COMPUTED_VALUE"""),"LoRa et LoRaWAN pour l'Internet des Objets")</f>
        <v>LoRa et LoRaWAN pour l'Internet des Objets</v>
      </c>
      <c r="E589" t="str">
        <f>IFERROR(__xludf.DUMMYFUNCTION("""COMPUTED_VALUE"""),"Lora and Lorawan for the Internet of Things")</f>
        <v>Lora and Lorawan for the Internet of Things</v>
      </c>
      <c r="F589">
        <f>IFERROR(__xludf.DUMMYFUNCTION("""COMPUTED_VALUE"""),4.3347332E7)</f>
        <v>43347332</v>
      </c>
      <c r="G589" t="str">
        <f>IFERROR(__xludf.DUMMYFUNCTION("""COMPUTED_VALUE"""),"Sylvain MONTAGNY")</f>
        <v>Sylvain MONTAGNY</v>
      </c>
      <c r="H589" t="str">
        <f>IFERROR(__xludf.DUMMYFUNCTION("""COMPUTED_VALUE"""),"Instructor Request- Opted Out")</f>
        <v>Instructor Request- Opted Out</v>
      </c>
      <c r="I589" t="str">
        <f>IFERROR(__xludf.DUMMYFUNCTION("""COMPUTED_VALUE"""),"IT Operations")</f>
        <v>IT Operations</v>
      </c>
      <c r="J589" t="str">
        <f>IFERROR(__xludf.DUMMYFUNCTION("""COMPUTED_VALUE"""),"Network &amp; Security")</f>
        <v>Network &amp; Security</v>
      </c>
      <c r="L589" s="140" t="str">
        <f>IFERROR(__xludf.DUMMYFUNCTION("""COMPUTED_VALUE"""),"")</f>
        <v/>
      </c>
      <c r="N589" s="140" t="str">
        <f>IFERROR(__xludf.DUMMYFUNCTION("""COMPUTED_VALUE"""),"")</f>
        <v/>
      </c>
      <c r="O589" s="140" t="str">
        <f>IFERROR(__xludf.DUMMYFUNCTION("""COMPUTED_VALUE"""),"No Alternatives in Collection- 7/01/2021")</f>
        <v>No Alternatives in Collection- 7/01/2021</v>
      </c>
    </row>
    <row r="590">
      <c r="A590" s="143">
        <f>IFERROR(__xludf.DUMMYFUNCTION("""COMPUTED_VALUE"""),44407.0)</f>
        <v>44407</v>
      </c>
      <c r="B590">
        <f>IFERROR(__xludf.DUMMYFUNCTION("""COMPUTED_VALUE"""),1762176.0)</f>
        <v>1762176</v>
      </c>
      <c r="C590" t="str">
        <f>IFERROR(__xludf.DUMMYFUNCTION("""COMPUTED_VALUE"""),"en")</f>
        <v>en</v>
      </c>
      <c r="D590" t="str">
        <f>IFERROR(__xludf.DUMMYFUNCTION("""COMPUTED_VALUE"""),"Mastering Ansys CFD (Level 2)")</f>
        <v>Mastering Ansys CFD (Level 2)</v>
      </c>
      <c r="E590" t="str">
        <f>IFERROR(__xludf.DUMMYFUNCTION("""COMPUTED_VALUE"""),"Mastering Ansys CFD (Level 2)")</f>
        <v>Mastering Ansys CFD (Level 2)</v>
      </c>
      <c r="F590">
        <f>IFERROR(__xludf.DUMMYFUNCTION("""COMPUTED_VALUE"""),1294462.0)</f>
        <v>1294462</v>
      </c>
      <c r="G590" t="str">
        <f>IFERROR(__xludf.DUMMYFUNCTION("""COMPUTED_VALUE"""),"Sijal Ahmed")</f>
        <v>Sijal Ahmed</v>
      </c>
      <c r="H590" t="str">
        <f>IFERROR(__xludf.DUMMYFUNCTION("""COMPUTED_VALUE"""),"Course Series")</f>
        <v>Course Series</v>
      </c>
      <c r="I590" t="str">
        <f>IFERROR(__xludf.DUMMYFUNCTION("""COMPUTED_VALUE"""),"Design")</f>
        <v>Design</v>
      </c>
      <c r="J590" t="str">
        <f>IFERROR(__xludf.DUMMYFUNCTION("""COMPUTED_VALUE"""),"Design Tools")</f>
        <v>Design Tools</v>
      </c>
      <c r="K590">
        <f>IFERROR(__xludf.DUMMYFUNCTION("""COMPUTED_VALUE"""),1951990.0)</f>
        <v>1951990</v>
      </c>
      <c r="L590" s="140" t="str">
        <f>IFERROR(__xludf.DUMMYFUNCTION("""COMPUTED_VALUE"""),"Ansys Basic Course-Basics of FEM &amp; Static Analysis Tutorials")</f>
        <v>Ansys Basic Course-Basics of FEM &amp; Static Analysis Tutorials</v>
      </c>
      <c r="M590" s="155">
        <f>IFERROR(__xludf.DUMMYFUNCTION("""COMPUTED_VALUE"""),1005210.0)</f>
        <v>1005210</v>
      </c>
      <c r="N590" s="140" t="str">
        <f>IFERROR(__xludf.DUMMYFUNCTION("""COMPUTED_VALUE"""),"Ansys Tutorial")</f>
        <v>Ansys Tutorial</v>
      </c>
    </row>
    <row r="591">
      <c r="A591" s="143">
        <f>IFERROR(__xludf.DUMMYFUNCTION("""COMPUTED_VALUE"""),44417.0)</f>
        <v>44417</v>
      </c>
      <c r="B591">
        <f>IFERROR(__xludf.DUMMYFUNCTION("""COMPUTED_VALUE"""),2386938.0)</f>
        <v>2386938</v>
      </c>
      <c r="C591" t="str">
        <f>IFERROR(__xludf.DUMMYFUNCTION("""COMPUTED_VALUE"""),"en")</f>
        <v>en</v>
      </c>
      <c r="D591" t="str">
        <f>IFERROR(__xludf.DUMMYFUNCTION("""COMPUTED_VALUE"""),"Learn Confluence in 4hrs")</f>
        <v>Learn Confluence in 4hrs</v>
      </c>
      <c r="E591" t="str">
        <f>IFERROR(__xludf.DUMMYFUNCTION("""COMPUTED_VALUE"""),"Learn Confluence in 4hrs")</f>
        <v>Learn Confluence in 4hrs</v>
      </c>
      <c r="F591">
        <f>IFERROR(__xludf.DUMMYFUNCTION("""COMPUTED_VALUE"""),161039.0)</f>
        <v>161039</v>
      </c>
      <c r="G591" t="str">
        <f>IFERROR(__xludf.DUMMYFUNCTION("""COMPUTED_VALUE"""),"Raouf Nabi")</f>
        <v>Raouf Nabi</v>
      </c>
      <c r="H591" t="str">
        <f>IFERROR(__xludf.DUMMYFUNCTION("""COMPUTED_VALUE"""),"T&amp;S")</f>
        <v>T&amp;S</v>
      </c>
      <c r="I591" t="str">
        <f>IFERROR(__xludf.DUMMYFUNCTION("""COMPUTED_VALUE"""),"Development")</f>
        <v>Development</v>
      </c>
      <c r="J591" t="str">
        <f>IFERROR(__xludf.DUMMYFUNCTION("""COMPUTED_VALUE"""),"Development Tools")</f>
        <v>Development Tools</v>
      </c>
      <c r="K591">
        <f>IFERROR(__xludf.DUMMYFUNCTION("""COMPUTED_VALUE"""),1299854.0)</f>
        <v>1299854</v>
      </c>
      <c r="L591" s="140" t="str">
        <f>IFERROR(__xludf.DUMMYFUNCTION("""COMPUTED_VALUE"""),"Understanding Confluence for users, managers and admins	")</f>
        <v>Understanding Confluence for users, managers and admins	</v>
      </c>
      <c r="M591" s="155">
        <f>IFERROR(__xludf.DUMMYFUNCTION("""COMPUTED_VALUE"""),2573662.0)</f>
        <v>2573662</v>
      </c>
      <c r="N591" s="140" t="str">
        <f>IFERROR(__xludf.DUMMYFUNCTION("""COMPUTED_VALUE"""),"Atlassian Confluence for Project Managers	")</f>
        <v>Atlassian Confluence for Project Managers	</v>
      </c>
    </row>
    <row r="592">
      <c r="A592" s="143">
        <f>IFERROR(__xludf.DUMMYFUNCTION("""COMPUTED_VALUE"""),44417.0)</f>
        <v>44417</v>
      </c>
      <c r="B592">
        <f>IFERROR(__xludf.DUMMYFUNCTION("""COMPUTED_VALUE"""),3725930.0)</f>
        <v>3725930</v>
      </c>
      <c r="C592" t="str">
        <f>IFERROR(__xludf.DUMMYFUNCTION("""COMPUTED_VALUE"""),"jp")</f>
        <v>jp</v>
      </c>
      <c r="D592" t="str">
        <f>IFERROR(__xludf.DUMMYFUNCTION("""COMPUTED_VALUE"""),"【GCP認定資格】 Professional Cloud Architect 模擬問題集")</f>
        <v>【GCP認定資格】 Professional Cloud Architect 模擬問題集</v>
      </c>
      <c r="E592" t="str">
        <f>IFERROR(__xludf.DUMMYFUNCTION("""COMPUTED_VALUE"""),"[GCP Cognition Qualification] Professional Cloud Architect Simulation")</f>
        <v>[GCP Cognition Qualification] Professional Cloud Architect Simulation</v>
      </c>
      <c r="H592" t="str">
        <f>IFERROR(__xludf.DUMMYFUNCTION("""COMPUTED_VALUE"""),"T&amp;S")</f>
        <v>T&amp;S</v>
      </c>
    </row>
    <row r="593">
      <c r="A593" s="143">
        <f>IFERROR(__xludf.DUMMYFUNCTION("""COMPUTED_VALUE"""),44424.0)</f>
        <v>44424</v>
      </c>
      <c r="B593">
        <f>IFERROR(__xludf.DUMMYFUNCTION("""COMPUTED_VALUE"""),3732628.0)</f>
        <v>3732628</v>
      </c>
      <c r="C593" t="str">
        <f>IFERROR(__xludf.DUMMYFUNCTION("""COMPUTED_VALUE"""),"en")</f>
        <v>en</v>
      </c>
      <c r="D593" t="str">
        <f>IFERROR(__xludf.DUMMYFUNCTION("""COMPUTED_VALUE"""),"Google Cloud Security Engineer Certification Practice Exams")</f>
        <v>Google Cloud Security Engineer Certification Practice Exams</v>
      </c>
      <c r="E593" t="str">
        <f>IFERROR(__xludf.DUMMYFUNCTION("""COMPUTED_VALUE"""),"Google Cloud Security Engineer Certification Practice Exams")</f>
        <v>Google Cloud Security Engineer Certification Practice Exams</v>
      </c>
      <c r="F593">
        <f>IFERROR(__xludf.DUMMYFUNCTION("""COMPUTED_VALUE"""),3.5569498E7)</f>
        <v>35569498</v>
      </c>
      <c r="G593" t="str">
        <f>IFERROR(__xludf.DUMMYFUNCTION("""COMPUTED_VALUE"""),"Ready2Pass Academy")</f>
        <v>Ready2Pass Academy</v>
      </c>
      <c r="H593" t="str">
        <f>IFERROR(__xludf.DUMMYFUNCTION("""COMPUTED_VALUE"""),"T&amp;S")</f>
        <v>T&amp;S</v>
      </c>
      <c r="I593" t="str">
        <f>IFERROR(__xludf.DUMMYFUNCTION("""COMPUTED_VALUE"""),"IT Operations")</f>
        <v>IT Operations</v>
      </c>
      <c r="J593" t="str">
        <f>IFERROR(__xludf.DUMMYFUNCTION("""COMPUTED_VALUE"""),"IT Certifications")</f>
        <v>IT Certifications</v>
      </c>
      <c r="O593" s="140" t="str">
        <f>IFERROR(__xludf.DUMMYFUNCTION("""COMPUTED_VALUE"""),"No Alternatives in Collection - 8/16/2021")</f>
        <v>No Alternatives in Collection - 8/16/2021</v>
      </c>
    </row>
    <row r="594">
      <c r="A594" s="143">
        <f>IFERROR(__xludf.DUMMYFUNCTION("""COMPUTED_VALUE"""),44427.0)</f>
        <v>44427</v>
      </c>
      <c r="B594">
        <f>IFERROR(__xludf.DUMMYFUNCTION("""COMPUTED_VALUE"""),1716630.0)</f>
        <v>1716630</v>
      </c>
      <c r="C594" t="str">
        <f>IFERROR(__xludf.DUMMYFUNCTION("""COMPUTED_VALUE"""),"en")</f>
        <v>en</v>
      </c>
      <c r="D594" t="str">
        <f>IFERROR(__xludf.DUMMYFUNCTION("""COMPUTED_VALUE"""),"Microservices Software Architecture: Patterns and Techniques")</f>
        <v>Microservices Software Architecture: Patterns and Techniques</v>
      </c>
      <c r="E594" t="str">
        <f>IFERROR(__xludf.DUMMYFUNCTION("""COMPUTED_VALUE"""),"Microservices Software Architecture: Patterns and Techniques")</f>
        <v>Microservices Software Architecture: Patterns and Techniques</v>
      </c>
      <c r="F594">
        <f>IFERROR(__xludf.DUMMYFUNCTION("""COMPUTED_VALUE"""),2.1178878E7)</f>
        <v>21178878</v>
      </c>
      <c r="G594" t="str">
        <f>IFERROR(__xludf.DUMMYFUNCTION("""COMPUTED_VALUE"""),"Binary Brain")</f>
        <v>Binary Brain</v>
      </c>
      <c r="H594" t="str">
        <f>IFERROR(__xludf.DUMMYFUNCTION("""COMPUTED_VALUE"""),"T&amp;S")</f>
        <v>T&amp;S</v>
      </c>
      <c r="I594" t="str">
        <f>IFERROR(__xludf.DUMMYFUNCTION("""COMPUTED_VALUE"""),"Development")</f>
        <v>Development</v>
      </c>
      <c r="J594" t="str">
        <f>IFERROR(__xludf.DUMMYFUNCTION("""COMPUTED_VALUE"""),"Software Engineering")</f>
        <v>Software Engineering</v>
      </c>
      <c r="K594">
        <f>IFERROR(__xludf.DUMMYFUNCTION("""COMPUTED_VALUE"""),3302726.0)</f>
        <v>3302726</v>
      </c>
      <c r="L594" s="140" t="str">
        <f>IFERROR(__xludf.DUMMYFUNCTION("""COMPUTED_VALUE"""),"Microservices Architecture - The Complete Guide")</f>
        <v>Microservices Architecture - The Complete Guide</v>
      </c>
    </row>
    <row r="595">
      <c r="A595" s="143">
        <f>IFERROR(__xludf.DUMMYFUNCTION("""COMPUTED_VALUE"""),44427.0)</f>
        <v>44427</v>
      </c>
      <c r="B595">
        <f>IFERROR(__xludf.DUMMYFUNCTION("""COMPUTED_VALUE"""),2249104.0)</f>
        <v>2249104</v>
      </c>
      <c r="C595" t="str">
        <f>IFERROR(__xludf.DUMMYFUNCTION("""COMPUTED_VALUE"""),"en")</f>
        <v>en</v>
      </c>
      <c r="D595" t="str">
        <f>IFERROR(__xludf.DUMMYFUNCTION("""COMPUTED_VALUE"""),"Domain Driven Design: Complete Software Architecture Course")</f>
        <v>Domain Driven Design: Complete Software Architecture Course</v>
      </c>
      <c r="E595" t="str">
        <f>IFERROR(__xludf.DUMMYFUNCTION("""COMPUTED_VALUE"""),"Domain Driven Design: Complete Software Architecture Course")</f>
        <v>Domain Driven Design: Complete Software Architecture Course</v>
      </c>
      <c r="F595">
        <f>IFERROR(__xludf.DUMMYFUNCTION("""COMPUTED_VALUE"""),2.1178878E7)</f>
        <v>21178878</v>
      </c>
      <c r="G595" t="str">
        <f>IFERROR(__xludf.DUMMYFUNCTION("""COMPUTED_VALUE"""),"Binary Brain")</f>
        <v>Binary Brain</v>
      </c>
      <c r="H595" t="str">
        <f>IFERROR(__xludf.DUMMYFUNCTION("""COMPUTED_VALUE"""),"T&amp;S")</f>
        <v>T&amp;S</v>
      </c>
      <c r="I595" t="str">
        <f>IFERROR(__xludf.DUMMYFUNCTION("""COMPUTED_VALUE"""),"Development")</f>
        <v>Development</v>
      </c>
      <c r="J595" t="str">
        <f>IFERROR(__xludf.DUMMYFUNCTION("""COMPUTED_VALUE"""),"Software Engineering")</f>
        <v>Software Engineering</v>
      </c>
      <c r="K595">
        <f>IFERROR(__xludf.DUMMYFUNCTION("""COMPUTED_VALUE"""),2811919.0)</f>
        <v>2811919</v>
      </c>
      <c r="L595" s="140" t="str">
        <f>IFERROR(__xludf.DUMMYFUNCTION("""COMPUTED_VALUE"""),"Spring MicroServices using DDD and deploy to PCF(TAS)	")</f>
        <v>Spring MicroServices using DDD and deploy to PCF(TAS)	</v>
      </c>
    </row>
    <row r="596">
      <c r="A596" s="143">
        <f>IFERROR(__xludf.DUMMYFUNCTION("""COMPUTED_VALUE"""),44427.0)</f>
        <v>44427</v>
      </c>
      <c r="B596">
        <f>IFERROR(__xludf.DUMMYFUNCTION("""COMPUTED_VALUE"""),1548060.0)</f>
        <v>1548060</v>
      </c>
      <c r="C596" t="str">
        <f>IFERROR(__xludf.DUMMYFUNCTION("""COMPUTED_VALUE"""),"en")</f>
        <v>en</v>
      </c>
      <c r="D596" t="str">
        <f>IFERROR(__xludf.DUMMYFUNCTION("""COMPUTED_VALUE"""),"Software Architecture for the Enterprise Architect")</f>
        <v>Software Architecture for the Enterprise Architect</v>
      </c>
      <c r="E596" t="str">
        <f>IFERROR(__xludf.DUMMYFUNCTION("""COMPUTED_VALUE"""),"Software Architecture for the Enterprise Architect")</f>
        <v>Software Architecture for the Enterprise Architect</v>
      </c>
      <c r="F596">
        <f>IFERROR(__xludf.DUMMYFUNCTION("""COMPUTED_VALUE"""),2.1178878E7)</f>
        <v>21178878</v>
      </c>
      <c r="G596" t="str">
        <f>IFERROR(__xludf.DUMMYFUNCTION("""COMPUTED_VALUE"""),"Binary Brain")</f>
        <v>Binary Brain</v>
      </c>
      <c r="H596" t="str">
        <f>IFERROR(__xludf.DUMMYFUNCTION("""COMPUTED_VALUE"""),"T&amp;S")</f>
        <v>T&amp;S</v>
      </c>
      <c r="I596" t="str">
        <f>IFERROR(__xludf.DUMMYFUNCTION("""COMPUTED_VALUE"""),"Development")</f>
        <v>Development</v>
      </c>
      <c r="J596" t="str">
        <f>IFERROR(__xludf.DUMMYFUNCTION("""COMPUTED_VALUE"""),"Software Engineering")</f>
        <v>Software Engineering</v>
      </c>
      <c r="K596">
        <f>IFERROR(__xludf.DUMMYFUNCTION("""COMPUTED_VALUE"""),3951580.0)</f>
        <v>3951580</v>
      </c>
      <c r="L596" s="140" t="str">
        <f>IFERROR(__xludf.DUMMYFUNCTION("""COMPUTED_VALUE"""),"Software Architecture Essentials for Business Applications	")</f>
        <v>Software Architecture Essentials for Business Applications	</v>
      </c>
      <c r="M596" s="155">
        <f>IFERROR(__xludf.DUMMYFUNCTION("""COMPUTED_VALUE"""),2064941.0)</f>
        <v>2064941</v>
      </c>
      <c r="N596" s="140" t="str">
        <f>IFERROR(__xludf.DUMMYFUNCTION("""COMPUTED_VALUE"""),"SOLID Principles of Object-Oriented Design and Architecture	")</f>
        <v>SOLID Principles of Object-Oriented Design and Architecture	</v>
      </c>
    </row>
    <row r="597">
      <c r="A597" s="143">
        <f>IFERROR(__xludf.DUMMYFUNCTION("""COMPUTED_VALUE"""),44435.0)</f>
        <v>44435</v>
      </c>
      <c r="B597">
        <f>IFERROR(__xludf.DUMMYFUNCTION("""COMPUTED_VALUE"""),665152.0)</f>
        <v>665152</v>
      </c>
      <c r="C597" t="str">
        <f>IFERROR(__xludf.DUMMYFUNCTION("""COMPUTED_VALUE"""),"en")</f>
        <v>en</v>
      </c>
      <c r="D597" t="str">
        <f>IFERROR(__xludf.DUMMYFUNCTION("""COMPUTED_VALUE"""),"Mastering Agile Scrum Project Management")</f>
        <v>Mastering Agile Scrum Project Management</v>
      </c>
      <c r="E597" t="str">
        <f>IFERROR(__xludf.DUMMYFUNCTION("""COMPUTED_VALUE"""),"Mastering Agile Scrum Project Management")</f>
        <v>Mastering Agile Scrum Project Management</v>
      </c>
      <c r="F597">
        <f>IFERROR(__xludf.DUMMYFUNCTION("""COMPUTED_VALUE"""),8252750.0)</f>
        <v>8252750</v>
      </c>
      <c r="G597" t="str">
        <f>IFERROR(__xludf.DUMMYFUNCTION("""COMPUTED_VALUE"""),"LearnSmart LLC")</f>
        <v>LearnSmart LLC</v>
      </c>
      <c r="H597" t="str">
        <f>IFERROR(__xludf.DUMMYFUNCTION("""COMPUTED_VALUE"""),"T&amp;S")</f>
        <v>T&amp;S</v>
      </c>
      <c r="I597" t="str">
        <f>IFERROR(__xludf.DUMMYFUNCTION("""COMPUTED_VALUE"""),"Project Management &amp; Operations")</f>
        <v>Project Management &amp; Operations</v>
      </c>
      <c r="J597" t="str">
        <f>IFERROR(__xludf.DUMMYFUNCTION("""COMPUTED_VALUE"""),"Agile &amp; Scrum")</f>
        <v>Agile &amp; Scrum</v>
      </c>
      <c r="K597">
        <f>IFERROR(__xludf.DUMMYFUNCTION("""COMPUTED_VALUE"""),864146.0)</f>
        <v>864146</v>
      </c>
      <c r="L597" s="140" t="str">
        <f>IFERROR(__xludf.DUMMYFUNCTION("""COMPUTED_VALUE"""),"Agile Crash Course: Agile Project Management; Agile Delivery	")</f>
        <v>Agile Crash Course: Agile Project Management; Agile Delivery	</v>
      </c>
      <c r="M597" s="155">
        <f>IFERROR(__xludf.DUMMYFUNCTION("""COMPUTED_VALUE"""),2002862.0)</f>
        <v>2002862</v>
      </c>
      <c r="N597" s="140" t="str">
        <f>IFERROR(__xludf.DUMMYFUNCTION("""COMPUTED_VALUE"""),"The Complete Agile Scrum Fundamentals Course + Certification	")</f>
        <v>The Complete Agile Scrum Fundamentals Course + Certification	</v>
      </c>
    </row>
    <row r="598">
      <c r="A598" s="143">
        <f>IFERROR(__xludf.DUMMYFUNCTION("""COMPUTED_VALUE"""),44435.0)</f>
        <v>44435</v>
      </c>
      <c r="B598">
        <f>IFERROR(__xludf.DUMMYFUNCTION("""COMPUTED_VALUE"""),3911056.0)</f>
        <v>3911056</v>
      </c>
      <c r="C598" t="str">
        <f>IFERROR(__xludf.DUMMYFUNCTION("""COMPUTED_VALUE"""),"en")</f>
        <v>en</v>
      </c>
      <c r="D598" t="str">
        <f>IFERROR(__xludf.DUMMYFUNCTION("""COMPUTED_VALUE"""),"Ultimate DevSecOps With Real World Scenarios")</f>
        <v>Ultimate DevSecOps With Real World Scenarios</v>
      </c>
      <c r="E598" t="str">
        <f>IFERROR(__xludf.DUMMYFUNCTION("""COMPUTED_VALUE"""),"Ultimate DevSecOps With Real World Scenarios")</f>
        <v>Ultimate DevSecOps With Real World Scenarios</v>
      </c>
      <c r="F598">
        <f>IFERROR(__xludf.DUMMYFUNCTION("""COMPUTED_VALUE"""),1.5345154E8)</f>
        <v>153451540</v>
      </c>
      <c r="G598" t="str">
        <f>IFERROR(__xludf.DUMMYFUNCTION("""COMPUTED_VALUE"""),"Musab Zayadneh")</f>
        <v>Musab Zayadneh</v>
      </c>
      <c r="H598" t="str">
        <f>IFERROR(__xludf.DUMMYFUNCTION("""COMPUTED_VALUE"""),"T&amp;S")</f>
        <v>T&amp;S</v>
      </c>
      <c r="I598" t="str">
        <f>IFERROR(__xludf.DUMMYFUNCTION("""COMPUTED_VALUE"""),"Development")</f>
        <v>Development</v>
      </c>
      <c r="J598" t="str">
        <f>IFERROR(__xludf.DUMMYFUNCTION("""COMPUTED_VALUE"""),"Development Tools")</f>
        <v>Development Tools</v>
      </c>
      <c r="K598">
        <f>IFERROR(__xludf.DUMMYFUNCTION("""COMPUTED_VALUE"""),3236235.0)</f>
        <v>3236235</v>
      </c>
      <c r="L598" s="140" t="str">
        <f>IFERROR(__xludf.DUMMYFUNCTION("""COMPUTED_VALUE"""),"Devops Fundamentals - CI/CD with AWS +Docker+Ansible+Jenkins")</f>
        <v>Devops Fundamentals - CI/CD with AWS +Docker+Ansible+Jenkins</v>
      </c>
      <c r="M598" s="155">
        <f>IFERROR(__xludf.DUMMYFUNCTION("""COMPUTED_VALUE"""),2499720.0)</f>
        <v>2499720</v>
      </c>
      <c r="N598" s="140" t="str">
        <f>IFERROR(__xludf.DUMMYFUNCTION("""COMPUTED_VALUE"""),"DevOps Project: CI/CD with Jenkins Ansible Docker Kubernetes")</f>
        <v>DevOps Project: CI/CD with Jenkins Ansible Docker Kubernetes</v>
      </c>
    </row>
    <row r="599">
      <c r="A599" s="143">
        <f>IFERROR(__xludf.DUMMYFUNCTION("""COMPUTED_VALUE"""),44439.0)</f>
        <v>44439</v>
      </c>
      <c r="B599">
        <f>IFERROR(__xludf.DUMMYFUNCTION("""COMPUTED_VALUE"""),968472.0)</f>
        <v>968472</v>
      </c>
      <c r="C599" t="str">
        <f>IFERROR(__xludf.DUMMYFUNCTION("""COMPUTED_VALUE"""),"en")</f>
        <v>en</v>
      </c>
      <c r="D599" t="str">
        <f>IFERROR(__xludf.DUMMYFUNCTION("""COMPUTED_VALUE"""),"How to Edit Your Videos: Official Udemy Course")</f>
        <v>How to Edit Your Videos: Official Udemy Course</v>
      </c>
      <c r="E599" t="str">
        <f>IFERROR(__xludf.DUMMYFUNCTION("""COMPUTED_VALUE"""),"How to Edit Your Videos: Official Udemy Course")</f>
        <v>How to Edit Your Videos: Official Udemy Course</v>
      </c>
      <c r="F599">
        <f>IFERROR(__xludf.DUMMYFUNCTION("""COMPUTED_VALUE"""),137060.0)</f>
        <v>137060</v>
      </c>
      <c r="G599" t="str">
        <f>IFERROR(__xludf.DUMMYFUNCTION("""COMPUTED_VALUE"""),"Udemy Instructor Team")</f>
        <v>Udemy Instructor Team</v>
      </c>
      <c r="H599" t="str">
        <f>IFERROR(__xludf.DUMMYFUNCTION("""COMPUTED_VALUE"""),"Outdated")</f>
        <v>Outdated</v>
      </c>
      <c r="I599" t="str">
        <f>IFERROR(__xludf.DUMMYFUNCTION("""COMPUTED_VALUE"""),"Workplace &amp; Human Resources")</f>
        <v>Workplace &amp; Human Resources</v>
      </c>
      <c r="J599" t="str">
        <f>IFERROR(__xludf.DUMMYFUNCTION("""COMPUTED_VALUE"""),"Learning &amp; Development")</f>
        <v>Learning &amp; Development</v>
      </c>
      <c r="K599">
        <f>IFERROR(__xludf.DUMMYFUNCTION("""COMPUTED_VALUE"""),4077322.0)</f>
        <v>4077322</v>
      </c>
      <c r="L599" s="140" t="str">
        <f>IFERROR(__xludf.DUMMYFUNCTION("""COMPUTED_VALUE"""),"How to Create an Online Course: The Official Udemy Course")</f>
        <v>How to Create an Online Course: The Official Udemy Course</v>
      </c>
    </row>
    <row r="600">
      <c r="A600" s="143">
        <f>IFERROR(__xludf.DUMMYFUNCTION("""COMPUTED_VALUE"""),44439.0)</f>
        <v>44439</v>
      </c>
      <c r="B600">
        <f>IFERROR(__xludf.DUMMYFUNCTION("""COMPUTED_VALUE"""),968470.0)</f>
        <v>968470</v>
      </c>
      <c r="C600" t="str">
        <f>IFERROR(__xludf.DUMMYFUNCTION("""COMPUTED_VALUE"""),"en")</f>
        <v>en</v>
      </c>
      <c r="D600" t="str">
        <f>IFERROR(__xludf.DUMMYFUNCTION("""COMPUTED_VALUE"""),"How to Film your Videos: Official Udemy Course")</f>
        <v>How to Film your Videos: Official Udemy Course</v>
      </c>
      <c r="E600" t="str">
        <f>IFERROR(__xludf.DUMMYFUNCTION("""COMPUTED_VALUE"""),"How to Film your Videos: Official Udemy Course")</f>
        <v>How to Film your Videos: Official Udemy Course</v>
      </c>
      <c r="F600">
        <f>IFERROR(__xludf.DUMMYFUNCTION("""COMPUTED_VALUE"""),137060.0)</f>
        <v>137060</v>
      </c>
      <c r="G600" t="str">
        <f>IFERROR(__xludf.DUMMYFUNCTION("""COMPUTED_VALUE"""),"Udemy Instructor Team")</f>
        <v>Udemy Instructor Team</v>
      </c>
      <c r="H600" t="str">
        <f>IFERROR(__xludf.DUMMYFUNCTION("""COMPUTED_VALUE"""),"Outdated")</f>
        <v>Outdated</v>
      </c>
      <c r="I600" t="str">
        <f>IFERROR(__xludf.DUMMYFUNCTION("""COMPUTED_VALUE"""),"Workplace &amp; Human Resources")</f>
        <v>Workplace &amp; Human Resources</v>
      </c>
      <c r="J600" t="str">
        <f>IFERROR(__xludf.DUMMYFUNCTION("""COMPUTED_VALUE"""),"Learning &amp; Development")</f>
        <v>Learning &amp; Development</v>
      </c>
      <c r="K600">
        <f>IFERROR(__xludf.DUMMYFUNCTION("""COMPUTED_VALUE"""),4077322.0)</f>
        <v>4077322</v>
      </c>
      <c r="L600" s="140" t="str">
        <f>IFERROR(__xludf.DUMMYFUNCTION("""COMPUTED_VALUE"""),"How to Create an Online Course: The Official Udemy Course")</f>
        <v>How to Create an Online Course: The Official Udemy Course</v>
      </c>
    </row>
    <row r="601">
      <c r="A601" s="143">
        <f>IFERROR(__xludf.DUMMYFUNCTION("""COMPUTED_VALUE"""),44439.0)</f>
        <v>44439</v>
      </c>
      <c r="B601">
        <f>IFERROR(__xludf.DUMMYFUNCTION("""COMPUTED_VALUE"""),1036600.0)</f>
        <v>1036600</v>
      </c>
      <c r="C601" t="str">
        <f>IFERROR(__xludf.DUMMYFUNCTION("""COMPUTED_VALUE"""),"en")</f>
        <v>en</v>
      </c>
      <c r="D601" t="str">
        <f>IFERROR(__xludf.DUMMYFUNCTION("""COMPUTED_VALUE"""),"How to Set your Course Goals: Official Udemy Course")</f>
        <v>How to Set your Course Goals: Official Udemy Course</v>
      </c>
      <c r="E601" t="str">
        <f>IFERROR(__xludf.DUMMYFUNCTION("""COMPUTED_VALUE"""),"How to Set your Course Goals: Official Udemy Course")</f>
        <v>How to Set your Course Goals: Official Udemy Course</v>
      </c>
      <c r="F601">
        <f>IFERROR(__xludf.DUMMYFUNCTION("""COMPUTED_VALUE"""),137060.0)</f>
        <v>137060</v>
      </c>
      <c r="G601" t="str">
        <f>IFERROR(__xludf.DUMMYFUNCTION("""COMPUTED_VALUE"""),"Udemy Instructor Team")</f>
        <v>Udemy Instructor Team</v>
      </c>
      <c r="H601" t="str">
        <f>IFERROR(__xludf.DUMMYFUNCTION("""COMPUTED_VALUE"""),"Outdated")</f>
        <v>Outdated</v>
      </c>
      <c r="I601" t="str">
        <f>IFERROR(__xludf.DUMMYFUNCTION("""COMPUTED_VALUE"""),"Workplace &amp; Human Resources")</f>
        <v>Workplace &amp; Human Resources</v>
      </c>
      <c r="J601" t="str">
        <f>IFERROR(__xludf.DUMMYFUNCTION("""COMPUTED_VALUE"""),"Learning &amp; Development")</f>
        <v>Learning &amp; Development</v>
      </c>
      <c r="K601">
        <f>IFERROR(__xludf.DUMMYFUNCTION("""COMPUTED_VALUE"""),4077322.0)</f>
        <v>4077322</v>
      </c>
      <c r="L601" s="140" t="str">
        <f>IFERROR(__xludf.DUMMYFUNCTION("""COMPUTED_VALUE"""),"How to Create an Online Course: The Official Udemy Course")</f>
        <v>How to Create an Online Course: The Official Udemy Course</v>
      </c>
    </row>
    <row r="602">
      <c r="A602" s="143">
        <f>IFERROR(__xludf.DUMMYFUNCTION("""COMPUTED_VALUE"""),44439.0)</f>
        <v>44439</v>
      </c>
      <c r="B602">
        <f>IFERROR(__xludf.DUMMYFUNCTION("""COMPUTED_VALUE"""),993462.0)</f>
        <v>993462</v>
      </c>
      <c r="C602" t="str">
        <f>IFERROR(__xludf.DUMMYFUNCTION("""COMPUTED_VALUE"""),"en")</f>
        <v>en</v>
      </c>
      <c r="D602" t="str">
        <f>IFERROR(__xludf.DUMMYFUNCTION("""COMPUTED_VALUE"""),"How to Add Practice Activities: Official Udemy Course")</f>
        <v>How to Add Practice Activities: Official Udemy Course</v>
      </c>
      <c r="E602" t="str">
        <f>IFERROR(__xludf.DUMMYFUNCTION("""COMPUTED_VALUE"""),"How to Add Practice Activities: Official Udemy Course")</f>
        <v>How to Add Practice Activities: Official Udemy Course</v>
      </c>
      <c r="F602">
        <f>IFERROR(__xludf.DUMMYFUNCTION("""COMPUTED_VALUE"""),137060.0)</f>
        <v>137060</v>
      </c>
      <c r="G602" t="str">
        <f>IFERROR(__xludf.DUMMYFUNCTION("""COMPUTED_VALUE"""),"Udemy Instructor Team")</f>
        <v>Udemy Instructor Team</v>
      </c>
      <c r="H602" t="str">
        <f>IFERROR(__xludf.DUMMYFUNCTION("""COMPUTED_VALUE"""),"Outdated")</f>
        <v>Outdated</v>
      </c>
      <c r="I602" t="str">
        <f>IFERROR(__xludf.DUMMYFUNCTION("""COMPUTED_VALUE"""),"Workplace &amp; Human Resources")</f>
        <v>Workplace &amp; Human Resources</v>
      </c>
      <c r="J602" t="str">
        <f>IFERROR(__xludf.DUMMYFUNCTION("""COMPUTED_VALUE"""),"Learning &amp; Development")</f>
        <v>Learning &amp; Development</v>
      </c>
      <c r="K602">
        <f>IFERROR(__xludf.DUMMYFUNCTION("""COMPUTED_VALUE"""),4077322.0)</f>
        <v>4077322</v>
      </c>
      <c r="L602" s="140" t="str">
        <f>IFERROR(__xludf.DUMMYFUNCTION("""COMPUTED_VALUE"""),"How to Create an Online Course: The Official Udemy Course")</f>
        <v>How to Create an Online Course: The Official Udemy Course</v>
      </c>
    </row>
    <row r="603">
      <c r="A603" s="143">
        <f>IFERROR(__xludf.DUMMYFUNCTION("""COMPUTED_VALUE"""),44439.0)</f>
        <v>44439</v>
      </c>
      <c r="B603">
        <f>IFERROR(__xludf.DUMMYFUNCTION("""COMPUTED_VALUE"""),968468.0)</f>
        <v>968468</v>
      </c>
      <c r="C603" t="str">
        <f>IFERROR(__xludf.DUMMYFUNCTION("""COMPUTED_VALUE"""),"en")</f>
        <v>en</v>
      </c>
      <c r="D603" t="str">
        <f>IFERROR(__xludf.DUMMYFUNCTION("""COMPUTED_VALUE"""),"How to Improve Your Video Quality: Official Udemy Course")</f>
        <v>How to Improve Your Video Quality: Official Udemy Course</v>
      </c>
      <c r="E603" t="str">
        <f>IFERROR(__xludf.DUMMYFUNCTION("""COMPUTED_VALUE"""),"How to Improve Your Video Quality: Official Udemy Course")</f>
        <v>How to Improve Your Video Quality: Official Udemy Course</v>
      </c>
      <c r="F603">
        <f>IFERROR(__xludf.DUMMYFUNCTION("""COMPUTED_VALUE"""),137060.0)</f>
        <v>137060</v>
      </c>
      <c r="G603" t="str">
        <f>IFERROR(__xludf.DUMMYFUNCTION("""COMPUTED_VALUE"""),"Udemy Instructor Team")</f>
        <v>Udemy Instructor Team</v>
      </c>
      <c r="H603" t="str">
        <f>IFERROR(__xludf.DUMMYFUNCTION("""COMPUTED_VALUE"""),"Outdated")</f>
        <v>Outdated</v>
      </c>
      <c r="I603" t="str">
        <f>IFERROR(__xludf.DUMMYFUNCTION("""COMPUTED_VALUE"""),"Workplace &amp; Human Resources")</f>
        <v>Workplace &amp; Human Resources</v>
      </c>
      <c r="J603" t="str">
        <f>IFERROR(__xludf.DUMMYFUNCTION("""COMPUTED_VALUE"""),"Learning &amp; Development")</f>
        <v>Learning &amp; Development</v>
      </c>
      <c r="K603">
        <f>IFERROR(__xludf.DUMMYFUNCTION("""COMPUTED_VALUE"""),4077322.0)</f>
        <v>4077322</v>
      </c>
      <c r="L603" s="140" t="str">
        <f>IFERROR(__xludf.DUMMYFUNCTION("""COMPUTED_VALUE"""),"How to Create an Online Course: The Official Udemy Course")</f>
        <v>How to Create an Online Course: The Official Udemy Course</v>
      </c>
    </row>
    <row r="604">
      <c r="A604" s="143">
        <f>IFERROR(__xludf.DUMMYFUNCTION("""COMPUTED_VALUE"""),44439.0)</f>
        <v>44439</v>
      </c>
      <c r="B604">
        <f>IFERROR(__xludf.DUMMYFUNCTION("""COMPUTED_VALUE"""),1122312.0)</f>
        <v>1122312</v>
      </c>
      <c r="C604" t="str">
        <f>IFERROR(__xludf.DUMMYFUNCTION("""COMPUTED_VALUE"""),"en")</f>
        <v>en</v>
      </c>
      <c r="D604" t="str">
        <f>IFERROR(__xludf.DUMMYFUNCTION("""COMPUTED_VALUE"""),"How to Create your Course Outline: Official Udemy Course")</f>
        <v>How to Create your Course Outline: Official Udemy Course</v>
      </c>
      <c r="E604" t="str">
        <f>IFERROR(__xludf.DUMMYFUNCTION("""COMPUTED_VALUE"""),"How to Create your Course Outline: Official Udemy Course")</f>
        <v>How to Create your Course Outline: Official Udemy Course</v>
      </c>
      <c r="F604">
        <f>IFERROR(__xludf.DUMMYFUNCTION("""COMPUTED_VALUE"""),137060.0)</f>
        <v>137060</v>
      </c>
      <c r="G604" t="str">
        <f>IFERROR(__xludf.DUMMYFUNCTION("""COMPUTED_VALUE"""),"Udemy Instructor Team")</f>
        <v>Udemy Instructor Team</v>
      </c>
      <c r="H604" t="str">
        <f>IFERROR(__xludf.DUMMYFUNCTION("""COMPUTED_VALUE"""),"Outdated")</f>
        <v>Outdated</v>
      </c>
      <c r="I604" t="str">
        <f>IFERROR(__xludf.DUMMYFUNCTION("""COMPUTED_VALUE"""),"Workplace &amp; Human Resources")</f>
        <v>Workplace &amp; Human Resources</v>
      </c>
      <c r="J604" t="str">
        <f>IFERROR(__xludf.DUMMYFUNCTION("""COMPUTED_VALUE"""),"Learning &amp; Development")</f>
        <v>Learning &amp; Development</v>
      </c>
      <c r="K604">
        <f>IFERROR(__xludf.DUMMYFUNCTION("""COMPUTED_VALUE"""),4077322.0)</f>
        <v>4077322</v>
      </c>
      <c r="L604" s="140" t="str">
        <f>IFERROR(__xludf.DUMMYFUNCTION("""COMPUTED_VALUE"""),"How to Create an Online Course: The Official Udemy Course")</f>
        <v>How to Create an Online Course: The Official Udemy Course</v>
      </c>
    </row>
    <row r="605">
      <c r="A605" s="143">
        <f>IFERROR(__xludf.DUMMYFUNCTION("""COMPUTED_VALUE"""),44439.0)</f>
        <v>44439</v>
      </c>
      <c r="B605">
        <f>IFERROR(__xludf.DUMMYFUNCTION("""COMPUTED_VALUE"""),2549459.0)</f>
        <v>2549459</v>
      </c>
      <c r="C605" t="str">
        <f>IFERROR(__xludf.DUMMYFUNCTION("""COMPUTED_VALUE"""),"en")</f>
        <v>en</v>
      </c>
      <c r="D605" t="str">
        <f>IFERROR(__xludf.DUMMYFUNCTION("""COMPUTED_VALUE"""),"Master Pivotal Cloud Foundry (PCF) with Spring Microservices")</f>
        <v>Master Pivotal Cloud Foundry (PCF) with Spring Microservices</v>
      </c>
      <c r="E605" t="str">
        <f>IFERROR(__xludf.DUMMYFUNCTION("""COMPUTED_VALUE"""),"Master Pivotal Cloud Foundry (PCF) with Spring Microservices")</f>
        <v>Master Pivotal Cloud Foundry (PCF) with Spring Microservices</v>
      </c>
      <c r="F605">
        <f>IFERROR(__xludf.DUMMYFUNCTION("""COMPUTED_VALUE"""),1.3363166E7)</f>
        <v>13363166</v>
      </c>
      <c r="G605" t="str">
        <f>IFERROR(__xludf.DUMMYFUNCTION("""COMPUTED_VALUE"""),"in28Minutes Official")</f>
        <v>in28Minutes Official</v>
      </c>
      <c r="H605" t="str">
        <f>IFERROR(__xludf.DUMMYFUNCTION("""COMPUTED_VALUE"""),"Instructor Request- Outdated")</f>
        <v>Instructor Request- Outdated</v>
      </c>
      <c r="I605" t="str">
        <f>IFERROR(__xludf.DUMMYFUNCTION("""COMPUTED_VALUE"""),"Cloud Computing")</f>
        <v>Cloud Computing</v>
      </c>
      <c r="J605" t="str">
        <f>IFERROR(__xludf.DUMMYFUNCTION("""COMPUTED_VALUE"""),"Cloud Fundamentals")</f>
        <v>Cloud Fundamentals</v>
      </c>
      <c r="K605">
        <f>IFERROR(__xludf.DUMMYFUNCTION("""COMPUTED_VALUE"""),1346052.0)</f>
        <v>1346052</v>
      </c>
      <c r="L605" s="140" t="str">
        <f>IFERROR(__xludf.DUMMYFUNCTION("""COMPUTED_VALUE"""),"Learn to Develop for Cloud with Pivotal Cloud Foundry")</f>
        <v>Learn to Develop for Cloud with Pivotal Cloud Foundry</v>
      </c>
    </row>
    <row r="606">
      <c r="A606" s="143">
        <f>IFERROR(__xludf.DUMMYFUNCTION("""COMPUTED_VALUE"""),44439.0)</f>
        <v>44439</v>
      </c>
      <c r="B606">
        <f>IFERROR(__xludf.DUMMYFUNCTION("""COMPUTED_VALUE"""),3337838.0)</f>
        <v>3337838</v>
      </c>
      <c r="C606" t="str">
        <f>IFERROR(__xludf.DUMMYFUNCTION("""COMPUTED_VALUE"""),"pt")</f>
        <v>pt</v>
      </c>
      <c r="D606" t="str">
        <f>IFERROR(__xludf.DUMMYFUNCTION("""COMPUTED_VALUE"""),"Flutter, TDD, Clean Architecture, SOLID e Design Patterns")</f>
        <v>Flutter, TDD, Clean Architecture, SOLID e Design Patterns</v>
      </c>
      <c r="E606" t="str">
        <f>IFERROR(__xludf.DUMMYFUNCTION("""COMPUTED_VALUE"""),"Flutter, TDD, Clean Architecture, SOLID e Design Patterns")</f>
        <v>Flutter, TDD, Clean Architecture, SOLID e Design Patterns</v>
      </c>
      <c r="F606">
        <f>IFERROR(__xludf.DUMMYFUNCTION("""COMPUTED_VALUE"""),1.5262502E7)</f>
        <v>15262502</v>
      </c>
      <c r="G606" t="str">
        <f>IFERROR(__xludf.DUMMYFUNCTION("""COMPUTED_VALUE"""),"Rodrigo Manguinho")</f>
        <v>Rodrigo Manguinho</v>
      </c>
      <c r="H606" t="str">
        <f>IFERROR(__xludf.DUMMYFUNCTION("""COMPUTED_VALUE"""),"Instructor Request- Opted Out")</f>
        <v>Instructor Request- Opted Out</v>
      </c>
      <c r="I606" t="str">
        <f>IFERROR(__xludf.DUMMYFUNCTION("""COMPUTED_VALUE"""),"Development")</f>
        <v>Development</v>
      </c>
      <c r="J606" t="str">
        <f>IFERROR(__xludf.DUMMYFUNCTION("""COMPUTED_VALUE"""),"Mobile Development")</f>
        <v>Mobile Development</v>
      </c>
      <c r="O606" s="140" t="str">
        <f>IFERROR(__xludf.DUMMYFUNCTION("""COMPUTED_VALUE"""),"No Alternatives in Collection- 7/01/2021")</f>
        <v>No Alternatives in Collection- 7/01/2021</v>
      </c>
    </row>
    <row r="607">
      <c r="A607" s="143">
        <f>IFERROR(__xludf.DUMMYFUNCTION("""COMPUTED_VALUE"""),44439.0)</f>
        <v>44439</v>
      </c>
      <c r="B607" s="145">
        <f>IFERROR(__xludf.DUMMYFUNCTION("""COMPUTED_VALUE"""),3617880.0)</f>
        <v>3617880</v>
      </c>
      <c r="C607" t="str">
        <f>IFERROR(__xludf.DUMMYFUNCTION("""COMPUTED_VALUE"""),"ja")</f>
        <v>ja</v>
      </c>
      <c r="D607" t="str">
        <f>IFERROR(__xludf.DUMMYFUNCTION("""COMPUTED_VALUE"""),"【Python・PyAutoGUI】オリジナル業務効率化（RPA）ツールを作って単純作業を自動化しよう！")</f>
        <v>【Python・PyAutoGUI】オリジナル業務効率化（RPA）ツールを作って単純作業を自動化しよう！</v>
      </c>
      <c r="E607" t="str">
        <f>IFERROR(__xludf.DUMMYFUNCTION("""COMPUTED_VALUE"""),"[Python · Pyautogui] Make the original business efficiency (RPA) tool and automate the simple work!")</f>
        <v>[Python · Pyautogui] Make the original business efficiency (RPA) tool and automate the simple work!</v>
      </c>
      <c r="F607">
        <f>IFERROR(__xludf.DUMMYFUNCTION("""COMPUTED_VALUE"""),1.35326268E8)</f>
        <v>135326268</v>
      </c>
      <c r="G607" t="str">
        <f>IFERROR(__xludf.DUMMYFUNCTION("""COMPUTED_VALUE"""),"やじろべえ (YAJIROBE)")</f>
        <v>やじろべえ (YAJIROBE)</v>
      </c>
      <c r="H607" t="str">
        <f>IFERROR(__xludf.DUMMYFUNCTION("""COMPUTED_VALUE"""),"Instructor Request- Opted Out")</f>
        <v>Instructor Request- Opted Out</v>
      </c>
      <c r="I607" t="str">
        <f>IFERROR(__xludf.DUMMYFUNCTION("""COMPUTED_VALUE"""),"Development")</f>
        <v>Development</v>
      </c>
      <c r="J607" t="str">
        <f>IFERROR(__xludf.DUMMYFUNCTION("""COMPUTED_VALUE"""),"Programming Languages")</f>
        <v>Programming Languages</v>
      </c>
      <c r="O607" s="140" t="str">
        <f>IFERROR(__xludf.DUMMYFUNCTION("""COMPUTED_VALUE"""),"No Alternatives in Collection- 7/01/2021")</f>
        <v>No Alternatives in Collection- 7/01/2021</v>
      </c>
    </row>
    <row r="608">
      <c r="A608" s="143">
        <f>IFERROR(__xludf.DUMMYFUNCTION("""COMPUTED_VALUE"""),44439.0)</f>
        <v>44439</v>
      </c>
      <c r="B608" s="155">
        <f>IFERROR(__xludf.DUMMYFUNCTION("""COMPUTED_VALUE"""),2789244.0)</f>
        <v>2789244</v>
      </c>
      <c r="C608" t="str">
        <f>IFERROR(__xludf.DUMMYFUNCTION("""COMPUTED_VALUE"""),"en")</f>
        <v>en</v>
      </c>
      <c r="D608" t="str">
        <f>IFERROR(__xludf.DUMMYFUNCTION("""COMPUTED_VALUE"""),"Cypress test automation for people in a hurry")</f>
        <v>Cypress test automation for people in a hurry</v>
      </c>
      <c r="E608" t="str">
        <f>IFERROR(__xludf.DUMMYFUNCTION("""COMPUTED_VALUE"""),"Cypress test automation for people in a hurry")</f>
        <v>Cypress test automation for people in a hurry</v>
      </c>
      <c r="F608">
        <f>IFERROR(__xludf.DUMMYFUNCTION("""COMPUTED_VALUE"""),2.7553932E7)</f>
        <v>27553932</v>
      </c>
      <c r="G608" t="str">
        <f>IFERROR(__xludf.DUMMYFUNCTION("""COMPUTED_VALUE"""),"Filip Hric")</f>
        <v>Filip Hric</v>
      </c>
      <c r="H608" t="str">
        <f>IFERROR(__xludf.DUMMYFUNCTION("""COMPUTED_VALUE"""),"Instructor Request- Opted Out")</f>
        <v>Instructor Request- Opted Out</v>
      </c>
      <c r="I608" t="str">
        <f>IFERROR(__xludf.DUMMYFUNCTION("""COMPUTED_VALUE"""),"Development")</f>
        <v>Development</v>
      </c>
      <c r="J608" t="str">
        <f>IFERROR(__xludf.DUMMYFUNCTION("""COMPUTED_VALUE"""),"Software Testing")</f>
        <v>Software Testing</v>
      </c>
      <c r="O608" s="140" t="str">
        <f>IFERROR(__xludf.DUMMYFUNCTION("""COMPUTED_VALUE"""),"No Alternatives in Collection- 3/20")</f>
        <v>No Alternatives in Collection- 3/20</v>
      </c>
    </row>
    <row r="609">
      <c r="A609" s="143">
        <f>IFERROR(__xludf.DUMMYFUNCTION("""COMPUTED_VALUE"""),44439.0)</f>
        <v>44439</v>
      </c>
      <c r="B609">
        <f>IFERROR(__xludf.DUMMYFUNCTION("""COMPUTED_VALUE"""),3566813.0)</f>
        <v>3566813</v>
      </c>
      <c r="C609" t="str">
        <f>IFERROR(__xludf.DUMMYFUNCTION("""COMPUTED_VALUE"""),"en")</f>
        <v>en</v>
      </c>
      <c r="D609" t="str">
        <f>IFERROR(__xludf.DUMMYFUNCTION("""COMPUTED_VALUE"""),"SOA Exam P/CAS Exam 1: Probability for Actuaries Part 2")</f>
        <v>SOA Exam P/CAS Exam 1: Probability for Actuaries Part 2</v>
      </c>
      <c r="E609" t="str">
        <f>IFERROR(__xludf.DUMMYFUNCTION("""COMPUTED_VALUE"""),"SOA Exam P/CAS Exam 1: Probability for Actuaries Part 2")</f>
        <v>SOA Exam P/CAS Exam 1: Probability for Actuaries Part 2</v>
      </c>
      <c r="F609">
        <f>IFERROR(__xludf.DUMMYFUNCTION("""COMPUTED_VALUE"""),2.047266E7)</f>
        <v>20472660</v>
      </c>
      <c r="G609" t="str">
        <f>IFERROR(__xludf.DUMMYFUNCTION("""COMPUTED_VALUE"""),"Clayton Zaluski")</f>
        <v>Clayton Zaluski</v>
      </c>
      <c r="H609" t="str">
        <f>IFERROR(__xludf.DUMMYFUNCTION("""COMPUTED_VALUE"""),"Instructor Request- Opted Out")</f>
        <v>Instructor Request- Opted Out</v>
      </c>
      <c r="I609" t="str">
        <f>IFERROR(__xludf.DUMMYFUNCTION("""COMPUTED_VALUE"""),"Personal Development")</f>
        <v>Personal Development</v>
      </c>
      <c r="J609" t="str">
        <f>IFERROR(__xludf.DUMMYFUNCTION("""COMPUTED_VALUE"""),"Hobbies")</f>
        <v>Hobbies</v>
      </c>
      <c r="O609" s="140" t="str">
        <f>IFERROR(__xludf.DUMMYFUNCTION("""COMPUTED_VALUE"""),"No Alternatives in Collection- 3/20")</f>
        <v>No Alternatives in Collection- 3/20</v>
      </c>
    </row>
    <row r="610">
      <c r="A610" s="143">
        <f>IFERROR(__xludf.DUMMYFUNCTION("""COMPUTED_VALUE"""),44439.0)</f>
        <v>44439</v>
      </c>
      <c r="B610">
        <f>IFERROR(__xludf.DUMMYFUNCTION("""COMPUTED_VALUE"""),3165438.0)</f>
        <v>3165438</v>
      </c>
      <c r="C610" t="str">
        <f>IFERROR(__xludf.DUMMYFUNCTION("""COMPUTED_VALUE"""),"en")</f>
        <v>en</v>
      </c>
      <c r="D610" t="str">
        <f>IFERROR(__xludf.DUMMYFUNCTION("""COMPUTED_VALUE"""),"SOA Exam P/CAS Exam 1: Probability for Actuaries Part 1")</f>
        <v>SOA Exam P/CAS Exam 1: Probability for Actuaries Part 1</v>
      </c>
      <c r="E610" t="str">
        <f>IFERROR(__xludf.DUMMYFUNCTION("""COMPUTED_VALUE"""),"SOA Exam P/CAS Exam 1: Probability for Actuaries Part 1")</f>
        <v>SOA Exam P/CAS Exam 1: Probability for Actuaries Part 1</v>
      </c>
      <c r="F610">
        <f>IFERROR(__xludf.DUMMYFUNCTION("""COMPUTED_VALUE"""),2.047266E7)</f>
        <v>20472660</v>
      </c>
      <c r="G610" t="str">
        <f>IFERROR(__xludf.DUMMYFUNCTION("""COMPUTED_VALUE"""),"Clayton Zaluski")</f>
        <v>Clayton Zaluski</v>
      </c>
      <c r="H610" t="str">
        <f>IFERROR(__xludf.DUMMYFUNCTION("""COMPUTED_VALUE"""),"Instructor Request- Opted Out")</f>
        <v>Instructor Request- Opted Out</v>
      </c>
      <c r="I610" t="str">
        <f>IFERROR(__xludf.DUMMYFUNCTION("""COMPUTED_VALUE"""),"Personal Development")</f>
        <v>Personal Development</v>
      </c>
      <c r="J610" t="str">
        <f>IFERROR(__xludf.DUMMYFUNCTION("""COMPUTED_VALUE"""),"Hobbies")</f>
        <v>Hobbies</v>
      </c>
      <c r="O610" s="140" t="str">
        <f>IFERROR(__xludf.DUMMYFUNCTION("""COMPUTED_VALUE"""),"No Alternatives in Collection- 3/20")</f>
        <v>No Alternatives in Collection- 3/20</v>
      </c>
    </row>
    <row r="611">
      <c r="A611" s="143">
        <f>IFERROR(__xludf.DUMMYFUNCTION("""COMPUTED_VALUE"""),44439.0)</f>
        <v>44439</v>
      </c>
      <c r="B611">
        <f>IFERROR(__xludf.DUMMYFUNCTION("""COMPUTED_VALUE"""),3560791.0)</f>
        <v>3560791</v>
      </c>
      <c r="C611" t="str">
        <f>IFERROR(__xludf.DUMMYFUNCTION("""COMPUTED_VALUE"""),"en")</f>
        <v>en</v>
      </c>
      <c r="D611" t="str">
        <f>IFERROR(__xludf.DUMMYFUNCTION("""COMPUTED_VALUE"""),"WebSphere 8.5 Administration - Hands-On &amp; Practical")</f>
        <v>WebSphere 8.5 Administration - Hands-On &amp; Practical</v>
      </c>
      <c r="E611" t="str">
        <f>IFERROR(__xludf.DUMMYFUNCTION("""COMPUTED_VALUE"""),"WebSphere 8.5 Administration - Hands-On &amp; Practical")</f>
        <v>WebSphere 8.5 Administration - Hands-On &amp; Practical</v>
      </c>
      <c r="F611">
        <f>IFERROR(__xludf.DUMMYFUNCTION("""COMPUTED_VALUE"""),6.0639092E7)</f>
        <v>60639092</v>
      </c>
      <c r="G611" t="str">
        <f>IFERROR(__xludf.DUMMYFUNCTION("""COMPUTED_VALUE"""),"Anil Kintala")</f>
        <v>Anil Kintala</v>
      </c>
      <c r="H611" t="str">
        <f>IFERROR(__xludf.DUMMYFUNCTION("""COMPUTED_VALUE"""),"Instructor Request- Outdated")</f>
        <v>Instructor Request- Outdated</v>
      </c>
      <c r="I611" t="str">
        <f>IFERROR(__xludf.DUMMYFUNCTION("""COMPUTED_VALUE"""),"IT Operations")</f>
        <v>IT Operations</v>
      </c>
      <c r="J611" t="str">
        <f>IFERROR(__xludf.DUMMYFUNCTION("""COMPUTED_VALUE"""),"IT Certifications")</f>
        <v>IT Certifications</v>
      </c>
      <c r="O611" s="140" t="str">
        <f>IFERROR(__xludf.DUMMYFUNCTION("""COMPUTED_VALUE"""),"No Alternatives in Collection- 3/20")</f>
        <v>No Alternatives in Collection- 3/20</v>
      </c>
    </row>
    <row r="612">
      <c r="A612" s="143">
        <f>IFERROR(__xludf.DUMMYFUNCTION("""COMPUTED_VALUE"""),44439.0)</f>
        <v>44439</v>
      </c>
      <c r="B612">
        <f>IFERROR(__xludf.DUMMYFUNCTION("""COMPUTED_VALUE"""),2629780.0)</f>
        <v>2629780</v>
      </c>
      <c r="C612" t="str">
        <f>IFERROR(__xludf.DUMMYFUNCTION("""COMPUTED_VALUE"""),"pt")</f>
        <v>pt</v>
      </c>
      <c r="D612" t="str">
        <f>IFERROR(__xludf.DUMMYFUNCTION("""COMPUTED_VALUE"""),"Automatize o SAP|Excel, Ribbon e Macros|SAP Aberto/Fechado")</f>
        <v>Automatize o SAP|Excel, Ribbon e Macros|SAP Aberto/Fechado</v>
      </c>
      <c r="E612" t="str">
        <f>IFERROR(__xludf.DUMMYFUNCTION("""COMPUTED_VALUE"""),"Automate SAP | Excel, ribbon and macros | SAP Open / Closed")</f>
        <v>Automate SAP | Excel, ribbon and macros | SAP Open / Closed</v>
      </c>
      <c r="F612">
        <f>IFERROR(__xludf.DUMMYFUNCTION("""COMPUTED_VALUE"""),1.0206518E7)</f>
        <v>10206518</v>
      </c>
      <c r="G612" t="str">
        <f>IFERROR(__xludf.DUMMYFUNCTION("""COMPUTED_VALUE"""),"Ivair Claudio Ferrari")</f>
        <v>Ivair Claudio Ferrari</v>
      </c>
      <c r="H612" t="str">
        <f>IFERROR(__xludf.DUMMYFUNCTION("""COMPUTED_VALUE"""),"Instructor Request- Opted Out")</f>
        <v>Instructor Request- Opted Out</v>
      </c>
      <c r="I612" t="str">
        <f>IFERROR(__xludf.DUMMYFUNCTION("""COMPUTED_VALUE"""),"Office Productivity")</f>
        <v>Office Productivity</v>
      </c>
      <c r="J612" t="str">
        <f>IFERROR(__xludf.DUMMYFUNCTION("""COMPUTED_VALUE"""),"Spreadsheets")</f>
        <v>Spreadsheets</v>
      </c>
      <c r="K612">
        <f>IFERROR(__xludf.DUMMYFUNCTION("""COMPUTED_VALUE"""),1680824.0)</f>
        <v>1680824</v>
      </c>
      <c r="L612" s="140" t="str">
        <f>IFERROR(__xludf.DUMMYFUNCTION("""COMPUTED_VALUE"""),"Excel Básico Avançado 5 Cursos - Formação Especialista")</f>
        <v>Excel Básico Avançado 5 Cursos - Formação Especialista</v>
      </c>
      <c r="M612" s="155">
        <f>IFERROR(__xludf.DUMMYFUNCTION("""COMPUTED_VALUE"""),818104.0)</f>
        <v>818104</v>
      </c>
      <c r="N612" s="140" t="str">
        <f>IFERROR(__xludf.DUMMYFUNCTION("""COMPUTED_VALUE"""),"Macros VBA para Excel Completo - Construa 7+ Ferramentas")</f>
        <v>Macros VBA para Excel Completo - Construa 7+ Ferramentas</v>
      </c>
    </row>
    <row r="613">
      <c r="A613" s="143">
        <f>IFERROR(__xludf.DUMMYFUNCTION("""COMPUTED_VALUE"""),44439.0)</f>
        <v>44439</v>
      </c>
      <c r="B613">
        <f>IFERROR(__xludf.DUMMYFUNCTION("""COMPUTED_VALUE"""),3597496.0)</f>
        <v>3597496</v>
      </c>
      <c r="C613" t="str">
        <f>IFERROR(__xludf.DUMMYFUNCTION("""COMPUTED_VALUE"""),"en")</f>
        <v>en</v>
      </c>
      <c r="D613" t="str">
        <f>IFERROR(__xludf.DUMMYFUNCTION("""COMPUTED_VALUE"""),"More than Certified in Terraform")</f>
        <v>More than Certified in Terraform</v>
      </c>
      <c r="E613" t="str">
        <f>IFERROR(__xludf.DUMMYFUNCTION("""COMPUTED_VALUE"""),"More than Certified in Terraform")</f>
        <v>More than Certified in Terraform</v>
      </c>
      <c r="F613">
        <f>IFERROR(__xludf.DUMMYFUNCTION("""COMPUTED_VALUE"""),1967130.0)</f>
        <v>1967130</v>
      </c>
      <c r="G613" t="str">
        <f>IFERROR(__xludf.DUMMYFUNCTION("""COMPUTED_VALUE"""),"Derek Morgan")</f>
        <v>Derek Morgan</v>
      </c>
      <c r="H613" t="str">
        <f>IFERROR(__xludf.DUMMYFUNCTION("""COMPUTED_VALUE"""),"Instructor Request- Exclusivity")</f>
        <v>Instructor Request- Exclusivity</v>
      </c>
      <c r="I613" t="str">
        <f>IFERROR(__xludf.DUMMYFUNCTION("""COMPUTED_VALUE"""),"Development")</f>
        <v>Development</v>
      </c>
      <c r="J613" t="str">
        <f>IFERROR(__xludf.DUMMYFUNCTION("""COMPUTED_VALUE"""),"Development Tools")</f>
        <v>Development Tools</v>
      </c>
      <c r="O613" s="140" t="str">
        <f>IFERROR(__xludf.DUMMYFUNCTION("""COMPUTED_VALUE"""),"No Alternatives in Collection- 3/20")</f>
        <v>No Alternatives in Collection- 3/20</v>
      </c>
    </row>
    <row r="614">
      <c r="A614" s="143">
        <f>IFERROR(__xludf.DUMMYFUNCTION("""COMPUTED_VALUE"""),44439.0)</f>
        <v>44439</v>
      </c>
      <c r="B614">
        <f>IFERROR(__xludf.DUMMYFUNCTION("""COMPUTED_VALUE"""),2741630.0)</f>
        <v>2741630</v>
      </c>
      <c r="C614" t="str">
        <f>IFERROR(__xludf.DUMMYFUNCTION("""COMPUTED_VALUE"""),"fr")</f>
        <v>fr</v>
      </c>
      <c r="D614" t="str">
        <f>IFERROR(__xludf.DUMMYFUNCTION("""COMPUTED_VALUE"""),"Identifiez les prospects qui seront fans de votre produit")</f>
        <v>Identifiez les prospects qui seront fans de votre produit</v>
      </c>
      <c r="E614" t="str">
        <f>IFERROR(__xludf.DUMMYFUNCTION("""COMPUTED_VALUE"""),"Identify the prospects that will be fans of your product")</f>
        <v>Identify the prospects that will be fans of your product</v>
      </c>
      <c r="F614">
        <f>IFERROR(__xludf.DUMMYFUNCTION("""COMPUTED_VALUE"""),5.468233E7)</f>
        <v>54682330</v>
      </c>
      <c r="G614" t="str">
        <f>IFERROR(__xludf.DUMMYFUNCTION("""COMPUTED_VALUE"""),"David Licoppe")</f>
        <v>David Licoppe</v>
      </c>
      <c r="H614" t="str">
        <f>IFERROR(__xludf.DUMMYFUNCTION("""COMPUTED_VALUE"""),"Instructor Request- No Detail")</f>
        <v>Instructor Request- No Detail</v>
      </c>
      <c r="I614" t="str">
        <f>IFERROR(__xludf.DUMMYFUNCTION("""COMPUTED_VALUE"""),"Marketing")</f>
        <v>Marketing</v>
      </c>
      <c r="J614" t="str">
        <f>IFERROR(__xludf.DUMMYFUNCTION("""COMPUTED_VALUE"""),"Marketing Strategy")</f>
        <v>Marketing Strategy</v>
      </c>
      <c r="O614" s="140" t="str">
        <f>IFERROR(__xludf.DUMMYFUNCTION("""COMPUTED_VALUE"""),"No Alternatives in Collection- 3/20")</f>
        <v>No Alternatives in Collection- 3/20</v>
      </c>
    </row>
    <row r="615">
      <c r="A615" s="143">
        <f>IFERROR(__xludf.DUMMYFUNCTION("""COMPUTED_VALUE"""),44439.0)</f>
        <v>44439</v>
      </c>
      <c r="B615">
        <f>IFERROR(__xludf.DUMMYFUNCTION("""COMPUTED_VALUE"""),1212244.0)</f>
        <v>1212244</v>
      </c>
      <c r="C615" t="str">
        <f>IFERROR(__xludf.DUMMYFUNCTION("""COMPUTED_VALUE"""),"en")</f>
        <v>en</v>
      </c>
      <c r="D615" t="str">
        <f>IFERROR(__xludf.DUMMYFUNCTION("""COMPUTED_VALUE"""),"Android O &amp; Java - The Complete Android Development Bootcamp")</f>
        <v>Android O &amp; Java - The Complete Android Development Bootcamp</v>
      </c>
      <c r="E615" t="str">
        <f>IFERROR(__xludf.DUMMYFUNCTION("""COMPUTED_VALUE"""),"Android O &amp; Java - The Complete Android Development Bootcamp")</f>
        <v>Android O &amp; Java - The Complete Android Development Bootcamp</v>
      </c>
      <c r="F615">
        <f>IFERROR(__xludf.DUMMYFUNCTION("""COMPUTED_VALUE"""),3.1977476E7)</f>
        <v>31977476</v>
      </c>
      <c r="G615" t="str">
        <f>IFERROR(__xludf.DUMMYFUNCTION("""COMPUTED_VALUE"""),"Philipp Muellauer")</f>
        <v>Philipp Muellauer</v>
      </c>
      <c r="H615" t="str">
        <f>IFERROR(__xludf.DUMMYFUNCTION("""COMPUTED_VALUE"""),"Instructor Request- Outdated")</f>
        <v>Instructor Request- Outdated</v>
      </c>
      <c r="I615" t="str">
        <f>IFERROR(__xludf.DUMMYFUNCTION("""COMPUTED_VALUE"""),"Development")</f>
        <v>Development</v>
      </c>
      <c r="J615" t="str">
        <f>IFERROR(__xludf.DUMMYFUNCTION("""COMPUTED_VALUE"""),"Mobile Development")</f>
        <v>Mobile Development</v>
      </c>
      <c r="O615" s="140" t="str">
        <f>IFERROR(__xludf.DUMMYFUNCTION("""COMPUTED_VALUE"""),"No Alternatives in Collection- 3/20")</f>
        <v>No Alternatives in Collection- 3/20</v>
      </c>
    </row>
    <row r="616">
      <c r="A616" s="143">
        <f>IFERROR(__xludf.DUMMYFUNCTION("""COMPUTED_VALUE"""),44439.0)</f>
        <v>44439</v>
      </c>
      <c r="B616">
        <f>IFERROR(__xludf.DUMMYFUNCTION("""COMPUTED_VALUE"""),1112962.0)</f>
        <v>1112962</v>
      </c>
      <c r="C616" t="str">
        <f>IFERROR(__xludf.DUMMYFUNCTION("""COMPUTED_VALUE"""),"de")</f>
        <v>de</v>
      </c>
      <c r="D616" t="str">
        <f>IFERROR(__xludf.DUMMYFUNCTION("""COMPUTED_VALUE"""),"BUCHFÜHRUNG - KOMPLETTKURS")</f>
        <v>BUCHFÜHRUNG - KOMPLETTKURS</v>
      </c>
      <c r="E616" t="str">
        <f>IFERROR(__xludf.DUMMYFUNCTION("""COMPUTED_VALUE"""),"Accounting - complete course")</f>
        <v>Accounting - complete course</v>
      </c>
      <c r="F616">
        <f>IFERROR(__xludf.DUMMYFUNCTION("""COMPUTED_VALUE"""),2.9556108E7)</f>
        <v>29556108</v>
      </c>
      <c r="G616" t="str">
        <f>IFERROR(__xludf.DUMMYFUNCTION("""COMPUTED_VALUE"""),"Nick De")</f>
        <v>Nick De</v>
      </c>
      <c r="H616" t="str">
        <f>IFERROR(__xludf.DUMMYFUNCTION("""COMPUTED_VALUE"""),"Instructor Request- Opted Out")</f>
        <v>Instructor Request- Opted Out</v>
      </c>
      <c r="I616" t="str">
        <f>IFERROR(__xludf.DUMMYFUNCTION("""COMPUTED_VALUE"""),"Finance &amp; Accounting")</f>
        <v>Finance &amp; Accounting</v>
      </c>
      <c r="J616" t="str">
        <f>IFERROR(__xludf.DUMMYFUNCTION("""COMPUTED_VALUE"""),"Finance Fundamentals")</f>
        <v>Finance Fundamentals</v>
      </c>
      <c r="O616" s="140" t="str">
        <f>IFERROR(__xludf.DUMMYFUNCTION("""COMPUTED_VALUE"""),"No Alternatives in Collection- 3/20")</f>
        <v>No Alternatives in Collection- 3/20</v>
      </c>
    </row>
    <row r="617">
      <c r="A617" s="143">
        <f>IFERROR(__xludf.DUMMYFUNCTION("""COMPUTED_VALUE"""),44439.0)</f>
        <v>44439</v>
      </c>
      <c r="B617">
        <f>IFERROR(__xludf.DUMMYFUNCTION("""COMPUTED_VALUE"""),2244980.0)</f>
        <v>2244980</v>
      </c>
      <c r="C617" t="str">
        <f>IFERROR(__xludf.DUMMYFUNCTION("""COMPUTED_VALUE"""),"pt")</f>
        <v>pt</v>
      </c>
      <c r="D617" t="str">
        <f>IFERROR(__xludf.DUMMYFUNCTION("""COMPUTED_VALUE"""),"SysAdmin Linux para o mercado de trabalho")</f>
        <v>SysAdmin Linux para o mercado de trabalho</v>
      </c>
      <c r="E617" t="str">
        <f>IFERROR(__xludf.DUMMYFUNCTION("""COMPUTED_VALUE"""),"Sysadmin Linux for the job market")</f>
        <v>Sysadmin Linux for the job market</v>
      </c>
      <c r="F617">
        <f>IFERROR(__xludf.DUMMYFUNCTION("""COMPUTED_VALUE"""),7376308.0)</f>
        <v>7376308</v>
      </c>
      <c r="G617" t="str">
        <f>IFERROR(__xludf.DUMMYFUNCTION("""COMPUTED_VALUE"""),"Janssen Lima")</f>
        <v>Janssen Lima</v>
      </c>
      <c r="H617" t="str">
        <f>IFERROR(__xludf.DUMMYFUNCTION("""COMPUTED_VALUE"""),"Instructor Request- Opted Out")</f>
        <v>Instructor Request- Opted Out</v>
      </c>
      <c r="I617" t="str">
        <f>IFERROR(__xludf.DUMMYFUNCTION("""COMPUTED_VALUE"""),"IT Operations")</f>
        <v>IT Operations</v>
      </c>
      <c r="J617" t="str">
        <f>IFERROR(__xludf.DUMMYFUNCTION("""COMPUTED_VALUE"""),"Operating Systems &amp; Servers")</f>
        <v>Operating Systems &amp; Servers</v>
      </c>
      <c r="O617" s="140" t="str">
        <f>IFERROR(__xludf.DUMMYFUNCTION("""COMPUTED_VALUE"""),"No Alternatives in Collection- 3/20")</f>
        <v>No Alternatives in Collection- 3/20</v>
      </c>
    </row>
    <row r="618">
      <c r="A618" s="143">
        <f>IFERROR(__xludf.DUMMYFUNCTION("""COMPUTED_VALUE"""),44439.0)</f>
        <v>44439</v>
      </c>
      <c r="B618">
        <f>IFERROR(__xludf.DUMMYFUNCTION("""COMPUTED_VALUE"""),215104.0)</f>
        <v>215104</v>
      </c>
      <c r="C618" t="str">
        <f>IFERROR(__xludf.DUMMYFUNCTION("""COMPUTED_VALUE"""),"en")</f>
        <v>en</v>
      </c>
      <c r="D618" t="str">
        <f>IFERROR(__xludf.DUMMYFUNCTION("""COMPUTED_VALUE"""),"Logistic Regression using SAS - Indepth Predictive Modeling")</f>
        <v>Logistic Regression using SAS - Indepth Predictive Modeling</v>
      </c>
      <c r="E618" t="str">
        <f>IFERROR(__xludf.DUMMYFUNCTION("""COMPUTED_VALUE"""),"Logistic Regression using SAS - Indepth Predictive Modeling")</f>
        <v>Logistic Regression using SAS - Indepth Predictive Modeling</v>
      </c>
      <c r="F618">
        <f>IFERROR(__xludf.DUMMYFUNCTION("""COMPUTED_VALUE"""),3420186.0)</f>
        <v>3420186</v>
      </c>
      <c r="G618" t="str">
        <f>IFERROR(__xludf.DUMMYFUNCTION("""COMPUTED_VALUE"""),"Gopal Prasad Malakar")</f>
        <v>Gopal Prasad Malakar</v>
      </c>
      <c r="H618" t="str">
        <f>IFERROR(__xludf.DUMMYFUNCTION("""COMPUTED_VALUE"""),"Low Rating")</f>
        <v>Low Rating</v>
      </c>
      <c r="I618" t="str">
        <f>IFERROR(__xludf.DUMMYFUNCTION("""COMPUTED_VALUE"""),"Data Science")</f>
        <v>Data Science</v>
      </c>
      <c r="J618" t="str">
        <f>IFERROR(__xludf.DUMMYFUNCTION("""COMPUTED_VALUE"""),"Analytics")</f>
        <v>Analytics</v>
      </c>
      <c r="O618" s="140" t="str">
        <f>IFERROR(__xludf.DUMMYFUNCTION("""COMPUTED_VALUE"""),"No Alternatives in Collection- 2/21/2021")</f>
        <v>No Alternatives in Collection- 2/21/2021</v>
      </c>
    </row>
    <row r="619">
      <c r="A619" s="143">
        <f>IFERROR(__xludf.DUMMYFUNCTION("""COMPUTED_VALUE"""),44439.0)</f>
        <v>44439</v>
      </c>
      <c r="B619">
        <f>IFERROR(__xludf.DUMMYFUNCTION("""COMPUTED_VALUE"""),315996.0)</f>
        <v>315996</v>
      </c>
      <c r="C619" t="str">
        <f>IFERROR(__xludf.DUMMYFUNCTION("""COMPUTED_VALUE"""),"en")</f>
        <v>en</v>
      </c>
      <c r="D619" t="str">
        <f>IFERROR(__xludf.DUMMYFUNCTION("""COMPUTED_VALUE"""),"MTA: Windows Server Administration Fundamentals: 98-365")</f>
        <v>MTA: Windows Server Administration Fundamentals: 98-365</v>
      </c>
      <c r="E619" t="str">
        <f>IFERROR(__xludf.DUMMYFUNCTION("""COMPUTED_VALUE"""),"MTA: Windows Server Administration Fundamentals: 98-365")</f>
        <v>MTA: Windows Server Administration Fundamentals: 98-365</v>
      </c>
      <c r="F619">
        <f>IFERROR(__xludf.DUMMYFUNCTION("""COMPUTED_VALUE"""),3951632.0)</f>
        <v>3951632</v>
      </c>
      <c r="G619" t="str">
        <f>IFERROR(__xludf.DUMMYFUNCTION("""COMPUTED_VALUE"""),"Marious Kuriata")</f>
        <v>Marious Kuriata</v>
      </c>
      <c r="H619" t="str">
        <f>IFERROR(__xludf.DUMMYFUNCTION("""COMPUTED_VALUE"""),"Low Rating")</f>
        <v>Low Rating</v>
      </c>
      <c r="I619" t="str">
        <f>IFERROR(__xludf.DUMMYFUNCTION("""COMPUTED_VALUE"""),"IT Operations")</f>
        <v>IT Operations</v>
      </c>
      <c r="J619" t="str">
        <f>IFERROR(__xludf.DUMMYFUNCTION("""COMPUTED_VALUE"""),"IT Certifications")</f>
        <v>IT Certifications</v>
      </c>
      <c r="O619" s="140" t="str">
        <f>IFERROR(__xludf.DUMMYFUNCTION("""COMPUTED_VALUE"""),"No Alternatives in Collection- 2/21/2021")</f>
        <v>No Alternatives in Collection- 2/21/2021</v>
      </c>
    </row>
    <row r="620">
      <c r="A620" s="143">
        <f>IFERROR(__xludf.DUMMYFUNCTION("""COMPUTED_VALUE"""),44439.0)</f>
        <v>44439</v>
      </c>
      <c r="B620">
        <f>IFERROR(__xludf.DUMMYFUNCTION("""COMPUTED_VALUE"""),549848.0)</f>
        <v>549848</v>
      </c>
      <c r="C620" t="str">
        <f>IFERROR(__xludf.DUMMYFUNCTION("""COMPUTED_VALUE"""),"en")</f>
        <v>en</v>
      </c>
      <c r="D620" t="str">
        <f>IFERROR(__xludf.DUMMYFUNCTION("""COMPUTED_VALUE"""),"Hotel Management Fundamentals: Kickstart Your Career Success")</f>
        <v>Hotel Management Fundamentals: Kickstart Your Career Success</v>
      </c>
      <c r="E620" t="str">
        <f>IFERROR(__xludf.DUMMYFUNCTION("""COMPUTED_VALUE"""),"Hotel Management Fundamentals: Kickstart Your Career Success")</f>
        <v>Hotel Management Fundamentals: Kickstart Your Career Success</v>
      </c>
      <c r="F620">
        <f>IFERROR(__xludf.DUMMYFUNCTION("""COMPUTED_VALUE"""),1.2431182E7)</f>
        <v>12431182</v>
      </c>
      <c r="G620" t="str">
        <f>IFERROR(__xludf.DUMMYFUNCTION("""COMPUTED_VALUE"""),"Andrea Kjellin")</f>
        <v>Andrea Kjellin</v>
      </c>
      <c r="H620" t="str">
        <f>IFERROR(__xludf.DUMMYFUNCTION("""COMPUTED_VALUE"""),"Low Rating")</f>
        <v>Low Rating</v>
      </c>
      <c r="I620" t="str">
        <f>IFERROR(__xludf.DUMMYFUNCTION("""COMPUTED_VALUE"""),"Personal Development")</f>
        <v>Personal Development</v>
      </c>
      <c r="J620" t="str">
        <f>IFERROR(__xludf.DUMMYFUNCTION("""COMPUTED_VALUE"""),"Entrepreneurship")</f>
        <v>Entrepreneurship</v>
      </c>
      <c r="K620">
        <f>IFERROR(__xludf.DUMMYFUNCTION("""COMPUTED_VALUE"""),1484840.0)</f>
        <v>1484840</v>
      </c>
      <c r="L620" s="140" t="str">
        <f>IFERROR(__xludf.DUMMYFUNCTION("""COMPUTED_VALUE"""),"TripAdvisor Domination For Hospitality &amp; Hotel Management")</f>
        <v>TripAdvisor Domination For Hospitality &amp; Hotel Management</v>
      </c>
    </row>
    <row r="621">
      <c r="A621" s="143">
        <f>IFERROR(__xludf.DUMMYFUNCTION("""COMPUTED_VALUE"""),44439.0)</f>
        <v>44439</v>
      </c>
      <c r="B621">
        <f>IFERROR(__xludf.DUMMYFUNCTION("""COMPUTED_VALUE"""),860394.0)</f>
        <v>860394</v>
      </c>
      <c r="C621" t="str">
        <f>IFERROR(__xludf.DUMMYFUNCTION("""COMPUTED_VALUE"""),"en")</f>
        <v>en</v>
      </c>
      <c r="D621" t="str">
        <f>IFERROR(__xludf.DUMMYFUNCTION("""COMPUTED_VALUE"""),"Java/Apache Maven: The Truth About Building Java Programs")</f>
        <v>Java/Apache Maven: The Truth About Building Java Programs</v>
      </c>
      <c r="E621" t="str">
        <f>IFERROR(__xludf.DUMMYFUNCTION("""COMPUTED_VALUE"""),"Java/Apache Maven: The Truth About Building Java Programs")</f>
        <v>Java/Apache Maven: The Truth About Building Java Programs</v>
      </c>
      <c r="F621">
        <f>IFERROR(__xludf.DUMMYFUNCTION("""COMPUTED_VALUE"""),5223274.0)</f>
        <v>5223274</v>
      </c>
      <c r="G621" t="str">
        <f>IFERROR(__xludf.DUMMYFUNCTION("""COMPUTED_VALUE"""),"Bruce E. Hilton")</f>
        <v>Bruce E. Hilton</v>
      </c>
      <c r="H621" t="str">
        <f>IFERROR(__xludf.DUMMYFUNCTION("""COMPUTED_VALUE"""),"Low Rating")</f>
        <v>Low Rating</v>
      </c>
      <c r="I621" t="str">
        <f>IFERROR(__xludf.DUMMYFUNCTION("""COMPUTED_VALUE"""),"Development")</f>
        <v>Development</v>
      </c>
      <c r="J621" t="str">
        <f>IFERROR(__xludf.DUMMYFUNCTION("""COMPUTED_VALUE"""),"Programming Languages")</f>
        <v>Programming Languages</v>
      </c>
      <c r="K621">
        <f>IFERROR(__xludf.DUMMYFUNCTION("""COMPUTED_VALUE"""),2043700.0)</f>
        <v>2043700</v>
      </c>
      <c r="L621" s="140" t="str">
        <f>IFERROR(__xludf.DUMMYFUNCTION("""COMPUTED_VALUE"""),"Apache Maven: Beginner to Guru")</f>
        <v>Apache Maven: Beginner to Guru</v>
      </c>
    </row>
    <row r="622">
      <c r="A622" s="143">
        <f>IFERROR(__xludf.DUMMYFUNCTION("""COMPUTED_VALUE"""),44439.0)</f>
        <v>44439</v>
      </c>
      <c r="B622">
        <f>IFERROR(__xludf.DUMMYFUNCTION("""COMPUTED_VALUE"""),1149892.0)</f>
        <v>1149892</v>
      </c>
      <c r="C622" t="str">
        <f>IFERROR(__xludf.DUMMYFUNCTION("""COMPUTED_VALUE"""),"en")</f>
        <v>en</v>
      </c>
      <c r="D622" t="str">
        <f>IFERROR(__xludf.DUMMYFUNCTION("""COMPUTED_VALUE"""),"ElasticSearch, LogStash, Kibana ELK #2 - Learn LogStash")</f>
        <v>ElasticSearch, LogStash, Kibana ELK #2 - Learn LogStash</v>
      </c>
      <c r="E622" t="str">
        <f>IFERROR(__xludf.DUMMYFUNCTION("""COMPUTED_VALUE"""),"ElasticSearch, LogStash, Kibana ELK #2 - Learn LogStash")</f>
        <v>ElasticSearch, LogStash, Kibana ELK #2 - Learn LogStash</v>
      </c>
      <c r="F622">
        <f>IFERROR(__xludf.DUMMYFUNCTION("""COMPUTED_VALUE"""),2.9951918E7)</f>
        <v>29951918</v>
      </c>
      <c r="G622" t="str">
        <f>IFERROR(__xludf.DUMMYFUNCTION("""COMPUTED_VALUE"""),"TetraNoodle Team")</f>
        <v>TetraNoodle Team</v>
      </c>
      <c r="H622" t="str">
        <f>IFERROR(__xludf.DUMMYFUNCTION("""COMPUTED_VALUE"""),"Low Rating")</f>
        <v>Low Rating</v>
      </c>
      <c r="I622" t="str">
        <f>IFERROR(__xludf.DUMMYFUNCTION("""COMPUTED_VALUE"""),"Data Science")</f>
        <v>Data Science</v>
      </c>
      <c r="J622" t="str">
        <f>IFERROR(__xludf.DUMMYFUNCTION("""COMPUTED_VALUE"""),"Data Visualization")</f>
        <v>Data Visualization</v>
      </c>
      <c r="K622">
        <f>IFERROR(__xludf.DUMMYFUNCTION("""COMPUTED_VALUE"""),693188.0)</f>
        <v>693188</v>
      </c>
      <c r="L622" s="140" t="str">
        <f>IFERROR(__xludf.DUMMYFUNCTION("""COMPUTED_VALUE"""),"Complete Guide to Elasticsearch")</f>
        <v>Complete Guide to Elasticsearch</v>
      </c>
    </row>
    <row r="623">
      <c r="A623" s="143">
        <f>IFERROR(__xludf.DUMMYFUNCTION("""COMPUTED_VALUE"""),44439.0)</f>
        <v>44439</v>
      </c>
      <c r="B623">
        <f>IFERROR(__xludf.DUMMYFUNCTION("""COMPUTED_VALUE"""),1248900.0)</f>
        <v>1248900</v>
      </c>
      <c r="C623" t="str">
        <f>IFERROR(__xludf.DUMMYFUNCTION("""COMPUTED_VALUE"""),"en")</f>
        <v>en</v>
      </c>
      <c r="D623" t="str">
        <f>IFERROR(__xludf.DUMMYFUNCTION("""COMPUTED_VALUE"""),"Marketing Campaign Strategy from A to Z")</f>
        <v>Marketing Campaign Strategy from A to Z</v>
      </c>
      <c r="E623" t="str">
        <f>IFERROR(__xludf.DUMMYFUNCTION("""COMPUTED_VALUE"""),"Marketing Campaign Strategy from A to Z")</f>
        <v>Marketing Campaign Strategy from A to Z</v>
      </c>
      <c r="F623">
        <f>IFERROR(__xludf.DUMMYFUNCTION("""COMPUTED_VALUE"""),1.9265656E7)</f>
        <v>19265656</v>
      </c>
      <c r="G623" t="str">
        <f>IFERROR(__xludf.DUMMYFUNCTION("""COMPUTED_VALUE"""),"Jasmine Wang")</f>
        <v>Jasmine Wang</v>
      </c>
      <c r="H623" t="str">
        <f>IFERROR(__xludf.DUMMYFUNCTION("""COMPUTED_VALUE"""),"Low Rating")</f>
        <v>Low Rating</v>
      </c>
      <c r="I623" t="str">
        <f>IFERROR(__xludf.DUMMYFUNCTION("""COMPUTED_VALUE"""),"Marketing")</f>
        <v>Marketing</v>
      </c>
      <c r="J623" t="str">
        <f>IFERROR(__xludf.DUMMYFUNCTION("""COMPUTED_VALUE"""),"Digital Marketing")</f>
        <v>Digital Marketing</v>
      </c>
      <c r="K623">
        <f>IFERROR(__xludf.DUMMYFUNCTION("""COMPUTED_VALUE"""),914296.0)</f>
        <v>914296</v>
      </c>
      <c r="L623" s="140" t="str">
        <f>IFERROR(__xludf.DUMMYFUNCTION("""COMPUTED_VALUE"""),"The Complete Digital Marketing Course - 12 Courses in 1")</f>
        <v>The Complete Digital Marketing Course - 12 Courses in 1</v>
      </c>
    </row>
    <row r="624">
      <c r="A624" s="143">
        <f>IFERROR(__xludf.DUMMYFUNCTION("""COMPUTED_VALUE"""),44439.0)</f>
        <v>44439</v>
      </c>
      <c r="B624">
        <f>IFERROR(__xludf.DUMMYFUNCTION("""COMPUTED_VALUE"""),1379518.0)</f>
        <v>1379518</v>
      </c>
      <c r="C624" t="str">
        <f>IFERROR(__xludf.DUMMYFUNCTION("""COMPUTED_VALUE"""),"en")</f>
        <v>en</v>
      </c>
      <c r="D624" t="str">
        <f>IFERROR(__xludf.DUMMYFUNCTION("""COMPUTED_VALUE"""),"Emotional Intelligence Training: EI in the Workplace")</f>
        <v>Emotional Intelligence Training: EI in the Workplace</v>
      </c>
      <c r="E624" t="str">
        <f>IFERROR(__xludf.DUMMYFUNCTION("""COMPUTED_VALUE"""),"Emotional Intelligence Training: EI in the Workplace")</f>
        <v>Emotional Intelligence Training: EI in the Workplace</v>
      </c>
      <c r="F624">
        <f>IFERROR(__xludf.DUMMYFUNCTION("""COMPUTED_VALUE"""),1.9395104E7)</f>
        <v>19395104</v>
      </c>
      <c r="G624" t="str">
        <f>IFERROR(__xludf.DUMMYFUNCTION("""COMPUTED_VALUE"""),"Ermin Dedic")</f>
        <v>Ermin Dedic</v>
      </c>
      <c r="H624" t="str">
        <f>IFERROR(__xludf.DUMMYFUNCTION("""COMPUTED_VALUE"""),"Low Rating")</f>
        <v>Low Rating</v>
      </c>
      <c r="I624" t="str">
        <f>IFERROR(__xludf.DUMMYFUNCTION("""COMPUTED_VALUE"""),"Leadership &amp; Management")</f>
        <v>Leadership &amp; Management</v>
      </c>
      <c r="J624" t="str">
        <f>IFERROR(__xludf.DUMMYFUNCTION("""COMPUTED_VALUE"""),"Leadership")</f>
        <v>Leadership</v>
      </c>
      <c r="K624">
        <f>IFERROR(__xludf.DUMMYFUNCTION("""COMPUTED_VALUE"""),2246852.0)</f>
        <v>2246852</v>
      </c>
      <c r="L624" s="140" t="str">
        <f>IFERROR(__xludf.DUMMYFUNCTION("""COMPUTED_VALUE"""),"Emotional Intelligence at Work: Learn from Your Emotions")</f>
        <v>Emotional Intelligence at Work: Learn from Your Emotions</v>
      </c>
    </row>
    <row r="625">
      <c r="A625" s="143">
        <f>IFERROR(__xludf.DUMMYFUNCTION("""COMPUTED_VALUE"""),44439.0)</f>
        <v>44439</v>
      </c>
      <c r="B625">
        <f>IFERROR(__xludf.DUMMYFUNCTION("""COMPUTED_VALUE"""),1426968.0)</f>
        <v>1426968</v>
      </c>
      <c r="C625" t="str">
        <f>IFERROR(__xludf.DUMMYFUNCTION("""COMPUTED_VALUE"""),"en")</f>
        <v>en</v>
      </c>
      <c r="D625" t="str">
        <f>IFERROR(__xludf.DUMMYFUNCTION("""COMPUTED_VALUE"""),"Onboarding New Employees: Increase retention and performance")</f>
        <v>Onboarding New Employees: Increase retention and performance</v>
      </c>
      <c r="E625" t="str">
        <f>IFERROR(__xludf.DUMMYFUNCTION("""COMPUTED_VALUE"""),"Onboarding New Employees: Increase retention and performance")</f>
        <v>Onboarding New Employees: Increase retention and performance</v>
      </c>
      <c r="F625">
        <f>IFERROR(__xludf.DUMMYFUNCTION("""COMPUTED_VALUE"""),18187.0)</f>
        <v>18187</v>
      </c>
      <c r="G625" t="str">
        <f>IFERROR(__xludf.DUMMYFUNCTION("""COMPUTED_VALUE"""),"Evan Kimbrell")</f>
        <v>Evan Kimbrell</v>
      </c>
      <c r="H625" t="str">
        <f>IFERROR(__xludf.DUMMYFUNCTION("""COMPUTED_VALUE"""),"Low Rating")</f>
        <v>Low Rating</v>
      </c>
      <c r="I625" t="str">
        <f>IFERROR(__xludf.DUMMYFUNCTION("""COMPUTED_VALUE"""),"Workplace &amp; Human Resources")</f>
        <v>Workplace &amp; Human Resources</v>
      </c>
      <c r="J625" t="str">
        <f>IFERROR(__xludf.DUMMYFUNCTION("""COMPUTED_VALUE"""),"Talent Management")</f>
        <v>Talent Management</v>
      </c>
      <c r="O625" s="140" t="str">
        <f>IFERROR(__xludf.DUMMYFUNCTION("""COMPUTED_VALUE"""),"No Alternatives in Collection- 2/21/2021")</f>
        <v>No Alternatives in Collection- 2/21/2021</v>
      </c>
    </row>
    <row r="626">
      <c r="A626" s="143">
        <f>IFERROR(__xludf.DUMMYFUNCTION("""COMPUTED_VALUE"""),44439.0)</f>
        <v>44439</v>
      </c>
      <c r="B626">
        <f>IFERROR(__xludf.DUMMYFUNCTION("""COMPUTED_VALUE"""),1498936.0)</f>
        <v>1498936</v>
      </c>
      <c r="C626" t="str">
        <f>IFERROR(__xludf.DUMMYFUNCTION("""COMPUTED_VALUE"""),"en")</f>
        <v>en</v>
      </c>
      <c r="D626" t="str">
        <f>IFERROR(__xludf.DUMMYFUNCTION("""COMPUTED_VALUE"""),"The Complete Microsoft Dynamics NAV 2018 Beginners Course")</f>
        <v>The Complete Microsoft Dynamics NAV 2018 Beginners Course</v>
      </c>
      <c r="E626" t="str">
        <f>IFERROR(__xludf.DUMMYFUNCTION("""COMPUTED_VALUE"""),"The Complete Microsoft Dynamics NAV 2018 Beginners Course")</f>
        <v>The Complete Microsoft Dynamics NAV 2018 Beginners Course</v>
      </c>
      <c r="F626">
        <f>IFERROR(__xludf.DUMMYFUNCTION("""COMPUTED_VALUE"""),1.4565114E7)</f>
        <v>14565114</v>
      </c>
      <c r="G626" t="str">
        <f>IFERROR(__xludf.DUMMYFUNCTION("""COMPUTED_VALUE"""),"Online CRM Training (3E Consulting Private Limited)")</f>
        <v>Online CRM Training (3E Consulting Private Limited)</v>
      </c>
      <c r="H626" t="str">
        <f>IFERROR(__xludf.DUMMYFUNCTION("""COMPUTED_VALUE"""),"Low Rating")</f>
        <v>Low Rating</v>
      </c>
      <c r="I626" t="str">
        <f>IFERROR(__xludf.DUMMYFUNCTION("""COMPUTED_VALUE"""),"Project Management &amp; Operations")</f>
        <v>Project Management &amp; Operations</v>
      </c>
      <c r="J626" t="str">
        <f>IFERROR(__xludf.DUMMYFUNCTION("""COMPUTED_VALUE"""),"Operations Management")</f>
        <v>Operations Management</v>
      </c>
      <c r="O626" s="140" t="str">
        <f>IFERROR(__xludf.DUMMYFUNCTION("""COMPUTED_VALUE"""),"No Alternatives in Collection- 2/21/2021")</f>
        <v>No Alternatives in Collection- 2/21/2021</v>
      </c>
    </row>
    <row r="627">
      <c r="A627" s="143">
        <f>IFERROR(__xludf.DUMMYFUNCTION("""COMPUTED_VALUE"""),44439.0)</f>
        <v>44439</v>
      </c>
      <c r="B627">
        <f>IFERROR(__xludf.DUMMYFUNCTION("""COMPUTED_VALUE"""),1627224.0)</f>
        <v>1627224</v>
      </c>
      <c r="C627" t="str">
        <f>IFERROR(__xludf.DUMMYFUNCTION("""COMPUTED_VALUE"""),"en")</f>
        <v>en</v>
      </c>
      <c r="D627" t="str">
        <f>IFERROR(__xludf.DUMMYFUNCTION("""COMPUTED_VALUE"""),"Applied Time Series Analysis and Forecasting with R Projects")</f>
        <v>Applied Time Series Analysis and Forecasting with R Projects</v>
      </c>
      <c r="E627" t="str">
        <f>IFERROR(__xludf.DUMMYFUNCTION("""COMPUTED_VALUE"""),"Applied Time Series Analysis and Forecasting with R Projects")</f>
        <v>Applied Time Series Analysis and Forecasting with R Projects</v>
      </c>
      <c r="F627">
        <f>IFERROR(__xludf.DUMMYFUNCTION("""COMPUTED_VALUE"""),5678748.0)</f>
        <v>5678748</v>
      </c>
      <c r="G627" t="str">
        <f>IFERROR(__xludf.DUMMYFUNCTION("""COMPUTED_VALUE"""),"R-Tutorials Training")</f>
        <v>R-Tutorials Training</v>
      </c>
      <c r="H627" t="str">
        <f>IFERROR(__xludf.DUMMYFUNCTION("""COMPUTED_VALUE"""),"Low Rating")</f>
        <v>Low Rating</v>
      </c>
      <c r="I627" t="str">
        <f>IFERROR(__xludf.DUMMYFUNCTION("""COMPUTED_VALUE"""),"Data Science")</f>
        <v>Data Science</v>
      </c>
      <c r="J627" t="str">
        <f>IFERROR(__xludf.DUMMYFUNCTION("""COMPUTED_VALUE"""),"Analytics")</f>
        <v>Analytics</v>
      </c>
      <c r="K627">
        <f>IFERROR(__xludf.DUMMYFUNCTION("""COMPUTED_VALUE"""),690058.0)</f>
        <v>690058</v>
      </c>
      <c r="L627" s="140" t="str">
        <f>IFERROR(__xludf.DUMMYFUNCTION("""COMPUTED_VALUE"""),"Introduction to Time Series Analysis and Forecasting in R")</f>
        <v>Introduction to Time Series Analysis and Forecasting in R</v>
      </c>
    </row>
    <row r="628">
      <c r="A628" s="143">
        <f>IFERROR(__xludf.DUMMYFUNCTION("""COMPUTED_VALUE"""),44439.0)</f>
        <v>44439</v>
      </c>
      <c r="B628">
        <f>IFERROR(__xludf.DUMMYFUNCTION("""COMPUTED_VALUE"""),1694750.0)</f>
        <v>1694750</v>
      </c>
      <c r="C628" t="str">
        <f>IFERROR(__xludf.DUMMYFUNCTION("""COMPUTED_VALUE"""),"en")</f>
        <v>en</v>
      </c>
      <c r="D628" t="str">
        <f>IFERROR(__xludf.DUMMYFUNCTION("""COMPUTED_VALUE"""),"Real World SAP - Plant Maintenance Orders and Notifications")</f>
        <v>Real World SAP - Plant Maintenance Orders and Notifications</v>
      </c>
      <c r="E628" t="str">
        <f>IFERROR(__xludf.DUMMYFUNCTION("""COMPUTED_VALUE"""),"Real World SAP - Plant Maintenance Orders and Notifications")</f>
        <v>Real World SAP - Plant Maintenance Orders and Notifications</v>
      </c>
      <c r="F628">
        <f>IFERROR(__xludf.DUMMYFUNCTION("""COMPUTED_VALUE"""),9099914.0)</f>
        <v>9099914</v>
      </c>
      <c r="G628" t="str">
        <f>IFERROR(__xludf.DUMMYFUNCTION("""COMPUTED_VALUE"""),"John von Aspen")</f>
        <v>John von Aspen</v>
      </c>
      <c r="H628" t="str">
        <f>IFERROR(__xludf.DUMMYFUNCTION("""COMPUTED_VALUE"""),"Low Rating")</f>
        <v>Low Rating</v>
      </c>
      <c r="I628" t="str">
        <f>IFERROR(__xludf.DUMMYFUNCTION("""COMPUTED_VALUE"""),"IT Operations")</f>
        <v>IT Operations</v>
      </c>
      <c r="J628" t="str">
        <f>IFERROR(__xludf.DUMMYFUNCTION("""COMPUTED_VALUE"""),"Operating Systems &amp; Servers")</f>
        <v>Operating Systems &amp; Servers</v>
      </c>
      <c r="K628">
        <f>IFERROR(__xludf.DUMMYFUNCTION("""COMPUTED_VALUE"""),826870.0)</f>
        <v>826870</v>
      </c>
      <c r="L628" s="140" t="str">
        <f>IFERROR(__xludf.DUMMYFUNCTION("""COMPUTED_VALUE"""),"SAP Simplified for Absolute Beginners")</f>
        <v>SAP Simplified for Absolute Beginners</v>
      </c>
    </row>
    <row r="629">
      <c r="A629" s="143">
        <f>IFERROR(__xludf.DUMMYFUNCTION("""COMPUTED_VALUE"""),44439.0)</f>
        <v>44439</v>
      </c>
      <c r="B629">
        <f>IFERROR(__xludf.DUMMYFUNCTION("""COMPUTED_VALUE"""),1963306.0)</f>
        <v>1963306</v>
      </c>
      <c r="C629" t="str">
        <f>IFERROR(__xludf.DUMMYFUNCTION("""COMPUTED_VALUE"""),"de")</f>
        <v>de</v>
      </c>
      <c r="D629" t="str">
        <f>IFERROR(__xludf.DUMMYFUNCTION("""COMPUTED_VALUE"""),"Cryptography Beginners Guide with openSSL")</f>
        <v>Cryptography Beginners Guide with openSSL</v>
      </c>
      <c r="E629" t="str">
        <f>IFERROR(__xludf.DUMMYFUNCTION("""COMPUTED_VALUE"""),"Cryptography Beginners Guide with openSSL")</f>
        <v>Cryptography Beginners Guide with openSSL</v>
      </c>
      <c r="F629">
        <f>IFERROR(__xludf.DUMMYFUNCTION("""COMPUTED_VALUE"""),5.2322794E7)</f>
        <v>52322794</v>
      </c>
      <c r="G629" t="str">
        <f>IFERROR(__xludf.DUMMYFUNCTION("""COMPUTED_VALUE"""),"Ofer Shmueli")</f>
        <v>Ofer Shmueli</v>
      </c>
      <c r="H629" t="str">
        <f>IFERROR(__xludf.DUMMYFUNCTION("""COMPUTED_VALUE"""),"Low Rating")</f>
        <v>Low Rating</v>
      </c>
      <c r="I629" t="str">
        <f>IFERROR(__xludf.DUMMYFUNCTION("""COMPUTED_VALUE"""),"IT Operations")</f>
        <v>IT Operations</v>
      </c>
      <c r="J629" t="str">
        <f>IFERROR(__xludf.DUMMYFUNCTION("""COMPUTED_VALUE"""),"Network &amp; Security")</f>
        <v>Network &amp; Security</v>
      </c>
      <c r="O629" s="140" t="str">
        <f>IFERROR(__xludf.DUMMYFUNCTION("""COMPUTED_VALUE"""),"No Alternatives in Collection- 2/21/2021")</f>
        <v>No Alternatives in Collection- 2/21/2021</v>
      </c>
    </row>
    <row r="630">
      <c r="A630" s="143">
        <f>IFERROR(__xludf.DUMMYFUNCTION("""COMPUTED_VALUE"""),44439.0)</f>
        <v>44439</v>
      </c>
      <c r="B630">
        <f>IFERROR(__xludf.DUMMYFUNCTION("""COMPUTED_VALUE"""),2019022.0)</f>
        <v>2019022</v>
      </c>
      <c r="C630" t="str">
        <f>IFERROR(__xludf.DUMMYFUNCTION("""COMPUTED_VALUE"""),"en")</f>
        <v>en</v>
      </c>
      <c r="D630" t="str">
        <f>IFERROR(__xludf.DUMMYFUNCTION("""COMPUTED_VALUE"""),"Certified Electronic Health Records Specialist")</f>
        <v>Certified Electronic Health Records Specialist</v>
      </c>
      <c r="E630" t="str">
        <f>IFERROR(__xludf.DUMMYFUNCTION("""COMPUTED_VALUE"""),"Certified Electronic Health Records Specialist")</f>
        <v>Certified Electronic Health Records Specialist</v>
      </c>
      <c r="F630">
        <f>IFERROR(__xludf.DUMMYFUNCTION("""COMPUTED_VALUE"""),5.7471084E7)</f>
        <v>57471084</v>
      </c>
      <c r="G630" t="str">
        <f>IFERROR(__xludf.DUMMYFUNCTION("""COMPUTED_VALUE"""),"Valerie Boyd- Holsinger")</f>
        <v>Valerie Boyd- Holsinger</v>
      </c>
      <c r="H630" t="str">
        <f>IFERROR(__xludf.DUMMYFUNCTION("""COMPUTED_VALUE"""),"Low Rating")</f>
        <v>Low Rating</v>
      </c>
      <c r="I630" t="str">
        <f>IFERROR(__xludf.DUMMYFUNCTION("""COMPUTED_VALUE"""),"Personal Development")</f>
        <v>Personal Development</v>
      </c>
      <c r="J630" t="str">
        <f>IFERROR(__xludf.DUMMYFUNCTION("""COMPUTED_VALUE"""),"Hobbies")</f>
        <v>Hobbies</v>
      </c>
      <c r="O630" s="140" t="str">
        <f>IFERROR(__xludf.DUMMYFUNCTION("""COMPUTED_VALUE"""),"No Alternatives in Collection- 2/21/2021")</f>
        <v>No Alternatives in Collection- 2/21/2021</v>
      </c>
    </row>
    <row r="631">
      <c r="A631" s="143">
        <f>IFERROR(__xludf.DUMMYFUNCTION("""COMPUTED_VALUE"""),44439.0)</f>
        <v>44439</v>
      </c>
      <c r="B631">
        <f>IFERROR(__xludf.DUMMYFUNCTION("""COMPUTED_VALUE"""),2360318.0)</f>
        <v>2360318</v>
      </c>
      <c r="C631" t="str">
        <f>IFERROR(__xludf.DUMMYFUNCTION("""COMPUTED_VALUE"""),"en")</f>
        <v>en</v>
      </c>
      <c r="D631" t="str">
        <f>IFERROR(__xludf.DUMMYFUNCTION("""COMPUTED_VALUE"""),"CRISPR/Cas9 Crash Course for Beginners")</f>
        <v>CRISPR/Cas9 Crash Course for Beginners</v>
      </c>
      <c r="E631" t="str">
        <f>IFERROR(__xludf.DUMMYFUNCTION("""COMPUTED_VALUE"""),"CRISPR/Cas9 Crash Course for Beginners")</f>
        <v>CRISPR/Cas9 Crash Course for Beginners</v>
      </c>
      <c r="F631">
        <f>IFERROR(__xludf.DUMMYFUNCTION("""COMPUTED_VALUE"""),5.4988432E7)</f>
        <v>54988432</v>
      </c>
      <c r="G631" t="str">
        <f>IFERROR(__xludf.DUMMYFUNCTION("""COMPUTED_VALUE"""),"Muhammad Naeem")</f>
        <v>Muhammad Naeem</v>
      </c>
      <c r="H631" t="str">
        <f>IFERROR(__xludf.DUMMYFUNCTION("""COMPUTED_VALUE"""),"Low Rating")</f>
        <v>Low Rating</v>
      </c>
      <c r="I631" t="str">
        <f>IFERROR(__xludf.DUMMYFUNCTION("""COMPUTED_VALUE"""),"Personal Development")</f>
        <v>Personal Development</v>
      </c>
      <c r="J631" t="str">
        <f>IFERROR(__xludf.DUMMYFUNCTION("""COMPUTED_VALUE"""),"Hobbies")</f>
        <v>Hobbies</v>
      </c>
      <c r="O631" s="140" t="str">
        <f>IFERROR(__xludf.DUMMYFUNCTION("""COMPUTED_VALUE"""),"No Alternatives in Collection- 2/21/2021")</f>
        <v>No Alternatives in Collection- 2/21/2021</v>
      </c>
    </row>
    <row r="632">
      <c r="A632" s="143">
        <f>IFERROR(__xludf.DUMMYFUNCTION("""COMPUTED_VALUE"""),44439.0)</f>
        <v>44439</v>
      </c>
      <c r="B632">
        <f>IFERROR(__xludf.DUMMYFUNCTION("""COMPUTED_VALUE"""),2435670.0)</f>
        <v>2435670</v>
      </c>
      <c r="C632" t="str">
        <f>IFERROR(__xludf.DUMMYFUNCTION("""COMPUTED_VALUE"""),"en")</f>
        <v>en</v>
      </c>
      <c r="D632" t="str">
        <f>IFERROR(__xludf.DUMMYFUNCTION("""COMPUTED_VALUE"""),"The Complete Azure SQL Database Bootcamp:Beginner To Expert")</f>
        <v>The Complete Azure SQL Database Bootcamp:Beginner To Expert</v>
      </c>
      <c r="E632" t="str">
        <f>IFERROR(__xludf.DUMMYFUNCTION("""COMPUTED_VALUE"""),"The Complete Azure SQL Database Bootcamp:Beginner To Expert")</f>
        <v>The Complete Azure SQL Database Bootcamp:Beginner To Expert</v>
      </c>
      <c r="F632">
        <f>IFERROR(__xludf.DUMMYFUNCTION("""COMPUTED_VALUE"""),2.7924488E7)</f>
        <v>27924488</v>
      </c>
      <c r="G632" t="str">
        <f>IFERROR(__xludf.DUMMYFUNCTION("""COMPUTED_VALUE"""),"Gary Cowan")</f>
        <v>Gary Cowan</v>
      </c>
      <c r="H632" t="str">
        <f>IFERROR(__xludf.DUMMYFUNCTION("""COMPUTED_VALUE"""),"Low Rating")</f>
        <v>Low Rating</v>
      </c>
      <c r="I632" t="str">
        <f>IFERROR(__xludf.DUMMYFUNCTION("""COMPUTED_VALUE"""),"Development")</f>
        <v>Development</v>
      </c>
      <c r="J632" t="str">
        <f>IFERROR(__xludf.DUMMYFUNCTION("""COMPUTED_VALUE"""),"Database Design &amp; Development")</f>
        <v>Database Design &amp; Development</v>
      </c>
      <c r="K632">
        <f>IFERROR(__xludf.DUMMYFUNCTION("""COMPUTED_VALUE"""),2392642.0)</f>
        <v>2392642</v>
      </c>
      <c r="L632" s="140" t="str">
        <f>IFERROR(__xludf.DUMMYFUNCTION("""COMPUTED_VALUE"""),"Introduction to Azure SQL Database for Beginners")</f>
        <v>Introduction to Azure SQL Database for Beginners</v>
      </c>
      <c r="M632" s="155">
        <f>IFERROR(__xludf.DUMMYFUNCTION("""COMPUTED_VALUE"""),2891890.0)</f>
        <v>2891890</v>
      </c>
      <c r="N632" s="140" t="str">
        <f>IFERROR(__xludf.DUMMYFUNCTION("""COMPUTED_VALUE"""),"Azure SQL Data Warehouse Synapse Analytics Service")</f>
        <v>Azure SQL Data Warehouse Synapse Analytics Service</v>
      </c>
    </row>
    <row r="633">
      <c r="A633" s="143">
        <f>IFERROR(__xludf.DUMMYFUNCTION("""COMPUTED_VALUE"""),44439.0)</f>
        <v>44439</v>
      </c>
      <c r="B633">
        <f>IFERROR(__xludf.DUMMYFUNCTION("""COMPUTED_VALUE"""),2490106.0)</f>
        <v>2490106</v>
      </c>
      <c r="C633" t="str">
        <f>IFERROR(__xludf.DUMMYFUNCTION("""COMPUTED_VALUE"""),"en")</f>
        <v>en</v>
      </c>
      <c r="D633" t="str">
        <f>IFERROR(__xludf.DUMMYFUNCTION("""COMPUTED_VALUE"""),"Salesforce Lightning web component with live project")</f>
        <v>Salesforce Lightning web component with live project</v>
      </c>
      <c r="E633" t="str">
        <f>IFERROR(__xludf.DUMMYFUNCTION("""COMPUTED_VALUE"""),"Salesforce Lightning web component with live project")</f>
        <v>Salesforce Lightning web component with live project</v>
      </c>
      <c r="F633">
        <f>IFERROR(__xludf.DUMMYFUNCTION("""COMPUTED_VALUE"""),2.3832452E7)</f>
        <v>23832452</v>
      </c>
      <c r="G633" t="str">
        <f>IFERROR(__xludf.DUMMYFUNCTION("""COMPUTED_VALUE"""),"Debasis Jena")</f>
        <v>Debasis Jena</v>
      </c>
      <c r="H633" t="str">
        <f>IFERROR(__xludf.DUMMYFUNCTION("""COMPUTED_VALUE"""),"Low Rating")</f>
        <v>Low Rating</v>
      </c>
      <c r="I633" t="str">
        <f>IFERROR(__xludf.DUMMYFUNCTION("""COMPUTED_VALUE"""),"Development")</f>
        <v>Development</v>
      </c>
      <c r="J633" t="str">
        <f>IFERROR(__xludf.DUMMYFUNCTION("""COMPUTED_VALUE"""),"Programming Languages")</f>
        <v>Programming Languages</v>
      </c>
      <c r="K633">
        <f>IFERROR(__xludf.DUMMYFUNCTION("""COMPUTED_VALUE"""),2357210.0)</f>
        <v>2357210</v>
      </c>
      <c r="L633" s="140" t="str">
        <f>IFERROR(__xludf.DUMMYFUNCTION("""COMPUTED_VALUE"""),"The Ultimate Hands-On Lightning Web Component")</f>
        <v>The Ultimate Hands-On Lightning Web Component</v>
      </c>
      <c r="M633" s="155">
        <f>IFERROR(__xludf.DUMMYFUNCTION("""COMPUTED_VALUE"""),1409440.0)</f>
        <v>1409440</v>
      </c>
      <c r="N633" s="140" t="str">
        <f>IFERROR(__xludf.DUMMYFUNCTION("""COMPUTED_VALUE"""),"Master Salesforce Lightning Reports, Dashboards &amp; Listviews")</f>
        <v>Master Salesforce Lightning Reports, Dashboards &amp; Listviews</v>
      </c>
    </row>
    <row r="634">
      <c r="A634" s="143">
        <f>IFERROR(__xludf.DUMMYFUNCTION("""COMPUTED_VALUE"""),44439.0)</f>
        <v>44439</v>
      </c>
      <c r="B634">
        <f>IFERROR(__xludf.DUMMYFUNCTION("""COMPUTED_VALUE"""),2517920.0)</f>
        <v>2517920</v>
      </c>
      <c r="C634" t="str">
        <f>IFERROR(__xludf.DUMMYFUNCTION("""COMPUTED_VALUE"""),"en")</f>
        <v>en</v>
      </c>
      <c r="D634" t="str">
        <f>IFERROR(__xludf.DUMMYFUNCTION("""COMPUTED_VALUE"""),"TensorFlow 2.0 Practical Advanced")</f>
        <v>TensorFlow 2.0 Practical Advanced</v>
      </c>
      <c r="E634" t="str">
        <f>IFERROR(__xludf.DUMMYFUNCTION("""COMPUTED_VALUE"""),"TensorFlow 2.0 Practical Advanced")</f>
        <v>TensorFlow 2.0 Practical Advanced</v>
      </c>
      <c r="F634">
        <f>IFERROR(__xludf.DUMMYFUNCTION("""COMPUTED_VALUE"""),7.9994462E7)</f>
        <v>79994462</v>
      </c>
      <c r="G634" t="str">
        <f>IFERROR(__xludf.DUMMYFUNCTION("""COMPUTED_VALUE"""),"TensorFlow Practical Advanced")</f>
        <v>TensorFlow Practical Advanced</v>
      </c>
      <c r="H634" t="str">
        <f>IFERROR(__xludf.DUMMYFUNCTION("""COMPUTED_VALUE"""),"Low Rating")</f>
        <v>Low Rating</v>
      </c>
      <c r="I634" t="str">
        <f>IFERROR(__xludf.DUMMYFUNCTION("""COMPUTED_VALUE"""),"Data Science")</f>
        <v>Data Science</v>
      </c>
      <c r="J634" t="str">
        <f>IFERROR(__xludf.DUMMYFUNCTION("""COMPUTED_VALUE"""),"Machine Learning")</f>
        <v>Machine Learning</v>
      </c>
      <c r="K634">
        <f>IFERROR(__xludf.DUMMYFUNCTION("""COMPUTED_VALUE"""),1420956.0)</f>
        <v>1420956</v>
      </c>
      <c r="L634" s="140" t="str">
        <f>IFERROR(__xludf.DUMMYFUNCTION("""COMPUTED_VALUE"""),"Deep Learning with TensorFlow 2.0 [2021]")</f>
        <v>Deep Learning with TensorFlow 2.0 [2021]</v>
      </c>
      <c r="M634" s="155">
        <f>IFERROR(__xludf.DUMMYFUNCTION("""COMPUTED_VALUE"""),2517884.0)</f>
        <v>2517884</v>
      </c>
      <c r="N634" s="140" t="str">
        <f>IFERROR(__xludf.DUMMYFUNCTION("""COMPUTED_VALUE"""),"TensorFlow 2.0 Practical")</f>
        <v>TensorFlow 2.0 Practical</v>
      </c>
    </row>
    <row r="635">
      <c r="A635" s="143">
        <f>IFERROR(__xludf.DUMMYFUNCTION("""COMPUTED_VALUE"""),44439.0)</f>
        <v>44439</v>
      </c>
      <c r="B635">
        <f>IFERROR(__xludf.DUMMYFUNCTION("""COMPUTED_VALUE"""),2518086.0)</f>
        <v>2518086</v>
      </c>
      <c r="C635" t="str">
        <f>IFERROR(__xludf.DUMMYFUNCTION("""COMPUTED_VALUE"""),"en")</f>
        <v>en</v>
      </c>
      <c r="D635" t="str">
        <f>IFERROR(__xludf.DUMMYFUNCTION("""COMPUTED_VALUE"""),"Performance Testing Using Locust 1.0")</f>
        <v>Performance Testing Using Locust 1.0</v>
      </c>
      <c r="E635" t="str">
        <f>IFERROR(__xludf.DUMMYFUNCTION("""COMPUTED_VALUE"""),"Performance Testing Using Locust 1.0")</f>
        <v>Performance Testing Using Locust 1.0</v>
      </c>
      <c r="F635">
        <f>IFERROR(__xludf.DUMMYFUNCTION("""COMPUTED_VALUE"""),1.0709074E7)</f>
        <v>10709074</v>
      </c>
      <c r="G635" t="str">
        <f>IFERROR(__xludf.DUMMYFUNCTION("""COMPUTED_VALUE"""),"Anuradha Agarwal")</f>
        <v>Anuradha Agarwal</v>
      </c>
      <c r="H635" t="str">
        <f>IFERROR(__xludf.DUMMYFUNCTION("""COMPUTED_VALUE"""),"Low Rating")</f>
        <v>Low Rating</v>
      </c>
      <c r="I635" t="str">
        <f>IFERROR(__xludf.DUMMYFUNCTION("""COMPUTED_VALUE"""),"Development")</f>
        <v>Development</v>
      </c>
      <c r="J635" t="str">
        <f>IFERROR(__xludf.DUMMYFUNCTION("""COMPUTED_VALUE"""),"Development Tools")</f>
        <v>Development Tools</v>
      </c>
      <c r="O635" s="140" t="str">
        <f>IFERROR(__xludf.DUMMYFUNCTION("""COMPUTED_VALUE"""),"No Alternatives in Collection- 2/21/2021")</f>
        <v>No Alternatives in Collection- 2/21/2021</v>
      </c>
    </row>
    <row r="636">
      <c r="A636" s="143">
        <f>IFERROR(__xludf.DUMMYFUNCTION("""COMPUTED_VALUE"""),44439.0)</f>
        <v>44439</v>
      </c>
      <c r="B636">
        <f>IFERROR(__xludf.DUMMYFUNCTION("""COMPUTED_VALUE"""),2557786.0)</f>
        <v>2557786</v>
      </c>
      <c r="C636" t="str">
        <f>IFERROR(__xludf.DUMMYFUNCTION("""COMPUTED_VALUE"""),"en")</f>
        <v>en</v>
      </c>
      <c r="D636" t="str">
        <f>IFERROR(__xludf.DUMMYFUNCTION("""COMPUTED_VALUE"""),"Microsoft AZ-900 Real Exam Simulation")</f>
        <v>Microsoft AZ-900 Real Exam Simulation</v>
      </c>
      <c r="E636" t="str">
        <f>IFERROR(__xludf.DUMMYFUNCTION("""COMPUTED_VALUE"""),"Microsoft AZ-900 REAL EXAM SIMULATION")</f>
        <v>Microsoft AZ-900 REAL EXAM SIMULATION</v>
      </c>
      <c r="F636">
        <f>IFERROR(__xludf.DUMMYFUNCTION("""COMPUTED_VALUE"""),6178780.0)</f>
        <v>6178780</v>
      </c>
      <c r="G636" t="str">
        <f>IFERROR(__xludf.DUMMYFUNCTION("""COMPUTED_VALUE"""),"Jonathan Bourbonnais")</f>
        <v>Jonathan Bourbonnais</v>
      </c>
      <c r="H636" t="str">
        <f>IFERROR(__xludf.DUMMYFUNCTION("""COMPUTED_VALUE"""),"Low Rating")</f>
        <v>Low Rating</v>
      </c>
      <c r="I636" t="str">
        <f>IFERROR(__xludf.DUMMYFUNCTION("""COMPUTED_VALUE"""),"Cloud Computing")</f>
        <v>Cloud Computing</v>
      </c>
      <c r="J636" t="str">
        <f>IFERROR(__xludf.DUMMYFUNCTION("""COMPUTED_VALUE"""),"Cloud Certification")</f>
        <v>Cloud Certification</v>
      </c>
      <c r="K636">
        <f>IFERROR(__xludf.DUMMYFUNCTION("""COMPUTED_VALUE"""),3325392.0)</f>
        <v>3325392</v>
      </c>
      <c r="L636" s="140" t="str">
        <f>IFERROR(__xludf.DUMMYFUNCTION("""COMPUTED_VALUE"""),"AZ-900 - Microsoft Azure Fundamentals Practice Tests 2021")</f>
        <v>AZ-900 - Microsoft Azure Fundamentals Practice Tests 2021</v>
      </c>
      <c r="M636" s="155">
        <f>IFERROR(__xludf.DUMMYFUNCTION("""COMPUTED_VALUE"""),2406648.0)</f>
        <v>2406648</v>
      </c>
      <c r="N636" s="140" t="str">
        <f>IFERROR(__xludf.DUMMYFUNCTION("""COMPUTED_VALUE"""),"Microsoft AZ-900 Certification: Azure Fundamentals")</f>
        <v>Microsoft AZ-900 Certification: Azure Fundamentals</v>
      </c>
    </row>
    <row r="637">
      <c r="A637" s="143">
        <f>IFERROR(__xludf.DUMMYFUNCTION("""COMPUTED_VALUE"""),44439.0)</f>
        <v>44439</v>
      </c>
      <c r="B637">
        <f>IFERROR(__xludf.DUMMYFUNCTION("""COMPUTED_VALUE"""),2595736.0)</f>
        <v>2595736</v>
      </c>
      <c r="C637" t="str">
        <f>IFERROR(__xludf.DUMMYFUNCTION("""COMPUTED_VALUE"""),"en")</f>
        <v>en</v>
      </c>
      <c r="D637" t="str">
        <f>IFERROR(__xludf.DUMMYFUNCTION("""COMPUTED_VALUE"""),"Socket.IO Chat App in React Native for iOS/Android")</f>
        <v>Socket.IO Chat App in React Native for iOS/Android</v>
      </c>
      <c r="E637" t="str">
        <f>IFERROR(__xludf.DUMMYFUNCTION("""COMPUTED_VALUE"""),"Socket.IO Chat App in React Native for iOS/Android")</f>
        <v>Socket.IO Chat App in React Native for iOS/Android</v>
      </c>
      <c r="F637">
        <f>IFERROR(__xludf.DUMMYFUNCTION("""COMPUTED_VALUE"""),2.4073182E7)</f>
        <v>24073182</v>
      </c>
      <c r="G637" t="str">
        <f>IFERROR(__xludf.DUMMYFUNCTION("""COMPUTED_VALUE"""),"Stefan Hyltoft")</f>
        <v>Stefan Hyltoft</v>
      </c>
      <c r="H637" t="str">
        <f>IFERROR(__xludf.DUMMYFUNCTION("""COMPUTED_VALUE"""),"Low Rating")</f>
        <v>Low Rating</v>
      </c>
      <c r="I637" t="str">
        <f>IFERROR(__xludf.DUMMYFUNCTION("""COMPUTED_VALUE"""),"Development")</f>
        <v>Development</v>
      </c>
      <c r="J637" t="str">
        <f>IFERROR(__xludf.DUMMYFUNCTION("""COMPUTED_VALUE"""),"Mobile Development")</f>
        <v>Mobile Development</v>
      </c>
      <c r="O637" s="140" t="str">
        <f>IFERROR(__xludf.DUMMYFUNCTION("""COMPUTED_VALUE"""),"No Alternatives in Collection- 2/21/2021")</f>
        <v>No Alternatives in Collection- 2/21/2021</v>
      </c>
    </row>
    <row r="638">
      <c r="A638" s="143">
        <f>IFERROR(__xludf.DUMMYFUNCTION("""COMPUTED_VALUE"""),44439.0)</f>
        <v>44439</v>
      </c>
      <c r="B638">
        <f>IFERROR(__xludf.DUMMYFUNCTION("""COMPUTED_VALUE"""),2654280.0)</f>
        <v>2654280</v>
      </c>
      <c r="C638" t="str">
        <f>IFERROR(__xludf.DUMMYFUNCTION("""COMPUTED_VALUE"""),"en")</f>
        <v>en</v>
      </c>
      <c r="D638" t="str">
        <f>IFERROR(__xludf.DUMMYFUNCTION("""COMPUTED_VALUE"""),"Office 365 modern SharePoint sites for beginners")</f>
        <v>Office 365 modern SharePoint sites for beginners</v>
      </c>
      <c r="E638" t="str">
        <f>IFERROR(__xludf.DUMMYFUNCTION("""COMPUTED_VALUE"""),"Office 365 modern SharePoint sites for beginners")</f>
        <v>Office 365 modern SharePoint sites for beginners</v>
      </c>
      <c r="F638">
        <f>IFERROR(__xludf.DUMMYFUNCTION("""COMPUTED_VALUE"""),8.9501122E7)</f>
        <v>89501122</v>
      </c>
      <c r="G638" t="str">
        <f>IFERROR(__xludf.DUMMYFUNCTION("""COMPUTED_VALUE"""),"Velin Georgiev")</f>
        <v>Velin Georgiev</v>
      </c>
      <c r="H638" t="str">
        <f>IFERROR(__xludf.DUMMYFUNCTION("""COMPUTED_VALUE"""),"Low Rating")</f>
        <v>Low Rating</v>
      </c>
      <c r="I638" t="str">
        <f>IFERROR(__xludf.DUMMYFUNCTION("""COMPUTED_VALUE"""),"IT Operations")</f>
        <v>IT Operations</v>
      </c>
      <c r="J638" t="str">
        <f>IFERROR(__xludf.DUMMYFUNCTION("""COMPUTED_VALUE"""),"Operating Systems &amp; Servers")</f>
        <v>Operating Systems &amp; Servers</v>
      </c>
      <c r="K638">
        <f>IFERROR(__xludf.DUMMYFUNCTION("""COMPUTED_VALUE"""),1549562.0)</f>
        <v>1549562</v>
      </c>
      <c r="L638" s="140" t="str">
        <f>IFERROR(__xludf.DUMMYFUNCTION("""COMPUTED_VALUE"""),"The ultimate real-life Office 365 productivity course")</f>
        <v>The ultimate real-life Office 365 productivity course</v>
      </c>
    </row>
    <row r="639">
      <c r="A639" s="143">
        <f>IFERROR(__xludf.DUMMYFUNCTION("""COMPUTED_VALUE"""),44439.0)</f>
        <v>44439</v>
      </c>
      <c r="B639">
        <f>IFERROR(__xludf.DUMMYFUNCTION("""COMPUTED_VALUE"""),3065398.0)</f>
        <v>3065398</v>
      </c>
      <c r="C639" t="str">
        <f>IFERROR(__xludf.DUMMYFUNCTION("""COMPUTED_VALUE"""),"en")</f>
        <v>en</v>
      </c>
      <c r="D639" t="str">
        <f>IFERROR(__xludf.DUMMYFUNCTION("""COMPUTED_VALUE"""),"Oracle Cloud Infrastructure Foundations 2020 Practice sets")</f>
        <v>Oracle Cloud Infrastructure Foundations 2020 Practice sets</v>
      </c>
      <c r="E639" t="str">
        <f>IFERROR(__xludf.DUMMYFUNCTION("""COMPUTED_VALUE"""),"Oracle Cloud Infrastructure Foundations 2020 Practice sets")</f>
        <v>Oracle Cloud Infrastructure Foundations 2020 Practice sets</v>
      </c>
      <c r="F639">
        <f>IFERROR(__xludf.DUMMYFUNCTION("""COMPUTED_VALUE"""),9.4579836E7)</f>
        <v>94579836</v>
      </c>
      <c r="G639" t="str">
        <f>IFERROR(__xludf.DUMMYFUNCTION("""COMPUTED_VALUE"""),"Rohit K Raghav")</f>
        <v>Rohit K Raghav</v>
      </c>
      <c r="H639" t="str">
        <f>IFERROR(__xludf.DUMMYFUNCTION("""COMPUTED_VALUE"""),"Low Rating")</f>
        <v>Low Rating</v>
      </c>
      <c r="I639" t="str">
        <f>IFERROR(__xludf.DUMMYFUNCTION("""COMPUTED_VALUE"""),"Cloud Computing")</f>
        <v>Cloud Computing</v>
      </c>
      <c r="J639" t="str">
        <f>IFERROR(__xludf.DUMMYFUNCTION("""COMPUTED_VALUE"""),"Cloud Certification")</f>
        <v>Cloud Certification</v>
      </c>
      <c r="O639" s="140" t="str">
        <f>IFERROR(__xludf.DUMMYFUNCTION("""COMPUTED_VALUE"""),"No Alternatives in Collection- 2/21/2021")</f>
        <v>No Alternatives in Collection- 2/21/2021</v>
      </c>
    </row>
    <row r="640">
      <c r="A640" s="143">
        <f>IFERROR(__xludf.DUMMYFUNCTION("""COMPUTED_VALUE"""),44439.0)</f>
        <v>44439</v>
      </c>
      <c r="B640">
        <f>IFERROR(__xludf.DUMMYFUNCTION("""COMPUTED_VALUE"""),3250806.0)</f>
        <v>3250806</v>
      </c>
      <c r="C640" t="str">
        <f>IFERROR(__xludf.DUMMYFUNCTION("""COMPUTED_VALUE"""),"en")</f>
        <v>en</v>
      </c>
      <c r="D640" t="str">
        <f>IFERROR(__xludf.DUMMYFUNCTION("""COMPUTED_VALUE"""),"Double Your Academic Writing Quality: Practical Writing Tips")</f>
        <v>Double Your Academic Writing Quality: Practical Writing Tips</v>
      </c>
      <c r="E640" t="str">
        <f>IFERROR(__xludf.DUMMYFUNCTION("""COMPUTED_VALUE"""),"Double Your Academic Writing Quality: Practical Writing Tips")</f>
        <v>Double Your Academic Writing Quality: Practical Writing Tips</v>
      </c>
      <c r="F640">
        <f>IFERROR(__xludf.DUMMYFUNCTION("""COMPUTED_VALUE"""),1.23122712E8)</f>
        <v>123122712</v>
      </c>
      <c r="G640" t="str">
        <f>IFERROR(__xludf.DUMMYFUNCTION("""COMPUTED_VALUE"""),"Peter Alkema")</f>
        <v>Peter Alkema</v>
      </c>
      <c r="H640" t="str">
        <f>IFERROR(__xludf.DUMMYFUNCTION("""COMPUTED_VALUE"""),"Low Rating")</f>
        <v>Low Rating</v>
      </c>
      <c r="I640" t="str">
        <f>IFERROR(__xludf.DUMMYFUNCTION("""COMPUTED_VALUE"""),"Leadership &amp; Management")</f>
        <v>Leadership &amp; Management</v>
      </c>
      <c r="J640" t="str">
        <f>IFERROR(__xludf.DUMMYFUNCTION("""COMPUTED_VALUE"""),"Communication")</f>
        <v>Communication</v>
      </c>
      <c r="K640">
        <f>IFERROR(__xludf.DUMMYFUNCTION("""COMPUTED_VALUE"""),256646.0)</f>
        <v>256646</v>
      </c>
      <c r="L640" s="140" t="str">
        <f>IFERROR(__xludf.DUMMYFUNCTION("""COMPUTED_VALUE"""),"Effective Academic Writing: Write Papers that Get Results")</f>
        <v>Effective Academic Writing: Write Papers that Get Results</v>
      </c>
    </row>
    <row r="641">
      <c r="A641" s="143">
        <f>IFERROR(__xludf.DUMMYFUNCTION("""COMPUTED_VALUE"""),44439.0)</f>
        <v>44439</v>
      </c>
      <c r="B641">
        <f>IFERROR(__xludf.DUMMYFUNCTION("""COMPUTED_VALUE"""),3350964.0)</f>
        <v>3350964</v>
      </c>
      <c r="C641" t="str">
        <f>IFERROR(__xludf.DUMMYFUNCTION("""COMPUTED_VALUE"""),"de")</f>
        <v>de</v>
      </c>
      <c r="D641" t="str">
        <f>IFERROR(__xludf.DUMMYFUNCTION("""COMPUTED_VALUE"""),"Learn about Apigee API Management Platform")</f>
        <v>Learn about Apigee API Management Platform</v>
      </c>
      <c r="E641" t="str">
        <f>IFERROR(__xludf.DUMMYFUNCTION("""COMPUTED_VALUE"""),"Learn about Apigee API Management Platform")</f>
        <v>Learn about Apigee API Management Platform</v>
      </c>
      <c r="F641">
        <f>IFERROR(__xludf.DUMMYFUNCTION("""COMPUTED_VALUE"""),3.3824966E7)</f>
        <v>33824966</v>
      </c>
      <c r="G641" t="str">
        <f>IFERROR(__xludf.DUMMYFUNCTION("""COMPUTED_VALUE"""),"Sanjay Bharatiya")</f>
        <v>Sanjay Bharatiya</v>
      </c>
      <c r="H641" t="str">
        <f>IFERROR(__xludf.DUMMYFUNCTION("""COMPUTED_VALUE"""),"Low Rating")</f>
        <v>Low Rating</v>
      </c>
      <c r="I641" t="str">
        <f>IFERROR(__xludf.DUMMYFUNCTION("""COMPUTED_VALUE"""),"Development")</f>
        <v>Development</v>
      </c>
      <c r="J641" t="str">
        <f>IFERROR(__xludf.DUMMYFUNCTION("""COMPUTED_VALUE"""),"Software Engineering")</f>
        <v>Software Engineering</v>
      </c>
      <c r="O641" s="140" t="str">
        <f>IFERROR(__xludf.DUMMYFUNCTION("""COMPUTED_VALUE"""),"No Alternatives in Collection- 2/21/2021")</f>
        <v>No Alternatives in Collection- 2/21/2021</v>
      </c>
    </row>
    <row r="642">
      <c r="A642" s="143">
        <f>IFERROR(__xludf.DUMMYFUNCTION("""COMPUTED_VALUE"""),44439.0)</f>
        <v>44439</v>
      </c>
      <c r="B642">
        <f>IFERROR(__xludf.DUMMYFUNCTION("""COMPUTED_VALUE"""),3444948.0)</f>
        <v>3444948</v>
      </c>
      <c r="C642" t="str">
        <f>IFERROR(__xludf.DUMMYFUNCTION("""COMPUTED_VALUE"""),"en")</f>
        <v>en</v>
      </c>
      <c r="D642" t="str">
        <f>IFERROR(__xludf.DUMMYFUNCTION("""COMPUTED_VALUE"""),"Prepare the Safe 5.0 Leading Safe certificate")</f>
        <v>Prepare the Safe 5.0 Leading Safe certificate</v>
      </c>
      <c r="E642" t="str">
        <f>IFERROR(__xludf.DUMMYFUNCTION("""COMPUTED_VALUE"""),"Prepare the Safe 5.0 Leading Safe certificate")</f>
        <v>Prepare the Safe 5.0 Leading Safe certificate</v>
      </c>
      <c r="F642">
        <f>IFERROR(__xludf.DUMMYFUNCTION("""COMPUTED_VALUE"""),6.403013E7)</f>
        <v>64030130</v>
      </c>
      <c r="G642" t="str">
        <f>IFERROR(__xludf.DUMMYFUNCTION("""COMPUTED_VALUE"""),"Nassim Lehri")</f>
        <v>Nassim Lehri</v>
      </c>
      <c r="H642" t="str">
        <f>IFERROR(__xludf.DUMMYFUNCTION("""COMPUTED_VALUE"""),"Low Rating")</f>
        <v>Low Rating</v>
      </c>
      <c r="I642" t="str">
        <f>IFERROR(__xludf.DUMMYFUNCTION("""COMPUTED_VALUE"""),"IT Operations")</f>
        <v>IT Operations</v>
      </c>
      <c r="J642" t="str">
        <f>IFERROR(__xludf.DUMMYFUNCTION("""COMPUTED_VALUE"""),"IT Certifications")</f>
        <v>IT Certifications</v>
      </c>
      <c r="O642" s="140" t="str">
        <f>IFERROR(__xludf.DUMMYFUNCTION("""COMPUTED_VALUE"""),"No Alternatives in Collection- 2/21/2021")</f>
        <v>No Alternatives in Collection- 2/21/2021</v>
      </c>
    </row>
    <row r="643">
      <c r="A643" s="143">
        <f>IFERROR(__xludf.DUMMYFUNCTION("""COMPUTED_VALUE"""),44439.0)</f>
        <v>44439</v>
      </c>
      <c r="B643">
        <f>IFERROR(__xludf.DUMMYFUNCTION("""COMPUTED_VALUE"""),413494.0)</f>
        <v>413494</v>
      </c>
      <c r="C643" t="str">
        <f>IFERROR(__xludf.DUMMYFUNCTION("""COMPUTED_VALUE"""),"en")</f>
        <v>en</v>
      </c>
      <c r="D643" t="str">
        <f>IFERROR(__xludf.DUMMYFUNCTION("""COMPUTED_VALUE"""),"Getting Started with LESS - Beginner Crash Course")</f>
        <v>Getting Started with LESS - Beginner Crash Course</v>
      </c>
      <c r="E643" t="str">
        <f>IFERROR(__xludf.DUMMYFUNCTION("""COMPUTED_VALUE"""),"Getting Started with LESS - Beginner Crash Course")</f>
        <v>Getting Started with LESS - Beginner Crash Course</v>
      </c>
      <c r="F643">
        <f>IFERROR(__xludf.DUMMYFUNCTION("""COMPUTED_VALUE"""),843892.0)</f>
        <v>843892</v>
      </c>
      <c r="G643" t="str">
        <f>IFERROR(__xludf.DUMMYFUNCTION("""COMPUTED_VALUE"""),"Sandra L")</f>
        <v>Sandra L</v>
      </c>
      <c r="H643" t="str">
        <f>IFERROR(__xludf.DUMMYFUNCTION("""COMPUTED_VALUE"""),"3 Flags")</f>
        <v>3 Flags</v>
      </c>
      <c r="I643" t="str">
        <f>IFERROR(__xludf.DUMMYFUNCTION("""COMPUTED_VALUE"""),"Development")</f>
        <v>Development</v>
      </c>
      <c r="J643" t="str">
        <f>IFERROR(__xludf.DUMMYFUNCTION("""COMPUTED_VALUE"""),"Web Development")</f>
        <v>Web Development</v>
      </c>
      <c r="O643" s="140" t="str">
        <f>IFERROR(__xludf.DUMMYFUNCTION("""COMPUTED_VALUE"""),"No Alternatives in Collection- 2/21/2021")</f>
        <v>No Alternatives in Collection- 2/21/2021</v>
      </c>
    </row>
    <row r="644">
      <c r="A644" s="143">
        <f>IFERROR(__xludf.DUMMYFUNCTION("""COMPUTED_VALUE"""),44439.0)</f>
        <v>44439</v>
      </c>
      <c r="B644">
        <f>IFERROR(__xludf.DUMMYFUNCTION("""COMPUTED_VALUE"""),536328.0)</f>
        <v>536328</v>
      </c>
      <c r="C644" t="str">
        <f>IFERROR(__xludf.DUMMYFUNCTION("""COMPUTED_VALUE"""),"es")</f>
        <v>es</v>
      </c>
      <c r="D644" t="str">
        <f>IFERROR(__xludf.DUMMYFUNCTION("""COMPUTED_VALUE"""),"Marketing de Afiliados: Como Generar Ingresos Pasivos Online")</f>
        <v>Marketing de Afiliados: Como Generar Ingresos Pasivos Online</v>
      </c>
      <c r="E644" t="str">
        <f>IFERROR(__xludf.DUMMYFUNCTION("""COMPUTED_VALUE"""),"Affiliate Marketing: How to generate passive income online")</f>
        <v>Affiliate Marketing: How to generate passive income online</v>
      </c>
      <c r="F644">
        <f>IFERROR(__xludf.DUMMYFUNCTION("""COMPUTED_VALUE"""),1.3548168E7)</f>
        <v>13548168</v>
      </c>
      <c r="G644" t="str">
        <f>IFERROR(__xludf.DUMMYFUNCTION("""COMPUTED_VALUE"""),"Pablo Loson")</f>
        <v>Pablo Loson</v>
      </c>
      <c r="H644" t="str">
        <f>IFERROR(__xludf.DUMMYFUNCTION("""COMPUTED_VALUE"""),"3 Flags")</f>
        <v>3 Flags</v>
      </c>
      <c r="I644" t="str">
        <f>IFERROR(__xludf.DUMMYFUNCTION("""COMPUTED_VALUE"""),"Marketing")</f>
        <v>Marketing</v>
      </c>
      <c r="J644" t="str">
        <f>IFERROR(__xludf.DUMMYFUNCTION("""COMPUTED_VALUE"""),"Marketing Strategy")</f>
        <v>Marketing Strategy</v>
      </c>
      <c r="O644" s="140" t="str">
        <f>IFERROR(__xludf.DUMMYFUNCTION("""COMPUTED_VALUE"""),"No Alternatives in Collection- 2/22/2021")</f>
        <v>No Alternatives in Collection- 2/22/2021</v>
      </c>
    </row>
    <row r="645">
      <c r="A645" s="143">
        <f>IFERROR(__xludf.DUMMYFUNCTION("""COMPUTED_VALUE"""),44439.0)</f>
        <v>44439</v>
      </c>
      <c r="B645">
        <f>IFERROR(__xludf.DUMMYFUNCTION("""COMPUTED_VALUE"""),1019086.0)</f>
        <v>1019086</v>
      </c>
      <c r="C645" t="str">
        <f>IFERROR(__xludf.DUMMYFUNCTION("""COMPUTED_VALUE"""),"de")</f>
        <v>de</v>
      </c>
      <c r="D645" t="str">
        <f>IFERROR(__xludf.DUMMYFUNCTION("""COMPUTED_VALUE"""),"Video-Produktion mit jeder Kamera und Editing in Final Cut")</f>
        <v>Video-Produktion mit jeder Kamera und Editing in Final Cut</v>
      </c>
      <c r="E645" t="str">
        <f>IFERROR(__xludf.DUMMYFUNCTION("""COMPUTED_VALUE"""),"Video production with any camera and editing in Final Cut")</f>
        <v>Video production with any camera and editing in Final Cut</v>
      </c>
      <c r="F645">
        <f>IFERROR(__xludf.DUMMYFUNCTION("""COMPUTED_VALUE"""),2.7380472E7)</f>
        <v>27380472</v>
      </c>
      <c r="G645" t="str">
        <f>IFERROR(__xludf.DUMMYFUNCTION("""COMPUTED_VALUE"""),"Jannis Riebschläger")</f>
        <v>Jannis Riebschläger</v>
      </c>
      <c r="H645" t="str">
        <f>IFERROR(__xludf.DUMMYFUNCTION("""COMPUTED_VALUE"""),"3 Flags")</f>
        <v>3 Flags</v>
      </c>
      <c r="I645" t="str">
        <f>IFERROR(__xludf.DUMMYFUNCTION("""COMPUTED_VALUE"""),"Personal Development")</f>
        <v>Personal Development</v>
      </c>
      <c r="J645" t="str">
        <f>IFERROR(__xludf.DUMMYFUNCTION("""COMPUTED_VALUE"""),"Arts &amp; Creativity")</f>
        <v>Arts &amp; Creativity</v>
      </c>
      <c r="K645">
        <f>IFERROR(__xludf.DUMMYFUNCTION("""COMPUTED_VALUE"""),213670.0)</f>
        <v>213670</v>
      </c>
      <c r="L645" s="140" t="str">
        <f>IFERROR(__xludf.DUMMYFUNCTION("""COMPUTED_VALUE"""),"Final Cut Pro X Deutsch")</f>
        <v>Final Cut Pro X Deutsch</v>
      </c>
      <c r="M645" s="155">
        <f>IFERROR(__xludf.DUMMYFUNCTION("""COMPUTED_VALUE"""),3538960.0)</f>
        <v>3538960</v>
      </c>
      <c r="N645" s="140" t="str">
        <f>IFERROR(__xludf.DUMMYFUNCTION("""COMPUTED_VALUE"""),"Apple Final Cut Pro X - Videos schneiden lernen in FCPX")</f>
        <v>Apple Final Cut Pro X - Videos schneiden lernen in FCPX</v>
      </c>
    </row>
    <row r="646">
      <c r="A646" s="143">
        <f>IFERROR(__xludf.DUMMYFUNCTION("""COMPUTED_VALUE"""),44439.0)</f>
        <v>44439</v>
      </c>
      <c r="B646">
        <f>IFERROR(__xludf.DUMMYFUNCTION("""COMPUTED_VALUE"""),1022932.0)</f>
        <v>1022932</v>
      </c>
      <c r="C646" t="str">
        <f>IFERROR(__xludf.DUMMYFUNCTION("""COMPUTED_VALUE"""),"de")</f>
        <v>de</v>
      </c>
      <c r="D646" t="str">
        <f>IFERROR(__xludf.DUMMYFUNCTION("""COMPUTED_VALUE"""),"Como Editar Vídeos - Módulo Básico - SUB Español")</f>
        <v>Como Editar Vídeos - Módulo Básico - SUB Español</v>
      </c>
      <c r="E646" t="str">
        <f>IFERROR(__xludf.DUMMYFUNCTION("""COMPUTED_VALUE"""),"How to edit Videos - Basic Module - Sub Spanish")</f>
        <v>How to edit Videos - Basic Module - Sub Spanish</v>
      </c>
      <c r="F646">
        <f>IFERROR(__xludf.DUMMYFUNCTION("""COMPUTED_VALUE"""),1.0006078E7)</f>
        <v>10006078</v>
      </c>
      <c r="G646" t="str">
        <f>IFERROR(__xludf.DUMMYFUNCTION("""COMPUTED_VALUE"""),"Juliana Finamore")</f>
        <v>Juliana Finamore</v>
      </c>
      <c r="H646" t="str">
        <f>IFERROR(__xludf.DUMMYFUNCTION("""COMPUTED_VALUE"""),"3 Flags")</f>
        <v>3 Flags</v>
      </c>
      <c r="I646" t="str">
        <f>IFERROR(__xludf.DUMMYFUNCTION("""COMPUTED_VALUE"""),"Design")</f>
        <v>Design</v>
      </c>
      <c r="J646" t="str">
        <f>IFERROR(__xludf.DUMMYFUNCTION("""COMPUTED_VALUE"""),"Design Tools")</f>
        <v>Design Tools</v>
      </c>
      <c r="K646">
        <f>IFERROR(__xludf.DUMMYFUNCTION("""COMPUTED_VALUE"""),2393178.0)</f>
        <v>2393178</v>
      </c>
      <c r="L646" s="140" t="str">
        <f>IFERROR(__xludf.DUMMYFUNCTION("""COMPUTED_VALUE"""),"Curso de EDIÇÃO DE VÍDEO - Do básico até o avançado!")</f>
        <v>Curso de EDIÇÃO DE VÍDEO - Do básico até o avançado!</v>
      </c>
      <c r="M646" s="155">
        <f>IFERROR(__xludf.DUMMYFUNCTION("""COMPUTED_VALUE"""),3109388.0)</f>
        <v>3109388</v>
      </c>
      <c r="N646" s="140" t="str">
        <f>IFERROR(__xludf.DUMMYFUNCTION("""COMPUTED_VALUE"""),"Edição de Vídeo para Iniciantes - Saindo do zero")</f>
        <v>Edição de Vídeo para Iniciantes - Saindo do zero</v>
      </c>
    </row>
    <row r="647">
      <c r="A647" s="143">
        <f>IFERROR(__xludf.DUMMYFUNCTION("""COMPUTED_VALUE"""),44439.0)</f>
        <v>44439</v>
      </c>
      <c r="B647">
        <f>IFERROR(__xludf.DUMMYFUNCTION("""COMPUTED_VALUE"""),1321492.0)</f>
        <v>1321492</v>
      </c>
      <c r="C647" t="str">
        <f>IFERROR(__xludf.DUMMYFUNCTION("""COMPUTED_VALUE"""),"de")</f>
        <v>de</v>
      </c>
      <c r="D647" t="str">
        <f>IFERROR(__xludf.DUMMYFUNCTION("""COMPUTED_VALUE"""),"Bing Ads Masterclass: Werde zum Bing Ads Profi")</f>
        <v>Bing Ads Masterclass: Werde zum Bing Ads Profi</v>
      </c>
      <c r="E647" t="str">
        <f>IFERROR(__xludf.DUMMYFUNCTION("""COMPUTED_VALUE"""),"Bing Ads Masterclass: Become a Bing Ads Profi")</f>
        <v>Bing Ads Masterclass: Become a Bing Ads Profi</v>
      </c>
      <c r="F647">
        <f>IFERROR(__xludf.DUMMYFUNCTION("""COMPUTED_VALUE"""),3.2780662E7)</f>
        <v>32780662</v>
      </c>
      <c r="G647" t="str">
        <f>IFERROR(__xludf.DUMMYFUNCTION("""COMPUTED_VALUE"""),"Jonas Klaholz")</f>
        <v>Jonas Klaholz</v>
      </c>
      <c r="H647" t="str">
        <f>IFERROR(__xludf.DUMMYFUNCTION("""COMPUTED_VALUE"""),"3 Flags")</f>
        <v>3 Flags</v>
      </c>
      <c r="I647" t="str">
        <f>IFERROR(__xludf.DUMMYFUNCTION("""COMPUTED_VALUE"""),"Marketing")</f>
        <v>Marketing</v>
      </c>
      <c r="J647" t="str">
        <f>IFERROR(__xludf.DUMMYFUNCTION("""COMPUTED_VALUE"""),"Search Engine Optimization")</f>
        <v>Search Engine Optimization</v>
      </c>
      <c r="O647" s="140" t="str">
        <f>IFERROR(__xludf.DUMMYFUNCTION("""COMPUTED_VALUE"""),"No Alternatives in Collection- 2/23/2021")</f>
        <v>No Alternatives in Collection- 2/23/2021</v>
      </c>
    </row>
    <row r="648">
      <c r="A648" s="143">
        <f>IFERROR(__xludf.DUMMYFUNCTION("""COMPUTED_VALUE"""),44439.0)</f>
        <v>44439</v>
      </c>
      <c r="B648">
        <f>IFERROR(__xludf.DUMMYFUNCTION("""COMPUTED_VALUE"""),1334218.0)</f>
        <v>1334218</v>
      </c>
      <c r="C648" t="str">
        <f>IFERROR(__xludf.DUMMYFUNCTION("""COMPUTED_VALUE"""),"en")</f>
        <v>en</v>
      </c>
      <c r="D648" t="str">
        <f>IFERROR(__xludf.DUMMYFUNCTION("""COMPUTED_VALUE"""),"The Extensive WebGL Series ! - Part1 : Low Level Graphics")</f>
        <v>The Extensive WebGL Series ! - Part1 : Low Level Graphics</v>
      </c>
      <c r="E648" t="str">
        <f>IFERROR(__xludf.DUMMYFUNCTION("""COMPUTED_VALUE"""),"The Extensive WebGL Series ! - Part1 : Low Level Graphics")</f>
        <v>The Extensive WebGL Series ! - Part1 : Low Level Graphics</v>
      </c>
      <c r="F648">
        <f>IFERROR(__xludf.DUMMYFUNCTION("""COMPUTED_VALUE"""),3.2844498E7)</f>
        <v>32844498</v>
      </c>
      <c r="G648" t="str">
        <f>IFERROR(__xludf.DUMMYFUNCTION("""COMPUTED_VALUE"""),"Ahmed Fathy, MSc")</f>
        <v>Ahmed Fathy, MSc</v>
      </c>
      <c r="H648" t="str">
        <f>IFERROR(__xludf.DUMMYFUNCTION("""COMPUTED_VALUE"""),"3 Flags")</f>
        <v>3 Flags</v>
      </c>
      <c r="I648" t="str">
        <f>IFERROR(__xludf.DUMMYFUNCTION("""COMPUTED_VALUE"""),"Development")</f>
        <v>Development</v>
      </c>
      <c r="J648" t="str">
        <f>IFERROR(__xludf.DUMMYFUNCTION("""COMPUTED_VALUE"""),"Web Development")</f>
        <v>Web Development</v>
      </c>
      <c r="K648">
        <f>IFERROR(__xludf.DUMMYFUNCTION("""COMPUTED_VALUE"""),1182936.0)</f>
        <v>1182936</v>
      </c>
      <c r="L648" s="140" t="str">
        <f>IFERROR(__xludf.DUMMYFUNCTION("""COMPUTED_VALUE"""),"WebGL w/ Unity: The Ultimate Guide to Games in the Browser")</f>
        <v>WebGL w/ Unity: The Ultimate Guide to Games in the Browser</v>
      </c>
    </row>
    <row r="649">
      <c r="A649" s="143">
        <f>IFERROR(__xludf.DUMMYFUNCTION("""COMPUTED_VALUE"""),44439.0)</f>
        <v>44439</v>
      </c>
      <c r="B649">
        <f>IFERROR(__xludf.DUMMYFUNCTION("""COMPUTED_VALUE"""),1432192.0)</f>
        <v>1432192</v>
      </c>
      <c r="C649" t="str">
        <f>IFERROR(__xludf.DUMMYFUNCTION("""COMPUTED_VALUE"""),"en")</f>
        <v>en</v>
      </c>
      <c r="D649" t="str">
        <f>IFERROR(__xludf.DUMMYFUNCTION("""COMPUTED_VALUE"""),"Learn PHP 7 and Laravel Master Course")</f>
        <v>Learn PHP 7 and Laravel Master Course</v>
      </c>
      <c r="E649" t="str">
        <f>IFERROR(__xludf.DUMMYFUNCTION("""COMPUTED_VALUE"""),"Learn PHP 7 and Laravel Master Course")</f>
        <v>Learn PHP 7 and Laravel Master Course</v>
      </c>
      <c r="F649">
        <f>IFERROR(__xludf.DUMMYFUNCTION("""COMPUTED_VALUE"""),2.9885792E7)</f>
        <v>29885792</v>
      </c>
      <c r="G649" t="str">
        <f>IFERROR(__xludf.DUMMYFUNCTION("""COMPUTED_VALUE"""),"Joe Santos Garcia")</f>
        <v>Joe Santos Garcia</v>
      </c>
      <c r="H649" t="str">
        <f>IFERROR(__xludf.DUMMYFUNCTION("""COMPUTED_VALUE"""),"3 Flags")</f>
        <v>3 Flags</v>
      </c>
      <c r="I649" t="str">
        <f>IFERROR(__xludf.DUMMYFUNCTION("""COMPUTED_VALUE"""),"Development")</f>
        <v>Development</v>
      </c>
      <c r="J649" t="str">
        <f>IFERROR(__xludf.DUMMYFUNCTION("""COMPUTED_VALUE"""),"Programming Languages")</f>
        <v>Programming Languages</v>
      </c>
      <c r="K649">
        <f>IFERROR(__xludf.DUMMYFUNCTION("""COMPUTED_VALUE"""),758582.0)</f>
        <v>758582</v>
      </c>
      <c r="L649" s="140" t="str">
        <f>IFERROR(__xludf.DUMMYFUNCTION("""COMPUTED_VALUE"""),"PHP with Laravel for beginners - Become a Master in Laravel")</f>
        <v>PHP with Laravel for beginners - Become a Master in Laravel</v>
      </c>
      <c r="M649" s="155">
        <f>IFERROR(__xludf.DUMMYFUNCTION("""COMPUTED_VALUE"""),2020278.0)</f>
        <v>2020278</v>
      </c>
      <c r="N649" s="140" t="str">
        <f>IFERROR(__xludf.DUMMYFUNCTION("""COMPUTED_VALUE"""),"Master Laravel for Beginners &amp; Intermediate [2020 Update]")</f>
        <v>Master Laravel for Beginners &amp; Intermediate [2020 Update]</v>
      </c>
    </row>
    <row r="650">
      <c r="A650" s="143">
        <f>IFERROR(__xludf.DUMMYFUNCTION("""COMPUTED_VALUE"""),44439.0)</f>
        <v>44439</v>
      </c>
      <c r="B650">
        <f>IFERROR(__xludf.DUMMYFUNCTION("""COMPUTED_VALUE"""),1776200.0)</f>
        <v>1776200</v>
      </c>
      <c r="C650" t="str">
        <f>IFERROR(__xludf.DUMMYFUNCTION("""COMPUTED_VALUE"""),"es")</f>
        <v>es</v>
      </c>
      <c r="D650" t="str">
        <f>IFERROR(__xludf.DUMMYFUNCTION("""COMPUTED_VALUE"""),"Marketing de contenidos. Estrategias para tus redes sociales")</f>
        <v>Marketing de contenidos. Estrategias para tus redes sociales</v>
      </c>
      <c r="E650" t="str">
        <f>IFERROR(__xludf.DUMMYFUNCTION("""COMPUTED_VALUE"""),"Content Marketing Strategies for your social networks")</f>
        <v>Content Marketing Strategies for your social networks</v>
      </c>
      <c r="F650">
        <f>IFERROR(__xludf.DUMMYFUNCTION("""COMPUTED_VALUE"""),4.3271464E7)</f>
        <v>43271464</v>
      </c>
      <c r="G650" t="str">
        <f>IFERROR(__xludf.DUMMYFUNCTION("""COMPUTED_VALUE"""),"María Gil")</f>
        <v>María Gil</v>
      </c>
      <c r="H650" t="str">
        <f>IFERROR(__xludf.DUMMYFUNCTION("""COMPUTED_VALUE"""),"3 Flags")</f>
        <v>3 Flags</v>
      </c>
      <c r="I650" t="str">
        <f>IFERROR(__xludf.DUMMYFUNCTION("""COMPUTED_VALUE"""),"Marketing")</f>
        <v>Marketing</v>
      </c>
      <c r="J650" t="str">
        <f>IFERROR(__xludf.DUMMYFUNCTION("""COMPUTED_VALUE"""),"Content Marketing")</f>
        <v>Content Marketing</v>
      </c>
      <c r="K650">
        <f>IFERROR(__xludf.DUMMYFUNCTION("""COMPUTED_VALUE"""),2440972.0)</f>
        <v>2440972</v>
      </c>
      <c r="L650" s="140" t="str">
        <f>IFERROR(__xludf.DUMMYFUNCTION("""COMPUTED_VALUE"""),"Marketing de Contenidos para Principiantes: La Guía Completa")</f>
        <v>Marketing de Contenidos para Principiantes: La Guía Completa</v>
      </c>
    </row>
    <row r="651">
      <c r="A651" s="143">
        <f>IFERROR(__xludf.DUMMYFUNCTION("""COMPUTED_VALUE"""),44439.0)</f>
        <v>44439</v>
      </c>
      <c r="B651">
        <f>IFERROR(__xludf.DUMMYFUNCTION("""COMPUTED_VALUE"""),1988526.0)</f>
        <v>1988526</v>
      </c>
      <c r="C651" t="str">
        <f>IFERROR(__xludf.DUMMYFUNCTION("""COMPUTED_VALUE"""),"en")</f>
        <v>en</v>
      </c>
      <c r="D651" t="str">
        <f>IFERROR(__xludf.DUMMYFUNCTION("""COMPUTED_VALUE"""),"3ds Max + Vray : 3d Visualizer handbook to Interior daylight")</f>
        <v>3ds Max + Vray : 3d Visualizer handbook to Interior daylight</v>
      </c>
      <c r="E651" t="str">
        <f>IFERROR(__xludf.DUMMYFUNCTION("""COMPUTED_VALUE"""),"3ds Max + Vray : 3d Visualizer handbook to Interior daylight")</f>
        <v>3ds Max + Vray : 3d Visualizer handbook to Interior daylight</v>
      </c>
      <c r="F651">
        <f>IFERROR(__xludf.DUMMYFUNCTION("""COMPUTED_VALUE"""),5.0274676E7)</f>
        <v>50274676</v>
      </c>
      <c r="G651" t="str">
        <f>IFERROR(__xludf.DUMMYFUNCTION("""COMPUTED_VALUE"""),"Jamie Cardoso")</f>
        <v>Jamie Cardoso</v>
      </c>
      <c r="H651" t="str">
        <f>IFERROR(__xludf.DUMMYFUNCTION("""COMPUTED_VALUE"""),"3 Flags")</f>
        <v>3 Flags</v>
      </c>
      <c r="I651" t="str">
        <f>IFERROR(__xludf.DUMMYFUNCTION("""COMPUTED_VALUE"""),"Design")</f>
        <v>Design</v>
      </c>
      <c r="J651" t="str">
        <f>IFERROR(__xludf.DUMMYFUNCTION("""COMPUTED_VALUE"""),"3D &amp; Animation")</f>
        <v>3D &amp; Animation</v>
      </c>
      <c r="K651">
        <f>IFERROR(__xludf.DUMMYFUNCTION("""COMPUTED_VALUE"""),3749424.0)</f>
        <v>3749424</v>
      </c>
      <c r="L651" s="140" t="str">
        <f>IFERROR(__xludf.DUMMYFUNCTION("""COMPUTED_VALUE"""),"3ds Max + V-Ray: Complete 3D Photorealistic Rendering Course")</f>
        <v>3ds Max + V-Ray: Complete 3D Photorealistic Rendering Course</v>
      </c>
      <c r="M651" s="155">
        <f>IFERROR(__xludf.DUMMYFUNCTION("""COMPUTED_VALUE"""),1784614.0)</f>
        <v>1784614</v>
      </c>
      <c r="N651" s="140" t="str">
        <f>IFERROR(__xludf.DUMMYFUNCTION("""COMPUTED_VALUE"""),"3ds Max + Vray: Advanced Architectural Exteriors")</f>
        <v>3ds Max + Vray: Advanced Architectural Exteriors</v>
      </c>
    </row>
    <row r="652">
      <c r="A652" s="143">
        <f>IFERROR(__xludf.DUMMYFUNCTION("""COMPUTED_VALUE"""),44439.0)</f>
        <v>44439</v>
      </c>
      <c r="B652">
        <f>IFERROR(__xludf.DUMMYFUNCTION("""COMPUTED_VALUE"""),2027530.0)</f>
        <v>2027530</v>
      </c>
      <c r="C652" t="str">
        <f>IFERROR(__xludf.DUMMYFUNCTION("""COMPUTED_VALUE"""),"en")</f>
        <v>en</v>
      </c>
      <c r="D652" t="str">
        <f>IFERROR(__xludf.DUMMYFUNCTION("""COMPUTED_VALUE"""),"Oracle 18c and Dataguard setup on premises and oracle Cloud")</f>
        <v>Oracle 18c and Dataguard setup on premises and oracle Cloud</v>
      </c>
      <c r="E652" t="str">
        <f>IFERROR(__xludf.DUMMYFUNCTION("""COMPUTED_VALUE"""),"Oracle 18c and Dataguard setup on premises and oracle Cloud")</f>
        <v>Oracle 18c and Dataguard setup on premises and oracle Cloud</v>
      </c>
      <c r="F652">
        <f>IFERROR(__xludf.DUMMYFUNCTION("""COMPUTED_VALUE"""),3.5028788E7)</f>
        <v>35028788</v>
      </c>
      <c r="G652" t="str">
        <f>IFERROR(__xludf.DUMMYFUNCTION("""COMPUTED_VALUE"""),"Zulqarnain Hayat")</f>
        <v>Zulqarnain Hayat</v>
      </c>
      <c r="H652" t="str">
        <f>IFERROR(__xludf.DUMMYFUNCTION("""COMPUTED_VALUE"""),"3 Flags")</f>
        <v>3 Flags</v>
      </c>
      <c r="I652" t="str">
        <f>IFERROR(__xludf.DUMMYFUNCTION("""COMPUTED_VALUE"""),"IT Operations")</f>
        <v>IT Operations</v>
      </c>
      <c r="J652" t="str">
        <f>IFERROR(__xludf.DUMMYFUNCTION("""COMPUTED_VALUE"""),"Database Administration")</f>
        <v>Database Administration</v>
      </c>
      <c r="K652">
        <f>IFERROR(__xludf.DUMMYFUNCTION("""COMPUTED_VALUE"""),2523048.0)</f>
        <v>2523048</v>
      </c>
      <c r="L652" s="140" t="str">
        <f>IFERROR(__xludf.DUMMYFUNCTION("""COMPUTED_VALUE"""),"Oracle 12c Data Guard Administration")</f>
        <v>Oracle 12c Data Guard Administration</v>
      </c>
    </row>
    <row r="653">
      <c r="A653" s="143">
        <f>IFERROR(__xludf.DUMMYFUNCTION("""COMPUTED_VALUE"""),44439.0)</f>
        <v>44439</v>
      </c>
      <c r="B653">
        <f>IFERROR(__xludf.DUMMYFUNCTION("""COMPUTED_VALUE"""),2364990.0)</f>
        <v>2364990</v>
      </c>
      <c r="C653" t="str">
        <f>IFERROR(__xludf.DUMMYFUNCTION("""COMPUTED_VALUE"""),"en")</f>
        <v>en</v>
      </c>
      <c r="D653" t="str">
        <f>IFERROR(__xludf.DUMMYFUNCTION("""COMPUTED_VALUE"""),"Modern Deliverability for Cold Email")</f>
        <v>Modern Deliverability for Cold Email</v>
      </c>
      <c r="E653" t="str">
        <f>IFERROR(__xludf.DUMMYFUNCTION("""COMPUTED_VALUE"""),"Modern Deliverability for Cold Email")</f>
        <v>Modern Deliverability for Cold Email</v>
      </c>
      <c r="F653">
        <f>IFERROR(__xludf.DUMMYFUNCTION("""COMPUTED_VALUE"""),5974026.0)</f>
        <v>5974026</v>
      </c>
      <c r="G653" t="str">
        <f>IFERROR(__xludf.DUMMYFUNCTION("""COMPUTED_VALUE"""),"Jack Reamer")</f>
        <v>Jack Reamer</v>
      </c>
      <c r="H653" t="str">
        <f>IFERROR(__xludf.DUMMYFUNCTION("""COMPUTED_VALUE"""),"3 Flags")</f>
        <v>3 Flags</v>
      </c>
      <c r="I653" t="str">
        <f>IFERROR(__xludf.DUMMYFUNCTION("""COMPUTED_VALUE"""),"Sales")</f>
        <v>Sales</v>
      </c>
      <c r="J653" t="str">
        <f>IFERROR(__xludf.DUMMYFUNCTION("""COMPUTED_VALUE"""),"Sales Skills &amp; Tools")</f>
        <v>Sales Skills &amp; Tools</v>
      </c>
      <c r="K653">
        <f>IFERROR(__xludf.DUMMYFUNCTION("""COMPUTED_VALUE"""),1393266.0)</f>
        <v>1393266</v>
      </c>
      <c r="L653" s="140" t="str">
        <f>IFERROR(__xludf.DUMMYFUNCTION("""COMPUTED_VALUE"""),"Lead Generation Machine: Cold Email B2B Sales Master Course")</f>
        <v>Lead Generation Machine: Cold Email B2B Sales Master Course</v>
      </c>
      <c r="M653" s="155">
        <f>IFERROR(__xludf.DUMMYFUNCTION("""COMPUTED_VALUE"""),2040268.0)</f>
        <v>2040268</v>
      </c>
      <c r="N653" s="140" t="str">
        <f>IFERROR(__xludf.DUMMYFUNCTION("""COMPUTED_VALUE"""),"Small Business Lead Generation &amp; Cold Email | B2B &amp; B2C")</f>
        <v>Small Business Lead Generation &amp; Cold Email | B2B &amp; B2C</v>
      </c>
    </row>
    <row r="654">
      <c r="A654" s="143">
        <f>IFERROR(__xludf.DUMMYFUNCTION("""COMPUTED_VALUE"""),44439.0)</f>
        <v>44439</v>
      </c>
      <c r="B654">
        <f>IFERROR(__xludf.DUMMYFUNCTION("""COMPUTED_VALUE"""),2399972.0)</f>
        <v>2399972</v>
      </c>
      <c r="C654" t="str">
        <f>IFERROR(__xludf.DUMMYFUNCTION("""COMPUTED_VALUE"""),"en")</f>
        <v>en</v>
      </c>
      <c r="D654" t="str">
        <f>IFERROR(__xludf.DUMMYFUNCTION("""COMPUTED_VALUE"""),"An Introduction to Digital Platform Governance")</f>
        <v>An Introduction to Digital Platform Governance</v>
      </c>
      <c r="E654" t="str">
        <f>IFERROR(__xludf.DUMMYFUNCTION("""COMPUTED_VALUE"""),"An Introduction to Digital Platform Governance")</f>
        <v>An Introduction to Digital Platform Governance</v>
      </c>
      <c r="F654">
        <f>IFERROR(__xludf.DUMMYFUNCTION("""COMPUTED_VALUE"""),7.1226528E7)</f>
        <v>71226528</v>
      </c>
      <c r="G654" t="str">
        <f>IFERROR(__xludf.DUMMYFUNCTION("""COMPUTED_VALUE"""),"Mikael Gebre-Mariam")</f>
        <v>Mikael Gebre-Mariam</v>
      </c>
      <c r="H654" t="str">
        <f>IFERROR(__xludf.DUMMYFUNCTION("""COMPUTED_VALUE"""),"3 Flags")</f>
        <v>3 Flags</v>
      </c>
      <c r="I654" t="str">
        <f>IFERROR(__xludf.DUMMYFUNCTION("""COMPUTED_VALUE"""),"IT Operations")</f>
        <v>IT Operations</v>
      </c>
      <c r="J654" t="str">
        <f>IFERROR(__xludf.DUMMYFUNCTION("""COMPUTED_VALUE"""),"Network &amp; Security")</f>
        <v>Network &amp; Security</v>
      </c>
      <c r="O654" s="140" t="str">
        <f>IFERROR(__xludf.DUMMYFUNCTION("""COMPUTED_VALUE"""),"No Alternatives in Collection- 2/23/2021")</f>
        <v>No Alternatives in Collection- 2/23/2021</v>
      </c>
    </row>
    <row r="655">
      <c r="A655" s="143">
        <f>IFERROR(__xludf.DUMMYFUNCTION("""COMPUTED_VALUE"""),44439.0)</f>
        <v>44439</v>
      </c>
      <c r="B655">
        <f>IFERROR(__xludf.DUMMYFUNCTION("""COMPUTED_VALUE"""),2585714.0)</f>
        <v>2585714</v>
      </c>
      <c r="C655" t="str">
        <f>IFERROR(__xludf.DUMMYFUNCTION("""COMPUTED_VALUE"""),"pt")</f>
        <v>pt</v>
      </c>
      <c r="D655" t="str">
        <f>IFERROR(__xludf.DUMMYFUNCTION("""COMPUTED_VALUE"""),"Microservice, RESTAPI, CI/CD, Deploy, LoadBalancer e Monitor")</f>
        <v>Microservice, RESTAPI, CI/CD, Deploy, LoadBalancer e Monitor</v>
      </c>
      <c r="E655" t="str">
        <f>IFERROR(__xludf.DUMMYFUNCTION("""COMPUTED_VALUE"""),"Microservice, RESTAPI, CI/CD, Deploy, LoadBalancer e Monitor")</f>
        <v>Microservice, RESTAPI, CI/CD, Deploy, LoadBalancer e Monitor</v>
      </c>
      <c r="F655">
        <f>IFERROR(__xludf.DUMMYFUNCTION("""COMPUTED_VALUE"""),8.2193624E7)</f>
        <v>82193624</v>
      </c>
      <c r="G655" t="str">
        <f>IFERROR(__xludf.DUMMYFUNCTION("""COMPUTED_VALUE"""),"Marcelo de Souza Vieira")</f>
        <v>Marcelo de Souza Vieira</v>
      </c>
      <c r="H655" t="str">
        <f>IFERROR(__xludf.DUMMYFUNCTION("""COMPUTED_VALUE"""),"3 Flags")</f>
        <v>3 Flags</v>
      </c>
      <c r="I655" t="str">
        <f>IFERROR(__xludf.DUMMYFUNCTION("""COMPUTED_VALUE"""),"Development")</f>
        <v>Development</v>
      </c>
      <c r="J655" t="str">
        <f>IFERROR(__xludf.DUMMYFUNCTION("""COMPUTED_VALUE"""),"Web Development")</f>
        <v>Web Development</v>
      </c>
      <c r="K655">
        <f>IFERROR(__xludf.DUMMYFUNCTION("""COMPUTED_VALUE"""),3437390.0)</f>
        <v>3437390</v>
      </c>
      <c r="L655" s="140" t="str">
        <f>IFERROR(__xludf.DUMMYFUNCTION("""COMPUTED_VALUE"""),"Azure Pipelines - CI/CD, Docker e Kubernetes no Azure DevOps")</f>
        <v>Azure Pipelines - CI/CD, Docker e Kubernetes no Azure DevOps</v>
      </c>
    </row>
    <row r="656">
      <c r="A656" s="143">
        <f>IFERROR(__xludf.DUMMYFUNCTION("""COMPUTED_VALUE"""),44439.0)</f>
        <v>44439</v>
      </c>
      <c r="B656">
        <f>IFERROR(__xludf.DUMMYFUNCTION("""COMPUTED_VALUE"""),2826329.0)</f>
        <v>2826329</v>
      </c>
      <c r="C656" t="str">
        <f>IFERROR(__xludf.DUMMYFUNCTION("""COMPUTED_VALUE"""),"fr")</f>
        <v>fr</v>
      </c>
      <c r="D656" t="str">
        <f>IFERROR(__xludf.DUMMYFUNCTION("""COMPUTED_VALUE"""),"ITIL 4 Foundation Préparation Complète - Version Française")</f>
        <v>ITIL 4 Foundation Préparation Complète - Version Française</v>
      </c>
      <c r="E656" t="str">
        <f>IFERROR(__xludf.DUMMYFUNCTION("""COMPUTED_VALUE"""),"ITIL 4 Foundation Full Preparation - French Version")</f>
        <v>ITIL 4 Foundation Full Preparation - French Version</v>
      </c>
      <c r="F656">
        <f>IFERROR(__xludf.DUMMYFUNCTION("""COMPUTED_VALUE"""),7.8148254E7)</f>
        <v>78148254</v>
      </c>
      <c r="G656" t="str">
        <f>IFERROR(__xludf.DUMMYFUNCTION("""COMPUTED_VALUE"""),"G Education Inc.")</f>
        <v>G Education Inc.</v>
      </c>
      <c r="H656" t="str">
        <f>IFERROR(__xludf.DUMMYFUNCTION("""COMPUTED_VALUE"""),"3 Flags")</f>
        <v>3 Flags</v>
      </c>
      <c r="I656" t="str">
        <f>IFERROR(__xludf.DUMMYFUNCTION("""COMPUTED_VALUE"""),"IT Operations")</f>
        <v>IT Operations</v>
      </c>
      <c r="J656" t="str">
        <f>IFERROR(__xludf.DUMMYFUNCTION("""COMPUTED_VALUE"""),"IT Certifications")</f>
        <v>IT Certifications</v>
      </c>
      <c r="O656" s="140" t="str">
        <f>IFERROR(__xludf.DUMMYFUNCTION("""COMPUTED_VALUE"""),"No Alternatives in Collection- 2/23/2021")</f>
        <v>No Alternatives in Collection- 2/23/2021</v>
      </c>
    </row>
    <row r="657">
      <c r="A657" s="143">
        <f>IFERROR(__xludf.DUMMYFUNCTION("""COMPUTED_VALUE"""),44439.0)</f>
        <v>44439</v>
      </c>
      <c r="B657">
        <f>IFERROR(__xludf.DUMMYFUNCTION("""COMPUTED_VALUE"""),2975316.0)</f>
        <v>2975316</v>
      </c>
      <c r="C657" t="str">
        <f>IFERROR(__xludf.DUMMYFUNCTION("""COMPUTED_VALUE"""),"de")</f>
        <v>de</v>
      </c>
      <c r="D657" t="str">
        <f>IFERROR(__xludf.DUMMYFUNCTION("""COMPUTED_VALUE"""),"Quantum Computing und Programmierung mit Q#: Eine Einführung")</f>
        <v>Quantum Computing und Programmierung mit Q#: Eine Einführung</v>
      </c>
      <c r="E657" t="str">
        <f>IFERROR(__xludf.DUMMYFUNCTION("""COMPUTED_VALUE"""),"Quantum computing and programming with q #: an introduction")</f>
        <v>Quantum computing and programming with q #: an introduction</v>
      </c>
      <c r="F657">
        <f>IFERROR(__xludf.DUMMYFUNCTION("""COMPUTED_VALUE"""),3.3250852E7)</f>
        <v>33250852</v>
      </c>
      <c r="G657" t="str">
        <f>IFERROR(__xludf.DUMMYFUNCTION("""COMPUTED_VALUE"""),"Cedric Mössner")</f>
        <v>Cedric Mössner</v>
      </c>
      <c r="H657" t="str">
        <f>IFERROR(__xludf.DUMMYFUNCTION("""COMPUTED_VALUE"""),"3 Flags")</f>
        <v>3 Flags</v>
      </c>
      <c r="I657" t="str">
        <f>IFERROR(__xludf.DUMMYFUNCTION("""COMPUTED_VALUE"""),"Development")</f>
        <v>Development</v>
      </c>
      <c r="J657" t="str">
        <f>IFERROR(__xludf.DUMMYFUNCTION("""COMPUTED_VALUE"""),"Software Engineering")</f>
        <v>Software Engineering</v>
      </c>
      <c r="O657" s="140" t="str">
        <f>IFERROR(__xludf.DUMMYFUNCTION("""COMPUTED_VALUE"""),"No Alternatives in Collection- 2/23/2021")</f>
        <v>No Alternatives in Collection- 2/23/2021</v>
      </c>
    </row>
    <row r="658">
      <c r="A658" s="143">
        <f>IFERROR(__xludf.DUMMYFUNCTION("""COMPUTED_VALUE"""),44439.0)</f>
        <v>44439</v>
      </c>
      <c r="B658">
        <f>IFERROR(__xludf.DUMMYFUNCTION("""COMPUTED_VALUE"""),3083514.0)</f>
        <v>3083514</v>
      </c>
      <c r="C658" t="str">
        <f>IFERROR(__xludf.DUMMYFUNCTION("""COMPUTED_VALUE"""),"de")</f>
        <v>de</v>
      </c>
      <c r="D658" t="str">
        <f>IFERROR(__xludf.DUMMYFUNCTION("""COMPUTED_VALUE"""),"Change Prozesse erfolgreich managen")</f>
        <v>Change Prozesse erfolgreich managen</v>
      </c>
      <c r="E658" t="str">
        <f>IFERROR(__xludf.DUMMYFUNCTION("""COMPUTED_VALUE"""),"Change processes successfully manage")</f>
        <v>Change processes successfully manage</v>
      </c>
      <c r="F658">
        <f>IFERROR(__xludf.DUMMYFUNCTION("""COMPUTED_VALUE"""),5.226966E7)</f>
        <v>52269660</v>
      </c>
      <c r="G658" t="str">
        <f>IFERROR(__xludf.DUMMYFUNCTION("""COMPUTED_VALUE"""),"Nicole Zieger")</f>
        <v>Nicole Zieger</v>
      </c>
      <c r="H658" t="str">
        <f>IFERROR(__xludf.DUMMYFUNCTION("""COMPUTED_VALUE"""),"3 Flags")</f>
        <v>3 Flags</v>
      </c>
      <c r="I658" t="str">
        <f>IFERROR(__xludf.DUMMYFUNCTION("""COMPUTED_VALUE"""),"Leadership &amp; Management")</f>
        <v>Leadership &amp; Management</v>
      </c>
      <c r="J658" t="str">
        <f>IFERROR(__xludf.DUMMYFUNCTION("""COMPUTED_VALUE"""),"Leadership")</f>
        <v>Leadership</v>
      </c>
      <c r="O658" s="140" t="str">
        <f>IFERROR(__xludf.DUMMYFUNCTION("""COMPUTED_VALUE"""),"No Alternatives in Collection- 2/23/2021")</f>
        <v>No Alternatives in Collection- 2/23/2021</v>
      </c>
    </row>
    <row r="659">
      <c r="A659" s="143">
        <f>IFERROR(__xludf.DUMMYFUNCTION("""COMPUTED_VALUE"""),44439.0)</f>
        <v>44439</v>
      </c>
      <c r="B659">
        <f>IFERROR(__xludf.DUMMYFUNCTION("""COMPUTED_VALUE"""),3709858.0)</f>
        <v>3709858</v>
      </c>
      <c r="C659" t="str">
        <f>IFERROR(__xludf.DUMMYFUNCTION("""COMPUTED_VALUE"""),"en")</f>
        <v>en</v>
      </c>
      <c r="D659" t="str">
        <f>IFERROR(__xludf.DUMMYFUNCTION("""COMPUTED_VALUE"""),"Watercolor Painting Landscapes I By Award Winning Artist")</f>
        <v>Watercolor Painting Landscapes I By Award Winning Artist</v>
      </c>
      <c r="E659" t="str">
        <f>IFERROR(__xludf.DUMMYFUNCTION("""COMPUTED_VALUE"""),"Watercolor Painting Landscapes I By Award Winning Artist")</f>
        <v>Watercolor Painting Landscapes I By Award Winning Artist</v>
      </c>
      <c r="F659">
        <f>IFERROR(__xludf.DUMMYFUNCTION("""COMPUTED_VALUE"""),9.6366484E7)</f>
        <v>96366484</v>
      </c>
      <c r="G659" t="str">
        <f>IFERROR(__xludf.DUMMYFUNCTION("""COMPUTED_VALUE"""),"Broderick Wong")</f>
        <v>Broderick Wong</v>
      </c>
      <c r="H659" t="str">
        <f>IFERROR(__xludf.DUMMYFUNCTION("""COMPUTED_VALUE"""),"Instructor Request- Opted Out")</f>
        <v>Instructor Request- Opted Out</v>
      </c>
      <c r="I659" t="str">
        <f>IFERROR(__xludf.DUMMYFUNCTION("""COMPUTED_VALUE"""),"Personal Development")</f>
        <v>Personal Development</v>
      </c>
      <c r="J659" t="str">
        <f>IFERROR(__xludf.DUMMYFUNCTION("""COMPUTED_VALUE"""),"Arts &amp; Creativity")</f>
        <v>Arts &amp; Creativity</v>
      </c>
      <c r="O659" s="140" t="str">
        <f>IFERROR(__xludf.DUMMYFUNCTION("""COMPUTED_VALUE"""),"No Alternatives in Collection- 3/20")</f>
        <v>No Alternatives in Collection- 3/20</v>
      </c>
    </row>
    <row r="660">
      <c r="A660" s="143">
        <f>IFERROR(__xludf.DUMMYFUNCTION("""COMPUTED_VALUE"""),44439.0)</f>
        <v>44439</v>
      </c>
      <c r="B660">
        <f>IFERROR(__xludf.DUMMYFUNCTION("""COMPUTED_VALUE"""),2418356.0)</f>
        <v>2418356</v>
      </c>
      <c r="C660" t="str">
        <f>IFERROR(__xludf.DUMMYFUNCTION("""COMPUTED_VALUE"""),"en")</f>
        <v>en</v>
      </c>
      <c r="D660" t="str">
        <f>IFERROR(__xludf.DUMMYFUNCTION("""COMPUTED_VALUE"""),"Linux Privilege Escalation for OSCP &amp; Beyond!")</f>
        <v>Linux Privilege Escalation for OSCP &amp; Beyond!</v>
      </c>
      <c r="E660" t="str">
        <f>IFERROR(__xludf.DUMMYFUNCTION("""COMPUTED_VALUE"""),"Linux Privilege Escalation for OSCP &amp; Beyond!")</f>
        <v>Linux Privilege Escalation for OSCP &amp; Beyond!</v>
      </c>
      <c r="F660">
        <f>IFERROR(__xludf.DUMMYFUNCTION("""COMPUTED_VALUE"""),7.4909546E7)</f>
        <v>74909546</v>
      </c>
      <c r="G660" t="str">
        <f>IFERROR(__xludf.DUMMYFUNCTION("""COMPUTED_VALUE"""),"Tib3rius ⁣")</f>
        <v>Tib3rius ⁣</v>
      </c>
      <c r="H660" t="str">
        <f>IFERROR(__xludf.DUMMYFUNCTION("""COMPUTED_VALUE"""),"Instructor Request- Opted Out")</f>
        <v>Instructor Request- Opted Out</v>
      </c>
      <c r="I660" t="str">
        <f>IFERROR(__xludf.DUMMYFUNCTION("""COMPUTED_VALUE"""),"IT Operations")</f>
        <v>IT Operations</v>
      </c>
      <c r="J660" t="str">
        <f>IFERROR(__xludf.DUMMYFUNCTION("""COMPUTED_VALUE"""),"Network &amp; Security")</f>
        <v>Network &amp; Security</v>
      </c>
      <c r="K660">
        <f>IFERROR(__xludf.DUMMYFUNCTION("""COMPUTED_VALUE"""),3246640.0)</f>
        <v>3246640</v>
      </c>
    </row>
    <row r="661">
      <c r="A661" s="143">
        <f>IFERROR(__xludf.DUMMYFUNCTION("""COMPUTED_VALUE"""),44439.0)</f>
        <v>44439</v>
      </c>
      <c r="B661">
        <f>IFERROR(__xludf.DUMMYFUNCTION("""COMPUTED_VALUE"""),2818117.0)</f>
        <v>2818117</v>
      </c>
      <c r="C661" t="str">
        <f>IFERROR(__xludf.DUMMYFUNCTION("""COMPUTED_VALUE"""),"en")</f>
        <v>en</v>
      </c>
      <c r="D661" t="str">
        <f>IFERROR(__xludf.DUMMYFUNCTION("""COMPUTED_VALUE"""),"Windows Privilege Escalation for OSCP &amp; Beyond!")</f>
        <v>Windows Privilege Escalation for OSCP &amp; Beyond!</v>
      </c>
      <c r="E661" t="str">
        <f>IFERROR(__xludf.DUMMYFUNCTION("""COMPUTED_VALUE"""),"Windows Privilege Escalation for OSCP &amp; Beyond!")</f>
        <v>Windows Privilege Escalation for OSCP &amp; Beyond!</v>
      </c>
      <c r="F661">
        <f>IFERROR(__xludf.DUMMYFUNCTION("""COMPUTED_VALUE"""),7.4909546E7)</f>
        <v>74909546</v>
      </c>
      <c r="G661" t="str">
        <f>IFERROR(__xludf.DUMMYFUNCTION("""COMPUTED_VALUE"""),"Tib3rius ⁣")</f>
        <v>Tib3rius ⁣</v>
      </c>
      <c r="H661" t="str">
        <f>IFERROR(__xludf.DUMMYFUNCTION("""COMPUTED_VALUE"""),"Instructor Request- Opted Out")</f>
        <v>Instructor Request- Opted Out</v>
      </c>
      <c r="I661" t="str">
        <f>IFERROR(__xludf.DUMMYFUNCTION("""COMPUTED_VALUE"""),"IT Operations")</f>
        <v>IT Operations</v>
      </c>
      <c r="J661" t="str">
        <f>IFERROR(__xludf.DUMMYFUNCTION("""COMPUTED_VALUE"""),"Network &amp; Security")</f>
        <v>Network &amp; Security</v>
      </c>
      <c r="K661">
        <f>IFERROR(__xludf.DUMMYFUNCTION("""COMPUTED_VALUE"""),2994784.0)</f>
        <v>2994784</v>
      </c>
    </row>
    <row r="662">
      <c r="A662" s="143">
        <f>IFERROR(__xludf.DUMMYFUNCTION("""COMPUTED_VALUE"""),44439.0)</f>
        <v>44439</v>
      </c>
      <c r="B662">
        <f>IFERROR(__xludf.DUMMYFUNCTION("""COMPUTED_VALUE"""),1887746.0)</f>
        <v>1887746</v>
      </c>
      <c r="C662" t="str">
        <f>IFERROR(__xludf.DUMMYFUNCTION("""COMPUTED_VALUE"""),"pt")</f>
        <v>pt</v>
      </c>
      <c r="D662" t="str">
        <f>IFERROR(__xludf.DUMMYFUNCTION("""COMPUTED_VALUE"""),"Design Gráfico - Fundamentos COMPLETÍSSIMO")</f>
        <v>Design Gráfico - Fundamentos COMPLETÍSSIMO</v>
      </c>
      <c r="E662" t="str">
        <f>IFERROR(__xludf.DUMMYFUNCTION("""COMPUTED_VALUE"""),"Graphic Design - Fundamentals Completely")</f>
        <v>Graphic Design - Fundamentals Completely</v>
      </c>
      <c r="F662">
        <f>IFERROR(__xludf.DUMMYFUNCTION("""COMPUTED_VALUE"""),5.3677962E7)</f>
        <v>53677962</v>
      </c>
      <c r="G662" t="str">
        <f>IFERROR(__xludf.DUMMYFUNCTION("""COMPUTED_VALUE"""),"Margareth Domingues")</f>
        <v>Margareth Domingues</v>
      </c>
      <c r="H662" t="str">
        <f>IFERROR(__xludf.DUMMYFUNCTION("""COMPUTED_VALUE"""),"Instructor Request- Opted Out")</f>
        <v>Instructor Request- Opted Out</v>
      </c>
      <c r="I662" t="str">
        <f>IFERROR(__xludf.DUMMYFUNCTION("""COMPUTED_VALUE"""),"Design")</f>
        <v>Design</v>
      </c>
      <c r="J662" t="str">
        <f>IFERROR(__xludf.DUMMYFUNCTION("""COMPUTED_VALUE"""),"Graphic Design")</f>
        <v>Graphic Design</v>
      </c>
      <c r="O662" s="140" t="str">
        <f>IFERROR(__xludf.DUMMYFUNCTION("""COMPUTED_VALUE"""),"No Alternatives in Collection- 7/01/2021")</f>
        <v>No Alternatives in Collection- 7/01/2021</v>
      </c>
    </row>
    <row r="663">
      <c r="A663" s="143">
        <f>IFERROR(__xludf.DUMMYFUNCTION("""COMPUTED_VALUE"""),44440.0)</f>
        <v>44440</v>
      </c>
      <c r="B663">
        <f>IFERROR(__xludf.DUMMYFUNCTION("""COMPUTED_VALUE"""),3129246.0)</f>
        <v>3129246</v>
      </c>
      <c r="C663" t="str">
        <f>IFERROR(__xludf.DUMMYFUNCTION("""COMPUTED_VALUE"""),"tr")</f>
        <v>tr</v>
      </c>
      <c r="D663" t="str">
        <f>IFERROR(__xludf.DUMMYFUNCTION("""COMPUTED_VALUE"""),"c++ sıfırdan")</f>
        <v>c++ sıfırdan</v>
      </c>
      <c r="E663" t="str">
        <f>IFERROR(__xludf.DUMMYFUNCTION("""COMPUTED_VALUE"""),"c ++ from scratch")</f>
        <v>c ++ from scratch</v>
      </c>
      <c r="F663">
        <f>IFERROR(__xludf.DUMMYFUNCTION("""COMPUTED_VALUE"""),7.1383382E7)</f>
        <v>71383382</v>
      </c>
      <c r="G663" t="str">
        <f>IFERROR(__xludf.DUMMYFUNCTION("""COMPUTED_VALUE"""),"Cabbar Şahin")</f>
        <v>Cabbar Şahin</v>
      </c>
      <c r="H663" t="str">
        <f>IFERROR(__xludf.DUMMYFUNCTION("""COMPUTED_VALUE"""),"T&amp;S")</f>
        <v>T&amp;S</v>
      </c>
      <c r="I663" t="str">
        <f>IFERROR(__xludf.DUMMYFUNCTION("""COMPUTED_VALUE"""),"Development")</f>
        <v>Development</v>
      </c>
      <c r="J663" t="str">
        <f>IFERROR(__xludf.DUMMYFUNCTION("""COMPUTED_VALUE"""),"Programming Languages")</f>
        <v>Programming Languages</v>
      </c>
    </row>
    <row r="664">
      <c r="A664" s="143">
        <f>IFERROR(__xludf.DUMMYFUNCTION("""COMPUTED_VALUE"""),44440.0)</f>
        <v>44440</v>
      </c>
      <c r="B664">
        <f>IFERROR(__xludf.DUMMYFUNCTION("""COMPUTED_VALUE"""),89186.0)</f>
        <v>89186</v>
      </c>
      <c r="C664" t="str">
        <f>IFERROR(__xludf.DUMMYFUNCTION("""COMPUTED_VALUE"""),"es")</f>
        <v>es</v>
      </c>
      <c r="D664" t="str">
        <f>IFERROR(__xludf.DUMMYFUNCTION("""COMPUTED_VALUE"""),"Aprende Spring Framework de la manera más simple en español")</f>
        <v>Aprende Spring Framework de la manera más simple en español</v>
      </c>
      <c r="E664" t="str">
        <f>IFERROR(__xludf.DUMMYFUNCTION("""COMPUTED_VALUE"""),"Learn Spring Framework in the simplest way in Spanish")</f>
        <v>Learn Spring Framework in the simplest way in Spanish</v>
      </c>
      <c r="F664">
        <f>IFERROR(__xludf.DUMMYFUNCTION("""COMPUTED_VALUE"""),1435594.0)</f>
        <v>1435594</v>
      </c>
      <c r="G664" t="str">
        <f>IFERROR(__xludf.DUMMYFUNCTION("""COMPUTED_VALUE"""),"Global Mentoring Ing. Ubaldo Acosta")</f>
        <v>Global Mentoring Ing. Ubaldo Acosta</v>
      </c>
      <c r="H664" t="str">
        <f>IFERROR(__xludf.DUMMYFUNCTION("""COMPUTED_VALUE"""),"T&amp;S")</f>
        <v>T&amp;S</v>
      </c>
      <c r="I664" t="str">
        <f>IFERROR(__xludf.DUMMYFUNCTION("""COMPUTED_VALUE"""),"Development")</f>
        <v>Development</v>
      </c>
      <c r="J664" t="str">
        <f>IFERROR(__xludf.DUMMYFUNCTION("""COMPUTED_VALUE"""),"Programming Languages")</f>
        <v>Programming Languages</v>
      </c>
      <c r="K664">
        <f>IFERROR(__xludf.DUMMYFUNCTION("""COMPUTED_VALUE"""),376402.0)</f>
        <v>376402</v>
      </c>
      <c r="L664" s="140" t="str">
        <f>IFERROR(__xludf.DUMMYFUNCTION("""COMPUTED_VALUE"""),"Desarrollo Web con Spring 4")</f>
        <v>Desarrollo Web con Spring 4</v>
      </c>
      <c r="M664" s="140">
        <f>IFERROR(__xludf.DUMMYFUNCTION("""COMPUTED_VALUE"""),376402.0)</f>
        <v>376402</v>
      </c>
      <c r="N664" s="155" t="str">
        <f>IFERROR(__xludf.DUMMYFUNCTION("""COMPUTED_VALUE"""),"Desarrollo Web con Spring 4")</f>
        <v>Desarrollo Web con Spring 4</v>
      </c>
    </row>
    <row r="665">
      <c r="A665" s="143">
        <f>IFERROR(__xludf.DUMMYFUNCTION("""COMPUTED_VALUE"""),44440.0)</f>
        <v>44440</v>
      </c>
      <c r="B665">
        <f>IFERROR(__xludf.DUMMYFUNCTION("""COMPUTED_VALUE"""),1265942.0)</f>
        <v>1265942</v>
      </c>
      <c r="C665" t="str">
        <f>IFERROR(__xludf.DUMMYFUNCTION("""COMPUTED_VALUE"""),"es")</f>
        <v>es</v>
      </c>
      <c r="D665" t="str">
        <f>IFERROR(__xludf.DUMMYFUNCTION("""COMPUTED_VALUE"""),"Universidad Java 2021 - De Cero a Experto! +105 hrs")</f>
        <v>Universidad Java 2021 - De Cero a Experto! +105 hrs</v>
      </c>
      <c r="E665" t="str">
        <f>IFERROR(__xludf.DUMMYFUNCTION("""COMPUTED_VALUE"""),"Java 2021 University - from Zero to Expert! +105 hrs.")</f>
        <v>Java 2021 University - from Zero to Expert! +105 hrs.</v>
      </c>
      <c r="F665">
        <f>IFERROR(__xludf.DUMMYFUNCTION("""COMPUTED_VALUE"""),1435594.0)</f>
        <v>1435594</v>
      </c>
      <c r="G665" t="str">
        <f>IFERROR(__xludf.DUMMYFUNCTION("""COMPUTED_VALUE"""),"Global Mentoring Ing. Ubaldo Acosta")</f>
        <v>Global Mentoring Ing. Ubaldo Acosta</v>
      </c>
      <c r="H665" t="str">
        <f>IFERROR(__xludf.DUMMYFUNCTION("""COMPUTED_VALUE"""),"T&amp;S")</f>
        <v>T&amp;S</v>
      </c>
      <c r="I665" t="str">
        <f>IFERROR(__xludf.DUMMYFUNCTION("""COMPUTED_VALUE"""),"Development")</f>
        <v>Development</v>
      </c>
      <c r="J665" t="str">
        <f>IFERROR(__xludf.DUMMYFUNCTION("""COMPUTED_VALUE"""),"Programming Languages")</f>
        <v>Programming Languages</v>
      </c>
      <c r="K665">
        <f>IFERROR(__xludf.DUMMYFUNCTION("""COMPUTED_VALUE"""),802946.0)</f>
        <v>802946</v>
      </c>
      <c r="L665" s="140" t="str">
        <f>IFERROR(__xludf.DUMMYFUNCTION("""COMPUTED_VALUE"""),"Aprende Programación en Java (de Básico a Avanzado)")</f>
        <v>Aprende Programación en Java (de Básico a Avanzado)</v>
      </c>
      <c r="M665" s="140">
        <f>IFERROR(__xludf.DUMMYFUNCTION("""COMPUTED_VALUE"""),3078492.0)</f>
        <v>3078492</v>
      </c>
      <c r="N665" s="155" t="str">
        <f>IFERROR(__xludf.DUMMYFUNCTION("""COMPUTED_VALUE"""),"Máster Completo en Java de cero a experto con IntelliJ 2021")</f>
        <v>Máster Completo en Java de cero a experto con IntelliJ 2021</v>
      </c>
    </row>
    <row r="666">
      <c r="A666" s="143">
        <f>IFERROR(__xludf.DUMMYFUNCTION("""COMPUTED_VALUE"""),44440.0)</f>
        <v>44440</v>
      </c>
      <c r="B666">
        <f>IFERROR(__xludf.DUMMYFUNCTION("""COMPUTED_VALUE"""),1303122.0)</f>
        <v>1303122</v>
      </c>
      <c r="C666" t="str">
        <f>IFERROR(__xludf.DUMMYFUNCTION("""COMPUTED_VALUE"""),"es")</f>
        <v>es</v>
      </c>
      <c r="D666" t="str">
        <f>IFERROR(__xludf.DUMMYFUNCTION("""COMPUTED_VALUE"""),"Java EE - Desde cero a Experto (EJB, JPA, Web Services, JSF)")</f>
        <v>Java EE - Desde cero a Experto (EJB, JPA, Web Services, JSF)</v>
      </c>
      <c r="E666" t="str">
        <f>IFERROR(__xludf.DUMMYFUNCTION("""COMPUTED_VALUE"""),"Java EE - from Zero to Expert (EJB, JPA, Web Services, JSF)")</f>
        <v>Java EE - from Zero to Expert (EJB, JPA, Web Services, JSF)</v>
      </c>
      <c r="F666">
        <f>IFERROR(__xludf.DUMMYFUNCTION("""COMPUTED_VALUE"""),1435594.0)</f>
        <v>1435594</v>
      </c>
      <c r="G666" t="str">
        <f>IFERROR(__xludf.DUMMYFUNCTION("""COMPUTED_VALUE"""),"Global Mentoring Ing. Ubaldo Acosta")</f>
        <v>Global Mentoring Ing. Ubaldo Acosta</v>
      </c>
      <c r="H666" t="str">
        <f>IFERROR(__xludf.DUMMYFUNCTION("""COMPUTED_VALUE"""),"T&amp;S")</f>
        <v>T&amp;S</v>
      </c>
      <c r="I666" t="str">
        <f>IFERROR(__xludf.DUMMYFUNCTION("""COMPUTED_VALUE"""),"Development")</f>
        <v>Development</v>
      </c>
      <c r="J666" t="str">
        <f>IFERROR(__xludf.DUMMYFUNCTION("""COMPUTED_VALUE"""),"Programming Languages")</f>
        <v>Programming Languages</v>
      </c>
      <c r="K666">
        <f>IFERROR(__xludf.DUMMYFUNCTION("""COMPUTED_VALUE"""),1187500.0)</f>
        <v>1187500</v>
      </c>
      <c r="L666" s="140" t="str">
        <f>IFERROR(__xludf.DUMMYFUNCTION("""COMPUTED_VALUE"""),"Java EE 7 &amp; Frameworks - JSF2, Spring 4, Struts 2 y EJB3")</f>
        <v>Java EE 7 &amp; Frameworks - JSF2, Spring 4, Struts 2 y EJB3</v>
      </c>
      <c r="M666" s="140">
        <f>IFERROR(__xludf.DUMMYFUNCTION("""COMPUTED_VALUE"""),781696.0)</f>
        <v>781696</v>
      </c>
      <c r="N666" s="155" t="str">
        <f>IFERROR(__xludf.DUMMYFUNCTION("""COMPUTED_VALUE"""),"Curso Java SE, Java EE con MySQL - De básico hasta avanzado")</f>
        <v>Curso Java SE, Java EE con MySQL - De básico hasta avanzado</v>
      </c>
    </row>
    <row r="667">
      <c r="A667" s="143">
        <f>IFERROR(__xludf.DUMMYFUNCTION("""COMPUTED_VALUE"""),44440.0)</f>
        <v>44440</v>
      </c>
      <c r="B667">
        <f>IFERROR(__xludf.DUMMYFUNCTION("""COMPUTED_VALUE"""),1426148.0)</f>
        <v>1426148</v>
      </c>
      <c r="C667" t="str">
        <f>IFERROR(__xludf.DUMMYFUNCTION("""COMPUTED_VALUE"""),"es")</f>
        <v>es</v>
      </c>
      <c r="D667" t="str">
        <f>IFERROR(__xludf.DUMMYFUNCTION("""COMPUTED_VALUE"""),"Crea Aplicaciones Java Web. Completísimo y Desde Cero!")</f>
        <v>Crea Aplicaciones Java Web. Completísimo y Desde Cero!</v>
      </c>
      <c r="E667" t="str">
        <f>IFERROR(__xludf.DUMMYFUNCTION("""COMPUTED_VALUE"""),"Create Java Web applications. Complete and from scratch!")</f>
        <v>Create Java Web applications. Complete and from scratch!</v>
      </c>
      <c r="F667">
        <f>IFERROR(__xludf.DUMMYFUNCTION("""COMPUTED_VALUE"""),1435594.0)</f>
        <v>1435594</v>
      </c>
      <c r="G667" t="str">
        <f>IFERROR(__xludf.DUMMYFUNCTION("""COMPUTED_VALUE"""),"Global Mentoring Ing. Ubaldo Acosta")</f>
        <v>Global Mentoring Ing. Ubaldo Acosta</v>
      </c>
      <c r="H667" t="str">
        <f>IFERROR(__xludf.DUMMYFUNCTION("""COMPUTED_VALUE"""),"T&amp;S")</f>
        <v>T&amp;S</v>
      </c>
      <c r="I667" t="str">
        <f>IFERROR(__xludf.DUMMYFUNCTION("""COMPUTED_VALUE"""),"Development")</f>
        <v>Development</v>
      </c>
      <c r="J667" t="str">
        <f>IFERROR(__xludf.DUMMYFUNCTION("""COMPUTED_VALUE"""),"Programming Languages")</f>
        <v>Programming Languages</v>
      </c>
      <c r="K667">
        <f>IFERROR(__xludf.DUMMYFUNCTION("""COMPUTED_VALUE"""),802946.0)</f>
        <v>802946</v>
      </c>
      <c r="L667" s="140" t="str">
        <f>IFERROR(__xludf.DUMMYFUNCTION("""COMPUTED_VALUE"""),"Aprende Programación en Java (de Básico a Avanzado)")</f>
        <v>Aprende Programación en Java (de Básico a Avanzado)</v>
      </c>
      <c r="M667" s="140">
        <f>IFERROR(__xludf.DUMMYFUNCTION("""COMPUTED_VALUE"""),3078492.0)</f>
        <v>3078492</v>
      </c>
      <c r="N667" s="155" t="str">
        <f>IFERROR(__xludf.DUMMYFUNCTION("""COMPUTED_VALUE"""),"Máster Completo en Java de cero a experto con IntelliJ 2021")</f>
        <v>Máster Completo en Java de cero a experto con IntelliJ 2021</v>
      </c>
    </row>
    <row r="668">
      <c r="A668" s="143">
        <f>IFERROR(__xludf.DUMMYFUNCTION("""COMPUTED_VALUE"""),44440.0)</f>
        <v>44440</v>
      </c>
      <c r="B668">
        <f>IFERROR(__xludf.DUMMYFUNCTION("""COMPUTED_VALUE"""),1551656.0)</f>
        <v>1551656</v>
      </c>
      <c r="C668" t="str">
        <f>IFERROR(__xludf.DUMMYFUNCTION("""COMPUTED_VALUE"""),"es")</f>
        <v>es</v>
      </c>
      <c r="D668" t="str">
        <f>IFERROR(__xludf.DUMMYFUNCTION("""COMPUTED_VALUE"""),"Universidad Java 2: Spring, Hibernate, Struts y más!")</f>
        <v>Universidad Java 2: Spring, Hibernate, Struts y más!</v>
      </c>
      <c r="E668" t="str">
        <f>IFERROR(__xludf.DUMMYFUNCTION("""COMPUTED_VALUE"""),"Java University 2: Spring, Hibernate, Struts and more!")</f>
        <v>Java University 2: Spring, Hibernate, Struts and more!</v>
      </c>
      <c r="F668">
        <f>IFERROR(__xludf.DUMMYFUNCTION("""COMPUTED_VALUE"""),1435594.0)</f>
        <v>1435594</v>
      </c>
      <c r="G668" t="str">
        <f>IFERROR(__xludf.DUMMYFUNCTION("""COMPUTED_VALUE"""),"Global Mentoring Ing. Ubaldo Acosta")</f>
        <v>Global Mentoring Ing. Ubaldo Acosta</v>
      </c>
      <c r="H668" t="str">
        <f>IFERROR(__xludf.DUMMYFUNCTION("""COMPUTED_VALUE"""),"T&amp;S")</f>
        <v>T&amp;S</v>
      </c>
      <c r="I668" t="str">
        <f>IFERROR(__xludf.DUMMYFUNCTION("""COMPUTED_VALUE"""),"Development")</f>
        <v>Development</v>
      </c>
      <c r="J668" t="str">
        <f>IFERROR(__xludf.DUMMYFUNCTION("""COMPUTED_VALUE"""),"Programming Languages")</f>
        <v>Programming Languages</v>
      </c>
      <c r="K668">
        <f>IFERROR(__xludf.DUMMYFUNCTION("""COMPUTED_VALUE"""),1148468.0)</f>
        <v>1148468</v>
      </c>
      <c r="L668" s="140" t="str">
        <f>IFERROR(__xludf.DUMMYFUNCTION("""COMPUTED_VALUE"""),"Spring Boot 2 &amp; Spring MVC-Desarrollo web profesional(2021)")</f>
        <v>Spring Boot 2 &amp; Spring MVC-Desarrollo web profesional(2021)</v>
      </c>
      <c r="M668" s="140">
        <f>IFERROR(__xludf.DUMMYFUNCTION("""COMPUTED_VALUE"""),89186.0)</f>
        <v>89186</v>
      </c>
      <c r="N668" s="155" t="str">
        <f>IFERROR(__xludf.DUMMYFUNCTION("""COMPUTED_VALUE"""),"Aprende Spring Framework de la manera más simple en español")</f>
        <v>Aprende Spring Framework de la manera más simple en español</v>
      </c>
    </row>
    <row r="669">
      <c r="A669" s="143">
        <f>IFERROR(__xludf.DUMMYFUNCTION("""COMPUTED_VALUE"""),44440.0)</f>
        <v>44440</v>
      </c>
      <c r="B669">
        <f>IFERROR(__xludf.DUMMYFUNCTION("""COMPUTED_VALUE"""),2071191.0)</f>
        <v>2071191</v>
      </c>
      <c r="C669" t="str">
        <f>IFERROR(__xludf.DUMMYFUNCTION("""COMPUTED_VALUE"""),"es")</f>
        <v>es</v>
      </c>
      <c r="D669" t="str">
        <f>IFERROR(__xludf.DUMMYFUNCTION("""COMPUTED_VALUE"""),"Java Masterclass: De cero a Heroe en tiempo record")</f>
        <v>Java Masterclass: De cero a Heroe en tiempo record</v>
      </c>
      <c r="E669" t="str">
        <f>IFERROR(__xludf.DUMMYFUNCTION("""COMPUTED_VALUE"""),"Java Masterclass: from Zero to Hero in RECORD TIME")</f>
        <v>Java Masterclass: from Zero to Hero in RECORD TIME</v>
      </c>
      <c r="F669">
        <f>IFERROR(__xludf.DUMMYFUNCTION("""COMPUTED_VALUE"""),1435594.0)</f>
        <v>1435594</v>
      </c>
      <c r="G669" t="str">
        <f>IFERROR(__xludf.DUMMYFUNCTION("""COMPUTED_VALUE"""),"Global Mentoring Ing. Ubaldo Acosta")</f>
        <v>Global Mentoring Ing. Ubaldo Acosta</v>
      </c>
      <c r="H669" t="str">
        <f>IFERROR(__xludf.DUMMYFUNCTION("""COMPUTED_VALUE"""),"T&amp;S")</f>
        <v>T&amp;S</v>
      </c>
      <c r="I669" t="str">
        <f>IFERROR(__xludf.DUMMYFUNCTION("""COMPUTED_VALUE"""),"Development")</f>
        <v>Development</v>
      </c>
      <c r="J669" t="str">
        <f>IFERROR(__xludf.DUMMYFUNCTION("""COMPUTED_VALUE"""),"Programming Languages")</f>
        <v>Programming Languages</v>
      </c>
      <c r="K669">
        <f>IFERROR(__xludf.DUMMYFUNCTION("""COMPUTED_VALUE"""),802946.0)</f>
        <v>802946</v>
      </c>
      <c r="L669" s="140" t="str">
        <f>IFERROR(__xludf.DUMMYFUNCTION("""COMPUTED_VALUE"""),"Aprende Programación en Java (de Básico a Avanzado)")</f>
        <v>Aprende Programación en Java (de Básico a Avanzado)</v>
      </c>
      <c r="M669" s="140">
        <f>IFERROR(__xludf.DUMMYFUNCTION("""COMPUTED_VALUE"""),3078492.0)</f>
        <v>3078492</v>
      </c>
      <c r="N669" s="155" t="str">
        <f>IFERROR(__xludf.DUMMYFUNCTION("""COMPUTED_VALUE"""),"Máster Completo en Java de cero a experto con IntelliJ 2097")</f>
        <v>Máster Completo en Java de cero a experto con IntelliJ 2097</v>
      </c>
    </row>
    <row r="670">
      <c r="A670" s="143">
        <f>IFERROR(__xludf.DUMMYFUNCTION("""COMPUTED_VALUE"""),44440.0)</f>
        <v>44440</v>
      </c>
      <c r="B670">
        <f>IFERROR(__xludf.DUMMYFUNCTION("""COMPUTED_VALUE"""),2105384.0)</f>
        <v>2105384</v>
      </c>
      <c r="C670" t="str">
        <f>IFERROR(__xludf.DUMMYFUNCTION("""COMPUTED_VALUE"""),"es")</f>
        <v>es</v>
      </c>
      <c r="D670" t="str">
        <f>IFERROR(__xludf.DUMMYFUNCTION("""COMPUTED_VALUE"""),"Universidad Angular 2021 - De Cero a Experto en Angular!")</f>
        <v>Universidad Angular 2021 - De Cero a Experto en Angular!</v>
      </c>
      <c r="E670" t="str">
        <f>IFERROR(__xludf.DUMMYFUNCTION("""COMPUTED_VALUE"""),"Angular University 2021 - From zero to expert in angular!")</f>
        <v>Angular University 2021 - From zero to expert in angular!</v>
      </c>
      <c r="F670">
        <f>IFERROR(__xludf.DUMMYFUNCTION("""COMPUTED_VALUE"""),1435594.0)</f>
        <v>1435594</v>
      </c>
      <c r="G670" t="str">
        <f>IFERROR(__xludf.DUMMYFUNCTION("""COMPUTED_VALUE"""),"Global Mentoring Ing. Ubaldo Acosta")</f>
        <v>Global Mentoring Ing. Ubaldo Acosta</v>
      </c>
      <c r="H670" t="str">
        <f>IFERROR(__xludf.DUMMYFUNCTION("""COMPUTED_VALUE"""),"T&amp;S")</f>
        <v>T&amp;S</v>
      </c>
      <c r="I670" t="str">
        <f>IFERROR(__xludf.DUMMYFUNCTION("""COMPUTED_VALUE"""),"Development")</f>
        <v>Development</v>
      </c>
      <c r="J670" t="str">
        <f>IFERROR(__xludf.DUMMYFUNCTION("""COMPUTED_VALUE"""),"Programming Languages")</f>
        <v>Programming Languages</v>
      </c>
      <c r="K670">
        <f>IFERROR(__xludf.DUMMYFUNCTION("""COMPUTED_VALUE"""),3662358.0)</f>
        <v>3662358</v>
      </c>
      <c r="L670" s="140" t="str">
        <f>IFERROR(__xludf.DUMMYFUNCTION("""COMPUTED_VALUE"""),"Angular: De cero a experto - ( Edición 2021 )")</f>
        <v>Angular: De cero a experto - ( Edición 2021 )</v>
      </c>
      <c r="M670" s="140">
        <f>IFERROR(__xludf.DUMMYFUNCTION("""COMPUTED_VALUE"""),1156926.0)</f>
        <v>1156926</v>
      </c>
      <c r="N670" s="155" t="str">
        <f>IFERROR(__xludf.DUMMYFUNCTION("""COMPUTED_VALUE"""),"Curso de Angular 12 - Desde cero hasta profesional")</f>
        <v>Curso de Angular 12 - Desde cero hasta profesional</v>
      </c>
    </row>
    <row r="671">
      <c r="A671" s="143">
        <f>IFERROR(__xludf.DUMMYFUNCTION("""COMPUTED_VALUE"""),44440.0)</f>
        <v>44440</v>
      </c>
      <c r="B671">
        <f>IFERROR(__xludf.DUMMYFUNCTION("""COMPUTED_VALUE"""),2244912.0)</f>
        <v>2244912</v>
      </c>
      <c r="C671" t="str">
        <f>IFERROR(__xludf.DUMMYFUNCTION("""COMPUTED_VALUE"""),"es")</f>
        <v>es</v>
      </c>
      <c r="D671" t="str">
        <f>IFERROR(__xludf.DUMMYFUNCTION("""COMPUTED_VALUE"""),"Universidad JavaScript 2021 - De Cero a Experto JavaScript!")</f>
        <v>Universidad JavaScript 2021 - De Cero a Experto JavaScript!</v>
      </c>
      <c r="E671" t="str">
        <f>IFERROR(__xludf.DUMMYFUNCTION("""COMPUTED_VALUE"""),"University JavaScript 2021 - from Zero to Expert Javascript!")</f>
        <v>University JavaScript 2021 - from Zero to Expert Javascript!</v>
      </c>
      <c r="F671">
        <f>IFERROR(__xludf.DUMMYFUNCTION("""COMPUTED_VALUE"""),1435594.0)</f>
        <v>1435594</v>
      </c>
      <c r="G671" t="str">
        <f>IFERROR(__xludf.DUMMYFUNCTION("""COMPUTED_VALUE"""),"Global Mentoring Ing. Ubaldo Acosta")</f>
        <v>Global Mentoring Ing. Ubaldo Acosta</v>
      </c>
      <c r="H671" t="str">
        <f>IFERROR(__xludf.DUMMYFUNCTION("""COMPUTED_VALUE"""),"T&amp;S")</f>
        <v>T&amp;S</v>
      </c>
      <c r="I671" t="str">
        <f>IFERROR(__xludf.DUMMYFUNCTION("""COMPUTED_VALUE"""),"Development")</f>
        <v>Development</v>
      </c>
      <c r="J671" t="str">
        <f>IFERROR(__xludf.DUMMYFUNCTION("""COMPUTED_VALUE"""),"Programming Languages")</f>
        <v>Programming Languages</v>
      </c>
      <c r="K671">
        <f>IFERROR(__xludf.DUMMYFUNCTION("""COMPUTED_VALUE"""),1337000.0)</f>
        <v>1337000</v>
      </c>
      <c r="L671" s="140" t="str">
        <f>IFERROR(__xludf.DUMMYFUNCTION("""COMPUTED_VALUE"""),"Master en JavaScript: Aprender JS, jQuery, Angular, NodeJS")</f>
        <v>Master en JavaScript: Aprender JS, jQuery, Angular, NodeJS</v>
      </c>
      <c r="M671" s="140">
        <f>IFERROR(__xludf.DUMMYFUNCTION("""COMPUTED_VALUE"""),2680160.0)</f>
        <v>2680160</v>
      </c>
      <c r="N671" s="155" t="str">
        <f>IFERROR(__xludf.DUMMYFUNCTION("""COMPUTED_VALUE"""),"JavaScript Moderno: Guía para dominar el lenguaje")</f>
        <v>JavaScript Moderno: Guía para dominar el lenguaje</v>
      </c>
    </row>
    <row r="672">
      <c r="A672" s="143">
        <f>IFERROR(__xludf.DUMMYFUNCTION("""COMPUTED_VALUE"""),44440.0)</f>
        <v>44440</v>
      </c>
      <c r="B672">
        <f>IFERROR(__xludf.DUMMYFUNCTION("""COMPUTED_VALUE"""),2558556.0)</f>
        <v>2558556</v>
      </c>
      <c r="C672" t="str">
        <f>IFERROR(__xludf.DUMMYFUNCTION("""COMPUTED_VALUE"""),"es")</f>
        <v>es</v>
      </c>
      <c r="D672" t="str">
        <f>IFERROR(__xludf.DUMMYFUNCTION("""COMPUTED_VALUE"""),"Angular y Java EE - Conviértete en Java Full Stack Developer")</f>
        <v>Angular y Java EE - Conviértete en Java Full Stack Developer</v>
      </c>
      <c r="E672" t="str">
        <f>IFERROR(__xludf.DUMMYFUNCTION("""COMPUTED_VALUE"""),"Angular and Java EE - Become Java Full Stack Developer")</f>
        <v>Angular and Java EE - Become Java Full Stack Developer</v>
      </c>
      <c r="F672">
        <f>IFERROR(__xludf.DUMMYFUNCTION("""COMPUTED_VALUE"""),1435594.0)</f>
        <v>1435594</v>
      </c>
      <c r="G672" t="str">
        <f>IFERROR(__xludf.DUMMYFUNCTION("""COMPUTED_VALUE"""),"Global Mentoring Ing. Ubaldo Acosta")</f>
        <v>Global Mentoring Ing. Ubaldo Acosta</v>
      </c>
      <c r="H672" t="str">
        <f>IFERROR(__xludf.DUMMYFUNCTION("""COMPUTED_VALUE"""),"T&amp;S")</f>
        <v>T&amp;S</v>
      </c>
      <c r="I672" t="str">
        <f>IFERROR(__xludf.DUMMYFUNCTION("""COMPUTED_VALUE"""),"Development")</f>
        <v>Development</v>
      </c>
      <c r="J672" t="str">
        <f>IFERROR(__xludf.DUMMYFUNCTION("""COMPUTED_VALUE"""),"Programming Languages")</f>
        <v>Programming Languages</v>
      </c>
      <c r="K672">
        <f>IFERROR(__xludf.DUMMYFUNCTION("""COMPUTED_VALUE"""),1478318.0)</f>
        <v>1478318</v>
      </c>
      <c r="L672" s="140" t="str">
        <f>IFERROR(__xludf.DUMMYFUNCTION("""COMPUTED_VALUE"""),"Club Java Master: De Novato a Experto Java. +80 hrs")</f>
        <v>Club Java Master: De Novato a Experto Java. +80 hrs</v>
      </c>
      <c r="M672" s="155">
        <f>IFERROR(__xludf.DUMMYFUNCTION("""COMPUTED_VALUE"""),802946.0)</f>
        <v>802946</v>
      </c>
      <c r="N672" s="140" t="str">
        <f>IFERROR(__xludf.DUMMYFUNCTION("""COMPUTED_VALUE"""),"Aprende Programación en Java (de Básico a Avanzado)")</f>
        <v>Aprende Programación en Java (de Básico a Avanzado)</v>
      </c>
    </row>
    <row r="673">
      <c r="A673" s="143">
        <f>IFERROR(__xludf.DUMMYFUNCTION("""COMPUTED_VALUE"""),44440.0)</f>
        <v>44440</v>
      </c>
      <c r="B673">
        <f>IFERROR(__xludf.DUMMYFUNCTION("""COMPUTED_VALUE"""),2675212.0)</f>
        <v>2675212</v>
      </c>
      <c r="C673" t="str">
        <f>IFERROR(__xludf.DUMMYFUNCTION("""COMPUTED_VALUE"""),"es")</f>
        <v>es</v>
      </c>
      <c r="D673" t="str">
        <f>IFERROR(__xludf.DUMMYFUNCTION("""COMPUTED_VALUE"""),"Programacion Orientada a Objetos con Java y Netbeans")</f>
        <v>Programacion Orientada a Objetos con Java y Netbeans</v>
      </c>
      <c r="E673" t="str">
        <f>IFERROR(__xludf.DUMMYFUNCTION("""COMPUTED_VALUE"""),"Object-oriented programming with Java and NetBeans")</f>
        <v>Object-oriented programming with Java and NetBeans</v>
      </c>
      <c r="F673">
        <f>IFERROR(__xludf.DUMMYFUNCTION("""COMPUTED_VALUE"""),1435594.0)</f>
        <v>1435594</v>
      </c>
      <c r="G673" t="str">
        <f>IFERROR(__xludf.DUMMYFUNCTION("""COMPUTED_VALUE"""),"Global Mentoring Ing. Ubaldo Acosta")</f>
        <v>Global Mentoring Ing. Ubaldo Acosta</v>
      </c>
      <c r="H673" t="str">
        <f>IFERROR(__xludf.DUMMYFUNCTION("""COMPUTED_VALUE"""),"T&amp;S")</f>
        <v>T&amp;S</v>
      </c>
      <c r="I673" t="str">
        <f>IFERROR(__xludf.DUMMYFUNCTION("""COMPUTED_VALUE"""),"Development")</f>
        <v>Development</v>
      </c>
      <c r="J673" t="str">
        <f>IFERROR(__xludf.DUMMYFUNCTION("""COMPUTED_VALUE"""),"Programming Languages")</f>
        <v>Programming Languages</v>
      </c>
      <c r="K673">
        <f>IFERROR(__xludf.DUMMYFUNCTION("""COMPUTED_VALUE"""),2773566.0)</f>
        <v>2773566</v>
      </c>
      <c r="L673" s="140" t="str">
        <f>IFERROR(__xludf.DUMMYFUNCTION("""COMPUTED_VALUE"""),"Desarrolla sistemas en Java, MySQL, DAO, POO, Swing, 3 Capas")</f>
        <v>Desarrolla sistemas en Java, MySQL, DAO, POO, Swing, 3 Capas</v>
      </c>
      <c r="M673" s="140">
        <f>IFERROR(__xludf.DUMMYFUNCTION("""COMPUTED_VALUE"""),3078492.0)</f>
        <v>3078492</v>
      </c>
      <c r="N673" s="155" t="str">
        <f>IFERROR(__xludf.DUMMYFUNCTION("""COMPUTED_VALUE"""),"Máster Completo en Java de cero a experto con IntelliJ 2087")</f>
        <v>Máster Completo en Java de cero a experto con IntelliJ 2087</v>
      </c>
    </row>
    <row r="674">
      <c r="A674" s="143">
        <f>IFERROR(__xludf.DUMMYFUNCTION("""COMPUTED_VALUE"""),44440.0)</f>
        <v>44440</v>
      </c>
      <c r="B674">
        <f>IFERROR(__xludf.DUMMYFUNCTION("""COMPUTED_VALUE"""),2823069.0)</f>
        <v>2823069</v>
      </c>
      <c r="C674" t="str">
        <f>IFERROR(__xludf.DUMMYFUNCTION("""COMPUTED_VALUE"""),"es")</f>
        <v>es</v>
      </c>
      <c r="D674" t="str">
        <f>IFERROR(__xludf.DUMMYFUNCTION("""COMPUTED_VALUE"""),"Universidad Spring 2021 - Spring Framework y Spring Boot!")</f>
        <v>Universidad Spring 2021 - Spring Framework y Spring Boot!</v>
      </c>
      <c r="E674" t="str">
        <f>IFERROR(__xludf.DUMMYFUNCTION("""COMPUTED_VALUE"""),"Universidad Spring 2021 - Spring Framework y Spring Boot!")</f>
        <v>Universidad Spring 2021 - Spring Framework y Spring Boot!</v>
      </c>
      <c r="F674">
        <f>IFERROR(__xludf.DUMMYFUNCTION("""COMPUTED_VALUE"""),1435594.0)</f>
        <v>1435594</v>
      </c>
      <c r="G674" t="str">
        <f>IFERROR(__xludf.DUMMYFUNCTION("""COMPUTED_VALUE"""),"Global Mentoring Ing. Ubaldo Acosta")</f>
        <v>Global Mentoring Ing. Ubaldo Acosta</v>
      </c>
      <c r="H674" t="str">
        <f>IFERROR(__xludf.DUMMYFUNCTION("""COMPUTED_VALUE"""),"T&amp;S")</f>
        <v>T&amp;S</v>
      </c>
      <c r="I674" t="str">
        <f>IFERROR(__xludf.DUMMYFUNCTION("""COMPUTED_VALUE"""),"Development")</f>
        <v>Development</v>
      </c>
      <c r="J674" t="str">
        <f>IFERROR(__xludf.DUMMYFUNCTION("""COMPUTED_VALUE"""),"Programming Languages")</f>
        <v>Programming Languages</v>
      </c>
      <c r="K674">
        <f>IFERROR(__xludf.DUMMYFUNCTION("""COMPUTED_VALUE"""),1388250.0)</f>
        <v>1388250</v>
      </c>
      <c r="L674" s="140" t="str">
        <f>IFERROR(__xludf.DUMMYFUNCTION("""COMPUTED_VALUE"""),"Spring Framework 5: Creando webapp de cero a experto 2021")</f>
        <v>Spring Framework 5: Creando webapp de cero a experto 2021</v>
      </c>
      <c r="M674" s="140">
        <f>IFERROR(__xludf.DUMMYFUNCTION("""COMPUTED_VALUE"""),1148468.0)</f>
        <v>1148468</v>
      </c>
      <c r="N674" s="155" t="str">
        <f>IFERROR(__xludf.DUMMYFUNCTION("""COMPUTED_VALUE"""),"Spring Boot 2 &amp; Spring MVC-Desarrollo web profesional(2021)")</f>
        <v>Spring Boot 2 &amp; Spring MVC-Desarrollo web profesional(2021)</v>
      </c>
    </row>
    <row r="675">
      <c r="A675" s="143">
        <f>IFERROR(__xludf.DUMMYFUNCTION("""COMPUTED_VALUE"""),44440.0)</f>
        <v>44440</v>
      </c>
      <c r="B675">
        <f>IFERROR(__xludf.DUMMYFUNCTION("""COMPUTED_VALUE"""),2867812.0)</f>
        <v>2867812</v>
      </c>
      <c r="C675" t="str">
        <f>IFERROR(__xludf.DUMMYFUNCTION("""COMPUTED_VALUE"""),"es")</f>
        <v>es</v>
      </c>
      <c r="D675" t="str">
        <f>IFERROR(__xludf.DUMMYFUNCTION("""COMPUTED_VALUE"""),"Universidad Python  2021 - POO, Django, Flask y Postgresql")</f>
        <v>Universidad Python  2021 - POO, Django, Flask y Postgresql</v>
      </c>
      <c r="E675" t="str">
        <f>IFERROR(__xludf.DUMMYFUNCTION("""COMPUTED_VALUE"""),"Python University 2021 - Poo, Django, Flask and PostgreSQL")</f>
        <v>Python University 2021 - Poo, Django, Flask and PostgreSQL</v>
      </c>
      <c r="F675">
        <f>IFERROR(__xludf.DUMMYFUNCTION("""COMPUTED_VALUE"""),1435594.0)</f>
        <v>1435594</v>
      </c>
      <c r="G675" t="str">
        <f>IFERROR(__xludf.DUMMYFUNCTION("""COMPUTED_VALUE"""),"Global Mentoring Ing. Ubaldo Acosta")</f>
        <v>Global Mentoring Ing. Ubaldo Acosta</v>
      </c>
      <c r="H675" t="str">
        <f>IFERROR(__xludf.DUMMYFUNCTION("""COMPUTED_VALUE"""),"T&amp;S")</f>
        <v>T&amp;S</v>
      </c>
      <c r="I675" t="str">
        <f>IFERROR(__xludf.DUMMYFUNCTION("""COMPUTED_VALUE"""),"Development")</f>
        <v>Development</v>
      </c>
      <c r="J675" t="str">
        <f>IFERROR(__xludf.DUMMYFUNCTION("""COMPUTED_VALUE"""),"Programming Languages")</f>
        <v>Programming Languages</v>
      </c>
      <c r="K675">
        <f>IFERROR(__xludf.DUMMYFUNCTION("""COMPUTED_VALUE"""),2264216.0)</f>
        <v>2264216</v>
      </c>
      <c r="L675" s="140" t="str">
        <f>IFERROR(__xludf.DUMMYFUNCTION("""COMPUTED_VALUE"""),"Master en Python: Aprender Python 3, Django, Flask y Tkinter")</f>
        <v>Master en Python: Aprender Python 3, Django, Flask y Tkinter</v>
      </c>
      <c r="M675" s="140">
        <f>IFERROR(__xludf.DUMMYFUNCTION("""COMPUTED_VALUE"""),2697582.0)</f>
        <v>2697582</v>
      </c>
      <c r="N675" s="155" t="str">
        <f>IFERROR(__xludf.DUMMYFUNCTION("""COMPUTED_VALUE"""),"Flask con Python 3 + integración con Vue y Bootstrap 4")</f>
        <v>Flask con Python 3 + integración con Vue y Bootstrap 4</v>
      </c>
    </row>
    <row r="676">
      <c r="A676" s="143">
        <f>IFERROR(__xludf.DUMMYFUNCTION("""COMPUTED_VALUE"""),44440.0)</f>
        <v>44440</v>
      </c>
      <c r="B676">
        <f>IFERROR(__xludf.DUMMYFUNCTION("""COMPUTED_VALUE"""),3895716.0)</f>
        <v>3895716</v>
      </c>
      <c r="C676" t="str">
        <f>IFERROR(__xludf.DUMMYFUNCTION("""COMPUTED_VALUE"""),"es")</f>
        <v>es</v>
      </c>
      <c r="D676" t="str">
        <f>IFERROR(__xludf.DUMMYFUNCTION("""COMPUTED_VALUE"""),"Universidad Desarrollo Web 2021 - FrontEnd Web Developer!")</f>
        <v>Universidad Desarrollo Web 2021 - FrontEnd Web Developer!</v>
      </c>
      <c r="E676" t="str">
        <f>IFERROR(__xludf.DUMMYFUNCTION("""COMPUTED_VALUE"""),"University Web Development 2021 - Frontend Web Developer!")</f>
        <v>University Web Development 2021 - Frontend Web Developer!</v>
      </c>
      <c r="F676">
        <f>IFERROR(__xludf.DUMMYFUNCTION("""COMPUTED_VALUE"""),1435594.0)</f>
        <v>1435594</v>
      </c>
      <c r="G676" t="str">
        <f>IFERROR(__xludf.DUMMYFUNCTION("""COMPUTED_VALUE"""),"Global Mentoring Ing. Ubaldo Acosta")</f>
        <v>Global Mentoring Ing. Ubaldo Acosta</v>
      </c>
      <c r="H676" t="str">
        <f>IFERROR(__xludf.DUMMYFUNCTION("""COMPUTED_VALUE"""),"T&amp;S")</f>
        <v>T&amp;S</v>
      </c>
      <c r="I676" t="str">
        <f>IFERROR(__xludf.DUMMYFUNCTION("""COMPUTED_VALUE"""),"Development")</f>
        <v>Development</v>
      </c>
      <c r="J676" t="str">
        <f>IFERROR(__xludf.DUMMYFUNCTION("""COMPUTED_VALUE"""),"Programming Languages")</f>
        <v>Programming Languages</v>
      </c>
      <c r="K676">
        <f>IFERROR(__xludf.DUMMYFUNCTION("""COMPUTED_VALUE"""),980450.0)</f>
        <v>980450</v>
      </c>
      <c r="L676" s="140" t="str">
        <f>IFERROR(__xludf.DUMMYFUNCTION("""COMPUTED_VALUE"""),"Desarrollo Web Completo con HTML5, CSS3, JS AJAX PHP y MySQL")</f>
        <v>Desarrollo Web Completo con HTML5, CSS3, JS AJAX PHP y MySQL</v>
      </c>
      <c r="M676" s="140">
        <f>IFERROR(__xludf.DUMMYFUNCTION("""COMPUTED_VALUE"""),782428.0)</f>
        <v>782428</v>
      </c>
      <c r="N676" s="155" t="str">
        <f>IFERROR(__xludf.DUMMYFUNCTION("""COMPUTED_VALUE"""),"Diseño Web Profesional El Curso Completo, Práctico y desde 0")</f>
        <v>Diseño Web Profesional El Curso Completo, Práctico y desde 0</v>
      </c>
    </row>
    <row r="677">
      <c r="A677" s="143">
        <f>IFERROR(__xludf.DUMMYFUNCTION("""COMPUTED_VALUE"""),44441.0)</f>
        <v>44441</v>
      </c>
      <c r="B677">
        <f>IFERROR(__xludf.DUMMYFUNCTION("""COMPUTED_VALUE"""),1601592.0)</f>
        <v>1601592</v>
      </c>
      <c r="C677" t="str">
        <f>IFERROR(__xludf.DUMMYFUNCTION("""COMPUTED_VALUE"""),"en")</f>
        <v>en</v>
      </c>
      <c r="D677" t="str">
        <f>IFERROR(__xludf.DUMMYFUNCTION("""COMPUTED_VALUE"""),"Flute : Beginners Indian Course LEVEL 1	")</f>
        <v>Flute : Beginners Indian Course LEVEL 1	</v>
      </c>
      <c r="E677" t="str">
        <f>IFERROR(__xludf.DUMMYFUNCTION("""COMPUTED_VALUE"""),"Flute : Beginners Indian Course LEVEL 1	")</f>
        <v>Flute : Beginners Indian Course LEVEL 1	</v>
      </c>
      <c r="F677">
        <f>IFERROR(__xludf.DUMMYFUNCTION("""COMPUTED_VALUE"""),4.5668526E7)</f>
        <v>45668526</v>
      </c>
      <c r="G677" t="str">
        <f>IFERROR(__xludf.DUMMYFUNCTION("""COMPUTED_VALUE"""),"MILIND DANGRE , India. G - Synth Musica , Flute Learning Institute	")</f>
        <v>MILIND DANGRE , India. G - Synth Musica , Flute Learning Institute	</v>
      </c>
      <c r="H677" t="str">
        <f>IFERROR(__xludf.DUMMYFUNCTION("""COMPUTED_VALUE"""),"Taught in another language")</f>
        <v>Taught in another language</v>
      </c>
      <c r="I677" t="str">
        <f>IFERROR(__xludf.DUMMYFUNCTION("""COMPUTED_VALUE"""),"Personal Development")</f>
        <v>Personal Development</v>
      </c>
      <c r="J677" t="str">
        <f>IFERROR(__xludf.DUMMYFUNCTION("""COMPUTED_VALUE"""),"Personal Growth")</f>
        <v>Personal Growth</v>
      </c>
    </row>
    <row r="678">
      <c r="A678" s="143">
        <f>IFERROR(__xludf.DUMMYFUNCTION("""COMPUTED_VALUE"""),44453.0)</f>
        <v>44453</v>
      </c>
      <c r="B678">
        <f>IFERROR(__xludf.DUMMYFUNCTION("""COMPUTED_VALUE"""),615778.0)</f>
        <v>615778</v>
      </c>
      <c r="C678" t="str">
        <f>IFERROR(__xludf.DUMMYFUNCTION("""COMPUTED_VALUE"""),"en")</f>
        <v>en</v>
      </c>
      <c r="D678" t="str">
        <f>IFERROR(__xludf.DUMMYFUNCTION("""COMPUTED_VALUE"""),"Periscope: Use Periscope To Grow Your Business")</f>
        <v>Periscope: Use Periscope To Grow Your Business</v>
      </c>
      <c r="E678" t="str">
        <f>IFERROR(__xludf.DUMMYFUNCTION("""COMPUTED_VALUE"""),"Periscope: Use Periscope To Grow Your Business")</f>
        <v>Periscope: Use Periscope To Grow Your Business</v>
      </c>
      <c r="F678">
        <f>IFERROR(__xludf.DUMMYFUNCTION("""COMPUTED_VALUE"""),801404.0)</f>
        <v>801404</v>
      </c>
      <c r="G678" t="str">
        <f>IFERROR(__xludf.DUMMYFUNCTION("""COMPUTED_VALUE"""),"Diego Davila")</f>
        <v>Diego Davila</v>
      </c>
      <c r="H678" t="str">
        <f>IFERROR(__xludf.DUMMYFUNCTION("""COMPUTED_VALUE"""),"Outdated")</f>
        <v>Outdated</v>
      </c>
      <c r="I678" s="142" t="str">
        <f>IFERROR(__xludf.DUMMYFUNCTION("""COMPUTED_VALUE"""),"Marketing")</f>
        <v>Marketing</v>
      </c>
      <c r="J678" s="142" t="str">
        <f>IFERROR(__xludf.DUMMYFUNCTION("""COMPUTED_VALUE"""),"Social Media Marketing")</f>
        <v>Social Media Marketing</v>
      </c>
      <c r="K678" s="140">
        <f>IFERROR(__xludf.DUMMYFUNCTION("""COMPUTED_VALUE"""),1406996.0)</f>
        <v>1406996</v>
      </c>
      <c r="L678" s="140" t="str">
        <f>IFERROR(__xludf.DUMMYFUNCTION("""COMPUTED_VALUE"""),"")</f>
        <v/>
      </c>
    </row>
    <row r="679">
      <c r="A679" s="143">
        <f>IFERROR(__xludf.DUMMYFUNCTION("""COMPUTED_VALUE"""),44462.0)</f>
        <v>44462</v>
      </c>
      <c r="B679">
        <f>IFERROR(__xludf.DUMMYFUNCTION("""COMPUTED_VALUE"""),2537858.0)</f>
        <v>2537858</v>
      </c>
      <c r="C679" t="str">
        <f>IFERROR(__xludf.DUMMYFUNCTION("""COMPUTED_VALUE"""),"en")</f>
        <v>en</v>
      </c>
      <c r="D679" t="str">
        <f>IFERROR(__xludf.DUMMYFUNCTION("""COMPUTED_VALUE"""),"Azure Data Engineer Technologies for Beginners [Bundle]")</f>
        <v>Azure Data Engineer Technologies for Beginners [Bundle]</v>
      </c>
      <c r="E679" t="str">
        <f>IFERROR(__xludf.DUMMYFUNCTION("""COMPUTED_VALUE"""),"Azure Data Engineer Technologies for Beginners [Bundle]")</f>
        <v>Azure Data Engineer Technologies for Beginners [Bundle]</v>
      </c>
      <c r="F679">
        <f>IFERROR(__xludf.DUMMYFUNCTION("""COMPUTED_VALUE"""),4.0866532E7)</f>
        <v>40866532</v>
      </c>
      <c r="G679" t="str">
        <f>IFERROR(__xludf.DUMMYFUNCTION("""COMPUTED_VALUE"""),"Eshant Garg | AWS Certified Cloud Practitioner | LearnCloud.Info | 100,000+ Enrollments")</f>
        <v>Eshant Garg | AWS Certified Cloud Practitioner | LearnCloud.Info | 100,000+ Enrollments</v>
      </c>
      <c r="H679" t="str">
        <f>IFERROR(__xludf.DUMMYFUNCTION("""COMPUTED_VALUE"""),"T&amp;S")</f>
        <v>T&amp;S</v>
      </c>
      <c r="I679" t="str">
        <f>IFERROR(__xludf.DUMMYFUNCTION("""COMPUTED_VALUE"""),"Cloud Computing")</f>
        <v>Cloud Computing</v>
      </c>
      <c r="J679" t="str">
        <f>IFERROR(__xludf.DUMMYFUNCTION("""COMPUTED_VALUE"""),"Cloud Development")</f>
        <v>Cloud Development</v>
      </c>
      <c r="K679">
        <f>IFERROR(__xludf.DUMMYFUNCTION("""COMPUTED_VALUE"""),2392642.0)</f>
        <v>2392642</v>
      </c>
      <c r="L679" s="140" t="str">
        <f>IFERROR(__xludf.DUMMYFUNCTION("""COMPUTED_VALUE"""),"Introduction to Azure SQL Database for Beginners")</f>
        <v>Introduction to Azure SQL Database for Beginners</v>
      </c>
      <c r="M679" s="155">
        <f>IFERROR(__xludf.DUMMYFUNCTION("""COMPUTED_VALUE"""),3685634.0)</f>
        <v>3685634</v>
      </c>
      <c r="N679" s="140" t="str">
        <f>IFERROR(__xludf.DUMMYFUNCTION("""COMPUTED_VALUE"""),"Azure Data Factory For Data Engineers - Project on Covid19	")</f>
        <v>Azure Data Factory For Data Engineers - Project on Covid19	</v>
      </c>
    </row>
    <row r="680">
      <c r="A680" s="143">
        <f>IFERROR(__xludf.DUMMYFUNCTION("""COMPUTED_VALUE"""),44462.0)</f>
        <v>44462</v>
      </c>
      <c r="B680">
        <f>IFERROR(__xludf.DUMMYFUNCTION("""COMPUTED_VALUE"""),2891890.0)</f>
        <v>2891890</v>
      </c>
      <c r="C680" t="str">
        <f>IFERROR(__xludf.DUMMYFUNCTION("""COMPUTED_VALUE"""),"en")</f>
        <v>en</v>
      </c>
      <c r="D680" t="str">
        <f>IFERROR(__xludf.DUMMYFUNCTION("""COMPUTED_VALUE"""),"Azure SQL Data Warehouse Synapse Analytics Service")</f>
        <v>Azure SQL Data Warehouse Synapse Analytics Service</v>
      </c>
      <c r="E680" t="str">
        <f>IFERROR(__xludf.DUMMYFUNCTION("""COMPUTED_VALUE"""),"Azure SQL Data Warehouse Synapse Analytics Service")</f>
        <v>Azure SQL Data Warehouse Synapse Analytics Service</v>
      </c>
      <c r="F680">
        <f>IFERROR(__xludf.DUMMYFUNCTION("""COMPUTED_VALUE"""),4.0866532E7)</f>
        <v>40866532</v>
      </c>
      <c r="G680" t="str">
        <f>IFERROR(__xludf.DUMMYFUNCTION("""COMPUTED_VALUE"""),"Eshant Garg | AWS Certified Cloud Practitioner | LearnCloud.Info | 100,000+ Enrollments")</f>
        <v>Eshant Garg | AWS Certified Cloud Practitioner | LearnCloud.Info | 100,000+ Enrollments</v>
      </c>
      <c r="H680" t="str">
        <f>IFERROR(__xludf.DUMMYFUNCTION("""COMPUTED_VALUE"""),"T&amp;S")</f>
        <v>T&amp;S</v>
      </c>
      <c r="I680" t="str">
        <f>IFERROR(__xludf.DUMMYFUNCTION("""COMPUTED_VALUE"""),"Development")</f>
        <v>Development</v>
      </c>
      <c r="J680" t="str">
        <f>IFERROR(__xludf.DUMMYFUNCTION("""COMPUTED_VALUE"""),"Database Design &amp; Development")</f>
        <v>Database Design &amp; Development</v>
      </c>
      <c r="K680">
        <f>IFERROR(__xludf.DUMMYFUNCTION("""COMPUTED_VALUE"""),3611140.0)</f>
        <v>3611140</v>
      </c>
      <c r="L680" s="140" t="str">
        <f>IFERROR(__xludf.DUMMYFUNCTION("""COMPUTED_VALUE"""),"DP-900 Microsoft Azure Data Fundamentals Certification 2021")</f>
        <v>DP-900 Microsoft Azure Data Fundamentals Certification 2021</v>
      </c>
      <c r="M680" s="155">
        <f>IFERROR(__xludf.DUMMYFUNCTION("""COMPUTED_VALUE"""),4160316.0)</f>
        <v>4160316</v>
      </c>
      <c r="N680" s="140" t="str">
        <f>IFERROR(__xludf.DUMMYFUNCTION("""COMPUTED_VALUE"""),"DP-203 - Data Engineering on Microsoft Azure 2021")</f>
        <v>DP-203 - Data Engineering on Microsoft Azure 2021</v>
      </c>
    </row>
    <row r="681">
      <c r="A681" s="143">
        <f>IFERROR(__xludf.DUMMYFUNCTION("""COMPUTED_VALUE"""),44462.0)</f>
        <v>44462</v>
      </c>
      <c r="B681">
        <f>IFERROR(__xludf.DUMMYFUNCTION("""COMPUTED_VALUE"""),3108680.0)</f>
        <v>3108680</v>
      </c>
      <c r="C681" t="str">
        <f>IFERROR(__xludf.DUMMYFUNCTION("""COMPUTED_VALUE"""),"en")</f>
        <v>en</v>
      </c>
      <c r="D681" t="str">
        <f>IFERROR(__xludf.DUMMYFUNCTION("""COMPUTED_VALUE"""),"Microsoft Azure Data Lake Storage Service (Gen1 &amp; Gen2)")</f>
        <v>Microsoft Azure Data Lake Storage Service (Gen1 &amp; Gen2)</v>
      </c>
      <c r="E681" t="str">
        <f>IFERROR(__xludf.DUMMYFUNCTION("""COMPUTED_VALUE"""),"Microsoft Azure Data Lake Storage Service (Gen1 &amp; Gen2)")</f>
        <v>Microsoft Azure Data Lake Storage Service (Gen1 &amp; Gen2)</v>
      </c>
      <c r="F681">
        <f>IFERROR(__xludf.DUMMYFUNCTION("""COMPUTED_VALUE"""),4.0866532E7)</f>
        <v>40866532</v>
      </c>
      <c r="G681" t="str">
        <f>IFERROR(__xludf.DUMMYFUNCTION("""COMPUTED_VALUE"""),"Eshant Garg | AWS Certified Cloud Practitioner | LearnCloud.Info | 100,000+ Enrollments")</f>
        <v>Eshant Garg | AWS Certified Cloud Practitioner | LearnCloud.Info | 100,000+ Enrollments</v>
      </c>
      <c r="H681" t="str">
        <f>IFERROR(__xludf.DUMMYFUNCTION("""COMPUTED_VALUE"""),"T&amp;S")</f>
        <v>T&amp;S</v>
      </c>
      <c r="I681" t="str">
        <f>IFERROR(__xludf.DUMMYFUNCTION("""COMPUTED_VALUE"""),"Cloud Computing")</f>
        <v>Cloud Computing</v>
      </c>
      <c r="J681" t="str">
        <f>IFERROR(__xludf.DUMMYFUNCTION("""COMPUTED_VALUE"""),"Cloud Development")</f>
        <v>Cloud Development</v>
      </c>
      <c r="K681">
        <f>IFERROR(__xludf.DUMMYFUNCTION("""COMPUTED_VALUE"""),3685634.0)</f>
        <v>3685634</v>
      </c>
      <c r="L681" s="140" t="str">
        <f>IFERROR(__xludf.DUMMYFUNCTION("""COMPUTED_VALUE"""),"Azure Data Factory For Data Engineers - Project on Covid19")</f>
        <v>Azure Data Factory For Data Engineers - Project on Covid19</v>
      </c>
      <c r="M681" s="155">
        <f>IFERROR(__xludf.DUMMYFUNCTION("""COMPUTED_VALUE"""),4160316.0)</f>
        <v>4160316</v>
      </c>
      <c r="N681" s="140" t="str">
        <f>IFERROR(__xludf.DUMMYFUNCTION("""COMPUTED_VALUE"""),"DP-203 - Data Engineering on Microsoft Azure 2021")</f>
        <v>DP-203 - Data Engineering on Microsoft Azure 2021</v>
      </c>
    </row>
    <row r="682">
      <c r="A682" s="143">
        <f>IFERROR(__xludf.DUMMYFUNCTION("""COMPUTED_VALUE"""),44462.0)</f>
        <v>44462</v>
      </c>
      <c r="B682">
        <f>IFERROR(__xludf.DUMMYFUNCTION("""COMPUTED_VALUE"""),3296346.0)</f>
        <v>3296346</v>
      </c>
      <c r="C682" t="str">
        <f>IFERROR(__xludf.DUMMYFUNCTION("""COMPUTED_VALUE"""),"en")</f>
        <v>en</v>
      </c>
      <c r="D682" t="str">
        <f>IFERROR(__xludf.DUMMYFUNCTION("""COMPUTED_VALUE"""),"Learn Azure Cosmos DB basics this weekend in 3 hour")</f>
        <v>Learn Azure Cosmos DB basics this weekend in 3 hour</v>
      </c>
      <c r="E682" t="str">
        <f>IFERROR(__xludf.DUMMYFUNCTION("""COMPUTED_VALUE"""),"Learn Azure Cosmos DB basics this weekend in 3 hour")</f>
        <v>Learn Azure Cosmos DB basics this weekend in 3 hour</v>
      </c>
      <c r="F682">
        <f>IFERROR(__xludf.DUMMYFUNCTION("""COMPUTED_VALUE"""),4.0866532E7)</f>
        <v>40866532</v>
      </c>
      <c r="G682" t="str">
        <f>IFERROR(__xludf.DUMMYFUNCTION("""COMPUTED_VALUE"""),"Eshant Garg | AWS Certified Cloud Practitioner | LearnCloud.Info | 100,000+ Enrollments")</f>
        <v>Eshant Garg | AWS Certified Cloud Practitioner | LearnCloud.Info | 100,000+ Enrollments</v>
      </c>
      <c r="H682" t="str">
        <f>IFERROR(__xludf.DUMMYFUNCTION("""COMPUTED_VALUE"""),"T&amp;S")</f>
        <v>T&amp;S</v>
      </c>
      <c r="I682" t="str">
        <f>IFERROR(__xludf.DUMMYFUNCTION("""COMPUTED_VALUE"""),"Cloud Computing")</f>
        <v>Cloud Computing</v>
      </c>
      <c r="J682" t="str">
        <f>IFERROR(__xludf.DUMMYFUNCTION("""COMPUTED_VALUE"""),"Cloud Development")</f>
        <v>Cloud Development</v>
      </c>
    </row>
    <row r="683">
      <c r="A683" s="143">
        <f>IFERROR(__xludf.DUMMYFUNCTION("""COMPUTED_VALUE"""),44462.0)</f>
        <v>44462</v>
      </c>
      <c r="B683">
        <f>IFERROR(__xludf.DUMMYFUNCTION("""COMPUTED_VALUE"""),3377424.0)</f>
        <v>3377424</v>
      </c>
      <c r="C683" t="str">
        <f>IFERROR(__xludf.DUMMYFUNCTION("""COMPUTED_VALUE"""),"en")</f>
        <v>en</v>
      </c>
      <c r="D683" t="str">
        <f>IFERROR(__xludf.DUMMYFUNCTION("""COMPUTED_VALUE"""),"DP-203: Data Engineering on Microsoft Azure + Practice Tests")</f>
        <v>DP-203: Data Engineering on Microsoft Azure + Practice Tests</v>
      </c>
      <c r="E683" t="str">
        <f>IFERROR(__xludf.DUMMYFUNCTION("""COMPUTED_VALUE"""),"DP-203: Data Engineering on Microsoft Azure + Practice Tests")</f>
        <v>DP-203: Data Engineering on Microsoft Azure + Practice Tests</v>
      </c>
      <c r="F683">
        <f>IFERROR(__xludf.DUMMYFUNCTION("""COMPUTED_VALUE"""),4.0866532E7)</f>
        <v>40866532</v>
      </c>
      <c r="G683" t="str">
        <f>IFERROR(__xludf.DUMMYFUNCTION("""COMPUTED_VALUE"""),"Eshant Garg | AWS Certified Cloud Practitioner | LearnCloud.Info | 100,000+ Enrollments")</f>
        <v>Eshant Garg | AWS Certified Cloud Practitioner | LearnCloud.Info | 100,000+ Enrollments</v>
      </c>
      <c r="H683" t="str">
        <f>IFERROR(__xludf.DUMMYFUNCTION("""COMPUTED_VALUE"""),"T&amp;S")</f>
        <v>T&amp;S</v>
      </c>
      <c r="I683" t="str">
        <f>IFERROR(__xludf.DUMMYFUNCTION("""COMPUTED_VALUE"""),"IT Operations")</f>
        <v>IT Operations</v>
      </c>
      <c r="J683" t="str">
        <f>IFERROR(__xludf.DUMMYFUNCTION("""COMPUTED_VALUE"""),"IT Certifications")</f>
        <v>IT Certifications</v>
      </c>
    </row>
    <row r="684">
      <c r="A684" s="143">
        <f>IFERROR(__xludf.DUMMYFUNCTION("""COMPUTED_VALUE"""),44462.0)</f>
        <v>44462</v>
      </c>
      <c r="B684">
        <f>IFERROR(__xludf.DUMMYFUNCTION("""COMPUTED_VALUE"""),3469954.0)</f>
        <v>3469954</v>
      </c>
      <c r="C684" t="str">
        <f>IFERROR(__xludf.DUMMYFUNCTION("""COMPUTED_VALUE"""),"en")</f>
        <v>en</v>
      </c>
      <c r="D684" t="str">
        <f>IFERROR(__xludf.DUMMYFUNCTION("""COMPUTED_VALUE"""),"Design and Implement Cloud Data Solutions")</f>
        <v>Design and Implement Cloud Data Solutions</v>
      </c>
      <c r="E684" t="str">
        <f>IFERROR(__xludf.DUMMYFUNCTION("""COMPUTED_VALUE"""),"Design and Implement Cloud Data Solutions")</f>
        <v>Design and Implement Cloud Data Solutions</v>
      </c>
      <c r="F684">
        <f>IFERROR(__xludf.DUMMYFUNCTION("""COMPUTED_VALUE"""),4.0866532E7)</f>
        <v>40866532</v>
      </c>
      <c r="G684" t="str">
        <f>IFERROR(__xludf.DUMMYFUNCTION("""COMPUTED_VALUE"""),"Eshant Garg | AWS Certified Cloud Practitioner | LearnCloud.Info | 100,000+ Enrollments")</f>
        <v>Eshant Garg | AWS Certified Cloud Practitioner | LearnCloud.Info | 100,000+ Enrollments</v>
      </c>
      <c r="H684" t="str">
        <f>IFERROR(__xludf.DUMMYFUNCTION("""COMPUTED_VALUE"""),"T&amp;S")</f>
        <v>T&amp;S</v>
      </c>
      <c r="I684" t="str">
        <f>IFERROR(__xludf.DUMMYFUNCTION("""COMPUTED_VALUE"""),"Development")</f>
        <v>Development</v>
      </c>
      <c r="J684" t="str">
        <f>IFERROR(__xludf.DUMMYFUNCTION("""COMPUTED_VALUE"""),"Database Design &amp; Development")</f>
        <v>Database Design &amp; Development</v>
      </c>
    </row>
    <row r="685">
      <c r="A685" s="143">
        <f>IFERROR(__xludf.DUMMYFUNCTION("""COMPUTED_VALUE"""),44462.0)</f>
        <v>44462</v>
      </c>
      <c r="B685">
        <f>IFERROR(__xludf.DUMMYFUNCTION("""COMPUTED_VALUE"""),3644002.0)</f>
        <v>3644002</v>
      </c>
      <c r="C685" t="str">
        <f>IFERROR(__xludf.DUMMYFUNCTION("""COMPUTED_VALUE"""),"en")</f>
        <v>en</v>
      </c>
      <c r="D685" t="str">
        <f>IFERROR(__xludf.DUMMYFUNCTION("""COMPUTED_VALUE"""),"DP-900: Microsoft Azure Data Fundamentals Video Course + Qus")</f>
        <v>DP-900: Microsoft Azure Data Fundamentals Video Course + Qus</v>
      </c>
      <c r="E685" t="str">
        <f>IFERROR(__xludf.DUMMYFUNCTION("""COMPUTED_VALUE"""),"DP-900: Microsoft Azure Data Fundamentals Video Course + Qus")</f>
        <v>DP-900: Microsoft Azure Data Fundamentals Video Course + Qus</v>
      </c>
      <c r="F685">
        <f>IFERROR(__xludf.DUMMYFUNCTION("""COMPUTED_VALUE"""),4.0866532E7)</f>
        <v>40866532</v>
      </c>
      <c r="G685" t="str">
        <f>IFERROR(__xludf.DUMMYFUNCTION("""COMPUTED_VALUE"""),"Eshant Garg | AWS Certified Cloud Practitioner | LearnCloud.Info | 100,000+ Enrollments")</f>
        <v>Eshant Garg | AWS Certified Cloud Practitioner | LearnCloud.Info | 100,000+ Enrollments</v>
      </c>
      <c r="H685" t="str">
        <f>IFERROR(__xludf.DUMMYFUNCTION("""COMPUTED_VALUE"""),"T&amp;S")</f>
        <v>T&amp;S</v>
      </c>
      <c r="I685" t="str">
        <f>IFERROR(__xludf.DUMMYFUNCTION("""COMPUTED_VALUE"""),"Cloud Computing")</f>
        <v>Cloud Computing</v>
      </c>
      <c r="J685" t="str">
        <f>IFERROR(__xludf.DUMMYFUNCTION("""COMPUTED_VALUE"""),"Cloud Development")</f>
        <v>Cloud Development</v>
      </c>
      <c r="K685">
        <f>IFERROR(__xludf.DUMMYFUNCTION("""COMPUTED_VALUE"""),3279690.0)</f>
        <v>3279690</v>
      </c>
      <c r="L685" s="140" t="str">
        <f>IFERROR(__xludf.DUMMYFUNCTION("""COMPUTED_VALUE"""),"DP-900 Azure Data Fundamentals Exam Prep In One Day")</f>
        <v>DP-900 Azure Data Fundamentals Exam Prep In One Day</v>
      </c>
    </row>
    <row r="686">
      <c r="A686" s="143">
        <f>IFERROR(__xludf.DUMMYFUNCTION("""COMPUTED_VALUE"""),44462.0)</f>
        <v>44462</v>
      </c>
      <c r="B686">
        <f>IFERROR(__xludf.DUMMYFUNCTION("""COMPUTED_VALUE"""),4070820.0)</f>
        <v>4070820</v>
      </c>
      <c r="C686" t="str">
        <f>IFERROR(__xludf.DUMMYFUNCTION("""COMPUTED_VALUE"""),"en")</f>
        <v>en</v>
      </c>
      <c r="D686" t="str">
        <f>IFERROR(__xludf.DUMMYFUNCTION("""COMPUTED_VALUE"""),"AI-900: Microsoft Azure AI Fundamentals Video Course + Ques")</f>
        <v>AI-900: Microsoft Azure AI Fundamentals Video Course + Ques</v>
      </c>
      <c r="E686" t="str">
        <f>IFERROR(__xludf.DUMMYFUNCTION("""COMPUTED_VALUE"""),"AI-900: Microsoft Azure HOUNDAMENTS VIDDEO CERSE + QUs")</f>
        <v>AI-900: Microsoft Azure HOUNDAMENTS VIDDEO CERSE + QUs</v>
      </c>
      <c r="F686">
        <f>IFERROR(__xludf.DUMMYFUNCTION("""COMPUTED_VALUE"""),4.0866532E7)</f>
        <v>40866532</v>
      </c>
      <c r="G686" t="str">
        <f>IFERROR(__xludf.DUMMYFUNCTION("""COMPUTED_VALUE"""),"Eshant Garg | AWS Certified Cloud Practitioner | LearnCloud.Info | 100,000+ Enrollments")</f>
        <v>Eshant Garg | AWS Certified Cloud Practitioner | LearnCloud.Info | 100,000+ Enrollments</v>
      </c>
      <c r="H686" t="str">
        <f>IFERROR(__xludf.DUMMYFUNCTION("""COMPUTED_VALUE"""),"T&amp;S")</f>
        <v>T&amp;S</v>
      </c>
      <c r="I686" t="str">
        <f>IFERROR(__xludf.DUMMYFUNCTION("""COMPUTED_VALUE"""),"IT Operations")</f>
        <v>IT Operations</v>
      </c>
      <c r="J686" t="str">
        <f>IFERROR(__xludf.DUMMYFUNCTION("""COMPUTED_VALUE"""),"IT Certifications")</f>
        <v>IT Certifications</v>
      </c>
      <c r="K686">
        <f>IFERROR(__xludf.DUMMYFUNCTION("""COMPUTED_VALUE"""),3829288.0)</f>
        <v>3829288</v>
      </c>
      <c r="L686" s="140" t="str">
        <f>IFERROR(__xludf.DUMMYFUNCTION("""COMPUTED_VALUE"""),"AI-900 Microsoft Azure AI Fundamentals Certification 2021")</f>
        <v>AI-900 Microsoft Azure AI Fundamentals Certification 2021</v>
      </c>
      <c r="M686" s="155">
        <f>IFERROR(__xludf.DUMMYFUNCTION("""COMPUTED_VALUE"""),3824326.0)</f>
        <v>3824326</v>
      </c>
      <c r="N686" s="140" t="str">
        <f>IFERROR(__xludf.DUMMYFUNCTION("""COMPUTED_VALUE"""),"AI-900 Azure AI Fundamentals Exam Prep In One Day - Jan 2021")</f>
        <v>AI-900 Azure AI Fundamentals Exam Prep In One Day - Jan 2021</v>
      </c>
    </row>
    <row r="687">
      <c r="A687" s="143">
        <f>IFERROR(__xludf.DUMMYFUNCTION("""COMPUTED_VALUE"""),44462.0)</f>
        <v>44462</v>
      </c>
      <c r="B687">
        <f>IFERROR(__xludf.DUMMYFUNCTION("""COMPUTED_VALUE"""),4138528.0)</f>
        <v>4138528</v>
      </c>
      <c r="C687" t="str">
        <f>IFERROR(__xludf.DUMMYFUNCTION("""COMPUTED_VALUE"""),"en")</f>
        <v>en</v>
      </c>
      <c r="D687" t="str">
        <f>IFERROR(__xludf.DUMMYFUNCTION("""COMPUTED_VALUE"""),"MS-900 Exam: Microsoft 365 Fundamentals Video Course + Ques")</f>
        <v>MS-900 Exam: Microsoft 365 Fundamentals Video Course + Ques</v>
      </c>
      <c r="E687" t="str">
        <f>IFERROR(__xludf.DUMMYFUNCTION("""COMPUTED_VALUE"""),"MS-900 Exam: Microsoft 365 Fundamentals Video Course + Ques")</f>
        <v>MS-900 Exam: Microsoft 365 Fundamentals Video Course + Ques</v>
      </c>
      <c r="F687">
        <f>IFERROR(__xludf.DUMMYFUNCTION("""COMPUTED_VALUE"""),4.0866532E7)</f>
        <v>40866532</v>
      </c>
      <c r="G687" t="str">
        <f>IFERROR(__xludf.DUMMYFUNCTION("""COMPUTED_VALUE"""),"Eshant Garg | AWS Certified Cloud Practitioner | LearnCloud.Info | 100,000+ Enrollments")</f>
        <v>Eshant Garg | AWS Certified Cloud Practitioner | LearnCloud.Info | 100,000+ Enrollments</v>
      </c>
      <c r="H687" t="str">
        <f>IFERROR(__xludf.DUMMYFUNCTION("""COMPUTED_VALUE"""),"T&amp;S")</f>
        <v>T&amp;S</v>
      </c>
      <c r="I687" t="str">
        <f>IFERROR(__xludf.DUMMYFUNCTION("""COMPUTED_VALUE"""),"IT Operations")</f>
        <v>IT Operations</v>
      </c>
      <c r="J687" t="str">
        <f>IFERROR(__xludf.DUMMYFUNCTION("""COMPUTED_VALUE"""),"IT Certifications")</f>
        <v>IT Certifications</v>
      </c>
    </row>
    <row r="688">
      <c r="A688" s="143">
        <f>IFERROR(__xludf.DUMMYFUNCTION("""COMPUTED_VALUE"""),44462.0)</f>
        <v>44462</v>
      </c>
      <c r="B688">
        <f>IFERROR(__xludf.DUMMYFUNCTION("""COMPUTED_VALUE"""),1401432.0)</f>
        <v>1401432</v>
      </c>
      <c r="C688" t="str">
        <f>IFERROR(__xludf.DUMMYFUNCTION("""COMPUTED_VALUE"""),"es")</f>
        <v>es</v>
      </c>
      <c r="D688" t="str">
        <f>IFERROR(__xludf.DUMMYFUNCTION("""COMPUTED_VALUE"""),"Gestión de Proyectos con Estándares  PMI y la Guía PMBOK 6")</f>
        <v>Gestión de Proyectos con Estándares  PMI y la Guía PMBOK 6</v>
      </c>
      <c r="E688" t="str">
        <f>IFERROR(__xludf.DUMMYFUNCTION("""COMPUTED_VALUE"""),"Project management with PMI standards and the PMBOK guide 6")</f>
        <v>Project management with PMI standards and the PMBOK guide 6</v>
      </c>
      <c r="F688">
        <f>IFERROR(__xludf.DUMMYFUNCTION("""COMPUTED_VALUE"""),2.9385688E7)</f>
        <v>29385688</v>
      </c>
      <c r="G688" t="str">
        <f>IFERROR(__xludf.DUMMYFUNCTION("""COMPUTED_VALUE"""),"Marco Calle Rojas")</f>
        <v>Marco Calle Rojas</v>
      </c>
      <c r="H688" t="str">
        <f>IFERROR(__xludf.DUMMYFUNCTION("""COMPUTED_VALUE"""),"T&amp;S")</f>
        <v>T&amp;S</v>
      </c>
      <c r="I688" t="str">
        <f>IFERROR(__xludf.DUMMYFUNCTION("""COMPUTED_VALUE"""),"Project Management &amp; Operations")</f>
        <v>Project Management &amp; Operations</v>
      </c>
      <c r="J688" t="str">
        <f>IFERROR(__xludf.DUMMYFUNCTION("""COMPUTED_VALUE"""),"Project Management Certifications")</f>
        <v>Project Management Certifications</v>
      </c>
      <c r="K688" s="140">
        <f>IFERROR(__xludf.DUMMYFUNCTION("""COMPUTED_VALUE"""),1722740.0)</f>
        <v>1722740</v>
      </c>
      <c r="L688" s="140" t="str">
        <f>IFERROR(__xludf.DUMMYFUNCTION("""COMPUTED_VALUE"""),"Gestión de Proyectos con Project y Excel bajo enfoque PMBOK	")</f>
        <v>Gestión de Proyectos con Project y Excel bajo enfoque PMBOK	</v>
      </c>
      <c r="M688" s="140">
        <f>IFERROR(__xludf.DUMMYFUNCTION("""COMPUTED_VALUE"""),2428004.0)</f>
        <v>2428004</v>
      </c>
      <c r="N688" s="140" t="str">
        <f>IFERROR(__xludf.DUMMYFUNCTION("""COMPUTED_VALUE"""),"Gestión de Proyectos: Los 49 procesos de la Guía PMBOK VI	")</f>
        <v>Gestión de Proyectos: Los 49 procesos de la Guía PMBOK VI	</v>
      </c>
    </row>
    <row r="689">
      <c r="A689" s="143">
        <f>IFERROR(__xludf.DUMMYFUNCTION("""COMPUTED_VALUE"""),44462.0)</f>
        <v>44462</v>
      </c>
      <c r="B689">
        <f>IFERROR(__xludf.DUMMYFUNCTION("""COMPUTED_VALUE"""),1977760.0)</f>
        <v>1977760</v>
      </c>
      <c r="C689" t="str">
        <f>IFERROR(__xludf.DUMMYFUNCTION("""COMPUTED_VALUE"""),"es")</f>
        <v>es</v>
      </c>
      <c r="D689" t="str">
        <f>IFERROR(__xludf.DUMMYFUNCTION("""COMPUTED_VALUE"""),"Simulador del examen PMP del PMI 2021")</f>
        <v>Simulador del examen PMP del PMI 2021</v>
      </c>
      <c r="E689" t="str">
        <f>IFERROR(__xludf.DUMMYFUNCTION("""COMPUTED_VALUE"""),"PMP 2021 PMP exam simulator")</f>
        <v>PMP 2021 PMP exam simulator</v>
      </c>
      <c r="F689">
        <f>IFERROR(__xludf.DUMMYFUNCTION("""COMPUTED_VALUE"""),2.9385688E7)</f>
        <v>29385688</v>
      </c>
      <c r="G689" t="str">
        <f>IFERROR(__xludf.DUMMYFUNCTION("""COMPUTED_VALUE"""),"Marco Calle Rojas")</f>
        <v>Marco Calle Rojas</v>
      </c>
      <c r="H689" t="str">
        <f>IFERROR(__xludf.DUMMYFUNCTION("""COMPUTED_VALUE"""),"T&amp;S")</f>
        <v>T&amp;S</v>
      </c>
      <c r="I689" t="str">
        <f>IFERROR(__xludf.DUMMYFUNCTION("""COMPUTED_VALUE"""),"Project Management &amp; Operations")</f>
        <v>Project Management &amp; Operations</v>
      </c>
      <c r="J689" t="str">
        <f>IFERROR(__xludf.DUMMYFUNCTION("""COMPUTED_VALUE"""),"Project Management Certifications")</f>
        <v>Project Management Certifications</v>
      </c>
      <c r="K689" s="140">
        <f>IFERROR(__xludf.DUMMYFUNCTION("""COMPUTED_VALUE"""),1841658.0)</f>
        <v>1841658</v>
      </c>
      <c r="L689" s="140" t="str">
        <f>IFERROR(__xludf.DUMMYFUNCTION("""COMPUTED_VALUE"""),"Tips para el Examen PMP - Version 6 del PMBOK	")</f>
        <v>Tips para el Examen PMP - Version 6 del PMBOK	</v>
      </c>
    </row>
    <row r="690">
      <c r="A690" s="143">
        <f>IFERROR(__xludf.DUMMYFUNCTION("""COMPUTED_VALUE"""),44462.0)</f>
        <v>44462</v>
      </c>
      <c r="B690">
        <f>IFERROR(__xludf.DUMMYFUNCTION("""COMPUTED_VALUE"""),2422754.0)</f>
        <v>2422754</v>
      </c>
      <c r="C690" t="str">
        <f>IFERROR(__xludf.DUMMYFUNCTION("""COMPUTED_VALUE"""),"es")</f>
        <v>es</v>
      </c>
      <c r="D690" t="str">
        <f>IFERROR(__xludf.DUMMYFUNCTION("""COMPUTED_VALUE"""),"Inteligencia Emocional: Resiliencia y Mindfulness")</f>
        <v>Inteligencia Emocional: Resiliencia y Mindfulness</v>
      </c>
      <c r="E690" t="str">
        <f>IFERROR(__xludf.DUMMYFUNCTION("""COMPUTED_VALUE"""),"Emotional Intelligence: Resilience and Mindfulness")</f>
        <v>Emotional Intelligence: Resilience and Mindfulness</v>
      </c>
      <c r="F690">
        <f>IFERROR(__xludf.DUMMYFUNCTION("""COMPUTED_VALUE"""),2.9385688E7)</f>
        <v>29385688</v>
      </c>
      <c r="G690" t="str">
        <f>IFERROR(__xludf.DUMMYFUNCTION("""COMPUTED_VALUE"""),"Marco Calle Rojas")</f>
        <v>Marco Calle Rojas</v>
      </c>
      <c r="H690" t="str">
        <f>IFERROR(__xludf.DUMMYFUNCTION("""COMPUTED_VALUE"""),"T&amp;S")</f>
        <v>T&amp;S</v>
      </c>
      <c r="I690" t="str">
        <f>IFERROR(__xludf.DUMMYFUNCTION("""COMPUTED_VALUE"""),"Personal Development")</f>
        <v>Personal Development</v>
      </c>
      <c r="J690" t="str">
        <f>IFERROR(__xludf.DUMMYFUNCTION("""COMPUTED_VALUE"""),"Personal Growth")</f>
        <v>Personal Growth</v>
      </c>
      <c r="K690" s="140">
        <f>IFERROR(__xludf.DUMMYFUNCTION("""COMPUTED_VALUE"""),1552544.0)</f>
        <v>1552544</v>
      </c>
      <c r="L690" s="140" t="str">
        <f>IFERROR(__xludf.DUMMYFUNCTION("""COMPUTED_VALUE"""),"Domina la Inteligencia Emocional | Psicología Aplicada	")</f>
        <v>Domina la Inteligencia Emocional | Psicología Aplicada	</v>
      </c>
    </row>
    <row r="691">
      <c r="A691" s="143">
        <f>IFERROR(__xludf.DUMMYFUNCTION("""COMPUTED_VALUE"""),44462.0)</f>
        <v>44462</v>
      </c>
      <c r="B691">
        <f>IFERROR(__xludf.DUMMYFUNCTION("""COMPUTED_VALUE"""),2626702.0)</f>
        <v>2626702</v>
      </c>
      <c r="C691" t="str">
        <f>IFERROR(__xludf.DUMMYFUNCTION("""COMPUTED_VALUE"""),"es")</f>
        <v>es</v>
      </c>
      <c r="D691" t="str">
        <f>IFERROR(__xludf.DUMMYFUNCTION("""COMPUTED_VALUE"""),"Curso en contrucción")</f>
        <v>Curso en contrucción</v>
      </c>
      <c r="E691" t="str">
        <f>IFERROR(__xludf.DUMMYFUNCTION("""COMPUTED_VALUE"""),"Course in contraction")</f>
        <v>Course in contraction</v>
      </c>
      <c r="F691">
        <f>IFERROR(__xludf.DUMMYFUNCTION("""COMPUTED_VALUE"""),2.9385688E7)</f>
        <v>29385688</v>
      </c>
      <c r="G691" t="str">
        <f>IFERROR(__xludf.DUMMYFUNCTION("""COMPUTED_VALUE"""),"Marco Calle Rojas")</f>
        <v>Marco Calle Rojas</v>
      </c>
      <c r="H691" t="str">
        <f>IFERROR(__xludf.DUMMYFUNCTION("""COMPUTED_VALUE"""),"T&amp;S")</f>
        <v>T&amp;S</v>
      </c>
      <c r="I691" t="str">
        <f>IFERROR(__xludf.DUMMYFUNCTION("""COMPUTED_VALUE"""),"Project Management &amp; Operations")</f>
        <v>Project Management &amp; Operations</v>
      </c>
      <c r="J691" t="str">
        <f>IFERROR(__xludf.DUMMYFUNCTION("""COMPUTED_VALUE"""),"Project Management Certifications")</f>
        <v>Project Management Certifications</v>
      </c>
    </row>
    <row r="692">
      <c r="A692" s="143">
        <f>IFERROR(__xludf.DUMMYFUNCTION("""COMPUTED_VALUE"""),44462.0)</f>
        <v>44462</v>
      </c>
      <c r="B692">
        <f>IFERROR(__xludf.DUMMYFUNCTION("""COMPUTED_VALUE"""),3139700.0)</f>
        <v>3139700</v>
      </c>
      <c r="C692" t="str">
        <f>IFERROR(__xludf.DUMMYFUNCTION("""COMPUTED_VALUE"""),"es")</f>
        <v>es</v>
      </c>
      <c r="D692" t="str">
        <f>IFERROR(__xludf.DUMMYFUNCTION("""COMPUTED_VALUE"""),"Curso en revisión")</f>
        <v>Curso en revisión</v>
      </c>
      <c r="E692" t="str">
        <f>IFERROR(__xludf.DUMMYFUNCTION("""COMPUTED_VALUE"""),"Course under review")</f>
        <v>Course under review</v>
      </c>
      <c r="F692">
        <f>IFERROR(__xludf.DUMMYFUNCTION("""COMPUTED_VALUE"""),2.9385688E7)</f>
        <v>29385688</v>
      </c>
      <c r="G692" t="str">
        <f>IFERROR(__xludf.DUMMYFUNCTION("""COMPUTED_VALUE"""),"Marco Calle Rojas")</f>
        <v>Marco Calle Rojas</v>
      </c>
      <c r="H692" t="str">
        <f>IFERROR(__xludf.DUMMYFUNCTION("""COMPUTED_VALUE"""),"T&amp;S")</f>
        <v>T&amp;S</v>
      </c>
      <c r="I692" t="str">
        <f>IFERROR(__xludf.DUMMYFUNCTION("""COMPUTED_VALUE"""),"Project Management &amp; Operations")</f>
        <v>Project Management &amp; Operations</v>
      </c>
      <c r="J692" t="str">
        <f>IFERROR(__xludf.DUMMYFUNCTION("""COMPUTED_VALUE"""),"Project Management Certifications")</f>
        <v>Project Management Certifications</v>
      </c>
    </row>
    <row r="693">
      <c r="A693" s="143">
        <f>IFERROR(__xludf.DUMMYFUNCTION("""COMPUTED_VALUE"""),44462.0)</f>
        <v>44462</v>
      </c>
      <c r="B693">
        <f>IFERROR(__xludf.DUMMYFUNCTION("""COMPUTED_VALUE"""),3809436.0)</f>
        <v>3809436</v>
      </c>
      <c r="C693" t="str">
        <f>IFERROR(__xludf.DUMMYFUNCTION("""COMPUTED_VALUE"""),"es")</f>
        <v>es</v>
      </c>
      <c r="D693" t="str">
        <f>IFERROR(__xludf.DUMMYFUNCTION("""COMPUTED_VALUE"""),"Preparación Examen PMP 2021 + simulacro de 180 preguntas")</f>
        <v>Preparación Examen PMP 2021 + simulacro de 180 preguntas</v>
      </c>
      <c r="E693" t="str">
        <f>IFERROR(__xludf.DUMMYFUNCTION("""COMPUTED_VALUE"""),"Preparation Exam PMP 2021 + simulacrum of 180 questions")</f>
        <v>Preparation Exam PMP 2021 + simulacrum of 180 questions</v>
      </c>
      <c r="F693">
        <f>IFERROR(__xludf.DUMMYFUNCTION("""COMPUTED_VALUE"""),2.9385688E7)</f>
        <v>29385688</v>
      </c>
      <c r="G693" t="str">
        <f>IFERROR(__xludf.DUMMYFUNCTION("""COMPUTED_VALUE"""),"Marco Calle Rojas")</f>
        <v>Marco Calle Rojas</v>
      </c>
      <c r="H693" t="str">
        <f>IFERROR(__xludf.DUMMYFUNCTION("""COMPUTED_VALUE"""),"T&amp;S")</f>
        <v>T&amp;S</v>
      </c>
      <c r="I693" t="str">
        <f>IFERROR(__xludf.DUMMYFUNCTION("""COMPUTED_VALUE"""),"Project Management &amp; Operations")</f>
        <v>Project Management &amp; Operations</v>
      </c>
      <c r="J693" t="str">
        <f>IFERROR(__xludf.DUMMYFUNCTION("""COMPUTED_VALUE"""),"Project Management Certifications")</f>
        <v>Project Management Certifications</v>
      </c>
    </row>
    <row r="694">
      <c r="A694" s="143">
        <f>IFERROR(__xludf.DUMMYFUNCTION("""COMPUTED_VALUE"""),44462.0)</f>
        <v>44462</v>
      </c>
      <c r="B694">
        <f>IFERROR(__xludf.DUMMYFUNCTION("""COMPUTED_VALUE"""),3969932.0)</f>
        <v>3969932</v>
      </c>
      <c r="C694" t="str">
        <f>IFERROR(__xludf.DUMMYFUNCTION("""COMPUTED_VALUE"""),"en")</f>
        <v>en</v>
      </c>
      <c r="D694" t="str">
        <f>IFERROR(__xludf.DUMMYFUNCTION("""COMPUTED_VALUE"""),"AZ-304 - Microsoft Azure Architect Practice Tests 2021")</f>
        <v>AZ-304 - Microsoft Azure Architect Practice Tests 2021</v>
      </c>
      <c r="E694" t="str">
        <f>IFERROR(__xludf.DUMMYFUNCTION("""COMPUTED_VALUE"""),"AZ-304 - Microsoft Azure Architect Practice Tests 2021")</f>
        <v>AZ-304 - Microsoft Azure Architect Practice Tests 2021</v>
      </c>
      <c r="F694">
        <f>IFERROR(__xludf.DUMMYFUNCTION("""COMPUTED_VALUE"""),3.3906212E7)</f>
        <v>33906212</v>
      </c>
      <c r="G694" t="str">
        <f>IFERROR(__xludf.DUMMYFUNCTION("""COMPUTED_VALUE"""),"XaaS Technologies | 180.000+ Students")</f>
        <v>XaaS Technologies | 180.000+ Students</v>
      </c>
      <c r="H694" t="str">
        <f>IFERROR(__xludf.DUMMYFUNCTION("""COMPUTED_VALUE"""),"T&amp;S")</f>
        <v>T&amp;S</v>
      </c>
      <c r="I694" t="str">
        <f>IFERROR(__xludf.DUMMYFUNCTION("""COMPUTED_VALUE"""),"IT Operations")</f>
        <v>IT Operations</v>
      </c>
      <c r="J694" t="str">
        <f>IFERROR(__xludf.DUMMYFUNCTION("""COMPUTED_VALUE"""),"IT Certifications")</f>
        <v>IT Certifications</v>
      </c>
      <c r="K694" s="140">
        <f>IFERROR(__xludf.DUMMYFUNCTION("""COMPUTED_VALUE"""),2102548.0)</f>
        <v>2102548</v>
      </c>
      <c r="L694" s="140" t="str">
        <f>IFERROR(__xludf.DUMMYFUNCTION("""COMPUTED_VALUE"""),"AZ-304 Azure Architect Design Exam Prep 2021        ")</f>
        <v>AZ-304 Azure Architect Design Exam Prep 2021        </v>
      </c>
    </row>
    <row r="695">
      <c r="A695" s="143">
        <f>IFERROR(__xludf.DUMMYFUNCTION("""COMPUTED_VALUE"""),44462.0)</f>
        <v>44462</v>
      </c>
      <c r="B695">
        <f>IFERROR(__xludf.DUMMYFUNCTION("""COMPUTED_VALUE"""),3903580.0)</f>
        <v>3903580</v>
      </c>
      <c r="C695" t="str">
        <f>IFERROR(__xludf.DUMMYFUNCTION("""COMPUTED_VALUE"""),"en")</f>
        <v>en</v>
      </c>
      <c r="D695" t="str">
        <f>IFERROR(__xludf.DUMMYFUNCTION("""COMPUTED_VALUE"""),"AZ-303 - Microsoft Azure Architect Practice Tests 2021")</f>
        <v>AZ-303 - Microsoft Azure Architect Practice Tests 2021</v>
      </c>
      <c r="E695" t="str">
        <f>IFERROR(__xludf.DUMMYFUNCTION("""COMPUTED_VALUE"""),"AZ-303 - Microsoft Azure Architect Practice Tests 2021")</f>
        <v>AZ-303 - Microsoft Azure Architect Practice Tests 2021</v>
      </c>
      <c r="F695">
        <f>IFERROR(__xludf.DUMMYFUNCTION("""COMPUTED_VALUE"""),3.3906212E7)</f>
        <v>33906212</v>
      </c>
      <c r="G695" t="str">
        <f>IFERROR(__xludf.DUMMYFUNCTION("""COMPUTED_VALUE"""),"XaaS Technologies | 180.000+ Students")</f>
        <v>XaaS Technologies | 180.000+ Students</v>
      </c>
      <c r="H695" t="str">
        <f>IFERROR(__xludf.DUMMYFUNCTION("""COMPUTED_VALUE"""),"T&amp;S")</f>
        <v>T&amp;S</v>
      </c>
      <c r="I695" t="str">
        <f>IFERROR(__xludf.DUMMYFUNCTION("""COMPUTED_VALUE"""),"IT Operations")</f>
        <v>IT Operations</v>
      </c>
      <c r="J695" t="str">
        <f>IFERROR(__xludf.DUMMYFUNCTION("""COMPUTED_VALUE"""),"IT Certifications")</f>
        <v>IT Certifications</v>
      </c>
      <c r="K695" s="140">
        <f>IFERROR(__xludf.DUMMYFUNCTION("""COMPUTED_VALUE"""),802578.0)</f>
        <v>802578</v>
      </c>
      <c r="L695" s="140" t="str">
        <f>IFERROR(__xludf.DUMMYFUNCTION("""COMPUTED_VALUE"""),"AZ-303 Azure Architecture Technologies Exam Prep 2021	")</f>
        <v>AZ-303 Azure Architecture Technologies Exam Prep 2021	</v>
      </c>
    </row>
    <row r="696">
      <c r="A696" s="143">
        <f>IFERROR(__xludf.DUMMYFUNCTION("""COMPUTED_VALUE"""),44462.0)</f>
        <v>44462</v>
      </c>
      <c r="B696">
        <f>IFERROR(__xludf.DUMMYFUNCTION("""COMPUTED_VALUE"""),3557781.0)</f>
        <v>3557781</v>
      </c>
      <c r="C696" t="str">
        <f>IFERROR(__xludf.DUMMYFUNCTION("""COMPUTED_VALUE"""),"en")</f>
        <v>en</v>
      </c>
      <c r="D696" t="str">
        <f>IFERROR(__xludf.DUMMYFUNCTION("""COMPUTED_VALUE"""),"AZ-104  - Microsoft Azure Administrator Practice Tests 2021")</f>
        <v>AZ-104  - Microsoft Azure Administrator Practice Tests 2021</v>
      </c>
      <c r="E696" t="str">
        <f>IFERROR(__xludf.DUMMYFUNCTION("""COMPUTED_VALUE"""),"AZ-104  - Microsoft Azure Administrator Practice Tests 2021")</f>
        <v>AZ-104  - Microsoft Azure Administrator Practice Tests 2021</v>
      </c>
      <c r="F696">
        <f>IFERROR(__xludf.DUMMYFUNCTION("""COMPUTED_VALUE"""),3.3906212E7)</f>
        <v>33906212</v>
      </c>
      <c r="G696" t="str">
        <f>IFERROR(__xludf.DUMMYFUNCTION("""COMPUTED_VALUE"""),"XaaS Technologies | 180.000+ Students")</f>
        <v>XaaS Technologies | 180.000+ Students</v>
      </c>
      <c r="H696" t="str">
        <f>IFERROR(__xludf.DUMMYFUNCTION("""COMPUTED_VALUE"""),"T&amp;S")</f>
        <v>T&amp;S</v>
      </c>
      <c r="I696" t="str">
        <f>IFERROR(__xludf.DUMMYFUNCTION("""COMPUTED_VALUE"""),"IT Operations")</f>
        <v>IT Operations</v>
      </c>
      <c r="J696" t="str">
        <f>IFERROR(__xludf.DUMMYFUNCTION("""COMPUTED_VALUE"""),"IT Certifications")</f>
        <v>IT Certifications</v>
      </c>
      <c r="K696" s="140">
        <f>IFERROR(__xludf.DUMMYFUNCTION("""COMPUTED_VALUE"""),2290167.0)</f>
        <v>2290167</v>
      </c>
      <c r="L696" s="140" t="str">
        <f>IFERROR(__xludf.DUMMYFUNCTION("""COMPUTED_VALUE"""),"AZ-104 Exam Prep: Microsoft Azure Administrator	")</f>
        <v>AZ-104 Exam Prep: Microsoft Azure Administrator	</v>
      </c>
    </row>
    <row r="697">
      <c r="A697" s="143">
        <f>IFERROR(__xludf.DUMMYFUNCTION("""COMPUTED_VALUE"""),44462.0)</f>
        <v>44462</v>
      </c>
      <c r="B697">
        <f>IFERROR(__xludf.DUMMYFUNCTION("""COMPUTED_VALUE"""),3325392.0)</f>
        <v>3325392</v>
      </c>
      <c r="C697" t="str">
        <f>IFERROR(__xludf.DUMMYFUNCTION("""COMPUTED_VALUE"""),"en")</f>
        <v>en</v>
      </c>
      <c r="D697" t="str">
        <f>IFERROR(__xludf.DUMMYFUNCTION("""COMPUTED_VALUE"""),"AZ-900 - Microsoft Azure Fundamentals Practice Tests 2021")</f>
        <v>AZ-900 - Microsoft Azure Fundamentals Practice Tests 2021</v>
      </c>
      <c r="E697" t="str">
        <f>IFERROR(__xludf.DUMMYFUNCTION("""COMPUTED_VALUE"""),"AZ-900 - Microsoft Azure Fundamentals Practice Tests 2021")</f>
        <v>AZ-900 - Microsoft Azure Fundamentals Practice Tests 2021</v>
      </c>
      <c r="F697">
        <f>IFERROR(__xludf.DUMMYFUNCTION("""COMPUTED_VALUE"""),3.3906212E7)</f>
        <v>33906212</v>
      </c>
      <c r="G697" t="str">
        <f>IFERROR(__xludf.DUMMYFUNCTION("""COMPUTED_VALUE"""),"XaaS Technologies | 180.000+ Students")</f>
        <v>XaaS Technologies | 180.000+ Students</v>
      </c>
      <c r="H697" t="str">
        <f>IFERROR(__xludf.DUMMYFUNCTION("""COMPUTED_VALUE"""),"T&amp;S")</f>
        <v>T&amp;S</v>
      </c>
      <c r="I697" t="str">
        <f>IFERROR(__xludf.DUMMYFUNCTION("""COMPUTED_VALUE"""),"IT Operations")</f>
        <v>IT Operations</v>
      </c>
      <c r="J697" t="str">
        <f>IFERROR(__xludf.DUMMYFUNCTION("""COMPUTED_VALUE"""),"IT Certifications")</f>
        <v>IT Certifications</v>
      </c>
      <c r="K697" s="140">
        <f>IFERROR(__xludf.DUMMYFUNCTION("""COMPUTED_VALUE"""),2394982.0)</f>
        <v>2394982</v>
      </c>
      <c r="L697" s="140" t="str">
        <f>IFERROR(__xludf.DUMMYFUNCTION("""COMPUTED_VALUE"""),"AZ-900: Microsoft Azure Fundamentals Exam Prep - MAY 2021        ")</f>
        <v>AZ-900: Microsoft Azure Fundamentals Exam Prep - MAY 2021        </v>
      </c>
    </row>
    <row r="698">
      <c r="A698" s="143">
        <f>IFERROR(__xludf.DUMMYFUNCTION("""COMPUTED_VALUE"""),44462.0)</f>
        <v>44462</v>
      </c>
      <c r="B698">
        <f>IFERROR(__xludf.DUMMYFUNCTION("""COMPUTED_VALUE"""),3287268.0)</f>
        <v>3287268</v>
      </c>
      <c r="C698" t="str">
        <f>IFERROR(__xludf.DUMMYFUNCTION("""COMPUTED_VALUE"""),"en")</f>
        <v>en</v>
      </c>
      <c r="D698" t="str">
        <f>IFERROR(__xludf.DUMMYFUNCTION("""COMPUTED_VALUE"""),"AZ-104 Microsoft Azure Administrator Training Bootcamp 2021")</f>
        <v>AZ-104 Microsoft Azure Administrator Training Bootcamp 2021</v>
      </c>
      <c r="E698" t="str">
        <f>IFERROR(__xludf.DUMMYFUNCTION("""COMPUTED_VALUE"""),"AZ-104 Microsoft Azure Administrator Training Bootcamp 2021")</f>
        <v>AZ-104 Microsoft Azure Administrator Training Bootcamp 2021</v>
      </c>
      <c r="F698">
        <f>IFERROR(__xludf.DUMMYFUNCTION("""COMPUTED_VALUE"""),3.3906212E7)</f>
        <v>33906212</v>
      </c>
      <c r="G698" t="str">
        <f>IFERROR(__xludf.DUMMYFUNCTION("""COMPUTED_VALUE"""),"XaaS Technologies | 180.000+ Students")</f>
        <v>XaaS Technologies | 180.000+ Students</v>
      </c>
      <c r="H698" t="str">
        <f>IFERROR(__xludf.DUMMYFUNCTION("""COMPUTED_VALUE"""),"T&amp;S")</f>
        <v>T&amp;S</v>
      </c>
      <c r="I698" t="str">
        <f>IFERROR(__xludf.DUMMYFUNCTION("""COMPUTED_VALUE"""),"IT Operations")</f>
        <v>IT Operations</v>
      </c>
      <c r="J698" t="str">
        <f>IFERROR(__xludf.DUMMYFUNCTION("""COMPUTED_VALUE"""),"IT Certifications")</f>
        <v>IT Certifications</v>
      </c>
      <c r="K698" s="140">
        <f>IFERROR(__xludf.DUMMYFUNCTION("""COMPUTED_VALUE"""),2290167.0)</f>
        <v>2290167</v>
      </c>
      <c r="L698" s="140" t="str">
        <f>IFERROR(__xludf.DUMMYFUNCTION("""COMPUTED_VALUE"""),"AZ-104 Exam Prep: Microsoft Azure Administrator	")</f>
        <v>AZ-104 Exam Prep: Microsoft Azure Administrator	</v>
      </c>
    </row>
    <row r="699">
      <c r="A699" s="143">
        <f>IFERROR(__xludf.DUMMYFUNCTION("""COMPUTED_VALUE"""),44462.0)</f>
        <v>44462</v>
      </c>
      <c r="B699">
        <f>IFERROR(__xludf.DUMMYFUNCTION("""COMPUTED_VALUE"""),2468060.0)</f>
        <v>2468060</v>
      </c>
      <c r="C699" t="str">
        <f>IFERROR(__xludf.DUMMYFUNCTION("""COMPUTED_VALUE"""),"en")</f>
        <v>en</v>
      </c>
      <c r="D699" t="str">
        <f>IFERROR(__xludf.DUMMYFUNCTION("""COMPUTED_VALUE"""),"AZ-900 - Microsoft Azure Fundamentals Training Bootcamp 2021")</f>
        <v>AZ-900 - Microsoft Azure Fundamentals Training Bootcamp 2021</v>
      </c>
      <c r="E699" t="str">
        <f>IFERROR(__xludf.DUMMYFUNCTION("""COMPUTED_VALUE"""),"AZ-900 - Microsoft Azure Fundamentals Training Bootcamp 2021")</f>
        <v>AZ-900 - Microsoft Azure Fundamentals Training Bootcamp 2021</v>
      </c>
      <c r="F699">
        <f>IFERROR(__xludf.DUMMYFUNCTION("""COMPUTED_VALUE"""),3.3906212E7)</f>
        <v>33906212</v>
      </c>
      <c r="G699" t="str">
        <f>IFERROR(__xludf.DUMMYFUNCTION("""COMPUTED_VALUE"""),"XaaS Technologies | 180.000+ Students")</f>
        <v>XaaS Technologies | 180.000+ Students</v>
      </c>
      <c r="H699" t="str">
        <f>IFERROR(__xludf.DUMMYFUNCTION("""COMPUTED_VALUE"""),"T&amp;S")</f>
        <v>T&amp;S</v>
      </c>
      <c r="I699" t="str">
        <f>IFERROR(__xludf.DUMMYFUNCTION("""COMPUTED_VALUE"""),"IT Operations")</f>
        <v>IT Operations</v>
      </c>
      <c r="J699" t="str">
        <f>IFERROR(__xludf.DUMMYFUNCTION("""COMPUTED_VALUE"""),"IT Certifications")</f>
        <v>IT Certifications</v>
      </c>
      <c r="K699" s="140">
        <f>IFERROR(__xludf.DUMMYFUNCTION("""COMPUTED_VALUE"""),2394982.0)</f>
        <v>2394982</v>
      </c>
      <c r="L699" s="140" t="str">
        <f>IFERROR(__xludf.DUMMYFUNCTION("""COMPUTED_VALUE"""),"AZ-900: Microsoft Azure Fundamentals Exam Prep - MAY 2021        ")</f>
        <v>AZ-900: Microsoft Azure Fundamentals Exam Prep - MAY 2021        </v>
      </c>
    </row>
    <row r="700">
      <c r="A700" s="143">
        <f>IFERROR(__xludf.DUMMYFUNCTION("""COMPUTED_VALUE"""),44462.0)</f>
        <v>44462</v>
      </c>
      <c r="B700">
        <f>IFERROR(__xludf.DUMMYFUNCTION("""COMPUTED_VALUE"""),2412964.0)</f>
        <v>2412964</v>
      </c>
      <c r="C700" t="str">
        <f>IFERROR(__xludf.DUMMYFUNCTION("""COMPUTED_VALUE"""),"en")</f>
        <v>en</v>
      </c>
      <c r="D700" t="str">
        <f>IFERROR(__xludf.DUMMYFUNCTION("""COMPUTED_VALUE"""),"AWS Certified Cloud Practitioner Training Bootcamp 2021")</f>
        <v>AWS Certified Cloud Practitioner Training Bootcamp 2021</v>
      </c>
      <c r="E700" t="str">
        <f>IFERROR(__xludf.DUMMYFUNCTION("""COMPUTED_VALUE"""),"AWS Certified Cloud Practitioner Training Bootcamp 2021")</f>
        <v>AWS Certified Cloud Practitioner Training Bootcamp 2021</v>
      </c>
      <c r="F700">
        <f>IFERROR(__xludf.DUMMYFUNCTION("""COMPUTED_VALUE"""),3.3906212E7)</f>
        <v>33906212</v>
      </c>
      <c r="G700" t="str">
        <f>IFERROR(__xludf.DUMMYFUNCTION("""COMPUTED_VALUE"""),"XaaS Technologies | 180.000+ Students")</f>
        <v>XaaS Technologies | 180.000+ Students</v>
      </c>
      <c r="H700" t="str">
        <f>IFERROR(__xludf.DUMMYFUNCTION("""COMPUTED_VALUE"""),"T&amp;S")</f>
        <v>T&amp;S</v>
      </c>
      <c r="I700" t="str">
        <f>IFERROR(__xludf.DUMMYFUNCTION("""COMPUTED_VALUE"""),"IT Operations")</f>
        <v>IT Operations</v>
      </c>
      <c r="J700" t="str">
        <f>IFERROR(__xludf.DUMMYFUNCTION("""COMPUTED_VALUE"""),"IT Certifications")</f>
        <v>IT Certifications</v>
      </c>
    </row>
    <row r="701">
      <c r="A701" s="143">
        <f>IFERROR(__xludf.DUMMYFUNCTION("""COMPUTED_VALUE"""),44462.0)</f>
        <v>44462</v>
      </c>
      <c r="B701">
        <f>IFERROR(__xludf.DUMMYFUNCTION("""COMPUTED_VALUE"""),1319432.0)</f>
        <v>1319432</v>
      </c>
      <c r="C701" t="str">
        <f>IFERROR(__xludf.DUMMYFUNCTION("""COMPUTED_VALUE"""),"en")</f>
        <v>en</v>
      </c>
      <c r="D701" t="str">
        <f>IFERROR(__xludf.DUMMYFUNCTION("""COMPUTED_VALUE"""),"Fortinet FortiGate Firewall 5-in-1 Training Bundle")</f>
        <v>Fortinet FortiGate Firewall 5-in-1 Training Bundle</v>
      </c>
      <c r="E701" t="str">
        <f>IFERROR(__xludf.DUMMYFUNCTION("""COMPUTED_VALUE"""),"Fortinet FortiGate Firewall 5-in-1 Training Bundle")</f>
        <v>Fortinet FortiGate Firewall 5-in-1 Training Bundle</v>
      </c>
      <c r="F701">
        <f>IFERROR(__xludf.DUMMYFUNCTION("""COMPUTED_VALUE"""),3.3906212E7)</f>
        <v>33906212</v>
      </c>
      <c r="G701" t="str">
        <f>IFERROR(__xludf.DUMMYFUNCTION("""COMPUTED_VALUE"""),"XaaS Technologies | 180.000+ Students")</f>
        <v>XaaS Technologies | 180.000+ Students</v>
      </c>
      <c r="H701" t="str">
        <f>IFERROR(__xludf.DUMMYFUNCTION("""COMPUTED_VALUE"""),"T&amp;S")</f>
        <v>T&amp;S</v>
      </c>
      <c r="I701" t="str">
        <f>IFERROR(__xludf.DUMMYFUNCTION("""COMPUTED_VALUE"""),"IT Operations")</f>
        <v>IT Operations</v>
      </c>
      <c r="J701" t="str">
        <f>IFERROR(__xludf.DUMMYFUNCTION("""COMPUTED_VALUE"""),"Network &amp; Security")</f>
        <v>Network &amp; Security</v>
      </c>
      <c r="K701" s="140">
        <f>IFERROR(__xludf.DUMMYFUNCTION("""COMPUTED_VALUE"""),2512970.0)</f>
        <v>2512970</v>
      </c>
      <c r="L701" s="140" t="str">
        <f>IFERROR(__xludf.DUMMYFUNCTION("""COMPUTED_VALUE"""),"Practical Cisco Firepower Training	")</f>
        <v>Practical Cisco Firepower Training	</v>
      </c>
    </row>
    <row r="702">
      <c r="A702" s="143">
        <f>IFERROR(__xludf.DUMMYFUNCTION("""COMPUTED_VALUE"""),44462.0)</f>
        <v>44462</v>
      </c>
      <c r="B702">
        <f>IFERROR(__xludf.DUMMYFUNCTION("""COMPUTED_VALUE"""),1288246.0)</f>
        <v>1288246</v>
      </c>
      <c r="C702" t="str">
        <f>IFERROR(__xludf.DUMMYFUNCTION("""COMPUTED_VALUE"""),"en")</f>
        <v>en</v>
      </c>
      <c r="D702" t="str">
        <f>IFERROR(__xludf.DUMMYFUNCTION("""COMPUTED_VALUE"""),"Intro to Cisco Firepower Threat Defense (FTD) Firewall")</f>
        <v>Intro to Cisco Firepower Threat Defense (FTD) Firewall</v>
      </c>
      <c r="E702" t="str">
        <f>IFERROR(__xludf.DUMMYFUNCTION("""COMPUTED_VALUE"""),"Intro to Cisco Firepower Threat Defense (FTD) Firewall")</f>
        <v>Intro to Cisco Firepower Threat Defense (FTD) Firewall</v>
      </c>
      <c r="F702">
        <f>IFERROR(__xludf.DUMMYFUNCTION("""COMPUTED_VALUE"""),3.3906212E7)</f>
        <v>33906212</v>
      </c>
      <c r="G702" t="str">
        <f>IFERROR(__xludf.DUMMYFUNCTION("""COMPUTED_VALUE"""),"XaaS Technologies | 180.000+ Students")</f>
        <v>XaaS Technologies | 180.000+ Students</v>
      </c>
      <c r="H702" t="str">
        <f>IFERROR(__xludf.DUMMYFUNCTION("""COMPUTED_VALUE"""),"T&amp;S")</f>
        <v>T&amp;S</v>
      </c>
      <c r="I702" t="str">
        <f>IFERROR(__xludf.DUMMYFUNCTION("""COMPUTED_VALUE"""),"IT Operations")</f>
        <v>IT Operations</v>
      </c>
      <c r="J702" t="str">
        <f>IFERROR(__xludf.DUMMYFUNCTION("""COMPUTED_VALUE"""),"Network &amp; Security")</f>
        <v>Network &amp; Security</v>
      </c>
      <c r="K702" s="140">
        <f>IFERROR(__xludf.DUMMYFUNCTION("""COMPUTED_VALUE"""),2512970.0)</f>
        <v>2512970</v>
      </c>
      <c r="L702" s="140" t="str">
        <f>IFERROR(__xludf.DUMMYFUNCTION("""COMPUTED_VALUE"""),"Practical Cisco Firepower Training	")</f>
        <v>Practical Cisco Firepower Training	</v>
      </c>
    </row>
    <row r="703">
      <c r="A703" s="143">
        <f>IFERROR(__xludf.DUMMYFUNCTION("""COMPUTED_VALUE"""),44462.0)</f>
        <v>44462</v>
      </c>
      <c r="B703">
        <f>IFERROR(__xludf.DUMMYFUNCTION("""COMPUTED_VALUE"""),3384832.0)</f>
        <v>3384832</v>
      </c>
      <c r="C703" t="str">
        <f>IFERROR(__xludf.DUMMYFUNCTION("""COMPUTED_VALUE"""),"en")</f>
        <v>en</v>
      </c>
      <c r="D703" t="str">
        <f>IFERROR(__xludf.DUMMYFUNCTION("""COMPUTED_VALUE"""),"AZ-400 Microsoft Azure DevOps Expert - Prc Test:UPDATED 2021")</f>
        <v>AZ-400 Microsoft Azure DevOps Expert - Prc Test:UPDATED 2021</v>
      </c>
      <c r="E703" t="str">
        <f>IFERROR(__xludf.DUMMYFUNCTION("""COMPUTED_VALUE"""),"AZ-400 Microsoft Azure DevOps Expert - Prc Test:UPDATED 2021")</f>
        <v>AZ-400 Microsoft Azure DevOps Expert - Prc Test:UPDATED 2021</v>
      </c>
      <c r="F703">
        <f>IFERROR(__xludf.DUMMYFUNCTION("""COMPUTED_VALUE"""),7.0083386E7)</f>
        <v>70083386</v>
      </c>
      <c r="G703" t="str">
        <f>IFERROR(__xludf.DUMMYFUNCTION("""COMPUTED_VALUE"""),"Bhuvaneswaran B")</f>
        <v>Bhuvaneswaran B</v>
      </c>
      <c r="H703" t="str">
        <f>IFERROR(__xludf.DUMMYFUNCTION("""COMPUTED_VALUE"""),"T&amp;S")</f>
        <v>T&amp;S</v>
      </c>
    </row>
    <row r="704">
      <c r="A704" s="143">
        <f>IFERROR(__xludf.DUMMYFUNCTION("""COMPUTED_VALUE"""),44462.0)</f>
        <v>44462</v>
      </c>
      <c r="B704">
        <f>IFERROR(__xludf.DUMMYFUNCTION("""COMPUTED_VALUE"""),2158472.0)</f>
        <v>2158472</v>
      </c>
      <c r="C704" t="str">
        <f>IFERROR(__xludf.DUMMYFUNCTION("""COMPUTED_VALUE"""),"en")</f>
        <v>en</v>
      </c>
      <c r="D704" t="str">
        <f>IFERROR(__xludf.DUMMYFUNCTION("""COMPUTED_VALUE"""),"MS Cybersecurity Pro Track: Enterprise Security Fundamentals")</f>
        <v>MS Cybersecurity Pro Track: Enterprise Security Fundamentals</v>
      </c>
      <c r="E704" t="str">
        <f>IFERROR(__xludf.DUMMYFUNCTION("""COMPUTED_VALUE"""),"MS Cybersecurity Pro Track: Enterprise Security Fundamentals")</f>
        <v>MS Cybersecurity Pro Track: Enterprise Security Fundamentals</v>
      </c>
      <c r="F704">
        <f>IFERROR(__xludf.DUMMYFUNCTION("""COMPUTED_VALUE"""),5.3956424E7)</f>
        <v>53956424</v>
      </c>
      <c r="G704" t="str">
        <f>IFERROR(__xludf.DUMMYFUNCTION("""COMPUTED_VALUE"""),"Cristian Calinescu")</f>
        <v>Cristian Calinescu</v>
      </c>
      <c r="H704" t="str">
        <f>IFERROR(__xludf.DUMMYFUNCTION("""COMPUTED_VALUE"""),"T&amp;S")</f>
        <v>T&amp;S</v>
      </c>
      <c r="I704" t="str">
        <f>IFERROR(__xludf.DUMMYFUNCTION("""COMPUTED_VALUE"""),"IT Operations")</f>
        <v>IT Operations</v>
      </c>
      <c r="J704" t="str">
        <f>IFERROR(__xludf.DUMMYFUNCTION("""COMPUTED_VALUE"""),"Network &amp; Security")</f>
        <v>Network &amp; Security</v>
      </c>
    </row>
    <row r="705">
      <c r="A705" s="143">
        <f>IFERROR(__xludf.DUMMYFUNCTION("""COMPUTED_VALUE"""),44462.0)</f>
        <v>44462</v>
      </c>
      <c r="B705">
        <f>IFERROR(__xludf.DUMMYFUNCTION("""COMPUTED_VALUE"""),2379820.0)</f>
        <v>2379820</v>
      </c>
      <c r="C705" t="str">
        <f>IFERROR(__xludf.DUMMYFUNCTION("""COMPUTED_VALUE"""),"en")</f>
        <v>en</v>
      </c>
      <c r="D705" t="str">
        <f>IFERROR(__xludf.DUMMYFUNCTION("""COMPUTED_VALUE"""),"Windows Server 2019 Hyper-V, Storage, Clustering and NLB")</f>
        <v>Windows Server 2019 Hyper-V, Storage, Clustering and NLB</v>
      </c>
      <c r="E705" t="str">
        <f>IFERROR(__xludf.DUMMYFUNCTION("""COMPUTED_VALUE"""),"Windows Server 2019 Hyper-V, Storage, Clustering and NLB")</f>
        <v>Windows Server 2019 Hyper-V, Storage, Clustering and NLB</v>
      </c>
      <c r="F705">
        <f>IFERROR(__xludf.DUMMYFUNCTION("""COMPUTED_VALUE"""),5.3956424E7)</f>
        <v>53956424</v>
      </c>
      <c r="G705" t="str">
        <f>IFERROR(__xludf.DUMMYFUNCTION("""COMPUTED_VALUE"""),"Cristian Calinescu")</f>
        <v>Cristian Calinescu</v>
      </c>
      <c r="H705" t="str">
        <f>IFERROR(__xludf.DUMMYFUNCTION("""COMPUTED_VALUE"""),"T&amp;S")</f>
        <v>T&amp;S</v>
      </c>
      <c r="I705" t="str">
        <f>IFERROR(__xludf.DUMMYFUNCTION("""COMPUTED_VALUE"""),"IT Operations")</f>
        <v>IT Operations</v>
      </c>
      <c r="J705" t="str">
        <f>IFERROR(__xludf.DUMMYFUNCTION("""COMPUTED_VALUE"""),"IT Certifications")</f>
        <v>IT Certifications</v>
      </c>
      <c r="K705" s="140">
        <f>IFERROR(__xludf.DUMMYFUNCTION("""COMPUTED_VALUE"""),1522272.0)</f>
        <v>1522272</v>
      </c>
      <c r="L705" s="140" t="str">
        <f>IFERROR(__xludf.DUMMYFUNCTION("""COMPUTED_VALUE"""),"Windows Server 2016 Administration	")</f>
        <v>Windows Server 2016 Administration	</v>
      </c>
    </row>
    <row r="706">
      <c r="A706" s="143">
        <f>IFERROR(__xludf.DUMMYFUNCTION("""COMPUTED_VALUE"""),44462.0)</f>
        <v>44462</v>
      </c>
      <c r="B706">
        <f>IFERROR(__xludf.DUMMYFUNCTION("""COMPUTED_VALUE"""),3064624.0)</f>
        <v>3064624</v>
      </c>
      <c r="C706" t="str">
        <f>IFERROR(__xludf.DUMMYFUNCTION("""COMPUTED_VALUE"""),"en")</f>
        <v>en</v>
      </c>
      <c r="D706" t="str">
        <f>IFERROR(__xludf.DUMMYFUNCTION("""COMPUTED_VALUE"""),"MS-100 Microsoft 365 Identity and Services Real Exam Tests")</f>
        <v>MS-100 Microsoft 365 Identity and Services Real Exam Tests</v>
      </c>
      <c r="E706" t="str">
        <f>IFERROR(__xludf.DUMMYFUNCTION("""COMPUTED_VALUE"""),"MS-100 Microsoft 365 Identity and Services Real Exam Tests")</f>
        <v>MS-100 Microsoft 365 Identity and Services Real Exam Tests</v>
      </c>
      <c r="F706">
        <f>IFERROR(__xludf.DUMMYFUNCTION("""COMPUTED_VALUE"""),5.3956424E7)</f>
        <v>53956424</v>
      </c>
      <c r="G706" t="str">
        <f>IFERROR(__xludf.DUMMYFUNCTION("""COMPUTED_VALUE"""),"Cristian Calinescu")</f>
        <v>Cristian Calinescu</v>
      </c>
      <c r="H706" t="str">
        <f>IFERROR(__xludf.DUMMYFUNCTION("""COMPUTED_VALUE"""),"T&amp;S")</f>
        <v>T&amp;S</v>
      </c>
      <c r="I706" t="str">
        <f>IFERROR(__xludf.DUMMYFUNCTION("""COMPUTED_VALUE"""),"IT Operations")</f>
        <v>IT Operations</v>
      </c>
      <c r="J706" t="str">
        <f>IFERROR(__xludf.DUMMYFUNCTION("""COMPUTED_VALUE"""),"IT Certifications")</f>
        <v>IT Certifications</v>
      </c>
      <c r="K706" s="140">
        <f>IFERROR(__xludf.DUMMYFUNCTION("""COMPUTED_VALUE"""),3370362.0)</f>
        <v>3370362</v>
      </c>
      <c r="L706" s="140" t="str">
        <f>IFERROR(__xludf.DUMMYFUNCTION("""COMPUTED_VALUE"""),"[NEW] Exam MS-100 Microsoft 365 Identity and Services - 2021	")</f>
        <v>[NEW] Exam MS-100 Microsoft 365 Identity and Services - 2021	</v>
      </c>
    </row>
    <row r="707">
      <c r="A707" s="143">
        <f>IFERROR(__xludf.DUMMYFUNCTION("""COMPUTED_VALUE"""),44462.0)</f>
        <v>44462</v>
      </c>
      <c r="B707">
        <f>IFERROR(__xludf.DUMMYFUNCTION("""COMPUTED_VALUE"""),3541220.0)</f>
        <v>3541220</v>
      </c>
      <c r="C707" t="str">
        <f>IFERROR(__xludf.DUMMYFUNCTION("""COMPUTED_VALUE"""),"en")</f>
        <v>en</v>
      </c>
      <c r="D707" t="str">
        <f>IFERROR(__xludf.DUMMYFUNCTION("""COMPUTED_VALUE"""),"Microsoft Cybersecurity Pro Track: Threat Detection")</f>
        <v>Microsoft Cybersecurity Pro Track: Threat Detection</v>
      </c>
      <c r="E707" t="str">
        <f>IFERROR(__xludf.DUMMYFUNCTION("""COMPUTED_VALUE"""),"Microsoft Cybersecurity Pro Track: Threat Detection")</f>
        <v>Microsoft Cybersecurity Pro Track: Threat Detection</v>
      </c>
      <c r="F707">
        <f>IFERROR(__xludf.DUMMYFUNCTION("""COMPUTED_VALUE"""),5.3956424E7)</f>
        <v>53956424</v>
      </c>
      <c r="G707" t="str">
        <f>IFERROR(__xludf.DUMMYFUNCTION("""COMPUTED_VALUE"""),"Cristian Calinescu")</f>
        <v>Cristian Calinescu</v>
      </c>
      <c r="H707" t="str">
        <f>IFERROR(__xludf.DUMMYFUNCTION("""COMPUTED_VALUE"""),"T&amp;S")</f>
        <v>T&amp;S</v>
      </c>
      <c r="I707" t="str">
        <f>IFERROR(__xludf.DUMMYFUNCTION("""COMPUTED_VALUE"""),"IT Operations")</f>
        <v>IT Operations</v>
      </c>
      <c r="J707" t="str">
        <f>IFERROR(__xludf.DUMMYFUNCTION("""COMPUTED_VALUE"""),"Network &amp; Security")</f>
        <v>Network &amp; Security</v>
      </c>
    </row>
    <row r="708">
      <c r="A708" s="143">
        <f>IFERROR(__xludf.DUMMYFUNCTION("""COMPUTED_VALUE"""),44462.0)</f>
        <v>44462</v>
      </c>
      <c r="B708">
        <f>IFERROR(__xludf.DUMMYFUNCTION("""COMPUTED_VALUE"""),3521608.0)</f>
        <v>3521608</v>
      </c>
      <c r="C708" t="str">
        <f>IFERROR(__xludf.DUMMYFUNCTION("""COMPUTED_VALUE"""),"en")</f>
        <v>en</v>
      </c>
      <c r="D708" t="str">
        <f>IFERROR(__xludf.DUMMYFUNCTION("""COMPUTED_VALUE"""),"DP-200/203: Data Engineering on Microsoft Azure")</f>
        <v>DP-200/203: Data Engineering on Microsoft Azure</v>
      </c>
      <c r="E708" t="str">
        <f>IFERROR(__xludf.DUMMYFUNCTION("""COMPUTED_VALUE"""),"DP-200/203: Data Engineering on Microsoft Azure")</f>
        <v>DP-200/203: Data Engineering on Microsoft Azure</v>
      </c>
      <c r="F708">
        <f>IFERROR(__xludf.DUMMYFUNCTION("""COMPUTED_VALUE"""),1.32820738E8)</f>
        <v>132820738</v>
      </c>
      <c r="G708" t="str">
        <f>IFERROR(__xludf.DUMMYFUNCTION("""COMPUTED_VALUE"""),"GreyMatter.AI Enterprises")</f>
        <v>GreyMatter.AI Enterprises</v>
      </c>
      <c r="H708" t="str">
        <f>IFERROR(__xludf.DUMMYFUNCTION("""COMPUTED_VALUE"""),"T&amp;S")</f>
        <v>T&amp;S</v>
      </c>
      <c r="I708" t="str">
        <f>IFERROR(__xludf.DUMMYFUNCTION("""COMPUTED_VALUE"""),"IT Operations")</f>
        <v>IT Operations</v>
      </c>
      <c r="J708" t="str">
        <f>IFERROR(__xludf.DUMMYFUNCTION("""COMPUTED_VALUE"""),"IT Certifications")</f>
        <v>IT Certifications</v>
      </c>
      <c r="K708" s="140">
        <f>IFERROR(__xludf.DUMMYFUNCTION("""COMPUTED_VALUE"""),2687366.0)</f>
        <v>2687366</v>
      </c>
      <c r="L708" s="140" t="str">
        <f>IFERROR(__xludf.DUMMYFUNCTION("""COMPUTED_VALUE"""),"DP-200 Implementing Azure Data Exam Prep In One Day	")</f>
        <v>DP-200 Implementing Azure Data Exam Prep In One Day	</v>
      </c>
    </row>
    <row r="709">
      <c r="A709" s="143">
        <f>IFERROR(__xludf.DUMMYFUNCTION("""COMPUTED_VALUE"""),44462.0)</f>
        <v>44462</v>
      </c>
      <c r="B709">
        <f>IFERROR(__xludf.DUMMYFUNCTION("""COMPUTED_VALUE"""),3529818.0)</f>
        <v>3529818</v>
      </c>
      <c r="C709" t="str">
        <f>IFERROR(__xludf.DUMMYFUNCTION("""COMPUTED_VALUE"""),"en")</f>
        <v>en</v>
      </c>
      <c r="D709" t="str">
        <f>IFERROR(__xludf.DUMMYFUNCTION("""COMPUTED_VALUE"""),"AI-900 Azure AI Fundamentals 5 practice tests")</f>
        <v>AI-900 Azure AI Fundamentals 5 practice tests</v>
      </c>
      <c r="E709" t="str">
        <f>IFERROR(__xludf.DUMMYFUNCTION("""COMPUTED_VALUE"""),"AI-900 Azure You have fundamentals 5 Practice Tests")</f>
        <v>AI-900 Azure You have fundamentals 5 Practice Tests</v>
      </c>
      <c r="F709">
        <f>IFERROR(__xludf.DUMMYFUNCTION("""COMPUTED_VALUE"""),1.32820738E8)</f>
        <v>132820738</v>
      </c>
      <c r="G709" t="str">
        <f>IFERROR(__xludf.DUMMYFUNCTION("""COMPUTED_VALUE"""),"GreyMatter.AI Enterprises")</f>
        <v>GreyMatter.AI Enterprises</v>
      </c>
      <c r="H709" t="str">
        <f>IFERROR(__xludf.DUMMYFUNCTION("""COMPUTED_VALUE"""),"T&amp;S")</f>
        <v>T&amp;S</v>
      </c>
      <c r="I709" t="str">
        <f>IFERROR(__xludf.DUMMYFUNCTION("""COMPUTED_VALUE"""),"IT Operations")</f>
        <v>IT Operations</v>
      </c>
      <c r="J709" t="str">
        <f>IFERROR(__xludf.DUMMYFUNCTION("""COMPUTED_VALUE"""),"IT Certifications")</f>
        <v>IT Certifications</v>
      </c>
      <c r="K709" s="140">
        <f>IFERROR(__xludf.DUMMYFUNCTION("""COMPUTED_VALUE"""),3824326.0)</f>
        <v>3824326</v>
      </c>
      <c r="L709" s="140" t="str">
        <f>IFERROR(__xludf.DUMMYFUNCTION("""COMPUTED_VALUE"""),"AI-900 Azure AI Fundamentals Exam Prep In One Day - Jan 2021	")</f>
        <v>AI-900 Azure AI Fundamentals Exam Prep In One Day - Jan 2021	</v>
      </c>
    </row>
    <row r="710">
      <c r="A710" s="143">
        <f>IFERROR(__xludf.DUMMYFUNCTION("""COMPUTED_VALUE"""),44462.0)</f>
        <v>44462</v>
      </c>
      <c r="B710">
        <f>IFERROR(__xludf.DUMMYFUNCTION("""COMPUTED_VALUE"""),3544070.0)</f>
        <v>3544070</v>
      </c>
      <c r="C710" t="str">
        <f>IFERROR(__xludf.DUMMYFUNCTION("""COMPUTED_VALUE"""),"en")</f>
        <v>en</v>
      </c>
      <c r="D710" t="str">
        <f>IFERROR(__xludf.DUMMYFUNCTION("""COMPUTED_VALUE"""),"DP-900 Azure Data Fundamentals 5 practice tests")</f>
        <v>DP-900 Azure Data Fundamentals 5 practice tests</v>
      </c>
      <c r="E710" t="str">
        <f>IFERROR(__xludf.DUMMYFUNCTION("""COMPUTED_VALUE"""),"DP-900 Azure Data Fundamentals 5 practice tests")</f>
        <v>DP-900 Azure Data Fundamentals 5 practice tests</v>
      </c>
      <c r="F710">
        <f>IFERROR(__xludf.DUMMYFUNCTION("""COMPUTED_VALUE"""),1.32820738E8)</f>
        <v>132820738</v>
      </c>
      <c r="G710" t="str">
        <f>IFERROR(__xludf.DUMMYFUNCTION("""COMPUTED_VALUE"""),"GreyMatter.AI Enterprises")</f>
        <v>GreyMatter.AI Enterprises</v>
      </c>
      <c r="H710" t="str">
        <f>IFERROR(__xludf.DUMMYFUNCTION("""COMPUTED_VALUE"""),"T&amp;S")</f>
        <v>T&amp;S</v>
      </c>
      <c r="I710" t="str">
        <f>IFERROR(__xludf.DUMMYFUNCTION("""COMPUTED_VALUE"""),"IT Operations")</f>
        <v>IT Operations</v>
      </c>
      <c r="J710" t="str">
        <f>IFERROR(__xludf.DUMMYFUNCTION("""COMPUTED_VALUE"""),"IT Certifications")</f>
        <v>IT Certifications</v>
      </c>
      <c r="K710" s="140">
        <f>IFERROR(__xludf.DUMMYFUNCTION("""COMPUTED_VALUE"""),3644002.0)</f>
        <v>3644002</v>
      </c>
      <c r="L710" s="140" t="str">
        <f>IFERROR(__xludf.DUMMYFUNCTION("""COMPUTED_VALUE"""),"DP-900: Microsoft Azure Data Fundamentals Video Course + Qus	")</f>
        <v>DP-900: Microsoft Azure Data Fundamentals Video Course + Qus	</v>
      </c>
    </row>
    <row r="711">
      <c r="A711" s="143">
        <f>IFERROR(__xludf.DUMMYFUNCTION("""COMPUTED_VALUE"""),44462.0)</f>
        <v>44462</v>
      </c>
      <c r="B711">
        <f>IFERROR(__xludf.DUMMYFUNCTION("""COMPUTED_VALUE"""),3645529.0)</f>
        <v>3645529</v>
      </c>
      <c r="C711" t="str">
        <f>IFERROR(__xludf.DUMMYFUNCTION("""COMPUTED_VALUE"""),"en")</f>
        <v>en</v>
      </c>
      <c r="D711" t="str">
        <f>IFERROR(__xludf.DUMMYFUNCTION("""COMPUTED_VALUE"""),"DP-201 Implementing an Azure Data Solution 5 practice tests")</f>
        <v>DP-201 Implementing an Azure Data Solution 5 practice tests</v>
      </c>
      <c r="E711" t="str">
        <f>IFERROR(__xludf.DUMMYFUNCTION("""COMPUTED_VALUE"""),"DP-201 Implementing an Azure Data Solution 5 practice tests")</f>
        <v>DP-201 Implementing an Azure Data Solution 5 practice tests</v>
      </c>
      <c r="F711">
        <f>IFERROR(__xludf.DUMMYFUNCTION("""COMPUTED_VALUE"""),1.32820738E8)</f>
        <v>132820738</v>
      </c>
      <c r="G711" t="str">
        <f>IFERROR(__xludf.DUMMYFUNCTION("""COMPUTED_VALUE"""),"GreyMatter.AI Enterprises")</f>
        <v>GreyMatter.AI Enterprises</v>
      </c>
      <c r="H711" t="str">
        <f>IFERROR(__xludf.DUMMYFUNCTION("""COMPUTED_VALUE"""),"T&amp;S")</f>
        <v>T&amp;S</v>
      </c>
      <c r="I711" t="str">
        <f>IFERROR(__xludf.DUMMYFUNCTION("""COMPUTED_VALUE"""),"IT Operations")</f>
        <v>IT Operations</v>
      </c>
      <c r="J711" t="str">
        <f>IFERROR(__xludf.DUMMYFUNCTION("""COMPUTED_VALUE"""),"IT Certifications")</f>
        <v>IT Certifications</v>
      </c>
    </row>
    <row r="712">
      <c r="A712" s="143">
        <f>IFERROR(__xludf.DUMMYFUNCTION("""COMPUTED_VALUE"""),44462.0)</f>
        <v>44462</v>
      </c>
      <c r="B712">
        <f>IFERROR(__xludf.DUMMYFUNCTION("""COMPUTED_VALUE"""),3647561.0)</f>
        <v>3647561</v>
      </c>
      <c r="C712" t="str">
        <f>IFERROR(__xludf.DUMMYFUNCTION("""COMPUTED_VALUE"""),"en")</f>
        <v>en</v>
      </c>
      <c r="D712" t="str">
        <f>IFERROR(__xludf.DUMMYFUNCTION("""COMPUTED_VALUE"""),"[NEW] PL-900 Microsoft Power Platforms- 5 practice tests")</f>
        <v>[NEW] PL-900 Microsoft Power Platforms- 5 practice tests</v>
      </c>
      <c r="E712" t="str">
        <f>IFERROR(__xludf.DUMMYFUNCTION("""COMPUTED_VALUE"""),"[NEW] PL-900 Microsoft Power Platforms- 5 practice tests")</f>
        <v>[NEW] PL-900 Microsoft Power Platforms- 5 practice tests</v>
      </c>
      <c r="F712">
        <f>IFERROR(__xludf.DUMMYFUNCTION("""COMPUTED_VALUE"""),1.32820738E8)</f>
        <v>132820738</v>
      </c>
      <c r="G712" t="str">
        <f>IFERROR(__xludf.DUMMYFUNCTION("""COMPUTED_VALUE"""),"GreyMatter.AI Enterprises")</f>
        <v>GreyMatter.AI Enterprises</v>
      </c>
      <c r="H712" t="str">
        <f>IFERROR(__xludf.DUMMYFUNCTION("""COMPUTED_VALUE"""),"T&amp;S")</f>
        <v>T&amp;S</v>
      </c>
      <c r="I712" t="str">
        <f>IFERROR(__xludf.DUMMYFUNCTION("""COMPUTED_VALUE"""),"IT Operations")</f>
        <v>IT Operations</v>
      </c>
      <c r="J712" t="str">
        <f>IFERROR(__xludf.DUMMYFUNCTION("""COMPUTED_VALUE"""),"IT Certifications")</f>
        <v>IT Certifications</v>
      </c>
      <c r="K712" s="140">
        <f>IFERROR(__xludf.DUMMYFUNCTION("""COMPUTED_VALUE"""),3756774.0)</f>
        <v>3756774</v>
      </c>
      <c r="L712" s="140" t="str">
        <f>IFERROR(__xludf.DUMMYFUNCTION("""COMPUTED_VALUE"""),"PL-900: Microsoft Power Platform Fundamentals	")</f>
        <v>PL-900: Microsoft Power Platform Fundamentals	</v>
      </c>
    </row>
    <row r="713">
      <c r="A713" s="143">
        <f>IFERROR(__xludf.DUMMYFUNCTION("""COMPUTED_VALUE"""),44462.0)</f>
        <v>44462</v>
      </c>
      <c r="B713">
        <f>IFERROR(__xludf.DUMMYFUNCTION("""COMPUTED_VALUE"""),3699718.0)</f>
        <v>3699718</v>
      </c>
      <c r="C713" t="str">
        <f>IFERROR(__xludf.DUMMYFUNCTION("""COMPUTED_VALUE"""),"en")</f>
        <v>en</v>
      </c>
      <c r="D713" t="str">
        <f>IFERROR(__xludf.DUMMYFUNCTION("""COMPUTED_VALUE"""),"[NEW] MS-900 Microsoft 365 Fundamentals-5 practice tests")</f>
        <v>[NEW] MS-900 Microsoft 365 Fundamentals-5 practice tests</v>
      </c>
      <c r="E713" t="str">
        <f>IFERROR(__xludf.DUMMYFUNCTION("""COMPUTED_VALUE"""),"[NEW] MS-900 Microsoft 365 Fundamentals-5 practice tests")</f>
        <v>[NEW] MS-900 Microsoft 365 Fundamentals-5 practice tests</v>
      </c>
      <c r="F713">
        <f>IFERROR(__xludf.DUMMYFUNCTION("""COMPUTED_VALUE"""),1.32820738E8)</f>
        <v>132820738</v>
      </c>
      <c r="G713" t="str">
        <f>IFERROR(__xludf.DUMMYFUNCTION("""COMPUTED_VALUE"""),"GreyMatter.AI Enterprises")</f>
        <v>GreyMatter.AI Enterprises</v>
      </c>
      <c r="H713" t="str">
        <f>IFERROR(__xludf.DUMMYFUNCTION("""COMPUTED_VALUE"""),"T&amp;S")</f>
        <v>T&amp;S</v>
      </c>
      <c r="I713" t="str">
        <f>IFERROR(__xludf.DUMMYFUNCTION("""COMPUTED_VALUE"""),"IT Operations")</f>
        <v>IT Operations</v>
      </c>
      <c r="J713" t="str">
        <f>IFERROR(__xludf.DUMMYFUNCTION("""COMPUTED_VALUE"""),"IT Certifications")</f>
        <v>IT Certifications</v>
      </c>
      <c r="K713" s="140">
        <f>IFERROR(__xludf.DUMMYFUNCTION("""COMPUTED_VALUE"""),2555316.0)</f>
        <v>2555316</v>
      </c>
      <c r="L713" s="140" t="str">
        <f>IFERROR(__xludf.DUMMYFUNCTION("""COMPUTED_VALUE"""),"MS-900 Exam Prep: Microsoft 365 Fundamentals Course	")</f>
        <v>MS-900 Exam Prep: Microsoft 365 Fundamentals Course	</v>
      </c>
    </row>
    <row r="714">
      <c r="A714" s="143">
        <f>IFERROR(__xludf.DUMMYFUNCTION("""COMPUTED_VALUE"""),44462.0)</f>
        <v>44462</v>
      </c>
      <c r="B714">
        <f>IFERROR(__xludf.DUMMYFUNCTION("""COMPUTED_VALUE"""),1236626.0)</f>
        <v>1236626</v>
      </c>
      <c r="C714" t="str">
        <f>IFERROR(__xludf.DUMMYFUNCTION("""COMPUTED_VALUE"""),"en")</f>
        <v>en</v>
      </c>
      <c r="D714" t="str">
        <f>IFERROR(__xludf.DUMMYFUNCTION("""COMPUTED_VALUE"""),"AWS Certified Solution Architect - Associate")</f>
        <v>AWS Certified Solution Architect - Associate</v>
      </c>
      <c r="E714" t="str">
        <f>IFERROR(__xludf.DUMMYFUNCTION("""COMPUTED_VALUE"""),"AWS Certified Solution Architect - Associate")</f>
        <v>AWS Certified Solution Architect - Associate</v>
      </c>
      <c r="F714">
        <f>IFERROR(__xludf.DUMMYFUNCTION("""COMPUTED_VALUE"""),2.5858272E7)</f>
        <v>25858272</v>
      </c>
      <c r="G714" t="str">
        <f>IFERROR(__xludf.DUMMYFUNCTION("""COMPUTED_VALUE"""),"Alan Rodrigues")</f>
        <v>Alan Rodrigues</v>
      </c>
      <c r="H714" t="str">
        <f>IFERROR(__xludf.DUMMYFUNCTION("""COMPUTED_VALUE"""),"Reinstated after accidental removal")</f>
        <v>Reinstated after accidental removal</v>
      </c>
      <c r="I714" t="str">
        <f>IFERROR(__xludf.DUMMYFUNCTION("""COMPUTED_VALUE"""),"IT Operations")</f>
        <v>IT Operations</v>
      </c>
      <c r="J714" t="str">
        <f>IFERROR(__xludf.DUMMYFUNCTION("""COMPUTED_VALUE"""),"IT Certifications")</f>
        <v>IT Certifications</v>
      </c>
    </row>
    <row r="715">
      <c r="A715" s="143">
        <f>IFERROR(__xludf.DUMMYFUNCTION("""COMPUTED_VALUE"""),44462.0)</f>
        <v>44462</v>
      </c>
      <c r="B715">
        <f>IFERROR(__xludf.DUMMYFUNCTION("""COMPUTED_VALUE"""),1477998.0)</f>
        <v>1477998</v>
      </c>
      <c r="C715" t="str">
        <f>IFERROR(__xludf.DUMMYFUNCTION("""COMPUTED_VALUE"""),"en")</f>
        <v>en</v>
      </c>
      <c r="D715" t="str">
        <f>IFERROR(__xludf.DUMMYFUNCTION("""COMPUTED_VALUE"""),"AWS Certified Cloud Practitioner - Updated 2020")</f>
        <v>AWS Certified Cloud Practitioner - Updated 2020</v>
      </c>
      <c r="E715" t="str">
        <f>IFERROR(__xludf.DUMMYFUNCTION("""COMPUTED_VALUE"""),"AWS Certified Cloud Practitioner - Updated 2020")</f>
        <v>AWS Certified Cloud Practitioner - Updated 2020</v>
      </c>
      <c r="F715">
        <f>IFERROR(__xludf.DUMMYFUNCTION("""COMPUTED_VALUE"""),2.5858272E7)</f>
        <v>25858272</v>
      </c>
      <c r="G715" t="str">
        <f>IFERROR(__xludf.DUMMYFUNCTION("""COMPUTED_VALUE"""),"Alan Rodrigues")</f>
        <v>Alan Rodrigues</v>
      </c>
      <c r="H715" t="str">
        <f>IFERROR(__xludf.DUMMYFUNCTION("""COMPUTED_VALUE"""),"Reinstated after accidental removal")</f>
        <v>Reinstated after accidental removal</v>
      </c>
      <c r="I715" t="str">
        <f>IFERROR(__xludf.DUMMYFUNCTION("""COMPUTED_VALUE"""),"IT Operations")</f>
        <v>IT Operations</v>
      </c>
      <c r="J715" t="str">
        <f>IFERROR(__xludf.DUMMYFUNCTION("""COMPUTED_VALUE"""),"IT Certifications")</f>
        <v>IT Certifications</v>
      </c>
    </row>
    <row r="716">
      <c r="A716" s="143">
        <f>IFERROR(__xludf.DUMMYFUNCTION("""COMPUTED_VALUE"""),44462.0)</f>
        <v>44462</v>
      </c>
      <c r="B716">
        <f>IFERROR(__xludf.DUMMYFUNCTION("""COMPUTED_VALUE"""),1704776.0)</f>
        <v>1704776</v>
      </c>
      <c r="C716" t="str">
        <f>IFERROR(__xludf.DUMMYFUNCTION("""COMPUTED_VALUE"""),"en")</f>
        <v>en</v>
      </c>
      <c r="D716" t="str">
        <f>IFERROR(__xludf.DUMMYFUNCTION("""COMPUTED_VALUE"""),"Microsoft Azure - Beginner's Guide + AZ-900 -  2021")</f>
        <v>Microsoft Azure - Beginner's Guide + AZ-900 -  2021</v>
      </c>
      <c r="E716" t="str">
        <f>IFERROR(__xludf.DUMMYFUNCTION("""COMPUTED_VALUE"""),"Microsoft Azure - BEGINNER'S GUIDE + AZ-900 - 2021")</f>
        <v>Microsoft Azure - BEGINNER'S GUIDE + AZ-900 - 2021</v>
      </c>
      <c r="F716">
        <f>IFERROR(__xludf.DUMMYFUNCTION("""COMPUTED_VALUE"""),2.5858272E7)</f>
        <v>25858272</v>
      </c>
      <c r="G716" t="str">
        <f>IFERROR(__xludf.DUMMYFUNCTION("""COMPUTED_VALUE"""),"Alan Rodrigues")</f>
        <v>Alan Rodrigues</v>
      </c>
      <c r="H716" t="str">
        <f>IFERROR(__xludf.DUMMYFUNCTION("""COMPUTED_VALUE"""),"Reinstated after accidental removal")</f>
        <v>Reinstated after accidental removal</v>
      </c>
      <c r="I716" t="str">
        <f>IFERROR(__xludf.DUMMYFUNCTION("""COMPUTED_VALUE"""),"IT Operations")</f>
        <v>IT Operations</v>
      </c>
      <c r="J716" t="str">
        <f>IFERROR(__xludf.DUMMYFUNCTION("""COMPUTED_VALUE"""),"IT Certifications")</f>
        <v>IT Certifications</v>
      </c>
      <c r="K716" s="140">
        <f>IFERROR(__xludf.DUMMYFUNCTION("""COMPUTED_VALUE"""),2394982.0)</f>
        <v>2394982</v>
      </c>
      <c r="L716" s="140" t="str">
        <f>IFERROR(__xludf.DUMMYFUNCTION("""COMPUTED_VALUE"""),"AZ-900: Microsoft Azure Fundamentals Exam Prep - MAY 2021	")</f>
        <v>AZ-900: Microsoft Azure Fundamentals Exam Prep - MAY 2021	</v>
      </c>
    </row>
    <row r="717">
      <c r="A717" s="143">
        <f>IFERROR(__xludf.DUMMYFUNCTION("""COMPUTED_VALUE"""),44462.0)</f>
        <v>44462</v>
      </c>
      <c r="B717">
        <f>IFERROR(__xludf.DUMMYFUNCTION("""COMPUTED_VALUE"""),1777616.0)</f>
        <v>1777616</v>
      </c>
      <c r="C717" t="str">
        <f>IFERROR(__xludf.DUMMYFUNCTION("""COMPUTED_VALUE"""),"en")</f>
        <v>en</v>
      </c>
      <c r="D717" t="str">
        <f>IFERROR(__xludf.DUMMYFUNCTION("""COMPUTED_VALUE"""),"AWS Certifications Practice Tests")</f>
        <v>AWS Certifications Practice Tests</v>
      </c>
      <c r="E717" t="str">
        <f>IFERROR(__xludf.DUMMYFUNCTION("""COMPUTED_VALUE"""),"AWS Certifications Practice Tests")</f>
        <v>AWS Certifications Practice Tests</v>
      </c>
      <c r="F717">
        <f>IFERROR(__xludf.DUMMYFUNCTION("""COMPUTED_VALUE"""),2.5858272E7)</f>
        <v>25858272</v>
      </c>
      <c r="G717" t="str">
        <f>IFERROR(__xludf.DUMMYFUNCTION("""COMPUTED_VALUE"""),"Alan Rodrigues")</f>
        <v>Alan Rodrigues</v>
      </c>
      <c r="H717" t="str">
        <f>IFERROR(__xludf.DUMMYFUNCTION("""COMPUTED_VALUE"""),"Reinstated after accidental removal")</f>
        <v>Reinstated after accidental removal</v>
      </c>
      <c r="I717" t="str">
        <f>IFERROR(__xludf.DUMMYFUNCTION("""COMPUTED_VALUE"""),"IT Operations")</f>
        <v>IT Operations</v>
      </c>
      <c r="J717" t="str">
        <f>IFERROR(__xludf.DUMMYFUNCTION("""COMPUTED_VALUE"""),"IT Certifications")</f>
        <v>IT Certifications</v>
      </c>
    </row>
    <row r="718">
      <c r="A718" s="143">
        <f>IFERROR(__xludf.DUMMYFUNCTION("""COMPUTED_VALUE"""),44462.0)</f>
        <v>44462</v>
      </c>
      <c r="B718">
        <f>IFERROR(__xludf.DUMMYFUNCTION("""COMPUTED_VALUE"""),1791362.0)</f>
        <v>1791362</v>
      </c>
      <c r="C718" t="str">
        <f>IFERROR(__xludf.DUMMYFUNCTION("""COMPUTED_VALUE"""),"en")</f>
        <v>en</v>
      </c>
      <c r="D718" t="str">
        <f>IFERROR(__xludf.DUMMYFUNCTION("""COMPUTED_VALUE"""),"AWS Certified Solution Architect Associate - Preparation")</f>
        <v>AWS Certified Solution Architect Associate - Preparation</v>
      </c>
      <c r="E718" t="str">
        <f>IFERROR(__xludf.DUMMYFUNCTION("""COMPUTED_VALUE"""),"AWS Certified Solution Architect Associate - Preparation")</f>
        <v>AWS Certified Solution Architect Associate - Preparation</v>
      </c>
      <c r="F718">
        <f>IFERROR(__xludf.DUMMYFUNCTION("""COMPUTED_VALUE"""),2.5858272E7)</f>
        <v>25858272</v>
      </c>
      <c r="G718" t="str">
        <f>IFERROR(__xludf.DUMMYFUNCTION("""COMPUTED_VALUE"""),"Alan Rodrigues")</f>
        <v>Alan Rodrigues</v>
      </c>
      <c r="H718" t="str">
        <f>IFERROR(__xludf.DUMMYFUNCTION("""COMPUTED_VALUE"""),"Reinstated after accidental removal")</f>
        <v>Reinstated after accidental removal</v>
      </c>
      <c r="I718" t="str">
        <f>IFERROR(__xludf.DUMMYFUNCTION("""COMPUTED_VALUE"""),"IT Operations")</f>
        <v>IT Operations</v>
      </c>
      <c r="J718" t="str">
        <f>IFERROR(__xludf.DUMMYFUNCTION("""COMPUTED_VALUE"""),"IT Certifications")</f>
        <v>IT Certifications</v>
      </c>
    </row>
    <row r="719">
      <c r="A719" s="143">
        <f>IFERROR(__xludf.DUMMYFUNCTION("""COMPUTED_VALUE"""),44462.0)</f>
        <v>44462</v>
      </c>
      <c r="B719">
        <f>IFERROR(__xludf.DUMMYFUNCTION("""COMPUTED_VALUE"""),2059535.0)</f>
        <v>2059535</v>
      </c>
      <c r="C719" t="str">
        <f>IFERROR(__xludf.DUMMYFUNCTION("""COMPUTED_VALUE"""),"en")</f>
        <v>en</v>
      </c>
      <c r="D719" t="str">
        <f>IFERROR(__xludf.DUMMYFUNCTION("""COMPUTED_VALUE"""),"AZ-303 Azure Architect Technologies Certification 2021")</f>
        <v>AZ-303 Azure Architect Technologies Certification 2021</v>
      </c>
      <c r="E719" t="str">
        <f>IFERROR(__xludf.DUMMYFUNCTION("""COMPUTED_VALUE"""),"AZ-303 Azure Architect Technologies Certification 2021")</f>
        <v>AZ-303 Azure Architect Technologies Certification 2021</v>
      </c>
      <c r="F719">
        <f>IFERROR(__xludf.DUMMYFUNCTION("""COMPUTED_VALUE"""),2.5858272E7)</f>
        <v>25858272</v>
      </c>
      <c r="G719" t="str">
        <f>IFERROR(__xludf.DUMMYFUNCTION("""COMPUTED_VALUE"""),"Alan Rodrigues")</f>
        <v>Alan Rodrigues</v>
      </c>
      <c r="H719" t="str">
        <f>IFERROR(__xludf.DUMMYFUNCTION("""COMPUTED_VALUE"""),"Reinstated after accidental removal")</f>
        <v>Reinstated after accidental removal</v>
      </c>
      <c r="I719" t="str">
        <f>IFERROR(__xludf.DUMMYFUNCTION("""COMPUTED_VALUE"""),"IT Operations")</f>
        <v>IT Operations</v>
      </c>
      <c r="J719" t="str">
        <f>IFERROR(__xludf.DUMMYFUNCTION("""COMPUTED_VALUE"""),"IT Certifications")</f>
        <v>IT Certifications</v>
      </c>
      <c r="K719" s="140">
        <f>IFERROR(__xludf.DUMMYFUNCTION("""COMPUTED_VALUE"""),2193468.0)</f>
        <v>2193468</v>
      </c>
      <c r="L719" s="140" t="str">
        <f>IFERROR(__xludf.DUMMYFUNCTION("""COMPUTED_VALUE"""),"Microsoft AZ-303 Certification: Azure Architect Technologies	")</f>
        <v>Microsoft AZ-303 Certification: Azure Architect Technologies	</v>
      </c>
    </row>
    <row r="720">
      <c r="A720" s="143">
        <f>IFERROR(__xludf.DUMMYFUNCTION("""COMPUTED_VALUE"""),44462.0)</f>
        <v>44462</v>
      </c>
      <c r="B720">
        <f>IFERROR(__xludf.DUMMYFUNCTION("""COMPUTED_VALUE"""),2131244.0)</f>
        <v>2131244</v>
      </c>
      <c r="C720" t="str">
        <f>IFERROR(__xludf.DUMMYFUNCTION("""COMPUTED_VALUE"""),"en")</f>
        <v>en</v>
      </c>
      <c r="D720" t="str">
        <f>IFERROR(__xludf.DUMMYFUNCTION("""COMPUTED_VALUE"""),"AZ-104 Microsoft Azure Administrator Certification 2021")</f>
        <v>AZ-104 Microsoft Azure Administrator Certification 2021</v>
      </c>
      <c r="E720" t="str">
        <f>IFERROR(__xludf.DUMMYFUNCTION("""COMPUTED_VALUE"""),"AZ-104 Microsoft Azure Administrator Certification 2021")</f>
        <v>AZ-104 Microsoft Azure Administrator Certification 2021</v>
      </c>
      <c r="F720">
        <f>IFERROR(__xludf.DUMMYFUNCTION("""COMPUTED_VALUE"""),2.5858272E7)</f>
        <v>25858272</v>
      </c>
      <c r="G720" t="str">
        <f>IFERROR(__xludf.DUMMYFUNCTION("""COMPUTED_VALUE"""),"Alan Rodrigues")</f>
        <v>Alan Rodrigues</v>
      </c>
      <c r="H720" t="str">
        <f>IFERROR(__xludf.DUMMYFUNCTION("""COMPUTED_VALUE"""),"Reinstated after accidental removal")</f>
        <v>Reinstated after accidental removal</v>
      </c>
      <c r="I720" t="str">
        <f>IFERROR(__xludf.DUMMYFUNCTION("""COMPUTED_VALUE"""),"IT Operations")</f>
        <v>IT Operations</v>
      </c>
      <c r="J720" t="str">
        <f>IFERROR(__xludf.DUMMYFUNCTION("""COMPUTED_VALUE"""),"IT Certifications")</f>
        <v>IT Certifications</v>
      </c>
      <c r="K720" s="140">
        <f>IFERROR(__xludf.DUMMYFUNCTION("""COMPUTED_VALUE"""),2873370.0)</f>
        <v>2873370</v>
      </c>
      <c r="L720" s="140" t="str">
        <f>IFERROR(__xludf.DUMMYFUNCTION("""COMPUTED_VALUE"""),"AZ-104: Microsoft Azure Administrator - Full Course	")</f>
        <v>AZ-104: Microsoft Azure Administrator - Full Course	</v>
      </c>
    </row>
    <row r="721">
      <c r="A721" s="143">
        <f>IFERROR(__xludf.DUMMYFUNCTION("""COMPUTED_VALUE"""),44462.0)</f>
        <v>44462</v>
      </c>
      <c r="B721">
        <f>IFERROR(__xludf.DUMMYFUNCTION("""COMPUTED_VALUE"""),2539828.0)</f>
        <v>2539828</v>
      </c>
      <c r="C721" t="str">
        <f>IFERROR(__xludf.DUMMYFUNCTION("""COMPUTED_VALUE"""),"en")</f>
        <v>en</v>
      </c>
      <c r="D721" t="str">
        <f>IFERROR(__xludf.DUMMYFUNCTION("""COMPUTED_VALUE"""),"AZ-204 Developing Solutions for Azure Certification 2021")</f>
        <v>AZ-204 Developing Solutions for Azure Certification 2021</v>
      </c>
      <c r="E721" t="str">
        <f>IFERROR(__xludf.DUMMYFUNCTION("""COMPUTED_VALUE"""),"AZ-204 Developing Solutions for Azure Certification 2021")</f>
        <v>AZ-204 Developing Solutions for Azure Certification 2021</v>
      </c>
      <c r="F721">
        <f>IFERROR(__xludf.DUMMYFUNCTION("""COMPUTED_VALUE"""),2.5858272E7)</f>
        <v>25858272</v>
      </c>
      <c r="G721" t="str">
        <f>IFERROR(__xludf.DUMMYFUNCTION("""COMPUTED_VALUE"""),"Alan Rodrigues")</f>
        <v>Alan Rodrigues</v>
      </c>
      <c r="H721" t="str">
        <f>IFERROR(__xludf.DUMMYFUNCTION("""COMPUTED_VALUE"""),"T&amp;S")</f>
        <v>T&amp;S</v>
      </c>
      <c r="I721" t="str">
        <f>IFERROR(__xludf.DUMMYFUNCTION("""COMPUTED_VALUE"""),"IT Operations")</f>
        <v>IT Operations</v>
      </c>
      <c r="J721" t="str">
        <f>IFERROR(__xludf.DUMMYFUNCTION("""COMPUTED_VALUE"""),"IT Certifications")</f>
        <v>IT Certifications</v>
      </c>
      <c r="K721" s="140">
        <f>IFERROR(__xludf.DUMMYFUNCTION("""COMPUTED_VALUE"""),802574.0)</f>
        <v>802574</v>
      </c>
      <c r="L721" s="140" t="str">
        <f>IFERROR(__xludf.DUMMYFUNCTION("""COMPUTED_VALUE"""),"AZ-204 Developing for Microsoft Azure Exam Prep        ")</f>
        <v>AZ-204 Developing for Microsoft Azure Exam Prep        </v>
      </c>
    </row>
    <row r="722">
      <c r="A722" s="143">
        <f>IFERROR(__xludf.DUMMYFUNCTION("""COMPUTED_VALUE"""),44462.0)</f>
        <v>44462</v>
      </c>
      <c r="B722">
        <f>IFERROR(__xludf.DUMMYFUNCTION("""COMPUTED_VALUE"""),2741358.0)</f>
        <v>2741358</v>
      </c>
      <c r="C722" t="str">
        <f>IFERROR(__xludf.DUMMYFUNCTION("""COMPUTED_VALUE"""),"en")</f>
        <v>en</v>
      </c>
      <c r="D722" t="str">
        <f>IFERROR(__xludf.DUMMYFUNCTION("""COMPUTED_VALUE"""),"AZ-304 Microsoft Azure Architect Design Certification 2021")</f>
        <v>AZ-304 Microsoft Azure Architect Design Certification 2021</v>
      </c>
      <c r="E722" t="str">
        <f>IFERROR(__xludf.DUMMYFUNCTION("""COMPUTED_VALUE"""),"AZ-304 Microsoft Azure Architect Design Certification 2021")</f>
        <v>AZ-304 Microsoft Azure Architect Design Certification 2021</v>
      </c>
      <c r="F722">
        <f>IFERROR(__xludf.DUMMYFUNCTION("""COMPUTED_VALUE"""),2.5858272E7)</f>
        <v>25858272</v>
      </c>
      <c r="G722" t="str">
        <f>IFERROR(__xludf.DUMMYFUNCTION("""COMPUTED_VALUE"""),"Alan Rodrigues")</f>
        <v>Alan Rodrigues</v>
      </c>
      <c r="H722" t="str">
        <f>IFERROR(__xludf.DUMMYFUNCTION("""COMPUTED_VALUE"""),"Reinstated after accidental removal")</f>
        <v>Reinstated after accidental removal</v>
      </c>
      <c r="I722" t="str">
        <f>IFERROR(__xludf.DUMMYFUNCTION("""COMPUTED_VALUE"""),"IT Operations")</f>
        <v>IT Operations</v>
      </c>
      <c r="J722" t="str">
        <f>IFERROR(__xludf.DUMMYFUNCTION("""COMPUTED_VALUE"""),"IT Certifications")</f>
        <v>IT Certifications</v>
      </c>
      <c r="K722" s="140">
        <f>IFERROR(__xludf.DUMMYFUNCTION("""COMPUTED_VALUE"""),2311352.0)</f>
        <v>2311352</v>
      </c>
      <c r="L722" s="140" t="str">
        <f>IFERROR(__xludf.DUMMYFUNCTION("""COMPUTED_VALUE"""),"Microsoft AZ-304 Certification: Azure Architect Design")</f>
        <v>Microsoft AZ-304 Certification: Azure Architect Design</v>
      </c>
    </row>
    <row r="723">
      <c r="A723" s="143">
        <f>IFERROR(__xludf.DUMMYFUNCTION("""COMPUTED_VALUE"""),44462.0)</f>
        <v>44462</v>
      </c>
      <c r="B723">
        <f>IFERROR(__xludf.DUMMYFUNCTION("""COMPUTED_VALUE"""),2782102.0)</f>
        <v>2782102</v>
      </c>
      <c r="C723" t="str">
        <f>IFERROR(__xludf.DUMMYFUNCTION("""COMPUTED_VALUE"""),"en")</f>
        <v>en</v>
      </c>
      <c r="D723" t="str">
        <f>IFERROR(__xludf.DUMMYFUNCTION("""COMPUTED_VALUE"""),"AZ-500 Microsoft Azure Security Exam Certification 2021")</f>
        <v>AZ-500 Microsoft Azure Security Exam Certification 2021</v>
      </c>
      <c r="E723" t="str">
        <f>IFERROR(__xludf.DUMMYFUNCTION("""COMPUTED_VALUE"""),"AZ-500 Microsoft Azure Security Exam Certification 2021")</f>
        <v>AZ-500 Microsoft Azure Security Exam Certification 2021</v>
      </c>
      <c r="F723">
        <f>IFERROR(__xludf.DUMMYFUNCTION("""COMPUTED_VALUE"""),2.5858272E7)</f>
        <v>25858272</v>
      </c>
      <c r="G723" t="str">
        <f>IFERROR(__xludf.DUMMYFUNCTION("""COMPUTED_VALUE"""),"Alan Rodrigues")</f>
        <v>Alan Rodrigues</v>
      </c>
      <c r="H723" t="str">
        <f>IFERROR(__xludf.DUMMYFUNCTION("""COMPUTED_VALUE"""),"Reinstated after accidental removal")</f>
        <v>Reinstated after accidental removal</v>
      </c>
      <c r="I723" t="str">
        <f>IFERROR(__xludf.DUMMYFUNCTION("""COMPUTED_VALUE"""),"IT Operations")</f>
        <v>IT Operations</v>
      </c>
      <c r="J723" t="str">
        <f>IFERROR(__xludf.DUMMYFUNCTION("""COMPUTED_VALUE"""),"IT Certifications")</f>
        <v>IT Certifications</v>
      </c>
    </row>
    <row r="724">
      <c r="A724" s="143">
        <f>IFERROR(__xludf.DUMMYFUNCTION("""COMPUTED_VALUE"""),44462.0)</f>
        <v>44462</v>
      </c>
      <c r="B724">
        <f>IFERROR(__xludf.DUMMYFUNCTION("""COMPUTED_VALUE"""),3492150.0)</f>
        <v>3492150</v>
      </c>
      <c r="C724" t="str">
        <f>IFERROR(__xludf.DUMMYFUNCTION("""COMPUTED_VALUE"""),"en")</f>
        <v>en</v>
      </c>
      <c r="D724" t="str">
        <f>IFERROR(__xludf.DUMMYFUNCTION("""COMPUTED_VALUE"""),"AZ-400 Designing and Implementing DevOps Certification 2021")</f>
        <v>AZ-400 Designing and Implementing DevOps Certification 2021</v>
      </c>
      <c r="E724" t="str">
        <f>IFERROR(__xludf.DUMMYFUNCTION("""COMPUTED_VALUE"""),"AZ-400 Designing and Implementing DevOps Certification 2021")</f>
        <v>AZ-400 Designing and Implementing DevOps Certification 2021</v>
      </c>
      <c r="F724">
        <f>IFERROR(__xludf.DUMMYFUNCTION("""COMPUTED_VALUE"""),2.5858272E7)</f>
        <v>25858272</v>
      </c>
      <c r="G724" t="str">
        <f>IFERROR(__xludf.DUMMYFUNCTION("""COMPUTED_VALUE"""),"Alan Rodrigues")</f>
        <v>Alan Rodrigues</v>
      </c>
      <c r="H724" t="str">
        <f>IFERROR(__xludf.DUMMYFUNCTION("""COMPUTED_VALUE"""),"Reinstated after accidental removal")</f>
        <v>Reinstated after accidental removal</v>
      </c>
      <c r="I724" t="str">
        <f>IFERROR(__xludf.DUMMYFUNCTION("""COMPUTED_VALUE"""),"IT Operations")</f>
        <v>IT Operations</v>
      </c>
      <c r="J724" t="str">
        <f>IFERROR(__xludf.DUMMYFUNCTION("""COMPUTED_VALUE"""),"IT Certifications")</f>
        <v>IT Certifications</v>
      </c>
    </row>
    <row r="725">
      <c r="A725" s="143">
        <f>IFERROR(__xludf.DUMMYFUNCTION("""COMPUTED_VALUE"""),44462.0)</f>
        <v>44462</v>
      </c>
      <c r="B725">
        <f>IFERROR(__xludf.DUMMYFUNCTION("""COMPUTED_VALUE"""),3611140.0)</f>
        <v>3611140</v>
      </c>
      <c r="C725" t="str">
        <f>IFERROR(__xludf.DUMMYFUNCTION("""COMPUTED_VALUE"""),"en")</f>
        <v>en</v>
      </c>
      <c r="D725" t="str">
        <f>IFERROR(__xludf.DUMMYFUNCTION("""COMPUTED_VALUE"""),"DP-900 Microsoft Azure Data Fundamentals Certification 2021")</f>
        <v>DP-900 Microsoft Azure Data Fundamentals Certification 2021</v>
      </c>
      <c r="E725" t="str">
        <f>IFERROR(__xludf.DUMMYFUNCTION("""COMPUTED_VALUE"""),"DP-900 Microsoft Azure Data Fundamentals Certification 2021")</f>
        <v>DP-900 Microsoft Azure Data Fundamentals Certification 2021</v>
      </c>
      <c r="F725">
        <f>IFERROR(__xludf.DUMMYFUNCTION("""COMPUTED_VALUE"""),2.5858272E7)</f>
        <v>25858272</v>
      </c>
      <c r="G725" t="str">
        <f>IFERROR(__xludf.DUMMYFUNCTION("""COMPUTED_VALUE"""),"Alan Rodrigues")</f>
        <v>Alan Rodrigues</v>
      </c>
      <c r="H725" t="str">
        <f>IFERROR(__xludf.DUMMYFUNCTION("""COMPUTED_VALUE"""),"Reinstated after accidental removal")</f>
        <v>Reinstated after accidental removal</v>
      </c>
      <c r="I725" t="str">
        <f>IFERROR(__xludf.DUMMYFUNCTION("""COMPUTED_VALUE"""),"IT Operations")</f>
        <v>IT Operations</v>
      </c>
      <c r="J725" t="str">
        <f>IFERROR(__xludf.DUMMYFUNCTION("""COMPUTED_VALUE"""),"IT Certifications")</f>
        <v>IT Certifications</v>
      </c>
      <c r="K725" s="140">
        <f>IFERROR(__xludf.DUMMYFUNCTION("""COMPUTED_VALUE"""),3644002.0)</f>
        <v>3644002</v>
      </c>
      <c r="L725" s="140" t="str">
        <f>IFERROR(__xludf.DUMMYFUNCTION("""COMPUTED_VALUE"""),"DP-900: Microsoft Azure Data Fundamentals Video Course + Qus	")</f>
        <v>DP-900: Microsoft Azure Data Fundamentals Video Course + Qus	</v>
      </c>
    </row>
    <row r="726">
      <c r="A726" s="143">
        <f>IFERROR(__xludf.DUMMYFUNCTION("""COMPUTED_VALUE"""),44462.0)</f>
        <v>44462</v>
      </c>
      <c r="B726">
        <f>IFERROR(__xludf.DUMMYFUNCTION("""COMPUTED_VALUE"""),3829288.0)</f>
        <v>3829288</v>
      </c>
      <c r="C726" t="str">
        <f>IFERROR(__xludf.DUMMYFUNCTION("""COMPUTED_VALUE"""),"en")</f>
        <v>en</v>
      </c>
      <c r="D726" t="str">
        <f>IFERROR(__xludf.DUMMYFUNCTION("""COMPUTED_VALUE"""),"AI-900 Microsoft Azure AI Fundamentals Certification 2021")</f>
        <v>AI-900 Microsoft Azure AI Fundamentals Certification 2021</v>
      </c>
      <c r="E726" t="str">
        <f>IFERROR(__xludf.DUMMYFUNCTION("""COMPUTED_VALUE"""),"Eat-900 Microsoft Azurre a FUNDAMENTS Certification 2021")</f>
        <v>Eat-900 Microsoft Azurre a FUNDAMENTS Certification 2021</v>
      </c>
      <c r="F726">
        <f>IFERROR(__xludf.DUMMYFUNCTION("""COMPUTED_VALUE"""),2.5858272E7)</f>
        <v>25858272</v>
      </c>
      <c r="G726" t="str">
        <f>IFERROR(__xludf.DUMMYFUNCTION("""COMPUTED_VALUE"""),"Alan Rodrigues")</f>
        <v>Alan Rodrigues</v>
      </c>
      <c r="H726" t="str">
        <f>IFERROR(__xludf.DUMMYFUNCTION("""COMPUTED_VALUE"""),"Reinstated after accidental removal")</f>
        <v>Reinstated after accidental removal</v>
      </c>
      <c r="I726" t="str">
        <f>IFERROR(__xludf.DUMMYFUNCTION("""COMPUTED_VALUE"""),"IT Operations")</f>
        <v>IT Operations</v>
      </c>
      <c r="J726" t="str">
        <f>IFERROR(__xludf.DUMMYFUNCTION("""COMPUTED_VALUE"""),"IT Certifications")</f>
        <v>IT Certifications</v>
      </c>
      <c r="K726" s="140">
        <f>IFERROR(__xludf.DUMMYFUNCTION("""COMPUTED_VALUE"""),3824326.0)</f>
        <v>3824326</v>
      </c>
      <c r="L726" s="140" t="str">
        <f>IFERROR(__xludf.DUMMYFUNCTION("""COMPUTED_VALUE"""),"AI-900 Azure AI Fundamentals Exam Prep In One Day - Jan 2021	")</f>
        <v>AI-900 Azure AI Fundamentals Exam Prep In One Day - Jan 2021	</v>
      </c>
    </row>
    <row r="727">
      <c r="A727" s="143">
        <f>IFERROR(__xludf.DUMMYFUNCTION("""COMPUTED_VALUE"""),44462.0)</f>
        <v>44462</v>
      </c>
      <c r="B727">
        <f>IFERROR(__xludf.DUMMYFUNCTION("""COMPUTED_VALUE"""),4160316.0)</f>
        <v>4160316</v>
      </c>
      <c r="C727" t="str">
        <f>IFERROR(__xludf.DUMMYFUNCTION("""COMPUTED_VALUE"""),"en")</f>
        <v>en</v>
      </c>
      <c r="D727" t="str">
        <f>IFERROR(__xludf.DUMMYFUNCTION("""COMPUTED_VALUE"""),"DP-203 - Data Engineering on Microsoft Azure 2021")</f>
        <v>DP-203 - Data Engineering on Microsoft Azure 2021</v>
      </c>
      <c r="E727" t="str">
        <f>IFERROR(__xludf.DUMMYFUNCTION("""COMPUTED_VALUE"""),"DP-203 - Data Engineering on Microsoft Azure 2021")</f>
        <v>DP-203 - Data Engineering on Microsoft Azure 2021</v>
      </c>
      <c r="F727">
        <f>IFERROR(__xludf.DUMMYFUNCTION("""COMPUTED_VALUE"""),2.5858272E7)</f>
        <v>25858272</v>
      </c>
      <c r="G727" t="str">
        <f>IFERROR(__xludf.DUMMYFUNCTION("""COMPUTED_VALUE"""),"Alan Rodrigues")</f>
        <v>Alan Rodrigues</v>
      </c>
      <c r="H727" t="str">
        <f>IFERROR(__xludf.DUMMYFUNCTION("""COMPUTED_VALUE"""),"Reinstated after accidental removal")</f>
        <v>Reinstated after accidental removal</v>
      </c>
      <c r="I727" t="str">
        <f>IFERROR(__xludf.DUMMYFUNCTION("""COMPUTED_VALUE"""),"IT Operations")</f>
        <v>IT Operations</v>
      </c>
      <c r="J727" t="str">
        <f>IFERROR(__xludf.DUMMYFUNCTION("""COMPUTED_VALUE"""),"IT Certifications")</f>
        <v>IT Certifications</v>
      </c>
      <c r="K727" s="140">
        <f>IFERROR(__xludf.DUMMYFUNCTION("""COMPUTED_VALUE"""),3644002.0)</f>
        <v>3644002</v>
      </c>
      <c r="L727" s="140" t="str">
        <f>IFERROR(__xludf.DUMMYFUNCTION("""COMPUTED_VALUE"""),"DP-900: Microsoft Azure Data Fundamentals Video Course + Qus	")</f>
        <v>DP-900: Microsoft Azure Data Fundamentals Video Course + Qus	</v>
      </c>
    </row>
    <row r="728">
      <c r="A728" s="143">
        <f>IFERROR(__xludf.DUMMYFUNCTION("""COMPUTED_VALUE"""),44462.0)</f>
        <v>44462</v>
      </c>
      <c r="B728">
        <f>IFERROR(__xludf.DUMMYFUNCTION("""COMPUTED_VALUE"""),3211579.0)</f>
        <v>3211579</v>
      </c>
      <c r="C728" t="str">
        <f>IFERROR(__xludf.DUMMYFUNCTION("""COMPUTED_VALUE"""),"en")</f>
        <v>en</v>
      </c>
      <c r="D728" t="str">
        <f>IFERROR(__xludf.DUMMYFUNCTION("""COMPUTED_VALUE"""),"AZ-303: Microsoft Azure Architect Technologies Practice Test")</f>
        <v>AZ-303: Microsoft Azure Architect Technologies Practice Test</v>
      </c>
      <c r="E728" t="str">
        <f>IFERROR(__xludf.DUMMYFUNCTION("""COMPUTED_VALUE"""),"AZ-303: Microsoft Azure Architect Technologies Practice Test")</f>
        <v>AZ-303: Microsoft Azure Architect Technologies Practice Test</v>
      </c>
      <c r="F728">
        <f>IFERROR(__xludf.DUMMYFUNCTION("""COMPUTED_VALUE"""),1.19799548E8)</f>
        <v>119799548</v>
      </c>
      <c r="G728" t="str">
        <f>IFERROR(__xludf.DUMMYFUNCTION("""COMPUTED_VALUE"""),"Suresh M")</f>
        <v>Suresh M</v>
      </c>
      <c r="H728" t="str">
        <f>IFERROR(__xludf.DUMMYFUNCTION("""COMPUTED_VALUE"""),"T&amp;S")</f>
        <v>T&amp;S</v>
      </c>
      <c r="I728" t="str">
        <f>IFERROR(__xludf.DUMMYFUNCTION("""COMPUTED_VALUE"""),"IT Operations")</f>
        <v>IT Operations</v>
      </c>
      <c r="J728" t="str">
        <f>IFERROR(__xludf.DUMMYFUNCTION("""COMPUTED_VALUE"""),"IT Certifications")</f>
        <v>IT Certifications</v>
      </c>
      <c r="K728" s="140">
        <f>IFERROR(__xludf.DUMMYFUNCTION("""COMPUTED_VALUE"""),802578.0)</f>
        <v>802578</v>
      </c>
      <c r="L728" s="140" t="str">
        <f>IFERROR(__xludf.DUMMYFUNCTION("""COMPUTED_VALUE"""),"AZ-303 Azure Architecture Technologies Exam Prep 2021	")</f>
        <v>AZ-303 Azure Architecture Technologies Exam Prep 2021	</v>
      </c>
    </row>
    <row r="729">
      <c r="A729" s="143">
        <f>IFERROR(__xludf.DUMMYFUNCTION("""COMPUTED_VALUE"""),44462.0)</f>
        <v>44462</v>
      </c>
      <c r="B729">
        <f>IFERROR(__xludf.DUMMYFUNCTION("""COMPUTED_VALUE"""),3300394.0)</f>
        <v>3300394</v>
      </c>
      <c r="C729" t="str">
        <f>IFERROR(__xludf.DUMMYFUNCTION("""COMPUTED_VALUE"""),"en")</f>
        <v>en</v>
      </c>
      <c r="D729" t="str">
        <f>IFERROR(__xludf.DUMMYFUNCTION("""COMPUTED_VALUE"""),"AZ-304: Microsoft Azure Architect Design Practice Tests")</f>
        <v>AZ-304: Microsoft Azure Architect Design Practice Tests</v>
      </c>
      <c r="E729" t="str">
        <f>IFERROR(__xludf.DUMMYFUNCTION("""COMPUTED_VALUE"""),"AZ-304: Microsoft Azure Architect Design Practice Tests")</f>
        <v>AZ-304: Microsoft Azure Architect Design Practice Tests</v>
      </c>
      <c r="F729">
        <f>IFERROR(__xludf.DUMMYFUNCTION("""COMPUTED_VALUE"""),1.19799548E8)</f>
        <v>119799548</v>
      </c>
      <c r="G729" t="str">
        <f>IFERROR(__xludf.DUMMYFUNCTION("""COMPUTED_VALUE"""),"Suresh M")</f>
        <v>Suresh M</v>
      </c>
      <c r="H729" t="str">
        <f>IFERROR(__xludf.DUMMYFUNCTION("""COMPUTED_VALUE"""),"T&amp;S")</f>
        <v>T&amp;S</v>
      </c>
      <c r="I729" t="str">
        <f>IFERROR(__xludf.DUMMYFUNCTION("""COMPUTED_VALUE"""),"IT Operations")</f>
        <v>IT Operations</v>
      </c>
      <c r="J729" t="str">
        <f>IFERROR(__xludf.DUMMYFUNCTION("""COMPUTED_VALUE"""),"IT Certifications")</f>
        <v>IT Certifications</v>
      </c>
      <c r="K729" s="140">
        <f>IFERROR(__xludf.DUMMYFUNCTION("""COMPUTED_VALUE"""),2311352.0)</f>
        <v>2311352</v>
      </c>
      <c r="L729" s="140" t="str">
        <f>IFERROR(__xludf.DUMMYFUNCTION("""COMPUTED_VALUE"""),"Microsoft AZ-304 Certification: Azure Architect Design        ")</f>
        <v>Microsoft AZ-304 Certification: Azure Architect Design        </v>
      </c>
    </row>
    <row r="730">
      <c r="A730" s="143">
        <f>IFERROR(__xludf.DUMMYFUNCTION("""COMPUTED_VALUE"""),44462.0)</f>
        <v>44462</v>
      </c>
      <c r="B730">
        <f>IFERROR(__xludf.DUMMYFUNCTION("""COMPUTED_VALUE"""),3471566.0)</f>
        <v>3471566</v>
      </c>
      <c r="C730" t="str">
        <f>IFERROR(__xludf.DUMMYFUNCTION("""COMPUTED_VALUE"""),"en")</f>
        <v>en</v>
      </c>
      <c r="D730" t="str">
        <f>IFERROR(__xludf.DUMMYFUNCTION("""COMPUTED_VALUE"""),"AZ-500: Microsoft Azure Security Technologies Practice Tests")</f>
        <v>AZ-500: Microsoft Azure Security Technologies Practice Tests</v>
      </c>
      <c r="E730" t="str">
        <f>IFERROR(__xludf.DUMMYFUNCTION("""COMPUTED_VALUE"""),"AZ-500: Microsoft Azure Security Technologies Practice Tests")</f>
        <v>AZ-500: Microsoft Azure Security Technologies Practice Tests</v>
      </c>
      <c r="F730">
        <f>IFERROR(__xludf.DUMMYFUNCTION("""COMPUTED_VALUE"""),1.19799548E8)</f>
        <v>119799548</v>
      </c>
      <c r="G730" t="str">
        <f>IFERROR(__xludf.DUMMYFUNCTION("""COMPUTED_VALUE"""),"Suresh M")</f>
        <v>Suresh M</v>
      </c>
      <c r="H730" t="str">
        <f>IFERROR(__xludf.DUMMYFUNCTION("""COMPUTED_VALUE"""),"T&amp;S")</f>
        <v>T&amp;S</v>
      </c>
      <c r="I730" t="str">
        <f>IFERROR(__xludf.DUMMYFUNCTION("""COMPUTED_VALUE"""),"IT Operations")</f>
        <v>IT Operations</v>
      </c>
      <c r="J730" t="str">
        <f>IFERROR(__xludf.DUMMYFUNCTION("""COMPUTED_VALUE"""),"IT Certifications")</f>
        <v>IT Certifications</v>
      </c>
      <c r="K730" s="140">
        <f>IFERROR(__xludf.DUMMYFUNCTION("""COMPUTED_VALUE"""),2507564.0)</f>
        <v>2507564</v>
      </c>
      <c r="L730" s="140" t="str">
        <f>IFERROR(__xludf.DUMMYFUNCTION("""COMPUTED_VALUE"""),"Microsoft AZ-500 Certification: Azure Security Technologies        ")</f>
        <v>Microsoft AZ-500 Certification: Azure Security Technologies        </v>
      </c>
    </row>
    <row r="731">
      <c r="A731" s="143">
        <f>IFERROR(__xludf.DUMMYFUNCTION("""COMPUTED_VALUE"""),44462.0)</f>
        <v>44462</v>
      </c>
      <c r="B731">
        <f>IFERROR(__xludf.DUMMYFUNCTION("""COMPUTED_VALUE"""),3606786.0)</f>
        <v>3606786</v>
      </c>
      <c r="C731" t="str">
        <f>IFERROR(__xludf.DUMMYFUNCTION("""COMPUTED_VALUE"""),"en")</f>
        <v>en</v>
      </c>
      <c r="D731" t="str">
        <f>IFERROR(__xludf.DUMMYFUNCTION("""COMPUTED_VALUE"""),"AZ-204 Developing Solutions for MS Azure Practice Tests")</f>
        <v>AZ-204 Developing Solutions for MS Azure Practice Tests</v>
      </c>
      <c r="E731" t="str">
        <f>IFERROR(__xludf.DUMMYFUNCTION("""COMPUTED_VALUE"""),"AZ-204 Developing Solutions for MS Azure Practice Tests")</f>
        <v>AZ-204 Developing Solutions for MS Azure Practice Tests</v>
      </c>
      <c r="F731">
        <f>IFERROR(__xludf.DUMMYFUNCTION("""COMPUTED_VALUE"""),1.19799548E8)</f>
        <v>119799548</v>
      </c>
      <c r="G731" t="str">
        <f>IFERROR(__xludf.DUMMYFUNCTION("""COMPUTED_VALUE"""),"Suresh M")</f>
        <v>Suresh M</v>
      </c>
      <c r="H731" t="str">
        <f>IFERROR(__xludf.DUMMYFUNCTION("""COMPUTED_VALUE"""),"T&amp;S")</f>
        <v>T&amp;S</v>
      </c>
      <c r="I731" t="str">
        <f>IFERROR(__xludf.DUMMYFUNCTION("""COMPUTED_VALUE"""),"IT Operations")</f>
        <v>IT Operations</v>
      </c>
      <c r="J731" t="str">
        <f>IFERROR(__xludf.DUMMYFUNCTION("""COMPUTED_VALUE"""),"IT Certifications")</f>
        <v>IT Certifications</v>
      </c>
      <c r="K731" s="140">
        <f>IFERROR(__xludf.DUMMYFUNCTION("""COMPUTED_VALUE"""),802574.0)</f>
        <v>802574</v>
      </c>
      <c r="L731" s="140" t="str">
        <f>IFERROR(__xludf.DUMMYFUNCTION("""COMPUTED_VALUE"""),"AZ-204 Developing for Microsoft Azure Exam Prep	")</f>
        <v>AZ-204 Developing for Microsoft Azure Exam Prep	</v>
      </c>
    </row>
    <row r="732">
      <c r="A732" s="143">
        <f>IFERROR(__xludf.DUMMYFUNCTION("""COMPUTED_VALUE"""),44462.0)</f>
        <v>44462</v>
      </c>
      <c r="B732">
        <f>IFERROR(__xludf.DUMMYFUNCTION("""COMPUTED_VALUE"""),3800024.0)</f>
        <v>3800024</v>
      </c>
      <c r="C732" t="str">
        <f>IFERROR(__xludf.DUMMYFUNCTION("""COMPUTED_VALUE"""),"en")</f>
        <v>en</v>
      </c>
      <c r="D732" t="str">
        <f>IFERROR(__xludf.DUMMYFUNCTION("""COMPUTED_VALUE"""),"AZ-104 Microsoft Azure Administrator Practice Tests")</f>
        <v>AZ-104 Microsoft Azure Administrator Practice Tests</v>
      </c>
      <c r="E732" t="str">
        <f>IFERROR(__xludf.DUMMYFUNCTION("""COMPUTED_VALUE"""),"AZ-104 Microsoft Azure Administrator Practice Tests")</f>
        <v>AZ-104 Microsoft Azure Administrator Practice Tests</v>
      </c>
      <c r="F732">
        <f>IFERROR(__xludf.DUMMYFUNCTION("""COMPUTED_VALUE"""),1.19799548E8)</f>
        <v>119799548</v>
      </c>
      <c r="G732" t="str">
        <f>IFERROR(__xludf.DUMMYFUNCTION("""COMPUTED_VALUE"""),"Suresh M")</f>
        <v>Suresh M</v>
      </c>
      <c r="H732" t="str">
        <f>IFERROR(__xludf.DUMMYFUNCTION("""COMPUTED_VALUE"""),"T&amp;S")</f>
        <v>T&amp;S</v>
      </c>
      <c r="I732" t="str">
        <f>IFERROR(__xludf.DUMMYFUNCTION("""COMPUTED_VALUE"""),"IT Operations")</f>
        <v>IT Operations</v>
      </c>
      <c r="J732" t="str">
        <f>IFERROR(__xludf.DUMMYFUNCTION("""COMPUTED_VALUE"""),"IT Certifications")</f>
        <v>IT Certifications</v>
      </c>
      <c r="K732" s="140">
        <f>IFERROR(__xludf.DUMMYFUNCTION("""COMPUTED_VALUE"""),2873370.0)</f>
        <v>2873370</v>
      </c>
      <c r="L732" s="140" t="str">
        <f>IFERROR(__xludf.DUMMYFUNCTION("""COMPUTED_VALUE"""),"AZ-104: Microsoft Azure Administrator - Full Course	")</f>
        <v>AZ-104: Microsoft Azure Administrator - Full Course	</v>
      </c>
    </row>
    <row r="733">
      <c r="A733" s="143">
        <f>IFERROR(__xludf.DUMMYFUNCTION("""COMPUTED_VALUE"""),44462.0)</f>
        <v>44462</v>
      </c>
      <c r="B733">
        <f>IFERROR(__xludf.DUMMYFUNCTION("""COMPUTED_VALUE"""),4140050.0)</f>
        <v>4140050</v>
      </c>
      <c r="C733" t="str">
        <f>IFERROR(__xludf.DUMMYFUNCTION("""COMPUTED_VALUE"""),"en")</f>
        <v>en</v>
      </c>
      <c r="D733" t="str">
        <f>IFERROR(__xludf.DUMMYFUNCTION("""COMPUTED_VALUE"""),"Microsoft Power BI Certification: DA-100 Exam Prep")</f>
        <v>Microsoft Power BI Certification: DA-100 Exam Prep</v>
      </c>
      <c r="E733" t="str">
        <f>IFERROR(__xludf.DUMMYFUNCTION("""COMPUTED_VALUE"""),"Microsoft Power BI Certification: DA-100 Exam Prep")</f>
        <v>Microsoft Power BI Certification: DA-100 Exam Prep</v>
      </c>
      <c r="F733">
        <f>IFERROR(__xludf.DUMMYFUNCTION("""COMPUTED_VALUE"""),7.5004102E7)</f>
        <v>75004102</v>
      </c>
      <c r="G733" t="str">
        <f>IFERROR(__xludf.DUMMYFUNCTION("""COMPUTED_VALUE"""),"Maven Analytics")</f>
        <v>Maven Analytics</v>
      </c>
      <c r="H733" t="str">
        <f>IFERROR(__xludf.DUMMYFUNCTION("""COMPUTED_VALUE"""),"T&amp;S")</f>
        <v>T&amp;S</v>
      </c>
      <c r="I733" t="str">
        <f>IFERROR(__xludf.DUMMYFUNCTION("""COMPUTED_VALUE"""),"IT Operations")</f>
        <v>IT Operations</v>
      </c>
      <c r="J733" t="str">
        <f>IFERROR(__xludf.DUMMYFUNCTION("""COMPUTED_VALUE"""),"IT Certifications")</f>
        <v>IT Certifications</v>
      </c>
      <c r="K733" s="140">
        <f>IFERROR(__xludf.DUMMYFUNCTION("""COMPUTED_VALUE"""),3386922.0)</f>
        <v>3386922</v>
      </c>
      <c r="L733" s="140" t="str">
        <f>IFERROR(__xludf.DUMMYFUNCTION("""COMPUTED_VALUE"""),"MICROSOFT POWER BI DA-100 EXAM: Advanced 2021 Practice Test	")</f>
        <v>MICROSOFT POWER BI DA-100 EXAM: Advanced 2021 Practice Test	</v>
      </c>
    </row>
    <row r="734">
      <c r="A734" s="143">
        <f>IFERROR(__xludf.DUMMYFUNCTION("""COMPUTED_VALUE"""),44462.0)</f>
        <v>44462</v>
      </c>
      <c r="B734">
        <f>IFERROR(__xludf.DUMMYFUNCTION("""COMPUTED_VALUE"""),3520898.0)</f>
        <v>3520898</v>
      </c>
      <c r="C734" t="str">
        <f>IFERROR(__xludf.DUMMYFUNCTION("""COMPUTED_VALUE"""),"en")</f>
        <v>en</v>
      </c>
      <c r="D734" t="str">
        <f>IFERROR(__xludf.DUMMYFUNCTION("""COMPUTED_VALUE"""),"Microsoft's certification course")</f>
        <v>Microsoft's certification course</v>
      </c>
      <c r="E734" t="str">
        <f>IFERROR(__xludf.DUMMYFUNCTION("""COMPUTED_VALUE"""),"Microsoft's certification course")</f>
        <v>Microsoft's certification course</v>
      </c>
      <c r="F734">
        <f>IFERROR(__xludf.DUMMYFUNCTION("""COMPUTED_VALUE"""),9796104.0)</f>
        <v>9796104</v>
      </c>
      <c r="G734" t="str">
        <f>IFERROR(__xludf.DUMMYFUNCTION("""COMPUTED_VALUE"""),"Marjan Jordanovski")</f>
        <v>Marjan Jordanovski</v>
      </c>
      <c r="H734" t="str">
        <f>IFERROR(__xludf.DUMMYFUNCTION("""COMPUTED_VALUE"""),"T&amp;S")</f>
        <v>T&amp;S</v>
      </c>
      <c r="I734" t="str">
        <f>IFERROR(__xludf.DUMMYFUNCTION("""COMPUTED_VALUE"""),"IT Operations")</f>
        <v>IT Operations</v>
      </c>
      <c r="J734" t="str">
        <f>IFERROR(__xludf.DUMMYFUNCTION("""COMPUTED_VALUE"""),"IT Certifications")</f>
        <v>IT Certifications</v>
      </c>
    </row>
    <row r="735">
      <c r="A735" s="143">
        <f>IFERROR(__xludf.DUMMYFUNCTION("""COMPUTED_VALUE"""),44468.0)</f>
        <v>44468</v>
      </c>
      <c r="B735">
        <f>IFERROR(__xludf.DUMMYFUNCTION("""COMPUTED_VALUE"""),3597800.0)</f>
        <v>3597800</v>
      </c>
      <c r="C735" t="str">
        <f>IFERROR(__xludf.DUMMYFUNCTION("""COMPUTED_VALUE"""),"ar")</f>
        <v>ar</v>
      </c>
      <c r="D735" t="str">
        <f>IFERROR(__xludf.DUMMYFUNCTION("""COMPUTED_VALUE"""),"استخدام بايثون في الشبكات و الامن السيبراني")</f>
        <v>استخدام بايثون في الشبكات و الامن السيبراني</v>
      </c>
      <c r="E735" t="str">
        <f>IFERROR(__xludf.DUMMYFUNCTION("""COMPUTED_VALUE"""),"Use Python in the networks and security")</f>
        <v>Use Python in the networks and security</v>
      </c>
      <c r="H735" t="str">
        <f>IFERROR(__xludf.DUMMYFUNCTION("""COMPUTED_VALUE"""),"Low Rating")</f>
        <v>Low Rating</v>
      </c>
    </row>
    <row r="736">
      <c r="A736" s="143">
        <f>IFERROR(__xludf.DUMMYFUNCTION("""COMPUTED_VALUE"""),44468.0)</f>
        <v>44468</v>
      </c>
      <c r="B736">
        <f>IFERROR(__xludf.DUMMYFUNCTION("""COMPUTED_VALUE"""),3683196.0)</f>
        <v>3683196</v>
      </c>
      <c r="C736" t="str">
        <f>IFERROR(__xludf.DUMMYFUNCTION("""COMPUTED_VALUE"""),"ar")</f>
        <v>ar</v>
      </c>
      <c r="D736" t="str">
        <f>IFERROR(__xludf.DUMMYFUNCTION("""COMPUTED_VALUE"""),"tekla structures version 2020 (steel structures)")</f>
        <v>tekla structures version 2020 (steel structures)</v>
      </c>
      <c r="E736" t="str">
        <f>IFERROR(__xludf.DUMMYFUNCTION("""COMPUTED_VALUE"""),"tekla structures version 2020 (steel structures)")</f>
        <v>tekla structures version 2020 (steel structures)</v>
      </c>
      <c r="H736" t="str">
        <f>IFERROR(__xludf.DUMMYFUNCTION("""COMPUTED_VALUE"""),"Low Rating")</f>
        <v>Low Rating</v>
      </c>
    </row>
    <row r="737">
      <c r="A737" s="143">
        <f>IFERROR(__xludf.DUMMYFUNCTION("""COMPUTED_VALUE"""),44468.0)</f>
        <v>44468</v>
      </c>
      <c r="B737">
        <f>IFERROR(__xludf.DUMMYFUNCTION("""COMPUTED_VALUE"""),2380976.0)</f>
        <v>2380976</v>
      </c>
      <c r="C737" t="str">
        <f>IFERROR(__xludf.DUMMYFUNCTION("""COMPUTED_VALUE"""),"ar")</f>
        <v>ar</v>
      </c>
      <c r="D737" t="str">
        <f>IFERROR(__xludf.DUMMYFUNCTION("""COMPUTED_VALUE"""),"القرصنة الأخلاقية مع كالي لينكس - الكورس الأقوى")</f>
        <v>القرصنة الأخلاقية مع كالي لينكس - الكورس الأقوى</v>
      </c>
      <c r="E737" t="str">
        <f>IFERROR(__xludf.DUMMYFUNCTION("""COMPUTED_VALUE"""),"Ethical piracy with Cali Linux - The strongest course")</f>
        <v>Ethical piracy with Cali Linux - The strongest course</v>
      </c>
      <c r="H737" t="str">
        <f>IFERROR(__xludf.DUMMYFUNCTION("""COMPUTED_VALUE"""),"Low Rating")</f>
        <v>Low Rating</v>
      </c>
    </row>
    <row r="738">
      <c r="A738" s="143">
        <f>IFERROR(__xludf.DUMMYFUNCTION("""COMPUTED_VALUE"""),44468.0)</f>
        <v>44468</v>
      </c>
      <c r="B738">
        <f>IFERROR(__xludf.DUMMYFUNCTION("""COMPUTED_VALUE"""),3440448.0)</f>
        <v>3440448</v>
      </c>
      <c r="C738" t="str">
        <f>IFERROR(__xludf.DUMMYFUNCTION("""COMPUTED_VALUE"""),"ar")</f>
        <v>ar</v>
      </c>
      <c r="D738" t="str">
        <f>IFERROR(__xludf.DUMMYFUNCTION("""COMPUTED_VALUE"""),"PRIMAVERA P6 (Project PLAN+UPDATE+CONTROL) Arabic بريمافيرا")</f>
        <v>PRIMAVERA P6 (Project PLAN+UPDATE+CONTROL) Arabic بريمافيرا</v>
      </c>
      <c r="E738" t="str">
        <f>IFERROR(__xludf.DUMMYFUNCTION("""COMPUTED_VALUE"""),"PRIMAVERA P6 (Project PLAN+UPDATE+CONTROL) Arabic بريمافيرا")</f>
        <v>PRIMAVERA P6 (Project PLAN+UPDATE+CONTROL) Arabic بريمافيرا</v>
      </c>
      <c r="H738" t="str">
        <f>IFERROR(__xludf.DUMMYFUNCTION("""COMPUTED_VALUE"""),"Low Rating")</f>
        <v>Low Rating</v>
      </c>
    </row>
    <row r="739">
      <c r="A739" s="143">
        <f>IFERROR(__xludf.DUMMYFUNCTION("""COMPUTED_VALUE"""),44468.0)</f>
        <v>44468</v>
      </c>
      <c r="B739">
        <f>IFERROR(__xludf.DUMMYFUNCTION("""COMPUTED_VALUE"""),2419484.0)</f>
        <v>2419484</v>
      </c>
      <c r="C739" t="str">
        <f>IFERROR(__xludf.DUMMYFUNCTION("""COMPUTED_VALUE"""),"ar")</f>
        <v>ar</v>
      </c>
      <c r="D739" t="str">
        <f>IFERROR(__xludf.DUMMYFUNCTION("""COMPUTED_VALUE"""),"Amazon affiliate from zero to Hero Arabic, أمازون افلييت")</f>
        <v>Amazon affiliate from zero to Hero Arabic, أمازون افلييت</v>
      </c>
      <c r="E739" t="str">
        <f>IFERROR(__xludf.DUMMYFUNCTION("""COMPUTED_VALUE"""),"Amazon Affiliate From Zero To Hero Arabic, Amazon Afliet")</f>
        <v>Amazon Affiliate From Zero To Hero Arabic, Amazon Afliet</v>
      </c>
      <c r="H739" t="str">
        <f>IFERROR(__xludf.DUMMYFUNCTION("""COMPUTED_VALUE"""),"Low Rating")</f>
        <v>Low Rating</v>
      </c>
    </row>
    <row r="740">
      <c r="A740" s="143">
        <f>IFERROR(__xludf.DUMMYFUNCTION("""COMPUTED_VALUE"""),44468.0)</f>
        <v>44468</v>
      </c>
      <c r="B740">
        <f>IFERROR(__xludf.DUMMYFUNCTION("""COMPUTED_VALUE"""),2996962.0)</f>
        <v>2996962</v>
      </c>
      <c r="C740" t="str">
        <f>IFERROR(__xludf.DUMMYFUNCTION("""COMPUTED_VALUE"""),"ar")</f>
        <v>ar</v>
      </c>
      <c r="D740" t="str">
        <f>IFERROR(__xludf.DUMMYFUNCTION("""COMPUTED_VALUE"""),"Autodesk Revit Structure 2020 - Arabic")</f>
        <v>Autodesk Revit Structure 2020 - Arabic</v>
      </c>
      <c r="E740" t="str">
        <f>IFERROR(__xludf.DUMMYFUNCTION("""COMPUTED_VALUE"""),"Autodesk Revit Structure 2020 - Arabic")</f>
        <v>Autodesk Revit Structure 2020 - Arabic</v>
      </c>
      <c r="H740" t="str">
        <f>IFERROR(__xludf.DUMMYFUNCTION("""COMPUTED_VALUE"""),"Low Rating")</f>
        <v>Low Rating</v>
      </c>
    </row>
    <row r="741">
      <c r="A741" s="143">
        <f>IFERROR(__xludf.DUMMYFUNCTION("""COMPUTED_VALUE"""),44469.0)</f>
        <v>44469</v>
      </c>
      <c r="B741">
        <f>IFERROR(__xludf.DUMMYFUNCTION("""COMPUTED_VALUE"""),1638736.0)</f>
        <v>1638736</v>
      </c>
      <c r="C741" t="str">
        <f>IFERROR(__xludf.DUMMYFUNCTION("""COMPUTED_VALUE"""),"en")</f>
        <v>en</v>
      </c>
      <c r="D741" t="str">
        <f>IFERROR(__xludf.DUMMYFUNCTION("""COMPUTED_VALUE"""),"Understanding and Troubleshooting SIP")</f>
        <v>Understanding and Troubleshooting SIP</v>
      </c>
      <c r="E741" t="str">
        <f>IFERROR(__xludf.DUMMYFUNCTION("""COMPUTED_VALUE"""),"Understanding and Troubleshooting SIP")</f>
        <v>Understanding and Troubleshooting SIP</v>
      </c>
      <c r="F741">
        <f>IFERROR(__xludf.DUMMYFUNCTION("""COMPUTED_VALUE"""),2.3860018E7)</f>
        <v>23860018</v>
      </c>
      <c r="G741" t="str">
        <f>IFERROR(__xludf.DUMMYFUNCTION("""COMPUTED_VALUE"""),"Flavio E. Goncalves")</f>
        <v>Flavio E. Goncalves</v>
      </c>
      <c r="H741" t="str">
        <f>IFERROR(__xludf.DUMMYFUNCTION("""COMPUTED_VALUE"""),"Instructor Request- Opted Out")</f>
        <v>Instructor Request- Opted Out</v>
      </c>
      <c r="I741" t="str">
        <f>IFERROR(__xludf.DUMMYFUNCTION("""COMPUTED_VALUE"""),"IT Operations")</f>
        <v>IT Operations</v>
      </c>
      <c r="J741" t="str">
        <f>IFERROR(__xludf.DUMMYFUNCTION("""COMPUTED_VALUE"""),"Network &amp; Security")</f>
        <v>Network &amp; Security</v>
      </c>
      <c r="K741" s="140">
        <f>IFERROR(__xludf.DUMMYFUNCTION("""COMPUTED_VALUE"""),869724.0)</f>
        <v>869724</v>
      </c>
      <c r="L741" s="140" t="str">
        <f>IFERROR(__xludf.DUMMYFUNCTION("""COMPUTED_VALUE"""),"Introduction to SIP")</f>
        <v>Introduction to SIP</v>
      </c>
      <c r="N741" s="140" t="str">
        <f>IFERROR(__xludf.DUMMYFUNCTION("""COMPUTED_VALUE"""),"")</f>
        <v/>
      </c>
    </row>
    <row r="742">
      <c r="A742" s="143">
        <f>IFERROR(__xludf.DUMMYFUNCTION("""COMPUTED_VALUE"""),44469.0)</f>
        <v>44469</v>
      </c>
      <c r="B742">
        <f>IFERROR(__xludf.DUMMYFUNCTION("""COMPUTED_VALUE"""),1679542.0)</f>
        <v>1679542</v>
      </c>
      <c r="C742" t="str">
        <f>IFERROR(__xludf.DUMMYFUNCTION("""COMPUTED_VALUE"""),"en")</f>
        <v>en</v>
      </c>
      <c r="D742" t="str">
        <f>IFERROR(__xludf.DUMMYFUNCTION("""COMPUTED_VALUE"""),"Quick Start to OpenSIPS 3.1")</f>
        <v>Quick Start to OpenSIPS 3.1</v>
      </c>
      <c r="E742" t="str">
        <f>IFERROR(__xludf.DUMMYFUNCTION("""COMPUTED_VALUE"""),"Quick Start to OpenSIPS 3.1")</f>
        <v>Quick Start to OpenSIPS 3.1</v>
      </c>
      <c r="F742">
        <f>IFERROR(__xludf.DUMMYFUNCTION("""COMPUTED_VALUE"""),2.3860018E7)</f>
        <v>23860018</v>
      </c>
      <c r="G742" t="str">
        <f>IFERROR(__xludf.DUMMYFUNCTION("""COMPUTED_VALUE"""),"Flavio E. Goncalves")</f>
        <v>Flavio E. Goncalves</v>
      </c>
      <c r="H742" t="str">
        <f>IFERROR(__xludf.DUMMYFUNCTION("""COMPUTED_VALUE"""),"Instructor Request- Opted Out")</f>
        <v>Instructor Request- Opted Out</v>
      </c>
      <c r="I742" t="str">
        <f>IFERROR(__xludf.DUMMYFUNCTION("""COMPUTED_VALUE"""),"IT Operations")</f>
        <v>IT Operations</v>
      </c>
      <c r="J742" t="str">
        <f>IFERROR(__xludf.DUMMYFUNCTION("""COMPUTED_VALUE"""),"Operating Systems &amp; Servers")</f>
        <v>Operating Systems &amp; Servers</v>
      </c>
      <c r="L742" s="140" t="str">
        <f>IFERROR(__xludf.DUMMYFUNCTION("""COMPUTED_VALUE"""),"")</f>
        <v/>
      </c>
      <c r="N742" s="140" t="str">
        <f>IFERROR(__xludf.DUMMYFUNCTION("""COMPUTED_VALUE"""),"")</f>
        <v/>
      </c>
      <c r="O742" s="140" t="str">
        <f>IFERROR(__xludf.DUMMYFUNCTION("""COMPUTED_VALUE"""),"No Alternatives in Collection- 5/16/2021")</f>
        <v>No Alternatives in Collection- 5/16/2021</v>
      </c>
    </row>
    <row r="743">
      <c r="A743" s="143">
        <f>IFERROR(__xludf.DUMMYFUNCTION("""COMPUTED_VALUE"""),44469.0)</f>
        <v>44469</v>
      </c>
      <c r="B743">
        <f>IFERROR(__xludf.DUMMYFUNCTION("""COMPUTED_VALUE"""),1745270.0)</f>
        <v>1745270</v>
      </c>
      <c r="C743" t="str">
        <f>IFERROR(__xludf.DUMMYFUNCTION("""COMPUTED_VALUE"""),"en")</f>
        <v>en</v>
      </c>
      <c r="D743" t="str">
        <f>IFERROR(__xludf.DUMMYFUNCTION("""COMPUTED_VALUE"""),"Complete Asterisk Training")</f>
        <v>Complete Asterisk Training</v>
      </c>
      <c r="E743" t="str">
        <f>IFERROR(__xludf.DUMMYFUNCTION("""COMPUTED_VALUE"""),"Complete Asterisk Training")</f>
        <v>Complete Asterisk Training</v>
      </c>
      <c r="F743">
        <f>IFERROR(__xludf.DUMMYFUNCTION("""COMPUTED_VALUE"""),2.3860018E7)</f>
        <v>23860018</v>
      </c>
      <c r="G743" t="str">
        <f>IFERROR(__xludf.DUMMYFUNCTION("""COMPUTED_VALUE"""),"Flavio E. Goncalves")</f>
        <v>Flavio E. Goncalves</v>
      </c>
      <c r="H743" t="str">
        <f>IFERROR(__xludf.DUMMYFUNCTION("""COMPUTED_VALUE"""),"Instructor Request- Opted Out")</f>
        <v>Instructor Request- Opted Out</v>
      </c>
      <c r="I743" t="str">
        <f>IFERROR(__xludf.DUMMYFUNCTION("""COMPUTED_VALUE"""),"IT Operations")</f>
        <v>IT Operations</v>
      </c>
      <c r="J743" t="str">
        <f>IFERROR(__xludf.DUMMYFUNCTION("""COMPUTED_VALUE"""),"Network &amp; Security")</f>
        <v>Network &amp; Security</v>
      </c>
      <c r="L743" s="140" t="str">
        <f>IFERROR(__xludf.DUMMYFUNCTION("""COMPUTED_VALUE"""),"")</f>
        <v/>
      </c>
      <c r="N743" s="140" t="str">
        <f>IFERROR(__xludf.DUMMYFUNCTION("""COMPUTED_VALUE"""),"")</f>
        <v/>
      </c>
      <c r="O743" s="140" t="str">
        <f>IFERROR(__xludf.DUMMYFUNCTION("""COMPUTED_VALUE"""),"No Alternatives in Collection- 5/16/2021")</f>
        <v>No Alternatives in Collection- 5/16/2021</v>
      </c>
    </row>
    <row r="744">
      <c r="A744" s="143">
        <f>IFERROR(__xludf.DUMMYFUNCTION("""COMPUTED_VALUE"""),44469.0)</f>
        <v>44469</v>
      </c>
      <c r="B744">
        <f>IFERROR(__xludf.DUMMYFUNCTION("""COMPUTED_VALUE"""),3599780.0)</f>
        <v>3599780</v>
      </c>
      <c r="C744" t="str">
        <f>IFERROR(__xludf.DUMMYFUNCTION("""COMPUTED_VALUE"""),"en")</f>
        <v>en</v>
      </c>
      <c r="D744" t="str">
        <f>IFERROR(__xludf.DUMMYFUNCTION("""COMPUTED_VALUE"""),"Practice Exams : Professional Scrum Kanban (PSK)")</f>
        <v>Practice Exams : Professional Scrum Kanban (PSK)</v>
      </c>
      <c r="E744" t="str">
        <f>IFERROR(__xludf.DUMMYFUNCTION("""COMPUTED_VALUE"""),"Practice Exams : Professional Scrum Kanban (PSK)")</f>
        <v>Practice Exams : Professional Scrum Kanban (PSK)</v>
      </c>
      <c r="F744">
        <f>IFERROR(__xludf.DUMMYFUNCTION("""COMPUTED_VALUE"""),1.07901498E8)</f>
        <v>107901498</v>
      </c>
      <c r="G744" t="str">
        <f>IFERROR(__xludf.DUMMYFUNCTION("""COMPUTED_VALUE"""),"Sidharth Bathia")</f>
        <v>Sidharth Bathia</v>
      </c>
      <c r="H744" t="str">
        <f>IFERROR(__xludf.DUMMYFUNCTION("""COMPUTED_VALUE"""),"Instructor Request- Opted Out")</f>
        <v>Instructor Request- Opted Out</v>
      </c>
      <c r="I744" t="str">
        <f>IFERROR(__xludf.DUMMYFUNCTION("""COMPUTED_VALUE"""),"Project Management &amp; Operations")</f>
        <v>Project Management &amp; Operations</v>
      </c>
      <c r="J744" t="str">
        <f>IFERROR(__xludf.DUMMYFUNCTION("""COMPUTED_VALUE"""),"Project Management Certifications")</f>
        <v>Project Management Certifications</v>
      </c>
      <c r="K744" s="140">
        <f>IFERROR(__xludf.DUMMYFUNCTION("""COMPUTED_VALUE"""),2702812.0)</f>
        <v>2702812</v>
      </c>
      <c r="L744" s="140" t="str">
        <f>IFERROR(__xludf.DUMMYFUNCTION("""COMPUTED_VALUE"""),"Scrum with Kanban PSK-I™ Certification 2019")</f>
        <v>Scrum with Kanban PSK-I™ Certification 2019</v>
      </c>
      <c r="N744" s="140" t="str">
        <f>IFERROR(__xludf.DUMMYFUNCTION("""COMPUTED_VALUE"""),"")</f>
        <v/>
      </c>
    </row>
    <row r="745">
      <c r="A745" s="143">
        <f>IFERROR(__xludf.DUMMYFUNCTION("""COMPUTED_VALUE"""),44469.0)</f>
        <v>44469</v>
      </c>
      <c r="B745">
        <f>IFERROR(__xludf.DUMMYFUNCTION("""COMPUTED_VALUE"""),2593518.0)</f>
        <v>2593518</v>
      </c>
      <c r="C745" t="str">
        <f>IFERROR(__xludf.DUMMYFUNCTION("""COMPUTED_VALUE"""),"en")</f>
        <v>en</v>
      </c>
      <c r="D745" t="str">
        <f>IFERROR(__xludf.DUMMYFUNCTION("""COMPUTED_VALUE"""),"Django &amp; Python: complete BUNDLE + Django real project 2020")</f>
        <v>Django &amp; Python: complete BUNDLE + Django real project 2020</v>
      </c>
      <c r="E745" t="str">
        <f>IFERROR(__xludf.DUMMYFUNCTION("""COMPUTED_VALUE"""),"Django &amp; Python: complete BUNDLE + Django real project 2020")</f>
        <v>Django &amp; Python: complete BUNDLE + Django real project 2020</v>
      </c>
      <c r="F745">
        <f>IFERROR(__xludf.DUMMYFUNCTION("""COMPUTED_VALUE"""),8.3427512E7)</f>
        <v>83427512</v>
      </c>
      <c r="G745" t="str">
        <f>IFERROR(__xludf.DUMMYFUNCTION("""COMPUTED_VALUE"""),"Arash Shahvar")</f>
        <v>Arash Shahvar</v>
      </c>
      <c r="H745" t="str">
        <f>IFERROR(__xludf.DUMMYFUNCTION("""COMPUTED_VALUE"""),"Instructor Request- Opted Out")</f>
        <v>Instructor Request- Opted Out</v>
      </c>
      <c r="I745" t="str">
        <f>IFERROR(__xludf.DUMMYFUNCTION("""COMPUTED_VALUE"""),"Development")</f>
        <v>Development</v>
      </c>
      <c r="J745" t="str">
        <f>IFERROR(__xludf.DUMMYFUNCTION("""COMPUTED_VALUE"""),"Web Development")</f>
        <v>Web Development</v>
      </c>
      <c r="K745" s="140">
        <f>IFERROR(__xludf.DUMMYFUNCTION("""COMPUTED_VALUE"""),1562632.0)</f>
        <v>1562632</v>
      </c>
      <c r="L745" s="140" t="str">
        <f>IFERROR(__xludf.DUMMYFUNCTION("""COMPUTED_VALUE"""),"Django 2.2 &amp; Python | The Ultimate Web Development Bootcamp")</f>
        <v>Django 2.2 &amp; Python | The Ultimate Web Development Bootcamp</v>
      </c>
      <c r="N745" s="140" t="str">
        <f>IFERROR(__xludf.DUMMYFUNCTION("""COMPUTED_VALUE"""),"")</f>
        <v/>
      </c>
    </row>
    <row r="746">
      <c r="A746" s="143">
        <f>IFERROR(__xludf.DUMMYFUNCTION("""COMPUTED_VALUE"""),44469.0)</f>
        <v>44469</v>
      </c>
      <c r="B746">
        <f>IFERROR(__xludf.DUMMYFUNCTION("""COMPUTED_VALUE"""),2603366.0)</f>
        <v>2603366</v>
      </c>
      <c r="C746" t="str">
        <f>IFERROR(__xludf.DUMMYFUNCTION("""COMPUTED_VALUE"""),"en")</f>
        <v>en</v>
      </c>
      <c r="D746" t="str">
        <f>IFERROR(__xludf.DUMMYFUNCTION("""COMPUTED_VALUE"""),"A Consultant's Guide to PowerPoint")</f>
        <v>A Consultant's Guide to PowerPoint</v>
      </c>
      <c r="E746" t="str">
        <f>IFERROR(__xludf.DUMMYFUNCTION("""COMPUTED_VALUE"""),"A Consultant's Guide to PowerPoint")</f>
        <v>A Consultant's Guide to PowerPoint</v>
      </c>
      <c r="F746">
        <f>IFERROR(__xludf.DUMMYFUNCTION("""COMPUTED_VALUE"""),8.2804678E7)</f>
        <v>82804678</v>
      </c>
      <c r="G746" t="str">
        <f>IFERROR(__xludf.DUMMYFUNCTION("""COMPUTED_VALUE"""),"The Analyst Academy Team")</f>
        <v>The Analyst Academy Team</v>
      </c>
      <c r="H746" t="str">
        <f>IFERROR(__xludf.DUMMYFUNCTION("""COMPUTED_VALUE"""),"Instructor Request- Opted Out")</f>
        <v>Instructor Request- Opted Out</v>
      </c>
      <c r="I746" t="str">
        <f>IFERROR(__xludf.DUMMYFUNCTION("""COMPUTED_VALUE"""),"Office Productivity")</f>
        <v>Office Productivity</v>
      </c>
      <c r="J746" t="str">
        <f>IFERROR(__xludf.DUMMYFUNCTION("""COMPUTED_VALUE"""),"Presentations")</f>
        <v>Presentations</v>
      </c>
      <c r="K746" s="140">
        <f>IFERROR(__xludf.DUMMYFUNCTION("""COMPUTED_VALUE"""),384496.0)</f>
        <v>384496</v>
      </c>
      <c r="L746" s="140" t="str">
        <f>IFERROR(__xludf.DUMMYFUNCTION("""COMPUTED_VALUE"""),"Powerpoint 2016 2019 - Master powerpoint presentation")</f>
        <v>Powerpoint 2016 2019 - Master powerpoint presentation</v>
      </c>
      <c r="N746" s="140" t="str">
        <f>IFERROR(__xludf.DUMMYFUNCTION("""COMPUTED_VALUE"""),"")</f>
        <v/>
      </c>
    </row>
    <row r="747">
      <c r="A747" s="143">
        <f>IFERROR(__xludf.DUMMYFUNCTION("""COMPUTED_VALUE"""),44469.0)</f>
        <v>44469</v>
      </c>
      <c r="B747">
        <f>IFERROR(__xludf.DUMMYFUNCTION("""COMPUTED_VALUE"""),1543984.0)</f>
        <v>1543984</v>
      </c>
      <c r="C747" t="str">
        <f>IFERROR(__xludf.DUMMYFUNCTION("""COMPUTED_VALUE"""),"en")</f>
        <v>en</v>
      </c>
      <c r="D747" t="str">
        <f>IFERROR(__xludf.DUMMYFUNCTION("""COMPUTED_VALUE"""),"The Real Estate Financial Modeling Bootcamp")</f>
        <v>The Real Estate Financial Modeling Bootcamp</v>
      </c>
      <c r="E747" t="str">
        <f>IFERROR(__xludf.DUMMYFUNCTION("""COMPUTED_VALUE"""),"The Real Estate Financial Modeling Bootcamp")</f>
        <v>The Real Estate Financial Modeling Bootcamp</v>
      </c>
      <c r="F747">
        <f>IFERROR(__xludf.DUMMYFUNCTION("""COMPUTED_VALUE"""),5020122.0)</f>
        <v>5020122</v>
      </c>
      <c r="G747" t="str">
        <f>IFERROR(__xludf.DUMMYFUNCTION("""COMPUTED_VALUE"""),"Justin Kivel")</f>
        <v>Justin Kivel</v>
      </c>
      <c r="H747" t="str">
        <f>IFERROR(__xludf.DUMMYFUNCTION("""COMPUTED_VALUE"""),"Instructor Request- Opted Out")</f>
        <v>Instructor Request- Opted Out</v>
      </c>
      <c r="I747" t="str">
        <f>IFERROR(__xludf.DUMMYFUNCTION("""COMPUTED_VALUE"""),"Finance &amp; Accounting")</f>
        <v>Finance &amp; Accounting</v>
      </c>
      <c r="J747" t="str">
        <f>IFERROR(__xludf.DUMMYFUNCTION("""COMPUTED_VALUE"""),"Investing &amp; Trading")</f>
        <v>Investing &amp; Trading</v>
      </c>
      <c r="K747" s="140">
        <f>IFERROR(__xludf.DUMMYFUNCTION("""COMPUTED_VALUE"""),148902.0)</f>
        <v>148902</v>
      </c>
      <c r="L747" s="140" t="str">
        <f>IFERROR(__xludf.DUMMYFUNCTION("""COMPUTED_VALUE"""),"Fundamentals of Analyzing Real Estate Investments")</f>
        <v>Fundamentals of Analyzing Real Estate Investments</v>
      </c>
      <c r="N747" s="140" t="str">
        <f>IFERROR(__xludf.DUMMYFUNCTION("""COMPUTED_VALUE"""),"")</f>
        <v/>
      </c>
    </row>
    <row r="748">
      <c r="A748" s="143">
        <f>IFERROR(__xludf.DUMMYFUNCTION("""COMPUTED_VALUE"""),44469.0)</f>
        <v>44469</v>
      </c>
      <c r="B748">
        <f>IFERROR(__xludf.DUMMYFUNCTION("""COMPUTED_VALUE"""),64605.0)</f>
        <v>64605</v>
      </c>
      <c r="C748" t="str">
        <f>IFERROR(__xludf.DUMMYFUNCTION("""COMPUTED_VALUE"""),"en")</f>
        <v>en</v>
      </c>
      <c r="D748" t="str">
        <f>IFERROR(__xludf.DUMMYFUNCTION("""COMPUTED_VALUE"""),"1 Hour CSS")</f>
        <v>1 Hour CSS</v>
      </c>
      <c r="E748" t="str">
        <f>IFERROR(__xludf.DUMMYFUNCTION("""COMPUTED_VALUE"""),"1 Hour CSS")</f>
        <v>1 Hour CSS</v>
      </c>
      <c r="F748">
        <f>IFERROR(__xludf.DUMMYFUNCTION("""COMPUTED_VALUE"""),55737.0)</f>
        <v>55737</v>
      </c>
      <c r="G748" t="str">
        <f>IFERROR(__xludf.DUMMYFUNCTION("""COMPUTED_VALUE"""),"John Bura")</f>
        <v>John Bura</v>
      </c>
      <c r="H748" t="str">
        <f>IFERROR(__xludf.DUMMYFUNCTION("""COMPUTED_VALUE"""),"Instructor Request- Opted Out")</f>
        <v>Instructor Request- Opted Out</v>
      </c>
      <c r="I748" t="str">
        <f>IFERROR(__xludf.DUMMYFUNCTION("""COMPUTED_VALUE"""),"Development")</f>
        <v>Development</v>
      </c>
      <c r="J748" t="str">
        <f>IFERROR(__xludf.DUMMYFUNCTION("""COMPUTED_VALUE"""),"Web Development")</f>
        <v>Web Development</v>
      </c>
      <c r="K748" s="140">
        <f>IFERROR(__xludf.DUMMYFUNCTION("""COMPUTED_VALUE"""),1561458.0)</f>
        <v>1561458</v>
      </c>
      <c r="L748" s="140" t="str">
        <f>IFERROR(__xludf.DUMMYFUNCTION("""COMPUTED_VALUE"""),"CSS - The Complete Guide 2021 (incl. Flexbox, Grid &amp; Sass)")</f>
        <v>CSS - The Complete Guide 2021 (incl. Flexbox, Grid &amp; Sass)</v>
      </c>
      <c r="N748" s="140" t="str">
        <f>IFERROR(__xludf.DUMMYFUNCTION("""COMPUTED_VALUE"""),"")</f>
        <v/>
      </c>
    </row>
    <row r="749">
      <c r="A749" s="143">
        <f>IFERROR(__xludf.DUMMYFUNCTION("""COMPUTED_VALUE"""),44469.0)</f>
        <v>44469</v>
      </c>
      <c r="B749">
        <f>IFERROR(__xludf.DUMMYFUNCTION("""COMPUTED_VALUE"""),2692016.0)</f>
        <v>2692016</v>
      </c>
      <c r="C749" t="str">
        <f>IFERROR(__xludf.DUMMYFUNCTION("""COMPUTED_VALUE"""),"en")</f>
        <v>en</v>
      </c>
      <c r="D749" t="str">
        <f>IFERROR(__xludf.DUMMYFUNCTION("""COMPUTED_VALUE"""),"LeetCode In Python: 50 Algorithms Coding Interview Questions")</f>
        <v>LeetCode In Python: 50 Algorithms Coding Interview Questions</v>
      </c>
      <c r="E749" t="str">
        <f>IFERROR(__xludf.DUMMYFUNCTION("""COMPUTED_VALUE"""),"LeetCode In Python: 50 Algorithms Coding Interview Questions")</f>
        <v>LeetCode In Python: 50 Algorithms Coding Interview Questions</v>
      </c>
      <c r="F749">
        <f>IFERROR(__xludf.DUMMYFUNCTION("""COMPUTED_VALUE"""),5.671637E7)</f>
        <v>56716370</v>
      </c>
      <c r="G749" t="str">
        <f>IFERROR(__xludf.DUMMYFUNCTION("""COMPUTED_VALUE"""),"Bit Punch")</f>
        <v>Bit Punch</v>
      </c>
      <c r="H749" t="str">
        <f>IFERROR(__xludf.DUMMYFUNCTION("""COMPUTED_VALUE"""),"Instructor Request- Opted Out")</f>
        <v>Instructor Request- Opted Out</v>
      </c>
      <c r="I749" t="str">
        <f>IFERROR(__xludf.DUMMYFUNCTION("""COMPUTED_VALUE"""),"Development")</f>
        <v>Development</v>
      </c>
      <c r="J749" t="str">
        <f>IFERROR(__xludf.DUMMYFUNCTION("""COMPUTED_VALUE"""),"Programming Languages")</f>
        <v>Programming Languages</v>
      </c>
      <c r="K749" s="140">
        <f>IFERROR(__xludf.DUMMYFUNCTION("""COMPUTED_VALUE"""),1278360.0)</f>
        <v>1278360</v>
      </c>
      <c r="L749" s="140" t="str">
        <f>IFERROR(__xludf.DUMMYFUNCTION("""COMPUTED_VALUE"""),"11 Essential Coding Interview Questions + Coding Exercises!")</f>
        <v>11 Essential Coding Interview Questions + Coding Exercises!</v>
      </c>
      <c r="N749" s="140" t="str">
        <f>IFERROR(__xludf.DUMMYFUNCTION("""COMPUTED_VALUE"""),"")</f>
        <v/>
      </c>
    </row>
    <row r="750">
      <c r="A750" s="143">
        <f>IFERROR(__xludf.DUMMYFUNCTION("""COMPUTED_VALUE"""),44469.0)</f>
        <v>44469</v>
      </c>
      <c r="B750">
        <f>IFERROR(__xludf.DUMMYFUNCTION("""COMPUTED_VALUE"""),2314740.0)</f>
        <v>2314740</v>
      </c>
      <c r="C750" t="str">
        <f>IFERROR(__xludf.DUMMYFUNCTION("""COMPUTED_VALUE"""),"en")</f>
        <v>en</v>
      </c>
      <c r="D750" t="str">
        <f>IFERROR(__xludf.DUMMYFUNCTION("""COMPUTED_VALUE"""),"Real Estate Asset Management 101")</f>
        <v>Real Estate Asset Management 101</v>
      </c>
      <c r="E750" t="str">
        <f>IFERROR(__xludf.DUMMYFUNCTION("""COMPUTED_VALUE"""),"Real Estate Asset Management 101")</f>
        <v>Real Estate Asset Management 101</v>
      </c>
      <c r="F750">
        <f>IFERROR(__xludf.DUMMYFUNCTION("""COMPUTED_VALUE"""),5020122.0)</f>
        <v>5020122</v>
      </c>
      <c r="G750" t="str">
        <f>IFERROR(__xludf.DUMMYFUNCTION("""COMPUTED_VALUE"""),"Justin Kivel")</f>
        <v>Justin Kivel</v>
      </c>
      <c r="H750" t="str">
        <f>IFERROR(__xludf.DUMMYFUNCTION("""COMPUTED_VALUE"""),"Instructor Request- Opted Out")</f>
        <v>Instructor Request- Opted Out</v>
      </c>
      <c r="I750" t="str">
        <f>IFERROR(__xludf.DUMMYFUNCTION("""COMPUTED_VALUE"""),"Finance &amp; Accounting")</f>
        <v>Finance &amp; Accounting</v>
      </c>
      <c r="J750" t="str">
        <f>IFERROR(__xludf.DUMMYFUNCTION("""COMPUTED_VALUE"""),"Investing &amp; Trading")</f>
        <v>Investing &amp; Trading</v>
      </c>
      <c r="K750" s="140">
        <f>IFERROR(__xludf.DUMMYFUNCTION("""COMPUTED_VALUE"""),148902.0)</f>
        <v>148902</v>
      </c>
      <c r="L750" s="140" t="str">
        <f>IFERROR(__xludf.DUMMYFUNCTION("""COMPUTED_VALUE"""),"Fundamentals of Analyzing Real Estate Investments")</f>
        <v>Fundamentals of Analyzing Real Estate Investments</v>
      </c>
      <c r="N750" s="140" t="str">
        <f>IFERROR(__xludf.DUMMYFUNCTION("""COMPUTED_VALUE"""),"")</f>
        <v/>
      </c>
    </row>
    <row r="751">
      <c r="A751" s="143">
        <f>IFERROR(__xludf.DUMMYFUNCTION("""COMPUTED_VALUE"""),44469.0)</f>
        <v>44469</v>
      </c>
      <c r="B751">
        <f>IFERROR(__xludf.DUMMYFUNCTION("""COMPUTED_VALUE"""),72262.0)</f>
        <v>72262</v>
      </c>
      <c r="C751" t="str">
        <f>IFERROR(__xludf.DUMMYFUNCTION("""COMPUTED_VALUE"""),"en")</f>
        <v>en</v>
      </c>
      <c r="D751" t="str">
        <f>IFERROR(__xludf.DUMMYFUNCTION("""COMPUTED_VALUE"""),"1 hour jQuery")</f>
        <v>1 hour jQuery</v>
      </c>
      <c r="E751" t="str">
        <f>IFERROR(__xludf.DUMMYFUNCTION("""COMPUTED_VALUE"""),"1 hour jQuery")</f>
        <v>1 hour jQuery</v>
      </c>
      <c r="F751">
        <f>IFERROR(__xludf.DUMMYFUNCTION("""COMPUTED_VALUE"""),55737.0)</f>
        <v>55737</v>
      </c>
      <c r="G751" t="str">
        <f>IFERROR(__xludf.DUMMYFUNCTION("""COMPUTED_VALUE"""),"John Bura")</f>
        <v>John Bura</v>
      </c>
      <c r="H751" t="str">
        <f>IFERROR(__xludf.DUMMYFUNCTION("""COMPUTED_VALUE"""),"Instructor Request- Opted Out")</f>
        <v>Instructor Request- Opted Out</v>
      </c>
      <c r="I751" t="str">
        <f>IFERROR(__xludf.DUMMYFUNCTION("""COMPUTED_VALUE"""),"Development")</f>
        <v>Development</v>
      </c>
      <c r="J751" t="str">
        <f>IFERROR(__xludf.DUMMYFUNCTION("""COMPUTED_VALUE"""),"Web Development")</f>
        <v>Web Development</v>
      </c>
      <c r="K751" s="140">
        <f>IFERROR(__xludf.DUMMYFUNCTION("""COMPUTED_VALUE"""),812588.0)</f>
        <v>812588</v>
      </c>
      <c r="L751" s="140" t="str">
        <f>IFERROR(__xludf.DUMMYFUNCTION("""COMPUTED_VALUE"""),"The Complete jQuery Course: From Beginner To Advanced!")</f>
        <v>The Complete jQuery Course: From Beginner To Advanced!</v>
      </c>
      <c r="N751" s="140" t="str">
        <f>IFERROR(__xludf.DUMMYFUNCTION("""COMPUTED_VALUE"""),"")</f>
        <v/>
      </c>
    </row>
    <row r="752">
      <c r="A752" s="143">
        <f>IFERROR(__xludf.DUMMYFUNCTION("""COMPUTED_VALUE"""),44469.0)</f>
        <v>44469</v>
      </c>
      <c r="B752">
        <f>IFERROR(__xludf.DUMMYFUNCTION("""COMPUTED_VALUE"""),1518034.0)</f>
        <v>1518034</v>
      </c>
      <c r="C752" t="str">
        <f>IFERROR(__xludf.DUMMYFUNCTION("""COMPUTED_VALUE"""),"en")</f>
        <v>en</v>
      </c>
      <c r="D752" t="str">
        <f>IFERROR(__xludf.DUMMYFUNCTION("""COMPUTED_VALUE"""),"The Real Estate Syndication Process")</f>
        <v>The Real Estate Syndication Process</v>
      </c>
      <c r="E752" t="str">
        <f>IFERROR(__xludf.DUMMYFUNCTION("""COMPUTED_VALUE"""),"The Real Estate Syndication Process")</f>
        <v>The Real Estate Syndication Process</v>
      </c>
      <c r="F752">
        <f>IFERROR(__xludf.DUMMYFUNCTION("""COMPUTED_VALUE"""),5020122.0)</f>
        <v>5020122</v>
      </c>
      <c r="G752" t="str">
        <f>IFERROR(__xludf.DUMMYFUNCTION("""COMPUTED_VALUE"""),"Justin Kivel")</f>
        <v>Justin Kivel</v>
      </c>
      <c r="H752" t="str">
        <f>IFERROR(__xludf.DUMMYFUNCTION("""COMPUTED_VALUE"""),"Instructor Request- Opted Out")</f>
        <v>Instructor Request- Opted Out</v>
      </c>
      <c r="I752" t="str">
        <f>IFERROR(__xludf.DUMMYFUNCTION("""COMPUTED_VALUE"""),"Finance &amp; Accounting")</f>
        <v>Finance &amp; Accounting</v>
      </c>
      <c r="J752" t="str">
        <f>IFERROR(__xludf.DUMMYFUNCTION("""COMPUTED_VALUE"""),"Investing &amp; Trading")</f>
        <v>Investing &amp; Trading</v>
      </c>
      <c r="L752" s="140" t="str">
        <f>IFERROR(__xludf.DUMMYFUNCTION("""COMPUTED_VALUE"""),"")</f>
        <v/>
      </c>
      <c r="N752" s="140" t="str">
        <f>IFERROR(__xludf.DUMMYFUNCTION("""COMPUTED_VALUE"""),"")</f>
        <v/>
      </c>
      <c r="O752" s="140" t="str">
        <f>IFERROR(__xludf.DUMMYFUNCTION("""COMPUTED_VALUE"""),"No Alternatives in Collection- 4/17")</f>
        <v>No Alternatives in Collection- 4/17</v>
      </c>
    </row>
    <row r="753">
      <c r="A753" s="143">
        <f>IFERROR(__xludf.DUMMYFUNCTION("""COMPUTED_VALUE"""),44469.0)</f>
        <v>44469</v>
      </c>
      <c r="B753">
        <f>IFERROR(__xludf.DUMMYFUNCTION("""COMPUTED_VALUE"""),3765958.0)</f>
        <v>3765958</v>
      </c>
      <c r="C753" t="str">
        <f>IFERROR(__xludf.DUMMYFUNCTION("""COMPUTED_VALUE"""),"en")</f>
        <v>en</v>
      </c>
      <c r="D753" t="str">
        <f>IFERROR(__xludf.DUMMYFUNCTION("""COMPUTED_VALUE"""),"three.js and webgl 3D programming master class 2021")</f>
        <v>three.js and webgl 3D programming master class 2021</v>
      </c>
      <c r="E753" t="str">
        <f>IFERROR(__xludf.DUMMYFUNCTION("""COMPUTED_VALUE"""),"three.js and webgl 3D programming master class 2021")</f>
        <v>three.js and webgl 3D programming master class 2021</v>
      </c>
      <c r="F753">
        <f>IFERROR(__xludf.DUMMYFUNCTION("""COMPUTED_VALUE"""),1.42093084E8)</f>
        <v>142093084</v>
      </c>
      <c r="G753" t="str">
        <f>IFERROR(__xludf.DUMMYFUNCTION("""COMPUTED_VALUE"""),"David Johanson")</f>
        <v>David Johanson</v>
      </c>
      <c r="H753" t="str">
        <f>IFERROR(__xludf.DUMMYFUNCTION("""COMPUTED_VALUE"""),"Instructor Request- Opted Out")</f>
        <v>Instructor Request- Opted Out</v>
      </c>
      <c r="I753" t="str">
        <f>IFERROR(__xludf.DUMMYFUNCTION("""COMPUTED_VALUE"""),"Development")</f>
        <v>Development</v>
      </c>
      <c r="J753" t="str">
        <f>IFERROR(__xludf.DUMMYFUNCTION("""COMPUTED_VALUE"""),"Development Tools")</f>
        <v>Development Tools</v>
      </c>
      <c r="K753" s="140">
        <f>IFERROR(__xludf.DUMMYFUNCTION("""COMPUTED_VALUE"""),1747524.0)</f>
        <v>1747524</v>
      </c>
      <c r="L753" s="140" t="str">
        <f>IFERROR(__xludf.DUMMYFUNCTION("""COMPUTED_VALUE"""),"3D Programming with JavaScript and the Three.js 3D Library")</f>
        <v>3D Programming with JavaScript and the Three.js 3D Library</v>
      </c>
      <c r="N753" s="140" t="str">
        <f>IFERROR(__xludf.DUMMYFUNCTION("""COMPUTED_VALUE"""),"")</f>
        <v/>
      </c>
    </row>
    <row r="754">
      <c r="A754" s="143">
        <f>IFERROR(__xludf.DUMMYFUNCTION("""COMPUTED_VALUE"""),44469.0)</f>
        <v>44469</v>
      </c>
      <c r="B754">
        <f>IFERROR(__xludf.DUMMYFUNCTION("""COMPUTED_VALUE"""),816772.0)</f>
        <v>816772</v>
      </c>
      <c r="C754" t="str">
        <f>IFERROR(__xludf.DUMMYFUNCTION("""COMPUTED_VALUE"""),"en")</f>
        <v>en</v>
      </c>
      <c r="D754" t="str">
        <f>IFERROR(__xludf.DUMMYFUNCTION("""COMPUTED_VALUE"""),"Make a low poly scene in Blender and Unity in 30 minutes")</f>
        <v>Make a low poly scene in Blender and Unity in 30 minutes</v>
      </c>
      <c r="E754" t="str">
        <f>IFERROR(__xludf.DUMMYFUNCTION("""COMPUTED_VALUE"""),"Make a low poly scene in Blender and Unity in 30 minutes")</f>
        <v>Make a low poly scene in Blender and Unity in 30 minutes</v>
      </c>
      <c r="F754">
        <f>IFERROR(__xludf.DUMMYFUNCTION("""COMPUTED_VALUE"""),55737.0)</f>
        <v>55737</v>
      </c>
      <c r="G754" t="str">
        <f>IFERROR(__xludf.DUMMYFUNCTION("""COMPUTED_VALUE"""),"John Bura")</f>
        <v>John Bura</v>
      </c>
      <c r="H754" t="str">
        <f>IFERROR(__xludf.DUMMYFUNCTION("""COMPUTED_VALUE"""),"Instructor Request- Opted Out")</f>
        <v>Instructor Request- Opted Out</v>
      </c>
      <c r="I754" t="str">
        <f>IFERROR(__xludf.DUMMYFUNCTION("""COMPUTED_VALUE"""),"Design")</f>
        <v>Design</v>
      </c>
      <c r="J754" t="str">
        <f>IFERROR(__xludf.DUMMYFUNCTION("""COMPUTED_VALUE"""),"Design Tools")</f>
        <v>Design Tools</v>
      </c>
      <c r="K754" s="140">
        <f>IFERROR(__xludf.DUMMYFUNCTION("""COMPUTED_VALUE"""),1188972.0)</f>
        <v>1188972</v>
      </c>
      <c r="L754" s="140" t="str">
        <f>IFERROR(__xludf.DUMMYFUNCTION("""COMPUTED_VALUE"""),"Low-Poly Vehicle Design in Blender for Unity Game Developers")</f>
        <v>Low-Poly Vehicle Design in Blender for Unity Game Developers</v>
      </c>
      <c r="N754" s="140" t="str">
        <f>IFERROR(__xludf.DUMMYFUNCTION("""COMPUTED_VALUE"""),"")</f>
        <v/>
      </c>
    </row>
    <row r="755">
      <c r="A755" s="143">
        <f>IFERROR(__xludf.DUMMYFUNCTION("""COMPUTED_VALUE"""),44469.0)</f>
        <v>44469</v>
      </c>
      <c r="B755">
        <f>IFERROR(__xludf.DUMMYFUNCTION("""COMPUTED_VALUE"""),1209910.0)</f>
        <v>1209910</v>
      </c>
      <c r="C755" t="str">
        <f>IFERROR(__xludf.DUMMYFUNCTION("""COMPUTED_VALUE"""),"en")</f>
        <v>en</v>
      </c>
      <c r="D755" t="str">
        <f>IFERROR(__xludf.DUMMYFUNCTION("""COMPUTED_VALUE"""),"Supercharge Your Email Productivity")</f>
        <v>Supercharge Your Email Productivity</v>
      </c>
      <c r="E755" t="str">
        <f>IFERROR(__xludf.DUMMYFUNCTION("""COMPUTED_VALUE"""),"Supercharge Your Email Productivity")</f>
        <v>Supercharge Your Email Productivity</v>
      </c>
      <c r="F755">
        <f>IFERROR(__xludf.DUMMYFUNCTION("""COMPUTED_VALUE"""),2.8590066E7)</f>
        <v>28590066</v>
      </c>
      <c r="G755" t="str">
        <f>IFERROR(__xludf.DUMMYFUNCTION("""COMPUTED_VALUE"""),"Carl Pullein")</f>
        <v>Carl Pullein</v>
      </c>
      <c r="H755" t="str">
        <f>IFERROR(__xludf.DUMMYFUNCTION("""COMPUTED_VALUE"""),"Instructor Request- Opted Out")</f>
        <v>Instructor Request- Opted Out</v>
      </c>
      <c r="I755" t="str">
        <f>IFERROR(__xludf.DUMMYFUNCTION("""COMPUTED_VALUE"""),"Office Productivity")</f>
        <v>Office Productivity</v>
      </c>
      <c r="J755" t="str">
        <f>IFERROR(__xludf.DUMMYFUNCTION("""COMPUTED_VALUE"""),"Email &amp; Productivity")</f>
        <v>Email &amp; Productivity</v>
      </c>
      <c r="K755" s="140">
        <f>IFERROR(__xludf.DUMMYFUNCTION("""COMPUTED_VALUE"""),648530.0)</f>
        <v>648530</v>
      </c>
      <c r="L755" s="140" t="str">
        <f>IFERROR(__xludf.DUMMYFUNCTION("""COMPUTED_VALUE"""),"Email Ninja - Take Back Control of Your Email Inbox")</f>
        <v>Email Ninja - Take Back Control of Your Email Inbox</v>
      </c>
      <c r="N755" s="140" t="str">
        <f>IFERROR(__xludf.DUMMYFUNCTION("""COMPUTED_VALUE"""),"")</f>
        <v/>
      </c>
    </row>
    <row r="756">
      <c r="A756" s="143">
        <f>IFERROR(__xludf.DUMMYFUNCTION("""COMPUTED_VALUE"""),44469.0)</f>
        <v>44469</v>
      </c>
      <c r="B756">
        <f>IFERROR(__xludf.DUMMYFUNCTION("""COMPUTED_VALUE"""),1358653.0)</f>
        <v>1358653</v>
      </c>
      <c r="C756" t="str">
        <f>IFERROR(__xludf.DUMMYFUNCTION("""COMPUTED_VALUE"""),"en")</f>
        <v>en</v>
      </c>
      <c r="D756" t="str">
        <f>IFERROR(__xludf.DUMMYFUNCTION("""COMPUTED_VALUE"""),"Anime Drawing for Beginners")</f>
        <v>Anime Drawing for Beginners</v>
      </c>
      <c r="E756" t="str">
        <f>IFERROR(__xludf.DUMMYFUNCTION("""COMPUTED_VALUE"""),"Anime Drawing for Beginners")</f>
        <v>Anime Drawing for Beginners</v>
      </c>
      <c r="F756">
        <f>IFERROR(__xludf.DUMMYFUNCTION("""COMPUTED_VALUE"""),3.5821362E7)</f>
        <v>35821362</v>
      </c>
      <c r="G756" t="str">
        <f>IFERROR(__xludf.DUMMYFUNCTION("""COMPUTED_VALUE"""),"Pluvias .")</f>
        <v>Pluvias .</v>
      </c>
      <c r="H756" t="str">
        <f>IFERROR(__xludf.DUMMYFUNCTION("""COMPUTED_VALUE"""),"Instructor Request- Opted Out")</f>
        <v>Instructor Request- Opted Out</v>
      </c>
      <c r="I756" t="str">
        <f>IFERROR(__xludf.DUMMYFUNCTION("""COMPUTED_VALUE"""),"Personal Development")</f>
        <v>Personal Development</v>
      </c>
      <c r="J756" t="str">
        <f>IFERROR(__xludf.DUMMYFUNCTION("""COMPUTED_VALUE"""),"Arts &amp; Creativity")</f>
        <v>Arts &amp; Creativity</v>
      </c>
      <c r="K756" s="140">
        <f>IFERROR(__xludf.DUMMYFUNCTION("""COMPUTED_VALUE"""),1324768.0)</f>
        <v>1324768</v>
      </c>
      <c r="L756" s="140" t="str">
        <f>IFERROR(__xludf.DUMMYFUNCTION("""COMPUTED_VALUE"""),"Character Art School: Complete Coloring and Painting Course")</f>
        <v>Character Art School: Complete Coloring and Painting Course</v>
      </c>
      <c r="N756" s="140" t="str">
        <f>IFERROR(__xludf.DUMMYFUNCTION("""COMPUTED_VALUE"""),"")</f>
        <v/>
      </c>
    </row>
    <row r="757">
      <c r="A757" s="143">
        <f>IFERROR(__xludf.DUMMYFUNCTION("""COMPUTED_VALUE"""),44469.0)</f>
        <v>44469</v>
      </c>
      <c r="B757">
        <f>IFERROR(__xludf.DUMMYFUNCTION("""COMPUTED_VALUE"""),2912472.0)</f>
        <v>2912472</v>
      </c>
      <c r="C757" t="str">
        <f>IFERROR(__xludf.DUMMYFUNCTION("""COMPUTED_VALUE"""),"en")</f>
        <v>en</v>
      </c>
      <c r="D757" t="str">
        <f>IFERROR(__xludf.DUMMYFUNCTION("""COMPUTED_VALUE"""),"APIs with Postman for Absolute Beginners")</f>
        <v>APIs with Postman for Absolute Beginners</v>
      </c>
      <c r="E757" t="str">
        <f>IFERROR(__xludf.DUMMYFUNCTION("""COMPUTED_VALUE"""),"APIs with Postman for Absolute Beginners")</f>
        <v>APIs with Postman for Absolute Beginners</v>
      </c>
      <c r="F757">
        <f>IFERROR(__xludf.DUMMYFUNCTION("""COMPUTED_VALUE"""),2.321862E7)</f>
        <v>23218620</v>
      </c>
      <c r="G757" t="str">
        <f>IFERROR(__xludf.DUMMYFUNCTION("""COMPUTED_VALUE"""),"Valentin Despa")</f>
        <v>Valentin Despa</v>
      </c>
      <c r="H757" t="str">
        <f>IFERROR(__xludf.DUMMYFUNCTION("""COMPUTED_VALUE"""),"Instructor Request- Opted Out")</f>
        <v>Instructor Request- Opted Out</v>
      </c>
      <c r="I757" t="str">
        <f>IFERROR(__xludf.DUMMYFUNCTION("""COMPUTED_VALUE"""),"Development")</f>
        <v>Development</v>
      </c>
      <c r="J757" t="str">
        <f>IFERROR(__xludf.DUMMYFUNCTION("""COMPUTED_VALUE"""),"Web Development")</f>
        <v>Web Development</v>
      </c>
      <c r="K757" s="140">
        <f>IFERROR(__xludf.DUMMYFUNCTION("""COMPUTED_VALUE"""),1265410.0)</f>
        <v>1265410</v>
      </c>
      <c r="L757" s="140" t="str">
        <f>IFERROR(__xludf.DUMMYFUNCTION("""COMPUTED_VALUE"""),"Postman: The Complete Guide - REST API Testing")</f>
        <v>Postman: The Complete Guide - REST API Testing</v>
      </c>
      <c r="N757" s="140" t="str">
        <f>IFERROR(__xludf.DUMMYFUNCTION("""COMPUTED_VALUE"""),"")</f>
        <v/>
      </c>
    </row>
    <row r="758">
      <c r="A758" s="143">
        <f>IFERROR(__xludf.DUMMYFUNCTION("""COMPUTED_VALUE"""),44469.0)</f>
        <v>44469</v>
      </c>
      <c r="B758">
        <f>IFERROR(__xludf.DUMMYFUNCTION("""COMPUTED_VALUE"""),874754.0)</f>
        <v>874754</v>
      </c>
      <c r="C758" t="str">
        <f>IFERROR(__xludf.DUMMYFUNCTION("""COMPUTED_VALUE"""),"en")</f>
        <v>en</v>
      </c>
      <c r="D758" t="str">
        <f>IFERROR(__xludf.DUMMYFUNCTION("""COMPUTED_VALUE"""),"Flipped Learning for Businesses")</f>
        <v>Flipped Learning for Businesses</v>
      </c>
      <c r="E758" t="str">
        <f>IFERROR(__xludf.DUMMYFUNCTION("""COMPUTED_VALUE"""),"Flipped Learning for Businesses")</f>
        <v>Flipped Learning for Businesses</v>
      </c>
      <c r="F758">
        <f>IFERROR(__xludf.DUMMYFUNCTION("""COMPUTED_VALUE"""),2.310453E7)</f>
        <v>23104530</v>
      </c>
      <c r="G758" t="str">
        <f>IFERROR(__xludf.DUMMYFUNCTION("""COMPUTED_VALUE"""),"Jon Bergmann")</f>
        <v>Jon Bergmann</v>
      </c>
      <c r="H758" t="str">
        <f>IFERROR(__xludf.DUMMYFUNCTION("""COMPUTED_VALUE"""),"Instructor Request- Outdated")</f>
        <v>Instructor Request- Outdated</v>
      </c>
      <c r="I758" t="str">
        <f>IFERROR(__xludf.DUMMYFUNCTION("""COMPUTED_VALUE"""),"Workplace &amp; Human Resources")</f>
        <v>Workplace &amp; Human Resources</v>
      </c>
      <c r="J758" t="str">
        <f>IFERROR(__xludf.DUMMYFUNCTION("""COMPUTED_VALUE"""),"Learning &amp; Development")</f>
        <v>Learning &amp; Development</v>
      </c>
      <c r="L758" s="140" t="str">
        <f>IFERROR(__xludf.DUMMYFUNCTION("""COMPUTED_VALUE"""),"")</f>
        <v/>
      </c>
      <c r="N758" s="140" t="str">
        <f>IFERROR(__xludf.DUMMYFUNCTION("""COMPUTED_VALUE"""),"")</f>
        <v/>
      </c>
      <c r="O758" s="140" t="str">
        <f>IFERROR(__xludf.DUMMYFUNCTION("""COMPUTED_VALUE"""),"No Alternatives in Collection- 4/17")</f>
        <v>No Alternatives in Collection- 4/17</v>
      </c>
    </row>
    <row r="759">
      <c r="A759" s="143">
        <f>IFERROR(__xludf.DUMMYFUNCTION("""COMPUTED_VALUE"""),44469.0)</f>
        <v>44469</v>
      </c>
      <c r="B759">
        <f>IFERROR(__xludf.DUMMYFUNCTION("""COMPUTED_VALUE"""),86322.0)</f>
        <v>86322</v>
      </c>
      <c r="C759" t="str">
        <f>IFERROR(__xludf.DUMMYFUNCTION("""COMPUTED_VALUE"""),"en")</f>
        <v>en</v>
      </c>
      <c r="D759" t="str">
        <f>IFERROR(__xludf.DUMMYFUNCTION("""COMPUTED_VALUE"""),"ServiceNow Kickstart: Basic Skills for CMDB Administration")</f>
        <v>ServiceNow Kickstart: Basic Skills for CMDB Administration</v>
      </c>
      <c r="E759" t="str">
        <f>IFERROR(__xludf.DUMMYFUNCTION("""COMPUTED_VALUE"""),"ServiceNow Kickstart: Basic Skills for CMDB Administration")</f>
        <v>ServiceNow Kickstart: Basic Skills for CMDB Administration</v>
      </c>
      <c r="F759">
        <f>IFERROR(__xludf.DUMMYFUNCTION("""COMPUTED_VALUE"""),1486316.0)</f>
        <v>1486316</v>
      </c>
      <c r="G759" t="str">
        <f>IFERROR(__xludf.DUMMYFUNCTION("""COMPUTED_VALUE"""),"Shivraj Vichare")</f>
        <v>Shivraj Vichare</v>
      </c>
      <c r="H759" t="str">
        <f>IFERROR(__xludf.DUMMYFUNCTION("""COMPUTED_VALUE"""),"Low Rating")</f>
        <v>Low Rating</v>
      </c>
      <c r="I759" t="str">
        <f>IFERROR(__xludf.DUMMYFUNCTION("""COMPUTED_VALUE"""),"IT Operations")</f>
        <v>IT Operations</v>
      </c>
      <c r="J759" t="str">
        <f>IFERROR(__xludf.DUMMYFUNCTION("""COMPUTED_VALUE"""),"Operating Systems &amp; Servers")</f>
        <v>Operating Systems &amp; Servers</v>
      </c>
      <c r="L759" s="140" t="str">
        <f>IFERROR(__xludf.DUMMYFUNCTION("""COMPUTED_VALUE"""),"")</f>
        <v/>
      </c>
      <c r="N759" s="140" t="str">
        <f>IFERROR(__xludf.DUMMYFUNCTION("""COMPUTED_VALUE"""),"")</f>
        <v/>
      </c>
      <c r="O759" s="140" t="str">
        <f>IFERROR(__xludf.DUMMYFUNCTION("""COMPUTED_VALUE"""),"No Alternatives in Collection- 3/20")</f>
        <v>No Alternatives in Collection- 3/20</v>
      </c>
    </row>
    <row r="760">
      <c r="A760" s="143">
        <f>IFERROR(__xludf.DUMMYFUNCTION("""COMPUTED_VALUE"""),44469.0)</f>
        <v>44469</v>
      </c>
      <c r="B760">
        <f>IFERROR(__xludf.DUMMYFUNCTION("""COMPUTED_VALUE"""),552594.0)</f>
        <v>552594</v>
      </c>
      <c r="C760" t="str">
        <f>IFERROR(__xludf.DUMMYFUNCTION("""COMPUTED_VALUE"""),"en")</f>
        <v>en</v>
      </c>
      <c r="D760" t="str">
        <f>IFERROR(__xludf.DUMMYFUNCTION("""COMPUTED_VALUE"""),"Create Complete Web Applications easily with APEX 5")</f>
        <v>Create Complete Web Applications easily with APEX 5</v>
      </c>
      <c r="E760" t="str">
        <f>IFERROR(__xludf.DUMMYFUNCTION("""COMPUTED_VALUE"""),"Create Complete Web Applications easily with APEX 5")</f>
        <v>Create Complete Web Applications easily with APEX 5</v>
      </c>
      <c r="F760">
        <f>IFERROR(__xludf.DUMMYFUNCTION("""COMPUTED_VALUE"""),360287.0)</f>
        <v>360287</v>
      </c>
      <c r="G760" t="str">
        <f>IFERROR(__xludf.DUMMYFUNCTION("""COMPUTED_VALUE"""),"Andrew Vega")</f>
        <v>Andrew Vega</v>
      </c>
      <c r="H760" t="str">
        <f>IFERROR(__xludf.DUMMYFUNCTION("""COMPUTED_VALUE"""),"Low Rating")</f>
        <v>Low Rating</v>
      </c>
      <c r="I760" t="str">
        <f>IFERROR(__xludf.DUMMYFUNCTION("""COMPUTED_VALUE"""),"Development")</f>
        <v>Development</v>
      </c>
      <c r="J760" t="str">
        <f>IFERROR(__xludf.DUMMYFUNCTION("""COMPUTED_VALUE"""),"Web Development")</f>
        <v>Web Development</v>
      </c>
      <c r="K760" s="140">
        <f>IFERROR(__xludf.DUMMYFUNCTION("""COMPUTED_VALUE"""),2135894.0)</f>
        <v>2135894</v>
      </c>
      <c r="L760" s="140" t="str">
        <f>IFERROR(__xludf.DUMMYFUNCTION("""COMPUTED_VALUE"""),"How To Create Complete Oracle APEX Web Apps Easily")</f>
        <v>How To Create Complete Oracle APEX Web Apps Easily</v>
      </c>
      <c r="N760" s="140" t="str">
        <f>IFERROR(__xludf.DUMMYFUNCTION("""COMPUTED_VALUE"""),"")</f>
        <v/>
      </c>
    </row>
    <row r="761">
      <c r="A761" s="143">
        <f>IFERROR(__xludf.DUMMYFUNCTION("""COMPUTED_VALUE"""),44469.0)</f>
        <v>44469</v>
      </c>
      <c r="B761">
        <f>IFERROR(__xludf.DUMMYFUNCTION("""COMPUTED_VALUE"""),727210.0)</f>
        <v>727210</v>
      </c>
      <c r="C761" t="str">
        <f>IFERROR(__xludf.DUMMYFUNCTION("""COMPUTED_VALUE"""),"en")</f>
        <v>en</v>
      </c>
      <c r="D761" t="str">
        <f>IFERROR(__xludf.DUMMYFUNCTION("""COMPUTED_VALUE"""),"Mastering the Basics of SQL Server Query Optimization")</f>
        <v>Mastering the Basics of SQL Server Query Optimization</v>
      </c>
      <c r="E761" t="str">
        <f>IFERROR(__xludf.DUMMYFUNCTION("""COMPUTED_VALUE"""),"Mastering the Basics of SQL Server Query Optimization")</f>
        <v>Mastering the Basics of SQL Server Query Optimization</v>
      </c>
      <c r="F761">
        <f>IFERROR(__xludf.DUMMYFUNCTION("""COMPUTED_VALUE"""),3921604.0)</f>
        <v>3921604</v>
      </c>
      <c r="G761" t="str">
        <f>IFERROR(__xludf.DUMMYFUNCTION("""COMPUTED_VALUE"""),"Mike West")</f>
        <v>Mike West</v>
      </c>
      <c r="H761" t="str">
        <f>IFERROR(__xludf.DUMMYFUNCTION("""COMPUTED_VALUE"""),"Low Rating")</f>
        <v>Low Rating</v>
      </c>
      <c r="I761" t="str">
        <f>IFERROR(__xludf.DUMMYFUNCTION("""COMPUTED_VALUE"""),"IT Operations")</f>
        <v>IT Operations</v>
      </c>
      <c r="J761" t="str">
        <f>IFERROR(__xludf.DUMMYFUNCTION("""COMPUTED_VALUE"""),"Operating Systems &amp; Servers")</f>
        <v>Operating Systems &amp; Servers</v>
      </c>
      <c r="L761" s="140" t="str">
        <f>IFERROR(__xludf.DUMMYFUNCTION("""COMPUTED_VALUE"""),"")</f>
        <v/>
      </c>
      <c r="N761" s="140" t="str">
        <f>IFERROR(__xludf.DUMMYFUNCTION("""COMPUTED_VALUE"""),"")</f>
        <v/>
      </c>
      <c r="O761" s="140" t="str">
        <f>IFERROR(__xludf.DUMMYFUNCTION("""COMPUTED_VALUE"""),"No Alternatives in Collection- 3/27")</f>
        <v>No Alternatives in Collection- 3/27</v>
      </c>
    </row>
    <row r="762">
      <c r="A762" s="143">
        <f>IFERROR(__xludf.DUMMYFUNCTION("""COMPUTED_VALUE"""),44469.0)</f>
        <v>44469</v>
      </c>
      <c r="B762">
        <f>IFERROR(__xludf.DUMMYFUNCTION("""COMPUTED_VALUE"""),1007632.0)</f>
        <v>1007632</v>
      </c>
      <c r="C762" t="str">
        <f>IFERROR(__xludf.DUMMYFUNCTION("""COMPUTED_VALUE"""),"en")</f>
        <v>en</v>
      </c>
      <c r="D762" t="str">
        <f>IFERROR(__xludf.DUMMYFUNCTION("""COMPUTED_VALUE"""),"RHCE Linux System Engineer Complete Course")</f>
        <v>RHCE Linux System Engineer Complete Course</v>
      </c>
      <c r="E762" t="str">
        <f>IFERROR(__xludf.DUMMYFUNCTION("""COMPUTED_VALUE"""),"RHCE Linux System Engineer Complete Course")</f>
        <v>RHCE Linux System Engineer Complete Course</v>
      </c>
      <c r="F762">
        <f>IFERROR(__xludf.DUMMYFUNCTION("""COMPUTED_VALUE"""),1.9687916E7)</f>
        <v>19687916</v>
      </c>
      <c r="G762" t="str">
        <f>IFERROR(__xludf.DUMMYFUNCTION("""COMPUTED_VALUE"""),"Aly Ragab")</f>
        <v>Aly Ragab</v>
      </c>
      <c r="H762" t="str">
        <f>IFERROR(__xludf.DUMMYFUNCTION("""COMPUTED_VALUE"""),"Low Rating")</f>
        <v>Low Rating</v>
      </c>
      <c r="I762" t="str">
        <f>IFERROR(__xludf.DUMMYFUNCTION("""COMPUTED_VALUE"""),"IT Operations")</f>
        <v>IT Operations</v>
      </c>
      <c r="J762" t="str">
        <f>IFERROR(__xludf.DUMMYFUNCTION("""COMPUTED_VALUE"""),"IT Certifications")</f>
        <v>IT Certifications</v>
      </c>
      <c r="L762" s="140" t="str">
        <f>IFERROR(__xludf.DUMMYFUNCTION("""COMPUTED_VALUE"""),"")</f>
        <v/>
      </c>
      <c r="N762" s="140" t="str">
        <f>IFERROR(__xludf.DUMMYFUNCTION("""COMPUTED_VALUE"""),"")</f>
        <v/>
      </c>
      <c r="O762" s="140" t="str">
        <f>IFERROR(__xludf.DUMMYFUNCTION("""COMPUTED_VALUE"""),"No Alternatives in Collection- 3/27")</f>
        <v>No Alternatives in Collection- 3/27</v>
      </c>
    </row>
    <row r="763">
      <c r="A763" s="143">
        <f>IFERROR(__xludf.DUMMYFUNCTION("""COMPUTED_VALUE"""),44469.0)</f>
        <v>44469</v>
      </c>
      <c r="B763">
        <f>IFERROR(__xludf.DUMMYFUNCTION("""COMPUTED_VALUE"""),1116196.0)</f>
        <v>1116196</v>
      </c>
      <c r="C763" t="str">
        <f>IFERROR(__xludf.DUMMYFUNCTION("""COMPUTED_VALUE"""),"en")</f>
        <v>en</v>
      </c>
      <c r="D763" t="str">
        <f>IFERROR(__xludf.DUMMYFUNCTION("""COMPUTED_VALUE"""),"Essential Theory and Technique for Guitar")</f>
        <v>Essential Theory and Technique for Guitar</v>
      </c>
      <c r="E763" t="str">
        <f>IFERROR(__xludf.DUMMYFUNCTION("""COMPUTED_VALUE"""),"Essential Theory and Technique for Guitar")</f>
        <v>Essential Theory and Technique for Guitar</v>
      </c>
      <c r="F763">
        <f>IFERROR(__xludf.DUMMYFUNCTION("""COMPUTED_VALUE"""),2.969933E7)</f>
        <v>29699330</v>
      </c>
      <c r="G763" t="str">
        <f>IFERROR(__xludf.DUMMYFUNCTION("""COMPUTED_VALUE"""),"Troy Davidson (Studio33Guitar)")</f>
        <v>Troy Davidson (Studio33Guitar)</v>
      </c>
      <c r="H763" t="str">
        <f>IFERROR(__xludf.DUMMYFUNCTION("""COMPUTED_VALUE"""),"Low Rating")</f>
        <v>Low Rating</v>
      </c>
      <c r="I763" t="str">
        <f>IFERROR(__xludf.DUMMYFUNCTION("""COMPUTED_VALUE"""),"Personal Development")</f>
        <v>Personal Development</v>
      </c>
      <c r="J763" t="str">
        <f>IFERROR(__xludf.DUMMYFUNCTION("""COMPUTED_VALUE"""),"Arts &amp; Creativity")</f>
        <v>Arts &amp; Creativity</v>
      </c>
      <c r="K763" s="140">
        <f>IFERROR(__xludf.DUMMYFUNCTION("""COMPUTED_VALUE"""),42271.0)</f>
        <v>42271</v>
      </c>
      <c r="L763" s="140" t="str">
        <f>IFERROR(__xludf.DUMMYFUNCTION("""COMPUTED_VALUE"""),"Complete Guitar Lessons System - Beginner to Advanced")</f>
        <v>Complete Guitar Lessons System - Beginner to Advanced</v>
      </c>
      <c r="N763" s="140" t="str">
        <f>IFERROR(__xludf.DUMMYFUNCTION("""COMPUTED_VALUE"""),"")</f>
        <v/>
      </c>
    </row>
    <row r="764">
      <c r="A764" s="143">
        <f>IFERROR(__xludf.DUMMYFUNCTION("""COMPUTED_VALUE"""),44469.0)</f>
        <v>44469</v>
      </c>
      <c r="B764">
        <f>IFERROR(__xludf.DUMMYFUNCTION("""COMPUTED_VALUE"""),1343564.0)</f>
        <v>1343564</v>
      </c>
      <c r="C764" t="str">
        <f>IFERROR(__xludf.DUMMYFUNCTION("""COMPUTED_VALUE"""),"en")</f>
        <v>en</v>
      </c>
      <c r="D764" t="str">
        <f>IFERROR(__xludf.DUMMYFUNCTION("""COMPUTED_VALUE"""),"Ultimate Electrical Design Engineering Course Bundle")</f>
        <v>Ultimate Electrical Design Engineering Course Bundle</v>
      </c>
      <c r="E764" t="str">
        <f>IFERROR(__xludf.DUMMYFUNCTION("""COMPUTED_VALUE"""),"Ultimate Electrical Design Engineering Course Bundle")</f>
        <v>Ultimate Electrical Design Engineering Course Bundle</v>
      </c>
      <c r="F764">
        <f>IFERROR(__xludf.DUMMYFUNCTION("""COMPUTED_VALUE"""),1.3390142E7)</f>
        <v>13390142</v>
      </c>
      <c r="G764" t="str">
        <f>IFERROR(__xludf.DUMMYFUNCTION("""COMPUTED_VALUE"""),"Ahmed Mahdy / Khadija Academy")</f>
        <v>Ahmed Mahdy / Khadija Academy</v>
      </c>
      <c r="H764" t="str">
        <f>IFERROR(__xludf.DUMMYFUNCTION("""COMPUTED_VALUE"""),"Low Rating")</f>
        <v>Low Rating</v>
      </c>
      <c r="I764" t="str">
        <f>IFERROR(__xludf.DUMMYFUNCTION("""COMPUTED_VALUE"""),"IT Operations")</f>
        <v>IT Operations</v>
      </c>
      <c r="J764" t="str">
        <f>IFERROR(__xludf.DUMMYFUNCTION("""COMPUTED_VALUE"""),"Hardware")</f>
        <v>Hardware</v>
      </c>
      <c r="L764" s="140" t="str">
        <f>IFERROR(__xludf.DUMMYFUNCTION("""COMPUTED_VALUE"""),"")</f>
        <v/>
      </c>
      <c r="N764" s="140" t="str">
        <f>IFERROR(__xludf.DUMMYFUNCTION("""COMPUTED_VALUE"""),"")</f>
        <v/>
      </c>
      <c r="O764" s="140" t="str">
        <f>IFERROR(__xludf.DUMMYFUNCTION("""COMPUTED_VALUE"""),"No Alternatives in Collection- 3/27")</f>
        <v>No Alternatives in Collection- 3/27</v>
      </c>
    </row>
    <row r="765">
      <c r="A765" s="143">
        <f>IFERROR(__xludf.DUMMYFUNCTION("""COMPUTED_VALUE"""),44469.0)</f>
        <v>44469</v>
      </c>
      <c r="B765">
        <f>IFERROR(__xludf.DUMMYFUNCTION("""COMPUTED_VALUE"""),1346052.0)</f>
        <v>1346052</v>
      </c>
      <c r="C765" t="str">
        <f>IFERROR(__xludf.DUMMYFUNCTION("""COMPUTED_VALUE"""),"en")</f>
        <v>en</v>
      </c>
      <c r="D765" t="str">
        <f>IFERROR(__xludf.DUMMYFUNCTION("""COMPUTED_VALUE"""),"Learn to Develop for Cloud with Pivotal Cloud Foundry")</f>
        <v>Learn to Develop for Cloud with Pivotal Cloud Foundry</v>
      </c>
      <c r="E765" t="str">
        <f>IFERROR(__xludf.DUMMYFUNCTION("""COMPUTED_VALUE"""),"Learn to Develop for Cloud with Pivotal Cloud Foundry")</f>
        <v>Learn to Develop for Cloud with Pivotal Cloud Foundry</v>
      </c>
      <c r="F765">
        <f>IFERROR(__xludf.DUMMYFUNCTION("""COMPUTED_VALUE"""),3714024.0)</f>
        <v>3714024</v>
      </c>
      <c r="G765" t="str">
        <f>IFERROR(__xludf.DUMMYFUNCTION("""COMPUTED_VALUE"""),"Niyazi Erdogan")</f>
        <v>Niyazi Erdogan</v>
      </c>
      <c r="H765" t="str">
        <f>IFERROR(__xludf.DUMMYFUNCTION("""COMPUTED_VALUE"""),"Low Rating")</f>
        <v>Low Rating</v>
      </c>
      <c r="I765" t="str">
        <f>IFERROR(__xludf.DUMMYFUNCTION("""COMPUTED_VALUE"""),"Cloud Computing")</f>
        <v>Cloud Computing</v>
      </c>
      <c r="J765" t="str">
        <f>IFERROR(__xludf.DUMMYFUNCTION("""COMPUTED_VALUE"""),"Cloud Development")</f>
        <v>Cloud Development</v>
      </c>
      <c r="L765" s="140" t="str">
        <f>IFERROR(__xludf.DUMMYFUNCTION("""COMPUTED_VALUE"""),"")</f>
        <v/>
      </c>
      <c r="N765" s="140" t="str">
        <f>IFERROR(__xludf.DUMMYFUNCTION("""COMPUTED_VALUE"""),"")</f>
        <v/>
      </c>
      <c r="O765" s="140" t="str">
        <f>IFERROR(__xludf.DUMMYFUNCTION("""COMPUTED_VALUE"""),"No Alternatives in Collection- 3/27")</f>
        <v>No Alternatives in Collection- 3/27</v>
      </c>
    </row>
    <row r="766">
      <c r="A766" s="143">
        <f>IFERROR(__xludf.DUMMYFUNCTION("""COMPUTED_VALUE"""),44469.0)</f>
        <v>44469</v>
      </c>
      <c r="B766">
        <f>IFERROR(__xludf.DUMMYFUNCTION("""COMPUTED_VALUE"""),1436714.0)</f>
        <v>1436714</v>
      </c>
      <c r="C766" t="str">
        <f>IFERROR(__xludf.DUMMYFUNCTION("""COMPUTED_VALUE"""),"en")</f>
        <v>en</v>
      </c>
      <c r="D766" t="str">
        <f>IFERROR(__xludf.DUMMYFUNCTION("""COMPUTED_VALUE"""),"Develop your innovation - Certified Design Thinking Bootcamp")</f>
        <v>Develop your innovation - Certified Design Thinking Bootcamp</v>
      </c>
      <c r="E766" t="str">
        <f>IFERROR(__xludf.DUMMYFUNCTION("""COMPUTED_VALUE"""),"Develop your innovation - Certified Design Thinking Bootcamp")</f>
        <v>Develop your innovation - Certified Design Thinking Bootcamp</v>
      </c>
      <c r="F766">
        <f>IFERROR(__xludf.DUMMYFUNCTION("""COMPUTED_VALUE"""),4627106.0)</f>
        <v>4627106</v>
      </c>
      <c r="G766" t="str">
        <f>IFERROR(__xludf.DUMMYFUNCTION("""COMPUTED_VALUE"""),"Marcin Stasko")</f>
        <v>Marcin Stasko</v>
      </c>
      <c r="H766" t="str">
        <f>IFERROR(__xludf.DUMMYFUNCTION("""COMPUTED_VALUE"""),"Low Rating")</f>
        <v>Low Rating</v>
      </c>
      <c r="I766" t="str">
        <f>IFERROR(__xludf.DUMMYFUNCTION("""COMPUTED_VALUE"""),"Leadership &amp; Management")</f>
        <v>Leadership &amp; Management</v>
      </c>
      <c r="J766" t="str">
        <f>IFERROR(__xludf.DUMMYFUNCTION("""COMPUTED_VALUE"""),"Strategy")</f>
        <v>Strategy</v>
      </c>
      <c r="K766" s="140">
        <f>IFERROR(__xludf.DUMMYFUNCTION("""COMPUTED_VALUE"""),2409722.0)</f>
        <v>2409722</v>
      </c>
      <c r="L766" s="140" t="str">
        <f>IFERROR(__xludf.DUMMYFUNCTION("""COMPUTED_VALUE"""),"Design Thinking for Beginners: Develop Innovative Ideas")</f>
        <v>Design Thinking for Beginners: Develop Innovative Ideas</v>
      </c>
      <c r="N766" s="140" t="str">
        <f>IFERROR(__xludf.DUMMYFUNCTION("""COMPUTED_VALUE"""),"")</f>
        <v/>
      </c>
    </row>
    <row r="767">
      <c r="A767" s="143">
        <f>IFERROR(__xludf.DUMMYFUNCTION("""COMPUTED_VALUE"""),44469.0)</f>
        <v>44469</v>
      </c>
      <c r="B767">
        <f>IFERROR(__xludf.DUMMYFUNCTION("""COMPUTED_VALUE"""),1550684.0)</f>
        <v>1550684</v>
      </c>
      <c r="C767" t="str">
        <f>IFERROR(__xludf.DUMMYFUNCTION("""COMPUTED_VALUE"""),"en")</f>
        <v>en</v>
      </c>
      <c r="D767" t="str">
        <f>IFERROR(__xludf.DUMMYFUNCTION("""COMPUTED_VALUE"""),"Tableau Certified Associate in 60 Minutes with Practice Exam")</f>
        <v>Tableau Certified Associate in 60 Minutes with Practice Exam</v>
      </c>
      <c r="E767" t="str">
        <f>IFERROR(__xludf.DUMMYFUNCTION("""COMPUTED_VALUE"""),"Tableau Certified Associate in 60 Minutes with Practice Exam")</f>
        <v>Tableau Certified Associate in 60 Minutes with Practice Exam</v>
      </c>
      <c r="F767">
        <f>IFERROR(__xludf.DUMMYFUNCTION("""COMPUTED_VALUE"""),4.4030208E7)</f>
        <v>44030208</v>
      </c>
      <c r="G767" t="str">
        <f>IFERROR(__xludf.DUMMYFUNCTION("""COMPUTED_VALUE"""),"Tableau School")</f>
        <v>Tableau School</v>
      </c>
      <c r="H767" t="str">
        <f>IFERROR(__xludf.DUMMYFUNCTION("""COMPUTED_VALUE"""),"Low Rating")</f>
        <v>Low Rating</v>
      </c>
      <c r="I767" t="str">
        <f>IFERROR(__xludf.DUMMYFUNCTION("""COMPUTED_VALUE"""),"Data Science")</f>
        <v>Data Science</v>
      </c>
      <c r="J767" t="str">
        <f>IFERROR(__xludf.DUMMYFUNCTION("""COMPUTED_VALUE"""),"Data Visualization")</f>
        <v>Data Visualization</v>
      </c>
      <c r="L767" s="140" t="str">
        <f>IFERROR(__xludf.DUMMYFUNCTION("""COMPUTED_VALUE"""),"")</f>
        <v/>
      </c>
      <c r="N767" s="140" t="str">
        <f>IFERROR(__xludf.DUMMYFUNCTION("""COMPUTED_VALUE"""),"")</f>
        <v/>
      </c>
      <c r="O767" s="140" t="str">
        <f>IFERROR(__xludf.DUMMYFUNCTION("""COMPUTED_VALUE"""),"No Alternatives in Collection- 3/27")</f>
        <v>No Alternatives in Collection- 3/27</v>
      </c>
    </row>
    <row r="768">
      <c r="A768" s="143">
        <f>IFERROR(__xludf.DUMMYFUNCTION("""COMPUTED_VALUE"""),44469.0)</f>
        <v>44469</v>
      </c>
      <c r="B768">
        <f>IFERROR(__xludf.DUMMYFUNCTION("""COMPUTED_VALUE"""),1562686.0)</f>
        <v>1562686</v>
      </c>
      <c r="C768" t="str">
        <f>IFERROR(__xludf.DUMMYFUNCTION("""COMPUTED_VALUE"""),"en")</f>
        <v>en</v>
      </c>
      <c r="D768" t="str">
        <f>IFERROR(__xludf.DUMMYFUNCTION("""COMPUTED_VALUE"""),"The Credit Analyst Training course")</f>
        <v>The Credit Analyst Training course</v>
      </c>
      <c r="E768" t="str">
        <f>IFERROR(__xludf.DUMMYFUNCTION("""COMPUTED_VALUE"""),"The Credit Analyst Training course")</f>
        <v>The Credit Analyst Training course</v>
      </c>
      <c r="F768">
        <f>IFERROR(__xludf.DUMMYFUNCTION("""COMPUTED_VALUE"""),1.2237678E7)</f>
        <v>12237678</v>
      </c>
      <c r="G768" t="str">
        <f>IFERROR(__xludf.DUMMYFUNCTION("""COMPUTED_VALUE"""),"Ashish Agarwal")</f>
        <v>Ashish Agarwal</v>
      </c>
      <c r="H768" t="str">
        <f>IFERROR(__xludf.DUMMYFUNCTION("""COMPUTED_VALUE"""),"Low Rating")</f>
        <v>Low Rating</v>
      </c>
      <c r="I768" t="str">
        <f>IFERROR(__xludf.DUMMYFUNCTION("""COMPUTED_VALUE"""),"Finance &amp; Accounting")</f>
        <v>Finance &amp; Accounting</v>
      </c>
      <c r="J768" t="str">
        <f>IFERROR(__xludf.DUMMYFUNCTION("""COMPUTED_VALUE"""),"Financial Modeling &amp; Analysis")</f>
        <v>Financial Modeling &amp; Analysis</v>
      </c>
      <c r="L768" s="140" t="str">
        <f>IFERROR(__xludf.DUMMYFUNCTION("""COMPUTED_VALUE"""),"")</f>
        <v/>
      </c>
      <c r="N768" s="140" t="str">
        <f>IFERROR(__xludf.DUMMYFUNCTION("""COMPUTED_VALUE"""),"")</f>
        <v/>
      </c>
      <c r="O768" s="140" t="str">
        <f>IFERROR(__xludf.DUMMYFUNCTION("""COMPUTED_VALUE"""),"No Alternatives in Collection- 3/27")</f>
        <v>No Alternatives in Collection- 3/27</v>
      </c>
    </row>
    <row r="769">
      <c r="A769" s="143">
        <f>IFERROR(__xludf.DUMMYFUNCTION("""COMPUTED_VALUE"""),44469.0)</f>
        <v>44469</v>
      </c>
      <c r="B769">
        <f>IFERROR(__xludf.DUMMYFUNCTION("""COMPUTED_VALUE"""),1608616.0)</f>
        <v>1608616</v>
      </c>
      <c r="C769" t="str">
        <f>IFERROR(__xludf.DUMMYFUNCTION("""COMPUTED_VALUE"""),"en")</f>
        <v>en</v>
      </c>
      <c r="D769" t="str">
        <f>IFERROR(__xludf.DUMMYFUNCTION("""COMPUTED_VALUE"""),"Kubernetes On The Cloud &amp; The CNCF CKA Certification")</f>
        <v>Kubernetes On The Cloud &amp; The CNCF CKA Certification</v>
      </c>
      <c r="E769" t="str">
        <f>IFERROR(__xludf.DUMMYFUNCTION("""COMPUTED_VALUE"""),"Kubernetes On The Cloud &amp; The CNCF CKA Certification")</f>
        <v>Kubernetes On The Cloud &amp; The CNCF CKA Certification</v>
      </c>
      <c r="F769">
        <f>IFERROR(__xludf.DUMMYFUNCTION("""COMPUTED_VALUE"""),1.6442046E7)</f>
        <v>16442046</v>
      </c>
      <c r="G769" t="str">
        <f>IFERROR(__xludf.DUMMYFUNCTION("""COMPUTED_VALUE"""),"Loony Corn")</f>
        <v>Loony Corn</v>
      </c>
      <c r="H769" t="str">
        <f>IFERROR(__xludf.DUMMYFUNCTION("""COMPUTED_VALUE"""),"Low Rating")</f>
        <v>Low Rating</v>
      </c>
      <c r="I769" t="str">
        <f>IFERROR(__xludf.DUMMYFUNCTION("""COMPUTED_VALUE"""),"Development")</f>
        <v>Development</v>
      </c>
      <c r="J769" t="str">
        <f>IFERROR(__xludf.DUMMYFUNCTION("""COMPUTED_VALUE"""),"Development Tools")</f>
        <v>Development Tools</v>
      </c>
      <c r="L769" s="140" t="str">
        <f>IFERROR(__xludf.DUMMYFUNCTION("""COMPUTED_VALUE"""),"")</f>
        <v/>
      </c>
      <c r="N769" s="140" t="str">
        <f>IFERROR(__xludf.DUMMYFUNCTION("""COMPUTED_VALUE"""),"")</f>
        <v/>
      </c>
      <c r="O769" s="140" t="str">
        <f>IFERROR(__xludf.DUMMYFUNCTION("""COMPUTED_VALUE"""),"No Alternatives in Collection- 3/27")</f>
        <v>No Alternatives in Collection- 3/27</v>
      </c>
    </row>
    <row r="770">
      <c r="A770" s="143">
        <f>IFERROR(__xludf.DUMMYFUNCTION("""COMPUTED_VALUE"""),44469.0)</f>
        <v>44469</v>
      </c>
      <c r="B770">
        <f>IFERROR(__xludf.DUMMYFUNCTION("""COMPUTED_VALUE"""),1709722.0)</f>
        <v>1709722</v>
      </c>
      <c r="C770" t="str">
        <f>IFERROR(__xludf.DUMMYFUNCTION("""COMPUTED_VALUE"""),"en")</f>
        <v>en</v>
      </c>
      <c r="D770" t="str">
        <f>IFERROR(__xludf.DUMMYFUNCTION("""COMPUTED_VALUE"""),"Cyber Security Incident Handling and Response")</f>
        <v>Cyber Security Incident Handling and Response</v>
      </c>
      <c r="E770" t="str">
        <f>IFERROR(__xludf.DUMMYFUNCTION("""COMPUTED_VALUE"""),"Cyber Security Incident Handling and Response")</f>
        <v>Cyber Security Incident Handling and Response</v>
      </c>
      <c r="F770">
        <f>IFERROR(__xludf.DUMMYFUNCTION("""COMPUTED_VALUE"""),3.2337522E7)</f>
        <v>32337522</v>
      </c>
      <c r="G770" t="str">
        <f>IFERROR(__xludf.DUMMYFUNCTION("""COMPUTED_VALUE"""),"Mohammad Adly")</f>
        <v>Mohammad Adly</v>
      </c>
      <c r="H770" t="str">
        <f>IFERROR(__xludf.DUMMYFUNCTION("""COMPUTED_VALUE"""),"Low Rating")</f>
        <v>Low Rating</v>
      </c>
      <c r="I770" t="str">
        <f>IFERROR(__xludf.DUMMYFUNCTION("""COMPUTED_VALUE"""),"IT Operations")</f>
        <v>IT Operations</v>
      </c>
      <c r="J770" t="str">
        <f>IFERROR(__xludf.DUMMYFUNCTION("""COMPUTED_VALUE"""),"Network &amp; Security")</f>
        <v>Network &amp; Security</v>
      </c>
      <c r="L770" s="140" t="str">
        <f>IFERROR(__xludf.DUMMYFUNCTION("""COMPUTED_VALUE"""),"")</f>
        <v/>
      </c>
      <c r="N770" s="140" t="str">
        <f>IFERROR(__xludf.DUMMYFUNCTION("""COMPUTED_VALUE"""),"")</f>
        <v/>
      </c>
      <c r="O770" s="140" t="str">
        <f>IFERROR(__xludf.DUMMYFUNCTION("""COMPUTED_VALUE"""),"No Alternatives in Collection- 3/27")</f>
        <v>No Alternatives in Collection- 3/27</v>
      </c>
    </row>
    <row r="771">
      <c r="A771" s="143">
        <f>IFERROR(__xludf.DUMMYFUNCTION("""COMPUTED_VALUE"""),44469.0)</f>
        <v>44469</v>
      </c>
      <c r="B771">
        <f>IFERROR(__xludf.DUMMYFUNCTION("""COMPUTED_VALUE"""),1911248.0)</f>
        <v>1911248</v>
      </c>
      <c r="C771" t="str">
        <f>IFERROR(__xludf.DUMMYFUNCTION("""COMPUTED_VALUE"""),"en")</f>
        <v>en</v>
      </c>
      <c r="D771" t="str">
        <f>IFERROR(__xludf.DUMMYFUNCTION("""COMPUTED_VALUE"""),"TOTAL: AWS Solutions Architect SAA-C02 Practice Tests.")</f>
        <v>TOTAL: AWS Solutions Architect SAA-C02 Practice Tests.</v>
      </c>
      <c r="E771" t="str">
        <f>IFERROR(__xludf.DUMMYFUNCTION("""COMPUTED_VALUE"""),"TOTAL: AWS Solutions Architect SAA-C02 Practice Tests.")</f>
        <v>TOTAL: AWS Solutions Architect SAA-C02 Practice Tests.</v>
      </c>
      <c r="F771">
        <f>IFERROR(__xludf.DUMMYFUNCTION("""COMPUTED_VALUE"""),1.6569604E7)</f>
        <v>16569604</v>
      </c>
      <c r="G771" t="str">
        <f>IFERROR(__xludf.DUMMYFUNCTION("""COMPUTED_VALUE"""),"Total Seminars • 750,000+ Enrollments")</f>
        <v>Total Seminars • 750,000+ Enrollments</v>
      </c>
      <c r="H771" t="str">
        <f>IFERROR(__xludf.DUMMYFUNCTION("""COMPUTED_VALUE"""),"Low Rating")</f>
        <v>Low Rating</v>
      </c>
      <c r="I771" t="str">
        <f>IFERROR(__xludf.DUMMYFUNCTION("""COMPUTED_VALUE"""),"IT Operations")</f>
        <v>IT Operations</v>
      </c>
      <c r="J771" t="str">
        <f>IFERROR(__xludf.DUMMYFUNCTION("""COMPUTED_VALUE"""),"IT Certifications")</f>
        <v>IT Certifications</v>
      </c>
      <c r="K771" s="140">
        <f>IFERROR(__xludf.DUMMYFUNCTION("""COMPUTED_VALUE"""),2597160.0)</f>
        <v>2597160</v>
      </c>
      <c r="L771" s="140" t="str">
        <f>IFERROR(__xludf.DUMMYFUNCTION("""COMPUTED_VALUE"""),"Practice Exams | AWS Certified Solutions Architect Associate")</f>
        <v>Practice Exams | AWS Certified Solutions Architect Associate</v>
      </c>
      <c r="N771" s="140" t="str">
        <f>IFERROR(__xludf.DUMMYFUNCTION("""COMPUTED_VALUE"""),"")</f>
        <v/>
      </c>
    </row>
    <row r="772">
      <c r="A772" s="143">
        <f>IFERROR(__xludf.DUMMYFUNCTION("""COMPUTED_VALUE"""),44469.0)</f>
        <v>44469</v>
      </c>
      <c r="B772">
        <f>IFERROR(__xludf.DUMMYFUNCTION("""COMPUTED_VALUE"""),2151006.0)</f>
        <v>2151006</v>
      </c>
      <c r="C772" t="str">
        <f>IFERROR(__xludf.DUMMYFUNCTION("""COMPUTED_VALUE"""),"en")</f>
        <v>en</v>
      </c>
      <c r="D772" t="str">
        <f>IFERROR(__xludf.DUMMYFUNCTION("""COMPUTED_VALUE"""),"Customer Experience Management (CX): MASTERCLASS 2021")</f>
        <v>Customer Experience Management (CX): MASTERCLASS 2021</v>
      </c>
      <c r="E772" t="str">
        <f>IFERROR(__xludf.DUMMYFUNCTION("""COMPUTED_VALUE"""),"Customer Experience Management (CX): MASTERCLASS 2021")</f>
        <v>Customer Experience Management (CX): MASTERCLASS 2021</v>
      </c>
      <c r="F772">
        <f>IFERROR(__xludf.DUMMYFUNCTION("""COMPUTED_VALUE"""),5.9653637E7)</f>
        <v>59653637</v>
      </c>
      <c r="G772" t="str">
        <f>IFERROR(__xludf.DUMMYFUNCTION("""COMPUTED_VALUE"""),"Manos Filippou")</f>
        <v>Manos Filippou</v>
      </c>
      <c r="H772" t="str">
        <f>IFERROR(__xludf.DUMMYFUNCTION("""COMPUTED_VALUE"""),"Instructor Request- Opted Out")</f>
        <v>Instructor Request- Opted Out</v>
      </c>
      <c r="I772" t="str">
        <f>IFERROR(__xludf.DUMMYFUNCTION("""COMPUTED_VALUE"""),"Sales")</f>
        <v>Sales</v>
      </c>
      <c r="J772" t="str">
        <f>IFERROR(__xludf.DUMMYFUNCTION("""COMPUTED_VALUE"""),"Customer Success &amp; Service")</f>
        <v>Customer Success &amp; Service</v>
      </c>
      <c r="L772" s="140" t="str">
        <f>IFERROR(__xludf.DUMMYFUNCTION("""COMPUTED_VALUE"""),"")</f>
        <v/>
      </c>
      <c r="N772" s="140" t="str">
        <f>IFERROR(__xludf.DUMMYFUNCTION("""COMPUTED_VALUE"""),"")</f>
        <v/>
      </c>
      <c r="O772" s="140" t="str">
        <f>IFERROR(__xludf.DUMMYFUNCTION("""COMPUTED_VALUE"""),"No Alternatives in Collection- 3/27")</f>
        <v>No Alternatives in Collection- 3/27</v>
      </c>
    </row>
    <row r="773">
      <c r="A773" s="143">
        <f>IFERROR(__xludf.DUMMYFUNCTION("""COMPUTED_VALUE"""),44469.0)</f>
        <v>44469</v>
      </c>
      <c r="B773">
        <f>IFERROR(__xludf.DUMMYFUNCTION("""COMPUTED_VALUE"""),2283238.0)</f>
        <v>2283238</v>
      </c>
      <c r="C773" t="str">
        <f>IFERROR(__xludf.DUMMYFUNCTION("""COMPUTED_VALUE"""),"en")</f>
        <v>en</v>
      </c>
      <c r="D773" t="str">
        <f>IFERROR(__xludf.DUMMYFUNCTION("""COMPUTED_VALUE"""),"RabbitMQ : Messaging with Java, Spring Boot And Spring MVC")</f>
        <v>RabbitMQ : Messaging with Java, Spring Boot And Spring MVC</v>
      </c>
      <c r="E773" t="str">
        <f>IFERROR(__xludf.DUMMYFUNCTION("""COMPUTED_VALUE"""),"RabbitMQ : Messaging with Java, Spring Boot And Spring MVC")</f>
        <v>RabbitMQ : Messaging with Java, Spring Boot And Spring MVC</v>
      </c>
      <c r="F773">
        <f>IFERROR(__xludf.DUMMYFUNCTION("""COMPUTED_VALUE"""),4132674.0)</f>
        <v>4132674</v>
      </c>
      <c r="G773" t="str">
        <f>IFERROR(__xludf.DUMMYFUNCTION("""COMPUTED_VALUE"""),"Alfa e-Learning")</f>
        <v>Alfa e-Learning</v>
      </c>
      <c r="H773" t="str">
        <f>IFERROR(__xludf.DUMMYFUNCTION("""COMPUTED_VALUE"""),"Low Rating")</f>
        <v>Low Rating</v>
      </c>
      <c r="I773" t="str">
        <f>IFERROR(__xludf.DUMMYFUNCTION("""COMPUTED_VALUE"""),"Development")</f>
        <v>Development</v>
      </c>
      <c r="J773" t="str">
        <f>IFERROR(__xludf.DUMMYFUNCTION("""COMPUTED_VALUE"""),"Programming Languages")</f>
        <v>Programming Languages</v>
      </c>
      <c r="K773" s="140">
        <f>IFERROR(__xludf.DUMMYFUNCTION("""COMPUTED_VALUE"""),1423634.0)</f>
        <v>1423634</v>
      </c>
      <c r="L773" s="140" t="str">
        <f>IFERROR(__xludf.DUMMYFUNCTION("""COMPUTED_VALUE"""),"Learn RabbitMQ: Asynchronous Messaging with Java and Spring")</f>
        <v>Learn RabbitMQ: Asynchronous Messaging with Java and Spring</v>
      </c>
      <c r="N773" s="140" t="str">
        <f>IFERROR(__xludf.DUMMYFUNCTION("""COMPUTED_VALUE"""),"")</f>
        <v/>
      </c>
    </row>
    <row r="774">
      <c r="A774" s="143">
        <f>IFERROR(__xludf.DUMMYFUNCTION("""COMPUTED_VALUE"""),44469.0)</f>
        <v>44469</v>
      </c>
      <c r="B774">
        <f>IFERROR(__xludf.DUMMYFUNCTION("""COMPUTED_VALUE"""),2395424.0)</f>
        <v>2395424</v>
      </c>
      <c r="C774" t="str">
        <f>IFERROR(__xludf.DUMMYFUNCTION("""COMPUTED_VALUE"""),"en")</f>
        <v>en</v>
      </c>
      <c r="D774" t="str">
        <f>IFERROR(__xludf.DUMMYFUNCTION("""COMPUTED_VALUE"""),"Stakeholder Management &amp; Engagement")</f>
        <v>Stakeholder Management &amp; Engagement</v>
      </c>
      <c r="E774" t="str">
        <f>IFERROR(__xludf.DUMMYFUNCTION("""COMPUTED_VALUE"""),"Stakeholder Management &amp; Engagement")</f>
        <v>Stakeholder Management &amp; Engagement</v>
      </c>
      <c r="F774">
        <f>IFERROR(__xludf.DUMMYFUNCTION("""COMPUTED_VALUE"""),3.132525E7)</f>
        <v>31325250</v>
      </c>
      <c r="G774" t="str">
        <f>IFERROR(__xludf.DUMMYFUNCTION("""COMPUTED_VALUE"""),"NEIL KENDRICK")</f>
        <v>NEIL KENDRICK</v>
      </c>
      <c r="H774" t="str">
        <f>IFERROR(__xludf.DUMMYFUNCTION("""COMPUTED_VALUE"""),"Low Rating")</f>
        <v>Low Rating</v>
      </c>
      <c r="I774" t="str">
        <f>IFERROR(__xludf.DUMMYFUNCTION("""COMPUTED_VALUE"""),"Project Management &amp; Operations")</f>
        <v>Project Management &amp; Operations</v>
      </c>
      <c r="J774" t="str">
        <f>IFERROR(__xludf.DUMMYFUNCTION("""COMPUTED_VALUE"""),"Project Management Fundamentals")</f>
        <v>Project Management Fundamentals</v>
      </c>
      <c r="L774" s="140" t="str">
        <f>IFERROR(__xludf.DUMMYFUNCTION("""COMPUTED_VALUE"""),"")</f>
        <v/>
      </c>
      <c r="N774" s="140" t="str">
        <f>IFERROR(__xludf.DUMMYFUNCTION("""COMPUTED_VALUE"""),"")</f>
        <v/>
      </c>
      <c r="O774" s="140" t="str">
        <f>IFERROR(__xludf.DUMMYFUNCTION("""COMPUTED_VALUE"""),"No Alternatives in Collection- 3/28")</f>
        <v>No Alternatives in Collection- 3/28</v>
      </c>
    </row>
    <row r="775">
      <c r="A775" s="143">
        <f>IFERROR(__xludf.DUMMYFUNCTION("""COMPUTED_VALUE"""),44469.0)</f>
        <v>44469</v>
      </c>
      <c r="B775">
        <f>IFERROR(__xludf.DUMMYFUNCTION("""COMPUTED_VALUE"""),2523606.0)</f>
        <v>2523606</v>
      </c>
      <c r="C775" t="str">
        <f>IFERROR(__xludf.DUMMYFUNCTION("""COMPUTED_VALUE"""),"en")</f>
        <v>en</v>
      </c>
      <c r="D775" t="str">
        <f>IFERROR(__xludf.DUMMYFUNCTION("""COMPUTED_VALUE"""),"Learn HubSpot CRM From Scratch")</f>
        <v>Learn HubSpot CRM From Scratch</v>
      </c>
      <c r="E775" t="str">
        <f>IFERROR(__xludf.DUMMYFUNCTION("""COMPUTED_VALUE"""),"Learn HubSpot CRM From Scratch")</f>
        <v>Learn HubSpot CRM From Scratch</v>
      </c>
      <c r="F775">
        <f>IFERROR(__xludf.DUMMYFUNCTION("""COMPUTED_VALUE"""),7.9752366E7)</f>
        <v>79752366</v>
      </c>
      <c r="G775" t="str">
        <f>IFERROR(__xludf.DUMMYFUNCTION("""COMPUTED_VALUE"""),"Gregory Williamson")</f>
        <v>Gregory Williamson</v>
      </c>
      <c r="H775" t="str">
        <f>IFERROR(__xludf.DUMMYFUNCTION("""COMPUTED_VALUE"""),"Low Rating")</f>
        <v>Low Rating</v>
      </c>
      <c r="I775" t="str">
        <f>IFERROR(__xludf.DUMMYFUNCTION("""COMPUTED_VALUE"""),"Marketing")</f>
        <v>Marketing</v>
      </c>
      <c r="J775" t="str">
        <f>IFERROR(__xludf.DUMMYFUNCTION("""COMPUTED_VALUE"""),"Digital Marketing")</f>
        <v>Digital Marketing</v>
      </c>
      <c r="L775" s="140" t="str">
        <f>IFERROR(__xludf.DUMMYFUNCTION("""COMPUTED_VALUE"""),"")</f>
        <v/>
      </c>
      <c r="N775" s="140" t="str">
        <f>IFERROR(__xludf.DUMMYFUNCTION("""COMPUTED_VALUE"""),"")</f>
        <v/>
      </c>
      <c r="O775" s="140" t="str">
        <f>IFERROR(__xludf.DUMMYFUNCTION("""COMPUTED_VALUE"""),"No Alternatives in Collection- 3/28")</f>
        <v>No Alternatives in Collection- 3/28</v>
      </c>
    </row>
    <row r="776">
      <c r="A776" s="143">
        <f>IFERROR(__xludf.DUMMYFUNCTION("""COMPUTED_VALUE"""),44469.0)</f>
        <v>44469</v>
      </c>
      <c r="B776">
        <f>IFERROR(__xludf.DUMMYFUNCTION("""COMPUTED_VALUE"""),2544521.0)</f>
        <v>2544521</v>
      </c>
      <c r="C776" t="str">
        <f>IFERROR(__xludf.DUMMYFUNCTION("""COMPUTED_VALUE"""),"en")</f>
        <v>en</v>
      </c>
      <c r="D776" t="str">
        <f>IFERROR(__xludf.DUMMYFUNCTION("""COMPUTED_VALUE"""),"Microsoft Powerapps Essential Training 2021")</f>
        <v>Microsoft Powerapps Essential Training 2021</v>
      </c>
      <c r="E776" t="str">
        <f>IFERROR(__xludf.DUMMYFUNCTION("""COMPUTED_VALUE"""),"Microsoft Powerapps Essential Training 2021")</f>
        <v>Microsoft Powerapps Essential Training 2021</v>
      </c>
      <c r="F776">
        <f>IFERROR(__xludf.DUMMYFUNCTION("""COMPUTED_VALUE"""),5.7268374E7)</f>
        <v>57268374</v>
      </c>
      <c r="G776" t="str">
        <f>IFERROR(__xludf.DUMMYFUNCTION("""COMPUTED_VALUE"""),"Business World")</f>
        <v>Business World</v>
      </c>
      <c r="H776" t="str">
        <f>IFERROR(__xludf.DUMMYFUNCTION("""COMPUTED_VALUE"""),"Low Rating")</f>
        <v>Low Rating</v>
      </c>
      <c r="I776" t="str">
        <f>IFERROR(__xludf.DUMMYFUNCTION("""COMPUTED_VALUE"""),"Development")</f>
        <v>Development</v>
      </c>
      <c r="J776" t="str">
        <f>IFERROR(__xludf.DUMMYFUNCTION("""COMPUTED_VALUE"""),"Mobile Development")</f>
        <v>Mobile Development</v>
      </c>
      <c r="L776" s="140" t="str">
        <f>IFERROR(__xludf.DUMMYFUNCTION("""COMPUTED_VALUE"""),"")</f>
        <v/>
      </c>
      <c r="N776" s="140" t="str">
        <f>IFERROR(__xludf.DUMMYFUNCTION("""COMPUTED_VALUE"""),"")</f>
        <v/>
      </c>
      <c r="O776" s="140" t="str">
        <f>IFERROR(__xludf.DUMMYFUNCTION("""COMPUTED_VALUE"""),"No Alternatives in Collection- 3/28")</f>
        <v>No Alternatives in Collection- 3/28</v>
      </c>
    </row>
    <row r="777">
      <c r="A777" s="143">
        <f>IFERROR(__xludf.DUMMYFUNCTION("""COMPUTED_VALUE"""),44469.0)</f>
        <v>44469</v>
      </c>
      <c r="B777">
        <f>IFERROR(__xludf.DUMMYFUNCTION("""COMPUTED_VALUE"""),2645068.0)</f>
        <v>2645068</v>
      </c>
      <c r="C777" t="str">
        <f>IFERROR(__xludf.DUMMYFUNCTION("""COMPUTED_VALUE"""),"en")</f>
        <v>en</v>
      </c>
      <c r="D777" t="str">
        <f>IFERROR(__xludf.DUMMYFUNCTION("""COMPUTED_VALUE"""),"Abaqus CAE : Learn Static and Dynamic Analysis")</f>
        <v>Abaqus CAE : Learn Static and Dynamic Analysis</v>
      </c>
      <c r="E777" t="str">
        <f>IFERROR(__xludf.DUMMYFUNCTION("""COMPUTED_VALUE"""),"Abaqus CAE : Learn Static and Dynamic Analysis")</f>
        <v>Abaqus CAE : Learn Static and Dynamic Analysis</v>
      </c>
      <c r="F777">
        <f>IFERROR(__xludf.DUMMYFUNCTION("""COMPUTED_VALUE"""),1.5543828E7)</f>
        <v>15543828</v>
      </c>
      <c r="G777" t="str">
        <f>IFERROR(__xludf.DUMMYFUNCTION("""COMPUTED_VALUE"""),"Veer Tutorial")</f>
        <v>Veer Tutorial</v>
      </c>
      <c r="H777" t="str">
        <f>IFERROR(__xludf.DUMMYFUNCTION("""COMPUTED_VALUE"""),"Low Rating")</f>
        <v>Low Rating</v>
      </c>
      <c r="I777" t="str">
        <f>IFERROR(__xludf.DUMMYFUNCTION("""COMPUTED_VALUE"""),"Project Management &amp; Operations")</f>
        <v>Project Management &amp; Operations</v>
      </c>
      <c r="J777" t="str">
        <f>IFERROR(__xludf.DUMMYFUNCTION("""COMPUTED_VALUE"""),"Operations Management")</f>
        <v>Operations Management</v>
      </c>
      <c r="L777" s="140" t="str">
        <f>IFERROR(__xludf.DUMMYFUNCTION("""COMPUTED_VALUE"""),"")</f>
        <v/>
      </c>
      <c r="N777" s="140" t="str">
        <f>IFERROR(__xludf.DUMMYFUNCTION("""COMPUTED_VALUE"""),"")</f>
        <v/>
      </c>
      <c r="O777" s="140" t="str">
        <f>IFERROR(__xludf.DUMMYFUNCTION("""COMPUTED_VALUE"""),"No Alternatives in Collection- 3/28")</f>
        <v>No Alternatives in Collection- 3/28</v>
      </c>
    </row>
    <row r="778">
      <c r="A778" s="143">
        <f>IFERROR(__xludf.DUMMYFUNCTION("""COMPUTED_VALUE"""),44469.0)</f>
        <v>44469</v>
      </c>
      <c r="B778">
        <f>IFERROR(__xludf.DUMMYFUNCTION("""COMPUTED_VALUE"""),2744814.0)</f>
        <v>2744814</v>
      </c>
      <c r="C778" t="str">
        <f>IFERROR(__xludf.DUMMYFUNCTION("""COMPUTED_VALUE"""),"en")</f>
        <v>en</v>
      </c>
      <c r="D778" t="str">
        <f>IFERROR(__xludf.DUMMYFUNCTION("""COMPUTED_VALUE"""),"Professional Scrum Product Owner™ II (PSPO II) Exam Prep")</f>
        <v>Professional Scrum Product Owner™ II (PSPO II) Exam Prep</v>
      </c>
      <c r="E778" t="str">
        <f>IFERROR(__xludf.DUMMYFUNCTION("""COMPUTED_VALUE"""),"Professional Scrum Product Owner™ II (PSPO II) Exam Prep")</f>
        <v>Professional Scrum Product Owner™ II (PSPO II) Exam Prep</v>
      </c>
      <c r="F778">
        <f>IFERROR(__xludf.DUMMYFUNCTION("""COMPUTED_VALUE"""),1.0739502E7)</f>
        <v>10739502</v>
      </c>
      <c r="G778" t="str">
        <f>IFERROR(__xludf.DUMMYFUNCTION("""COMPUTED_VALUE"""),"Certify On")</f>
        <v>Certify On</v>
      </c>
      <c r="H778" t="str">
        <f>IFERROR(__xludf.DUMMYFUNCTION("""COMPUTED_VALUE"""),"Low Rating")</f>
        <v>Low Rating</v>
      </c>
      <c r="I778" t="str">
        <f>IFERROR(__xludf.DUMMYFUNCTION("""COMPUTED_VALUE"""),"IT Operations")</f>
        <v>IT Operations</v>
      </c>
      <c r="J778" t="str">
        <f>IFERROR(__xludf.DUMMYFUNCTION("""COMPUTED_VALUE"""),"IT Certifications")</f>
        <v>IT Certifications</v>
      </c>
      <c r="L778" s="140" t="str">
        <f>IFERROR(__xludf.DUMMYFUNCTION("""COMPUTED_VALUE"""),"")</f>
        <v/>
      </c>
      <c r="N778" s="140" t="str">
        <f>IFERROR(__xludf.DUMMYFUNCTION("""COMPUTED_VALUE"""),"")</f>
        <v/>
      </c>
      <c r="O778" s="140" t="str">
        <f>IFERROR(__xludf.DUMMYFUNCTION("""COMPUTED_VALUE"""),"No Alternatives in Collection- 3/28")</f>
        <v>No Alternatives in Collection- 3/28</v>
      </c>
    </row>
    <row r="779">
      <c r="A779" s="143">
        <f>IFERROR(__xludf.DUMMYFUNCTION("""COMPUTED_VALUE"""),44469.0)</f>
        <v>44469</v>
      </c>
      <c r="B779">
        <f>IFERROR(__xludf.DUMMYFUNCTION("""COMPUTED_VALUE"""),33524.0)</f>
        <v>33524</v>
      </c>
      <c r="C779" t="str">
        <f>IFERROR(__xludf.DUMMYFUNCTION("""COMPUTED_VALUE"""),"en")</f>
        <v>en</v>
      </c>
      <c r="D779" t="str">
        <f>IFERROR(__xludf.DUMMYFUNCTION("""COMPUTED_VALUE"""),"GMail, IFTTT, Virtual Assistant - Ultimate Productivity Trio")</f>
        <v>GMail, IFTTT, Virtual Assistant - Ultimate Productivity Trio</v>
      </c>
      <c r="E779" t="str">
        <f>IFERROR(__xludf.DUMMYFUNCTION("""COMPUTED_VALUE"""),"GMail, IFTTT, Virtual Assistant - Ultimate Productivity Trio")</f>
        <v>GMail, IFTTT, Virtual Assistant - Ultimate Productivity Trio</v>
      </c>
      <c r="F779">
        <f>IFERROR(__xludf.DUMMYFUNCTION("""COMPUTED_VALUE"""),152529.0)</f>
        <v>152529</v>
      </c>
      <c r="G779" t="str">
        <f>IFERROR(__xludf.DUMMYFUNCTION("""COMPUTED_VALUE"""),"Ari Meisel")</f>
        <v>Ari Meisel</v>
      </c>
      <c r="H779" t="str">
        <f>IFERROR(__xludf.DUMMYFUNCTION("""COMPUTED_VALUE"""),"3 Flags")</f>
        <v>3 Flags</v>
      </c>
      <c r="I779" t="str">
        <f>IFERROR(__xludf.DUMMYFUNCTION("""COMPUTED_VALUE"""),"Office Productivity")</f>
        <v>Office Productivity</v>
      </c>
      <c r="J779" t="str">
        <f>IFERROR(__xludf.DUMMYFUNCTION("""COMPUTED_VALUE"""),"Email &amp; Productivity")</f>
        <v>Email &amp; Productivity</v>
      </c>
      <c r="L779" s="140" t="str">
        <f>IFERROR(__xludf.DUMMYFUNCTION("""COMPUTED_VALUE"""),"")</f>
        <v/>
      </c>
      <c r="N779" s="140" t="str">
        <f>IFERROR(__xludf.DUMMYFUNCTION("""COMPUTED_VALUE"""),"")</f>
        <v/>
      </c>
      <c r="O779" s="140" t="str">
        <f>IFERROR(__xludf.DUMMYFUNCTION("""COMPUTED_VALUE"""),"No Alternatives in Collection- 3/28")</f>
        <v>No Alternatives in Collection- 3/28</v>
      </c>
    </row>
    <row r="780">
      <c r="A780" s="143">
        <f>IFERROR(__xludf.DUMMYFUNCTION("""COMPUTED_VALUE"""),44469.0)</f>
        <v>44469</v>
      </c>
      <c r="B780">
        <f>IFERROR(__xludf.DUMMYFUNCTION("""COMPUTED_VALUE"""),540916.0)</f>
        <v>540916</v>
      </c>
      <c r="C780" t="str">
        <f>IFERROR(__xludf.DUMMYFUNCTION("""COMPUTED_VALUE"""),"en")</f>
        <v>en</v>
      </c>
      <c r="D780" t="str">
        <f>IFERROR(__xludf.DUMMYFUNCTION("""COMPUTED_VALUE"""),"Learn Advanced Game Mechanics in Unity for Game Development")</f>
        <v>Learn Advanced Game Mechanics in Unity for Game Development</v>
      </c>
      <c r="E780" t="str">
        <f>IFERROR(__xludf.DUMMYFUNCTION("""COMPUTED_VALUE"""),"Learn Advanced Game Mechanics in Unity for Game Development")</f>
        <v>Learn Advanced Game Mechanics in Unity for Game Development</v>
      </c>
      <c r="F780">
        <f>IFERROR(__xludf.DUMMYFUNCTION("""COMPUTED_VALUE"""),1339040.0)</f>
        <v>1339040</v>
      </c>
      <c r="G780" t="str">
        <f>IFERROR(__xludf.DUMMYFUNCTION("""COMPUTED_VALUE"""),"3dmotive LLC")</f>
        <v>3dmotive LLC</v>
      </c>
      <c r="H780" t="str">
        <f>IFERROR(__xludf.DUMMYFUNCTION("""COMPUTED_VALUE"""),"3 Flags")</f>
        <v>3 Flags</v>
      </c>
      <c r="I780" t="str">
        <f>IFERROR(__xludf.DUMMYFUNCTION("""COMPUTED_VALUE"""),"Development")</f>
        <v>Development</v>
      </c>
      <c r="J780" t="str">
        <f>IFERROR(__xludf.DUMMYFUNCTION("""COMPUTED_VALUE"""),"Mobile Development")</f>
        <v>Mobile Development</v>
      </c>
      <c r="L780" s="140" t="str">
        <f>IFERROR(__xludf.DUMMYFUNCTION("""COMPUTED_VALUE"""),"")</f>
        <v/>
      </c>
      <c r="N780" s="140" t="str">
        <f>IFERROR(__xludf.DUMMYFUNCTION("""COMPUTED_VALUE"""),"")</f>
        <v/>
      </c>
      <c r="O780" s="140" t="str">
        <f>IFERROR(__xludf.DUMMYFUNCTION("""COMPUTED_VALUE"""),"No Alternatives in Collection- 3/28")</f>
        <v>No Alternatives in Collection- 3/28</v>
      </c>
    </row>
    <row r="781">
      <c r="A781" s="143">
        <f>IFERROR(__xludf.DUMMYFUNCTION("""COMPUTED_VALUE"""),44469.0)</f>
        <v>44469</v>
      </c>
      <c r="B781">
        <f>IFERROR(__xludf.DUMMYFUNCTION("""COMPUTED_VALUE"""),697910.0)</f>
        <v>697910</v>
      </c>
      <c r="C781" t="str">
        <f>IFERROR(__xludf.DUMMYFUNCTION("""COMPUTED_VALUE"""),"en")</f>
        <v>en</v>
      </c>
      <c r="D781" t="str">
        <f>IFERROR(__xludf.DUMMYFUNCTION("""COMPUTED_VALUE"""),"Copywriting: How To Convert Features Into Benefits That Sell")</f>
        <v>Copywriting: How To Convert Features Into Benefits That Sell</v>
      </c>
      <c r="E781" t="str">
        <f>IFERROR(__xludf.DUMMYFUNCTION("""COMPUTED_VALUE"""),"Copywriting: How To Convert Features Into Benefits That Sell")</f>
        <v>Copywriting: How To Convert Features Into Benefits That Sell</v>
      </c>
      <c r="F781">
        <f>IFERROR(__xludf.DUMMYFUNCTION("""COMPUTED_VALUE"""),4409760.0)</f>
        <v>4409760</v>
      </c>
      <c r="G781" t="str">
        <f>IFERROR(__xludf.DUMMYFUNCTION("""COMPUTED_VALUE"""),"Vladimir Raykov")</f>
        <v>Vladimir Raykov</v>
      </c>
      <c r="H781" t="str">
        <f>IFERROR(__xludf.DUMMYFUNCTION("""COMPUTED_VALUE"""),"3 Flags")</f>
        <v>3 Flags</v>
      </c>
      <c r="I781" t="str">
        <f>IFERROR(__xludf.DUMMYFUNCTION("""COMPUTED_VALUE"""),"Marketing")</f>
        <v>Marketing</v>
      </c>
      <c r="J781" t="str">
        <f>IFERROR(__xludf.DUMMYFUNCTION("""COMPUTED_VALUE"""),"Content Marketing")</f>
        <v>Content Marketing</v>
      </c>
      <c r="K781" s="140">
        <f>IFERROR(__xludf.DUMMYFUNCTION("""COMPUTED_VALUE"""),1575836.0)</f>
        <v>1575836</v>
      </c>
      <c r="L781" s="140" t="str">
        <f>IFERROR(__xludf.DUMMYFUNCTION("""COMPUTED_VALUE"""),"The Complete Copywriting Course : Write to Sell Like a Pro")</f>
        <v>The Complete Copywriting Course : Write to Sell Like a Pro</v>
      </c>
      <c r="N781" s="140" t="str">
        <f>IFERROR(__xludf.DUMMYFUNCTION("""COMPUTED_VALUE"""),"")</f>
        <v/>
      </c>
    </row>
    <row r="782">
      <c r="A782" s="143">
        <f>IFERROR(__xludf.DUMMYFUNCTION("""COMPUTED_VALUE"""),44469.0)</f>
        <v>44469</v>
      </c>
      <c r="B782">
        <f>IFERROR(__xludf.DUMMYFUNCTION("""COMPUTED_VALUE"""),818136.0)</f>
        <v>818136</v>
      </c>
      <c r="C782" t="str">
        <f>IFERROR(__xludf.DUMMYFUNCTION("""COMPUTED_VALUE"""),"en")</f>
        <v>en</v>
      </c>
      <c r="D782" t="str">
        <f>IFERROR(__xludf.DUMMYFUNCTION("""COMPUTED_VALUE"""),"Build Your Own Online Store - No Coding Required!")</f>
        <v>Build Your Own Online Store - No Coding Required!</v>
      </c>
      <c r="E782" t="str">
        <f>IFERROR(__xludf.DUMMYFUNCTION("""COMPUTED_VALUE"""),"Build Your Own Online Store - No Coding Required!")</f>
        <v>Build Your Own Online Store - No Coding Required!</v>
      </c>
      <c r="F782">
        <f>IFERROR(__xludf.DUMMYFUNCTION("""COMPUTED_VALUE"""),1.1121792E7)</f>
        <v>11121792</v>
      </c>
      <c r="G782" t="str">
        <f>IFERROR(__xludf.DUMMYFUNCTION("""COMPUTED_VALUE"""),"Cameron Wills")</f>
        <v>Cameron Wills</v>
      </c>
      <c r="H782" t="str">
        <f>IFERROR(__xludf.DUMMYFUNCTION("""COMPUTED_VALUE"""),"3 Flags")</f>
        <v>3 Flags</v>
      </c>
      <c r="I782" t="str">
        <f>IFERROR(__xludf.DUMMYFUNCTION("""COMPUTED_VALUE"""),"Development")</f>
        <v>Development</v>
      </c>
      <c r="J782" t="str">
        <f>IFERROR(__xludf.DUMMYFUNCTION("""COMPUTED_VALUE"""),"Web Development")</f>
        <v>Web Development</v>
      </c>
      <c r="L782" s="140" t="str">
        <f>IFERROR(__xludf.DUMMYFUNCTION("""COMPUTED_VALUE"""),"")</f>
        <v/>
      </c>
      <c r="N782" s="140" t="str">
        <f>IFERROR(__xludf.DUMMYFUNCTION("""COMPUTED_VALUE"""),"")</f>
        <v/>
      </c>
      <c r="O782" s="140" t="str">
        <f>IFERROR(__xludf.DUMMYFUNCTION("""COMPUTED_VALUE"""),"No Alternatives in Collection- 3/28")</f>
        <v>No Alternatives in Collection- 3/28</v>
      </c>
    </row>
    <row r="783">
      <c r="A783" s="143">
        <f>IFERROR(__xludf.DUMMYFUNCTION("""COMPUTED_VALUE"""),44469.0)</f>
        <v>44469</v>
      </c>
      <c r="B783">
        <f>IFERROR(__xludf.DUMMYFUNCTION("""COMPUTED_VALUE"""),828670.0)</f>
        <v>828670</v>
      </c>
      <c r="C783" t="str">
        <f>IFERROR(__xludf.DUMMYFUNCTION("""COMPUTED_VALUE"""),"en")</f>
        <v>en</v>
      </c>
      <c r="D783" t="str">
        <f>IFERROR(__xludf.DUMMYFUNCTION("""COMPUTED_VALUE"""),"Predictable Revenue Pipedrive Mastery Course")</f>
        <v>Predictable Revenue Pipedrive Mastery Course</v>
      </c>
      <c r="E783" t="str">
        <f>IFERROR(__xludf.DUMMYFUNCTION("""COMPUTED_VALUE"""),"Predictable Revenue Pipedrive Mastery Course")</f>
        <v>Predictable Revenue Pipedrive Mastery Course</v>
      </c>
      <c r="F783">
        <f>IFERROR(__xludf.DUMMYFUNCTION("""COMPUTED_VALUE"""),33202.0)</f>
        <v>33202</v>
      </c>
      <c r="G783" t="str">
        <f>IFERROR(__xludf.DUMMYFUNCTION("""COMPUTED_VALUE"""),"Matt Smith")</f>
        <v>Matt Smith</v>
      </c>
      <c r="H783" t="str">
        <f>IFERROR(__xludf.DUMMYFUNCTION("""COMPUTED_VALUE"""),"3 Flags")</f>
        <v>3 Flags</v>
      </c>
      <c r="I783" t="str">
        <f>IFERROR(__xludf.DUMMYFUNCTION("""COMPUTED_VALUE"""),"Sales")</f>
        <v>Sales</v>
      </c>
      <c r="J783" t="str">
        <f>IFERROR(__xludf.DUMMYFUNCTION("""COMPUTED_VALUE"""),"Sales Skills &amp; Tools")</f>
        <v>Sales Skills &amp; Tools</v>
      </c>
      <c r="L783" s="140" t="str">
        <f>IFERROR(__xludf.DUMMYFUNCTION("""COMPUTED_VALUE"""),"")</f>
        <v/>
      </c>
      <c r="N783" s="140" t="str">
        <f>IFERROR(__xludf.DUMMYFUNCTION("""COMPUTED_VALUE"""),"")</f>
        <v/>
      </c>
      <c r="O783" s="140" t="str">
        <f>IFERROR(__xludf.DUMMYFUNCTION("""COMPUTED_VALUE"""),"No Alternatives in Collection- 3/28")</f>
        <v>No Alternatives in Collection- 3/28</v>
      </c>
    </row>
    <row r="784">
      <c r="A784" s="143">
        <f>IFERROR(__xludf.DUMMYFUNCTION("""COMPUTED_VALUE"""),44469.0)</f>
        <v>44469</v>
      </c>
      <c r="B784">
        <f>IFERROR(__xludf.DUMMYFUNCTION("""COMPUTED_VALUE"""),970634.0)</f>
        <v>970634</v>
      </c>
      <c r="C784" t="str">
        <f>IFERROR(__xludf.DUMMYFUNCTION("""COMPUTED_VALUE"""),"en")</f>
        <v>en</v>
      </c>
      <c r="D784" t="str">
        <f>IFERROR(__xludf.DUMMYFUNCTION("""COMPUTED_VALUE"""),"Moodle 3.0x Administration Tutorial: ADVANCED COURSE")</f>
        <v>Moodle 3.0x Administration Tutorial: ADVANCED COURSE</v>
      </c>
      <c r="E784" t="str">
        <f>IFERROR(__xludf.DUMMYFUNCTION("""COMPUTED_VALUE"""),"Moodle 3.0x Administration Tutorial: ADVANCED COURSE")</f>
        <v>Moodle 3.0x Administration Tutorial: ADVANCED COURSE</v>
      </c>
      <c r="F784">
        <f>IFERROR(__xludf.DUMMYFUNCTION("""COMPUTED_VALUE"""),289469.0)</f>
        <v>289469</v>
      </c>
      <c r="G784" t="str">
        <f>IFERROR(__xludf.DUMMYFUNCTION("""COMPUTED_VALUE"""),"Srikanth Shirodkar")</f>
        <v>Srikanth Shirodkar</v>
      </c>
      <c r="H784" t="str">
        <f>IFERROR(__xludf.DUMMYFUNCTION("""COMPUTED_VALUE"""),"3 Flags")</f>
        <v>3 Flags</v>
      </c>
      <c r="I784" t="str">
        <f>IFERROR(__xludf.DUMMYFUNCTION("""COMPUTED_VALUE"""),"Office Productivity")</f>
        <v>Office Productivity</v>
      </c>
      <c r="J784" t="str">
        <f>IFERROR(__xludf.DUMMYFUNCTION("""COMPUTED_VALUE"""),"Collaboration")</f>
        <v>Collaboration</v>
      </c>
      <c r="K784" s="140">
        <f>IFERROR(__xludf.DUMMYFUNCTION("""COMPUTED_VALUE"""),274770.0)</f>
        <v>274770</v>
      </c>
      <c r="L784" s="140" t="str">
        <f>IFERROR(__xludf.DUMMYFUNCTION("""COMPUTED_VALUE"""),"Moodle: From Novice Teacher to Expert Online Educator")</f>
        <v>Moodle: From Novice Teacher to Expert Online Educator</v>
      </c>
      <c r="N784" s="140" t="str">
        <f>IFERROR(__xludf.DUMMYFUNCTION("""COMPUTED_VALUE"""),"")</f>
        <v/>
      </c>
    </row>
    <row r="785">
      <c r="A785" s="143">
        <f>IFERROR(__xludf.DUMMYFUNCTION("""COMPUTED_VALUE"""),44469.0)</f>
        <v>44469</v>
      </c>
      <c r="B785">
        <f>IFERROR(__xludf.DUMMYFUNCTION("""COMPUTED_VALUE"""),1091494.0)</f>
        <v>1091494</v>
      </c>
      <c r="C785" t="str">
        <f>IFERROR(__xludf.DUMMYFUNCTION("""COMPUTED_VALUE"""),"en")</f>
        <v>en</v>
      </c>
      <c r="D785" t="str">
        <f>IFERROR(__xludf.DUMMYFUNCTION("""COMPUTED_VALUE"""),"Building an Automated SQL Server Performance Tuning Engine")</f>
        <v>Building an Automated SQL Server Performance Tuning Engine</v>
      </c>
      <c r="E785" t="str">
        <f>IFERROR(__xludf.DUMMYFUNCTION("""COMPUTED_VALUE"""),"Building an Automated SQL Server Performance Tuning Engine")</f>
        <v>Building an Automated SQL Server Performance Tuning Engine</v>
      </c>
      <c r="F785">
        <f>IFERROR(__xludf.DUMMYFUNCTION("""COMPUTED_VALUE"""),3921604.0)</f>
        <v>3921604</v>
      </c>
      <c r="G785" t="str">
        <f>IFERROR(__xludf.DUMMYFUNCTION("""COMPUTED_VALUE"""),"Mike West")</f>
        <v>Mike West</v>
      </c>
      <c r="H785" t="str">
        <f>IFERROR(__xludf.DUMMYFUNCTION("""COMPUTED_VALUE"""),"3 Flags")</f>
        <v>3 Flags</v>
      </c>
      <c r="I785" t="str">
        <f>IFERROR(__xludf.DUMMYFUNCTION("""COMPUTED_VALUE"""),"Development")</f>
        <v>Development</v>
      </c>
      <c r="J785" t="str">
        <f>IFERROR(__xludf.DUMMYFUNCTION("""COMPUTED_VALUE"""),"Database Design &amp; Development")</f>
        <v>Database Design &amp; Development</v>
      </c>
      <c r="K785" s="140">
        <f>IFERROR(__xludf.DUMMYFUNCTION("""COMPUTED_VALUE"""),1637872.0)</f>
        <v>1637872</v>
      </c>
      <c r="L785" s="140" t="str">
        <f>IFERROR(__xludf.DUMMYFUNCTION("""COMPUTED_VALUE"""),"Oracle SQL Performance Tuning Masterclass 2021")</f>
        <v>Oracle SQL Performance Tuning Masterclass 2021</v>
      </c>
      <c r="N785" s="140" t="str">
        <f>IFERROR(__xludf.DUMMYFUNCTION("""COMPUTED_VALUE"""),"")</f>
        <v/>
      </c>
    </row>
    <row r="786">
      <c r="A786" s="143">
        <f>IFERROR(__xludf.DUMMYFUNCTION("""COMPUTED_VALUE"""),44469.0)</f>
        <v>44469</v>
      </c>
      <c r="B786">
        <f>IFERROR(__xludf.DUMMYFUNCTION("""COMPUTED_VALUE"""),1276650.0)</f>
        <v>1276650</v>
      </c>
      <c r="C786" t="str">
        <f>IFERROR(__xludf.DUMMYFUNCTION("""COMPUTED_VALUE"""),"en")</f>
        <v>en</v>
      </c>
      <c r="D786" t="str">
        <f>IFERROR(__xludf.DUMMYFUNCTION("""COMPUTED_VALUE"""),"Fluent API Design - A Crash Course")</f>
        <v>Fluent API Design - A Crash Course</v>
      </c>
      <c r="E786" t="str">
        <f>IFERROR(__xludf.DUMMYFUNCTION("""COMPUTED_VALUE"""),"Fluent API Design - A Crash Course")</f>
        <v>Fluent API Design - A Crash Course</v>
      </c>
      <c r="F786">
        <f>IFERROR(__xludf.DUMMYFUNCTION("""COMPUTED_VALUE"""),2.2593898E7)</f>
        <v>22593898</v>
      </c>
      <c r="G786" t="str">
        <f>IFERROR(__xludf.DUMMYFUNCTION("""COMPUTED_VALUE"""),"Riaan Nel")</f>
        <v>Riaan Nel</v>
      </c>
      <c r="H786" t="str">
        <f>IFERROR(__xludf.DUMMYFUNCTION("""COMPUTED_VALUE"""),"3 Flags")</f>
        <v>3 Flags</v>
      </c>
      <c r="I786" t="str">
        <f>IFERROR(__xludf.DUMMYFUNCTION("""COMPUTED_VALUE"""),"Development")</f>
        <v>Development</v>
      </c>
      <c r="J786" t="str">
        <f>IFERROR(__xludf.DUMMYFUNCTION("""COMPUTED_VALUE"""),"Software Engineering")</f>
        <v>Software Engineering</v>
      </c>
      <c r="K786" s="140">
        <f>IFERROR(__xludf.DUMMYFUNCTION("""COMPUTED_VALUE"""),2579842.0)</f>
        <v>2579842</v>
      </c>
      <c r="L786" s="140" t="str">
        <f>IFERROR(__xludf.DUMMYFUNCTION("""COMPUTED_VALUE"""),"Software Architecture: REST API Design - The Complete Guide")</f>
        <v>Software Architecture: REST API Design - The Complete Guide</v>
      </c>
      <c r="N786" s="140" t="str">
        <f>IFERROR(__xludf.DUMMYFUNCTION("""COMPUTED_VALUE"""),"")</f>
        <v/>
      </c>
    </row>
    <row r="787">
      <c r="A787" s="143">
        <f>IFERROR(__xludf.DUMMYFUNCTION("""COMPUTED_VALUE"""),44469.0)</f>
        <v>44469</v>
      </c>
      <c r="B787">
        <f>IFERROR(__xludf.DUMMYFUNCTION("""COMPUTED_VALUE"""),1326668.0)</f>
        <v>1326668</v>
      </c>
      <c r="C787" t="str">
        <f>IFERROR(__xludf.DUMMYFUNCTION("""COMPUTED_VALUE"""),"en")</f>
        <v>en</v>
      </c>
      <c r="D787" t="str">
        <f>IFERROR(__xludf.DUMMYFUNCTION("""COMPUTED_VALUE"""),"Facebook ChatBot Marketing: The Smart Way To Use ManyChat")</f>
        <v>Facebook ChatBot Marketing: The Smart Way To Use ManyChat</v>
      </c>
      <c r="E787" t="str">
        <f>IFERROR(__xludf.DUMMYFUNCTION("""COMPUTED_VALUE"""),"Facebook ChatBot Marketing: The Smart Way To Use ManyChat")</f>
        <v>Facebook ChatBot Marketing: The Smart Way To Use ManyChat</v>
      </c>
      <c r="F787">
        <f>IFERROR(__xludf.DUMMYFUNCTION("""COMPUTED_VALUE"""),1.4046198E7)</f>
        <v>14046198</v>
      </c>
      <c r="G787" t="str">
        <f>IFERROR(__xludf.DUMMYFUNCTION("""COMPUTED_VALUE"""),"Krisztina Rudnay")</f>
        <v>Krisztina Rudnay</v>
      </c>
      <c r="H787" t="str">
        <f>IFERROR(__xludf.DUMMYFUNCTION("""COMPUTED_VALUE"""),"3 Flags")</f>
        <v>3 Flags</v>
      </c>
      <c r="I787" t="str">
        <f>IFERROR(__xludf.DUMMYFUNCTION("""COMPUTED_VALUE"""),"Marketing")</f>
        <v>Marketing</v>
      </c>
      <c r="J787" t="str">
        <f>IFERROR(__xludf.DUMMYFUNCTION("""COMPUTED_VALUE"""),"Marketing Analytics &amp; Automation")</f>
        <v>Marketing Analytics &amp; Automation</v>
      </c>
      <c r="K787" s="140">
        <f>IFERROR(__xludf.DUMMYFUNCTION("""COMPUTED_VALUE"""),1915496.0)</f>
        <v>1915496</v>
      </c>
      <c r="L787" s="140" t="str">
        <f>IFERROR(__xludf.DUMMYFUNCTION("""COMPUTED_VALUE"""),"Facebook Marketing - Build Facebook Messenger Chatbots")</f>
        <v>Facebook Marketing - Build Facebook Messenger Chatbots</v>
      </c>
      <c r="N787" s="140" t="str">
        <f>IFERROR(__xludf.DUMMYFUNCTION("""COMPUTED_VALUE"""),"")</f>
        <v/>
      </c>
    </row>
    <row r="788">
      <c r="A788" s="143">
        <f>IFERROR(__xludf.DUMMYFUNCTION("""COMPUTED_VALUE"""),44469.0)</f>
        <v>44469</v>
      </c>
      <c r="B788">
        <f>IFERROR(__xludf.DUMMYFUNCTION("""COMPUTED_VALUE"""),2925580.0)</f>
        <v>2925580</v>
      </c>
      <c r="C788" t="str">
        <f>IFERROR(__xludf.DUMMYFUNCTION("""COMPUTED_VALUE"""),"en")</f>
        <v>en</v>
      </c>
      <c r="D788" t="str">
        <f>IFERROR(__xludf.DUMMYFUNCTION("""COMPUTED_VALUE"""),"Electric Vehicle Education")</f>
        <v>Electric Vehicle Education</v>
      </c>
      <c r="E788" t="str">
        <f>IFERROR(__xludf.DUMMYFUNCTION("""COMPUTED_VALUE"""),"Electric Vehicle Education")</f>
        <v>Electric Vehicle Education</v>
      </c>
      <c r="F788">
        <f>IFERROR(__xludf.DUMMYFUNCTION("""COMPUTED_VALUE"""),1.087599E8)</f>
        <v>108759900</v>
      </c>
      <c r="G788" t="str">
        <f>IFERROR(__xludf.DUMMYFUNCTION("""COMPUTED_VALUE"""),"John Rooney")</f>
        <v>John Rooney</v>
      </c>
      <c r="H788" t="str">
        <f>IFERROR(__xludf.DUMMYFUNCTION("""COMPUTED_VALUE"""),"Low Rating")</f>
        <v>Low Rating</v>
      </c>
      <c r="I788" t="str">
        <f>IFERROR(__xludf.DUMMYFUNCTION("""COMPUTED_VALUE"""),"IT Operations")</f>
        <v>IT Operations</v>
      </c>
      <c r="J788" t="str">
        <f>IFERROR(__xludf.DUMMYFUNCTION("""COMPUTED_VALUE"""),"Hardware")</f>
        <v>Hardware</v>
      </c>
      <c r="K788" s="140">
        <f>IFERROR(__xludf.DUMMYFUNCTION("""COMPUTED_VALUE"""),3487918.0)</f>
        <v>3487918</v>
      </c>
      <c r="L788" s="140" t="str">
        <f>IFERROR(__xludf.DUMMYFUNCTION("""COMPUTED_VALUE"""),"Electric Vehicle Charging Station")</f>
        <v>Electric Vehicle Charging Station</v>
      </c>
      <c r="N788" s="140" t="str">
        <f>IFERROR(__xludf.DUMMYFUNCTION("""COMPUTED_VALUE"""),"")</f>
        <v/>
      </c>
    </row>
    <row r="789">
      <c r="A789" s="143">
        <f>IFERROR(__xludf.DUMMYFUNCTION("""COMPUTED_VALUE"""),44469.0)</f>
        <v>44469</v>
      </c>
      <c r="B789">
        <f>IFERROR(__xludf.DUMMYFUNCTION("""COMPUTED_VALUE"""),3038260.0)</f>
        <v>3038260</v>
      </c>
      <c r="C789" t="str">
        <f>IFERROR(__xludf.DUMMYFUNCTION("""COMPUTED_VALUE"""),"en")</f>
        <v>en</v>
      </c>
      <c r="D789" t="str">
        <f>IFERROR(__xludf.DUMMYFUNCTION("""COMPUTED_VALUE"""),"How Sustainability is Changing The Financial Sector")</f>
        <v>How Sustainability is Changing The Financial Sector</v>
      </c>
      <c r="E789" t="str">
        <f>IFERROR(__xludf.DUMMYFUNCTION("""COMPUTED_VALUE"""),"How Sustainability is Changing The Financial Sector")</f>
        <v>How Sustainability is Changing The Financial Sector</v>
      </c>
      <c r="F789">
        <f>IFERROR(__xludf.DUMMYFUNCTION("""COMPUTED_VALUE"""),3.2422564E7)</f>
        <v>32422564</v>
      </c>
      <c r="G789" t="str">
        <f>IFERROR(__xludf.DUMMYFUNCTION("""COMPUTED_VALUE"""),"Ana Lucas")</f>
        <v>Ana Lucas</v>
      </c>
      <c r="H789" t="str">
        <f>IFERROR(__xludf.DUMMYFUNCTION("""COMPUTED_VALUE"""),"Low Rating")</f>
        <v>Low Rating</v>
      </c>
      <c r="I789" t="str">
        <f>IFERROR(__xludf.DUMMYFUNCTION("""COMPUTED_VALUE"""),"Finance &amp; Accounting")</f>
        <v>Finance &amp; Accounting</v>
      </c>
      <c r="J789" t="str">
        <f>IFERROR(__xludf.DUMMYFUNCTION("""COMPUTED_VALUE"""),"Corporate Finance")</f>
        <v>Corporate Finance</v>
      </c>
      <c r="L789" s="140" t="str">
        <f>IFERROR(__xludf.DUMMYFUNCTION("""COMPUTED_VALUE"""),"")</f>
        <v/>
      </c>
      <c r="N789" s="140" t="str">
        <f>IFERROR(__xludf.DUMMYFUNCTION("""COMPUTED_VALUE"""),"")</f>
        <v/>
      </c>
      <c r="O789" s="140" t="str">
        <f>IFERROR(__xludf.DUMMYFUNCTION("""COMPUTED_VALUE"""),"No Alternatives in Collection- 3/28")</f>
        <v>No Alternatives in Collection- 3/28</v>
      </c>
    </row>
    <row r="790">
      <c r="A790" s="143">
        <f>IFERROR(__xludf.DUMMYFUNCTION("""COMPUTED_VALUE"""),44469.0)</f>
        <v>44469</v>
      </c>
      <c r="B790">
        <f>IFERROR(__xludf.DUMMYFUNCTION("""COMPUTED_VALUE"""),3321936.0)</f>
        <v>3321936</v>
      </c>
      <c r="C790" t="str">
        <f>IFERROR(__xludf.DUMMYFUNCTION("""COMPUTED_VALUE"""),"en")</f>
        <v>en</v>
      </c>
      <c r="D790" t="str">
        <f>IFERROR(__xludf.DUMMYFUNCTION("""COMPUTED_VALUE"""),"Getting started with Sap Analytics Cloud")</f>
        <v>Getting started with Sap Analytics Cloud</v>
      </c>
      <c r="E790" t="str">
        <f>IFERROR(__xludf.DUMMYFUNCTION("""COMPUTED_VALUE"""),"Getting started with Sap Analytics Cloud")</f>
        <v>Getting started with Sap Analytics Cloud</v>
      </c>
      <c r="F790">
        <f>IFERROR(__xludf.DUMMYFUNCTION("""COMPUTED_VALUE"""),1.25933928E8)</f>
        <v>125933928</v>
      </c>
      <c r="G790" t="str">
        <f>IFERROR(__xludf.DUMMYFUNCTION("""COMPUTED_VALUE"""),"DataViz Academy")</f>
        <v>DataViz Academy</v>
      </c>
      <c r="H790" t="str">
        <f>IFERROR(__xludf.DUMMYFUNCTION("""COMPUTED_VALUE"""),"Low Rating")</f>
        <v>Low Rating</v>
      </c>
      <c r="I790" t="str">
        <f>IFERROR(__xludf.DUMMYFUNCTION("""COMPUTED_VALUE"""),"Data Science")</f>
        <v>Data Science</v>
      </c>
      <c r="J790" t="str">
        <f>IFERROR(__xludf.DUMMYFUNCTION("""COMPUTED_VALUE"""),"Analytics")</f>
        <v>Analytics</v>
      </c>
      <c r="K790" s="140">
        <f>IFERROR(__xludf.DUMMYFUNCTION("""COMPUTED_VALUE"""),3852530.0)</f>
        <v>3852530</v>
      </c>
      <c r="L790" s="140" t="str">
        <f>IFERROR(__xludf.DUMMYFUNCTION("""COMPUTED_VALUE"""),"The Complete SAP Analytics Cloud Course 2021")</f>
        <v>The Complete SAP Analytics Cloud Course 2021</v>
      </c>
      <c r="N790" s="140" t="str">
        <f>IFERROR(__xludf.DUMMYFUNCTION("""COMPUTED_VALUE"""),"")</f>
        <v/>
      </c>
    </row>
    <row r="791">
      <c r="A791" s="143">
        <f>IFERROR(__xludf.DUMMYFUNCTION("""COMPUTED_VALUE"""),44469.0)</f>
        <v>44469</v>
      </c>
      <c r="B791">
        <f>IFERROR(__xludf.DUMMYFUNCTION("""COMPUTED_VALUE"""),3340536.0)</f>
        <v>3340536</v>
      </c>
      <c r="C791" t="str">
        <f>IFERROR(__xludf.DUMMYFUNCTION("""COMPUTED_VALUE"""),"en")</f>
        <v>en</v>
      </c>
      <c r="D791" t="str">
        <f>IFERROR(__xludf.DUMMYFUNCTION("""COMPUTED_VALUE"""),"SAP Analytics Cloud(C_SAC_2021) : Exam questions")</f>
        <v>SAP Analytics Cloud(C_SAC_2021) : Exam questions</v>
      </c>
      <c r="E791" t="str">
        <f>IFERROR(__xludf.DUMMYFUNCTION("""COMPUTED_VALUE"""),"SAP Analytics Cloud(C_SAC_2021) : Exam questions")</f>
        <v>SAP Analytics Cloud(C_SAC_2021) : Exam questions</v>
      </c>
      <c r="F791">
        <f>IFERROR(__xludf.DUMMYFUNCTION("""COMPUTED_VALUE"""),1.25933928E8)</f>
        <v>125933928</v>
      </c>
      <c r="G791" t="str">
        <f>IFERROR(__xludf.DUMMYFUNCTION("""COMPUTED_VALUE"""),"DataViz Academy")</f>
        <v>DataViz Academy</v>
      </c>
      <c r="H791" t="str">
        <f>IFERROR(__xludf.DUMMYFUNCTION("""COMPUTED_VALUE"""),"Low Rating")</f>
        <v>Low Rating</v>
      </c>
      <c r="I791" t="str">
        <f>IFERROR(__xludf.DUMMYFUNCTION("""COMPUTED_VALUE"""),"Cloud Computing")</f>
        <v>Cloud Computing</v>
      </c>
      <c r="J791" t="str">
        <f>IFERROR(__xludf.DUMMYFUNCTION("""COMPUTED_VALUE"""),"Cloud Certification")</f>
        <v>Cloud Certification</v>
      </c>
      <c r="L791" s="140" t="str">
        <f>IFERROR(__xludf.DUMMYFUNCTION("""COMPUTED_VALUE"""),"")</f>
        <v/>
      </c>
      <c r="N791" s="140" t="str">
        <f>IFERROR(__xludf.DUMMYFUNCTION("""COMPUTED_VALUE"""),"")</f>
        <v/>
      </c>
      <c r="O791" s="140" t="str">
        <f>IFERROR(__xludf.DUMMYFUNCTION("""COMPUTED_VALUE"""),"No Alternatives in Collection- 3/28")</f>
        <v>No Alternatives in Collection- 3/28</v>
      </c>
    </row>
    <row r="792">
      <c r="A792" s="143">
        <f>IFERROR(__xludf.DUMMYFUNCTION("""COMPUTED_VALUE"""),44469.0)</f>
        <v>44469</v>
      </c>
      <c r="B792">
        <f>IFERROR(__xludf.DUMMYFUNCTION("""COMPUTED_VALUE"""),3678616.0)</f>
        <v>3678616</v>
      </c>
      <c r="C792" t="str">
        <f>IFERROR(__xludf.DUMMYFUNCTION("""COMPUTED_VALUE"""),"en")</f>
        <v>en</v>
      </c>
      <c r="D792" t="str">
        <f>IFERROR(__xludf.DUMMYFUNCTION("""COMPUTED_VALUE"""),"Automotive Engineering; Hybrid Electric Vehicles")</f>
        <v>Automotive Engineering; Hybrid Electric Vehicles</v>
      </c>
      <c r="E792" t="str">
        <f>IFERROR(__xludf.DUMMYFUNCTION("""COMPUTED_VALUE"""),"Automotive Engineering; Hybrid Electric Vehicles")</f>
        <v>Automotive Engineering; Hybrid Electric Vehicles</v>
      </c>
      <c r="F792">
        <f>IFERROR(__xludf.DUMMYFUNCTION("""COMPUTED_VALUE"""),1.27522182E8)</f>
        <v>127522182</v>
      </c>
      <c r="G792" t="str">
        <f>IFERROR(__xludf.DUMMYFUNCTION("""COMPUTED_VALUE"""),"Palem Vamsi")</f>
        <v>Palem Vamsi</v>
      </c>
      <c r="H792" t="str">
        <f>IFERROR(__xludf.DUMMYFUNCTION("""COMPUTED_VALUE"""),"Low Rating")</f>
        <v>Low Rating</v>
      </c>
      <c r="I792" t="str">
        <f>IFERROR(__xludf.DUMMYFUNCTION("""COMPUTED_VALUE"""),"IT Operations")</f>
        <v>IT Operations</v>
      </c>
      <c r="J792" t="str">
        <f>IFERROR(__xludf.DUMMYFUNCTION("""COMPUTED_VALUE"""),"Hardware")</f>
        <v>Hardware</v>
      </c>
      <c r="L792" s="140" t="str">
        <f>IFERROR(__xludf.DUMMYFUNCTION("""COMPUTED_VALUE"""),"")</f>
        <v/>
      </c>
      <c r="N792" s="140" t="str">
        <f>IFERROR(__xludf.DUMMYFUNCTION("""COMPUTED_VALUE"""),"")</f>
        <v/>
      </c>
      <c r="O792" s="140" t="str">
        <f>IFERROR(__xludf.DUMMYFUNCTION("""COMPUTED_VALUE"""),"No Alternatives in Collection- 3/28")</f>
        <v>No Alternatives in Collection- 3/28</v>
      </c>
    </row>
    <row r="793">
      <c r="A793" s="143">
        <f>IFERROR(__xludf.DUMMYFUNCTION("""COMPUTED_VALUE"""),44469.0)</f>
        <v>44469</v>
      </c>
      <c r="B793">
        <f>IFERROR(__xludf.DUMMYFUNCTION("""COMPUTED_VALUE"""),1691786.0)</f>
        <v>1691786</v>
      </c>
      <c r="C793" t="str">
        <f>IFERROR(__xludf.DUMMYFUNCTION("""COMPUTED_VALUE"""),"en")</f>
        <v>en</v>
      </c>
      <c r="D793" t="str">
        <f>IFERROR(__xludf.DUMMYFUNCTION("""COMPUTED_VALUE"""),"Work with RDS and DynamoDB: AWS with Python and Boto3 Series")</f>
        <v>Work with RDS and DynamoDB: AWS with Python and Boto3 Series</v>
      </c>
      <c r="E793" t="str">
        <f>IFERROR(__xludf.DUMMYFUNCTION("""COMPUTED_VALUE"""),"Work with RDS and DynamoDB: AWS with Python and Boto3 Series")</f>
        <v>Work with RDS and DynamoDB: AWS with Python and Boto3 Series</v>
      </c>
      <c r="F793">
        <f>IFERROR(__xludf.DUMMYFUNCTION("""COMPUTED_VALUE"""),3714024.0)</f>
        <v>3714024</v>
      </c>
      <c r="G793" t="str">
        <f>IFERROR(__xludf.DUMMYFUNCTION("""COMPUTED_VALUE"""),"Niyazi Erdogan")</f>
        <v>Niyazi Erdogan</v>
      </c>
      <c r="H793" t="str">
        <f>IFERROR(__xludf.DUMMYFUNCTION("""COMPUTED_VALUE"""),"3 Flags")</f>
        <v>3 Flags</v>
      </c>
      <c r="I793" t="str">
        <f>IFERROR(__xludf.DUMMYFUNCTION("""COMPUTED_VALUE"""),"Cloud Computing")</f>
        <v>Cloud Computing</v>
      </c>
      <c r="J793" t="str">
        <f>IFERROR(__xludf.DUMMYFUNCTION("""COMPUTED_VALUE"""),"Cloud Development")</f>
        <v>Cloud Development</v>
      </c>
      <c r="K793" s="140">
        <f>IFERROR(__xludf.DUMMYFUNCTION("""COMPUTED_VALUE"""),1625530.0)</f>
        <v>1625530</v>
      </c>
      <c r="L793" s="140" t="str">
        <f>IFERROR(__xludf.DUMMYFUNCTION("""COMPUTED_VALUE"""),"AWS DynamoDB - The Complete Guide (Build 18+ Hands On Demos)")</f>
        <v>AWS DynamoDB - The Complete Guide (Build 18+ Hands On Demos)</v>
      </c>
      <c r="N793" s="140" t="str">
        <f>IFERROR(__xludf.DUMMYFUNCTION("""COMPUTED_VALUE"""),"")</f>
        <v/>
      </c>
    </row>
    <row r="794">
      <c r="A794" s="143">
        <f>IFERROR(__xludf.DUMMYFUNCTION("""COMPUTED_VALUE"""),44469.0)</f>
        <v>44469</v>
      </c>
      <c r="B794">
        <f>IFERROR(__xludf.DUMMYFUNCTION("""COMPUTED_VALUE"""),1855058.0)</f>
        <v>1855058</v>
      </c>
      <c r="C794" t="str">
        <f>IFERROR(__xludf.DUMMYFUNCTION("""COMPUTED_VALUE"""),"en")</f>
        <v>en</v>
      </c>
      <c r="D794" t="str">
        <f>IFERROR(__xludf.DUMMYFUNCTION("""COMPUTED_VALUE"""),"Open a Non-Medical Home Care Agency - Home Based Business")</f>
        <v>Open a Non-Medical Home Care Agency - Home Based Business</v>
      </c>
      <c r="E794" t="str">
        <f>IFERROR(__xludf.DUMMYFUNCTION("""COMPUTED_VALUE"""),"Open a Non-Medical Home Care Agency - Home Based Business")</f>
        <v>Open a Non-Medical Home Care Agency - Home Based Business</v>
      </c>
      <c r="F794">
        <f>IFERROR(__xludf.DUMMYFUNCTION("""COMPUTED_VALUE"""),4.940763E7)</f>
        <v>49407630</v>
      </c>
      <c r="G794" t="str">
        <f>IFERROR(__xludf.DUMMYFUNCTION("""COMPUTED_VALUE"""),"Patricia Mitchell")</f>
        <v>Patricia Mitchell</v>
      </c>
      <c r="H794" t="str">
        <f>IFERROR(__xludf.DUMMYFUNCTION("""COMPUTED_VALUE"""),"3 Flags")</f>
        <v>3 Flags</v>
      </c>
      <c r="I794" t="str">
        <f>IFERROR(__xludf.DUMMYFUNCTION("""COMPUTED_VALUE"""),"Personal Development")</f>
        <v>Personal Development</v>
      </c>
      <c r="J794" t="str">
        <f>IFERROR(__xludf.DUMMYFUNCTION("""COMPUTED_VALUE"""),"Entrepreneurship")</f>
        <v>Entrepreneurship</v>
      </c>
      <c r="L794" s="140" t="str">
        <f>IFERROR(__xludf.DUMMYFUNCTION("""COMPUTED_VALUE"""),"")</f>
        <v/>
      </c>
      <c r="N794" s="140" t="str">
        <f>IFERROR(__xludf.DUMMYFUNCTION("""COMPUTED_VALUE"""),"")</f>
        <v/>
      </c>
      <c r="O794" s="140" t="str">
        <f>IFERROR(__xludf.DUMMYFUNCTION("""COMPUTED_VALUE"""),"No Alternatives in Collection- 3/28")</f>
        <v>No Alternatives in Collection- 3/28</v>
      </c>
    </row>
    <row r="795">
      <c r="A795" s="143">
        <f>IFERROR(__xludf.DUMMYFUNCTION("""COMPUTED_VALUE"""),44469.0)</f>
        <v>44469</v>
      </c>
      <c r="B795">
        <f>IFERROR(__xludf.DUMMYFUNCTION("""COMPUTED_VALUE"""),2073424.0)</f>
        <v>2073424</v>
      </c>
      <c r="C795" t="str">
        <f>IFERROR(__xludf.DUMMYFUNCTION("""COMPUTED_VALUE"""),"en")</f>
        <v>en</v>
      </c>
      <c r="D795" t="str">
        <f>IFERROR(__xludf.DUMMYFUNCTION("""COMPUTED_VALUE"""),"REST API Using Java and BDD Cucumber: API Testing")</f>
        <v>REST API Using Java and BDD Cucumber: API Testing</v>
      </c>
      <c r="E795" t="str">
        <f>IFERROR(__xludf.DUMMYFUNCTION("""COMPUTED_VALUE"""),"REST API Using Java and BDD Cucumber: API Testing")</f>
        <v>REST API Using Java and BDD Cucumber: API Testing</v>
      </c>
      <c r="F795">
        <f>IFERROR(__xludf.DUMMYFUNCTION("""COMPUTED_VALUE"""),6.0128268E7)</f>
        <v>60128268</v>
      </c>
      <c r="G795" t="str">
        <f>IFERROR(__xludf.DUMMYFUNCTION("""COMPUTED_VALUE"""),"Alex Kozlov")</f>
        <v>Alex Kozlov</v>
      </c>
      <c r="H795" t="str">
        <f>IFERROR(__xludf.DUMMYFUNCTION("""COMPUTED_VALUE"""),"3 Flags")</f>
        <v>3 Flags</v>
      </c>
      <c r="I795" t="str">
        <f>IFERROR(__xludf.DUMMYFUNCTION("""COMPUTED_VALUE"""),"Development")</f>
        <v>Development</v>
      </c>
      <c r="J795" t="str">
        <f>IFERROR(__xludf.DUMMYFUNCTION("""COMPUTED_VALUE"""),"Database Design &amp; Development")</f>
        <v>Database Design &amp; Development</v>
      </c>
      <c r="K795" s="140">
        <f>IFERROR(__xludf.DUMMYFUNCTION("""COMPUTED_VALUE"""),1138374.0)</f>
        <v>1138374</v>
      </c>
      <c r="L795" s="140" t="str">
        <f>IFERROR(__xludf.DUMMYFUNCTION("""COMPUTED_VALUE"""),"REST API Automation:REST Assured,Serenity BDD Framework")</f>
        <v>REST API Automation:REST Assured,Serenity BDD Framework</v>
      </c>
      <c r="N795" s="140" t="str">
        <f>IFERROR(__xludf.DUMMYFUNCTION("""COMPUTED_VALUE"""),"")</f>
        <v/>
      </c>
    </row>
    <row r="796">
      <c r="A796" s="143">
        <f>IFERROR(__xludf.DUMMYFUNCTION("""COMPUTED_VALUE"""),44469.0)</f>
        <v>44469</v>
      </c>
      <c r="B796">
        <f>IFERROR(__xludf.DUMMYFUNCTION("""COMPUTED_VALUE"""),2254618.0)</f>
        <v>2254618</v>
      </c>
      <c r="C796" t="str">
        <f>IFERROR(__xludf.DUMMYFUNCTION("""COMPUTED_VALUE"""),"en")</f>
        <v>en</v>
      </c>
      <c r="D796" t="str">
        <f>IFERROR(__xludf.DUMMYFUNCTION("""COMPUTED_VALUE"""),"TEKLA STRUCTURES for Beginners &amp; Intermediates")</f>
        <v>TEKLA STRUCTURES for Beginners &amp; Intermediates</v>
      </c>
      <c r="E796" t="str">
        <f>IFERROR(__xludf.DUMMYFUNCTION("""COMPUTED_VALUE"""),"TEKLA STRUCTURES for Beginners &amp; Intermediates")</f>
        <v>TEKLA STRUCTURES for Beginners &amp; Intermediates</v>
      </c>
      <c r="F796">
        <f>IFERROR(__xludf.DUMMYFUNCTION("""COMPUTED_VALUE"""),4.9462372E7)</f>
        <v>49462372</v>
      </c>
      <c r="G796" t="str">
        <f>IFERROR(__xludf.DUMMYFUNCTION("""COMPUTED_VALUE"""),"Mühendis Akademi")</f>
        <v>Mühendis Akademi</v>
      </c>
      <c r="H796" t="str">
        <f>IFERROR(__xludf.DUMMYFUNCTION("""COMPUTED_VALUE"""),"3 Flags")</f>
        <v>3 Flags</v>
      </c>
      <c r="I796" t="str">
        <f>IFERROR(__xludf.DUMMYFUNCTION("""COMPUTED_VALUE"""),"Design")</f>
        <v>Design</v>
      </c>
      <c r="J796" t="str">
        <f>IFERROR(__xludf.DUMMYFUNCTION("""COMPUTED_VALUE"""),"Design Tools")</f>
        <v>Design Tools</v>
      </c>
      <c r="L796" s="140" t="str">
        <f>IFERROR(__xludf.DUMMYFUNCTION("""COMPUTED_VALUE"""),"")</f>
        <v/>
      </c>
      <c r="N796" s="140" t="str">
        <f>IFERROR(__xludf.DUMMYFUNCTION("""COMPUTED_VALUE"""),"")</f>
        <v/>
      </c>
      <c r="O796" s="140" t="str">
        <f>IFERROR(__xludf.DUMMYFUNCTION("""COMPUTED_VALUE"""),"No Alternatives in Collection- 3/28")</f>
        <v>No Alternatives in Collection- 3/28</v>
      </c>
    </row>
    <row r="797">
      <c r="A797" s="143">
        <f>IFERROR(__xludf.DUMMYFUNCTION("""COMPUTED_VALUE"""),44469.0)</f>
        <v>44469</v>
      </c>
      <c r="B797">
        <f>IFERROR(__xludf.DUMMYFUNCTION("""COMPUTED_VALUE"""),2473936.0)</f>
        <v>2473936</v>
      </c>
      <c r="C797" t="str">
        <f>IFERROR(__xludf.DUMMYFUNCTION("""COMPUTED_VALUE"""),"en")</f>
        <v>en</v>
      </c>
      <c r="D797" t="str">
        <f>IFERROR(__xludf.DUMMYFUNCTION("""COMPUTED_VALUE"""),"Ultimate IELTS Writing: Learn to Master IELTS Writing Task 2")</f>
        <v>Ultimate IELTS Writing: Learn to Master IELTS Writing Task 2</v>
      </c>
      <c r="E797" t="str">
        <f>IFERROR(__xludf.DUMMYFUNCTION("""COMPUTED_VALUE"""),"Ultimate IELTS Writing: Learn to Master IELTS Writing Task 2")</f>
        <v>Ultimate IELTS Writing: Learn to Master IELTS Writing Task 2</v>
      </c>
      <c r="F797">
        <f>IFERROR(__xludf.DUMMYFUNCTION("""COMPUTED_VALUE"""),7.597604E7)</f>
        <v>75976040</v>
      </c>
      <c r="G797" t="str">
        <f>IFERROR(__xludf.DUMMYFUNCTION("""COMPUTED_VALUE"""),"Landon Jenkins, IELTS Online")</f>
        <v>Landon Jenkins, IELTS Online</v>
      </c>
      <c r="H797" t="str">
        <f>IFERROR(__xludf.DUMMYFUNCTION("""COMPUTED_VALUE"""),"3 Flags")</f>
        <v>3 Flags</v>
      </c>
      <c r="I797" t="str">
        <f>IFERROR(__xludf.DUMMYFUNCTION("""COMPUTED_VALUE"""),"Personal Development")</f>
        <v>Personal Development</v>
      </c>
      <c r="J797" t="str">
        <f>IFERROR(__xludf.DUMMYFUNCTION("""COMPUTED_VALUE"""),"Language Learning")</f>
        <v>Language Learning</v>
      </c>
      <c r="K797" s="140">
        <f>IFERROR(__xludf.DUMMYFUNCTION("""COMPUTED_VALUE"""),1439914.0)</f>
        <v>1439914</v>
      </c>
      <c r="L797" s="140" t="str">
        <f>IFERROR(__xludf.DUMMYFUNCTION("""COMPUTED_VALUE"""),"Mastering IELTS Writing: Task 2 (Band 9 Model Answers)")</f>
        <v>Mastering IELTS Writing: Task 2 (Band 9 Model Answers)</v>
      </c>
      <c r="N797" s="140" t="str">
        <f>IFERROR(__xludf.DUMMYFUNCTION("""COMPUTED_VALUE"""),"")</f>
        <v/>
      </c>
    </row>
    <row r="798">
      <c r="A798" s="143">
        <f>IFERROR(__xludf.DUMMYFUNCTION("""COMPUTED_VALUE"""),44469.0)</f>
        <v>44469</v>
      </c>
      <c r="B798">
        <f>IFERROR(__xludf.DUMMYFUNCTION("""COMPUTED_VALUE"""),2479964.0)</f>
        <v>2479964</v>
      </c>
      <c r="C798" t="str">
        <f>IFERROR(__xludf.DUMMYFUNCTION("""COMPUTED_VALUE"""),"en")</f>
        <v>en</v>
      </c>
      <c r="D798" t="str">
        <f>IFERROR(__xludf.DUMMYFUNCTION("""COMPUTED_VALUE"""),"Mastering Apache Maven")</f>
        <v>Mastering Apache Maven</v>
      </c>
      <c r="E798" t="str">
        <f>IFERROR(__xludf.DUMMYFUNCTION("""COMPUTED_VALUE"""),"Mastering Apache Maven")</f>
        <v>Mastering Apache Maven</v>
      </c>
      <c r="F798">
        <f>IFERROR(__xludf.DUMMYFUNCTION("""COMPUTED_VALUE"""),2.3409612E7)</f>
        <v>23409612</v>
      </c>
      <c r="G798" t="str">
        <f>IFERROR(__xludf.DUMMYFUNCTION("""COMPUTED_VALUE"""),"Matt Speake")</f>
        <v>Matt Speake</v>
      </c>
      <c r="H798" t="str">
        <f>IFERROR(__xludf.DUMMYFUNCTION("""COMPUTED_VALUE"""),"3 Flags")</f>
        <v>3 Flags</v>
      </c>
      <c r="I798" t="str">
        <f>IFERROR(__xludf.DUMMYFUNCTION("""COMPUTED_VALUE"""),"Development")</f>
        <v>Development</v>
      </c>
      <c r="J798" t="str">
        <f>IFERROR(__xludf.DUMMYFUNCTION("""COMPUTED_VALUE"""),"Development Tools")</f>
        <v>Development Tools</v>
      </c>
      <c r="K798" s="140">
        <f>IFERROR(__xludf.DUMMYFUNCTION("""COMPUTED_VALUE"""),2043700.0)</f>
        <v>2043700</v>
      </c>
      <c r="L798" s="140" t="str">
        <f>IFERROR(__xludf.DUMMYFUNCTION("""COMPUTED_VALUE"""),"Apache Maven: Beginner to Guru")</f>
        <v>Apache Maven: Beginner to Guru</v>
      </c>
      <c r="N798" s="140" t="str">
        <f>IFERROR(__xludf.DUMMYFUNCTION("""COMPUTED_VALUE"""),"")</f>
        <v/>
      </c>
    </row>
    <row r="799">
      <c r="A799" s="143">
        <f>IFERROR(__xludf.DUMMYFUNCTION("""COMPUTED_VALUE"""),44469.0)</f>
        <v>44469</v>
      </c>
      <c r="B799">
        <f>IFERROR(__xludf.DUMMYFUNCTION("""COMPUTED_VALUE"""),58309.0)</f>
        <v>58309</v>
      </c>
      <c r="C799" t="str">
        <f>IFERROR(__xludf.DUMMYFUNCTION("""COMPUTED_VALUE"""),"en")</f>
        <v>en</v>
      </c>
      <c r="D799" t="str">
        <f>IFERROR(__xludf.DUMMYFUNCTION("""COMPUTED_VALUE"""),"Understanding HIPAA for the Medical Office")</f>
        <v>Understanding HIPAA for the Medical Office</v>
      </c>
      <c r="E799" t="str">
        <f>IFERROR(__xludf.DUMMYFUNCTION("""COMPUTED_VALUE"""),"Understanding HIPAA for the Medical Office")</f>
        <v>Understanding HIPAA for the Medical Office</v>
      </c>
      <c r="F799">
        <f>IFERROR(__xludf.DUMMYFUNCTION("""COMPUTED_VALUE"""),763652.0)</f>
        <v>763652</v>
      </c>
      <c r="G799" t="str">
        <f>IFERROR(__xludf.DUMMYFUNCTION("""COMPUTED_VALUE"""),"Carol Pigott, MAed, CMA, CBCS")</f>
        <v>Carol Pigott, MAed, CMA, CBCS</v>
      </c>
      <c r="H799" t="str">
        <f>IFERROR(__xludf.DUMMYFUNCTION("""COMPUTED_VALUE"""),"Instructor Request- No Detail")</f>
        <v>Instructor Request- No Detail</v>
      </c>
      <c r="I799" t="str">
        <f>IFERROR(__xludf.DUMMYFUNCTION("""COMPUTED_VALUE"""),"Workplace &amp; Human Resources")</f>
        <v>Workplace &amp; Human Resources</v>
      </c>
      <c r="J799" t="str">
        <f>IFERROR(__xludf.DUMMYFUNCTION("""COMPUTED_VALUE"""),"Compliance")</f>
        <v>Compliance</v>
      </c>
      <c r="K799" s="140">
        <f>IFERROR(__xludf.DUMMYFUNCTION("""COMPUTED_VALUE"""),76978.0)</f>
        <v>76978</v>
      </c>
      <c r="L799" s="140" t="str">
        <f>IFERROR(__xludf.DUMMYFUNCTION("""COMPUTED_VALUE"""),"Understanding and Complying with HIPAA")</f>
        <v>Understanding and Complying with HIPAA</v>
      </c>
      <c r="N799" s="140" t="str">
        <f>IFERROR(__xludf.DUMMYFUNCTION("""COMPUTED_VALUE"""),"")</f>
        <v/>
      </c>
    </row>
    <row r="800">
      <c r="A800" s="143">
        <f>IFERROR(__xludf.DUMMYFUNCTION("""COMPUTED_VALUE"""),44469.0)</f>
        <v>44469</v>
      </c>
      <c r="B800">
        <f>IFERROR(__xludf.DUMMYFUNCTION("""COMPUTED_VALUE"""),515004.0)</f>
        <v>515004</v>
      </c>
      <c r="C800" t="str">
        <f>IFERROR(__xludf.DUMMYFUNCTION("""COMPUTED_VALUE"""),"en")</f>
        <v>en</v>
      </c>
      <c r="D800" t="str">
        <f>IFERROR(__xludf.DUMMYFUNCTION("""COMPUTED_VALUE"""),"Statistics &amp; Data Analysis: Linear Regression Models in SPSS")</f>
        <v>Statistics &amp; Data Analysis: Linear Regression Models in SPSS</v>
      </c>
      <c r="E800" t="str">
        <f>IFERROR(__xludf.DUMMYFUNCTION("""COMPUTED_VALUE"""),"Statistics &amp; Data Analysis: Linear Regression Models in SPSS")</f>
        <v>Statistics &amp; Data Analysis: Linear Regression Models in SPSS</v>
      </c>
      <c r="F800">
        <f>IFERROR(__xludf.DUMMYFUNCTION("""COMPUTED_VALUE"""),1.2056666E7)</f>
        <v>12056666</v>
      </c>
      <c r="G800" t="str">
        <f>IFERROR(__xludf.DUMMYFUNCTION("""COMPUTED_VALUE"""),"Andrew Luttrell, Ph.D.")</f>
        <v>Andrew Luttrell, Ph.D.</v>
      </c>
      <c r="H800" t="str">
        <f>IFERROR(__xludf.DUMMYFUNCTION("""COMPUTED_VALUE"""),"Instructor Request- Outdated")</f>
        <v>Instructor Request- Outdated</v>
      </c>
      <c r="I800" t="str">
        <f>IFERROR(__xludf.DUMMYFUNCTION("""COMPUTED_VALUE"""),"Data Science")</f>
        <v>Data Science</v>
      </c>
      <c r="J800" t="str">
        <f>IFERROR(__xludf.DUMMYFUNCTION("""COMPUTED_VALUE"""),"Statistical Analysis")</f>
        <v>Statistical Analysis</v>
      </c>
      <c r="L800" s="140" t="str">
        <f>IFERROR(__xludf.DUMMYFUNCTION("""COMPUTED_VALUE"""),"")</f>
        <v/>
      </c>
      <c r="N800" s="140" t="str">
        <f>IFERROR(__xludf.DUMMYFUNCTION("""COMPUTED_VALUE"""),"")</f>
        <v/>
      </c>
      <c r="O800" s="140" t="str">
        <f>IFERROR(__xludf.DUMMYFUNCTION("""COMPUTED_VALUE"""),"No Alternatives in Collection- 3/20")</f>
        <v>No Alternatives in Collection- 3/20</v>
      </c>
    </row>
    <row r="801">
      <c r="A801" s="143">
        <f>IFERROR(__xludf.DUMMYFUNCTION("""COMPUTED_VALUE"""),44469.0)</f>
        <v>44469</v>
      </c>
      <c r="B801">
        <f>IFERROR(__xludf.DUMMYFUNCTION("""COMPUTED_VALUE"""),2504556.0)</f>
        <v>2504556</v>
      </c>
      <c r="C801" t="str">
        <f>IFERROR(__xludf.DUMMYFUNCTION("""COMPUTED_VALUE"""),"de")</f>
        <v>de</v>
      </c>
      <c r="D801" t="str">
        <f>IFERROR(__xludf.DUMMYFUNCTION("""COMPUTED_VALUE"""),"Entity Framework (EF) core Komplettkurs: Datenzugriff mit C#")</f>
        <v>Entity Framework (EF) core Komplettkurs: Datenzugriff mit C#</v>
      </c>
      <c r="E801" t="str">
        <f>IFERROR(__xludf.DUMMYFUNCTION("""COMPUTED_VALUE"""),"Entity Framework (EF) Core complete course: data access with C #")</f>
        <v>Entity Framework (EF) Core complete course: data access with C #</v>
      </c>
      <c r="F801">
        <f>IFERROR(__xludf.DUMMYFUNCTION("""COMPUTED_VALUE"""),5.4120468E7)</f>
        <v>54120468</v>
      </c>
      <c r="G801" t="str">
        <f>IFERROR(__xludf.DUMMYFUNCTION("""COMPUTED_VALUE"""),"Timo H. | C# Development | .Net | DevOps")</f>
        <v>Timo H. | C# Development | .Net | DevOps</v>
      </c>
      <c r="H801" t="str">
        <f>IFERROR(__xludf.DUMMYFUNCTION("""COMPUTED_VALUE"""),"Low Rating")</f>
        <v>Low Rating</v>
      </c>
      <c r="I801" t="str">
        <f>IFERROR(__xludf.DUMMYFUNCTION("""COMPUTED_VALUE"""),"Development")</f>
        <v>Development</v>
      </c>
      <c r="J801" t="str">
        <f>IFERROR(__xludf.DUMMYFUNCTION("""COMPUTED_VALUE"""),"Web Development")</f>
        <v>Web Development</v>
      </c>
      <c r="L801" s="140" t="str">
        <f>IFERROR(__xludf.DUMMYFUNCTION("""COMPUTED_VALUE"""),"")</f>
        <v/>
      </c>
    </row>
    <row r="802">
      <c r="A802" s="143">
        <f>IFERROR(__xludf.DUMMYFUNCTION("""COMPUTED_VALUE"""),44469.0)</f>
        <v>44469</v>
      </c>
      <c r="B802">
        <f>IFERROR(__xludf.DUMMYFUNCTION("""COMPUTED_VALUE"""),530940.0)</f>
        <v>530940</v>
      </c>
      <c r="C802" t="str">
        <f>IFERROR(__xludf.DUMMYFUNCTION("""COMPUTED_VALUE"""),"de")</f>
        <v>de</v>
      </c>
      <c r="D802" t="str">
        <f>IFERROR(__xludf.DUMMYFUNCTION("""COMPUTED_VALUE"""),"Selbstmanagement für wichtige Aufgaben und Ziele")</f>
        <v>Selbstmanagement für wichtige Aufgaben und Ziele</v>
      </c>
      <c r="E802" t="str">
        <f>IFERROR(__xludf.DUMMYFUNCTION("""COMPUTED_VALUE"""),"Self-management for important tasks and goals")</f>
        <v>Self-management for important tasks and goals</v>
      </c>
      <c r="F802">
        <f>IFERROR(__xludf.DUMMYFUNCTION("""COMPUTED_VALUE"""),1.083405E7)</f>
        <v>10834050</v>
      </c>
      <c r="G802" t="str">
        <f>IFERROR(__xludf.DUMMYFUNCTION("""COMPUTED_VALUE"""),"Jürgen Wulff")</f>
        <v>Jürgen Wulff</v>
      </c>
      <c r="H802" t="str">
        <f>IFERROR(__xludf.DUMMYFUNCTION("""COMPUTED_VALUE"""),"3 Flags")</f>
        <v>3 Flags</v>
      </c>
      <c r="I802" t="str">
        <f>IFERROR(__xludf.DUMMYFUNCTION("""COMPUTED_VALUE"""),"Personal Development")</f>
        <v>Personal Development</v>
      </c>
      <c r="J802" t="str">
        <f>IFERROR(__xludf.DUMMYFUNCTION("""COMPUTED_VALUE"""),"Personal Growth")</f>
        <v>Personal Growth</v>
      </c>
      <c r="L802" s="140" t="str">
        <f>IFERROR(__xludf.DUMMYFUNCTION("""COMPUTED_VALUE"""),"")</f>
        <v/>
      </c>
    </row>
    <row r="803">
      <c r="A803" s="143">
        <f>IFERROR(__xludf.DUMMYFUNCTION("""COMPUTED_VALUE"""),44469.0)</f>
        <v>44469</v>
      </c>
      <c r="B803">
        <f>IFERROR(__xludf.DUMMYFUNCTION("""COMPUTED_VALUE"""),1085478.0)</f>
        <v>1085478</v>
      </c>
      <c r="C803" t="str">
        <f>IFERROR(__xludf.DUMMYFUNCTION("""COMPUTED_VALUE"""),"de")</f>
        <v>de</v>
      </c>
      <c r="D803" t="str">
        <f>IFERROR(__xludf.DUMMYFUNCTION("""COMPUTED_VALUE"""),"Powerpoint - verblüffende Effekte und Animationen")</f>
        <v>Powerpoint - verblüffende Effekte und Animationen</v>
      </c>
      <c r="E803" t="str">
        <f>IFERROR(__xludf.DUMMYFUNCTION("""COMPUTED_VALUE"""),"PowerPoint - amazing effects and animations")</f>
        <v>PowerPoint - amazing effects and animations</v>
      </c>
      <c r="F803">
        <f>IFERROR(__xludf.DUMMYFUNCTION("""COMPUTED_VALUE"""),1.2943158E7)</f>
        <v>12943158</v>
      </c>
      <c r="G803" t="str">
        <f>IFERROR(__xludf.DUMMYFUNCTION("""COMPUTED_VALUE"""),"Ralf Pareigis")</f>
        <v>Ralf Pareigis</v>
      </c>
      <c r="H803" t="str">
        <f>IFERROR(__xludf.DUMMYFUNCTION("""COMPUTED_VALUE"""),"3 Flags")</f>
        <v>3 Flags</v>
      </c>
      <c r="I803" t="str">
        <f>IFERROR(__xludf.DUMMYFUNCTION("""COMPUTED_VALUE"""),"Office Productivity")</f>
        <v>Office Productivity</v>
      </c>
      <c r="J803" t="str">
        <f>IFERROR(__xludf.DUMMYFUNCTION("""COMPUTED_VALUE"""),"Presentations")</f>
        <v>Presentations</v>
      </c>
      <c r="K803" s="140">
        <f>IFERROR(__xludf.DUMMYFUNCTION("""COMPUTED_VALUE"""),2288577.0)</f>
        <v>2288577</v>
      </c>
      <c r="L803" s="140" t="str">
        <f>IFERROR(__xludf.DUMMYFUNCTION("""COMPUTED_VALUE"""),"Next Level PowerPoint - kreative Bildgestaltung im Marketing")</f>
        <v>Next Level PowerPoint - kreative Bildgestaltung im Marketing</v>
      </c>
    </row>
    <row r="804">
      <c r="A804" s="143">
        <f>IFERROR(__xludf.DUMMYFUNCTION("""COMPUTED_VALUE"""),44469.0)</f>
        <v>44469</v>
      </c>
      <c r="B804">
        <f>IFERROR(__xludf.DUMMYFUNCTION("""COMPUTED_VALUE"""),1622072.0)</f>
        <v>1622072</v>
      </c>
      <c r="C804" t="str">
        <f>IFERROR(__xludf.DUMMYFUNCTION("""COMPUTED_VALUE"""),"de")</f>
        <v>de</v>
      </c>
      <c r="D804" t="str">
        <f>IFERROR(__xludf.DUMMYFUNCTION("""COMPUTED_VALUE"""),"Social Media Marketing - Deine Content Strategie")</f>
        <v>Social Media Marketing - Deine Content Strategie</v>
      </c>
      <c r="E804" t="str">
        <f>IFERROR(__xludf.DUMMYFUNCTION("""COMPUTED_VALUE"""),"Social Media Marketing - Your Content Strategy")</f>
        <v>Social Media Marketing - Your Content Strategy</v>
      </c>
      <c r="F804">
        <f>IFERROR(__xludf.DUMMYFUNCTION("""COMPUTED_VALUE"""),2.7380472E7)</f>
        <v>27380472</v>
      </c>
      <c r="G804" t="str">
        <f>IFERROR(__xludf.DUMMYFUNCTION("""COMPUTED_VALUE"""),"Jannis Riebschläger")</f>
        <v>Jannis Riebschläger</v>
      </c>
      <c r="H804" t="str">
        <f>IFERROR(__xludf.DUMMYFUNCTION("""COMPUTED_VALUE"""),"3 Flags")</f>
        <v>3 Flags</v>
      </c>
      <c r="I804" t="str">
        <f>IFERROR(__xludf.DUMMYFUNCTION("""COMPUTED_VALUE"""),"Marketing")</f>
        <v>Marketing</v>
      </c>
      <c r="J804" t="str">
        <f>IFERROR(__xludf.DUMMYFUNCTION("""COMPUTED_VALUE"""),"Social Media Marketing")</f>
        <v>Social Media Marketing</v>
      </c>
      <c r="K804" s="140">
        <f>IFERROR(__xludf.DUMMYFUNCTION("""COMPUTED_VALUE"""),1573650.0)</f>
        <v>1573650</v>
      </c>
      <c r="L804" s="140" t="str">
        <f>IFERROR(__xludf.DUMMYFUNCTION("""COMPUTED_VALUE"""),"Webinar Marketing: Erstelle Professionelle Webinar Funnels")</f>
        <v>Webinar Marketing: Erstelle Professionelle Webinar Funnels</v>
      </c>
    </row>
    <row r="805">
      <c r="A805" s="143">
        <f>IFERROR(__xludf.DUMMYFUNCTION("""COMPUTED_VALUE"""),44469.0)</f>
        <v>44469</v>
      </c>
      <c r="B805">
        <f>IFERROR(__xludf.DUMMYFUNCTION("""COMPUTED_VALUE"""),3577641.0)</f>
        <v>3577641</v>
      </c>
      <c r="C805" t="str">
        <f>IFERROR(__xludf.DUMMYFUNCTION("""COMPUTED_VALUE"""),"de")</f>
        <v>de</v>
      </c>
      <c r="D805" t="str">
        <f>IFERROR(__xludf.DUMMYFUNCTION("""COMPUTED_VALUE"""),"Künstliche Intelligenz für Business Manager*innen")</f>
        <v>Künstliche Intelligenz für Business Manager*innen</v>
      </c>
      <c r="E805" t="str">
        <f>IFERROR(__xludf.DUMMYFUNCTION("""COMPUTED_VALUE"""),"Artificial intelligence for business managers * inside")</f>
        <v>Artificial intelligence for business managers * inside</v>
      </c>
      <c r="F805">
        <f>IFERROR(__xludf.DUMMYFUNCTION("""COMPUTED_VALUE"""),1.3243114E8)</f>
        <v>132431140</v>
      </c>
      <c r="G805" t="str">
        <f>IFERROR(__xludf.DUMMYFUNCTION("""COMPUTED_VALUE"""),"Rene Salmon")</f>
        <v>Rene Salmon</v>
      </c>
      <c r="H805" t="str">
        <f>IFERROR(__xludf.DUMMYFUNCTION("""COMPUTED_VALUE"""),"Low Rating")</f>
        <v>Low Rating</v>
      </c>
      <c r="I805" t="str">
        <f>IFERROR(__xludf.DUMMYFUNCTION("""COMPUTED_VALUE"""),"Leadership &amp; Management")</f>
        <v>Leadership &amp; Management</v>
      </c>
      <c r="J805" t="str">
        <f>IFERROR(__xludf.DUMMYFUNCTION("""COMPUTED_VALUE"""),"Leadership")</f>
        <v>Leadership</v>
      </c>
      <c r="L805" s="140" t="str">
        <f>IFERROR(__xludf.DUMMYFUNCTION("""COMPUTED_VALUE"""),"")</f>
        <v/>
      </c>
    </row>
    <row r="806">
      <c r="A806" s="143">
        <f>IFERROR(__xludf.DUMMYFUNCTION("""COMPUTED_VALUE"""),44469.0)</f>
        <v>44469</v>
      </c>
      <c r="B806">
        <f>IFERROR(__xludf.DUMMYFUNCTION("""COMPUTED_VALUE"""),2286997.0)</f>
        <v>2286997</v>
      </c>
      <c r="C806" t="str">
        <f>IFERROR(__xludf.DUMMYFUNCTION("""COMPUTED_VALUE"""),"de")</f>
        <v>de</v>
      </c>
      <c r="D806" t="str">
        <f>IFERROR(__xludf.DUMMYFUNCTION("""COMPUTED_VALUE"""),"PINTEREST MARKETING: Pinterest SEO &amp; Pinterest Business")</f>
        <v>PINTEREST MARKETING: Pinterest SEO &amp; Pinterest Business</v>
      </c>
      <c r="E806" t="str">
        <f>IFERROR(__xludf.DUMMYFUNCTION("""COMPUTED_VALUE"""),"PINTEREST MARKETING: Pinterest SEO &amp; Pinterest Business")</f>
        <v>PINTEREST MARKETING: Pinterest SEO &amp; Pinterest Business</v>
      </c>
      <c r="F806">
        <f>IFERROR(__xludf.DUMMYFUNCTION("""COMPUTED_VALUE"""),2.1540346E7)</f>
        <v>21540346</v>
      </c>
      <c r="G806" t="str">
        <f>IFERROR(__xludf.DUMMYFUNCTION("""COMPUTED_VALUE"""),"Leon Dawi")</f>
        <v>Leon Dawi</v>
      </c>
      <c r="H806" t="str">
        <f>IFERROR(__xludf.DUMMYFUNCTION("""COMPUTED_VALUE"""),"3 Flags")</f>
        <v>3 Flags</v>
      </c>
      <c r="I806" t="str">
        <f>IFERROR(__xludf.DUMMYFUNCTION("""COMPUTED_VALUE"""),"Marketing")</f>
        <v>Marketing</v>
      </c>
      <c r="J806" t="str">
        <f>IFERROR(__xludf.DUMMYFUNCTION("""COMPUTED_VALUE"""),"Social Media Marketing")</f>
        <v>Social Media Marketing</v>
      </c>
      <c r="L806" s="140" t="str">
        <f>IFERROR(__xludf.DUMMYFUNCTION("""COMPUTED_VALUE"""),"")</f>
        <v/>
      </c>
    </row>
    <row r="807">
      <c r="A807" s="143">
        <f>IFERROR(__xludf.DUMMYFUNCTION("""COMPUTED_VALUE"""),44469.0)</f>
        <v>44469</v>
      </c>
      <c r="B807">
        <f>IFERROR(__xludf.DUMMYFUNCTION("""COMPUTED_VALUE"""),1317256.0)</f>
        <v>1317256</v>
      </c>
      <c r="C807" t="str">
        <f>IFERROR(__xludf.DUMMYFUNCTION("""COMPUTED_VALUE"""),"es")</f>
        <v>es</v>
      </c>
      <c r="D807" t="str">
        <f>IFERROR(__xludf.DUMMYFUNCTION("""COMPUTED_VALUE"""),"Programación Java SE desde 0")</f>
        <v>Programación Java SE desde 0</v>
      </c>
      <c r="E807" t="str">
        <f>IFERROR(__xludf.DUMMYFUNCTION("""COMPUTED_VALUE"""),"Java Programming Since 0")</f>
        <v>Java Programming Since 0</v>
      </c>
      <c r="F807">
        <f>IFERROR(__xludf.DUMMYFUNCTION("""COMPUTED_VALUE"""),3618060.0)</f>
        <v>3618060</v>
      </c>
      <c r="G807" t="str">
        <f>IFERROR(__xludf.DUMMYFUNCTION("""COMPUTED_VALUE"""),"Juan Díaz")</f>
        <v>Juan Díaz</v>
      </c>
      <c r="H807" t="str">
        <f>IFERROR(__xludf.DUMMYFUNCTION("""COMPUTED_VALUE"""),"Instructor Request- Opted Out")</f>
        <v>Instructor Request- Opted Out</v>
      </c>
      <c r="I807" t="str">
        <f>IFERROR(__xludf.DUMMYFUNCTION("""COMPUTED_VALUE"""),"Development")</f>
        <v>Development</v>
      </c>
      <c r="J807" t="str">
        <f>IFERROR(__xludf.DUMMYFUNCTION("""COMPUTED_VALUE"""),"Programming Languages")</f>
        <v>Programming Languages</v>
      </c>
      <c r="K807" s="140">
        <f>IFERROR(__xludf.DUMMYFUNCTION("""COMPUTED_VALUE"""),781696.0)</f>
        <v>781696</v>
      </c>
      <c r="L807" s="140" t="str">
        <f>IFERROR(__xludf.DUMMYFUNCTION("""COMPUTED_VALUE"""),"Curso Java SE, Java EE con MySQL - De básico hasta avanzado")</f>
        <v>Curso Java SE, Java EE con MySQL - De básico hasta avanzado</v>
      </c>
      <c r="N807" s="140" t="str">
        <f>IFERROR(__xludf.DUMMYFUNCTION("""COMPUTED_VALUE"""),"")</f>
        <v/>
      </c>
    </row>
    <row r="808">
      <c r="A808" s="143">
        <f>IFERROR(__xludf.DUMMYFUNCTION("""COMPUTED_VALUE"""),44469.0)</f>
        <v>44469</v>
      </c>
      <c r="B808">
        <f>IFERROR(__xludf.DUMMYFUNCTION("""COMPUTED_VALUE"""),1392412.0)</f>
        <v>1392412</v>
      </c>
      <c r="C808" t="str">
        <f>IFERROR(__xludf.DUMMYFUNCTION("""COMPUTED_VALUE"""),"es")</f>
        <v>es</v>
      </c>
      <c r="D808" t="str">
        <f>IFERROR(__xludf.DUMMYFUNCTION("""COMPUTED_VALUE"""),"Android y Kotlin Desde Cero a Profesional Completo +45 horas")</f>
        <v>Android y Kotlin Desde Cero a Profesional Completo +45 horas</v>
      </c>
      <c r="E808" t="str">
        <f>IFERROR(__xludf.DUMMYFUNCTION("""COMPUTED_VALUE"""),"Android and Kotlin from Zero to Complete Professional +45 hours")</f>
        <v>Android and Kotlin from Zero to Complete Professional +45 hours</v>
      </c>
      <c r="F808">
        <f>IFERROR(__xludf.DUMMYFUNCTION("""COMPUTED_VALUE"""),5868708.0)</f>
        <v>5868708</v>
      </c>
      <c r="G808" t="str">
        <f>IFERROR(__xludf.DUMMYFUNCTION("""COMPUTED_VALUE"""),"Juan Villalvazo")</f>
        <v>Juan Villalvazo</v>
      </c>
      <c r="H808" t="str">
        <f>IFERROR(__xludf.DUMMYFUNCTION("""COMPUTED_VALUE"""),"Low Rating")</f>
        <v>Low Rating</v>
      </c>
      <c r="I808" t="str">
        <f>IFERROR(__xludf.DUMMYFUNCTION("""COMPUTED_VALUE"""),"Development")</f>
        <v>Development</v>
      </c>
      <c r="J808" t="str">
        <f>IFERROR(__xludf.DUMMYFUNCTION("""COMPUTED_VALUE"""),"Programming Languages")</f>
        <v>Programming Languages</v>
      </c>
      <c r="K808" s="140">
        <f>IFERROR(__xludf.DUMMYFUNCTION("""COMPUTED_VALUE"""),1266742.0)</f>
        <v>1266742</v>
      </c>
      <c r="L808" s="140" t="str">
        <f>IFERROR(__xludf.DUMMYFUNCTION("""COMPUTED_VALUE"""),"Aprende Android Kotlin desde cero")</f>
        <v>Aprende Android Kotlin desde cero</v>
      </c>
      <c r="M808" s="140">
        <f>IFERROR(__xludf.DUMMYFUNCTION("""COMPUTED_VALUE"""),1692790.0)</f>
        <v>1692790</v>
      </c>
      <c r="N808" s="140" t="str">
        <f>IFERROR(__xludf.DUMMYFUNCTION("""COMPUTED_VALUE"""),"Android Completo con Kotlin: Aprende creando apps")</f>
        <v>Android Completo con Kotlin: Aprende creando apps</v>
      </c>
    </row>
    <row r="809">
      <c r="A809" s="143">
        <f>IFERROR(__xludf.DUMMYFUNCTION("""COMPUTED_VALUE"""),44469.0)</f>
        <v>44469</v>
      </c>
      <c r="B809">
        <f>IFERROR(__xludf.DUMMYFUNCTION("""COMPUTED_VALUE"""),1657034.0)</f>
        <v>1657034</v>
      </c>
      <c r="C809" t="str">
        <f>IFERROR(__xludf.DUMMYFUNCTION("""COMPUTED_VALUE"""),"es")</f>
        <v>es</v>
      </c>
      <c r="D809" t="str">
        <f>IFERROR(__xludf.DUMMYFUNCTION("""COMPUTED_VALUE"""),"Guía Definitiva: 70-532 Developing Microsoft Azure Solutions")</f>
        <v>Guía Definitiva: 70-532 Developing Microsoft Azure Solutions</v>
      </c>
      <c r="E809" t="str">
        <f>IFERROR(__xludf.DUMMYFUNCTION("""COMPUTED_VALUE"""),"Definitive guide: 70-532 Developing Microsoft Azure Solutions")</f>
        <v>Definitive guide: 70-532 Developing Microsoft Azure Solutions</v>
      </c>
      <c r="F809">
        <f>IFERROR(__xludf.DUMMYFUNCTION("""COMPUTED_VALUE"""),1693564.0)</f>
        <v>1693564</v>
      </c>
      <c r="G809" t="str">
        <f>IFERROR(__xludf.DUMMYFUNCTION("""COMPUTED_VALUE"""),"Héctor Uriel Pérez")</f>
        <v>Héctor Uriel Pérez</v>
      </c>
      <c r="H809" t="str">
        <f>IFERROR(__xludf.DUMMYFUNCTION("""COMPUTED_VALUE"""),"3 Flags")</f>
        <v>3 Flags</v>
      </c>
      <c r="I809" t="str">
        <f>IFERROR(__xludf.DUMMYFUNCTION("""COMPUTED_VALUE"""),"Cloud Computing")</f>
        <v>Cloud Computing</v>
      </c>
      <c r="J809" t="str">
        <f>IFERROR(__xludf.DUMMYFUNCTION("""COMPUTED_VALUE"""),"Cloud Certification")</f>
        <v>Cloud Certification</v>
      </c>
      <c r="K809" s="140">
        <f>IFERROR(__xludf.DUMMYFUNCTION("""COMPUTED_VALUE"""),1531520.0)</f>
        <v>1531520</v>
      </c>
      <c r="L809" s="140" t="str">
        <f>IFERROR(__xludf.DUMMYFUNCTION("""COMPUTED_VALUE"""),"Implementación de soluciones en Microsoft Azure")</f>
        <v>Implementación de soluciones en Microsoft Azure</v>
      </c>
      <c r="N809" s="140" t="str">
        <f>IFERROR(__xludf.DUMMYFUNCTION("""COMPUTED_VALUE"""),"")</f>
        <v/>
      </c>
    </row>
    <row r="810">
      <c r="A810" s="143">
        <f>IFERROR(__xludf.DUMMYFUNCTION("""COMPUTED_VALUE"""),44469.0)</f>
        <v>44469</v>
      </c>
      <c r="B810">
        <f>IFERROR(__xludf.DUMMYFUNCTION("""COMPUTED_VALUE"""),1451342.0)</f>
        <v>1451342</v>
      </c>
      <c r="C810" t="str">
        <f>IFERROR(__xludf.DUMMYFUNCTION("""COMPUTED_VALUE"""),"es")</f>
        <v>es</v>
      </c>
      <c r="D810" t="str">
        <f>IFERROR(__xludf.DUMMYFUNCTION("""COMPUTED_VALUE"""),"CHATBOT ManyChat 2020: Embudo de VENTAS Facebook Messenger")</f>
        <v>CHATBOT ManyChat 2020: Embudo de VENTAS Facebook Messenger</v>
      </c>
      <c r="E810" t="str">
        <f>IFERROR(__xludf.DUMMYFUNCTION("""COMPUTED_VALUE"""),"Chatbot Mannychat 2020: Sales Function Facebook Messenger")</f>
        <v>Chatbot Mannychat 2020: Sales Function Facebook Messenger</v>
      </c>
      <c r="F810">
        <f>IFERROR(__xludf.DUMMYFUNCTION("""COMPUTED_VALUE"""),2.4645152E7)</f>
        <v>24645152</v>
      </c>
      <c r="G810" t="str">
        <f>IFERROR(__xludf.DUMMYFUNCTION("""COMPUTED_VALUE"""),"Ivan Rojas")</f>
        <v>Ivan Rojas</v>
      </c>
      <c r="H810" t="str">
        <f>IFERROR(__xludf.DUMMYFUNCTION("""COMPUTED_VALUE"""),"Instructor Request- Opted Out")</f>
        <v>Instructor Request- Opted Out</v>
      </c>
      <c r="I810" t="str">
        <f>IFERROR(__xludf.DUMMYFUNCTION("""COMPUTED_VALUE"""),"Marketing")</f>
        <v>Marketing</v>
      </c>
      <c r="J810" t="str">
        <f>IFERROR(__xludf.DUMMYFUNCTION("""COMPUTED_VALUE"""),"Search Engine Optimization")</f>
        <v>Search Engine Optimization</v>
      </c>
      <c r="K810" s="140">
        <f>IFERROR(__xludf.DUMMYFUNCTION("""COMPUTED_VALUE"""),1238042.0)</f>
        <v>1238042</v>
      </c>
      <c r="L810" s="140" t="str">
        <f>IFERROR(__xludf.DUMMYFUNCTION("""COMPUTED_VALUE"""),"Curso de Facebook Messenger ChatBot")</f>
        <v>Curso de Facebook Messenger ChatBot</v>
      </c>
      <c r="N810" s="140" t="str">
        <f>IFERROR(__xludf.DUMMYFUNCTION("""COMPUTED_VALUE"""),"")</f>
        <v/>
      </c>
    </row>
    <row r="811">
      <c r="A811" s="143">
        <f>IFERROR(__xludf.DUMMYFUNCTION("""COMPUTED_VALUE"""),44469.0)</f>
        <v>44469</v>
      </c>
      <c r="B811">
        <f>IFERROR(__xludf.DUMMYFUNCTION("""COMPUTED_VALUE"""),1422250.0)</f>
        <v>1422250</v>
      </c>
      <c r="C811" t="str">
        <f>IFERROR(__xludf.DUMMYFUNCTION("""COMPUTED_VALUE"""),"es")</f>
        <v>es</v>
      </c>
      <c r="D811" t="str">
        <f>IFERROR(__xludf.DUMMYFUNCTION("""COMPUTED_VALUE"""),"Domina ACTIVECAMPAIGN Desde Cero Y AUTOMATIZA Tu Negocio")</f>
        <v>Domina ACTIVECAMPAIGN Desde Cero Y AUTOMATIZA Tu Negocio</v>
      </c>
      <c r="E811" t="str">
        <f>IFERROR(__xludf.DUMMYFUNCTION("""COMPUTED_VALUE"""),"Domain ActiveChagn from scratch and automates your business")</f>
        <v>Domain ActiveChagn from scratch and automates your business</v>
      </c>
      <c r="F811">
        <f>IFERROR(__xludf.DUMMYFUNCTION("""COMPUTED_VALUE"""),2.4645152E7)</f>
        <v>24645152</v>
      </c>
      <c r="G811" t="str">
        <f>IFERROR(__xludf.DUMMYFUNCTION("""COMPUTED_VALUE"""),"Ivan Rojas")</f>
        <v>Ivan Rojas</v>
      </c>
      <c r="H811" t="str">
        <f>IFERROR(__xludf.DUMMYFUNCTION("""COMPUTED_VALUE"""),"Instructor Request- Opted Out")</f>
        <v>Instructor Request- Opted Out</v>
      </c>
      <c r="I811" t="str">
        <f>IFERROR(__xludf.DUMMYFUNCTION("""COMPUTED_VALUE"""),"Marketing")</f>
        <v>Marketing</v>
      </c>
      <c r="J811" t="str">
        <f>IFERROR(__xludf.DUMMYFUNCTION("""COMPUTED_VALUE"""),"Marketing Analytics &amp; Automation")</f>
        <v>Marketing Analytics &amp; Automation</v>
      </c>
      <c r="L811" s="140" t="str">
        <f>IFERROR(__xludf.DUMMYFUNCTION("""COMPUTED_VALUE"""),"")</f>
        <v/>
      </c>
      <c r="N811" s="140" t="str">
        <f>IFERROR(__xludf.DUMMYFUNCTION("""COMPUTED_VALUE"""),"")</f>
        <v/>
      </c>
    </row>
    <row r="812">
      <c r="A812" s="143">
        <f>IFERROR(__xludf.DUMMYFUNCTION("""COMPUTED_VALUE"""),44469.0)</f>
        <v>44469</v>
      </c>
      <c r="B812">
        <f>IFERROR(__xludf.DUMMYFUNCTION("""COMPUTED_VALUE"""),1451316.0)</f>
        <v>1451316</v>
      </c>
      <c r="C812" t="str">
        <f>IFERROR(__xludf.DUMMYFUNCTION("""COMPUTED_VALUE"""),"es")</f>
        <v>es</v>
      </c>
      <c r="D812" t="str">
        <f>IFERROR(__xludf.DUMMYFUNCTION("""COMPUTED_VALUE"""),"Facebook Ads ESTRATÉGICO 2020: Marketing Digital para VENDER")</f>
        <v>Facebook Ads ESTRATÉGICO 2020: Marketing Digital para VENDER</v>
      </c>
      <c r="E812" t="str">
        <f>IFERROR(__xludf.DUMMYFUNCTION("""COMPUTED_VALUE"""),"Facebook Ads Strategic 2020: Digital Marketing to Sell")</f>
        <v>Facebook Ads Strategic 2020: Digital Marketing to Sell</v>
      </c>
      <c r="F812">
        <f>IFERROR(__xludf.DUMMYFUNCTION("""COMPUTED_VALUE"""),2.4645152E7)</f>
        <v>24645152</v>
      </c>
      <c r="G812" t="str">
        <f>IFERROR(__xludf.DUMMYFUNCTION("""COMPUTED_VALUE"""),"Ivan Rojas")</f>
        <v>Ivan Rojas</v>
      </c>
      <c r="H812" t="str">
        <f>IFERROR(__xludf.DUMMYFUNCTION("""COMPUTED_VALUE"""),"Instructor Request- Opted Out")</f>
        <v>Instructor Request- Opted Out</v>
      </c>
      <c r="I812" t="str">
        <f>IFERROR(__xludf.DUMMYFUNCTION("""COMPUTED_VALUE"""),"Marketing")</f>
        <v>Marketing</v>
      </c>
      <c r="J812" t="str">
        <f>IFERROR(__xludf.DUMMYFUNCTION("""COMPUTED_VALUE"""),"Social Media Marketing")</f>
        <v>Social Media Marketing</v>
      </c>
      <c r="K812" s="140">
        <f>IFERROR(__xludf.DUMMYFUNCTION("""COMPUTED_VALUE"""),740200.0)</f>
        <v>740200</v>
      </c>
      <c r="L812" s="140" t="str">
        <f>IFERROR(__xludf.DUMMYFUNCTION("""COMPUTED_VALUE"""),"Facebook Ads 2020 : Domina el Marketing en Facebook")</f>
        <v>Facebook Ads 2020 : Domina el Marketing en Facebook</v>
      </c>
      <c r="N812" s="140" t="str">
        <f>IFERROR(__xludf.DUMMYFUNCTION("""COMPUTED_VALUE"""),"")</f>
        <v/>
      </c>
    </row>
    <row r="813">
      <c r="A813" s="143">
        <f>IFERROR(__xludf.DUMMYFUNCTION("""COMPUTED_VALUE"""),44469.0)</f>
        <v>44469</v>
      </c>
      <c r="B813">
        <f>IFERROR(__xludf.DUMMYFUNCTION("""COMPUTED_VALUE"""),1079988.0)</f>
        <v>1079988</v>
      </c>
      <c r="C813" t="str">
        <f>IFERROR(__xludf.DUMMYFUNCTION("""COMPUTED_VALUE"""),"es")</f>
        <v>es</v>
      </c>
      <c r="D813" t="str">
        <f>IFERROR(__xludf.DUMMYFUNCTION("""COMPUTED_VALUE"""),"Crea Tu EMBUDO DE VENTAS Paso a Paso Y VENDE Por Internet")</f>
        <v>Crea Tu EMBUDO DE VENTAS Paso a Paso Y VENDE Por Internet</v>
      </c>
      <c r="E813" t="str">
        <f>IFERROR(__xludf.DUMMYFUNCTION("""COMPUTED_VALUE"""),"Create your sales funnel step by step and sell online")</f>
        <v>Create your sales funnel step by step and sell online</v>
      </c>
      <c r="F813">
        <f>IFERROR(__xludf.DUMMYFUNCTION("""COMPUTED_VALUE"""),2.4645152E7)</f>
        <v>24645152</v>
      </c>
      <c r="G813" t="str">
        <f>IFERROR(__xludf.DUMMYFUNCTION("""COMPUTED_VALUE"""),"Ivan Rojas")</f>
        <v>Ivan Rojas</v>
      </c>
      <c r="H813" t="str">
        <f>IFERROR(__xludf.DUMMYFUNCTION("""COMPUTED_VALUE"""),"Instructor Request- Opted Out")</f>
        <v>Instructor Request- Opted Out</v>
      </c>
      <c r="I813" t="str">
        <f>IFERROR(__xludf.DUMMYFUNCTION("""COMPUTED_VALUE"""),"Marketing")</f>
        <v>Marketing</v>
      </c>
      <c r="J813" t="str">
        <f>IFERROR(__xludf.DUMMYFUNCTION("""COMPUTED_VALUE"""),"Digital Marketing")</f>
        <v>Digital Marketing</v>
      </c>
      <c r="K813" s="140">
        <f>IFERROR(__xludf.DUMMYFUNCTION("""COMPUTED_VALUE"""),1316648.0)</f>
        <v>1316648</v>
      </c>
      <c r="L813" s="140" t="str">
        <f>IFERROR(__xludf.DUMMYFUNCTION("""COMPUTED_VALUE"""),"Landing Pages y Embudos de Venta - Actualizado 2021")</f>
        <v>Landing Pages y Embudos de Venta - Actualizado 2021</v>
      </c>
      <c r="N813" s="140" t="str">
        <f>IFERROR(__xludf.DUMMYFUNCTION("""COMPUTED_VALUE"""),"")</f>
        <v/>
      </c>
    </row>
    <row r="814">
      <c r="A814" s="143">
        <f>IFERROR(__xludf.DUMMYFUNCTION("""COMPUTED_VALUE"""),44469.0)</f>
        <v>44469</v>
      </c>
      <c r="B814">
        <f>IFERROR(__xludf.DUMMYFUNCTION("""COMPUTED_VALUE"""),2004612.0)</f>
        <v>2004612</v>
      </c>
      <c r="C814" t="str">
        <f>IFERROR(__xludf.DUMMYFUNCTION("""COMPUTED_VALUE"""),"fr")</f>
        <v>fr</v>
      </c>
      <c r="D814" t="str">
        <f>IFERROR(__xludf.DUMMYFUNCTION("""COMPUTED_VALUE"""),"Adobe Premiere Pro CC | Initiation | Outils + Ateliers créas")</f>
        <v>Adobe Premiere Pro CC | Initiation | Outils + Ateliers créas</v>
      </c>
      <c r="E814" t="str">
        <f>IFERROR(__xludf.DUMMYFUNCTION("""COMPUTED_VALUE"""),"Adobe Premiere Pro CC | Initiation | Tools + Créas Workshops")</f>
        <v>Adobe Premiere Pro CC | Initiation | Tools + Créas Workshops</v>
      </c>
      <c r="F814">
        <f>IFERROR(__xludf.DUMMYFUNCTION("""COMPUTED_VALUE"""),4.3401688E7)</f>
        <v>43401688</v>
      </c>
      <c r="G814" t="str">
        <f>IFERROR(__xludf.DUMMYFUNCTION("""COMPUTED_VALUE"""),"ROMAIN DUCLOS")</f>
        <v>ROMAIN DUCLOS</v>
      </c>
      <c r="H814" t="str">
        <f>IFERROR(__xludf.DUMMYFUNCTION("""COMPUTED_VALUE"""),"Low Rating")</f>
        <v>Low Rating</v>
      </c>
      <c r="I814" t="str">
        <f>IFERROR(__xludf.DUMMYFUNCTION("""COMPUTED_VALUE"""),"Design")</f>
        <v>Design</v>
      </c>
      <c r="J814" t="str">
        <f>IFERROR(__xludf.DUMMYFUNCTION("""COMPUTED_VALUE"""),"Design Tools")</f>
        <v>Design Tools</v>
      </c>
      <c r="K814" s="140">
        <f>IFERROR(__xludf.DUMMYFUNCTION("""COMPUTED_VALUE"""),1348478.0)</f>
        <v>1348478</v>
      </c>
      <c r="L814" s="140" t="str">
        <f>IFERROR(__xludf.DUMMYFUNCTION("""COMPUTED_VALUE"""),"Maîtriser le montage Vidéo avec Adobe Première CC")</f>
        <v>Maîtriser le montage Vidéo avec Adobe Première CC</v>
      </c>
    </row>
    <row r="815">
      <c r="A815" s="143">
        <f>IFERROR(__xludf.DUMMYFUNCTION("""COMPUTED_VALUE"""),44469.0)</f>
        <v>44469</v>
      </c>
      <c r="B815">
        <f>IFERROR(__xludf.DUMMYFUNCTION("""COMPUTED_VALUE"""),2551675.0)</f>
        <v>2551675</v>
      </c>
      <c r="C815" t="str">
        <f>IFERROR(__xludf.DUMMYFUNCTION("""COMPUTED_VALUE"""),"fr")</f>
        <v>fr</v>
      </c>
      <c r="D815" t="str">
        <f>IFERROR(__xludf.DUMMYFUNCTION("""COMPUTED_VALUE"""),"Augmentez le ROI de vos actions avec le Marketing Analytique")</f>
        <v>Augmentez le ROI de vos actions avec le Marketing Analytique</v>
      </c>
      <c r="E815" t="str">
        <f>IFERROR(__xludf.DUMMYFUNCTION("""COMPUTED_VALUE"""),"Increase the king of your actions with analytical marketing")</f>
        <v>Increase the king of your actions with analytical marketing</v>
      </c>
      <c r="F815">
        <f>IFERROR(__xludf.DUMMYFUNCTION("""COMPUTED_VALUE"""),5.4595286E7)</f>
        <v>54595286</v>
      </c>
      <c r="G815" t="str">
        <f>IFERROR(__xludf.DUMMYFUNCTION("""COMPUTED_VALUE"""),"Frederic Schauffler")</f>
        <v>Frederic Schauffler</v>
      </c>
      <c r="H815" t="str">
        <f>IFERROR(__xludf.DUMMYFUNCTION("""COMPUTED_VALUE"""),"3 Flags")</f>
        <v>3 Flags</v>
      </c>
      <c r="I815" t="str">
        <f>IFERROR(__xludf.DUMMYFUNCTION("""COMPUTED_VALUE"""),"Marketing")</f>
        <v>Marketing</v>
      </c>
      <c r="J815" t="str">
        <f>IFERROR(__xludf.DUMMYFUNCTION("""COMPUTED_VALUE"""),"Marketing Analytics &amp; Automation")</f>
        <v>Marketing Analytics &amp; Automation</v>
      </c>
      <c r="L815" s="140" t="str">
        <f>IFERROR(__xludf.DUMMYFUNCTION("""COMPUTED_VALUE"""),"")</f>
        <v/>
      </c>
    </row>
    <row r="816">
      <c r="A816" s="143">
        <f>IFERROR(__xludf.DUMMYFUNCTION("""COMPUTED_VALUE"""),44469.0)</f>
        <v>44469</v>
      </c>
      <c r="B816">
        <f>IFERROR(__xludf.DUMMYFUNCTION("""COMPUTED_VALUE"""),1358625.0)</f>
        <v>1358625</v>
      </c>
      <c r="C816" t="str">
        <f>IFERROR(__xludf.DUMMYFUNCTION("""COMPUTED_VALUE"""),"ja")</f>
        <v>ja</v>
      </c>
      <c r="D816" t="str">
        <f>IFERROR(__xludf.DUMMYFUNCTION("""COMPUTED_VALUE"""),"【 TensorFlow・Python3 で学ぶ】深層強化学習入門")</f>
        <v>【 TensorFlow・Python3 で学ぶ】深層強化学習入門</v>
      </c>
      <c r="E816" t="str">
        <f>IFERROR(__xludf.DUMMYFUNCTION("""COMPUTED_VALUE"""),"【Learning with Tensorflow · Python3】 Introduction to deep reinforcement learning")</f>
        <v>【Learning with Tensorflow · Python3】 Introduction to deep reinforcement learning</v>
      </c>
      <c r="F816">
        <f>IFERROR(__xludf.DUMMYFUNCTION("""COMPUTED_VALUE"""),654126.0)</f>
        <v>654126</v>
      </c>
      <c r="G816" t="str">
        <f>IFERROR(__xludf.DUMMYFUNCTION("""COMPUTED_VALUE"""),"井上 博樹 (Hiroki Inoue)")</f>
        <v>井上 博樹 (Hiroki Inoue)</v>
      </c>
      <c r="H816" t="str">
        <f>IFERROR(__xludf.DUMMYFUNCTION("""COMPUTED_VALUE"""),"3 Flags")</f>
        <v>3 Flags</v>
      </c>
      <c r="I816" t="str">
        <f>IFERROR(__xludf.DUMMYFUNCTION("""COMPUTED_VALUE"""),"Data Science")</f>
        <v>Data Science</v>
      </c>
      <c r="J816" t="str">
        <f>IFERROR(__xludf.DUMMYFUNCTION("""COMPUTED_VALUE"""),"Machine Learning")</f>
        <v>Machine Learning</v>
      </c>
      <c r="K816" s="140">
        <f>IFERROR(__xludf.DUMMYFUNCTION("""COMPUTED_VALUE"""),1475808.0)</f>
        <v>1475808</v>
      </c>
      <c r="L816" s="140" t="str">
        <f>IFERROR(__xludf.DUMMYFUNCTION("""COMPUTED_VALUE"""),"【画像判定AIアプリ開発・パート1】TensorFlow・Python・Flaskで作る画像判定AIアプリ開発入門")</f>
        <v>【画像判定AIアプリ開発・パート1】TensorFlow・Python・Flaskで作る画像判定AIアプリ開発入門</v>
      </c>
    </row>
    <row r="817">
      <c r="A817" s="143">
        <f>IFERROR(__xludf.DUMMYFUNCTION("""COMPUTED_VALUE"""),44469.0)</f>
        <v>44469</v>
      </c>
      <c r="B817">
        <f>IFERROR(__xludf.DUMMYFUNCTION("""COMPUTED_VALUE"""),1210800.0)</f>
        <v>1210800</v>
      </c>
      <c r="C817" t="str">
        <f>IFERROR(__xludf.DUMMYFUNCTION("""COMPUTED_VALUE"""),"pt")</f>
        <v>pt</v>
      </c>
      <c r="D817" t="str">
        <f>IFERROR(__xludf.DUMMYFUNCTION("""COMPUTED_VALUE"""),"Cronoanálise aplicada em BPM e Lean Thinking")</f>
        <v>Cronoanálise aplicada em BPM e Lean Thinking</v>
      </c>
      <c r="E817" t="str">
        <f>IFERROR(__xludf.DUMMYFUNCTION("""COMPUTED_VALUE"""),"Cronoanalysis applied in BPM and Lean Thinking")</f>
        <v>Cronoanalysis applied in BPM and Lean Thinking</v>
      </c>
      <c r="F817">
        <f>IFERROR(__xludf.DUMMYFUNCTION("""COMPUTED_VALUE"""),3.1941722E7)</f>
        <v>31941722</v>
      </c>
      <c r="G817" t="str">
        <f>IFERROR(__xludf.DUMMYFUNCTION("""COMPUTED_VALUE"""),"Luís Carlos Krupp")</f>
        <v>Luís Carlos Krupp</v>
      </c>
      <c r="H817" t="str">
        <f>IFERROR(__xludf.DUMMYFUNCTION("""COMPUTED_VALUE"""),"Instructor Request- Opted Out")</f>
        <v>Instructor Request- Opted Out</v>
      </c>
      <c r="I817" t="str">
        <f>IFERROR(__xludf.DUMMYFUNCTION("""COMPUTED_VALUE"""),"Project Management &amp; Operations")</f>
        <v>Project Management &amp; Operations</v>
      </c>
      <c r="J817" t="str">
        <f>IFERROR(__xludf.DUMMYFUNCTION("""COMPUTED_VALUE"""),"Operations Management")</f>
        <v>Operations Management</v>
      </c>
      <c r="L817" s="140" t="str">
        <f>IFERROR(__xludf.DUMMYFUNCTION("""COMPUTED_VALUE"""),"")</f>
        <v/>
      </c>
      <c r="N817" s="140" t="str">
        <f>IFERROR(__xludf.DUMMYFUNCTION("""COMPUTED_VALUE"""),"")</f>
        <v/>
      </c>
    </row>
    <row r="818">
      <c r="A818" s="143">
        <f>IFERROR(__xludf.DUMMYFUNCTION("""COMPUTED_VALUE"""),44469.0)</f>
        <v>44469</v>
      </c>
      <c r="B818">
        <f>IFERROR(__xludf.DUMMYFUNCTION("""COMPUTED_VALUE"""),2041290.0)</f>
        <v>2041290</v>
      </c>
      <c r="C818" t="str">
        <f>IFERROR(__xludf.DUMMYFUNCTION("""COMPUTED_VALUE"""),"pt")</f>
        <v>pt</v>
      </c>
      <c r="D818" t="str">
        <f>IFERROR(__xludf.DUMMYFUNCTION("""COMPUTED_VALUE"""),"UI Design: Design de Interfaces com foco em Projetos Web")</f>
        <v>UI Design: Design de Interfaces com foco em Projetos Web</v>
      </c>
      <c r="E818" t="str">
        <f>IFERROR(__xludf.DUMMYFUNCTION("""COMPUTED_VALUE"""),"Ui Design: Design of Interfaces with Focus on Web Projects")</f>
        <v>Ui Design: Design of Interfaces with Focus on Web Projects</v>
      </c>
      <c r="F818">
        <f>IFERROR(__xludf.DUMMYFUNCTION("""COMPUTED_VALUE"""),2.4164428E7)</f>
        <v>24164428</v>
      </c>
      <c r="G818" t="str">
        <f>IFERROR(__xludf.DUMMYFUNCTION("""COMPUTED_VALUE"""),"Lucas Assis")</f>
        <v>Lucas Assis</v>
      </c>
      <c r="H818" t="str">
        <f>IFERROR(__xludf.DUMMYFUNCTION("""COMPUTED_VALUE"""),"Instructor Request- Opted Out")</f>
        <v>Instructor Request- Opted Out</v>
      </c>
      <c r="I818" t="str">
        <f>IFERROR(__xludf.DUMMYFUNCTION("""COMPUTED_VALUE"""),"Design")</f>
        <v>Design</v>
      </c>
      <c r="J818" t="str">
        <f>IFERROR(__xludf.DUMMYFUNCTION("""COMPUTED_VALUE"""),"Web Design")</f>
        <v>Web Design</v>
      </c>
      <c r="K818" s="140">
        <f>IFERROR(__xludf.DUMMYFUNCTION("""COMPUTED_VALUE"""),1902952.0)</f>
        <v>1902952</v>
      </c>
      <c r="L818" s="140" t="str">
        <f>IFERROR(__xludf.DUMMYFUNCTION("""COMPUTED_VALUE"""),"Sketch: UI Design do básico aos protótipos responsivos")</f>
        <v>Sketch: UI Design do básico aos protótipos responsivos</v>
      </c>
      <c r="N818" s="140" t="str">
        <f>IFERROR(__xludf.DUMMYFUNCTION("""COMPUTED_VALUE"""),"")</f>
        <v/>
      </c>
    </row>
    <row r="819">
      <c r="A819" s="143">
        <f>IFERROR(__xludf.DUMMYFUNCTION("""COMPUTED_VALUE"""),44469.0)</f>
        <v>44469</v>
      </c>
      <c r="B819">
        <f>IFERROR(__xludf.DUMMYFUNCTION("""COMPUTED_VALUE"""),1628192.0)</f>
        <v>1628192</v>
      </c>
      <c r="C819" t="str">
        <f>IFERROR(__xludf.DUMMYFUNCTION("""COMPUTED_VALUE"""),"pt")</f>
        <v>pt</v>
      </c>
      <c r="D819" t="str">
        <f>IFERROR(__xludf.DUMMYFUNCTION("""COMPUTED_VALUE"""),"Curso Básico de Francês - Curso completo para iniciantes")</f>
        <v>Curso Básico de Francês - Curso completo para iniciantes</v>
      </c>
      <c r="E819" t="str">
        <f>IFERROR(__xludf.DUMMYFUNCTION("""COMPUTED_VALUE"""),"Basic French course - Full course for beginners")</f>
        <v>Basic French course - Full course for beginners</v>
      </c>
      <c r="F819">
        <f>IFERROR(__xludf.DUMMYFUNCTION("""COMPUTED_VALUE"""),1.726943E7)</f>
        <v>17269430</v>
      </c>
      <c r="G819" t="str">
        <f>IFERROR(__xludf.DUMMYFUNCTION("""COMPUTED_VALUE"""),"Caio Cahone")</f>
        <v>Caio Cahone</v>
      </c>
      <c r="H819" t="str">
        <f>IFERROR(__xludf.DUMMYFUNCTION("""COMPUTED_VALUE"""),"3 Flags")</f>
        <v>3 Flags</v>
      </c>
      <c r="I819" t="str">
        <f>IFERROR(__xludf.DUMMYFUNCTION("""COMPUTED_VALUE"""),"Personal Development")</f>
        <v>Personal Development</v>
      </c>
      <c r="J819" t="str">
        <f>IFERROR(__xludf.DUMMYFUNCTION("""COMPUTED_VALUE"""),"Language Learning")</f>
        <v>Language Learning</v>
      </c>
      <c r="K819" s="140">
        <f>IFERROR(__xludf.DUMMYFUNCTION("""COMPUTED_VALUE"""),2017662.0)</f>
        <v>2017662</v>
      </c>
      <c r="L819" s="140" t="str">
        <f>IFERROR(__xludf.DUMMYFUNCTION("""COMPUTED_VALUE"""),"Curso básico francês em francês 1: aprenda com aulas online")</f>
        <v>Curso básico francês em francês 1: aprenda com aulas online</v>
      </c>
      <c r="N819" s="140" t="str">
        <f>IFERROR(__xludf.DUMMYFUNCTION("""COMPUTED_VALUE"""),"")</f>
        <v/>
      </c>
    </row>
    <row r="820">
      <c r="A820" s="143">
        <f>IFERROR(__xludf.DUMMYFUNCTION("""COMPUTED_VALUE"""),44469.0)</f>
        <v>44469</v>
      </c>
      <c r="B820">
        <f>IFERROR(__xludf.DUMMYFUNCTION("""COMPUTED_VALUE"""),2522724.0)</f>
        <v>2522724</v>
      </c>
      <c r="C820" t="str">
        <f>IFERROR(__xludf.DUMMYFUNCTION("""COMPUTED_VALUE"""),"pt")</f>
        <v>pt</v>
      </c>
      <c r="D820" t="str">
        <f>IFERROR(__xludf.DUMMYFUNCTION("""COMPUTED_VALUE"""),"Copywriting Expert | Torne-se um Mestre das Vendas")</f>
        <v>Copywriting Expert | Torne-se um Mestre das Vendas</v>
      </c>
      <c r="E820" t="str">
        <f>IFERROR(__xludf.DUMMYFUNCTION("""COMPUTED_VALUE"""),"CopyWriting Expert | Become a Sales Master")</f>
        <v>CopyWriting Expert | Become a Sales Master</v>
      </c>
      <c r="F820">
        <f>IFERROR(__xludf.DUMMYFUNCTION("""COMPUTED_VALUE"""),5.9546511E7)</f>
        <v>59546511</v>
      </c>
      <c r="G820" t="str">
        <f>IFERROR(__xludf.DUMMYFUNCTION("""COMPUTED_VALUE"""),"Rafael Mota")</f>
        <v>Rafael Mota</v>
      </c>
      <c r="H820" t="str">
        <f>IFERROR(__xludf.DUMMYFUNCTION("""COMPUTED_VALUE"""),"3 Flags")</f>
        <v>3 Flags</v>
      </c>
      <c r="I820" t="str">
        <f>IFERROR(__xludf.DUMMYFUNCTION("""COMPUTED_VALUE"""),"Marketing")</f>
        <v>Marketing</v>
      </c>
      <c r="J820" t="str">
        <f>IFERROR(__xludf.DUMMYFUNCTION("""COMPUTED_VALUE"""),"Content Marketing")</f>
        <v>Content Marketing</v>
      </c>
      <c r="K820" s="140">
        <f>IFERROR(__xludf.DUMMYFUNCTION("""COMPUTED_VALUE"""),2739146.0)</f>
        <v>2739146</v>
      </c>
      <c r="L820" s="140" t="str">
        <f>IFERROR(__xludf.DUMMYFUNCTION("""COMPUTED_VALUE"""),"Copywriting: As 7 fórmulas atemporais para cartas de vendas.")</f>
        <v>Copywriting: As 7 fórmulas atemporais para cartas de vendas.</v>
      </c>
      <c r="N820" s="140" t="str">
        <f>IFERROR(__xludf.DUMMYFUNCTION("""COMPUTED_VALUE"""),"")</f>
        <v/>
      </c>
    </row>
    <row r="821">
      <c r="A821" s="143">
        <f>IFERROR(__xludf.DUMMYFUNCTION("""COMPUTED_VALUE"""),44469.0)</f>
        <v>44469</v>
      </c>
      <c r="B821">
        <f>IFERROR(__xludf.DUMMYFUNCTION("""COMPUTED_VALUE"""),2700756.0)</f>
        <v>2700756</v>
      </c>
      <c r="C821" t="str">
        <f>IFERROR(__xludf.DUMMYFUNCTION("""COMPUTED_VALUE"""),"pt")</f>
        <v>pt</v>
      </c>
      <c r="D821" t="str">
        <f>IFERROR(__xludf.DUMMYFUNCTION("""COMPUTED_VALUE"""),"Pentest para Iniciantes")</f>
        <v>Pentest para Iniciantes</v>
      </c>
      <c r="E821" t="str">
        <f>IFERROR(__xludf.DUMMYFUNCTION("""COMPUTED_VALUE"""),"Pentest for beginners")</f>
        <v>Pentest for beginners</v>
      </c>
      <c r="F821">
        <f>IFERROR(__xludf.DUMMYFUNCTION("""COMPUTED_VALUE"""),7.335681E7)</f>
        <v>73356810</v>
      </c>
      <c r="G821" t="str">
        <f>IFERROR(__xludf.DUMMYFUNCTION("""COMPUTED_VALUE"""),"Bruno Dias")</f>
        <v>Bruno Dias</v>
      </c>
      <c r="H821" t="str">
        <f>IFERROR(__xludf.DUMMYFUNCTION("""COMPUTED_VALUE"""),"3 Flags")</f>
        <v>3 Flags</v>
      </c>
      <c r="I821" t="str">
        <f>IFERROR(__xludf.DUMMYFUNCTION("""COMPUTED_VALUE"""),"IT Operations")</f>
        <v>IT Operations</v>
      </c>
      <c r="J821" t="str">
        <f>IFERROR(__xludf.DUMMYFUNCTION("""COMPUTED_VALUE"""),"Network &amp; Security")</f>
        <v>Network &amp; Security</v>
      </c>
      <c r="K821" s="140">
        <f>IFERROR(__xludf.DUMMYFUNCTION("""COMPUTED_VALUE"""),1606472.0)</f>
        <v>1606472</v>
      </c>
      <c r="L821" s="140" t="str">
        <f>IFERROR(__xludf.DUMMYFUNCTION("""COMPUTED_VALUE"""),"Web Hacking - Técnicas de Invasão em Ambientes Web [Pentest]")</f>
        <v>Web Hacking - Técnicas de Invasão em Ambientes Web [Pentest]</v>
      </c>
      <c r="N821" s="140" t="str">
        <f>IFERROR(__xludf.DUMMYFUNCTION("""COMPUTED_VALUE"""),"")</f>
        <v/>
      </c>
    </row>
    <row r="822">
      <c r="A822" s="143">
        <f>IFERROR(__xludf.DUMMYFUNCTION("""COMPUTED_VALUE"""),44468.0)</f>
        <v>44468</v>
      </c>
      <c r="B822">
        <f>IFERROR(__xludf.DUMMYFUNCTION("""COMPUTED_VALUE"""),3597800.0)</f>
        <v>3597800</v>
      </c>
      <c r="C822" t="str">
        <f>IFERROR(__xludf.DUMMYFUNCTION("""COMPUTED_VALUE"""),"ar")</f>
        <v>ar</v>
      </c>
      <c r="D822" t="str">
        <f>IFERROR(__xludf.DUMMYFUNCTION("""COMPUTED_VALUE"""),"استخدام بايثون في الشبكات و الامن السيبراني")</f>
        <v>استخدام بايثون في الشبكات و الامن السيبراني</v>
      </c>
      <c r="E822" t="str">
        <f>IFERROR(__xludf.DUMMYFUNCTION("""COMPUTED_VALUE"""),"Use Python in the networks and security")</f>
        <v>Use Python in the networks and security</v>
      </c>
      <c r="H822" t="str">
        <f>IFERROR(__xludf.DUMMYFUNCTION("""COMPUTED_VALUE"""),"Low Rating")</f>
        <v>Low Rating</v>
      </c>
      <c r="I822" t="str">
        <f>IFERROR(__xludf.DUMMYFUNCTION("""COMPUTED_VALUE"""),"IT Operations")</f>
        <v>IT Operations</v>
      </c>
      <c r="J822" t="str">
        <f>IFERROR(__xludf.DUMMYFUNCTION("""COMPUTED_VALUE"""),"Network &amp; Security")</f>
        <v>Network &amp; Security</v>
      </c>
    </row>
    <row r="823">
      <c r="A823" s="143">
        <f>IFERROR(__xludf.DUMMYFUNCTION("""COMPUTED_VALUE"""),44468.0)</f>
        <v>44468</v>
      </c>
      <c r="B823">
        <f>IFERROR(__xludf.DUMMYFUNCTION("""COMPUTED_VALUE"""),3683196.0)</f>
        <v>3683196</v>
      </c>
      <c r="C823" t="str">
        <f>IFERROR(__xludf.DUMMYFUNCTION("""COMPUTED_VALUE"""),"ar")</f>
        <v>ar</v>
      </c>
      <c r="D823" t="str">
        <f>IFERROR(__xludf.DUMMYFUNCTION("""COMPUTED_VALUE"""),"tekla structures version 2020 (steel structures)")</f>
        <v>tekla structures version 2020 (steel structures)</v>
      </c>
      <c r="E823" t="str">
        <f>IFERROR(__xludf.DUMMYFUNCTION("""COMPUTED_VALUE"""),"tekla structures version 2020 (steel structures)")</f>
        <v>tekla structures version 2020 (steel structures)</v>
      </c>
      <c r="H823" t="str">
        <f>IFERROR(__xludf.DUMMYFUNCTION("""COMPUTED_VALUE"""),"Low Rating")</f>
        <v>Low Rating</v>
      </c>
      <c r="I823" t="str">
        <f>IFERROR(__xludf.DUMMYFUNCTION("""COMPUTED_VALUE"""),"Design")</f>
        <v>Design</v>
      </c>
      <c r="J823" t="str">
        <f>IFERROR(__xludf.DUMMYFUNCTION("""COMPUTED_VALUE"""),"Design Tools")</f>
        <v>Design Tools</v>
      </c>
    </row>
    <row r="824">
      <c r="A824" s="143">
        <f>IFERROR(__xludf.DUMMYFUNCTION("""COMPUTED_VALUE"""),44468.0)</f>
        <v>44468</v>
      </c>
      <c r="B824">
        <f>IFERROR(__xludf.DUMMYFUNCTION("""COMPUTED_VALUE"""),2380976.0)</f>
        <v>2380976</v>
      </c>
      <c r="C824" t="str">
        <f>IFERROR(__xludf.DUMMYFUNCTION("""COMPUTED_VALUE"""),"ar")</f>
        <v>ar</v>
      </c>
      <c r="D824" t="str">
        <f>IFERROR(__xludf.DUMMYFUNCTION("""COMPUTED_VALUE"""),"القرصنة الأخلاقية مع كالي لينكس - الكورس الأقوى")</f>
        <v>القرصنة الأخلاقية مع كالي لينكس - الكورس الأقوى</v>
      </c>
      <c r="E824" t="str">
        <f>IFERROR(__xludf.DUMMYFUNCTION("""COMPUTED_VALUE"""),"Ethical piracy with Cali Linux - The strongest course")</f>
        <v>Ethical piracy with Cali Linux - The strongest course</v>
      </c>
      <c r="H824" t="str">
        <f>IFERROR(__xludf.DUMMYFUNCTION("""COMPUTED_VALUE"""),"Low Rating")</f>
        <v>Low Rating</v>
      </c>
      <c r="I824" t="str">
        <f>IFERROR(__xludf.DUMMYFUNCTION("""COMPUTED_VALUE"""),"IT Operations")</f>
        <v>IT Operations</v>
      </c>
      <c r="J824" t="str">
        <f>IFERROR(__xludf.DUMMYFUNCTION("""COMPUTED_VALUE"""),"Network &amp; Security")</f>
        <v>Network &amp; Security</v>
      </c>
    </row>
    <row r="825">
      <c r="A825" s="143">
        <f>IFERROR(__xludf.DUMMYFUNCTION("""COMPUTED_VALUE"""),44468.0)</f>
        <v>44468</v>
      </c>
      <c r="B825">
        <f>IFERROR(__xludf.DUMMYFUNCTION("""COMPUTED_VALUE"""),3440448.0)</f>
        <v>3440448</v>
      </c>
      <c r="C825" t="str">
        <f>IFERROR(__xludf.DUMMYFUNCTION("""COMPUTED_VALUE"""),"ar")</f>
        <v>ar</v>
      </c>
      <c r="D825" t="str">
        <f>IFERROR(__xludf.DUMMYFUNCTION("""COMPUTED_VALUE"""),"PRIMAVERA P6 (Project PLAN+UPDATE+CONTROL) Arabic بريمافيرا")</f>
        <v>PRIMAVERA P6 (Project PLAN+UPDATE+CONTROL) Arabic بريمافيرا</v>
      </c>
      <c r="E825" t="str">
        <f>IFERROR(__xludf.DUMMYFUNCTION("""COMPUTED_VALUE"""),"PRIMAVERA P6 (Project PLAN+UPDATE+CONTROL) Arabic بريمافيرا")</f>
        <v>PRIMAVERA P6 (Project PLAN+UPDATE+CONTROL) Arabic بريمافيرا</v>
      </c>
      <c r="H825" t="str">
        <f>IFERROR(__xludf.DUMMYFUNCTION("""COMPUTED_VALUE"""),"Low Rating")</f>
        <v>Low Rating</v>
      </c>
      <c r="I825" t="str">
        <f>IFERROR(__xludf.DUMMYFUNCTION("""COMPUTED_VALUE"""),"IT Operations")</f>
        <v>IT Operations</v>
      </c>
      <c r="J825" t="str">
        <f>IFERROR(__xludf.DUMMYFUNCTION("""COMPUTED_VALUE"""),"Network &amp; Security")</f>
        <v>Network &amp; Security</v>
      </c>
    </row>
    <row r="826">
      <c r="A826" s="143">
        <f>IFERROR(__xludf.DUMMYFUNCTION("""COMPUTED_VALUE"""),44468.0)</f>
        <v>44468</v>
      </c>
      <c r="B826">
        <f>IFERROR(__xludf.DUMMYFUNCTION("""COMPUTED_VALUE"""),2419484.0)</f>
        <v>2419484</v>
      </c>
      <c r="C826" t="str">
        <f>IFERROR(__xludf.DUMMYFUNCTION("""COMPUTED_VALUE"""),"ar")</f>
        <v>ar</v>
      </c>
      <c r="D826" t="str">
        <f>IFERROR(__xludf.DUMMYFUNCTION("""COMPUTED_VALUE"""),"Amazon affiliate from zero to Hero Arabic, أمازون افلييت")</f>
        <v>Amazon affiliate from zero to Hero Arabic, أمازون افلييت</v>
      </c>
      <c r="E826" t="str">
        <f>IFERROR(__xludf.DUMMYFUNCTION("""COMPUTED_VALUE"""),"Amazon Affiliate From Zero To Hero Arabic, Amazon Afliet")</f>
        <v>Amazon Affiliate From Zero To Hero Arabic, Amazon Afliet</v>
      </c>
      <c r="H826" t="str">
        <f>IFERROR(__xludf.DUMMYFUNCTION("""COMPUTED_VALUE"""),"Low Rating")</f>
        <v>Low Rating</v>
      </c>
      <c r="I826" t="str">
        <f>IFERROR(__xludf.DUMMYFUNCTION("""COMPUTED_VALUE"""),"Marketing")</f>
        <v>Marketing</v>
      </c>
      <c r="J826" t="str">
        <f>IFERROR(__xludf.DUMMYFUNCTION("""COMPUTED_VALUE"""),"Digital Marketing")</f>
        <v>Digital Marketing</v>
      </c>
    </row>
    <row r="827">
      <c r="A827" s="143">
        <f>IFERROR(__xludf.DUMMYFUNCTION("""COMPUTED_VALUE"""),44468.0)</f>
        <v>44468</v>
      </c>
      <c r="B827">
        <f>IFERROR(__xludf.DUMMYFUNCTION("""COMPUTED_VALUE"""),2996962.0)</f>
        <v>2996962</v>
      </c>
      <c r="C827" t="str">
        <f>IFERROR(__xludf.DUMMYFUNCTION("""COMPUTED_VALUE"""),"ar")</f>
        <v>ar</v>
      </c>
      <c r="D827" t="str">
        <f>IFERROR(__xludf.DUMMYFUNCTION("""COMPUTED_VALUE"""),"Autodesk Revit Structure 2020 - Arabic")</f>
        <v>Autodesk Revit Structure 2020 - Arabic</v>
      </c>
      <c r="E827" t="str">
        <f>IFERROR(__xludf.DUMMYFUNCTION("""COMPUTED_VALUE"""),"Autodesk Revit Structure 2020 - Arabic")</f>
        <v>Autodesk Revit Structure 2020 - Arabic</v>
      </c>
      <c r="H827" t="str">
        <f>IFERROR(__xludf.DUMMYFUNCTION("""COMPUTED_VALUE"""),"Low Rating")</f>
        <v>Low Rating</v>
      </c>
      <c r="I827" t="str">
        <f>IFERROR(__xludf.DUMMYFUNCTION("""COMPUTED_VALUE"""),"Design")</f>
        <v>Design</v>
      </c>
      <c r="J827" t="str">
        <f>IFERROR(__xludf.DUMMYFUNCTION("""COMPUTED_VALUE"""),"Design Tools")</f>
        <v>Design Tools</v>
      </c>
    </row>
    <row r="828">
      <c r="A828" s="143">
        <f>IFERROR(__xludf.DUMMYFUNCTION("""COMPUTED_VALUE"""),44500.0)</f>
        <v>44500</v>
      </c>
      <c r="B828">
        <f>IFERROR(__xludf.DUMMYFUNCTION("""COMPUTED_VALUE"""),274816.0)</f>
        <v>274816</v>
      </c>
      <c r="C828" s="141" t="str">
        <f>IFERROR(__xludf.DUMMYFUNCTION("""COMPUTED_VALUE"""),"en")</f>
        <v>en</v>
      </c>
      <c r="D828" t="str">
        <f>IFERROR(__xludf.DUMMYFUNCTION("""COMPUTED_VALUE"""),"Conscious Business Module 1: True Success by Being Yourself")</f>
        <v>Conscious Business Module 1: True Success by Being Yourself</v>
      </c>
      <c r="E828" t="str">
        <f>IFERROR(__xludf.DUMMYFUNCTION("""COMPUTED_VALUE"""),"Conscious Business Module 1: True Success by Being Yourself")</f>
        <v>Conscious Business Module 1: True Success by Being Yourself</v>
      </c>
      <c r="F828">
        <f>IFERROR(__xludf.DUMMYFUNCTION("""COMPUTED_VALUE"""),4593024.0)</f>
        <v>4593024</v>
      </c>
      <c r="G828" t="str">
        <f>IFERROR(__xludf.DUMMYFUNCTION("""COMPUTED_VALUE"""),"Conscious Business Institute - Peter Matthies")</f>
        <v>Conscious Business Institute - Peter Matthies</v>
      </c>
      <c r="H828" t="str">
        <f>IFERROR(__xludf.DUMMYFUNCTION("""COMPUTED_VALUE"""),"Inappropriate Content")</f>
        <v>Inappropriate Content</v>
      </c>
      <c r="I828" t="str">
        <f>IFERROR(__xludf.DUMMYFUNCTION("""COMPUTED_VALUE"""),"Leadership &amp; Management")</f>
        <v>Leadership &amp; Management</v>
      </c>
      <c r="J828" t="str">
        <f>IFERROR(__xludf.DUMMYFUNCTION("""COMPUTED_VALUE"""),"Leadership")</f>
        <v>Leadership</v>
      </c>
      <c r="K828" s="140">
        <f>IFERROR(__xludf.DUMMYFUNCTION("""COMPUTED_VALUE"""),673574.0)</f>
        <v>673574</v>
      </c>
      <c r="L828" s="140" t="str">
        <f>IFERROR(__xludf.DUMMYFUNCTION("""COMPUTED_VALUE"""),"Conscious Business: Building Collaborative &amp; Engaged Teams")</f>
        <v>Conscious Business: Building Collaborative &amp; Engaged Teams</v>
      </c>
      <c r="M828" s="140">
        <f>IFERROR(__xludf.DUMMYFUNCTION("""COMPUTED_VALUE"""),672754.0)</f>
        <v>672754</v>
      </c>
      <c r="N828" s="140" t="str">
        <f>IFERROR(__xludf.DUMMYFUNCTION("""COMPUTED_VALUE"""),"Conscious Business: Building Empowered Relationships")</f>
        <v>Conscious Business: Building Empowered Relationships</v>
      </c>
    </row>
    <row r="829">
      <c r="A829" s="143">
        <f>IFERROR(__xludf.DUMMYFUNCTION("""COMPUTED_VALUE"""),44500.0)</f>
        <v>44500</v>
      </c>
      <c r="B829">
        <f>IFERROR(__xludf.DUMMYFUNCTION("""COMPUTED_VALUE"""),949868.0)</f>
        <v>949868</v>
      </c>
      <c r="C829" s="141" t="str">
        <f>IFERROR(__xludf.DUMMYFUNCTION("""COMPUTED_VALUE"""),"es")</f>
        <v>es</v>
      </c>
      <c r="D829" t="str">
        <f>IFERROR(__xludf.DUMMYFUNCTION("""COMPUTED_VALUE"""),"Creando Tienda Online con Wordpress y WooCommerce desde cero")</f>
        <v>Creando Tienda Online con Wordpress y WooCommerce desde cero</v>
      </c>
      <c r="E829" t="str">
        <f>IFERROR(__xludf.DUMMYFUNCTION("""COMPUTED_VALUE"""),"Creating online store with WordPress and WooCommerce from scratch")</f>
        <v>Creating online store with WordPress and WooCommerce from scratch</v>
      </c>
      <c r="F829">
        <f>IFERROR(__xludf.DUMMYFUNCTION("""COMPUTED_VALUE"""),1.5318032E7)</f>
        <v>15318032</v>
      </c>
      <c r="G829" t="str">
        <f>IFERROR(__xludf.DUMMYFUNCTION("""COMPUTED_VALUE"""),"Gilbert Rodríguez")</f>
        <v>Gilbert Rodríguez</v>
      </c>
      <c r="H829" t="str">
        <f>IFERROR(__xludf.DUMMYFUNCTION("""COMPUTED_VALUE"""),"3 Flags")</f>
        <v>3 Flags</v>
      </c>
      <c r="I829" t="str">
        <f>IFERROR(__xludf.DUMMYFUNCTION("""COMPUTED_VALUE"""),"Development")</f>
        <v>Development</v>
      </c>
      <c r="J829" t="str">
        <f>IFERROR(__xludf.DUMMYFUNCTION("""COMPUTED_VALUE"""),"Web Development")</f>
        <v>Web Development</v>
      </c>
      <c r="K829" s="140">
        <f>IFERROR(__xludf.DUMMYFUNCTION("""COMPUTED_VALUE"""),1237204.0)</f>
        <v>1237204</v>
      </c>
      <c r="L829" s="140" t="str">
        <f>IFERROR(__xludf.DUMMYFUNCTION("""COMPUTED_VALUE"""),"Desarrollo de Tiendas Virtuales con WordPress y WooCommerce")</f>
        <v>Desarrollo de Tiendas Virtuales con WordPress y WooCommerce</v>
      </c>
      <c r="M829" s="140">
        <f>IFERROR(__xludf.DUMMYFUNCTION("""COMPUTED_VALUE"""),2201832.0)</f>
        <v>2201832</v>
      </c>
      <c r="N829" s="140" t="str">
        <f>IFERROR(__xludf.DUMMYFUNCTION("""COMPUTED_VALUE"""),"Creación de Tiendas Online: Fácil, Completo y desde Cero")</f>
        <v>Creación de Tiendas Online: Fácil, Completo y desde Cero</v>
      </c>
    </row>
    <row r="830">
      <c r="A830" s="143">
        <f>IFERROR(__xludf.DUMMYFUNCTION("""COMPUTED_VALUE"""),44500.0)</f>
        <v>44500</v>
      </c>
      <c r="B830">
        <f>IFERROR(__xludf.DUMMYFUNCTION("""COMPUTED_VALUE"""),2966136.0)</f>
        <v>2966136</v>
      </c>
      <c r="C830" s="141" t="str">
        <f>IFERROR(__xludf.DUMMYFUNCTION("""COMPUTED_VALUE"""),"pt")</f>
        <v>pt</v>
      </c>
      <c r="D830" t="str">
        <f>IFERROR(__xludf.DUMMYFUNCTION("""COMPUTED_VALUE"""),"Curso de Negociação e Vendas + PNL - Aprenda na prática!")</f>
        <v>Curso de Negociação e Vendas + PNL - Aprenda na prática!</v>
      </c>
      <c r="E830" t="str">
        <f>IFERROR(__xludf.DUMMYFUNCTION("""COMPUTED_VALUE"""),"Trading and Sales + NLP - Learn in practice!")</f>
        <v>Trading and Sales + NLP - Learn in practice!</v>
      </c>
      <c r="F830">
        <f>IFERROR(__xludf.DUMMYFUNCTION("""COMPUTED_VALUE"""),1.10489038E8)</f>
        <v>110489038</v>
      </c>
      <c r="G830" t="str">
        <f>IFERROR(__xludf.DUMMYFUNCTION("""COMPUTED_VALUE"""),"Antonio Carlos Cardoso")</f>
        <v>Antonio Carlos Cardoso</v>
      </c>
      <c r="H830" t="str">
        <f>IFERROR(__xludf.DUMMYFUNCTION("""COMPUTED_VALUE"""),"Instructor Request- Opted Out")</f>
        <v>Instructor Request- Opted Out</v>
      </c>
      <c r="I830" t="str">
        <f>IFERROR(__xludf.DUMMYFUNCTION("""COMPUTED_VALUE"""),"Sales")</f>
        <v>Sales</v>
      </c>
      <c r="J830" t="str">
        <f>IFERROR(__xludf.DUMMYFUNCTION("""COMPUTED_VALUE"""),"Sales Skills &amp; Tools")</f>
        <v>Sales Skills &amp; Tools</v>
      </c>
      <c r="K830" s="140">
        <f>IFERROR(__xludf.DUMMYFUNCTION("""COMPUTED_VALUE"""),3412302.0)</f>
        <v>3412302</v>
      </c>
      <c r="L830" s="140" t="str">
        <f>IFERROR(__xludf.DUMMYFUNCTION("""COMPUTED_VALUE"""),"Vendas de Serviços de Alto Valor")</f>
        <v>Vendas de Serviços de Alto Valor</v>
      </c>
      <c r="N830" s="140" t="str">
        <f>IFERROR(__xludf.DUMMYFUNCTION("""COMPUTED_VALUE"""),"")</f>
        <v/>
      </c>
    </row>
    <row r="831">
      <c r="A831" s="143">
        <f>IFERROR(__xludf.DUMMYFUNCTION("""COMPUTED_VALUE"""),44500.0)</f>
        <v>44500</v>
      </c>
      <c r="B831">
        <f>IFERROR(__xludf.DUMMYFUNCTION("""COMPUTED_VALUE"""),864768.0)</f>
        <v>864768</v>
      </c>
      <c r="C831" s="141" t="str">
        <f>IFERROR(__xludf.DUMMYFUNCTION("""COMPUTED_VALUE"""),"pt")</f>
        <v>pt</v>
      </c>
      <c r="D831" t="str">
        <f>IFERROR(__xludf.DUMMYFUNCTION("""COMPUTED_VALUE"""),"Administração do Tempo")</f>
        <v>Administração do Tempo</v>
      </c>
      <c r="E831" t="str">
        <f>IFERROR(__xludf.DUMMYFUNCTION("""COMPUTED_VALUE"""),"Time management")</f>
        <v>Time management</v>
      </c>
      <c r="F831">
        <f>IFERROR(__xludf.DUMMYFUNCTION("""COMPUTED_VALUE"""),1.7677778E7)</f>
        <v>17677778</v>
      </c>
      <c r="G831" t="str">
        <f>IFERROR(__xludf.DUMMYFUNCTION("""COMPUTED_VALUE"""),"Universidade Estácio")</f>
        <v>Universidade Estácio</v>
      </c>
      <c r="H831" t="str">
        <f>IFERROR(__xludf.DUMMYFUNCTION("""COMPUTED_VALUE"""),"Instructor Request- Opted Out")</f>
        <v>Instructor Request- Opted Out</v>
      </c>
      <c r="I831" t="str">
        <f>IFERROR(__xludf.DUMMYFUNCTION("""COMPUTED_VALUE"""),"Personal Development")</f>
        <v>Personal Development</v>
      </c>
      <c r="J831" t="str">
        <f>IFERROR(__xludf.DUMMYFUNCTION("""COMPUTED_VALUE"""),"Personal Growth")</f>
        <v>Personal Growth</v>
      </c>
      <c r="K831" s="140">
        <f>IFERROR(__xludf.DUMMYFUNCTION("""COMPUTED_VALUE"""),1947948.0)</f>
        <v>1947948</v>
      </c>
      <c r="L831" s="140" t="str">
        <f>IFERROR(__xludf.DUMMYFUNCTION("""COMPUTED_VALUE"""),"Gestão de Tempo - como aumentar sua produtividade")</f>
        <v>Gestão de Tempo - como aumentar sua produtividade</v>
      </c>
      <c r="M831" s="140">
        <f>IFERROR(__xludf.DUMMYFUNCTION("""COMPUTED_VALUE"""),2311268.0)</f>
        <v>2311268</v>
      </c>
      <c r="N831" s="140" t="str">
        <f>IFERROR(__xludf.DUMMYFUNCTION("""COMPUTED_VALUE"""),"Gestão do Tempo para Alta Performance")</f>
        <v>Gestão do Tempo para Alta Performance</v>
      </c>
    </row>
    <row r="832">
      <c r="A832" s="143">
        <f>IFERROR(__xludf.DUMMYFUNCTION("""COMPUTED_VALUE"""),44500.0)</f>
        <v>44500</v>
      </c>
      <c r="B832">
        <f>IFERROR(__xludf.DUMMYFUNCTION("""COMPUTED_VALUE"""),405440.0)</f>
        <v>405440</v>
      </c>
      <c r="C832" s="141" t="str">
        <f>IFERROR(__xludf.DUMMYFUNCTION("""COMPUTED_VALUE"""),"en")</f>
        <v>en</v>
      </c>
      <c r="D832" t="str">
        <f>IFERROR(__xludf.DUMMYFUNCTION("""COMPUTED_VALUE"""),"Leadership: New Manager Training for Technical Professionals")</f>
        <v>Leadership: New Manager Training for Technical Professionals</v>
      </c>
      <c r="E832" t="str">
        <f>IFERROR(__xludf.DUMMYFUNCTION("""COMPUTED_VALUE"""),"Leadership: New Manager Training for Technical Professionals")</f>
        <v>Leadership: New Manager Training for Technical Professionals</v>
      </c>
      <c r="F832">
        <f>IFERROR(__xludf.DUMMYFUNCTION("""COMPUTED_VALUE"""),8252750.0)</f>
        <v>8252750</v>
      </c>
      <c r="G832" t="str">
        <f>IFERROR(__xludf.DUMMYFUNCTION("""COMPUTED_VALUE"""),"LearnSmart LLC")</f>
        <v>LearnSmart LLC</v>
      </c>
      <c r="H832" t="str">
        <f>IFERROR(__xludf.DUMMYFUNCTION("""COMPUTED_VALUE"""),"Outdated")</f>
        <v>Outdated</v>
      </c>
      <c r="I832" t="str">
        <f>IFERROR(__xludf.DUMMYFUNCTION("""COMPUTED_VALUE"""),"Continuing Education Units")</f>
        <v>Continuing Education Units</v>
      </c>
      <c r="J832" t="str">
        <f>IFERROR(__xludf.DUMMYFUNCTION("""COMPUTED_VALUE"""),"PMI Professional Development Units (PDUs)")</f>
        <v>PMI Professional Development Units (PDUs)</v>
      </c>
      <c r="L832" s="140" t="str">
        <f>IFERROR(__xludf.DUMMYFUNCTION("""COMPUTED_VALUE"""),"")</f>
        <v/>
      </c>
      <c r="N832" s="140" t="str">
        <f>IFERROR(__xludf.DUMMYFUNCTION("""COMPUTED_VALUE"""),"")</f>
        <v/>
      </c>
    </row>
    <row r="833">
      <c r="A833" s="143">
        <f>IFERROR(__xludf.DUMMYFUNCTION("""COMPUTED_VALUE"""),44500.0)</f>
        <v>44500</v>
      </c>
      <c r="B833">
        <f>IFERROR(__xludf.DUMMYFUNCTION("""COMPUTED_VALUE"""),1501104.0)</f>
        <v>1501104</v>
      </c>
      <c r="C833" s="141" t="str">
        <f>IFERROR(__xludf.DUMMYFUNCTION("""COMPUTED_VALUE"""),"en")</f>
        <v>en</v>
      </c>
      <c r="D833" t="str">
        <f>IFERROR(__xludf.DUMMYFUNCTION("""COMPUTED_VALUE"""),"JavaScript: The Advanced Concepts (2021)")</f>
        <v>JavaScript: The Advanced Concepts (2021)</v>
      </c>
      <c r="E833" t="str">
        <f>IFERROR(__xludf.DUMMYFUNCTION("""COMPUTED_VALUE"""),"JavaScript: The Advanced Concepts (2021)")</f>
        <v>JavaScript: The Advanced Concepts (2021)</v>
      </c>
      <c r="F833">
        <f>IFERROR(__xludf.DUMMYFUNCTION("""COMPUTED_VALUE"""),3.8516954E7)</f>
        <v>38516954</v>
      </c>
      <c r="G833" t="str">
        <f>IFERROR(__xludf.DUMMYFUNCTION("""COMPUTED_VALUE"""),"Andrei Neagoie")</f>
        <v>Andrei Neagoie</v>
      </c>
      <c r="H833" t="str">
        <f>IFERROR(__xludf.DUMMYFUNCTION("""COMPUTED_VALUE"""),"Instructor Request- Exclusivity")</f>
        <v>Instructor Request- Exclusivity</v>
      </c>
      <c r="I833" t="str">
        <f>IFERROR(__xludf.DUMMYFUNCTION("""COMPUTED_VALUE"""),"Development")</f>
        <v>Development</v>
      </c>
      <c r="J833" t="str">
        <f>IFERROR(__xludf.DUMMYFUNCTION("""COMPUTED_VALUE"""),"Programming Languages")</f>
        <v>Programming Languages</v>
      </c>
      <c r="K833" s="140">
        <f>IFERROR(__xludf.DUMMYFUNCTION("""COMPUTED_VALUE"""),1072420.0)</f>
        <v>1072420</v>
      </c>
      <c r="L833" s="140" t="str">
        <f>IFERROR(__xludf.DUMMYFUNCTION("""COMPUTED_VALUE"""),"Advanced JavaScript Topics")</f>
        <v>Advanced JavaScript Topics</v>
      </c>
      <c r="M833" s="140">
        <f>IFERROR(__xludf.DUMMYFUNCTION("""COMPUTED_VALUE"""),2508942.0)</f>
        <v>2508942</v>
      </c>
      <c r="N833" s="140" t="str">
        <f>IFERROR(__xludf.DUMMYFUNCTION("""COMPUTED_VALUE"""),"JavaScript - The Complete Guide 2021 (Beginner + Advanced)")</f>
        <v>JavaScript - The Complete Guide 2021 (Beginner + Advanced)</v>
      </c>
    </row>
    <row r="834">
      <c r="A834" s="143">
        <f>IFERROR(__xludf.DUMMYFUNCTION("""COMPUTED_VALUE"""),44500.0)</f>
        <v>44500</v>
      </c>
      <c r="B834">
        <f>IFERROR(__xludf.DUMMYFUNCTION("""COMPUTED_VALUE"""),2771350.0)</f>
        <v>2771350</v>
      </c>
      <c r="C834" s="141" t="str">
        <f>IFERROR(__xludf.DUMMYFUNCTION("""COMPUTED_VALUE"""),"en")</f>
        <v>en</v>
      </c>
      <c r="D834" t="str">
        <f>IFERROR(__xludf.DUMMYFUNCTION("""COMPUTED_VALUE"""),"Learning to Learn [Efficient Learning]: Zero to Mastery")</f>
        <v>Learning to Learn [Efficient Learning]: Zero to Mastery</v>
      </c>
      <c r="E834" t="str">
        <f>IFERROR(__xludf.DUMMYFUNCTION("""COMPUTED_VALUE"""),"Learning to Learn [Efficient Learning]: Zero to Mastery")</f>
        <v>Learning to Learn [Efficient Learning]: Zero to Mastery</v>
      </c>
      <c r="F834">
        <f>IFERROR(__xludf.DUMMYFUNCTION("""COMPUTED_VALUE"""),3.8516954E7)</f>
        <v>38516954</v>
      </c>
      <c r="G834" t="str">
        <f>IFERROR(__xludf.DUMMYFUNCTION("""COMPUTED_VALUE"""),"Andrei Neagoie")</f>
        <v>Andrei Neagoie</v>
      </c>
      <c r="H834" t="str">
        <f>IFERROR(__xludf.DUMMYFUNCTION("""COMPUTED_VALUE"""),"Instructor Request- Exclusivity")</f>
        <v>Instructor Request- Exclusivity</v>
      </c>
      <c r="I834" t="str">
        <f>IFERROR(__xludf.DUMMYFUNCTION("""COMPUTED_VALUE"""),"Personal Development")</f>
        <v>Personal Development</v>
      </c>
      <c r="J834" t="str">
        <f>IFERROR(__xludf.DUMMYFUNCTION("""COMPUTED_VALUE"""),"Personal Growth")</f>
        <v>Personal Growth</v>
      </c>
      <c r="K834" s="140">
        <f>IFERROR(__xludf.DUMMYFUNCTION("""COMPUTED_VALUE"""),684420.0)</f>
        <v>684420</v>
      </c>
      <c r="L834" s="140" t="str">
        <f>IFERROR(__xludf.DUMMYFUNCTION("""COMPUTED_VALUE"""),"Primal Learning - Join the Top 1% Fastest Learners")</f>
        <v>Primal Learning - Join the Top 1% Fastest Learners</v>
      </c>
      <c r="M834" s="140">
        <f>IFERROR(__xludf.DUMMYFUNCTION("""COMPUTED_VALUE"""),3633804.0)</f>
        <v>3633804</v>
      </c>
      <c r="N834" s="140" t="str">
        <f>IFERROR(__xludf.DUMMYFUNCTION("""COMPUTED_VALUE"""),"How to Learn: Effective Approaches for Self-Guided Learning")</f>
        <v>How to Learn: Effective Approaches for Self-Guided Learning</v>
      </c>
    </row>
    <row r="835">
      <c r="A835" s="143">
        <f>IFERROR(__xludf.DUMMYFUNCTION("""COMPUTED_VALUE"""),44500.0)</f>
        <v>44500</v>
      </c>
      <c r="B835">
        <f>IFERROR(__xludf.DUMMYFUNCTION("""COMPUTED_VALUE"""),2851942.0)</f>
        <v>2851942</v>
      </c>
      <c r="C835" s="141" t="str">
        <f>IFERROR(__xludf.DUMMYFUNCTION("""COMPUTED_VALUE"""),"en")</f>
        <v>en</v>
      </c>
      <c r="D835" t="str">
        <f>IFERROR(__xludf.DUMMYFUNCTION("""COMPUTED_VALUE"""),"Complete SQL and Databases Bootcamp: Zero to Mastery [2021]")</f>
        <v>Complete SQL and Databases Bootcamp: Zero to Mastery [2021]</v>
      </c>
      <c r="E835" t="str">
        <f>IFERROR(__xludf.DUMMYFUNCTION("""COMPUTED_VALUE"""),"Complete SQL and Databases Bootcamp: Zero to Mastery [2021]")</f>
        <v>Complete SQL and Databases Bootcamp: Zero to Mastery [2021]</v>
      </c>
      <c r="F835">
        <f>IFERROR(__xludf.DUMMYFUNCTION("""COMPUTED_VALUE"""),3.8516954E7)</f>
        <v>38516954</v>
      </c>
      <c r="G835" t="str">
        <f>IFERROR(__xludf.DUMMYFUNCTION("""COMPUTED_VALUE"""),"Andrei Neagoie")</f>
        <v>Andrei Neagoie</v>
      </c>
      <c r="H835" t="str">
        <f>IFERROR(__xludf.DUMMYFUNCTION("""COMPUTED_VALUE"""),"Instructor Request- Exclusivity")</f>
        <v>Instructor Request- Exclusivity</v>
      </c>
      <c r="I835" t="str">
        <f>IFERROR(__xludf.DUMMYFUNCTION("""COMPUTED_VALUE"""),"Development")</f>
        <v>Development</v>
      </c>
      <c r="J835" t="str">
        <f>IFERROR(__xludf.DUMMYFUNCTION("""COMPUTED_VALUE"""),"Database Design &amp; Development")</f>
        <v>Database Design &amp; Development</v>
      </c>
      <c r="K835" s="140">
        <f>IFERROR(__xludf.DUMMYFUNCTION("""COMPUTED_VALUE"""),762616.0)</f>
        <v>762616</v>
      </c>
      <c r="L835" s="140" t="str">
        <f>IFERROR(__xludf.DUMMYFUNCTION("""COMPUTED_VALUE"""),"The Complete SQL Bootcamp 2021: Go from Zero to Hero")</f>
        <v>The Complete SQL Bootcamp 2021: Go from Zero to Hero</v>
      </c>
      <c r="M835" s="140">
        <f>IFERROR(__xludf.DUMMYFUNCTION("""COMPUTED_VALUE"""),838406.0)</f>
        <v>838406</v>
      </c>
      <c r="N835" s="140" t="str">
        <f>IFERROR(__xludf.DUMMYFUNCTION("""COMPUTED_VALUE"""),"MySQL, SQL and Stored Procedures from Beginner to Advanced")</f>
        <v>MySQL, SQL and Stored Procedures from Beginner to Advanced</v>
      </c>
    </row>
    <row r="836">
      <c r="A836" s="143">
        <f>IFERROR(__xludf.DUMMYFUNCTION("""COMPUTED_VALUE"""),44500.0)</f>
        <v>44500</v>
      </c>
      <c r="B836">
        <f>IFERROR(__xludf.DUMMYFUNCTION("""COMPUTED_VALUE"""),1650610.0)</f>
        <v>1650610</v>
      </c>
      <c r="C836" s="141" t="str">
        <f>IFERROR(__xludf.DUMMYFUNCTION("""COMPUTED_VALUE"""),"en")</f>
        <v>en</v>
      </c>
      <c r="D836" t="str">
        <f>IFERROR(__xludf.DUMMYFUNCTION("""COMPUTED_VALUE"""),"The Complete Junior to Senior Web Developer Roadmap (2021)")</f>
        <v>The Complete Junior to Senior Web Developer Roadmap (2021)</v>
      </c>
      <c r="E836" t="str">
        <f>IFERROR(__xludf.DUMMYFUNCTION("""COMPUTED_VALUE"""),"The Complete Junior to Senior Web Developer Roadmap (2021)")</f>
        <v>The Complete Junior to Senior Web Developer Roadmap (2021)</v>
      </c>
      <c r="F836">
        <f>IFERROR(__xludf.DUMMYFUNCTION("""COMPUTED_VALUE"""),3.8516954E7)</f>
        <v>38516954</v>
      </c>
      <c r="G836" t="str">
        <f>IFERROR(__xludf.DUMMYFUNCTION("""COMPUTED_VALUE"""),"Andrei Neagoie")</f>
        <v>Andrei Neagoie</v>
      </c>
      <c r="H836" t="str">
        <f>IFERROR(__xludf.DUMMYFUNCTION("""COMPUTED_VALUE"""),"Instructor Request- Exclusivity")</f>
        <v>Instructor Request- Exclusivity</v>
      </c>
      <c r="I836" t="str">
        <f>IFERROR(__xludf.DUMMYFUNCTION("""COMPUTED_VALUE"""),"Development")</f>
        <v>Development</v>
      </c>
      <c r="J836" t="str">
        <f>IFERROR(__xludf.DUMMYFUNCTION("""COMPUTED_VALUE"""),"Web Development")</f>
        <v>Web Development</v>
      </c>
      <c r="K836" s="140">
        <f>IFERROR(__xludf.DUMMYFUNCTION("""COMPUTED_VALUE"""),2508942.0)</f>
        <v>2508942</v>
      </c>
      <c r="L836" s="140" t="str">
        <f>IFERROR(__xludf.DUMMYFUNCTION("""COMPUTED_VALUE"""),"JavaScript - The Complete Guide 2021 (Beginner + Advanced)")</f>
        <v>JavaScript - The Complete Guide 2021 (Beginner + Advanced)</v>
      </c>
      <c r="M836" s="140">
        <f>IFERROR(__xludf.DUMMYFUNCTION("""COMPUTED_VALUE"""),1719174.0)</f>
        <v>1719174</v>
      </c>
      <c r="N836" s="140" t="str">
        <f>IFERROR(__xludf.DUMMYFUNCTION("""COMPUTED_VALUE"""),"2021 Update! React Testing with Jest and Enzyme")</f>
        <v>2021 Update! React Testing with Jest and Enzyme</v>
      </c>
    </row>
    <row r="837">
      <c r="A837" s="143">
        <f>IFERROR(__xludf.DUMMYFUNCTION("""COMPUTED_VALUE"""),44500.0)</f>
        <v>44500</v>
      </c>
      <c r="B837">
        <f>IFERROR(__xludf.DUMMYFUNCTION("""COMPUTED_VALUE"""),3138058.0)</f>
        <v>3138058</v>
      </c>
      <c r="C837" s="141" t="str">
        <f>IFERROR(__xludf.DUMMYFUNCTION("""COMPUTED_VALUE"""),"en")</f>
        <v>en</v>
      </c>
      <c r="D837" t="str">
        <f>IFERROR(__xludf.DUMMYFUNCTION("""COMPUTED_VALUE"""),"Deno: The Complete Guide Zero to Mastery")</f>
        <v>Deno: The Complete Guide Zero to Mastery</v>
      </c>
      <c r="E837" t="str">
        <f>IFERROR(__xludf.DUMMYFUNCTION("""COMPUTED_VALUE"""),"Deno: The Complete Guide Zero to Mastery")</f>
        <v>Deno: The Complete Guide Zero to Mastery</v>
      </c>
      <c r="F837">
        <f>IFERROR(__xludf.DUMMYFUNCTION("""COMPUTED_VALUE"""),3.8516954E7)</f>
        <v>38516954</v>
      </c>
      <c r="G837" t="str">
        <f>IFERROR(__xludf.DUMMYFUNCTION("""COMPUTED_VALUE"""),"Andrei Neagoie")</f>
        <v>Andrei Neagoie</v>
      </c>
      <c r="H837" t="str">
        <f>IFERROR(__xludf.DUMMYFUNCTION("""COMPUTED_VALUE"""),"Instructor Request- Exclusivity")</f>
        <v>Instructor Request- Exclusivity</v>
      </c>
      <c r="I837" t="str">
        <f>IFERROR(__xludf.DUMMYFUNCTION("""COMPUTED_VALUE"""),"Development")</f>
        <v>Development</v>
      </c>
      <c r="J837" t="str">
        <f>IFERROR(__xludf.DUMMYFUNCTION("""COMPUTED_VALUE"""),"Programming Languages")</f>
        <v>Programming Languages</v>
      </c>
      <c r="K837" s="140">
        <f>IFERROR(__xludf.DUMMYFUNCTION("""COMPUTED_VALUE"""),1879018.0)</f>
        <v>1879018</v>
      </c>
      <c r="L837" s="140" t="str">
        <f>IFERROR(__xludf.DUMMYFUNCTION("""COMPUTED_VALUE"""),"NodeJS - The Complete Guide (MVC, REST APIs, GraphQL, Deno)")</f>
        <v>NodeJS - The Complete Guide (MVC, REST APIs, GraphQL, Deno)</v>
      </c>
      <c r="N837" s="140" t="str">
        <f>IFERROR(__xludf.DUMMYFUNCTION("""COMPUTED_VALUE"""),"")</f>
        <v/>
      </c>
    </row>
    <row r="838">
      <c r="A838" s="143">
        <f>IFERROR(__xludf.DUMMYFUNCTION("""COMPUTED_VALUE"""),44500.0)</f>
        <v>44500</v>
      </c>
      <c r="B838">
        <f>IFERROR(__xludf.DUMMYFUNCTION("""COMPUTED_VALUE"""),3228865.0)</f>
        <v>3228865</v>
      </c>
      <c r="C838" s="141" t="str">
        <f>IFERROR(__xludf.DUMMYFUNCTION("""COMPUTED_VALUE"""),"en")</f>
        <v>en</v>
      </c>
      <c r="D838" t="str">
        <f>IFERROR(__xludf.DUMMYFUNCTION("""COMPUTED_VALUE"""),"Learn to create WebXR, VR and AR, experiences using Three.JS")</f>
        <v>Learn to create WebXR, VR and AR, experiences using Three.JS</v>
      </c>
      <c r="E838" t="str">
        <f>IFERROR(__xludf.DUMMYFUNCTION("""COMPUTED_VALUE"""),"Learn to create WebXR, VR and AR, experiences using Three.JS")</f>
        <v>Learn to create WebXR, VR and AR, experiences using Three.JS</v>
      </c>
      <c r="F838">
        <f>IFERROR(__xludf.DUMMYFUNCTION("""COMPUTED_VALUE"""),4.1309258E7)</f>
        <v>41309258</v>
      </c>
      <c r="G838" t="str">
        <f>IFERROR(__xludf.DUMMYFUNCTION("""COMPUTED_VALUE"""),"Nicholas Lever")</f>
        <v>Nicholas Lever</v>
      </c>
      <c r="H838" t="str">
        <f>IFERROR(__xludf.DUMMYFUNCTION("""COMPUTED_VALUE"""),"Instructor Request- Opted Out")</f>
        <v>Instructor Request- Opted Out</v>
      </c>
      <c r="I838" t="str">
        <f>IFERROR(__xludf.DUMMYFUNCTION("""COMPUTED_VALUE"""),"Development")</f>
        <v>Development</v>
      </c>
      <c r="J838" t="str">
        <f>IFERROR(__xludf.DUMMYFUNCTION("""COMPUTED_VALUE"""),"Web Development")</f>
        <v>Web Development</v>
      </c>
      <c r="K838" s="140">
        <f>IFERROR(__xludf.DUMMYFUNCTION("""COMPUTED_VALUE"""),1349576.0)</f>
        <v>1349576</v>
      </c>
      <c r="L838" s="140" t="str">
        <f>IFERROR(__xludf.DUMMYFUNCTION("""COMPUTED_VALUE"""),"Learn A-Frame And Get Ready For WebVR")</f>
        <v>Learn A-Frame And Get Ready For WebVR</v>
      </c>
      <c r="N838" s="140" t="str">
        <f>IFERROR(__xludf.DUMMYFUNCTION("""COMPUTED_VALUE"""),"")</f>
        <v/>
      </c>
    </row>
    <row r="839">
      <c r="A839" s="143">
        <f>IFERROR(__xludf.DUMMYFUNCTION("""COMPUTED_VALUE"""),44500.0)</f>
        <v>44500</v>
      </c>
      <c r="B839">
        <f>IFERROR(__xludf.DUMMYFUNCTION("""COMPUTED_VALUE"""),3494200.0)</f>
        <v>3494200</v>
      </c>
      <c r="C839" s="141" t="str">
        <f>IFERROR(__xludf.DUMMYFUNCTION("""COMPUTED_VALUE"""),"en")</f>
        <v>en</v>
      </c>
      <c r="D839" t="str">
        <f>IFERROR(__xludf.DUMMYFUNCTION("""COMPUTED_VALUE"""),"Learn Terraform v0.13 v0.14 v0.15 on Azure DevOps Automation")</f>
        <v>Learn Terraform v0.13 v0.14 v0.15 on Azure DevOps Automation</v>
      </c>
      <c r="E839" t="str">
        <f>IFERROR(__xludf.DUMMYFUNCTION("""COMPUTED_VALUE"""),"Learn Terraform v0.13 v0.14 v0.15 on Azure DevOps Automation")</f>
        <v>Learn Terraform v0.13 v0.14 v0.15 on Azure DevOps Automation</v>
      </c>
      <c r="F839">
        <f>IFERROR(__xludf.DUMMYFUNCTION("""COMPUTED_VALUE"""),3.4068808E7)</f>
        <v>34068808</v>
      </c>
      <c r="G839" t="str">
        <f>IFERROR(__xludf.DUMMYFUNCTION("""COMPUTED_VALUE"""),"Harshal Mittal")</f>
        <v>Harshal Mittal</v>
      </c>
      <c r="H839" t="str">
        <f>IFERROR(__xludf.DUMMYFUNCTION("""COMPUTED_VALUE"""),"Instructor Request- Opted Out")</f>
        <v>Instructor Request- Opted Out</v>
      </c>
      <c r="I839" t="str">
        <f>IFERROR(__xludf.DUMMYFUNCTION("""COMPUTED_VALUE"""),"IT Operations")</f>
        <v>IT Operations</v>
      </c>
      <c r="J839" t="str">
        <f>IFERROR(__xludf.DUMMYFUNCTION("""COMPUTED_VALUE"""),"Network &amp; Security")</f>
        <v>Network &amp; Security</v>
      </c>
      <c r="K839" s="140">
        <f>IFERROR(__xludf.DUMMYFUNCTION("""COMPUTED_VALUE"""),3336462.0)</f>
        <v>3336462</v>
      </c>
      <c r="L839" s="140" t="str">
        <f>IFERROR(__xludf.DUMMYFUNCTION("""COMPUTED_VALUE"""),"Terraform Master Course | HashiCorp Certified Terraform 2021")</f>
        <v>Terraform Master Course | HashiCorp Certified Terraform 2021</v>
      </c>
      <c r="M839" s="140">
        <f>IFERROR(__xludf.DUMMYFUNCTION("""COMPUTED_VALUE"""),3320248.0)</f>
        <v>3320248</v>
      </c>
      <c r="N839" s="140" t="str">
        <f>IFERROR(__xludf.DUMMYFUNCTION("""COMPUTED_VALUE"""),"Hashicorp Certified: Terraform Associate 2021")</f>
        <v>Hashicorp Certified: Terraform Associate 2021</v>
      </c>
    </row>
    <row r="840">
      <c r="A840" s="143">
        <f>IFERROR(__xludf.DUMMYFUNCTION("""COMPUTED_VALUE"""),44500.0)</f>
        <v>44500</v>
      </c>
      <c r="B840">
        <f>IFERROR(__xludf.DUMMYFUNCTION("""COMPUTED_VALUE"""),2666930.0)</f>
        <v>2666930</v>
      </c>
      <c r="C840" s="141" t="str">
        <f>IFERROR(__xludf.DUMMYFUNCTION("""COMPUTED_VALUE"""),"fr")</f>
        <v>fr</v>
      </c>
      <c r="D840" t="str">
        <f>IFERROR(__xludf.DUMMYFUNCTION("""COMPUTED_VALUE"""),"Les animations au Scroll en 9 projets")</f>
        <v>Les animations au Scroll en 9 projets</v>
      </c>
      <c r="E840" t="str">
        <f>IFERROR(__xludf.DUMMYFUNCTION("""COMPUTED_VALUE"""),"The animations at the scroll in 9 projects")</f>
        <v>The animations at the scroll in 9 projects</v>
      </c>
      <c r="F840">
        <f>IFERROR(__xludf.DUMMYFUNCTION("""COMPUTED_VALUE"""),3.6184952E7)</f>
        <v>36184952</v>
      </c>
      <c r="G840" t="str">
        <f>IFERROR(__xludf.DUMMYFUNCTION("""COMPUTED_VALUE"""),"Enzo Ustariz")</f>
        <v>Enzo Ustariz</v>
      </c>
      <c r="H840" t="str">
        <f>IFERROR(__xludf.DUMMYFUNCTION("""COMPUTED_VALUE"""),"Instructor Request- Opted Out")</f>
        <v>Instructor Request- Opted Out</v>
      </c>
      <c r="I840" t="str">
        <f>IFERROR(__xludf.DUMMYFUNCTION("""COMPUTED_VALUE"""),"Development")</f>
        <v>Development</v>
      </c>
      <c r="J840" t="str">
        <f>IFERROR(__xludf.DUMMYFUNCTION("""COMPUTED_VALUE"""),"Web Development")</f>
        <v>Web Development</v>
      </c>
      <c r="L840" s="140" t="str">
        <f>IFERROR(__xludf.DUMMYFUNCTION("""COMPUTED_VALUE"""),"")</f>
        <v/>
      </c>
      <c r="N840" s="140" t="str">
        <f>IFERROR(__xludf.DUMMYFUNCTION("""COMPUTED_VALUE"""),"")</f>
        <v/>
      </c>
    </row>
    <row r="841">
      <c r="A841" s="143">
        <f>IFERROR(__xludf.DUMMYFUNCTION("""COMPUTED_VALUE"""),44500.0)</f>
        <v>44500</v>
      </c>
      <c r="B841">
        <f>IFERROR(__xludf.DUMMYFUNCTION("""COMPUTED_VALUE"""),1708482.0)</f>
        <v>1708482</v>
      </c>
      <c r="C841" s="141" t="str">
        <f>IFERROR(__xludf.DUMMYFUNCTION("""COMPUTED_VALUE"""),"en")</f>
        <v>en</v>
      </c>
      <c r="D841" t="str">
        <f>IFERROR(__xludf.DUMMYFUNCTION("""COMPUTED_VALUE"""),"The Ultimate Piano Chords Course - for Piano &amp; Keyboard")</f>
        <v>The Ultimate Piano Chords Course - for Piano &amp; Keyboard</v>
      </c>
      <c r="E841" t="str">
        <f>IFERROR(__xludf.DUMMYFUNCTION("""COMPUTED_VALUE"""),"The Ultimate Piano Chords Course - for Piano &amp; Keyboard")</f>
        <v>The Ultimate Piano Chords Course - for Piano &amp; Keyboard</v>
      </c>
      <c r="F841">
        <f>IFERROR(__xludf.DUMMYFUNCTION("""COMPUTED_VALUE"""),2.5295806E7)</f>
        <v>25295806</v>
      </c>
      <c r="G841" t="str">
        <f>IFERROR(__xludf.DUMMYFUNCTION("""COMPUTED_VALUE"""),"Arthur Bird")</f>
        <v>Arthur Bird</v>
      </c>
      <c r="H841" t="str">
        <f>IFERROR(__xludf.DUMMYFUNCTION("""COMPUTED_VALUE"""),"Instructor Request- Opted Out")</f>
        <v>Instructor Request- Opted Out</v>
      </c>
      <c r="I841" t="str">
        <f>IFERROR(__xludf.DUMMYFUNCTION("""COMPUTED_VALUE"""),"Personal Development")</f>
        <v>Personal Development</v>
      </c>
      <c r="J841" t="str">
        <f>IFERROR(__xludf.DUMMYFUNCTION("""COMPUTED_VALUE"""),"Arts &amp; Creativity")</f>
        <v>Arts &amp; Creativity</v>
      </c>
      <c r="K841" s="140">
        <f>IFERROR(__xludf.DUMMYFUNCTION("""COMPUTED_VALUE"""),238934.0)</f>
        <v>238934</v>
      </c>
      <c r="L841" s="140" t="str">
        <f>IFERROR(__xludf.DUMMYFUNCTION("""COMPUTED_VALUE"""),"Pianoforall - Incredible New Way To Learn Piano &amp; Keyboard")</f>
        <v>Pianoforall - Incredible New Way To Learn Piano &amp; Keyboard</v>
      </c>
      <c r="N841" s="140" t="str">
        <f>IFERROR(__xludf.DUMMYFUNCTION("""COMPUTED_VALUE"""),"")</f>
        <v/>
      </c>
    </row>
    <row r="842">
      <c r="A842" s="143">
        <f>IFERROR(__xludf.DUMMYFUNCTION("""COMPUTED_VALUE"""),44500.0)</f>
        <v>44500</v>
      </c>
      <c r="B842">
        <f>IFERROR(__xludf.DUMMYFUNCTION("""COMPUTED_VALUE"""),2082504.0)</f>
        <v>2082504</v>
      </c>
      <c r="C842" s="141" t="str">
        <f>IFERROR(__xludf.DUMMYFUNCTION("""COMPUTED_VALUE"""),"en")</f>
        <v>en</v>
      </c>
      <c r="D842" t="str">
        <f>IFERROR(__xludf.DUMMYFUNCTION("""COMPUTED_VALUE"""),"Jazz Piano - Ultimate Beginners Course for Piano &amp; Keyboard")</f>
        <v>Jazz Piano - Ultimate Beginners Course for Piano &amp; Keyboard</v>
      </c>
      <c r="E842" t="str">
        <f>IFERROR(__xludf.DUMMYFUNCTION("""COMPUTED_VALUE"""),"Jazz Piano - Ultimate Beginners Course for Piano &amp; Keyboard")</f>
        <v>Jazz Piano - Ultimate Beginners Course for Piano &amp; Keyboard</v>
      </c>
      <c r="F842">
        <f>IFERROR(__xludf.DUMMYFUNCTION("""COMPUTED_VALUE"""),2.5295806E7)</f>
        <v>25295806</v>
      </c>
      <c r="G842" t="str">
        <f>IFERROR(__xludf.DUMMYFUNCTION("""COMPUTED_VALUE"""),"Arthur Bird")</f>
        <v>Arthur Bird</v>
      </c>
      <c r="H842" t="str">
        <f>IFERROR(__xludf.DUMMYFUNCTION("""COMPUTED_VALUE"""),"Instructor Request- Opted Out")</f>
        <v>Instructor Request- Opted Out</v>
      </c>
      <c r="I842" t="str">
        <f>IFERROR(__xludf.DUMMYFUNCTION("""COMPUTED_VALUE"""),"Personal Development")</f>
        <v>Personal Development</v>
      </c>
      <c r="J842" t="str">
        <f>IFERROR(__xludf.DUMMYFUNCTION("""COMPUTED_VALUE"""),"Arts &amp; Creativity")</f>
        <v>Arts &amp; Creativity</v>
      </c>
      <c r="K842" s="140">
        <f>IFERROR(__xludf.DUMMYFUNCTION("""COMPUTED_VALUE"""),238934.0)</f>
        <v>238934</v>
      </c>
      <c r="L842" s="140" t="str">
        <f>IFERROR(__xludf.DUMMYFUNCTION("""COMPUTED_VALUE"""),"Pianoforall - Incredible New Way To Learn Piano &amp; Keyboard")</f>
        <v>Pianoforall - Incredible New Way To Learn Piano &amp; Keyboard</v>
      </c>
      <c r="N842" s="140" t="str">
        <f>IFERROR(__xludf.DUMMYFUNCTION("""COMPUTED_VALUE"""),"")</f>
        <v/>
      </c>
    </row>
    <row r="843">
      <c r="A843" s="143">
        <f>IFERROR(__xludf.DUMMYFUNCTION("""COMPUTED_VALUE"""),44500.0)</f>
        <v>44500</v>
      </c>
      <c r="B843">
        <f>IFERROR(__xludf.DUMMYFUNCTION("""COMPUTED_VALUE"""),1300540.0)</f>
        <v>1300540</v>
      </c>
      <c r="C843" s="141" t="str">
        <f>IFERROR(__xludf.DUMMYFUNCTION("""COMPUTED_VALUE"""),"pt")</f>
        <v>pt</v>
      </c>
      <c r="D843" t="str">
        <f>IFERROR(__xludf.DUMMYFUNCTION("""COMPUTED_VALUE"""),"Formação em Análise de Negócios com base no Guia BABOK ® v3")</f>
        <v>Formação em Análise de Negócios com base no Guia BABOK ® v3</v>
      </c>
      <c r="E843" t="str">
        <f>IFERROR(__xludf.DUMMYFUNCTION("""COMPUTED_VALUE"""),"Training in Business Analysis based on Babok® V3 guide")</f>
        <v>Training in Business Analysis based on Babok® V3 guide</v>
      </c>
      <c r="F843">
        <f>IFERROR(__xludf.DUMMYFUNCTION("""COMPUTED_VALUE"""),3.420424E7)</f>
        <v>34204240</v>
      </c>
      <c r="G843" t="str">
        <f>IFERROR(__xludf.DUMMYFUNCTION("""COMPUTED_VALUE"""),"Fabrício Laguna")</f>
        <v>Fabrício Laguna</v>
      </c>
      <c r="H843" t="str">
        <f>IFERROR(__xludf.DUMMYFUNCTION("""COMPUTED_VALUE"""),"Instructor Request- Opted Out")</f>
        <v>Instructor Request- Opted Out</v>
      </c>
      <c r="I843" t="str">
        <f>IFERROR(__xludf.DUMMYFUNCTION("""COMPUTED_VALUE"""),"Project Management &amp; Operations")</f>
        <v>Project Management &amp; Operations</v>
      </c>
      <c r="J843" t="str">
        <f>IFERROR(__xludf.DUMMYFUNCTION("""COMPUTED_VALUE"""),"Operations Management")</f>
        <v>Operations Management</v>
      </c>
      <c r="L843" s="140" t="str">
        <f>IFERROR(__xludf.DUMMYFUNCTION("""COMPUTED_VALUE"""),"")</f>
        <v/>
      </c>
      <c r="N843" s="140" t="str">
        <f>IFERROR(__xludf.DUMMYFUNCTION("""COMPUTED_VALUE"""),"")</f>
        <v/>
      </c>
    </row>
    <row r="844">
      <c r="A844" s="143">
        <f>IFERROR(__xludf.DUMMYFUNCTION("""COMPUTED_VALUE"""),44500.0)</f>
        <v>44500</v>
      </c>
      <c r="B844">
        <f>IFERROR(__xludf.DUMMYFUNCTION("""COMPUTED_VALUE"""),3667146.0)</f>
        <v>3667146</v>
      </c>
      <c r="C844" s="141" t="str">
        <f>IFERROR(__xludf.DUMMYFUNCTION("""COMPUTED_VALUE"""),"en")</f>
        <v>en</v>
      </c>
      <c r="D844" t="str">
        <f>IFERROR(__xludf.DUMMYFUNCTION("""COMPUTED_VALUE"""),"CUCM - Cisco Unified Communication Manager Administration")</f>
        <v>CUCM - Cisco Unified Communication Manager Administration</v>
      </c>
      <c r="E844" t="str">
        <f>IFERROR(__xludf.DUMMYFUNCTION("""COMPUTED_VALUE"""),"CUCM - Cisco Unified Communication Manager Administration")</f>
        <v>CUCM - Cisco Unified Communication Manager Administration</v>
      </c>
      <c r="F844">
        <f>IFERROR(__xludf.DUMMYFUNCTION("""COMPUTED_VALUE"""),3.8975932E7)</f>
        <v>38975932</v>
      </c>
      <c r="G844" t="str">
        <f>IFERROR(__xludf.DUMMYFUNCTION("""COMPUTED_VALUE"""),"Navidut Tauhid")</f>
        <v>Navidut Tauhid</v>
      </c>
      <c r="H844" t="str">
        <f>IFERROR(__xludf.DUMMYFUNCTION("""COMPUTED_VALUE"""),"Instructor Request- Opted Out")</f>
        <v>Instructor Request- Opted Out</v>
      </c>
      <c r="I844" t="str">
        <f>IFERROR(__xludf.DUMMYFUNCTION("""COMPUTED_VALUE"""),"IT Operations")</f>
        <v>IT Operations</v>
      </c>
      <c r="J844" t="str">
        <f>IFERROR(__xludf.DUMMYFUNCTION("""COMPUTED_VALUE"""),"Network &amp; Security")</f>
        <v>Network &amp; Security</v>
      </c>
      <c r="L844" s="140" t="str">
        <f>IFERROR(__xludf.DUMMYFUNCTION("""COMPUTED_VALUE"""),"")</f>
        <v/>
      </c>
      <c r="N844" s="140" t="str">
        <f>IFERROR(__xludf.DUMMYFUNCTION("""COMPUTED_VALUE"""),"")</f>
        <v/>
      </c>
    </row>
    <row r="845">
      <c r="A845" s="143">
        <f>IFERROR(__xludf.DUMMYFUNCTION("""COMPUTED_VALUE"""),44500.0)</f>
        <v>44500</v>
      </c>
      <c r="B845">
        <f>IFERROR(__xludf.DUMMYFUNCTION("""COMPUTED_VALUE"""),2992804.0)</f>
        <v>2992804</v>
      </c>
      <c r="C845" s="141" t="str">
        <f>IFERROR(__xludf.DUMMYFUNCTION("""COMPUTED_VALUE"""),"es")</f>
        <v>es</v>
      </c>
      <c r="D845" t="str">
        <f>IFERROR(__xludf.DUMMYFUNCTION("""COMPUTED_VALUE"""),"Masterclass en Innovación y Organizaciones Exponenciales")</f>
        <v>Masterclass en Innovación y Organizaciones Exponenciales</v>
      </c>
      <c r="E845" t="str">
        <f>IFERROR(__xludf.DUMMYFUNCTION("""COMPUTED_VALUE"""),"Masterclass in Innovation and Exponential Organizations")</f>
        <v>Masterclass in Innovation and Exponential Organizations</v>
      </c>
      <c r="F845">
        <f>IFERROR(__xludf.DUMMYFUNCTION("""COMPUTED_VALUE"""),7.8392012E7)</f>
        <v>78392012</v>
      </c>
      <c r="G845" t="str">
        <f>IFERROR(__xludf.DUMMYFUNCTION("""COMPUTED_VALUE"""),"Francisco Palao")</f>
        <v>Francisco Palao</v>
      </c>
      <c r="H845" t="str">
        <f>IFERROR(__xludf.DUMMYFUNCTION("""COMPUTED_VALUE"""),"Instructor Request- Opted Out")</f>
        <v>Instructor Request- Opted Out</v>
      </c>
      <c r="I845" t="str">
        <f>IFERROR(__xludf.DUMMYFUNCTION("""COMPUTED_VALUE"""),"Leadership &amp; Management")</f>
        <v>Leadership &amp; Management</v>
      </c>
      <c r="J845" t="str">
        <f>IFERROR(__xludf.DUMMYFUNCTION("""COMPUTED_VALUE"""),"Strategy")</f>
        <v>Strategy</v>
      </c>
      <c r="L845" s="140" t="str">
        <f>IFERROR(__xludf.DUMMYFUNCTION("""COMPUTED_VALUE"""),"")</f>
        <v/>
      </c>
      <c r="N845" s="140" t="str">
        <f>IFERROR(__xludf.DUMMYFUNCTION("""COMPUTED_VALUE"""),"")</f>
        <v/>
      </c>
    </row>
    <row r="846">
      <c r="A846" s="143">
        <f>IFERROR(__xludf.DUMMYFUNCTION("""COMPUTED_VALUE"""),44500.0)</f>
        <v>44500</v>
      </c>
      <c r="B846">
        <f>IFERROR(__xludf.DUMMYFUNCTION("""COMPUTED_VALUE"""),1247234.0)</f>
        <v>1247234</v>
      </c>
      <c r="C846" s="141" t="str">
        <f>IFERROR(__xludf.DUMMYFUNCTION("""COMPUTED_VALUE"""),"de")</f>
        <v>de</v>
      </c>
      <c r="D846" t="str">
        <f>IFERROR(__xludf.DUMMYFUNCTION("""COMPUTED_VALUE"""),"Laravel für Anfänger - Lerne Laravel in nur 4 Stunden")</f>
        <v>Laravel für Anfänger - Lerne Laravel in nur 4 Stunden</v>
      </c>
      <c r="E846" t="str">
        <f>IFERROR(__xludf.DUMMYFUNCTION("""COMPUTED_VALUE"""),"Laravel for beginners - Learn Laravel in just 4 hours")</f>
        <v>Laravel for beginners - Learn Laravel in just 4 hours</v>
      </c>
      <c r="F846">
        <f>IFERROR(__xludf.DUMMYFUNCTION("""COMPUTED_VALUE"""),1.9114818E7)</f>
        <v>19114818</v>
      </c>
      <c r="G846" t="str">
        <f>IFERROR(__xludf.DUMMYFUNCTION("""COMPUTED_VALUE"""),"Anton Porsche")</f>
        <v>Anton Porsche</v>
      </c>
      <c r="H846" t="str">
        <f>IFERROR(__xludf.DUMMYFUNCTION("""COMPUTED_VALUE"""),"Instructor Request- Opted Out")</f>
        <v>Instructor Request- Opted Out</v>
      </c>
      <c r="I846" t="str">
        <f>IFERROR(__xludf.DUMMYFUNCTION("""COMPUTED_VALUE"""),"Development")</f>
        <v>Development</v>
      </c>
      <c r="J846" t="str">
        <f>IFERROR(__xludf.DUMMYFUNCTION("""COMPUTED_VALUE"""),"Web Development")</f>
        <v>Web Development</v>
      </c>
      <c r="L846" s="140" t="str">
        <f>IFERROR(__xludf.DUMMYFUNCTION("""COMPUTED_VALUE"""),"")</f>
        <v/>
      </c>
      <c r="N846" s="140" t="str">
        <f>IFERROR(__xludf.DUMMYFUNCTION("""COMPUTED_VALUE"""),"")</f>
        <v/>
      </c>
    </row>
    <row r="847">
      <c r="A847" s="143">
        <f>IFERROR(__xludf.DUMMYFUNCTION("""COMPUTED_VALUE"""),44500.0)</f>
        <v>44500</v>
      </c>
      <c r="B847">
        <f>IFERROR(__xludf.DUMMYFUNCTION("""COMPUTED_VALUE"""),1470462.0)</f>
        <v>1470462</v>
      </c>
      <c r="C847" s="141" t="str">
        <f>IFERROR(__xludf.DUMMYFUNCTION("""COMPUTED_VALUE"""),"en")</f>
        <v>en</v>
      </c>
      <c r="D847" t="str">
        <f>IFERROR(__xludf.DUMMYFUNCTION("""COMPUTED_VALUE"""),"Introduction To Unity® For Absolute Beginners | 2018 ready")</f>
        <v>Introduction To Unity® For Absolute Beginners | 2018 ready</v>
      </c>
      <c r="E847" t="str">
        <f>IFERROR(__xludf.DUMMYFUNCTION("""COMPUTED_VALUE"""),"Introduction To Unity® For Absolute Beginners | 2018 ready")</f>
        <v>Introduction To Unity® For Absolute Beginners | 2018 ready</v>
      </c>
      <c r="F847">
        <f>IFERROR(__xludf.DUMMYFUNCTION("""COMPUTED_VALUE"""),1.7834054E7)</f>
        <v>17834054</v>
      </c>
      <c r="G847" t="str">
        <f>IFERROR(__xludf.DUMMYFUNCTION("""COMPUTED_VALUE"""),"Diego Herrera")</f>
        <v>Diego Herrera</v>
      </c>
      <c r="H847" t="str">
        <f>IFERROR(__xludf.DUMMYFUNCTION("""COMPUTED_VALUE"""),"Instructor Request- Opted Out")</f>
        <v>Instructor Request- Opted Out</v>
      </c>
      <c r="I847" t="str">
        <f>IFERROR(__xludf.DUMMYFUNCTION("""COMPUTED_VALUE"""),"Development")</f>
        <v>Development</v>
      </c>
      <c r="J847" t="str">
        <f>IFERROR(__xludf.DUMMYFUNCTION("""COMPUTED_VALUE"""),"Game Development")</f>
        <v>Game Development</v>
      </c>
      <c r="K847" s="140">
        <f>IFERROR(__xludf.DUMMYFUNCTION("""COMPUTED_VALUE"""),258316.0)</f>
        <v>258316</v>
      </c>
      <c r="L847" s="140" t="str">
        <f>IFERROR(__xludf.DUMMYFUNCTION("""COMPUTED_VALUE"""),"Complete C# Unity Game Developer 2D")</f>
        <v>Complete C# Unity Game Developer 2D</v>
      </c>
      <c r="N847" s="140" t="str">
        <f>IFERROR(__xludf.DUMMYFUNCTION("""COMPUTED_VALUE"""),"")</f>
        <v/>
      </c>
    </row>
    <row r="848">
      <c r="A848" s="143">
        <f>IFERROR(__xludf.DUMMYFUNCTION("""COMPUTED_VALUE"""),44500.0)</f>
        <v>44500</v>
      </c>
      <c r="B848">
        <f>IFERROR(__xludf.DUMMYFUNCTION("""COMPUTED_VALUE"""),1455848.0)</f>
        <v>1455848</v>
      </c>
      <c r="C848" s="141" t="str">
        <f>IFERROR(__xludf.DUMMYFUNCTION("""COMPUTED_VALUE"""),"en")</f>
        <v>en</v>
      </c>
      <c r="D848" t="str">
        <f>IFERROR(__xludf.DUMMYFUNCTION("""COMPUTED_VALUE"""),"Discover Voice Controlled AR Apps|Unity &amp; A Cloud Based AI")</f>
        <v>Discover Voice Controlled AR Apps|Unity &amp; A Cloud Based AI</v>
      </c>
      <c r="E848" t="str">
        <f>IFERROR(__xludf.DUMMYFUNCTION("""COMPUTED_VALUE"""),"Discover Voice Controlled AR Apps|Unity &amp; A Cloud Based AI")</f>
        <v>Discover Voice Controlled AR Apps|Unity &amp; A Cloud Based AI</v>
      </c>
      <c r="F848">
        <f>IFERROR(__xludf.DUMMYFUNCTION("""COMPUTED_VALUE"""),1.7834054E7)</f>
        <v>17834054</v>
      </c>
      <c r="G848" t="str">
        <f>IFERROR(__xludf.DUMMYFUNCTION("""COMPUTED_VALUE"""),"Diego Herrera")</f>
        <v>Diego Herrera</v>
      </c>
      <c r="H848" t="str">
        <f>IFERROR(__xludf.DUMMYFUNCTION("""COMPUTED_VALUE"""),"Instructor Request- Opted Out")</f>
        <v>Instructor Request- Opted Out</v>
      </c>
      <c r="I848" t="str">
        <f>IFERROR(__xludf.DUMMYFUNCTION("""COMPUTED_VALUE"""),"Development")</f>
        <v>Development</v>
      </c>
      <c r="J848" t="str">
        <f>IFERROR(__xludf.DUMMYFUNCTION("""COMPUTED_VALUE"""),"Mobile Development")</f>
        <v>Mobile Development</v>
      </c>
      <c r="K848" s="140">
        <f>IFERROR(__xludf.DUMMYFUNCTION("""COMPUTED_VALUE"""),1279620.0)</f>
        <v>1279620</v>
      </c>
      <c r="L848" s="140" t="str">
        <f>IFERROR(__xludf.DUMMYFUNCTION("""COMPUTED_VALUE"""),"Build 15 Augmented Reality (AR) apps with Unity &amp; Vuforia")</f>
        <v>Build 15 Augmented Reality (AR) apps with Unity &amp; Vuforia</v>
      </c>
      <c r="N848" s="140" t="str">
        <f>IFERROR(__xludf.DUMMYFUNCTION("""COMPUTED_VALUE"""),"")</f>
        <v/>
      </c>
    </row>
    <row r="849">
      <c r="A849" s="143">
        <f>IFERROR(__xludf.DUMMYFUNCTION("""COMPUTED_VALUE"""),44500.0)</f>
        <v>44500</v>
      </c>
      <c r="B849">
        <f>IFERROR(__xludf.DUMMYFUNCTION("""COMPUTED_VALUE"""),3567325.0)</f>
        <v>3567325</v>
      </c>
      <c r="C849" s="141" t="str">
        <f>IFERROR(__xludf.DUMMYFUNCTION("""COMPUTED_VALUE"""),"de")</f>
        <v>de</v>
      </c>
      <c r="D849" t="str">
        <f>IFERROR(__xludf.DUMMYFUNCTION("""COMPUTED_VALUE"""),"Tailwind CSS Einführung - eine neue Art CSS zu denken!")</f>
        <v>Tailwind CSS Einführung - eine neue Art CSS zu denken!</v>
      </c>
      <c r="E849" t="str">
        <f>IFERROR(__xludf.DUMMYFUNCTION("""COMPUTED_VALUE"""),"Tailwind CSS introduction - to think a new kind of CSS!")</f>
        <v>Tailwind CSS introduction - to think a new kind of CSS!</v>
      </c>
      <c r="F849">
        <f>IFERROR(__xludf.DUMMYFUNCTION("""COMPUTED_VALUE"""),7241656.0)</f>
        <v>7241656</v>
      </c>
      <c r="G849" t="str">
        <f>IFERROR(__xludf.DUMMYFUNCTION("""COMPUTED_VALUE"""),"Martin Eberth")</f>
        <v>Martin Eberth</v>
      </c>
      <c r="H849" t="str">
        <f>IFERROR(__xludf.DUMMYFUNCTION("""COMPUTED_VALUE"""),"Instructor Request- Opted Out")</f>
        <v>Instructor Request- Opted Out</v>
      </c>
      <c r="I849" t="str">
        <f>IFERROR(__xludf.DUMMYFUNCTION("""COMPUTED_VALUE"""),"Development")</f>
        <v>Development</v>
      </c>
      <c r="J849" t="str">
        <f>IFERROR(__xludf.DUMMYFUNCTION("""COMPUTED_VALUE"""),"Web Development")</f>
        <v>Web Development</v>
      </c>
      <c r="L849" s="140" t="str">
        <f>IFERROR(__xludf.DUMMYFUNCTION("""COMPUTED_VALUE"""),"")</f>
        <v/>
      </c>
      <c r="N849" s="140" t="str">
        <f>IFERROR(__xludf.DUMMYFUNCTION("""COMPUTED_VALUE"""),"")</f>
        <v/>
      </c>
    </row>
    <row r="850">
      <c r="A850" s="143">
        <f>IFERROR(__xludf.DUMMYFUNCTION("""COMPUTED_VALUE"""),44500.0)</f>
        <v>44500</v>
      </c>
      <c r="B850">
        <f>IFERROR(__xludf.DUMMYFUNCTION("""COMPUTED_VALUE"""),2846104.0)</f>
        <v>2846104</v>
      </c>
      <c r="C850" s="141" t="str">
        <f>IFERROR(__xludf.DUMMYFUNCTION("""COMPUTED_VALUE"""),"de")</f>
        <v>de</v>
      </c>
      <c r="D850" t="str">
        <f>IFERROR(__xludf.DUMMYFUNCTION("""COMPUTED_VALUE"""),"Laravel 7 - Praxiskurs für Anfänger: Alle Grundlagen am Bsp.")</f>
        <v>Laravel 7 - Praxiskurs für Anfänger: Alle Grundlagen am Bsp.</v>
      </c>
      <c r="E850" t="str">
        <f>IFERROR(__xludf.DUMMYFUNCTION("""COMPUTED_VALUE"""),"Laravel 7 - Practice Course for Beginners: All basics on the BSP.")</f>
        <v>Laravel 7 - Practice Course for Beginners: All basics on the BSP.</v>
      </c>
      <c r="F850">
        <f>IFERROR(__xludf.DUMMYFUNCTION("""COMPUTED_VALUE"""),7241656.0)</f>
        <v>7241656</v>
      </c>
      <c r="G850" t="str">
        <f>IFERROR(__xludf.DUMMYFUNCTION("""COMPUTED_VALUE"""),"Martin Eberth")</f>
        <v>Martin Eberth</v>
      </c>
      <c r="H850" t="str">
        <f>IFERROR(__xludf.DUMMYFUNCTION("""COMPUTED_VALUE"""),"Instructor Request- Opted Out")</f>
        <v>Instructor Request- Opted Out</v>
      </c>
      <c r="I850" t="str">
        <f>IFERROR(__xludf.DUMMYFUNCTION("""COMPUTED_VALUE"""),"Development")</f>
        <v>Development</v>
      </c>
      <c r="J850" t="str">
        <f>IFERROR(__xludf.DUMMYFUNCTION("""COMPUTED_VALUE"""),"Web Development")</f>
        <v>Web Development</v>
      </c>
      <c r="L850" s="140" t="str">
        <f>IFERROR(__xludf.DUMMYFUNCTION("""COMPUTED_VALUE"""),"")</f>
        <v/>
      </c>
      <c r="N850" s="140" t="str">
        <f>IFERROR(__xludf.DUMMYFUNCTION("""COMPUTED_VALUE"""),"")</f>
        <v/>
      </c>
    </row>
    <row r="851">
      <c r="A851" s="143">
        <f>IFERROR(__xludf.DUMMYFUNCTION("""COMPUTED_VALUE"""),44500.0)</f>
        <v>44500</v>
      </c>
      <c r="B851">
        <f>IFERROR(__xludf.DUMMYFUNCTION("""COMPUTED_VALUE"""),2031410.0)</f>
        <v>2031410</v>
      </c>
      <c r="C851" s="141" t="str">
        <f>IFERROR(__xludf.DUMMYFUNCTION("""COMPUTED_VALUE"""),"fr")</f>
        <v>fr</v>
      </c>
      <c r="D851" t="str">
        <f>IFERROR(__xludf.DUMMYFUNCTION("""COMPUTED_VALUE"""),"Gestion des émotions")</f>
        <v>Gestion des émotions</v>
      </c>
      <c r="E851" t="str">
        <f>IFERROR(__xludf.DUMMYFUNCTION("""COMPUTED_VALUE"""),"Managing emotions")</f>
        <v>Managing emotions</v>
      </c>
      <c r="F851">
        <f>IFERROR(__xludf.DUMMYFUNCTION("""COMPUTED_VALUE"""),5.809791E7)</f>
        <v>58097910</v>
      </c>
      <c r="G851" t="str">
        <f>IFERROR(__xludf.DUMMYFUNCTION("""COMPUTED_VALUE"""),"Aurore Bévalot")</f>
        <v>Aurore Bévalot</v>
      </c>
      <c r="H851" t="str">
        <f>IFERROR(__xludf.DUMMYFUNCTION("""COMPUTED_VALUE"""),"Instructor Request- Opted Out")</f>
        <v>Instructor Request- Opted Out</v>
      </c>
      <c r="I851" t="str">
        <f>IFERROR(__xludf.DUMMYFUNCTION("""COMPUTED_VALUE"""),"Personal Development")</f>
        <v>Personal Development</v>
      </c>
      <c r="J851" t="str">
        <f>IFERROR(__xludf.DUMMYFUNCTION("""COMPUTED_VALUE"""),"Personal Growth")</f>
        <v>Personal Growth</v>
      </c>
      <c r="K851" s="140">
        <f>IFERROR(__xludf.DUMMYFUNCTION("""COMPUTED_VALUE"""),2343838.0)</f>
        <v>2343838</v>
      </c>
      <c r="L851" s="140" t="str">
        <f>IFERROR(__xludf.DUMMYFUNCTION("""COMPUTED_VALUE"""),"Développez votre intelligence émotionnelle")</f>
        <v>Développez votre intelligence émotionnelle</v>
      </c>
      <c r="N851" s="140" t="str">
        <f>IFERROR(__xludf.DUMMYFUNCTION("""COMPUTED_VALUE"""),"")</f>
        <v/>
      </c>
    </row>
    <row r="852">
      <c r="A852" s="143">
        <f>IFERROR(__xludf.DUMMYFUNCTION("""COMPUTED_VALUE"""),44500.0)</f>
        <v>44500</v>
      </c>
      <c r="B852">
        <f>IFERROR(__xludf.DUMMYFUNCTION("""COMPUTED_VALUE"""),2511024.0)</f>
        <v>2511024</v>
      </c>
      <c r="C852" s="141" t="str">
        <f>IFERROR(__xludf.DUMMYFUNCTION("""COMPUTED_VALUE"""),"fr")</f>
        <v>fr</v>
      </c>
      <c r="D852" t="str">
        <f>IFERROR(__xludf.DUMMYFUNCTION("""COMPUTED_VALUE"""),"Langage corporel : les clés pour l'analyser &amp; le comprendre")</f>
        <v>Langage corporel : les clés pour l'analyser &amp; le comprendre</v>
      </c>
      <c r="E852" t="str">
        <f>IFERROR(__xludf.DUMMYFUNCTION("""COMPUTED_VALUE"""),"Corporal language: the keys to analyze it &amp; understand it")</f>
        <v>Corporal language: the keys to analyze it &amp; understand it</v>
      </c>
      <c r="F852">
        <f>IFERROR(__xludf.DUMMYFUNCTION("""COMPUTED_VALUE"""),5.809791E7)</f>
        <v>58097910</v>
      </c>
      <c r="G852" t="str">
        <f>IFERROR(__xludf.DUMMYFUNCTION("""COMPUTED_VALUE"""),"Aurore Bévalot")</f>
        <v>Aurore Bévalot</v>
      </c>
      <c r="H852" t="str">
        <f>IFERROR(__xludf.DUMMYFUNCTION("""COMPUTED_VALUE"""),"Instructor Request- Opted Out")</f>
        <v>Instructor Request- Opted Out</v>
      </c>
      <c r="I852" t="str">
        <f>IFERROR(__xludf.DUMMYFUNCTION("""COMPUTED_VALUE"""),"Personal Development")</f>
        <v>Personal Development</v>
      </c>
      <c r="J852" t="str">
        <f>IFERROR(__xludf.DUMMYFUNCTION("""COMPUTED_VALUE"""),"Personal Growth")</f>
        <v>Personal Growth</v>
      </c>
      <c r="K852" s="140">
        <f>IFERROR(__xludf.DUMMYFUNCTION("""COMPUTED_VALUE"""),2449224.0)</f>
        <v>2449224</v>
      </c>
      <c r="L852" s="140" t="str">
        <f>IFERROR(__xludf.DUMMYFUNCTION("""COMPUTED_VALUE"""),"Langage corporel pour la réussite et la confiance en soi")</f>
        <v>Langage corporel pour la réussite et la confiance en soi</v>
      </c>
      <c r="N852" s="140" t="str">
        <f>IFERROR(__xludf.DUMMYFUNCTION("""COMPUTED_VALUE"""),"")</f>
        <v/>
      </c>
    </row>
    <row r="853">
      <c r="A853" s="143">
        <f>IFERROR(__xludf.DUMMYFUNCTION("""COMPUTED_VALUE"""),44500.0)</f>
        <v>44500</v>
      </c>
      <c r="B853">
        <f>IFERROR(__xludf.DUMMYFUNCTION("""COMPUTED_VALUE"""),578328.0)</f>
        <v>578328</v>
      </c>
      <c r="C853" s="141" t="str">
        <f>IFERROR(__xludf.DUMMYFUNCTION("""COMPUTED_VALUE"""),"en")</f>
        <v>en</v>
      </c>
      <c r="D853" t="str">
        <f>IFERROR(__xludf.DUMMYFUNCTION("""COMPUTED_VALUE"""),"Oracle Data Integrator (ODI) 12C - All Steps - Hands on")</f>
        <v>Oracle Data Integrator (ODI) 12C - All Steps - Hands on</v>
      </c>
      <c r="E853" t="str">
        <f>IFERROR(__xludf.DUMMYFUNCTION("""COMPUTED_VALUE"""),"Oracle Data Integrator (ODI) 12C - All Steps - Hands on")</f>
        <v>Oracle Data Integrator (ODI) 12C - All Steps - Hands on</v>
      </c>
      <c r="F853">
        <f>IFERROR(__xludf.DUMMYFUNCTION("""COMPUTED_VALUE"""),1.4788888E7)</f>
        <v>14788888</v>
      </c>
      <c r="G853" t="str">
        <f>IFERROR(__xludf.DUMMYFUNCTION("""COMPUTED_VALUE"""),"Mustafa Aksoy")</f>
        <v>Mustafa Aksoy</v>
      </c>
      <c r="H853" t="str">
        <f>IFERROR(__xludf.DUMMYFUNCTION("""COMPUTED_VALUE"""),"Low Rating")</f>
        <v>Low Rating</v>
      </c>
      <c r="I853" t="str">
        <f>IFERROR(__xludf.DUMMYFUNCTION("""COMPUTED_VALUE"""),"Development")</f>
        <v>Development</v>
      </c>
      <c r="J853" t="str">
        <f>IFERROR(__xludf.DUMMYFUNCTION("""COMPUTED_VALUE"""),"Database Design &amp; Development")</f>
        <v>Database Design &amp; Development</v>
      </c>
      <c r="L853" s="140" t="str">
        <f>IFERROR(__xludf.DUMMYFUNCTION("""COMPUTED_VALUE"""),"")</f>
        <v/>
      </c>
      <c r="N853" s="140" t="str">
        <f>IFERROR(__xludf.DUMMYFUNCTION("""COMPUTED_VALUE"""),"")</f>
        <v/>
      </c>
    </row>
    <row r="854">
      <c r="A854" s="143">
        <f>IFERROR(__xludf.DUMMYFUNCTION("""COMPUTED_VALUE"""),44500.0)</f>
        <v>44500</v>
      </c>
      <c r="B854">
        <f>IFERROR(__xludf.DUMMYFUNCTION("""COMPUTED_VALUE"""),741386.0)</f>
        <v>741386</v>
      </c>
      <c r="C854" s="141" t="str">
        <f>IFERROR(__xludf.DUMMYFUNCTION("""COMPUTED_VALUE"""),"en")</f>
        <v>en</v>
      </c>
      <c r="D854" t="str">
        <f>IFERROR(__xludf.DUMMYFUNCTION("""COMPUTED_VALUE"""),"Learn Photography: A Simple System for Photography Starters")</f>
        <v>Learn Photography: A Simple System for Photography Starters</v>
      </c>
      <c r="E854" t="str">
        <f>IFERROR(__xludf.DUMMYFUNCTION("""COMPUTED_VALUE"""),"Learn Photography: A Simple System for Photography Starters")</f>
        <v>Learn Photography: A Simple System for Photography Starters</v>
      </c>
      <c r="F854">
        <f>IFERROR(__xludf.DUMMYFUNCTION("""COMPUTED_VALUE"""),8912846.0)</f>
        <v>8912846</v>
      </c>
      <c r="G854" t="str">
        <f>IFERROR(__xludf.DUMMYFUNCTION("""COMPUTED_VALUE"""),"Joseph Phillips")</f>
        <v>Joseph Phillips</v>
      </c>
      <c r="H854" t="str">
        <f>IFERROR(__xludf.DUMMYFUNCTION("""COMPUTED_VALUE"""),"Low Rating")</f>
        <v>Low Rating</v>
      </c>
      <c r="I854" t="str">
        <f>IFERROR(__xludf.DUMMYFUNCTION("""COMPUTED_VALUE"""),"Personal Development")</f>
        <v>Personal Development</v>
      </c>
      <c r="J854" t="str">
        <f>IFERROR(__xludf.DUMMYFUNCTION("""COMPUTED_VALUE"""),"Arts &amp; Creativity")</f>
        <v>Arts &amp; Creativity</v>
      </c>
      <c r="K854" s="140">
        <f>IFERROR(__xludf.DUMMYFUNCTION("""COMPUTED_VALUE"""),1462428.0)</f>
        <v>1462428</v>
      </c>
      <c r="L854" s="140" t="str">
        <f>IFERROR(__xludf.DUMMYFUNCTION("""COMPUTED_VALUE"""),"Photography Masterclass: A Complete Guide to Photography")</f>
        <v>Photography Masterclass: A Complete Guide to Photography</v>
      </c>
      <c r="N854" s="140" t="str">
        <f>IFERROR(__xludf.DUMMYFUNCTION("""COMPUTED_VALUE"""),"")</f>
        <v/>
      </c>
    </row>
    <row r="855">
      <c r="A855" s="143">
        <f>IFERROR(__xludf.DUMMYFUNCTION("""COMPUTED_VALUE"""),44500.0)</f>
        <v>44500</v>
      </c>
      <c r="B855">
        <f>IFERROR(__xludf.DUMMYFUNCTION("""COMPUTED_VALUE"""),1078520.0)</f>
        <v>1078520</v>
      </c>
      <c r="C855" s="141" t="str">
        <f>IFERROR(__xludf.DUMMYFUNCTION("""COMPUTED_VALUE"""),"en")</f>
        <v>en</v>
      </c>
      <c r="D855" t="str">
        <f>IFERROR(__xludf.DUMMYFUNCTION("""COMPUTED_VALUE"""),"Internal Controls - Design, Implementation and Monitoring")</f>
        <v>Internal Controls - Design, Implementation and Monitoring</v>
      </c>
      <c r="E855" t="str">
        <f>IFERROR(__xludf.DUMMYFUNCTION("""COMPUTED_VALUE"""),"Internal Controls - Design, Implementation and Monitoring")</f>
        <v>Internal Controls - Design, Implementation and Monitoring</v>
      </c>
      <c r="F855">
        <f>IFERROR(__xludf.DUMMYFUNCTION("""COMPUTED_VALUE"""),1.5428852E7)</f>
        <v>15428852</v>
      </c>
      <c r="G855" t="str">
        <f>IFERROR(__xludf.DUMMYFUNCTION("""COMPUTED_VALUE"""),"Maciej Rychlicki")</f>
        <v>Maciej Rychlicki</v>
      </c>
      <c r="H855" t="str">
        <f>IFERROR(__xludf.DUMMYFUNCTION("""COMPUTED_VALUE"""),"Low Rating")</f>
        <v>Low Rating</v>
      </c>
      <c r="I855" t="str">
        <f>IFERROR(__xludf.DUMMYFUNCTION("""COMPUTED_VALUE"""),"Project Management &amp; Operations")</f>
        <v>Project Management &amp; Operations</v>
      </c>
      <c r="J855" t="str">
        <f>IFERROR(__xludf.DUMMYFUNCTION("""COMPUTED_VALUE"""),"Operations Management")</f>
        <v>Operations Management</v>
      </c>
      <c r="L855" s="140" t="str">
        <f>IFERROR(__xludf.DUMMYFUNCTION("""COMPUTED_VALUE"""),"")</f>
        <v/>
      </c>
      <c r="N855" s="140" t="str">
        <f>IFERROR(__xludf.DUMMYFUNCTION("""COMPUTED_VALUE"""),"")</f>
        <v/>
      </c>
    </row>
    <row r="856">
      <c r="A856" s="143">
        <f>IFERROR(__xludf.DUMMYFUNCTION("""COMPUTED_VALUE"""),44500.0)</f>
        <v>44500</v>
      </c>
      <c r="B856">
        <f>IFERROR(__xludf.DUMMYFUNCTION("""COMPUTED_VALUE"""),1243400.0)</f>
        <v>1243400</v>
      </c>
      <c r="C856" s="141" t="str">
        <f>IFERROR(__xludf.DUMMYFUNCTION("""COMPUTED_VALUE"""),"de")</f>
        <v>de</v>
      </c>
      <c r="D856" t="str">
        <f>IFERROR(__xludf.DUMMYFUNCTION("""COMPUTED_VALUE"""),"Grundlagen des Innovationsmanagements")</f>
        <v>Grundlagen des Innovationsmanagements</v>
      </c>
      <c r="E856" t="str">
        <f>IFERROR(__xludf.DUMMYFUNCTION("""COMPUTED_VALUE"""),"Basics of innovation management")</f>
        <v>Basics of innovation management</v>
      </c>
      <c r="F856">
        <f>IFERROR(__xludf.DUMMYFUNCTION("""COMPUTED_VALUE"""),2.9839548E7)</f>
        <v>29839548</v>
      </c>
      <c r="G856" t="str">
        <f>IFERROR(__xludf.DUMMYFUNCTION("""COMPUTED_VALUE"""),"Peter Klausmann")</f>
        <v>Peter Klausmann</v>
      </c>
      <c r="H856" t="str">
        <f>IFERROR(__xludf.DUMMYFUNCTION("""COMPUTED_VALUE"""),"Low Rating")</f>
        <v>Low Rating</v>
      </c>
      <c r="I856" t="str">
        <f>IFERROR(__xludf.DUMMYFUNCTION("""COMPUTED_VALUE"""),"Leadership &amp; Management")</f>
        <v>Leadership &amp; Management</v>
      </c>
      <c r="J856" t="str">
        <f>IFERROR(__xludf.DUMMYFUNCTION("""COMPUTED_VALUE"""),"Strategy")</f>
        <v>Strategy</v>
      </c>
      <c r="L856" s="140" t="str">
        <f>IFERROR(__xludf.DUMMYFUNCTION("""COMPUTED_VALUE"""),"")</f>
        <v/>
      </c>
      <c r="N856" s="140" t="str">
        <f>IFERROR(__xludf.DUMMYFUNCTION("""COMPUTED_VALUE"""),"")</f>
        <v/>
      </c>
    </row>
    <row r="857">
      <c r="A857" s="143">
        <f>IFERROR(__xludf.DUMMYFUNCTION("""COMPUTED_VALUE"""),44500.0)</f>
        <v>44500</v>
      </c>
      <c r="B857">
        <f>IFERROR(__xludf.DUMMYFUNCTION("""COMPUTED_VALUE"""),1284216.0)</f>
        <v>1284216</v>
      </c>
      <c r="C857" s="141" t="str">
        <f>IFERROR(__xludf.DUMMYFUNCTION("""COMPUTED_VALUE"""),"es")</f>
        <v>es</v>
      </c>
      <c r="D857" t="str">
        <f>IFERROR(__xludf.DUMMYFUNCTION("""COMPUTED_VALUE"""),"Curso de Laravel desde cero + APIs RESTful y webs Angular")</f>
        <v>Curso de Laravel desde cero + APIs RESTful y webs Angular</v>
      </c>
      <c r="E857" t="str">
        <f>IFERROR(__xludf.DUMMYFUNCTION("""COMPUTED_VALUE"""),"Laravel Course from Zero + Restful APIs and Angular Webs")</f>
        <v>Laravel Course from Zero + Restful APIs and Angular Webs</v>
      </c>
      <c r="F857">
        <f>IFERROR(__xludf.DUMMYFUNCTION("""COMPUTED_VALUE"""),1.6661812E7)</f>
        <v>16661812</v>
      </c>
      <c r="G857" t="str">
        <f>IFERROR(__xludf.DUMMYFUNCTION("""COMPUTED_VALUE"""),"Víctor Robles")</f>
        <v>Víctor Robles</v>
      </c>
      <c r="H857" t="str">
        <f>IFERROR(__xludf.DUMMYFUNCTION("""COMPUTED_VALUE"""),"Low Rating")</f>
        <v>Low Rating</v>
      </c>
      <c r="I857" t="str">
        <f>IFERROR(__xludf.DUMMYFUNCTION("""COMPUTED_VALUE"""),"Development")</f>
        <v>Development</v>
      </c>
      <c r="J857" t="str">
        <f>IFERROR(__xludf.DUMMYFUNCTION("""COMPUTED_VALUE"""),"Web Development")</f>
        <v>Web Development</v>
      </c>
      <c r="K857" s="140">
        <f>IFERROR(__xludf.DUMMYFUNCTION("""COMPUTED_VALUE"""),1712652.0)</f>
        <v>1712652</v>
      </c>
      <c r="L857" s="140" t="str">
        <f>IFERROR(__xludf.DUMMYFUNCTION("""COMPUTED_VALUE"""),"Master en webs Full Stack: Angular, Node, Laravel, Symfony +")</f>
        <v>Master en webs Full Stack: Angular, Node, Laravel, Symfony +</v>
      </c>
      <c r="N857" s="140" t="str">
        <f>IFERROR(__xludf.DUMMYFUNCTION("""COMPUTED_VALUE"""),"")</f>
        <v/>
      </c>
    </row>
    <row r="858">
      <c r="A858" s="143">
        <f>IFERROR(__xludf.DUMMYFUNCTION("""COMPUTED_VALUE"""),44500.0)</f>
        <v>44500</v>
      </c>
      <c r="B858">
        <f>IFERROR(__xludf.DUMMYFUNCTION("""COMPUTED_VALUE"""),1369820.0)</f>
        <v>1369820</v>
      </c>
      <c r="C858" s="141" t="str">
        <f>IFERROR(__xludf.DUMMYFUNCTION("""COMPUTED_VALUE"""),"en")</f>
        <v>en</v>
      </c>
      <c r="D858" t="str">
        <f>IFERROR(__xludf.DUMMYFUNCTION("""COMPUTED_VALUE"""),"Marketing Strategy : 21 Digital Marketing Tips &amp; Techniques")</f>
        <v>Marketing Strategy : 21 Digital Marketing Tips &amp; Techniques</v>
      </c>
      <c r="E858" t="str">
        <f>IFERROR(__xludf.DUMMYFUNCTION("""COMPUTED_VALUE"""),"Marketing Strategy : 21 Digital Marketing Tips &amp; Techniques")</f>
        <v>Marketing Strategy : 21 Digital Marketing Tips &amp; Techniques</v>
      </c>
      <c r="F858">
        <f>IFERROR(__xludf.DUMMYFUNCTION("""COMPUTED_VALUE"""),1.9743654E7)</f>
        <v>19743654</v>
      </c>
      <c r="G858" t="str">
        <f>IFERROR(__xludf.DUMMYFUNCTION("""COMPUTED_VALUE"""),"Alireza Etemadi | Marketing Strategy Expert |")</f>
        <v>Alireza Etemadi | Marketing Strategy Expert |</v>
      </c>
      <c r="H858" t="str">
        <f>IFERROR(__xludf.DUMMYFUNCTION("""COMPUTED_VALUE"""),"Low Rating")</f>
        <v>Low Rating</v>
      </c>
      <c r="I858" t="str">
        <f>IFERROR(__xludf.DUMMYFUNCTION("""COMPUTED_VALUE"""),"Marketing")</f>
        <v>Marketing</v>
      </c>
      <c r="J858" t="str">
        <f>IFERROR(__xludf.DUMMYFUNCTION("""COMPUTED_VALUE"""),"Marketing Strategy")</f>
        <v>Marketing Strategy</v>
      </c>
      <c r="K858" s="140">
        <f>IFERROR(__xludf.DUMMYFUNCTION("""COMPUTED_VALUE"""),914296.0)</f>
        <v>914296</v>
      </c>
      <c r="L858" s="140" t="str">
        <f>IFERROR(__xludf.DUMMYFUNCTION("""COMPUTED_VALUE"""),"The Complete Digital Marketing Course - 12 Courses in 1")</f>
        <v>The Complete Digital Marketing Course - 12 Courses in 1</v>
      </c>
      <c r="M858" s="140">
        <f>IFERROR(__xludf.DUMMYFUNCTION("""COMPUTED_VALUE"""),1931752.0)</f>
        <v>1931752</v>
      </c>
      <c r="N858" s="140" t="str">
        <f>IFERROR(__xludf.DUMMYFUNCTION("""COMPUTED_VALUE"""),"Mega Digital Marketing Course A-Z: 12 Courses in 1 + Updates")</f>
        <v>Mega Digital Marketing Course A-Z: 12 Courses in 1 + Updates</v>
      </c>
    </row>
    <row r="859">
      <c r="A859" s="143">
        <f>IFERROR(__xludf.DUMMYFUNCTION("""COMPUTED_VALUE"""),44500.0)</f>
        <v>44500</v>
      </c>
      <c r="B859">
        <f>IFERROR(__xludf.DUMMYFUNCTION("""COMPUTED_VALUE"""),1558668.0)</f>
        <v>1558668</v>
      </c>
      <c r="C859" s="141" t="str">
        <f>IFERROR(__xludf.DUMMYFUNCTION("""COMPUTED_VALUE"""),"en")</f>
        <v>en</v>
      </c>
      <c r="D859" t="str">
        <f>IFERROR(__xludf.DUMMYFUNCTION("""COMPUTED_VALUE"""),"Audit Command Language for Beginners")</f>
        <v>Audit Command Language for Beginners</v>
      </c>
      <c r="E859" t="str">
        <f>IFERROR(__xludf.DUMMYFUNCTION("""COMPUTED_VALUE"""),"Audit Command Language for Beginners")</f>
        <v>Audit Command Language for Beginners</v>
      </c>
      <c r="F859">
        <f>IFERROR(__xludf.DUMMYFUNCTION("""COMPUTED_VALUE"""),3.4073068E7)</f>
        <v>34073068</v>
      </c>
      <c r="G859" t="str">
        <f>IFERROR(__xludf.DUMMYFUNCTION("""COMPUTED_VALUE"""),"Samuel Kolawole")</f>
        <v>Samuel Kolawole</v>
      </c>
      <c r="H859" t="str">
        <f>IFERROR(__xludf.DUMMYFUNCTION("""COMPUTED_VALUE"""),"Low Rating")</f>
        <v>Low Rating</v>
      </c>
      <c r="I859" t="str">
        <f>IFERROR(__xludf.DUMMYFUNCTION("""COMPUTED_VALUE"""),"Data Science")</f>
        <v>Data Science</v>
      </c>
      <c r="J859" t="str">
        <f>IFERROR(__xludf.DUMMYFUNCTION("""COMPUTED_VALUE"""),"Analytics")</f>
        <v>Analytics</v>
      </c>
      <c r="L859" s="140" t="str">
        <f>IFERROR(__xludf.DUMMYFUNCTION("""COMPUTED_VALUE"""),"")</f>
        <v/>
      </c>
      <c r="N859" s="140" t="str">
        <f>IFERROR(__xludf.DUMMYFUNCTION("""COMPUTED_VALUE"""),"")</f>
        <v/>
      </c>
    </row>
    <row r="860">
      <c r="A860" s="143">
        <f>IFERROR(__xludf.DUMMYFUNCTION("""COMPUTED_VALUE"""),44500.0)</f>
        <v>44500</v>
      </c>
      <c r="B860">
        <f>IFERROR(__xludf.DUMMYFUNCTION("""COMPUTED_VALUE"""),1692020.0)</f>
        <v>1692020</v>
      </c>
      <c r="C860" s="141" t="str">
        <f>IFERROR(__xludf.DUMMYFUNCTION("""COMPUTED_VALUE"""),"en")</f>
        <v>en</v>
      </c>
      <c r="D860" t="str">
        <f>IFERROR(__xludf.DUMMYFUNCTION("""COMPUTED_VALUE"""),"Copywriting Secrets: Become a Content Writing Expert")</f>
        <v>Copywriting Secrets: Become a Content Writing Expert</v>
      </c>
      <c r="E860" t="str">
        <f>IFERROR(__xludf.DUMMYFUNCTION("""COMPUTED_VALUE"""),"Copywriting Secrets: Become a Content Writing Expert")</f>
        <v>Copywriting Secrets: Become a Content Writing Expert</v>
      </c>
      <c r="F860">
        <f>IFERROR(__xludf.DUMMYFUNCTION("""COMPUTED_VALUE"""),3.513919E7)</f>
        <v>35139190</v>
      </c>
      <c r="G860" t="str">
        <f>IFERROR(__xludf.DUMMYFUNCTION("""COMPUTED_VALUE"""),"Tyler Speegle")</f>
        <v>Tyler Speegle</v>
      </c>
      <c r="H860" t="str">
        <f>IFERROR(__xludf.DUMMYFUNCTION("""COMPUTED_VALUE"""),"Low Rating")</f>
        <v>Low Rating</v>
      </c>
      <c r="I860" t="str">
        <f>IFERROR(__xludf.DUMMYFUNCTION("""COMPUTED_VALUE"""),"Marketing")</f>
        <v>Marketing</v>
      </c>
      <c r="J860" t="str">
        <f>IFERROR(__xludf.DUMMYFUNCTION("""COMPUTED_VALUE"""),"Content Marketing")</f>
        <v>Content Marketing</v>
      </c>
      <c r="K860" s="140">
        <f>IFERROR(__xludf.DUMMYFUNCTION("""COMPUTED_VALUE"""),1575836.0)</f>
        <v>1575836</v>
      </c>
      <c r="L860" s="140" t="str">
        <f>IFERROR(__xludf.DUMMYFUNCTION("""COMPUTED_VALUE"""),"The Complete Copywriting Course : Write to Sell Like a Pro")</f>
        <v>The Complete Copywriting Course : Write to Sell Like a Pro</v>
      </c>
      <c r="M860" s="140">
        <f>IFERROR(__xludf.DUMMYFUNCTION("""COMPUTED_VALUE"""),1466432.0)</f>
        <v>1466432</v>
      </c>
      <c r="N860" s="140" t="str">
        <f>IFERROR(__xludf.DUMMYFUNCTION("""COMPUTED_VALUE"""),"Modern Copywriting: Writing copy that sells in 2021")</f>
        <v>Modern Copywriting: Writing copy that sells in 2021</v>
      </c>
    </row>
    <row r="861">
      <c r="A861" s="143">
        <f>IFERROR(__xludf.DUMMYFUNCTION("""COMPUTED_VALUE"""),44500.0)</f>
        <v>44500</v>
      </c>
      <c r="B861">
        <f>IFERROR(__xludf.DUMMYFUNCTION("""COMPUTED_VALUE"""),2445446.0)</f>
        <v>2445446</v>
      </c>
      <c r="C861" s="141" t="str">
        <f>IFERROR(__xludf.DUMMYFUNCTION("""COMPUTED_VALUE"""),"pt")</f>
        <v>pt</v>
      </c>
      <c r="D861" t="str">
        <f>IFERROR(__xludf.DUMMYFUNCTION("""COMPUTED_VALUE"""),"Introdução à Estratégia e Redação Publicitária (Copywriting)")</f>
        <v>Introdução à Estratégia e Redação Publicitária (Copywriting)</v>
      </c>
      <c r="E861" t="str">
        <f>IFERROR(__xludf.DUMMYFUNCTION("""COMPUTED_VALUE"""),"Introduction to Advertising Strategy and Writing (CopyWriting)")</f>
        <v>Introduction to Advertising Strategy and Writing (CopyWriting)</v>
      </c>
      <c r="F861">
        <f>IFERROR(__xludf.DUMMYFUNCTION("""COMPUTED_VALUE"""),5.6340246E7)</f>
        <v>56340246</v>
      </c>
      <c r="G861" t="str">
        <f>IFERROR(__xludf.DUMMYFUNCTION("""COMPUTED_VALUE"""),"José Antônio Rosa")</f>
        <v>José Antônio Rosa</v>
      </c>
      <c r="H861" t="str">
        <f>IFERROR(__xludf.DUMMYFUNCTION("""COMPUTED_VALUE"""),"Low Rating")</f>
        <v>Low Rating</v>
      </c>
      <c r="I861" t="str">
        <f>IFERROR(__xludf.DUMMYFUNCTION("""COMPUTED_VALUE"""),"Marketing")</f>
        <v>Marketing</v>
      </c>
      <c r="J861" t="str">
        <f>IFERROR(__xludf.DUMMYFUNCTION("""COMPUTED_VALUE"""),"Content Marketing")</f>
        <v>Content Marketing</v>
      </c>
      <c r="K861" s="140">
        <f>IFERROR(__xludf.DUMMYFUNCTION("""COMPUTED_VALUE"""),1723362.0)</f>
        <v>1723362</v>
      </c>
      <c r="L861" s="140" t="str">
        <f>IFERROR(__xludf.DUMMYFUNCTION("""COMPUTED_VALUE"""),"Como Vender Mais Com Ofertas Poderosas e Persuasivas + Copy")</f>
        <v>Como Vender Mais Com Ofertas Poderosas e Persuasivas + Copy</v>
      </c>
      <c r="M861" s="140">
        <f>IFERROR(__xludf.DUMMYFUNCTION("""COMPUTED_VALUE"""),2739146.0)</f>
        <v>2739146</v>
      </c>
      <c r="N861" s="140" t="str">
        <f>IFERROR(__xludf.DUMMYFUNCTION("""COMPUTED_VALUE"""),"Copywriting: As 7 fórmulas atemporais para cartas de vendas.")</f>
        <v>Copywriting: As 7 fórmulas atemporais para cartas de vendas.</v>
      </c>
    </row>
    <row r="862">
      <c r="A862" s="143">
        <f>IFERROR(__xludf.DUMMYFUNCTION("""COMPUTED_VALUE"""),44500.0)</f>
        <v>44500</v>
      </c>
      <c r="B862">
        <f>IFERROR(__xludf.DUMMYFUNCTION("""COMPUTED_VALUE"""),2801274.0)</f>
        <v>2801274</v>
      </c>
      <c r="C862" s="141" t="str">
        <f>IFERROR(__xludf.DUMMYFUNCTION("""COMPUTED_VALUE"""),"ja")</f>
        <v>ja</v>
      </c>
      <c r="D862" t="str">
        <f>IFERROR(__xludf.DUMMYFUNCTION("""COMPUTED_VALUE"""),"デザイン思考の先【アートシンキング（アート思考）入門講座】先行き不透明なVUCA時代をイノベーション創出で乗り越えろ！")</f>
        <v>デザイン思考の先【アートシンキング（アート思考）入門講座】先行き不透明なVUCA時代をイノベーション創出で乗り越えろ！</v>
      </c>
      <c r="E862" t="str">
        <f>IFERROR(__xludf.DUMMYFUNCTION("""COMPUTED_VALUE"""),"Design thinking [Art Thinking (Art Thought) Introduction Course] Prior to the incompetence of the unacclosed VUCA era overcoming the innovation!")</f>
        <v>Design thinking [Art Thinking (Art Thought) Introduction Course] Prior to the incompetence of the unacclosed VUCA era overcoming the innovation!</v>
      </c>
      <c r="F862">
        <f>IFERROR(__xludf.DUMMYFUNCTION("""COMPUTED_VALUE"""),8.426906E7)</f>
        <v>84269060</v>
      </c>
      <c r="G862" t="str">
        <f>IFERROR(__xludf.DUMMYFUNCTION("""COMPUTED_VALUE"""),"尾和 恵美加")</f>
        <v>尾和 恵美加</v>
      </c>
      <c r="H862" t="str">
        <f>IFERROR(__xludf.DUMMYFUNCTION("""COMPUTED_VALUE"""),"Low Rating")</f>
        <v>Low Rating</v>
      </c>
      <c r="I862" t="str">
        <f>IFERROR(__xludf.DUMMYFUNCTION("""COMPUTED_VALUE"""),"Leadership &amp; Management")</f>
        <v>Leadership &amp; Management</v>
      </c>
      <c r="J862" t="str">
        <f>IFERROR(__xludf.DUMMYFUNCTION("""COMPUTED_VALUE"""),"Strategy")</f>
        <v>Strategy</v>
      </c>
      <c r="K862" s="140">
        <f>IFERROR(__xludf.DUMMYFUNCTION("""COMPUTED_VALUE"""),2603102.0)</f>
        <v>2603102</v>
      </c>
      <c r="L862" s="140" t="str">
        <f>IFERROR(__xludf.DUMMYFUNCTION("""COMPUTED_VALUE"""),"【超実践】すぐに使えるデザイン思考！〜基本をおさえ、日常にイノベーションを起こす38個の習慣〜")</f>
        <v>【超実践】すぐに使えるデザイン思考！〜基本をおさえ、日常にイノベーションを起こす38個の習慣〜</v>
      </c>
      <c r="M862" s="140">
        <f>IFERROR(__xludf.DUMMYFUNCTION("""COMPUTED_VALUE"""),900920.0)</f>
        <v>900920</v>
      </c>
      <c r="N862" s="140" t="str">
        <f>IFERROR(__xludf.DUMMYFUNCTION("""COMPUTED_VALUE"""),"〜デザイナーの頭の中、大公開〜 企画を「１枚の紙」で、伝えきる。")</f>
        <v>〜デザイナーの頭の中、大公開〜 企画を「１枚の紙」で、伝えきる。</v>
      </c>
    </row>
    <row r="863">
      <c r="A863" s="143">
        <f>IFERROR(__xludf.DUMMYFUNCTION("""COMPUTED_VALUE"""),44500.0)</f>
        <v>44500</v>
      </c>
      <c r="B863">
        <f>IFERROR(__xludf.DUMMYFUNCTION("""COMPUTED_VALUE"""),2775928.0)</f>
        <v>2775928</v>
      </c>
      <c r="C863" s="141" t="str">
        <f>IFERROR(__xludf.DUMMYFUNCTION("""COMPUTED_VALUE"""),"de")</f>
        <v>de</v>
      </c>
      <c r="D863" t="str">
        <f>IFERROR(__xludf.DUMMYFUNCTION("""COMPUTED_VALUE"""),"Die Schreibwerkstatt")</f>
        <v>Die Schreibwerkstatt</v>
      </c>
      <c r="E863" t="str">
        <f>IFERROR(__xludf.DUMMYFUNCTION("""COMPUTED_VALUE"""),"The writing workshop")</f>
        <v>The writing workshop</v>
      </c>
      <c r="F863">
        <f>IFERROR(__xludf.DUMMYFUNCTION("""COMPUTED_VALUE"""),4.3433608E7)</f>
        <v>43433608</v>
      </c>
      <c r="G863" t="str">
        <f>IFERROR(__xludf.DUMMYFUNCTION("""COMPUTED_VALUE"""),"Simon Sanchez Real")</f>
        <v>Simon Sanchez Real</v>
      </c>
      <c r="H863" t="str">
        <f>IFERROR(__xludf.DUMMYFUNCTION("""COMPUTED_VALUE"""),"Low Rating")</f>
        <v>Low Rating</v>
      </c>
      <c r="I863" t="str">
        <f>IFERROR(__xludf.DUMMYFUNCTION("""COMPUTED_VALUE"""),"Marketing")</f>
        <v>Marketing</v>
      </c>
      <c r="J863" t="str">
        <f>IFERROR(__xludf.DUMMYFUNCTION("""COMPUTED_VALUE"""),"Content Marketing")</f>
        <v>Content Marketing</v>
      </c>
      <c r="K863" s="140">
        <f>IFERROR(__xludf.DUMMYFUNCTION("""COMPUTED_VALUE"""),1065450.0)</f>
        <v>1065450</v>
      </c>
      <c r="L863" s="140" t="str">
        <f>IFERROR(__xludf.DUMMYFUNCTION("""COMPUTED_VALUE"""),"Teaser, die zum Weiterlesen animieren")</f>
        <v>Teaser, die zum Weiterlesen animieren</v>
      </c>
      <c r="N863" s="140" t="str">
        <f>IFERROR(__xludf.DUMMYFUNCTION("""COMPUTED_VALUE"""),"")</f>
        <v/>
      </c>
    </row>
    <row r="864">
      <c r="A864" s="143">
        <f>IFERROR(__xludf.DUMMYFUNCTION("""COMPUTED_VALUE"""),44500.0)</f>
        <v>44500</v>
      </c>
      <c r="B864">
        <f>IFERROR(__xludf.DUMMYFUNCTION("""COMPUTED_VALUE"""),3276416.0)</f>
        <v>3276416</v>
      </c>
      <c r="C864" s="141" t="str">
        <f>IFERROR(__xludf.DUMMYFUNCTION("""COMPUTED_VALUE"""),"en")</f>
        <v>en</v>
      </c>
      <c r="D864" t="str">
        <f>IFERROR(__xludf.DUMMYFUNCTION("""COMPUTED_VALUE"""),"Salesforce community cloud implementation with live project")</f>
        <v>Salesforce community cloud implementation with live project</v>
      </c>
      <c r="E864" t="str">
        <f>IFERROR(__xludf.DUMMYFUNCTION("""COMPUTED_VALUE"""),"Salesforce community cloud implementation with live project")</f>
        <v>Salesforce community cloud implementation with live project</v>
      </c>
      <c r="F864">
        <f>IFERROR(__xludf.DUMMYFUNCTION("""COMPUTED_VALUE"""),2.3832452E7)</f>
        <v>23832452</v>
      </c>
      <c r="G864" t="str">
        <f>IFERROR(__xludf.DUMMYFUNCTION("""COMPUTED_VALUE"""),"Debasis Jena")</f>
        <v>Debasis Jena</v>
      </c>
      <c r="H864" t="str">
        <f>IFERROR(__xludf.DUMMYFUNCTION("""COMPUTED_VALUE"""),"Low Rating")</f>
        <v>Low Rating</v>
      </c>
      <c r="I864" t="str">
        <f>IFERROR(__xludf.DUMMYFUNCTION("""COMPUTED_VALUE"""),"Development")</f>
        <v>Development</v>
      </c>
      <c r="J864" t="str">
        <f>IFERROR(__xludf.DUMMYFUNCTION("""COMPUTED_VALUE"""),"Development Tools")</f>
        <v>Development Tools</v>
      </c>
      <c r="K864" s="140">
        <f>IFERROR(__xludf.DUMMYFUNCTION("""COMPUTED_VALUE"""),3212235.0)</f>
        <v>3212235</v>
      </c>
      <c r="L864" s="140" t="str">
        <f>IFERROR(__xludf.DUMMYFUNCTION("""COMPUTED_VALUE"""),"The Complete Salesforce Development Course")</f>
        <v>The Complete Salesforce Development Course</v>
      </c>
      <c r="M864" s="140">
        <f>IFERROR(__xludf.DUMMYFUNCTION("""COMPUTED_VALUE"""),3373278.0)</f>
        <v>3373278</v>
      </c>
      <c r="N864" s="140" t="str">
        <f>IFERROR(__xludf.DUMMYFUNCTION("""COMPUTED_VALUE"""),"Salesforce Development Project")</f>
        <v>Salesforce Development Project</v>
      </c>
    </row>
    <row r="865">
      <c r="A865" s="143">
        <f>IFERROR(__xludf.DUMMYFUNCTION("""COMPUTED_VALUE"""),44500.0)</f>
        <v>44500</v>
      </c>
      <c r="B865">
        <f>IFERROR(__xludf.DUMMYFUNCTION("""COMPUTED_VALUE"""),3515418.0)</f>
        <v>3515418</v>
      </c>
      <c r="C865" s="141" t="str">
        <f>IFERROR(__xludf.DUMMYFUNCTION("""COMPUTED_VALUE"""),"en")</f>
        <v>en</v>
      </c>
      <c r="D865" t="str">
        <f>IFERROR(__xludf.DUMMYFUNCTION("""COMPUTED_VALUE"""),"Quantum Computing and Quantum Machine Learning - Part 1")</f>
        <v>Quantum Computing and Quantum Machine Learning - Part 1</v>
      </c>
      <c r="E865" t="str">
        <f>IFERROR(__xludf.DUMMYFUNCTION("""COMPUTED_VALUE"""),"Quantum Computing and Quantum Machine Learning - Part 1")</f>
        <v>Quantum Computing and Quantum Machine Learning - Part 1</v>
      </c>
      <c r="F865">
        <f>IFERROR(__xludf.DUMMYFUNCTION("""COMPUTED_VALUE"""),4.8551726E7)</f>
        <v>48551726</v>
      </c>
      <c r="G865" t="str">
        <f>IFERROR(__xludf.DUMMYFUNCTION("""COMPUTED_VALUE"""),"Rushabh Doshi")</f>
        <v>Rushabh Doshi</v>
      </c>
      <c r="H865" t="str">
        <f>IFERROR(__xludf.DUMMYFUNCTION("""COMPUTED_VALUE"""),"Low Rating")</f>
        <v>Low Rating</v>
      </c>
      <c r="I865" t="str">
        <f>IFERROR(__xludf.DUMMYFUNCTION("""COMPUTED_VALUE"""),"Development")</f>
        <v>Development</v>
      </c>
      <c r="J865" t="str">
        <f>IFERROR(__xludf.DUMMYFUNCTION("""COMPUTED_VALUE"""),"Software Engineering")</f>
        <v>Software Engineering</v>
      </c>
      <c r="K865" s="140">
        <f>IFERROR(__xludf.DUMMYFUNCTION("""COMPUTED_VALUE"""),1861396.0)</f>
        <v>1861396</v>
      </c>
      <c r="L865" s="140" t="str">
        <f>IFERROR(__xludf.DUMMYFUNCTION("""COMPUTED_VALUE"""),"QC101 Quantum Computing &amp; Quantum Physics for Beginners")</f>
        <v>QC101 Quantum Computing &amp; Quantum Physics for Beginners</v>
      </c>
      <c r="M865" s="140">
        <f>IFERROR(__xludf.DUMMYFUNCTION("""COMPUTED_VALUE"""),2383216.0)</f>
        <v>2383216</v>
      </c>
      <c r="N865" s="140" t="str">
        <f>IFERROR(__xludf.DUMMYFUNCTION("""COMPUTED_VALUE"""),"QC151 Quantum Physics for Quantum Computing")</f>
        <v>QC151 Quantum Physics for Quantum Computing</v>
      </c>
    </row>
    <row r="866">
      <c r="A866" s="143">
        <f>IFERROR(__xludf.DUMMYFUNCTION("""COMPUTED_VALUE"""),44500.0)</f>
        <v>44500</v>
      </c>
      <c r="B866">
        <f>IFERROR(__xludf.DUMMYFUNCTION("""COMPUTED_VALUE"""),3564921.0)</f>
        <v>3564921</v>
      </c>
      <c r="C866" s="141" t="str">
        <f>IFERROR(__xludf.DUMMYFUNCTION("""COMPUTED_VALUE"""),"en")</f>
        <v>en</v>
      </c>
      <c r="D866" t="str">
        <f>IFERROR(__xludf.DUMMYFUNCTION("""COMPUTED_VALUE"""),"Compensation 101 for HR Professionals")</f>
        <v>Compensation 101 for HR Professionals</v>
      </c>
      <c r="E866" t="str">
        <f>IFERROR(__xludf.DUMMYFUNCTION("""COMPUTED_VALUE"""),"Compensation 101 for HR Professionals")</f>
        <v>Compensation 101 for HR Professionals</v>
      </c>
      <c r="F866">
        <f>IFERROR(__xludf.DUMMYFUNCTION("""COMPUTED_VALUE"""),4.2571412E7)</f>
        <v>42571412</v>
      </c>
      <c r="G866" t="str">
        <f>IFERROR(__xludf.DUMMYFUNCTION("""COMPUTED_VALUE"""),"HR Jetpack")</f>
        <v>HR Jetpack</v>
      </c>
      <c r="H866" t="str">
        <f>IFERROR(__xludf.DUMMYFUNCTION("""COMPUTED_VALUE"""),"Low Rating")</f>
        <v>Low Rating</v>
      </c>
      <c r="I866" t="str">
        <f>IFERROR(__xludf.DUMMYFUNCTION("""COMPUTED_VALUE"""),"Workplace &amp; Human Resources")</f>
        <v>Workplace &amp; Human Resources</v>
      </c>
      <c r="J866" t="str">
        <f>IFERROR(__xludf.DUMMYFUNCTION("""COMPUTED_VALUE"""),"Human Resources Fundamentals")</f>
        <v>Human Resources Fundamentals</v>
      </c>
      <c r="L866" s="140" t="str">
        <f>IFERROR(__xludf.DUMMYFUNCTION("""COMPUTED_VALUE"""),"")</f>
        <v/>
      </c>
      <c r="N866" s="140" t="str">
        <f>IFERROR(__xludf.DUMMYFUNCTION("""COMPUTED_VALUE"""),"")</f>
        <v/>
      </c>
    </row>
    <row r="867">
      <c r="A867" s="143">
        <f>IFERROR(__xludf.DUMMYFUNCTION("""COMPUTED_VALUE"""),44500.0)</f>
        <v>44500</v>
      </c>
      <c r="B867">
        <f>IFERROR(__xludf.DUMMYFUNCTION("""COMPUTED_VALUE"""),49779.0)</f>
        <v>49779</v>
      </c>
      <c r="C867" s="141" t="str">
        <f>IFERROR(__xludf.DUMMYFUNCTION("""COMPUTED_VALUE"""),"en")</f>
        <v>en</v>
      </c>
      <c r="D867" t="str">
        <f>IFERROR(__xludf.DUMMYFUNCTION("""COMPUTED_VALUE"""),"The Ultimate Gmail Productivity System For Business")</f>
        <v>The Ultimate Gmail Productivity System For Business</v>
      </c>
      <c r="E867" t="str">
        <f>IFERROR(__xludf.DUMMYFUNCTION("""COMPUTED_VALUE"""),"The Ultimate Gmail Productivity System For Business")</f>
        <v>The Ultimate Gmail Productivity System For Business</v>
      </c>
      <c r="F867">
        <f>IFERROR(__xludf.DUMMYFUNCTION("""COMPUTED_VALUE"""),16647.0)</f>
        <v>16647</v>
      </c>
      <c r="G867" t="str">
        <f>IFERROR(__xludf.DUMMYFUNCTION("""COMPUTED_VALUE"""),"Scott Britton")</f>
        <v>Scott Britton</v>
      </c>
      <c r="H867" t="str">
        <f>IFERROR(__xludf.DUMMYFUNCTION("""COMPUTED_VALUE"""),"3 Flags")</f>
        <v>3 Flags</v>
      </c>
      <c r="I867" t="str">
        <f>IFERROR(__xludf.DUMMYFUNCTION("""COMPUTED_VALUE"""),"Office Productivity")</f>
        <v>Office Productivity</v>
      </c>
      <c r="J867" t="str">
        <f>IFERROR(__xludf.DUMMYFUNCTION("""COMPUTED_VALUE"""),"Email &amp; Productivity")</f>
        <v>Email &amp; Productivity</v>
      </c>
      <c r="K867" s="140">
        <f>IFERROR(__xludf.DUMMYFUNCTION("""COMPUTED_VALUE"""),726230.0)</f>
        <v>726230</v>
      </c>
      <c r="L867" s="140" t="str">
        <f>IFERROR(__xludf.DUMMYFUNCTION("""COMPUTED_VALUE"""),"Double your Gmail productivity in just over one hour")</f>
        <v>Double your Gmail productivity in just over one hour</v>
      </c>
      <c r="N867" s="140" t="str">
        <f>IFERROR(__xludf.DUMMYFUNCTION("""COMPUTED_VALUE"""),"")</f>
        <v/>
      </c>
    </row>
    <row r="868">
      <c r="A868" s="143">
        <f>IFERROR(__xludf.DUMMYFUNCTION("""COMPUTED_VALUE"""),44500.0)</f>
        <v>44500</v>
      </c>
      <c r="B868">
        <f>IFERROR(__xludf.DUMMYFUNCTION("""COMPUTED_VALUE"""),65830.0)</f>
        <v>65830</v>
      </c>
      <c r="C868" s="141" t="str">
        <f>IFERROR(__xludf.DUMMYFUNCTION("""COMPUTED_VALUE"""),"en")</f>
        <v>en</v>
      </c>
      <c r="D868" t="str">
        <f>IFERROR(__xludf.DUMMYFUNCTION("""COMPUTED_VALUE"""),"The Java Spring Tutorial: Learn Java's Popular Web Framework")</f>
        <v>The Java Spring Tutorial: Learn Java's Popular Web Framework</v>
      </c>
      <c r="E868" t="str">
        <f>IFERROR(__xludf.DUMMYFUNCTION("""COMPUTED_VALUE"""),"The Java Spring Tutorial: Learn Java's Popular Web Framework")</f>
        <v>The Java Spring Tutorial: Learn Java's Popular Web Framework</v>
      </c>
      <c r="F868">
        <f>IFERROR(__xludf.DUMMYFUNCTION("""COMPUTED_VALUE"""),219513.0)</f>
        <v>219513</v>
      </c>
      <c r="G868" t="str">
        <f>IFERROR(__xludf.DUMMYFUNCTION("""COMPUTED_VALUE"""),"John Purcell")</f>
        <v>John Purcell</v>
      </c>
      <c r="H868" t="str">
        <f>IFERROR(__xludf.DUMMYFUNCTION("""COMPUTED_VALUE"""),"3 Flags")</f>
        <v>3 Flags</v>
      </c>
      <c r="I868" t="str">
        <f>IFERROR(__xludf.DUMMYFUNCTION("""COMPUTED_VALUE"""),"Development")</f>
        <v>Development</v>
      </c>
      <c r="J868" t="str">
        <f>IFERROR(__xludf.DUMMYFUNCTION("""COMPUTED_VALUE"""),"Web Development")</f>
        <v>Web Development</v>
      </c>
      <c r="K868" s="140">
        <f>IFERROR(__xludf.DUMMYFUNCTION("""COMPUTED_VALUE"""),1535678.0)</f>
        <v>1535678</v>
      </c>
      <c r="L868" s="140" t="str">
        <f>IFERROR(__xludf.DUMMYFUNCTION("""COMPUTED_VALUE"""),"Java Programming for Complete Beginners")</f>
        <v>Java Programming for Complete Beginners</v>
      </c>
      <c r="M868" s="140">
        <f>IFERROR(__xludf.DUMMYFUNCTION("""COMPUTED_VALUE"""),684824.0)</f>
        <v>684824</v>
      </c>
      <c r="N868" s="140" t="str">
        <f>IFERROR(__xludf.DUMMYFUNCTION("""COMPUTED_VALUE"""),"Spring Framework Master Class - Java Spring the Modern Way")</f>
        <v>Spring Framework Master Class - Java Spring the Modern Way</v>
      </c>
    </row>
    <row r="869">
      <c r="A869" s="143">
        <f>IFERROR(__xludf.DUMMYFUNCTION("""COMPUTED_VALUE"""),44500.0)</f>
        <v>44500</v>
      </c>
      <c r="B869">
        <f>IFERROR(__xludf.DUMMYFUNCTION("""COMPUTED_VALUE"""),280806.0)</f>
        <v>280806</v>
      </c>
      <c r="C869" s="141" t="str">
        <f>IFERROR(__xludf.DUMMYFUNCTION("""COMPUTED_VALUE"""),"en")</f>
        <v>en</v>
      </c>
      <c r="D869" t="str">
        <f>IFERROR(__xludf.DUMMYFUNCTION("""COMPUTED_VALUE"""),"Sales Coaching - All you need to be a great sales coach")</f>
        <v>Sales Coaching - All you need to be a great sales coach</v>
      </c>
      <c r="E869" t="str">
        <f>IFERROR(__xludf.DUMMYFUNCTION("""COMPUTED_VALUE"""),"Sales Coaching - All you need to be a great sales coach")</f>
        <v>Sales Coaching - All you need to be a great sales coach</v>
      </c>
      <c r="F869">
        <f>IFERROR(__xludf.DUMMYFUNCTION("""COMPUTED_VALUE"""),7117580.0)</f>
        <v>7117580</v>
      </c>
      <c r="G869" t="str">
        <f>IFERROR(__xludf.DUMMYFUNCTION("""COMPUTED_VALUE"""),"Tony Armstrong")</f>
        <v>Tony Armstrong</v>
      </c>
      <c r="H869" t="str">
        <f>IFERROR(__xludf.DUMMYFUNCTION("""COMPUTED_VALUE"""),"3 Flags")</f>
        <v>3 Flags</v>
      </c>
      <c r="I869" t="str">
        <f>IFERROR(__xludf.DUMMYFUNCTION("""COMPUTED_VALUE"""),"Sales")</f>
        <v>Sales</v>
      </c>
      <c r="J869" t="str">
        <f>IFERROR(__xludf.DUMMYFUNCTION("""COMPUTED_VALUE"""),"Sales Skills &amp; Tools")</f>
        <v>Sales Skills &amp; Tools</v>
      </c>
      <c r="K869" s="140">
        <f>IFERROR(__xludf.DUMMYFUNCTION("""COMPUTED_VALUE"""),1137854.0)</f>
        <v>1137854</v>
      </c>
      <c r="L869" s="140" t="str">
        <f>IFERROR(__xludf.DUMMYFUNCTION("""COMPUTED_VALUE"""),"LinkedIn Marketing Lead Generation for B2B Sales and Coaches")</f>
        <v>LinkedIn Marketing Lead Generation for B2B Sales and Coaches</v>
      </c>
      <c r="N869" s="140" t="str">
        <f>IFERROR(__xludf.DUMMYFUNCTION("""COMPUTED_VALUE"""),"")</f>
        <v/>
      </c>
    </row>
    <row r="870">
      <c r="A870" s="143">
        <f>IFERROR(__xludf.DUMMYFUNCTION("""COMPUTED_VALUE"""),44500.0)</f>
        <v>44500</v>
      </c>
      <c r="B870">
        <f>IFERROR(__xludf.DUMMYFUNCTION("""COMPUTED_VALUE"""),381850.0)</f>
        <v>381850</v>
      </c>
      <c r="C870" s="141" t="str">
        <f>IFERROR(__xludf.DUMMYFUNCTION("""COMPUTED_VALUE"""),"en")</f>
        <v>en</v>
      </c>
      <c r="D870" t="str">
        <f>IFERROR(__xludf.DUMMYFUNCTION("""COMPUTED_VALUE"""),"Mobile App Design In Sketch 3: UX and UI Design From Scratch")</f>
        <v>Mobile App Design In Sketch 3: UX and UI Design From Scratch</v>
      </c>
      <c r="E870" t="str">
        <f>IFERROR(__xludf.DUMMYFUNCTION("""COMPUTED_VALUE"""),"Mobile App Design In Sketch 3: UX and UI Design From Scratch")</f>
        <v>Mobile App Design In Sketch 3: UX and UI Design From Scratch</v>
      </c>
      <c r="F870">
        <f>IFERROR(__xludf.DUMMYFUNCTION("""COMPUTED_VALUE"""),8800948.0)</f>
        <v>8800948</v>
      </c>
      <c r="G870" t="str">
        <f>IFERROR(__xludf.DUMMYFUNCTION("""COMPUTED_VALUE"""),"Andrew Eddy")</f>
        <v>Andrew Eddy</v>
      </c>
      <c r="H870" t="str">
        <f>IFERROR(__xludf.DUMMYFUNCTION("""COMPUTED_VALUE"""),"3 Flags")</f>
        <v>3 Flags</v>
      </c>
      <c r="I870" t="str">
        <f>IFERROR(__xludf.DUMMYFUNCTION("""COMPUTED_VALUE"""),"Design")</f>
        <v>Design</v>
      </c>
      <c r="J870" t="str">
        <f>IFERROR(__xludf.DUMMYFUNCTION("""COMPUTED_VALUE"""),"Design Tools")</f>
        <v>Design Tools</v>
      </c>
      <c r="K870" s="140">
        <f>IFERROR(__xludf.DUMMYFUNCTION("""COMPUTED_VALUE"""),371074.0)</f>
        <v>371074</v>
      </c>
      <c r="L870" s="140" t="str">
        <f>IFERROR(__xludf.DUMMYFUNCTION("""COMPUTED_VALUE"""),"Sketch from A to Z (2020): Become an app designer")</f>
        <v>Sketch from A to Z (2020): Become an app designer</v>
      </c>
      <c r="M870" s="140">
        <f>IFERROR(__xludf.DUMMYFUNCTION("""COMPUTED_VALUE"""),1855830.0)</f>
        <v>1855830</v>
      </c>
      <c r="N870" s="140" t="str">
        <f>IFERROR(__xludf.DUMMYFUNCTION("""COMPUTED_VALUE"""),"The Complete Sketch 5 Course - Design Apps &amp; Websites 2020")</f>
        <v>The Complete Sketch 5 Course - Design Apps &amp; Websites 2020</v>
      </c>
    </row>
    <row r="871">
      <c r="A871" s="143">
        <f>IFERROR(__xludf.DUMMYFUNCTION("""COMPUTED_VALUE"""),44500.0)</f>
        <v>44500</v>
      </c>
      <c r="B871">
        <f>IFERROR(__xludf.DUMMYFUNCTION("""COMPUTED_VALUE"""),482996.0)</f>
        <v>482996</v>
      </c>
      <c r="C871" s="141" t="str">
        <f>IFERROR(__xludf.DUMMYFUNCTION("""COMPUTED_VALUE"""),"en")</f>
        <v>en</v>
      </c>
      <c r="D871" t="str">
        <f>IFERROR(__xludf.DUMMYFUNCTION("""COMPUTED_VALUE"""),"Design thinking for entrepreneurs &amp; startups (part 1)")</f>
        <v>Design thinking for entrepreneurs &amp; startups (part 1)</v>
      </c>
      <c r="E871" t="str">
        <f>IFERROR(__xludf.DUMMYFUNCTION("""COMPUTED_VALUE"""),"Design thinking for entrepreneurs &amp; startups (part 1)")</f>
        <v>Design thinking for entrepreneurs &amp; startups (part 1)</v>
      </c>
      <c r="F871">
        <f>IFERROR(__xludf.DUMMYFUNCTION("""COMPUTED_VALUE"""),2282358.0)</f>
        <v>2282358</v>
      </c>
      <c r="G871" t="str">
        <f>IFERROR(__xludf.DUMMYFUNCTION("""COMPUTED_VALUE"""),"Stefano Messori")</f>
        <v>Stefano Messori</v>
      </c>
      <c r="H871" t="str">
        <f>IFERROR(__xludf.DUMMYFUNCTION("""COMPUTED_VALUE"""),"3 Flags")</f>
        <v>3 Flags</v>
      </c>
      <c r="I871" t="str">
        <f>IFERROR(__xludf.DUMMYFUNCTION("""COMPUTED_VALUE"""),"Personal Development")</f>
        <v>Personal Development</v>
      </c>
      <c r="J871" t="str">
        <f>IFERROR(__xludf.DUMMYFUNCTION("""COMPUTED_VALUE"""),"Entrepreneurship")</f>
        <v>Entrepreneurship</v>
      </c>
      <c r="K871" s="140">
        <f>IFERROR(__xludf.DUMMYFUNCTION("""COMPUTED_VALUE"""),833782.0)</f>
        <v>833782</v>
      </c>
      <c r="L871" s="140" t="str">
        <f>IFERROR(__xludf.DUMMYFUNCTION("""COMPUTED_VALUE"""),"Design Thinking + Entrepreneurship: My 8-Step Launch Program")</f>
        <v>Design Thinking + Entrepreneurship: My 8-Step Launch Program</v>
      </c>
      <c r="M871" s="140">
        <f>IFERROR(__xludf.DUMMYFUNCTION("""COMPUTED_VALUE"""),3713134.0)</f>
        <v>3713134</v>
      </c>
      <c r="N871" s="140" t="str">
        <f>IFERROR(__xludf.DUMMYFUNCTION("""COMPUTED_VALUE"""),"Design Thinking Crash Course | From Beginner to Practitioner")</f>
        <v>Design Thinking Crash Course | From Beginner to Practitioner</v>
      </c>
    </row>
    <row r="872">
      <c r="A872" s="143">
        <f>IFERROR(__xludf.DUMMYFUNCTION("""COMPUTED_VALUE"""),44500.0)</f>
        <v>44500</v>
      </c>
      <c r="B872">
        <f>IFERROR(__xludf.DUMMYFUNCTION("""COMPUTED_VALUE"""),792660.0)</f>
        <v>792660</v>
      </c>
      <c r="C872" s="141" t="str">
        <f>IFERROR(__xludf.DUMMYFUNCTION("""COMPUTED_VALUE"""),"de")</f>
        <v>de</v>
      </c>
      <c r="D872" t="str">
        <f>IFERROR(__xludf.DUMMYFUNCTION("""COMPUTED_VALUE"""),"Karriere managen: Die besten Erfolgsstrategien")</f>
        <v>Karriere managen: Die besten Erfolgsstrategien</v>
      </c>
      <c r="E872" t="str">
        <f>IFERROR(__xludf.DUMMYFUNCTION("""COMPUTED_VALUE"""),"Career Manage: The best success strategies")</f>
        <v>Career Manage: The best success strategies</v>
      </c>
      <c r="F872">
        <f>IFERROR(__xludf.DUMMYFUNCTION("""COMPUTED_VALUE"""),1.083405E7)</f>
        <v>10834050</v>
      </c>
      <c r="G872" t="str">
        <f>IFERROR(__xludf.DUMMYFUNCTION("""COMPUTED_VALUE"""),"Jürgen Wulff")</f>
        <v>Jürgen Wulff</v>
      </c>
      <c r="H872" t="str">
        <f>IFERROR(__xludf.DUMMYFUNCTION("""COMPUTED_VALUE"""),"3 Flags")</f>
        <v>3 Flags</v>
      </c>
      <c r="I872" t="str">
        <f>IFERROR(__xludf.DUMMYFUNCTION("""COMPUTED_VALUE"""),"Leadership &amp; Management")</f>
        <v>Leadership &amp; Management</v>
      </c>
      <c r="J872" t="str">
        <f>IFERROR(__xludf.DUMMYFUNCTION("""COMPUTED_VALUE"""),"Communication")</f>
        <v>Communication</v>
      </c>
      <c r="K872" s="140">
        <f>IFERROR(__xludf.DUMMYFUNCTION("""COMPUTED_VALUE"""),1065502.0)</f>
        <v>1065502</v>
      </c>
      <c r="L872" s="140" t="str">
        <f>IFERROR(__xludf.DUMMYFUNCTION("""COMPUTED_VALUE"""),"Mitarbeitergespräche: Leitfaden &amp; Praxistips für Mitarbeiter")</f>
        <v>Mitarbeitergespräche: Leitfaden &amp; Praxistips für Mitarbeiter</v>
      </c>
      <c r="N872" s="140" t="str">
        <f>IFERROR(__xludf.DUMMYFUNCTION("""COMPUTED_VALUE"""),"")</f>
        <v/>
      </c>
    </row>
    <row r="873">
      <c r="A873" s="143">
        <f>IFERROR(__xludf.DUMMYFUNCTION("""COMPUTED_VALUE"""),44500.0)</f>
        <v>44500</v>
      </c>
      <c r="B873">
        <f>IFERROR(__xludf.DUMMYFUNCTION("""COMPUTED_VALUE"""),931628.0)</f>
        <v>931628</v>
      </c>
      <c r="C873" s="141" t="str">
        <f>IFERROR(__xludf.DUMMYFUNCTION("""COMPUTED_VALUE"""),"en")</f>
        <v>en</v>
      </c>
      <c r="D873" t="str">
        <f>IFERROR(__xludf.DUMMYFUNCTION("""COMPUTED_VALUE"""),"Learn SAP DMS Document Management System – SAP PLM")</f>
        <v>Learn SAP DMS Document Management System – SAP PLM</v>
      </c>
      <c r="E873" t="str">
        <f>IFERROR(__xludf.DUMMYFUNCTION("""COMPUTED_VALUE"""),"Learn SAP DMS Document Management System – SAP PLM")</f>
        <v>Learn SAP DMS Document Management System – SAP PLM</v>
      </c>
      <c r="F873">
        <f>IFERROR(__xludf.DUMMYFUNCTION("""COMPUTED_VALUE"""),2.0918548E7)</f>
        <v>20918548</v>
      </c>
      <c r="G873" t="str">
        <f>IFERROR(__xludf.DUMMYFUNCTION("""COMPUTED_VALUE"""),"Alex Cotoara")</f>
        <v>Alex Cotoara</v>
      </c>
      <c r="H873" t="str">
        <f>IFERROR(__xludf.DUMMYFUNCTION("""COMPUTED_VALUE"""),"3 Flags")</f>
        <v>3 Flags</v>
      </c>
      <c r="I873" t="str">
        <f>IFERROR(__xludf.DUMMYFUNCTION("""COMPUTED_VALUE"""),"Project Management &amp; Operations")</f>
        <v>Project Management &amp; Operations</v>
      </c>
      <c r="J873" t="str">
        <f>IFERROR(__xludf.DUMMYFUNCTION("""COMPUTED_VALUE"""),"Operations Management")</f>
        <v>Operations Management</v>
      </c>
      <c r="L873" s="140" t="str">
        <f>IFERROR(__xludf.DUMMYFUNCTION("""COMPUTED_VALUE"""),"")</f>
        <v/>
      </c>
      <c r="N873" s="140" t="str">
        <f>IFERROR(__xludf.DUMMYFUNCTION("""COMPUTED_VALUE"""),"")</f>
        <v/>
      </c>
    </row>
    <row r="874">
      <c r="A874" s="143">
        <f>IFERROR(__xludf.DUMMYFUNCTION("""COMPUTED_VALUE"""),44500.0)</f>
        <v>44500</v>
      </c>
      <c r="B874">
        <f>IFERROR(__xludf.DUMMYFUNCTION("""COMPUTED_VALUE"""),1193330.0)</f>
        <v>1193330</v>
      </c>
      <c r="C874" s="141" t="str">
        <f>IFERROR(__xludf.DUMMYFUNCTION("""COMPUTED_VALUE"""),"en")</f>
        <v>en</v>
      </c>
      <c r="D874" t="str">
        <f>IFERROR(__xludf.DUMMYFUNCTION("""COMPUTED_VALUE"""),"Hacking with watchOS 5 - Build Amazing Apple Watch Apps")</f>
        <v>Hacking with watchOS 5 - Build Amazing Apple Watch Apps</v>
      </c>
      <c r="E874" t="str">
        <f>IFERROR(__xludf.DUMMYFUNCTION("""COMPUTED_VALUE"""),"Hacking with watchOS 5 - Build Amazing Apple Watch Apps")</f>
        <v>Hacking with watchOS 5 - Build Amazing Apple Watch Apps</v>
      </c>
      <c r="F874">
        <f>IFERROR(__xludf.DUMMYFUNCTION("""COMPUTED_VALUE"""),7686566.0)</f>
        <v>7686566</v>
      </c>
      <c r="G874" t="str">
        <f>IFERROR(__xludf.DUMMYFUNCTION("""COMPUTED_VALUE"""),"Stephen DeStefano")</f>
        <v>Stephen DeStefano</v>
      </c>
      <c r="H874" t="str">
        <f>IFERROR(__xludf.DUMMYFUNCTION("""COMPUTED_VALUE"""),"3 Flags")</f>
        <v>3 Flags</v>
      </c>
      <c r="I874" t="str">
        <f>IFERROR(__xludf.DUMMYFUNCTION("""COMPUTED_VALUE"""),"Development")</f>
        <v>Development</v>
      </c>
      <c r="J874" t="str">
        <f>IFERROR(__xludf.DUMMYFUNCTION("""COMPUTED_VALUE"""),"Mobile Development")</f>
        <v>Mobile Development</v>
      </c>
      <c r="K874" s="140">
        <f>IFERROR(__xludf.DUMMYFUNCTION("""COMPUTED_VALUE"""),970894.0)</f>
        <v>970894</v>
      </c>
      <c r="L874" s="140" t="str">
        <f>IFERROR(__xludf.DUMMYFUNCTION("""COMPUTED_VALUE"""),"Apple Watch Programming for iOS Developers - WatchOS 3 Apps")</f>
        <v>Apple Watch Programming for iOS Developers - WatchOS 3 Apps</v>
      </c>
      <c r="N874" s="140" t="str">
        <f>IFERROR(__xludf.DUMMYFUNCTION("""COMPUTED_VALUE"""),"")</f>
        <v/>
      </c>
    </row>
    <row r="875">
      <c r="A875" s="143">
        <f>IFERROR(__xludf.DUMMYFUNCTION("""COMPUTED_VALUE"""),44500.0)</f>
        <v>44500</v>
      </c>
      <c r="B875">
        <f>IFERROR(__xludf.DUMMYFUNCTION("""COMPUTED_VALUE"""),1280880.0)</f>
        <v>1280880</v>
      </c>
      <c r="C875" s="141" t="str">
        <f>IFERROR(__xludf.DUMMYFUNCTION("""COMPUTED_VALUE"""),"de")</f>
        <v>de</v>
      </c>
      <c r="D875" t="str">
        <f>IFERROR(__xludf.DUMMYFUNCTION("""COMPUTED_VALUE"""),"50 Tipps um deine Fotos professioneller aussehen zu lassen!")</f>
        <v>50 Tipps um deine Fotos professioneller aussehen zu lassen!</v>
      </c>
      <c r="E875" t="str">
        <f>IFERROR(__xludf.DUMMYFUNCTION("""COMPUTED_VALUE"""),"50 Tips To make your photos look more professional!")</f>
        <v>50 Tips To make your photos look more professional!</v>
      </c>
      <c r="F875">
        <f>IFERROR(__xludf.DUMMYFUNCTION("""COMPUTED_VALUE"""),3.1298656E7)</f>
        <v>31298656</v>
      </c>
      <c r="G875" t="str">
        <f>IFERROR(__xludf.DUMMYFUNCTION("""COMPUTED_VALUE"""),"Justus Zeemann")</f>
        <v>Justus Zeemann</v>
      </c>
      <c r="H875" t="str">
        <f>IFERROR(__xludf.DUMMYFUNCTION("""COMPUTED_VALUE"""),"3 Flags")</f>
        <v>3 Flags</v>
      </c>
      <c r="I875" t="str">
        <f>IFERROR(__xludf.DUMMYFUNCTION("""COMPUTED_VALUE"""),"Personal Development")</f>
        <v>Personal Development</v>
      </c>
      <c r="J875" t="str">
        <f>IFERROR(__xludf.DUMMYFUNCTION("""COMPUTED_VALUE"""),"Arts &amp; Creativity")</f>
        <v>Arts &amp; Creativity</v>
      </c>
      <c r="K875" s="140">
        <f>IFERROR(__xludf.DUMMYFUNCTION("""COMPUTED_VALUE"""),1774922.0)</f>
        <v>1774922</v>
      </c>
      <c r="L875" s="140" t="str">
        <f>IFERROR(__xludf.DUMMYFUNCTION("""COMPUTED_VALUE"""),"Produktfotografie von Low Budget bis Profilösung")</f>
        <v>Produktfotografie von Low Budget bis Profilösung</v>
      </c>
      <c r="N875" s="140" t="str">
        <f>IFERROR(__xludf.DUMMYFUNCTION("""COMPUTED_VALUE"""),"")</f>
        <v/>
      </c>
    </row>
    <row r="876">
      <c r="A876" s="143">
        <f>IFERROR(__xludf.DUMMYFUNCTION("""COMPUTED_VALUE"""),44500.0)</f>
        <v>44500</v>
      </c>
      <c r="B876">
        <f>IFERROR(__xludf.DUMMYFUNCTION("""COMPUTED_VALUE"""),1350012.0)</f>
        <v>1350012</v>
      </c>
      <c r="C876" s="141" t="str">
        <f>IFERROR(__xludf.DUMMYFUNCTION("""COMPUTED_VALUE"""),"es")</f>
        <v>es</v>
      </c>
      <c r="D876" t="str">
        <f>IFERROR(__xludf.DUMMYFUNCTION("""COMPUTED_VALUE"""),"Entrenamiento para la Certificación de Red Hat RHCE")</f>
        <v>Entrenamiento para la Certificación de Red Hat RHCE</v>
      </c>
      <c r="E876" t="str">
        <f>IFERROR(__xludf.DUMMYFUNCTION("""COMPUTED_VALUE"""),"Training for Red Hat RHCE certification")</f>
        <v>Training for Red Hat RHCE certification</v>
      </c>
      <c r="F876">
        <f>IFERROR(__xludf.DUMMYFUNCTION("""COMPUTED_VALUE"""),3.5973838E7)</f>
        <v>35973838</v>
      </c>
      <c r="G876" t="str">
        <f>IFERROR(__xludf.DUMMYFUNCTION("""COMPUTED_VALUE"""),"Fidel DominguezValero")</f>
        <v>Fidel DominguezValero</v>
      </c>
      <c r="H876" t="str">
        <f>IFERROR(__xludf.DUMMYFUNCTION("""COMPUTED_VALUE"""),"3 Flags")</f>
        <v>3 Flags</v>
      </c>
      <c r="I876" t="str">
        <f>IFERROR(__xludf.DUMMYFUNCTION("""COMPUTED_VALUE"""),"IT Operations")</f>
        <v>IT Operations</v>
      </c>
      <c r="J876" t="str">
        <f>IFERROR(__xludf.DUMMYFUNCTION("""COMPUTED_VALUE"""),"IT Certifications")</f>
        <v>IT Certifications</v>
      </c>
      <c r="L876" s="140" t="str">
        <f>IFERROR(__xludf.DUMMYFUNCTION("""COMPUTED_VALUE"""),"")</f>
        <v/>
      </c>
      <c r="N876" s="140" t="str">
        <f>IFERROR(__xludf.DUMMYFUNCTION("""COMPUTED_VALUE"""),"")</f>
        <v/>
      </c>
    </row>
    <row r="877">
      <c r="A877" s="143">
        <f>IFERROR(__xludf.DUMMYFUNCTION("""COMPUTED_VALUE"""),44500.0)</f>
        <v>44500</v>
      </c>
      <c r="B877">
        <f>IFERROR(__xludf.DUMMYFUNCTION("""COMPUTED_VALUE"""),1472750.0)</f>
        <v>1472750</v>
      </c>
      <c r="C877" s="141" t="str">
        <f>IFERROR(__xludf.DUMMYFUNCTION("""COMPUTED_VALUE"""),"de")</f>
        <v>de</v>
      </c>
      <c r="D877" t="str">
        <f>IFERROR(__xludf.DUMMYFUNCTION("""COMPUTED_VALUE"""),"SEO: Suchmaschinenoptimierung für Google in 8 Tagen umsetzen")</f>
        <v>SEO: Suchmaschinenoptimierung für Google in 8 Tagen umsetzen</v>
      </c>
      <c r="E877" t="str">
        <f>IFERROR(__xludf.DUMMYFUNCTION("""COMPUTED_VALUE"""),"SEO: Make search engine optimization for Google in 8 days")</f>
        <v>SEO: Make search engine optimization for Google in 8 days</v>
      </c>
      <c r="F877">
        <f>IFERROR(__xludf.DUMMYFUNCTION("""COMPUTED_VALUE"""),2.94299E7)</f>
        <v>29429900</v>
      </c>
      <c r="G877" t="str">
        <f>IFERROR(__xludf.DUMMYFUNCTION("""COMPUTED_VALUE"""),"Dr. Sebastian Decker")</f>
        <v>Dr. Sebastian Decker</v>
      </c>
      <c r="H877" t="str">
        <f>IFERROR(__xludf.DUMMYFUNCTION("""COMPUTED_VALUE"""),"3 Flags")</f>
        <v>3 Flags</v>
      </c>
      <c r="I877" t="str">
        <f>IFERROR(__xludf.DUMMYFUNCTION("""COMPUTED_VALUE"""),"Marketing")</f>
        <v>Marketing</v>
      </c>
      <c r="J877" t="str">
        <f>IFERROR(__xludf.DUMMYFUNCTION("""COMPUTED_VALUE"""),"Search Engine Optimization")</f>
        <v>Search Engine Optimization</v>
      </c>
      <c r="K877" s="140">
        <f>IFERROR(__xludf.DUMMYFUNCTION("""COMPUTED_VALUE"""),1935242.0)</f>
        <v>1935242</v>
      </c>
      <c r="L877" s="140" t="str">
        <f>IFERROR(__xludf.DUMMYFUNCTION("""COMPUTED_VALUE"""),"SEO GURU | Workshop für SEO-Muffel")</f>
        <v>SEO GURU | Workshop für SEO-Muffel</v>
      </c>
      <c r="N877" s="140" t="str">
        <f>IFERROR(__xludf.DUMMYFUNCTION("""COMPUTED_VALUE"""),"")</f>
        <v/>
      </c>
    </row>
    <row r="878">
      <c r="A878" s="143">
        <f>IFERROR(__xludf.DUMMYFUNCTION("""COMPUTED_VALUE"""),44500.0)</f>
        <v>44500</v>
      </c>
      <c r="B878">
        <f>IFERROR(__xludf.DUMMYFUNCTION("""COMPUTED_VALUE"""),1536640.0)</f>
        <v>1536640</v>
      </c>
      <c r="C878" s="141" t="str">
        <f>IFERROR(__xludf.DUMMYFUNCTION("""COMPUTED_VALUE"""),"es")</f>
        <v>es</v>
      </c>
      <c r="D878" t="str">
        <f>IFERROR(__xludf.DUMMYFUNCTION("""COMPUTED_VALUE"""),"[A-Z] Google Tag Manager de básico a especialista de tags")</f>
        <v>[A-Z] Google Tag Manager de básico a especialista de tags</v>
      </c>
      <c r="E878" t="str">
        <f>IFERROR(__xludf.DUMMYFUNCTION("""COMPUTED_VALUE"""),"[A-Z] Google Tag Manager Basic to Tags Specialist")</f>
        <v>[A-Z] Google Tag Manager Basic to Tags Specialist</v>
      </c>
      <c r="F878">
        <f>IFERROR(__xludf.DUMMYFUNCTION("""COMPUTED_VALUE"""),3.8475646E7)</f>
        <v>38475646</v>
      </c>
      <c r="G878" t="str">
        <f>IFERROR(__xludf.DUMMYFUNCTION("""COMPUTED_VALUE"""),"Marco Russo")</f>
        <v>Marco Russo</v>
      </c>
      <c r="H878" t="str">
        <f>IFERROR(__xludf.DUMMYFUNCTION("""COMPUTED_VALUE"""),"3 Flags")</f>
        <v>3 Flags</v>
      </c>
      <c r="I878" t="str">
        <f>IFERROR(__xludf.DUMMYFUNCTION("""COMPUTED_VALUE"""),"Marketing")</f>
        <v>Marketing</v>
      </c>
      <c r="J878" t="str">
        <f>IFERROR(__xludf.DUMMYFUNCTION("""COMPUTED_VALUE"""),"Search Engine Optimization")</f>
        <v>Search Engine Optimization</v>
      </c>
      <c r="L878" s="140" t="str">
        <f>IFERROR(__xludf.DUMMYFUNCTION("""COMPUTED_VALUE"""),"")</f>
        <v/>
      </c>
      <c r="N878" s="140" t="str">
        <f>IFERROR(__xludf.DUMMYFUNCTION("""COMPUTED_VALUE"""),"")</f>
        <v/>
      </c>
    </row>
    <row r="879">
      <c r="A879" s="143">
        <f>IFERROR(__xludf.DUMMYFUNCTION("""COMPUTED_VALUE"""),44500.0)</f>
        <v>44500</v>
      </c>
      <c r="B879">
        <f>IFERROR(__xludf.DUMMYFUNCTION("""COMPUTED_VALUE"""),1596850.0)</f>
        <v>1596850</v>
      </c>
      <c r="C879" s="141" t="str">
        <f>IFERROR(__xludf.DUMMYFUNCTION("""COMPUTED_VALUE"""),"en")</f>
        <v>en</v>
      </c>
      <c r="D879" t="str">
        <f>IFERROR(__xludf.DUMMYFUNCTION("""COMPUTED_VALUE"""),"Google Sheet Data API JSON AJAX")</f>
        <v>Google Sheet Data API JSON AJAX</v>
      </c>
      <c r="E879" t="str">
        <f>IFERROR(__xludf.DUMMYFUNCTION("""COMPUTED_VALUE"""),"Google Sheet Data API JSON AJAX")</f>
        <v>Google Sheet Data API JSON AJAX</v>
      </c>
      <c r="F879">
        <f>IFERROR(__xludf.DUMMYFUNCTION("""COMPUTED_VALUE"""),5581552.0)</f>
        <v>5581552</v>
      </c>
      <c r="G879" t="str">
        <f>IFERROR(__xludf.DUMMYFUNCTION("""COMPUTED_VALUE"""),"Laurence Svekis")</f>
        <v>Laurence Svekis</v>
      </c>
      <c r="H879" t="str">
        <f>IFERROR(__xludf.DUMMYFUNCTION("""COMPUTED_VALUE"""),"3 Flags")</f>
        <v>3 Flags</v>
      </c>
      <c r="I879" t="str">
        <f>IFERROR(__xludf.DUMMYFUNCTION("""COMPUTED_VALUE"""),"Development")</f>
        <v>Development</v>
      </c>
      <c r="J879" t="str">
        <f>IFERROR(__xludf.DUMMYFUNCTION("""COMPUTED_VALUE"""),"Web Development")</f>
        <v>Web Development</v>
      </c>
      <c r="L879" s="140" t="str">
        <f>IFERROR(__xludf.DUMMYFUNCTION("""COMPUTED_VALUE"""),"")</f>
        <v/>
      </c>
      <c r="N879" s="140" t="str">
        <f>IFERROR(__xludf.DUMMYFUNCTION("""COMPUTED_VALUE"""),"")</f>
        <v/>
      </c>
    </row>
    <row r="880">
      <c r="A880" s="143">
        <f>IFERROR(__xludf.DUMMYFUNCTION("""COMPUTED_VALUE"""),44500.0)</f>
        <v>44500</v>
      </c>
      <c r="B880">
        <f>IFERROR(__xludf.DUMMYFUNCTION("""COMPUTED_VALUE"""),1609536.0)</f>
        <v>1609536</v>
      </c>
      <c r="C880" s="141" t="str">
        <f>IFERROR(__xludf.DUMMYFUNCTION("""COMPUTED_VALUE"""),"de")</f>
        <v>de</v>
      </c>
      <c r="D880" t="str">
        <f>IFERROR(__xludf.DUMMYFUNCTION("""COMPUTED_VALUE"""),"Präsentieren und Reden halten - Das Präsentationstraining")</f>
        <v>Präsentieren und Reden halten - Das Präsentationstraining</v>
      </c>
      <c r="E880" t="str">
        <f>IFERROR(__xludf.DUMMYFUNCTION("""COMPUTED_VALUE"""),"Present and keep talking - the presentation training")</f>
        <v>Present and keep talking - the presentation training</v>
      </c>
      <c r="F880">
        <f>IFERROR(__xludf.DUMMYFUNCTION("""COMPUTED_VALUE"""),2.7380472E7)</f>
        <v>27380472</v>
      </c>
      <c r="G880" t="str">
        <f>IFERROR(__xludf.DUMMYFUNCTION("""COMPUTED_VALUE"""),"Jannis Riebschläger")</f>
        <v>Jannis Riebschläger</v>
      </c>
      <c r="H880" t="str">
        <f>IFERROR(__xludf.DUMMYFUNCTION("""COMPUTED_VALUE"""),"3 Flags")</f>
        <v>3 Flags</v>
      </c>
      <c r="I880" t="str">
        <f>IFERROR(__xludf.DUMMYFUNCTION("""COMPUTED_VALUE"""),"Leadership &amp; Management")</f>
        <v>Leadership &amp; Management</v>
      </c>
      <c r="J880" t="str">
        <f>IFERROR(__xludf.DUMMYFUNCTION("""COMPUTED_VALUE"""),"Communication")</f>
        <v>Communication</v>
      </c>
      <c r="K880" s="140">
        <f>IFERROR(__xludf.DUMMYFUNCTION("""COMPUTED_VALUE"""),895066.0)</f>
        <v>895066</v>
      </c>
      <c r="L880" s="140" t="str">
        <f>IFERROR(__xludf.DUMMYFUNCTION("""COMPUTED_VALUE"""),"Schlagfertigkeit: Die 30 besten Schlagfertigkeits-Techniken!")</f>
        <v>Schlagfertigkeit: Die 30 besten Schlagfertigkeits-Techniken!</v>
      </c>
      <c r="M880" s="140">
        <f>IFERROR(__xludf.DUMMYFUNCTION("""COMPUTED_VALUE"""),3683216.0)</f>
        <v>3683216</v>
      </c>
      <c r="N880" s="140" t="str">
        <f>IFERROR(__xludf.DUMMYFUNCTION("""COMPUTED_VALUE"""),"Schwierige Gespräche führen im Beruf: Konfliktmanagement")</f>
        <v>Schwierige Gespräche führen im Beruf: Konfliktmanagement</v>
      </c>
    </row>
    <row r="881">
      <c r="A881" s="143">
        <f>IFERROR(__xludf.DUMMYFUNCTION("""COMPUTED_VALUE"""),44500.0)</f>
        <v>44500</v>
      </c>
      <c r="B881">
        <f>IFERROR(__xludf.DUMMYFUNCTION("""COMPUTED_VALUE"""),1774266.0)</f>
        <v>1774266</v>
      </c>
      <c r="C881" s="141" t="str">
        <f>IFERROR(__xludf.DUMMYFUNCTION("""COMPUTED_VALUE"""),"de")</f>
        <v>de</v>
      </c>
      <c r="D881" t="str">
        <f>IFERROR(__xludf.DUMMYFUNCTION("""COMPUTED_VALUE"""),"Photoshop Grundlagen - Grundkurs für jeden Einsteiger")</f>
        <v>Photoshop Grundlagen - Grundkurs für jeden Einsteiger</v>
      </c>
      <c r="E881" t="str">
        <f>IFERROR(__xludf.DUMMYFUNCTION("""COMPUTED_VALUE"""),"Photoshop Basics - Basic Course for every beginner")</f>
        <v>Photoshop Basics - Basic Course for every beginner</v>
      </c>
      <c r="F881">
        <f>IFERROR(__xludf.DUMMYFUNCTION("""COMPUTED_VALUE"""),5.0699816E7)</f>
        <v>50699816</v>
      </c>
      <c r="G881" t="str">
        <f>IFERROR(__xludf.DUMMYFUNCTION("""COMPUTED_VALUE"""),"Andrey Isotov")</f>
        <v>Andrey Isotov</v>
      </c>
      <c r="H881" t="str">
        <f>IFERROR(__xludf.DUMMYFUNCTION("""COMPUTED_VALUE"""),"3 Flags")</f>
        <v>3 Flags</v>
      </c>
      <c r="I881" t="str">
        <f>IFERROR(__xludf.DUMMYFUNCTION("""COMPUTED_VALUE"""),"Design")</f>
        <v>Design</v>
      </c>
      <c r="J881" t="str">
        <f>IFERROR(__xludf.DUMMYFUNCTION("""COMPUTED_VALUE"""),"Graphic Design")</f>
        <v>Graphic Design</v>
      </c>
      <c r="K881" s="140">
        <f>IFERROR(__xludf.DUMMYFUNCTION("""COMPUTED_VALUE"""),1759662.0)</f>
        <v>1759662</v>
      </c>
      <c r="L881" s="140" t="str">
        <f>IFERROR(__xludf.DUMMYFUNCTION("""COMPUTED_VALUE"""),"Adobe Design Bootcamp -Photoshop, Illustrator und InDesign!")</f>
        <v>Adobe Design Bootcamp -Photoshop, Illustrator und InDesign!</v>
      </c>
      <c r="M881" s="140">
        <f>IFERROR(__xludf.DUMMYFUNCTION("""COMPUTED_VALUE"""),760520.0)</f>
        <v>760520</v>
      </c>
      <c r="N881" s="140" t="str">
        <f>IFERROR(__xludf.DUMMYFUNCTION("""COMPUTED_VALUE"""),"Photoshop Werkzeuge leicht gemacht")</f>
        <v>Photoshop Werkzeuge leicht gemacht</v>
      </c>
    </row>
    <row r="882">
      <c r="A882" s="143">
        <f>IFERROR(__xludf.DUMMYFUNCTION("""COMPUTED_VALUE"""),44500.0)</f>
        <v>44500</v>
      </c>
      <c r="B882">
        <f>IFERROR(__xludf.DUMMYFUNCTION("""COMPUTED_VALUE"""),1877906.0)</f>
        <v>1877906</v>
      </c>
      <c r="C882" s="141" t="str">
        <f>IFERROR(__xludf.DUMMYFUNCTION("""COMPUTED_VALUE"""),"en")</f>
        <v>en</v>
      </c>
      <c r="D882" t="str">
        <f>IFERROR(__xludf.DUMMYFUNCTION("""COMPUTED_VALUE"""),"How to make a Social Networking app -Android App Development")</f>
        <v>How to make a Social Networking app -Android App Development</v>
      </c>
      <c r="E882" t="str">
        <f>IFERROR(__xludf.DUMMYFUNCTION("""COMPUTED_VALUE"""),"How to make a Social Networking app -Android App Development")</f>
        <v>How to make a Social Networking app -Android App Development</v>
      </c>
      <c r="F882">
        <f>IFERROR(__xludf.DUMMYFUNCTION("""COMPUTED_VALUE"""),2.143656E7)</f>
        <v>21436560</v>
      </c>
      <c r="G882" t="str">
        <f>IFERROR(__xludf.DUMMYFUNCTION("""COMPUTED_VALUE"""),"Kapil Bhattarai")</f>
        <v>Kapil Bhattarai</v>
      </c>
      <c r="H882" t="str">
        <f>IFERROR(__xludf.DUMMYFUNCTION("""COMPUTED_VALUE"""),"3 Flags")</f>
        <v>3 Flags</v>
      </c>
      <c r="I882" t="str">
        <f>IFERROR(__xludf.DUMMYFUNCTION("""COMPUTED_VALUE"""),"Development")</f>
        <v>Development</v>
      </c>
      <c r="J882" t="str">
        <f>IFERROR(__xludf.DUMMYFUNCTION("""COMPUTED_VALUE"""),"Mobile Development")</f>
        <v>Mobile Development</v>
      </c>
      <c r="K882" s="140">
        <f>IFERROR(__xludf.DUMMYFUNCTION("""COMPUTED_VALUE"""),951618.0)</f>
        <v>951618</v>
      </c>
      <c r="L882" s="140" t="str">
        <f>IFERROR(__xludf.DUMMYFUNCTION("""COMPUTED_VALUE"""),"The Complete Android N Developer Course")</f>
        <v>The Complete Android N Developer Course</v>
      </c>
      <c r="N882" s="140" t="str">
        <f>IFERROR(__xludf.DUMMYFUNCTION("""COMPUTED_VALUE"""),"")</f>
        <v/>
      </c>
    </row>
    <row r="883">
      <c r="A883" s="143">
        <f>IFERROR(__xludf.DUMMYFUNCTION("""COMPUTED_VALUE"""),44500.0)</f>
        <v>44500</v>
      </c>
      <c r="B883">
        <f>IFERROR(__xludf.DUMMYFUNCTION("""COMPUTED_VALUE"""),2323290.0)</f>
        <v>2323290</v>
      </c>
      <c r="C883" s="141" t="str">
        <f>IFERROR(__xludf.DUMMYFUNCTION("""COMPUTED_VALUE"""),"fr")</f>
        <v>fr</v>
      </c>
      <c r="D883" t="str">
        <f>IFERROR(__xludf.DUMMYFUNCTION("""COMPUTED_VALUE"""),"ReactJS pour débutants (+ React Router)")</f>
        <v>ReactJS pour débutants (+ React Router)</v>
      </c>
      <c r="E883" t="str">
        <f>IFERROR(__xludf.DUMMYFUNCTION("""COMPUTED_VALUE"""),"REACTJS for beginners (+ React Router)")</f>
        <v>REACTJS for beginners (+ React Router)</v>
      </c>
      <c r="F883">
        <f>IFERROR(__xludf.DUMMYFUNCTION("""COMPUTED_VALUE"""),2.6683816E7)</f>
        <v>26683816</v>
      </c>
      <c r="G883" t="str">
        <f>IFERROR(__xludf.DUMMYFUNCTION("""COMPUTED_VALUE"""),"Axel Paris Adobe XD | UI/UX design | Web Design | PHP")</f>
        <v>Axel Paris Adobe XD | UI/UX design | Web Design | PHP</v>
      </c>
      <c r="H883" t="str">
        <f>IFERROR(__xludf.DUMMYFUNCTION("""COMPUTED_VALUE"""),"3 Flags")</f>
        <v>3 Flags</v>
      </c>
      <c r="I883" t="str">
        <f>IFERROR(__xludf.DUMMYFUNCTION("""COMPUTED_VALUE"""),"Development")</f>
        <v>Development</v>
      </c>
      <c r="J883" t="str">
        <f>IFERROR(__xludf.DUMMYFUNCTION("""COMPUTED_VALUE"""),"Web Development")</f>
        <v>Web Development</v>
      </c>
      <c r="L883" s="140" t="str">
        <f>IFERROR(__xludf.DUMMYFUNCTION("""COMPUTED_VALUE"""),"")</f>
        <v/>
      </c>
      <c r="N883" s="140" t="str">
        <f>IFERROR(__xludf.DUMMYFUNCTION("""COMPUTED_VALUE"""),"")</f>
        <v/>
      </c>
    </row>
    <row r="884">
      <c r="A884" s="143">
        <f>IFERROR(__xludf.DUMMYFUNCTION("""COMPUTED_VALUE"""),44500.0)</f>
        <v>44500</v>
      </c>
      <c r="B884">
        <f>IFERROR(__xludf.DUMMYFUNCTION("""COMPUTED_VALUE"""),2844718.0)</f>
        <v>2844718</v>
      </c>
      <c r="C884" s="141" t="str">
        <f>IFERROR(__xludf.DUMMYFUNCTION("""COMPUTED_VALUE"""),"en")</f>
        <v>en</v>
      </c>
      <c r="D884" t="str">
        <f>IFERROR(__xludf.DUMMYFUNCTION("""COMPUTED_VALUE"""),"2021 Part1 CIA Exam- Essentials of Internal Auditing")</f>
        <v>2021 Part1 CIA Exam- Essentials of Internal Auditing</v>
      </c>
      <c r="E884" t="str">
        <f>IFERROR(__xludf.DUMMYFUNCTION("""COMPUTED_VALUE"""),"2021 Part1 CIA Exam- Essentials of Internal Auditing")</f>
        <v>2021 Part1 CIA Exam- Essentials of Internal Auditing</v>
      </c>
      <c r="F884">
        <f>IFERROR(__xludf.DUMMYFUNCTION("""COMPUTED_VALUE"""),1.03604716E8)</f>
        <v>103604716</v>
      </c>
      <c r="G884" t="str">
        <f>IFERROR(__xludf.DUMMYFUNCTION("""COMPUTED_VALUE"""),"Future Development Education")</f>
        <v>Future Development Education</v>
      </c>
      <c r="H884" t="str">
        <f>IFERROR(__xludf.DUMMYFUNCTION("""COMPUTED_VALUE"""),"3 Flags")</f>
        <v>3 Flags</v>
      </c>
      <c r="I884" t="str">
        <f>IFERROR(__xludf.DUMMYFUNCTION("""COMPUTED_VALUE"""),"Finance &amp; Accounting")</f>
        <v>Finance &amp; Accounting</v>
      </c>
      <c r="J884" t="str">
        <f>IFERROR(__xludf.DUMMYFUNCTION("""COMPUTED_VALUE"""),"Corporate Finance")</f>
        <v>Corporate Finance</v>
      </c>
      <c r="L884" s="140" t="str">
        <f>IFERROR(__xludf.DUMMYFUNCTION("""COMPUTED_VALUE"""),"")</f>
        <v/>
      </c>
      <c r="N884" s="140" t="str">
        <f>IFERROR(__xludf.DUMMYFUNCTION("""COMPUTED_VALUE"""),"")</f>
        <v/>
      </c>
    </row>
    <row r="885">
      <c r="A885" s="143">
        <f>IFERROR(__xludf.DUMMYFUNCTION("""COMPUTED_VALUE"""),44500.0)</f>
        <v>44500</v>
      </c>
      <c r="B885">
        <f>IFERROR(__xludf.DUMMYFUNCTION("""COMPUTED_VALUE"""),2290195.0)</f>
        <v>2290195</v>
      </c>
      <c r="C885" s="141" t="str">
        <f>IFERROR(__xludf.DUMMYFUNCTION("""COMPUTED_VALUE"""),"en")</f>
        <v>en</v>
      </c>
      <c r="D885" t="str">
        <f>IFERROR(__xludf.DUMMYFUNCTION("""COMPUTED_VALUE"""),"Quickstart to FreeSwitch Training")</f>
        <v>Quickstart to FreeSwitch Training</v>
      </c>
      <c r="E885" t="str">
        <f>IFERROR(__xludf.DUMMYFUNCTION("""COMPUTED_VALUE"""),"Quickstart to FreeSwitch Training")</f>
        <v>Quickstart to FreeSwitch Training</v>
      </c>
      <c r="F885">
        <f>IFERROR(__xludf.DUMMYFUNCTION("""COMPUTED_VALUE"""),2.3860018E7)</f>
        <v>23860018</v>
      </c>
      <c r="G885" t="str">
        <f>IFERROR(__xludf.DUMMYFUNCTION("""COMPUTED_VALUE"""),"Flavio E. Goncalves")</f>
        <v>Flavio E. Goncalves</v>
      </c>
      <c r="H885" t="str">
        <f>IFERROR(__xludf.DUMMYFUNCTION("""COMPUTED_VALUE"""),"Instructor Request- Opted Out")</f>
        <v>Instructor Request- Opted Out</v>
      </c>
      <c r="I885" t="str">
        <f>IFERROR(__xludf.DUMMYFUNCTION("""COMPUTED_VALUE"""),"IT Operations")</f>
        <v>IT Operations</v>
      </c>
      <c r="J885" t="str">
        <f>IFERROR(__xludf.DUMMYFUNCTION("""COMPUTED_VALUE"""),"Network &amp; Security")</f>
        <v>Network &amp; Security</v>
      </c>
      <c r="L885" s="140" t="str">
        <f>IFERROR(__xludf.DUMMYFUNCTION("""COMPUTED_VALUE"""),"")</f>
        <v/>
      </c>
      <c r="N885" s="140" t="str">
        <f>IFERROR(__xludf.DUMMYFUNCTION("""COMPUTED_VALUE"""),"")</f>
        <v/>
      </c>
    </row>
    <row r="886">
      <c r="A886" s="143">
        <f>IFERROR(__xludf.DUMMYFUNCTION("""COMPUTED_VALUE"""),44500.0)</f>
        <v>44500</v>
      </c>
      <c r="B886">
        <f>IFERROR(__xludf.DUMMYFUNCTION("""COMPUTED_VALUE"""),2629780.0)</f>
        <v>2629780</v>
      </c>
      <c r="C886" s="141" t="str">
        <f>IFERROR(__xludf.DUMMYFUNCTION("""COMPUTED_VALUE"""),"pt")</f>
        <v>pt</v>
      </c>
      <c r="D886" t="str">
        <f>IFERROR(__xludf.DUMMYFUNCTION("""COMPUTED_VALUE"""),"Automatize o SAP|Excel, Ribbon e Macros|SAP Aberto/Fechado")</f>
        <v>Automatize o SAP|Excel, Ribbon e Macros|SAP Aberto/Fechado</v>
      </c>
      <c r="E886" t="str">
        <f>IFERROR(__xludf.DUMMYFUNCTION("""COMPUTED_VALUE"""),"Automate SAP | Excel, ribbon and macros | SAP Open / Closed")</f>
        <v>Automate SAP | Excel, ribbon and macros | SAP Open / Closed</v>
      </c>
      <c r="F886">
        <f>IFERROR(__xludf.DUMMYFUNCTION("""COMPUTED_VALUE"""),1.0206518E7)</f>
        <v>10206518</v>
      </c>
      <c r="G886" t="str">
        <f>IFERROR(__xludf.DUMMYFUNCTION("""COMPUTED_VALUE"""),"Ivair Claudio Ferrari")</f>
        <v>Ivair Claudio Ferrari</v>
      </c>
      <c r="H886" t="str">
        <f>IFERROR(__xludf.DUMMYFUNCTION("""COMPUTED_VALUE"""),"Instructor Request- Opted Out")</f>
        <v>Instructor Request- Opted Out</v>
      </c>
      <c r="I886" t="str">
        <f>IFERROR(__xludf.DUMMYFUNCTION("""COMPUTED_VALUE"""),"Office Productivity")</f>
        <v>Office Productivity</v>
      </c>
      <c r="J886" t="str">
        <f>IFERROR(__xludf.DUMMYFUNCTION("""COMPUTED_VALUE"""),"Spreadsheets")</f>
        <v>Spreadsheets</v>
      </c>
      <c r="L886" s="140" t="str">
        <f>IFERROR(__xludf.DUMMYFUNCTION("""COMPUTED_VALUE"""),"")</f>
        <v/>
      </c>
      <c r="N886" s="140" t="str">
        <f>IFERROR(__xludf.DUMMYFUNCTION("""COMPUTED_VALUE"""),"")</f>
        <v/>
      </c>
    </row>
    <row r="887">
      <c r="A887" s="143">
        <f>IFERROR(__xludf.DUMMYFUNCTION("""COMPUTED_VALUE"""),44508.0)</f>
        <v>44508</v>
      </c>
      <c r="B887">
        <f>IFERROR(__xludf.DUMMYFUNCTION("""COMPUTED_VALUE"""),3808474.0)</f>
        <v>3808474</v>
      </c>
      <c r="C887" t="str">
        <f>IFERROR(__xludf.DUMMYFUNCTION("""COMPUTED_VALUE"""),"fr")</f>
        <v>fr</v>
      </c>
      <c r="D887" s="145" t="str">
        <f>IFERROR(__xludf.DUMMYFUNCTION("""COMPUTED_VALUE"""),"Obtenir la certification Linux Essentials du LPI (2021)")</f>
        <v>Obtenir la certification Linux Essentials du LPI (2021)</v>
      </c>
      <c r="E887" t="str">
        <f>IFERROR(__xludf.DUMMYFUNCTION("""COMPUTED_VALUE"""),"Get Linux Certification Essentials from the LPI (2021)")</f>
        <v>Get Linux Certification Essentials from the LPI (2021)</v>
      </c>
      <c r="F887">
        <f>IFERROR(__xludf.DUMMYFUNCTION("""COMPUTED_VALUE"""),3.471136E7)</f>
        <v>34711360</v>
      </c>
      <c r="G887" t="str">
        <f>IFERROR(__xludf.DUMMYFUNCTION("""COMPUTED_VALUE"""),"Jordan Assouline")</f>
        <v>Jordan Assouline</v>
      </c>
      <c r="H887" t="str">
        <f>IFERROR(__xludf.DUMMYFUNCTION("""COMPUTED_VALUE"""),"T&amp;S")</f>
        <v>T&amp;S</v>
      </c>
      <c r="I887" t="str">
        <f>IFERROR(__xludf.DUMMYFUNCTION("""COMPUTED_VALUE"""),"IT Operations")</f>
        <v>IT Operations</v>
      </c>
      <c r="J887" t="str">
        <f>IFERROR(__xludf.DUMMYFUNCTION("""COMPUTED_VALUE"""),"IT Certifications")</f>
        <v>IT Certifications</v>
      </c>
    </row>
    <row r="888">
      <c r="A888" s="141">
        <f>IFERROR(__xludf.DUMMYFUNCTION("""COMPUTED_VALUE"""),44517.0)</f>
        <v>44517</v>
      </c>
      <c r="B888">
        <f>IFERROR(__xludf.DUMMYFUNCTION("""COMPUTED_VALUE"""),2771350.0)</f>
        <v>2771350</v>
      </c>
      <c r="C888" t="str">
        <f>IFERROR(__xludf.DUMMYFUNCTION("""COMPUTED_VALUE"""),"ES")</f>
        <v>ES</v>
      </c>
      <c r="D888" t="str">
        <f>IFERROR(__xludf.DUMMYFUNCTION("""COMPUTED_VALUE"""),"Learning to Learn [Efficient Learning]: Zero to Mastery	")</f>
        <v>Learning to Learn [Efficient Learning]: Zero to Mastery	</v>
      </c>
      <c r="E888" t="str">
        <f>IFERROR(__xludf.DUMMYFUNCTION("""COMPUTED_VALUE"""),"Learning to Learn [Efficient Learning]: Zero to Mastery	")</f>
        <v>Learning to Learn [Efficient Learning]: Zero to Mastery	</v>
      </c>
      <c r="F888">
        <f>IFERROR(__xludf.DUMMYFUNCTION("""COMPUTED_VALUE"""),3.8516954E7)</f>
        <v>38516954</v>
      </c>
      <c r="G888" t="str">
        <f>IFERROR(__xludf.DUMMYFUNCTION("""COMPUTED_VALUE"""),"Andrei Neagoie	")</f>
        <v>Andrei Neagoie	</v>
      </c>
      <c r="H888" t="str">
        <f>IFERROR(__xludf.DUMMYFUNCTION("""COMPUTED_VALUE"""),"Instructor Request- Opted Out")</f>
        <v>Instructor Request- Opted Out</v>
      </c>
      <c r="I888" t="str">
        <f>IFERROR(__xludf.DUMMYFUNCTION("""COMPUTED_VALUE"""),"Personal Development")</f>
        <v>Personal Development</v>
      </c>
      <c r="J888" t="str">
        <f>IFERROR(__xludf.DUMMYFUNCTION("""COMPUTED_VALUE"""),"Personal Growth")</f>
        <v>Personal Growth</v>
      </c>
    </row>
    <row r="889">
      <c r="A889" s="143">
        <f>IFERROR(__xludf.DUMMYFUNCTION("""COMPUTED_VALUE"""),44523.0)</f>
        <v>44523</v>
      </c>
      <c r="B889">
        <f>IFERROR(__xludf.DUMMYFUNCTION("""COMPUTED_VALUE"""),1501104.0)</f>
        <v>1501104</v>
      </c>
      <c r="C889" t="str">
        <f>IFERROR(__xludf.DUMMYFUNCTION("""COMPUTED_VALUE"""),"en")</f>
        <v>en</v>
      </c>
      <c r="D889" t="str">
        <f>IFERROR(__xludf.DUMMYFUNCTION("""COMPUTED_VALUE"""),"JavaScript: The Advanced Concepts (2022 Update)")</f>
        <v>JavaScript: The Advanced Concepts (2022 Update)</v>
      </c>
      <c r="E889" t="str">
        <f>IFERROR(__xludf.DUMMYFUNCTION("""COMPUTED_VALUE"""),"JavaScript: The Advanced Concepts (2022 Update)")</f>
        <v>JavaScript: The Advanced Concepts (2022 Update)</v>
      </c>
      <c r="F889">
        <f>IFERROR(__xludf.DUMMYFUNCTION("""COMPUTED_VALUE"""),3.8516954E7)</f>
        <v>38516954</v>
      </c>
      <c r="G889" t="str">
        <f>IFERROR(__xludf.DUMMYFUNCTION("""COMPUTED_VALUE"""),"Andrei Neagoie	")</f>
        <v>Andrei Neagoie	</v>
      </c>
      <c r="H889" t="str">
        <f>IFERROR(__xludf.DUMMYFUNCTION("""COMPUTED_VALUE"""),"Instructor Request- Opted Out")</f>
        <v>Instructor Request- Opted Out</v>
      </c>
      <c r="I889" t="str">
        <f>IFERROR(__xludf.DUMMYFUNCTION("""COMPUTED_VALUE"""),"Development")</f>
        <v>Development</v>
      </c>
      <c r="J889" t="str">
        <f>IFERROR(__xludf.DUMMYFUNCTION("""COMPUTED_VALUE"""),"Programming Languages")</f>
        <v>Programming Languages</v>
      </c>
    </row>
    <row r="890">
      <c r="A890" s="143">
        <f>IFERROR(__xludf.DUMMYFUNCTION("""COMPUTED_VALUE"""),44524.0)</f>
        <v>44524</v>
      </c>
      <c r="B890">
        <f>IFERROR(__xludf.DUMMYFUNCTION("""COMPUTED_VALUE"""),4326172.0)</f>
        <v>4326172</v>
      </c>
      <c r="C890" t="str">
        <f>IFERROR(__xludf.DUMMYFUNCTION("""COMPUTED_VALUE"""),"en")</f>
        <v>en</v>
      </c>
      <c r="D890" t="str">
        <f>IFERROR(__xludf.DUMMYFUNCTION("""COMPUTED_VALUE"""),"Ultimate AWS Certified Cloud Practitioner [NEW] - OCT 2021")</f>
        <v>Ultimate AWS Certified Cloud Practitioner [NEW] - OCT 2021</v>
      </c>
      <c r="E890" t="str">
        <f>IFERROR(__xludf.DUMMYFUNCTION("""COMPUTED_VALUE"""),"Ultimate AWS Certified Cloud Practitioner [NEW] - OCT 2021")</f>
        <v>Ultimate AWS Certified Cloud Practitioner [NEW] - OCT 2021</v>
      </c>
      <c r="F890">
        <f>IFERROR(__xludf.DUMMYFUNCTION("""COMPUTED_VALUE"""),1.74223882E8)</f>
        <v>174223882</v>
      </c>
      <c r="G890" t="str">
        <f>IFERROR(__xludf.DUMMYFUNCTION("""COMPUTED_VALUE"""),"LearnCloud.Info || AWS Certified Cloud Practitioner")</f>
        <v>LearnCloud.Info || AWS Certified Cloud Practitioner</v>
      </c>
      <c r="H890" t="str">
        <f>IFERROR(__xludf.DUMMYFUNCTION("""COMPUTED_VALUE"""),"T&amp;S")</f>
        <v>T&amp;S</v>
      </c>
      <c r="I890" t="str">
        <f>IFERROR(__xludf.DUMMYFUNCTION("""COMPUTED_VALUE"""),"IT Operations")</f>
        <v>IT Operations</v>
      </c>
      <c r="J890" t="str">
        <f>IFERROR(__xludf.DUMMYFUNCTION("""COMPUTED_VALUE"""),"IT Certifications")</f>
        <v>IT Certifications</v>
      </c>
      <c r="K890" s="140">
        <f>IFERROR(__xludf.DUMMYFUNCTION("""COMPUTED_VALUE"""),3142166.0)</f>
        <v>3142166</v>
      </c>
      <c r="L890" s="140" t="str">
        <f>IFERROR(__xludf.DUMMYFUNCTION("""COMPUTED_VALUE"""),"[NEW] Ultimate AWS Certified Cloud Practitioner - 2021")</f>
        <v>[NEW] Ultimate AWS Certified Cloud Practitioner - 2021</v>
      </c>
    </row>
    <row r="891">
      <c r="A891" s="143">
        <f>IFERROR(__xludf.DUMMYFUNCTION("""COMPUTED_VALUE"""),44530.0)</f>
        <v>44530</v>
      </c>
      <c r="B891">
        <f>IFERROR(__xludf.DUMMYFUNCTION("""COMPUTED_VALUE"""),2774884.0)</f>
        <v>2774884</v>
      </c>
      <c r="C891" t="str">
        <f>IFERROR(__xludf.DUMMYFUNCTION("""COMPUTED_VALUE"""),"en")</f>
        <v>en</v>
      </c>
      <c r="D891" t="str">
        <f>IFERROR(__xludf.DUMMYFUNCTION("""COMPUTED_VALUE"""),"Corporate investment management: from beginner to expert.")</f>
        <v>Corporate investment management: from beginner to expert.</v>
      </c>
      <c r="E891" t="str">
        <f>IFERROR(__xludf.DUMMYFUNCTION("""COMPUTED_VALUE"""),"Corporate investment management: from beginner to expert.")</f>
        <v>Corporate investment management: from beginner to expert.</v>
      </c>
      <c r="F891">
        <f>IFERROR(__xludf.DUMMYFUNCTION("""COMPUTED_VALUE"""),3.2061216E7)</f>
        <v>32061216</v>
      </c>
      <c r="G891" t="str">
        <f>IFERROR(__xludf.DUMMYFUNCTION("""COMPUTED_VALUE"""),"Randy Priem")</f>
        <v>Randy Priem</v>
      </c>
      <c r="H891" t="str">
        <f>IFERROR(__xludf.DUMMYFUNCTION("""COMPUTED_VALUE"""),"T&amp;S")</f>
        <v>T&amp;S</v>
      </c>
      <c r="I891" t="str">
        <f>IFERROR(__xludf.DUMMYFUNCTION("""COMPUTED_VALUE"""),"Finance &amp; Accounting")</f>
        <v>Finance &amp; Accounting</v>
      </c>
      <c r="J891" t="str">
        <f>IFERROR(__xludf.DUMMYFUNCTION("""COMPUTED_VALUE"""),"Investing &amp; Trading")</f>
        <v>Investing &amp; Trading</v>
      </c>
      <c r="K891" s="140">
        <f>IFERROR(__xludf.DUMMYFUNCTION("""COMPUTED_VALUE"""),965832.0)</f>
        <v>965832</v>
      </c>
      <c r="L891" s="140" t="str">
        <f>IFERROR(__xludf.DUMMYFUNCTION("""COMPUTED_VALUE"""),"The Complete Investment Banking Course 2021")</f>
        <v>The Complete Investment Banking Course 2021</v>
      </c>
    </row>
    <row r="892">
      <c r="A892" s="143">
        <f>IFERROR(__xludf.DUMMYFUNCTION("""COMPUTED_VALUE"""),44531.0)</f>
        <v>44531</v>
      </c>
      <c r="B892">
        <f>IFERROR(__xludf.DUMMYFUNCTION("""COMPUTED_VALUE"""),1945428.0)</f>
        <v>1945428</v>
      </c>
      <c r="C892" t="str">
        <f>IFERROR(__xludf.DUMMYFUNCTION("""COMPUTED_VALUE"""),"es")</f>
        <v>es</v>
      </c>
      <c r="D892" t="str">
        <f>IFERROR(__xludf.DUMMYFUNCTION("""COMPUTED_VALUE"""),"Interpretación de la Norma ISO 9001:2015 completo")</f>
        <v>Interpretación de la Norma ISO 9001:2015 completo</v>
      </c>
      <c r="E892" t="str">
        <f>IFERROR(__xludf.DUMMYFUNCTION("""COMPUTED_VALUE"""),"Interpretation of ISO 9001: 2015 full")</f>
        <v>Interpretation of ISO 9001: 2015 full</v>
      </c>
      <c r="F892">
        <f>IFERROR(__xludf.DUMMYFUNCTION("""COMPUTED_VALUE"""),4.9098622E7)</f>
        <v>49098622</v>
      </c>
      <c r="G892" t="str">
        <f>IFERROR(__xludf.DUMMYFUNCTION("""COMPUTED_VALUE"""),"Kuarum Educación")</f>
        <v>Kuarum Educación</v>
      </c>
      <c r="H892" t="str">
        <f>IFERROR(__xludf.DUMMYFUNCTION("""COMPUTED_VALUE"""),"T&amp;S")</f>
        <v>T&amp;S</v>
      </c>
      <c r="I892" t="str">
        <f>IFERROR(__xludf.DUMMYFUNCTION("""COMPUTED_VALUE"""),"Project Management &amp; Operations")</f>
        <v>Project Management &amp; Operations</v>
      </c>
      <c r="J892" t="str">
        <f>IFERROR(__xludf.DUMMYFUNCTION("""COMPUTED_VALUE"""),"Operations Management")</f>
        <v>Operations Management</v>
      </c>
      <c r="K892" s="140">
        <f>IFERROR(__xludf.DUMMYFUNCTION("""COMPUTED_VALUE"""),3790052.0)</f>
        <v>3790052</v>
      </c>
      <c r="L892" s="140" t="str">
        <f>IFERROR(__xludf.DUMMYFUNCTION("""COMPUTED_VALUE"""),"ISO 9001:2015  Principios y fundamentos")</f>
        <v>ISO 9001:2015  Principios y fundamentos</v>
      </c>
    </row>
    <row r="893">
      <c r="A893" s="143">
        <f>IFERROR(__xludf.DUMMYFUNCTION("""COMPUTED_VALUE"""),44539.0)</f>
        <v>44539</v>
      </c>
      <c r="B893">
        <f>IFERROR(__xludf.DUMMYFUNCTION("""COMPUTED_VALUE"""),2116096.0)</f>
        <v>2116096</v>
      </c>
      <c r="C893" t="str">
        <f>IFERROR(__xludf.DUMMYFUNCTION("""COMPUTED_VALUE"""),"es")</f>
        <v>es</v>
      </c>
      <c r="D893" s="145" t="str">
        <f>IFERROR(__xludf.DUMMYFUNCTION("""COMPUTED_VALUE"""),"Japonés para principiantes. El método completo. Nivel 1")</f>
        <v>Japonés para principiantes. El método completo. Nivel 1</v>
      </c>
      <c r="E893" t="str">
        <f>IFERROR(__xludf.DUMMYFUNCTION("""COMPUTED_VALUE"""),"Japanese for beginners. The complete method. Level 1")</f>
        <v>Japanese for beginners. The complete method. Level 1</v>
      </c>
      <c r="F893">
        <f>IFERROR(__xludf.DUMMYFUNCTION("""COMPUTED_VALUE"""),2.905611E7)</f>
        <v>29056110</v>
      </c>
      <c r="G893" t="str">
        <f>IFERROR(__xludf.DUMMYFUNCTION("""COMPUTED_VALUE"""),"Luis Sánchez")</f>
        <v>Luis Sánchez</v>
      </c>
      <c r="H893" t="str">
        <f>IFERROR(__xludf.DUMMYFUNCTION("""COMPUTED_VALUE"""),"Instructor Request- Opted Out")</f>
        <v>Instructor Request- Opted Out</v>
      </c>
      <c r="I893" t="str">
        <f>IFERROR(__xludf.DUMMYFUNCTION("""COMPUTED_VALUE"""),"personal Development")</f>
        <v>personal Development</v>
      </c>
      <c r="J893" t="str">
        <f>IFERROR(__xludf.DUMMYFUNCTION("""COMPUTED_VALUE"""),"Language Learning")</f>
        <v>Language Learning</v>
      </c>
    </row>
    <row r="894">
      <c r="A894" s="141">
        <f>IFERROR(__xludf.DUMMYFUNCTION("""COMPUTED_VALUE"""),44546.0)</f>
        <v>44546</v>
      </c>
      <c r="B894">
        <f>IFERROR(__xludf.DUMMYFUNCTION("""COMPUTED_VALUE"""),2771350.0)</f>
        <v>2771350</v>
      </c>
      <c r="C894" t="str">
        <f>IFERROR(__xludf.DUMMYFUNCTION("""COMPUTED_VALUE"""),"ES")</f>
        <v>ES</v>
      </c>
      <c r="D894" t="str">
        <f>IFERROR(__xludf.DUMMYFUNCTION("""COMPUTED_VALUE"""),"Learning to Learn [Efficient Learning]: Zero to Mastery	")</f>
        <v>Learning to Learn [Efficient Learning]: Zero to Mastery	</v>
      </c>
      <c r="E894" t="str">
        <f>IFERROR(__xludf.DUMMYFUNCTION("""COMPUTED_VALUE"""),"Learning to Learn [Efficient Learning]: Zero to Mastery	")</f>
        <v>Learning to Learn [Efficient Learning]: Zero to Mastery	</v>
      </c>
      <c r="F894">
        <f>IFERROR(__xludf.DUMMYFUNCTION("""COMPUTED_VALUE"""),3.8516954E7)</f>
        <v>38516954</v>
      </c>
      <c r="G894" t="str">
        <f>IFERROR(__xludf.DUMMYFUNCTION("""COMPUTED_VALUE"""),"Andrei Neagoie	")</f>
        <v>Andrei Neagoie	</v>
      </c>
      <c r="H894" t="str">
        <f>IFERROR(__xludf.DUMMYFUNCTION("""COMPUTED_VALUE"""),"Instructor Request- Opted Out")</f>
        <v>Instructor Request- Opted Out</v>
      </c>
      <c r="I894" t="str">
        <f>IFERROR(__xludf.DUMMYFUNCTION("""COMPUTED_VALUE"""),"Personal Development")</f>
        <v>Personal Development</v>
      </c>
      <c r="J894" t="str">
        <f>IFERROR(__xludf.DUMMYFUNCTION("""COMPUTED_VALUE"""),"Personal Growth")</f>
        <v>Personal Growth</v>
      </c>
    </row>
    <row r="895">
      <c r="A895" s="141">
        <f>IFERROR(__xludf.DUMMYFUNCTION("""COMPUTED_VALUE"""),44546.0)</f>
        <v>44546</v>
      </c>
      <c r="B895">
        <f>IFERROR(__xludf.DUMMYFUNCTION("""COMPUTED_VALUE"""),1501104.0)</f>
        <v>1501104</v>
      </c>
      <c r="C895" t="str">
        <f>IFERROR(__xludf.DUMMYFUNCTION("""COMPUTED_VALUE"""),"en")</f>
        <v>en</v>
      </c>
      <c r="D895" t="str">
        <f>IFERROR(__xludf.DUMMYFUNCTION("""COMPUTED_VALUE"""),"JavaScript: The Advanced Concepts (2022 Update)")</f>
        <v>JavaScript: The Advanced Concepts (2022 Update)</v>
      </c>
      <c r="E895" t="str">
        <f>IFERROR(__xludf.DUMMYFUNCTION("""COMPUTED_VALUE"""),"JavaScript: The Advanced Concepts (2022 Update)")</f>
        <v>JavaScript: The Advanced Concepts (2022 Update)</v>
      </c>
      <c r="F895">
        <f>IFERROR(__xludf.DUMMYFUNCTION("""COMPUTED_VALUE"""),3.8516954E7)</f>
        <v>38516954</v>
      </c>
      <c r="G895" t="str">
        <f>IFERROR(__xludf.DUMMYFUNCTION("""COMPUTED_VALUE"""),"Andrei Neagoie	")</f>
        <v>Andrei Neagoie	</v>
      </c>
      <c r="H895" t="str">
        <f>IFERROR(__xludf.DUMMYFUNCTION("""COMPUTED_VALUE"""),"Instructor Request- Opted Out")</f>
        <v>Instructor Request- Opted Out</v>
      </c>
      <c r="I895" t="str">
        <f>IFERROR(__xludf.DUMMYFUNCTION("""COMPUTED_VALUE"""),"Development")</f>
        <v>Development</v>
      </c>
      <c r="J895" t="str">
        <f>IFERROR(__xludf.DUMMYFUNCTION("""COMPUTED_VALUE"""),"Programming Languages")</f>
        <v>Programming Languages</v>
      </c>
    </row>
    <row r="896">
      <c r="A896" s="141">
        <f>IFERROR(__xludf.DUMMYFUNCTION("""COMPUTED_VALUE"""),44546.0)</f>
        <v>44546</v>
      </c>
      <c r="B896">
        <f>IFERROR(__xludf.DUMMYFUNCTION("""COMPUTED_VALUE"""),2366876.0)</f>
        <v>2366876</v>
      </c>
      <c r="C896" t="str">
        <f>IFERROR(__xludf.DUMMYFUNCTION("""COMPUTED_VALUE"""),"id")</f>
        <v>id</v>
      </c>
      <c r="D896" t="str">
        <f>IFERROR(__xludf.DUMMYFUNCTION("""COMPUTED_VALUE"""),"Otodidak Desain 3D dan Blender untuk Pemula")</f>
        <v>Otodidak Desain 3D dan Blender untuk Pemula</v>
      </c>
      <c r="E896" t="str">
        <f>IFERROR(__xludf.DUMMYFUNCTION("""COMPUTED_VALUE"""),"Otodak 3D design and blender for beginners")</f>
        <v>Otodak 3D design and blender for beginners</v>
      </c>
      <c r="F896">
        <f>IFERROR(__xludf.DUMMYFUNCTION("""COMPUTED_VALUE"""),5.5523444E7)</f>
        <v>55523444</v>
      </c>
      <c r="G896" t="str">
        <f>IFERROR(__xludf.DUMMYFUNCTION("""COMPUTED_VALUE"""),"Jubilee Enterprise")</f>
        <v>Jubilee Enterprise</v>
      </c>
      <c r="H896" t="str">
        <f>IFERROR(__xludf.DUMMYFUNCTION("""COMPUTED_VALUE"""),"Low Rating")</f>
        <v>Low Rating</v>
      </c>
      <c r="I896" t="str">
        <f>IFERROR(__xludf.DUMMYFUNCTION("""COMPUTED_VALUE"""),"Design")</f>
        <v>Design</v>
      </c>
      <c r="J896" t="str">
        <f>IFERROR(__xludf.DUMMYFUNCTION("""COMPUTED_VALUE"""),"3D &amp; Animation")</f>
        <v>3D &amp; Animation</v>
      </c>
    </row>
    <row r="897">
      <c r="A897" s="141">
        <f>IFERROR(__xludf.DUMMYFUNCTION("""COMPUTED_VALUE"""),44546.0)</f>
        <v>44546</v>
      </c>
      <c r="B897">
        <f>IFERROR(__xludf.DUMMYFUNCTION("""COMPUTED_VALUE"""),2931868.0)</f>
        <v>2931868</v>
      </c>
      <c r="C897" t="str">
        <f>IFERROR(__xludf.DUMMYFUNCTION("""COMPUTED_VALUE"""),"id")</f>
        <v>id</v>
      </c>
      <c r="D897" t="str">
        <f>IFERROR(__xludf.DUMMYFUNCTION("""COMPUTED_VALUE"""),"Testing untuk Web Developer")</f>
        <v>Testing untuk Web Developer</v>
      </c>
      <c r="E897" t="str">
        <f>IFERROR(__xludf.DUMMYFUNCTION("""COMPUTED_VALUE"""),"Testing for Web Developers")</f>
        <v>Testing for Web Developers</v>
      </c>
      <c r="F897">
        <f>IFERROR(__xludf.DUMMYFUNCTION("""COMPUTED_VALUE"""),1.01552434E8)</f>
        <v>101552434</v>
      </c>
      <c r="G897" t="str">
        <f>IFERROR(__xludf.DUMMYFUNCTION("""COMPUTED_VALUE"""),"KODE by Hacktiv8")</f>
        <v>KODE by Hacktiv8</v>
      </c>
      <c r="H897" t="str">
        <f>IFERROR(__xludf.DUMMYFUNCTION("""COMPUTED_VALUE"""),"Low Rating")</f>
        <v>Low Rating</v>
      </c>
      <c r="I897" t="str">
        <f>IFERROR(__xludf.DUMMYFUNCTION("""COMPUTED_VALUE"""),"Development")</f>
        <v>Development</v>
      </c>
      <c r="J897" t="str">
        <f>IFERROR(__xludf.DUMMYFUNCTION("""COMPUTED_VALUE"""),"Web Development")</f>
        <v>Web Development</v>
      </c>
    </row>
    <row r="898">
      <c r="A898" s="141">
        <f>IFERROR(__xludf.DUMMYFUNCTION("""COMPUTED_VALUE"""),44546.0)</f>
        <v>44546</v>
      </c>
      <c r="B898">
        <f>IFERROR(__xludf.DUMMYFUNCTION("""COMPUTED_VALUE"""),1595354.0)</f>
        <v>1595354</v>
      </c>
      <c r="C898" t="str">
        <f>IFERROR(__xludf.DUMMYFUNCTION("""COMPUTED_VALUE"""),"id")</f>
        <v>id</v>
      </c>
      <c r="D898" t="str">
        <f>IFERROR(__xludf.DUMMYFUNCTION("""COMPUTED_VALUE"""),"Dasar Jaringan Komputer untuk Pemula")</f>
        <v>Dasar Jaringan Komputer untuk Pemula</v>
      </c>
      <c r="E898" t="str">
        <f>IFERROR(__xludf.DUMMYFUNCTION("""COMPUTED_VALUE"""),"Basic computer network for beginners")</f>
        <v>Basic computer network for beginners</v>
      </c>
      <c r="F898">
        <f>IFERROR(__xludf.DUMMYFUNCTION("""COMPUTED_VALUE"""),2.3364412E7)</f>
        <v>23364412</v>
      </c>
      <c r="G898" t="str">
        <f>IFERROR(__xludf.DUMMYFUNCTION("""COMPUTED_VALUE"""),"Bina Nusantara University")</f>
        <v>Bina Nusantara University</v>
      </c>
      <c r="H898" t="str">
        <f>IFERROR(__xludf.DUMMYFUNCTION("""COMPUTED_VALUE"""),"Low Rating")</f>
        <v>Low Rating</v>
      </c>
      <c r="I898" t="str">
        <f>IFERROR(__xludf.DUMMYFUNCTION("""COMPUTED_VALUE"""),"IT Operations")</f>
        <v>IT Operations</v>
      </c>
      <c r="J898" t="str">
        <f>IFERROR(__xludf.DUMMYFUNCTION("""COMPUTED_VALUE"""),"Network &amp; Security")</f>
        <v>Network &amp; Security</v>
      </c>
    </row>
    <row r="899">
      <c r="A899" s="141">
        <f>IFERROR(__xludf.DUMMYFUNCTION("""COMPUTED_VALUE"""),44546.0)</f>
        <v>44546</v>
      </c>
      <c r="B899">
        <f>IFERROR(__xludf.DUMMYFUNCTION("""COMPUTED_VALUE"""),2666348.0)</f>
        <v>2666348</v>
      </c>
      <c r="C899" t="str">
        <f>IFERROR(__xludf.DUMMYFUNCTION("""COMPUTED_VALUE"""),"id")</f>
        <v>id</v>
      </c>
      <c r="D899" t="str">
        <f>IFERROR(__xludf.DUMMYFUNCTION("""COMPUTED_VALUE"""),"Mahir Tanpa Guru: Desain Grafis Photoshop dan Illustrator")</f>
        <v>Mahir Tanpa Guru: Desain Grafis Photoshop dan Illustrator</v>
      </c>
      <c r="E899" t="str">
        <f>IFERROR(__xludf.DUMMYFUNCTION("""COMPUTED_VALUE"""),"Advanced without Teacher: Photoshop and Illustrator graphic design")</f>
        <v>Advanced without Teacher: Photoshop and Illustrator graphic design</v>
      </c>
      <c r="F899">
        <f>IFERROR(__xludf.DUMMYFUNCTION("""COMPUTED_VALUE"""),5.5523444E7)</f>
        <v>55523444</v>
      </c>
      <c r="G899" t="str">
        <f>IFERROR(__xludf.DUMMYFUNCTION("""COMPUTED_VALUE"""),"Jubilee Enterprise")</f>
        <v>Jubilee Enterprise</v>
      </c>
      <c r="H899" t="str">
        <f>IFERROR(__xludf.DUMMYFUNCTION("""COMPUTED_VALUE"""),"Low Rating")</f>
        <v>Low Rating</v>
      </c>
      <c r="I899" t="str">
        <f>IFERROR(__xludf.DUMMYFUNCTION("""COMPUTED_VALUE"""),"Design")</f>
        <v>Design</v>
      </c>
      <c r="J899" t="str">
        <f>IFERROR(__xludf.DUMMYFUNCTION("""COMPUTED_VALUE"""),"Graphic Design")</f>
        <v>Graphic Design</v>
      </c>
    </row>
    <row r="900">
      <c r="A900" s="141">
        <f>IFERROR(__xludf.DUMMYFUNCTION("""COMPUTED_VALUE"""),44546.0)</f>
        <v>44546</v>
      </c>
      <c r="B900">
        <f>IFERROR(__xludf.DUMMYFUNCTION("""COMPUTED_VALUE"""),3525178.0)</f>
        <v>3525178</v>
      </c>
      <c r="C900" t="str">
        <f>IFERROR(__xludf.DUMMYFUNCTION("""COMPUTED_VALUE"""),"id")</f>
        <v>id</v>
      </c>
      <c r="D900" t="str">
        <f>IFERROR(__xludf.DUMMYFUNCTION("""COMPUTED_VALUE"""),"Uplifting Service")</f>
        <v>Uplifting Service</v>
      </c>
      <c r="E900" t="str">
        <f>IFERROR(__xludf.DUMMYFUNCTION("""COMPUTED_VALUE"""),"Uplifting Service")</f>
        <v>Uplifting Service</v>
      </c>
      <c r="F900">
        <f>IFERROR(__xludf.DUMMYFUNCTION("""COMPUTED_VALUE"""),1.23567308E8)</f>
        <v>123567308</v>
      </c>
      <c r="G900" t="str">
        <f>IFERROR(__xludf.DUMMYFUNCTION("""COMPUTED_VALUE"""),"Academy Dbeyond")</f>
        <v>Academy Dbeyond</v>
      </c>
      <c r="H900" t="str">
        <f>IFERROR(__xludf.DUMMYFUNCTION("""COMPUTED_VALUE"""),"Low Rating")</f>
        <v>Low Rating</v>
      </c>
      <c r="I900" t="str">
        <f>IFERROR(__xludf.DUMMYFUNCTION("""COMPUTED_VALUE"""),"Sales")</f>
        <v>Sales</v>
      </c>
      <c r="J900" t="str">
        <f>IFERROR(__xludf.DUMMYFUNCTION("""COMPUTED_VALUE"""),"Customer Success &amp; Service")</f>
        <v>Customer Success &amp; Service</v>
      </c>
    </row>
    <row r="901">
      <c r="A901" s="141">
        <f>IFERROR(__xludf.DUMMYFUNCTION("""COMPUTED_VALUE"""),44546.0)</f>
        <v>44546</v>
      </c>
      <c r="B901">
        <f>IFERROR(__xludf.DUMMYFUNCTION("""COMPUTED_VALUE"""),3714102.0)</f>
        <v>3714102</v>
      </c>
      <c r="C901" t="str">
        <f>IFERROR(__xludf.DUMMYFUNCTION("""COMPUTED_VALUE"""),"id")</f>
        <v>id</v>
      </c>
      <c r="D901" t="str">
        <f>IFERROR(__xludf.DUMMYFUNCTION("""COMPUTED_VALUE"""),"Linux Server Configuration")</f>
        <v>Linux Server Configuration</v>
      </c>
      <c r="E901" t="str">
        <f>IFERROR(__xludf.DUMMYFUNCTION("""COMPUTED_VALUE"""),"Linux Server Configuration")</f>
        <v>Linux Server Configuration</v>
      </c>
      <c r="F901">
        <f>IFERROR(__xludf.DUMMYFUNCTION("""COMPUTED_VALUE"""),1.4495807E8)</f>
        <v>144958070</v>
      </c>
      <c r="G901" t="str">
        <f>IFERROR(__xludf.DUMMYFUNCTION("""COMPUTED_VALUE"""),"CEP-CCIT Fakultas Teknik Universitas Indonesia")</f>
        <v>CEP-CCIT Fakultas Teknik Universitas Indonesia</v>
      </c>
      <c r="H901" t="str">
        <f>IFERROR(__xludf.DUMMYFUNCTION("""COMPUTED_VALUE"""),"Low Rating")</f>
        <v>Low Rating</v>
      </c>
      <c r="I901" t="str">
        <f>IFERROR(__xludf.DUMMYFUNCTION("""COMPUTED_VALUE"""),"IT Operations")</f>
        <v>IT Operations</v>
      </c>
      <c r="J901" t="str">
        <f>IFERROR(__xludf.DUMMYFUNCTION("""COMPUTED_VALUE"""),"IT Certifications")</f>
        <v>IT Certifications</v>
      </c>
    </row>
    <row r="902">
      <c r="A902" s="141">
        <f>IFERROR(__xludf.DUMMYFUNCTION("""COMPUTED_VALUE"""),44546.0)</f>
        <v>44546</v>
      </c>
      <c r="B902">
        <f>IFERROR(__xludf.DUMMYFUNCTION("""COMPUTED_VALUE"""),3982688.0)</f>
        <v>3982688</v>
      </c>
      <c r="C902" t="str">
        <f>IFERROR(__xludf.DUMMYFUNCTION("""COMPUTED_VALUE"""),"id")</f>
        <v>id</v>
      </c>
      <c r="D902" t="str">
        <f>IFERROR(__xludf.DUMMYFUNCTION("""COMPUTED_VALUE"""),"Menjadi Public Speaker Professional yang Penuh Percaya Diri")</f>
        <v>Menjadi Public Speaker Professional yang Penuh Percaya Diri</v>
      </c>
      <c r="E902" t="str">
        <f>IFERROR(__xludf.DUMMYFUNCTION("""COMPUTED_VALUE"""),"Become a professional public speaker who is confident")</f>
        <v>Become a professional public speaker who is confident</v>
      </c>
      <c r="F902">
        <f>IFERROR(__xludf.DUMMYFUNCTION("""COMPUTED_VALUE"""),3176406.0)</f>
        <v>3176406</v>
      </c>
      <c r="G902" t="str">
        <f>IFERROR(__xludf.DUMMYFUNCTION("""COMPUTED_VALUE"""),"Remote Worker Indonesia")</f>
        <v>Remote Worker Indonesia</v>
      </c>
      <c r="H902" t="str">
        <f>IFERROR(__xludf.DUMMYFUNCTION("""COMPUTED_VALUE"""),"Low Rating")</f>
        <v>Low Rating</v>
      </c>
      <c r="I902" t="str">
        <f>IFERROR(__xludf.DUMMYFUNCTION("""COMPUTED_VALUE"""),"Leadership &amp; Management")</f>
        <v>Leadership &amp; Management</v>
      </c>
      <c r="J902" t="str">
        <f>IFERROR(__xludf.DUMMYFUNCTION("""COMPUTED_VALUE"""),"Communication")</f>
        <v>Communication</v>
      </c>
    </row>
    <row r="903">
      <c r="A903" s="141">
        <f>IFERROR(__xludf.DUMMYFUNCTION("""COMPUTED_VALUE"""),44546.0)</f>
        <v>44546</v>
      </c>
      <c r="B903">
        <f>IFERROR(__xludf.DUMMYFUNCTION("""COMPUTED_VALUE"""),930804.0)</f>
        <v>930804</v>
      </c>
      <c r="C903" t="str">
        <f>IFERROR(__xludf.DUMMYFUNCTION("""COMPUTED_VALUE"""),"id")</f>
        <v>id</v>
      </c>
      <c r="D903" t="str">
        <f>IFERROR(__xludf.DUMMYFUNCTION("""COMPUTED_VALUE"""),"Mempelajari Machine Learning dengan Python")</f>
        <v>Mempelajari Machine Learning dengan Python</v>
      </c>
      <c r="E903" t="str">
        <f>IFERROR(__xludf.DUMMYFUNCTION("""COMPUTED_VALUE"""),"Learn Machine Learning with Python")</f>
        <v>Learn Machine Learning with Python</v>
      </c>
      <c r="F903">
        <f>IFERROR(__xludf.DUMMYFUNCTION("""COMPUTED_VALUE"""),1.01552434E8)</f>
        <v>101552434</v>
      </c>
      <c r="G903" t="str">
        <f>IFERROR(__xludf.DUMMYFUNCTION("""COMPUTED_VALUE"""),"KODE by Hacktiv8")</f>
        <v>KODE by Hacktiv8</v>
      </c>
      <c r="H903" t="str">
        <f>IFERROR(__xludf.DUMMYFUNCTION("""COMPUTED_VALUE"""),"Low Rating")</f>
        <v>Low Rating</v>
      </c>
      <c r="I903" t="str">
        <f>IFERROR(__xludf.DUMMYFUNCTION("""COMPUTED_VALUE"""),"Data Science")</f>
        <v>Data Science</v>
      </c>
      <c r="J903" t="str">
        <f>IFERROR(__xludf.DUMMYFUNCTION("""COMPUTED_VALUE"""),"Machine Learning")</f>
        <v>Machine Learning</v>
      </c>
    </row>
    <row r="904">
      <c r="A904" s="143">
        <f>IFERROR(__xludf.DUMMYFUNCTION("""COMPUTED_VALUE"""),44550.0)</f>
        <v>44550</v>
      </c>
      <c r="B904">
        <f>IFERROR(__xludf.DUMMYFUNCTION("""COMPUTED_VALUE"""),4160286.0)</f>
        <v>4160286</v>
      </c>
      <c r="C904" t="str">
        <f>IFERROR(__xludf.DUMMYFUNCTION("""COMPUTED_VALUE"""),"ar")</f>
        <v>ar</v>
      </c>
      <c r="D904" t="str">
        <f>IFERROR(__xludf.DUMMYFUNCTION("""COMPUTED_VALUE"""),"The complete AutoCAD 2017-21 Course")</f>
        <v>The complete AutoCAD 2017-21 Course</v>
      </c>
      <c r="E904" t="str">
        <f>IFERROR(__xludf.DUMMYFUNCTION("""COMPUTED_VALUE"""),"The complete AutoCAD 2017-21 Course")</f>
        <v>The complete AutoCAD 2017-21 Course</v>
      </c>
      <c r="F904">
        <f>IFERROR(__xludf.DUMMYFUNCTION("""COMPUTED_VALUE"""),1.65202922E8)</f>
        <v>165202922</v>
      </c>
      <c r="G904" t="str">
        <f>IFERROR(__xludf.DUMMYFUNCTION("""COMPUTED_VALUE"""),"Ahmed El sheikh")</f>
        <v>Ahmed El sheikh</v>
      </c>
      <c r="H904" t="str">
        <f>IFERROR(__xludf.DUMMYFUNCTION("""COMPUTED_VALUE"""),"T&amp;S")</f>
        <v>T&amp;S</v>
      </c>
      <c r="I904" t="str">
        <f>IFERROR(__xludf.DUMMYFUNCTION("""COMPUTED_VALUE"""),"Design")</f>
        <v>Design</v>
      </c>
      <c r="J904" t="str">
        <f>IFERROR(__xludf.DUMMYFUNCTION("""COMPUTED_VALUE"""),"Design Tools")</f>
        <v>Design Tools</v>
      </c>
    </row>
    <row r="905">
      <c r="A905" s="143">
        <f>IFERROR(__xludf.DUMMYFUNCTION("""COMPUTED_VALUE"""),44561.0)</f>
        <v>44561</v>
      </c>
      <c r="B905">
        <f>IFERROR(__xludf.DUMMYFUNCTION("""COMPUTED_VALUE"""),599828.0)</f>
        <v>599828</v>
      </c>
      <c r="C905" s="141" t="str">
        <f>IFERROR(__xludf.DUMMYFUNCTION("""COMPUTED_VALUE"""),"en")</f>
        <v>en</v>
      </c>
      <c r="D905" t="str">
        <f>IFERROR(__xludf.DUMMYFUNCTION("""COMPUTED_VALUE"""),"ISTQB Foundation Level (CTFL) Exam Review - Updated 2021")</f>
        <v>ISTQB Foundation Level (CTFL) Exam Review - Updated 2021</v>
      </c>
      <c r="E905" t="str">
        <f>IFERROR(__xludf.DUMMYFUNCTION("""COMPUTED_VALUE"""),"ISTQB Foundation Level (CTFL) Exam Review - Updated 2021")</f>
        <v>ISTQB Foundation Level (CTFL) Exam Review - Updated 2021</v>
      </c>
      <c r="F905">
        <f>IFERROR(__xludf.DUMMYFUNCTION("""COMPUTED_VALUE"""),6768256.0)</f>
        <v>6768256</v>
      </c>
      <c r="G905" t="str">
        <f>IFERROR(__xludf.DUMMYFUNCTION("""COMPUTED_VALUE"""),"Maged Koshty")</f>
        <v>Maged Koshty</v>
      </c>
      <c r="H905" t="str">
        <f>IFERROR(__xludf.DUMMYFUNCTION("""COMPUTED_VALUE"""),"Low Rating")</f>
        <v>Low Rating</v>
      </c>
      <c r="I905" t="str">
        <f>IFERROR(__xludf.DUMMYFUNCTION("""COMPUTED_VALUE"""),"IT Operations")</f>
        <v>IT Operations</v>
      </c>
      <c r="J905" t="str">
        <f>IFERROR(__xludf.DUMMYFUNCTION("""COMPUTED_VALUE"""),"IT Certifications")</f>
        <v>IT Certifications</v>
      </c>
      <c r="K905" s="140">
        <f>IFERROR(__xludf.DUMMYFUNCTION("""COMPUTED_VALUE"""),269394.0)</f>
        <v>269394</v>
      </c>
      <c r="L905" s="140" t="str">
        <f>IFERROR(__xludf.DUMMYFUNCTION("""COMPUTED_VALUE"""),"Certified Tester ISTQB Foundation Level (CTFL) -Updated 2021")</f>
        <v>Certified Tester ISTQB Foundation Level (CTFL) -Updated 2021</v>
      </c>
      <c r="N905" s="140" t="str">
        <f>IFERROR(__xludf.DUMMYFUNCTION("""COMPUTED_VALUE"""),"")</f>
        <v/>
      </c>
    </row>
    <row r="906">
      <c r="A906" s="143">
        <f>IFERROR(__xludf.DUMMYFUNCTION("""COMPUTED_VALUE"""),44561.0)</f>
        <v>44561</v>
      </c>
      <c r="B906">
        <f>IFERROR(__xludf.DUMMYFUNCTION("""COMPUTED_VALUE"""),1643774.0)</f>
        <v>1643774</v>
      </c>
      <c r="C906" s="141" t="str">
        <f>IFERROR(__xludf.DUMMYFUNCTION("""COMPUTED_VALUE"""),"en")</f>
        <v>en</v>
      </c>
      <c r="D906" t="str">
        <f>IFERROR(__xludf.DUMMYFUNCTION("""COMPUTED_VALUE"""),"Azure MasterClass: Analyze Data With Azure Stream Analytics")</f>
        <v>Azure MasterClass: Analyze Data With Azure Stream Analytics</v>
      </c>
      <c r="E906" t="str">
        <f>IFERROR(__xludf.DUMMYFUNCTION("""COMPUTED_VALUE"""),"Azure MasterClass: Analyze Data With Azure Stream Analytics")</f>
        <v>Azure MasterClass: Analyze Data With Azure Stream Analytics</v>
      </c>
      <c r="F906">
        <f>IFERROR(__xludf.DUMMYFUNCTION("""COMPUTED_VALUE"""),2.9951918E7)</f>
        <v>29951918</v>
      </c>
      <c r="G906" t="str">
        <f>IFERROR(__xludf.DUMMYFUNCTION("""COMPUTED_VALUE"""),"TetraNoodle Team")</f>
        <v>TetraNoodle Team</v>
      </c>
      <c r="H906" t="str">
        <f>IFERROR(__xludf.DUMMYFUNCTION("""COMPUTED_VALUE"""),"3 Flags")</f>
        <v>3 Flags</v>
      </c>
      <c r="I906" t="str">
        <f>IFERROR(__xludf.DUMMYFUNCTION("""COMPUTED_VALUE"""),"Cloud Computing")</f>
        <v>Cloud Computing</v>
      </c>
      <c r="J906" t="str">
        <f>IFERROR(__xludf.DUMMYFUNCTION("""COMPUTED_VALUE"""),"Cloud Development")</f>
        <v>Cloud Development</v>
      </c>
      <c r="K906" s="140">
        <f>IFERROR(__xludf.DUMMYFUNCTION("""COMPUTED_VALUE"""),1704776.0)</f>
        <v>1704776</v>
      </c>
      <c r="L906" s="140" t="str">
        <f>IFERROR(__xludf.DUMMYFUNCTION("""COMPUTED_VALUE"""),"Microsoft Azure - Beginner's Guide + AZ-900 -  2021")</f>
        <v>Microsoft Azure - Beginner's Guide + AZ-900 -  2021</v>
      </c>
      <c r="N906" s="140" t="str">
        <f>IFERROR(__xludf.DUMMYFUNCTION("""COMPUTED_VALUE"""),"")</f>
        <v/>
      </c>
    </row>
    <row r="907">
      <c r="A907" s="143">
        <f>IFERROR(__xludf.DUMMYFUNCTION("""COMPUTED_VALUE"""),44561.0)</f>
        <v>44561</v>
      </c>
      <c r="B907">
        <f>IFERROR(__xludf.DUMMYFUNCTION("""COMPUTED_VALUE"""),1657806.0)</f>
        <v>1657806</v>
      </c>
      <c r="C907" s="141" t="str">
        <f>IFERROR(__xludf.DUMMYFUNCTION("""COMPUTED_VALUE"""),"de")</f>
        <v>de</v>
      </c>
      <c r="D907" t="str">
        <f>IFERROR(__xludf.DUMMYFUNCTION("""COMPUTED_VALUE"""),"DSGVO - Zusammenfassung und Tipps für die Umsetzung")</f>
        <v>DSGVO - Zusammenfassung und Tipps für die Umsetzung</v>
      </c>
      <c r="E907" t="str">
        <f>IFERROR(__xludf.DUMMYFUNCTION("""COMPUTED_VALUE"""),"DSGVO - Summary and Tips for Implementation")</f>
        <v>DSGVO - Summary and Tips for Implementation</v>
      </c>
      <c r="F907">
        <f>IFERROR(__xludf.DUMMYFUNCTION("""COMPUTED_VALUE"""),1.5915098E7)</f>
        <v>15915098</v>
      </c>
      <c r="G907" t="str">
        <f>IFERROR(__xludf.DUMMYFUNCTION("""COMPUTED_VALUE"""),"Ingo Ahnfeldt")</f>
        <v>Ingo Ahnfeldt</v>
      </c>
      <c r="H907" t="str">
        <f>IFERROR(__xludf.DUMMYFUNCTION("""COMPUTED_VALUE"""),"3 Flags")</f>
        <v>3 Flags</v>
      </c>
      <c r="I907" t="str">
        <f>IFERROR(__xludf.DUMMYFUNCTION("""COMPUTED_VALUE"""),"Marketing")</f>
        <v>Marketing</v>
      </c>
      <c r="J907" t="str">
        <f>IFERROR(__xludf.DUMMYFUNCTION("""COMPUTED_VALUE"""),"Marketing Strategy")</f>
        <v>Marketing Strategy</v>
      </c>
      <c r="L907" s="140" t="str">
        <f>IFERROR(__xludf.DUMMYFUNCTION("""COMPUTED_VALUE"""),"")</f>
        <v/>
      </c>
      <c r="N907" s="140" t="str">
        <f>IFERROR(__xludf.DUMMYFUNCTION("""COMPUTED_VALUE"""),"")</f>
        <v/>
      </c>
    </row>
    <row r="908">
      <c r="A908" s="143">
        <f>IFERROR(__xludf.DUMMYFUNCTION("""COMPUTED_VALUE"""),44561.0)</f>
        <v>44561</v>
      </c>
      <c r="B908">
        <f>IFERROR(__xludf.DUMMYFUNCTION("""COMPUTED_VALUE"""),1857524.0)</f>
        <v>1857524</v>
      </c>
      <c r="C908" s="141" t="str">
        <f>IFERROR(__xludf.DUMMYFUNCTION("""COMPUTED_VALUE"""),"de")</f>
        <v>de</v>
      </c>
      <c r="D908" t="str">
        <f>IFERROR(__xludf.DUMMYFUNCTION("""COMPUTED_VALUE"""),"Meetingmarathon - Das Geheimnis produktiver Meetings")</f>
        <v>Meetingmarathon - Das Geheimnis produktiver Meetings</v>
      </c>
      <c r="E908" t="str">
        <f>IFERROR(__xludf.DUMMYFUNCTION("""COMPUTED_VALUE"""),"Meeting Marathon - The Secret of Productive Meetings")</f>
        <v>Meeting Marathon - The Secret of Productive Meetings</v>
      </c>
      <c r="F908">
        <f>IFERROR(__xludf.DUMMYFUNCTION("""COMPUTED_VALUE"""),5.226966E7)</f>
        <v>52269660</v>
      </c>
      <c r="G908" t="str">
        <f>IFERROR(__xludf.DUMMYFUNCTION("""COMPUTED_VALUE"""),"Nicole Zieger")</f>
        <v>Nicole Zieger</v>
      </c>
      <c r="H908" t="str">
        <f>IFERROR(__xludf.DUMMYFUNCTION("""COMPUTED_VALUE"""),"3 Flags")</f>
        <v>3 Flags</v>
      </c>
      <c r="I908" t="str">
        <f>IFERROR(__xludf.DUMMYFUNCTION("""COMPUTED_VALUE"""),"Leadership &amp; Management")</f>
        <v>Leadership &amp; Management</v>
      </c>
      <c r="J908" t="str">
        <f>IFERROR(__xludf.DUMMYFUNCTION("""COMPUTED_VALUE"""),"Management")</f>
        <v>Management</v>
      </c>
      <c r="K908" s="140">
        <f>IFERROR(__xludf.DUMMYFUNCTION("""COMPUTED_VALUE"""),2141938.0)</f>
        <v>2141938</v>
      </c>
      <c r="L908" s="140" t="str">
        <f>IFERROR(__xludf.DUMMYFUNCTION("""COMPUTED_VALUE"""),"Produktive Meetings: Geheimnisse effektiver Besprechungen")</f>
        <v>Produktive Meetings: Geheimnisse effektiver Besprechungen</v>
      </c>
      <c r="N908" s="140" t="str">
        <f>IFERROR(__xludf.DUMMYFUNCTION("""COMPUTED_VALUE"""),"")</f>
        <v/>
      </c>
    </row>
    <row r="909">
      <c r="A909" s="143">
        <f>IFERROR(__xludf.DUMMYFUNCTION("""COMPUTED_VALUE"""),44561.0)</f>
        <v>44561</v>
      </c>
      <c r="B909">
        <f>IFERROR(__xludf.DUMMYFUNCTION("""COMPUTED_VALUE"""),2488744.0)</f>
        <v>2488744</v>
      </c>
      <c r="C909" s="141" t="str">
        <f>IFERROR(__xludf.DUMMYFUNCTION("""COMPUTED_VALUE"""),"en")</f>
        <v>en</v>
      </c>
      <c r="D909" t="str">
        <f>IFERROR(__xludf.DUMMYFUNCTION("""COMPUTED_VALUE"""),"An Introduction to the Ethernet/IP Protocol")</f>
        <v>An Introduction to the Ethernet/IP Protocol</v>
      </c>
      <c r="E909" t="str">
        <f>IFERROR(__xludf.DUMMYFUNCTION("""COMPUTED_VALUE"""),"An Introduction to the Ethernet/IP Protocol")</f>
        <v>An Introduction to the Ethernet/IP Protocol</v>
      </c>
      <c r="F909">
        <f>IFERROR(__xludf.DUMMYFUNCTION("""COMPUTED_VALUE"""),209114.0)</f>
        <v>209114</v>
      </c>
      <c r="G909" t="str">
        <f>IFERROR(__xludf.DUMMYFUNCTION("""COMPUTED_VALUE"""),"Emile Ackbarali")</f>
        <v>Emile Ackbarali</v>
      </c>
      <c r="H909" t="str">
        <f>IFERROR(__xludf.DUMMYFUNCTION("""COMPUTED_VALUE"""),"Instructor Request- Opted Out")</f>
        <v>Instructor Request- Opted Out</v>
      </c>
      <c r="I909" t="str">
        <f>IFERROR(__xludf.DUMMYFUNCTION("""COMPUTED_VALUE"""),"IT Operations")</f>
        <v>IT Operations</v>
      </c>
      <c r="J909" t="str">
        <f>IFERROR(__xludf.DUMMYFUNCTION("""COMPUTED_VALUE"""),"Network &amp; Security")</f>
        <v>Network &amp; Security</v>
      </c>
      <c r="L909" s="140" t="str">
        <f>IFERROR(__xludf.DUMMYFUNCTION("""COMPUTED_VALUE"""),"")</f>
        <v/>
      </c>
      <c r="N909" s="140" t="str">
        <f>IFERROR(__xludf.DUMMYFUNCTION("""COMPUTED_VALUE"""),"")</f>
        <v/>
      </c>
    </row>
    <row r="910">
      <c r="A910" s="143">
        <f>IFERROR(__xludf.DUMMYFUNCTION("""COMPUTED_VALUE"""),44561.0)</f>
        <v>44561</v>
      </c>
      <c r="B910">
        <f>IFERROR(__xludf.DUMMYFUNCTION("""COMPUTED_VALUE"""),1941658.0)</f>
        <v>1941658</v>
      </c>
      <c r="C910" s="141" t="str">
        <f>IFERROR(__xludf.DUMMYFUNCTION("""COMPUTED_VALUE"""),"en")</f>
        <v>en</v>
      </c>
      <c r="D910" t="str">
        <f>IFERROR(__xludf.DUMMYFUNCTION("""COMPUTED_VALUE"""),"AWS ECS (Elastic Container Service) - Deep Dive")</f>
        <v>AWS ECS (Elastic Container Service) - Deep Dive</v>
      </c>
      <c r="E910" t="str">
        <f>IFERROR(__xludf.DUMMYFUNCTION("""COMPUTED_VALUE"""),"AWS ECS (Elastic Container Service) - Deep Dive")</f>
        <v>AWS ECS (Elastic Container Service) - Deep Dive</v>
      </c>
      <c r="F910">
        <f>IFERROR(__xludf.DUMMYFUNCTION("""COMPUTED_VALUE"""),2.8075712E7)</f>
        <v>28075712</v>
      </c>
      <c r="G910" t="str">
        <f>IFERROR(__xludf.DUMMYFUNCTION("""COMPUTED_VALUE"""),"Soumyadeep Dey")</f>
        <v>Soumyadeep Dey</v>
      </c>
      <c r="H910" t="str">
        <f>IFERROR(__xludf.DUMMYFUNCTION("""COMPUTED_VALUE"""),"Instructor Request- Opted Out")</f>
        <v>Instructor Request- Opted Out</v>
      </c>
      <c r="I910" t="str">
        <f>IFERROR(__xludf.DUMMYFUNCTION("""COMPUTED_VALUE"""),"Development")</f>
        <v>Development</v>
      </c>
      <c r="J910" t="str">
        <f>IFERROR(__xludf.DUMMYFUNCTION("""COMPUTED_VALUE"""),"Development Tools")</f>
        <v>Development Tools</v>
      </c>
      <c r="K910" s="140">
        <f>IFERROR(__xludf.DUMMYFUNCTION("""COMPUTED_VALUE"""),3259666.0)</f>
        <v>3259666</v>
      </c>
      <c r="L910" s="140" t="str">
        <f>IFERROR(__xludf.DUMMYFUNCTION("""COMPUTED_VALUE"""),"[NEW] Amazon ECS &amp; Fargate Master Class - Docker on AWS")</f>
        <v>[NEW] Amazon ECS &amp; Fargate Master Class - Docker on AWS</v>
      </c>
      <c r="N910" s="140" t="str">
        <f>IFERROR(__xludf.DUMMYFUNCTION("""COMPUTED_VALUE"""),"")</f>
        <v/>
      </c>
    </row>
    <row r="911">
      <c r="A911" s="143">
        <f>IFERROR(__xludf.DUMMYFUNCTION("""COMPUTED_VALUE"""),44561.0)</f>
        <v>44561</v>
      </c>
      <c r="B911">
        <f>IFERROR(__xludf.DUMMYFUNCTION("""COMPUTED_VALUE"""),181470.0)</f>
        <v>181470</v>
      </c>
      <c r="C911" s="141" t="str">
        <f>IFERROR(__xludf.DUMMYFUNCTION("""COMPUTED_VALUE"""),"fr")</f>
        <v>fr</v>
      </c>
      <c r="D911" t="str">
        <f>IFERROR(__xludf.DUMMYFUNCTION("""COMPUTED_VALUE"""),"Parler anglais comme un anglophone – Speak English Better")</f>
        <v>Parler anglais comme un anglophone – Speak English Better</v>
      </c>
      <c r="E911" t="str">
        <f>IFERROR(__xludf.DUMMYFUNCTION("""COMPUTED_VALUE"""),"Talking English as an Anglophone - Speak Français Better")</f>
        <v>Talking English as an Anglophone - Speak Français Better</v>
      </c>
      <c r="F911">
        <f>IFERROR(__xludf.DUMMYFUNCTION("""COMPUTED_VALUE"""),4096324.0)</f>
        <v>4096324</v>
      </c>
      <c r="G911" t="str">
        <f>IFERROR(__xludf.DUMMYFUNCTION("""COMPUTED_VALUE"""),"Jennifer Glover")</f>
        <v>Jennifer Glover</v>
      </c>
      <c r="H911" t="str">
        <f>IFERROR(__xludf.DUMMYFUNCTION("""COMPUTED_VALUE"""),"Low Rating")</f>
        <v>Low Rating</v>
      </c>
      <c r="I911" t="str">
        <f>IFERROR(__xludf.DUMMYFUNCTION("""COMPUTED_VALUE"""),"Personal Development")</f>
        <v>Personal Development</v>
      </c>
      <c r="J911" t="str">
        <f>IFERROR(__xludf.DUMMYFUNCTION("""COMPUTED_VALUE"""),"Language Learning")</f>
        <v>Language Learning</v>
      </c>
    </row>
    <row r="912">
      <c r="A912" s="143">
        <f>IFERROR(__xludf.DUMMYFUNCTION("""COMPUTED_VALUE"""),44561.0)</f>
        <v>44561</v>
      </c>
      <c r="B912">
        <f>IFERROR(__xludf.DUMMYFUNCTION("""COMPUTED_VALUE"""),470752.0)</f>
        <v>470752</v>
      </c>
      <c r="C912" s="141" t="str">
        <f>IFERROR(__xludf.DUMMYFUNCTION("""COMPUTED_VALUE"""),"en")</f>
        <v>en</v>
      </c>
      <c r="D912" t="str">
        <f>IFERROR(__xludf.DUMMYFUNCTION("""COMPUTED_VALUE"""),"IT Professional 2.0: Take Your Career To The Next Level")</f>
        <v>IT Professional 2.0: Take Your Career To The Next Level</v>
      </c>
      <c r="E912" t="str">
        <f>IFERROR(__xludf.DUMMYFUNCTION("""COMPUTED_VALUE"""),"IT Professional 2.0: Take Your Career To The Next Level")</f>
        <v>IT Professional 2.0: Take Your Career To The Next Level</v>
      </c>
      <c r="F912">
        <f>IFERROR(__xludf.DUMMYFUNCTION("""COMPUTED_VALUE"""),3735676.0)</f>
        <v>3735676</v>
      </c>
      <c r="G912" t="str">
        <f>IFERROR(__xludf.DUMMYFUNCTION("""COMPUTED_VALUE"""),"Ahmed Albalooshi")</f>
        <v>Ahmed Albalooshi</v>
      </c>
      <c r="H912" t="str">
        <f>IFERROR(__xludf.DUMMYFUNCTION("""COMPUTED_VALUE"""),"Low Rating")</f>
        <v>Low Rating</v>
      </c>
      <c r="I912" t="str">
        <f>IFERROR(__xludf.DUMMYFUNCTION("""COMPUTED_VALUE"""),"IT Operations")</f>
        <v>IT Operations</v>
      </c>
      <c r="J912" t="str">
        <f>IFERROR(__xludf.DUMMYFUNCTION("""COMPUTED_VALUE"""),"Operating Systems &amp; Servers")</f>
        <v>Operating Systems &amp; Servers</v>
      </c>
    </row>
    <row r="913">
      <c r="A913" s="143">
        <f>IFERROR(__xludf.DUMMYFUNCTION("""COMPUTED_VALUE"""),44561.0)</f>
        <v>44561</v>
      </c>
      <c r="B913">
        <f>IFERROR(__xludf.DUMMYFUNCTION("""COMPUTED_VALUE"""),515220.0)</f>
        <v>515220</v>
      </c>
      <c r="C913" s="141" t="str">
        <f>IFERROR(__xludf.DUMMYFUNCTION("""COMPUTED_VALUE"""),"en")</f>
        <v>en</v>
      </c>
      <c r="D913" t="str">
        <f>IFERROR(__xludf.DUMMYFUNCTION("""COMPUTED_VALUE"""),"Markdown Mastery: Simple yet Powerful Writing Format")</f>
        <v>Markdown Mastery: Simple yet Powerful Writing Format</v>
      </c>
      <c r="E913" t="str">
        <f>IFERROR(__xludf.DUMMYFUNCTION("""COMPUTED_VALUE"""),"Markdown Mastery: Simple yet Powerful Writing Format")</f>
        <v>Markdown Mastery: Simple yet Powerful Writing Format</v>
      </c>
      <c r="F913">
        <f>IFERROR(__xludf.DUMMYFUNCTION("""COMPUTED_VALUE"""),5341724.0)</f>
        <v>5341724</v>
      </c>
      <c r="G913" t="str">
        <f>IFERROR(__xludf.DUMMYFUNCTION("""COMPUTED_VALUE"""),"Jason Taylor")</f>
        <v>Jason Taylor</v>
      </c>
      <c r="H913" t="str">
        <f>IFERROR(__xludf.DUMMYFUNCTION("""COMPUTED_VALUE"""),"Low Rating")</f>
        <v>Low Rating</v>
      </c>
      <c r="I913" t="str">
        <f>IFERROR(__xludf.DUMMYFUNCTION("""COMPUTED_VALUE"""),"Development")</f>
        <v>Development</v>
      </c>
      <c r="J913" t="str">
        <f>IFERROR(__xludf.DUMMYFUNCTION("""COMPUTED_VALUE"""),"Programming Languages")</f>
        <v>Programming Languages</v>
      </c>
    </row>
    <row r="914">
      <c r="A914" s="143">
        <f>IFERROR(__xludf.DUMMYFUNCTION("""COMPUTED_VALUE"""),44561.0)</f>
        <v>44561</v>
      </c>
      <c r="B914">
        <f>IFERROR(__xludf.DUMMYFUNCTION("""COMPUTED_VALUE"""),739888.0)</f>
        <v>739888</v>
      </c>
      <c r="C914" s="141" t="str">
        <f>IFERROR(__xludf.DUMMYFUNCTION("""COMPUTED_VALUE"""),"en")</f>
        <v>en</v>
      </c>
      <c r="D914" t="str">
        <f>IFERROR(__xludf.DUMMYFUNCTION("""COMPUTED_VALUE"""),"SAP WM Warehouse Management")</f>
        <v>SAP WM Warehouse Management</v>
      </c>
      <c r="E914" t="str">
        <f>IFERROR(__xludf.DUMMYFUNCTION("""COMPUTED_VALUE"""),"SAP WM Warehouse Management")</f>
        <v>SAP WM Warehouse Management</v>
      </c>
      <c r="F914">
        <f>IFERROR(__xludf.DUMMYFUNCTION("""COMPUTED_VALUE"""),6393502.0)</f>
        <v>6393502</v>
      </c>
      <c r="G914" t="str">
        <f>IFERROR(__xludf.DUMMYFUNCTION("""COMPUTED_VALUE"""),"Ricardo Naya")</f>
        <v>Ricardo Naya</v>
      </c>
      <c r="H914" t="str">
        <f>IFERROR(__xludf.DUMMYFUNCTION("""COMPUTED_VALUE"""),"Low Rating")</f>
        <v>Low Rating</v>
      </c>
      <c r="I914" t="str">
        <f>IFERROR(__xludf.DUMMYFUNCTION("""COMPUTED_VALUE"""),"Project Management &amp; Operations")</f>
        <v>Project Management &amp; Operations</v>
      </c>
      <c r="J914" t="str">
        <f>IFERROR(__xludf.DUMMYFUNCTION("""COMPUTED_VALUE"""),"Operations Management")</f>
        <v>Operations Management</v>
      </c>
      <c r="K914" s="140">
        <f>IFERROR(__xludf.DUMMYFUNCTION("""COMPUTED_VALUE"""),3386602.0)</f>
        <v>3386602</v>
      </c>
      <c r="L914" s="140" t="str">
        <f>IFERROR(__xludf.DUMMYFUNCTION("""COMPUTED_VALUE"""),"SAP Extended Warehouse Management - Fundamentals of SAP EWM")</f>
        <v>SAP Extended Warehouse Management - Fundamentals of SAP EWM</v>
      </c>
    </row>
    <row r="915">
      <c r="A915" s="143">
        <f>IFERROR(__xludf.DUMMYFUNCTION("""COMPUTED_VALUE"""),44561.0)</f>
        <v>44561</v>
      </c>
      <c r="B915">
        <f>IFERROR(__xludf.DUMMYFUNCTION("""COMPUTED_VALUE"""),1451418.0)</f>
        <v>1451418</v>
      </c>
      <c r="C915" s="141" t="str">
        <f>IFERROR(__xludf.DUMMYFUNCTION("""COMPUTED_VALUE"""),"en")</f>
        <v>en</v>
      </c>
      <c r="D915" t="str">
        <f>IFERROR(__xludf.DUMMYFUNCTION("""COMPUTED_VALUE"""),"ICO. Launch a DeFi Initial Coin Offering &amp; Raise Investment")</f>
        <v>ICO. Launch a DeFi Initial Coin Offering &amp; Raise Investment</v>
      </c>
      <c r="E915" t="str">
        <f>IFERROR(__xludf.DUMMYFUNCTION("""COMPUTED_VALUE"""),"ICO. Launch a DeFi Initial Coin Offering &amp; Raise Investment")</f>
        <v>ICO. Launch a DeFi Initial Coin Offering &amp; Raise Investment</v>
      </c>
      <c r="F915">
        <f>IFERROR(__xludf.DUMMYFUNCTION("""COMPUTED_VALUE"""),3.2677358E7)</f>
        <v>32677358</v>
      </c>
      <c r="G915" t="str">
        <f>IFERROR(__xludf.DUMMYFUNCTION("""COMPUTED_VALUE"""),"EduTelly ™")</f>
        <v>EduTelly ™</v>
      </c>
      <c r="H915" t="str">
        <f>IFERROR(__xludf.DUMMYFUNCTION("""COMPUTED_VALUE"""),"Low Rating")</f>
        <v>Low Rating</v>
      </c>
      <c r="I915" t="str">
        <f>IFERROR(__xludf.DUMMYFUNCTION("""COMPUTED_VALUE"""),"Finance &amp; Accounting")</f>
        <v>Finance &amp; Accounting</v>
      </c>
      <c r="J915" t="str">
        <f>IFERROR(__xludf.DUMMYFUNCTION("""COMPUTED_VALUE"""),"Investing &amp; Trading")</f>
        <v>Investing &amp; Trading</v>
      </c>
    </row>
    <row r="916">
      <c r="A916" s="143">
        <f>IFERROR(__xludf.DUMMYFUNCTION("""COMPUTED_VALUE"""),44561.0)</f>
        <v>44561</v>
      </c>
      <c r="B916">
        <f>IFERROR(__xludf.DUMMYFUNCTION("""COMPUTED_VALUE"""),1612984.0)</f>
        <v>1612984</v>
      </c>
      <c r="C916" s="141" t="str">
        <f>IFERROR(__xludf.DUMMYFUNCTION("""COMPUTED_VALUE"""),"en")</f>
        <v>en</v>
      </c>
      <c r="D916" t="str">
        <f>IFERROR(__xludf.DUMMYFUNCTION("""COMPUTED_VALUE"""),"SAP MM (Materials Management) - Configuration and End User")</f>
        <v>SAP MM (Materials Management) - Configuration and End User</v>
      </c>
      <c r="E916" t="str">
        <f>IFERROR(__xludf.DUMMYFUNCTION("""COMPUTED_VALUE"""),"SAP MM (Materials Management) - Configuration and End User")</f>
        <v>SAP MM (Materials Management) - Configuration and End User</v>
      </c>
      <c r="F916">
        <f>IFERROR(__xludf.DUMMYFUNCTION("""COMPUTED_VALUE"""),4.5407028E7)</f>
        <v>45407028</v>
      </c>
      <c r="G916" t="str">
        <f>IFERROR(__xludf.DUMMYFUNCTION("""COMPUTED_VALUE"""),"Rana W Mehmood")</f>
        <v>Rana W Mehmood</v>
      </c>
      <c r="H916" t="str">
        <f>IFERROR(__xludf.DUMMYFUNCTION("""COMPUTED_VALUE"""),"Low Rating")</f>
        <v>Low Rating</v>
      </c>
      <c r="I916" t="str">
        <f>IFERROR(__xludf.DUMMYFUNCTION("""COMPUTED_VALUE"""),"Sales")</f>
        <v>Sales</v>
      </c>
      <c r="J916" t="str">
        <f>IFERROR(__xludf.DUMMYFUNCTION("""COMPUTED_VALUE"""),"Customer Success &amp; Service")</f>
        <v>Customer Success &amp; Service</v>
      </c>
      <c r="K916" s="140">
        <f>IFERROR(__xludf.DUMMYFUNCTION("""COMPUTED_VALUE"""),3461878.0)</f>
        <v>3461878</v>
      </c>
      <c r="L916" s="140" t="str">
        <f>IFERROR(__xludf.DUMMYFUNCTION("""COMPUTED_VALUE"""),"SAP Activate Project Manager Material &amp; Test | C_ACTIVATE13")</f>
        <v>SAP Activate Project Manager Material &amp; Test | C_ACTIVATE13</v>
      </c>
    </row>
    <row r="917">
      <c r="A917" s="143">
        <f>IFERROR(__xludf.DUMMYFUNCTION("""COMPUTED_VALUE"""),44561.0)</f>
        <v>44561</v>
      </c>
      <c r="B917">
        <f>IFERROR(__xludf.DUMMYFUNCTION("""COMPUTED_VALUE"""),1621090.0)</f>
        <v>1621090</v>
      </c>
      <c r="C917" s="141" t="str">
        <f>IFERROR(__xludf.DUMMYFUNCTION("""COMPUTED_VALUE"""),"en")</f>
        <v>en</v>
      </c>
      <c r="D917" t="str">
        <f>IFERROR(__xludf.DUMMYFUNCTION("""COMPUTED_VALUE"""),"Oracle Apps R12 Financials Course Online Training")</f>
        <v>Oracle Apps R12 Financials Course Online Training</v>
      </c>
      <c r="E917" t="str">
        <f>IFERROR(__xludf.DUMMYFUNCTION("""COMPUTED_VALUE"""),"Oracle Apps R12 Financials Course Online Training")</f>
        <v>Oracle Apps R12 Financials Course Online Training</v>
      </c>
      <c r="F917">
        <f>IFERROR(__xludf.DUMMYFUNCTION("""COMPUTED_VALUE"""),3.5635454E7)</f>
        <v>35635454</v>
      </c>
      <c r="G917" t="str">
        <f>IFERROR(__xludf.DUMMYFUNCTION("""COMPUTED_VALUE"""),"Koduru Sridevi")</f>
        <v>Koduru Sridevi</v>
      </c>
      <c r="H917" t="str">
        <f>IFERROR(__xludf.DUMMYFUNCTION("""COMPUTED_VALUE"""),"Low Rating")</f>
        <v>Low Rating</v>
      </c>
      <c r="I917" t="str">
        <f>IFERROR(__xludf.DUMMYFUNCTION("""COMPUTED_VALUE"""),"Development")</f>
        <v>Development</v>
      </c>
      <c r="J917" t="str">
        <f>IFERROR(__xludf.DUMMYFUNCTION("""COMPUTED_VALUE"""),"Development Tools")</f>
        <v>Development Tools</v>
      </c>
      <c r="K917" s="140">
        <f>IFERROR(__xludf.DUMMYFUNCTION("""COMPUTED_VALUE"""),1218790.0)</f>
        <v>1218790</v>
      </c>
      <c r="L917" s="140" t="str">
        <f>IFERROR(__xludf.DUMMYFUNCTION("""COMPUTED_VALUE"""),"Basics in Plan to Produce (P2P) Process: Oracle SCM Cloud")</f>
        <v>Basics in Plan to Produce (P2P) Process: Oracle SCM Cloud</v>
      </c>
    </row>
    <row r="918">
      <c r="A918" s="143">
        <f>IFERROR(__xludf.DUMMYFUNCTION("""COMPUTED_VALUE"""),44561.0)</f>
        <v>44561</v>
      </c>
      <c r="B918">
        <f>IFERROR(__xludf.DUMMYFUNCTION("""COMPUTED_VALUE"""),1895736.0)</f>
        <v>1895736</v>
      </c>
      <c r="C918" s="141" t="str">
        <f>IFERROR(__xludf.DUMMYFUNCTION("""COMPUTED_VALUE"""),"ja")</f>
        <v>ja</v>
      </c>
      <c r="D918" t="str">
        <f>IFERROR(__xludf.DUMMYFUNCTION("""COMPUTED_VALUE"""),"【情報セキュリティ基礎】ハッカーの視点から見るセキュリティ対策の必要性")</f>
        <v>【情報セキュリティ基礎】ハッカーの視点から見るセキュリティ対策の必要性</v>
      </c>
      <c r="E918" t="str">
        <f>IFERROR(__xludf.DUMMYFUNCTION("""COMPUTED_VALUE"""),"[Information security base] Necessity of security measures seen from hacker's point of view")</f>
        <v>[Information security base] Necessity of security measures seen from hacker's point of view</v>
      </c>
      <c r="F918">
        <f>IFERROR(__xludf.DUMMYFUNCTION("""COMPUTED_VALUE"""),3.3212246E7)</f>
        <v>33212246</v>
      </c>
      <c r="G918" t="str">
        <f>IFERROR(__xludf.DUMMYFUNCTION("""COMPUTED_VALUE"""),"阿部ひろき blksmith")</f>
        <v>阿部ひろき blksmith</v>
      </c>
      <c r="H918" t="str">
        <f>IFERROR(__xludf.DUMMYFUNCTION("""COMPUTED_VALUE"""),"Low Rating")</f>
        <v>Low Rating</v>
      </c>
      <c r="I918" t="str">
        <f>IFERROR(__xludf.DUMMYFUNCTION("""COMPUTED_VALUE"""),"IT Operations")</f>
        <v>IT Operations</v>
      </c>
      <c r="J918" t="str">
        <f>IFERROR(__xludf.DUMMYFUNCTION("""COMPUTED_VALUE"""),"Network &amp; Security")</f>
        <v>Network &amp; Security</v>
      </c>
      <c r="L918" s="140" t="str">
        <f>IFERROR(__xludf.DUMMYFUNCTION("""COMPUTED_VALUE"""),"")</f>
        <v/>
      </c>
    </row>
    <row r="919">
      <c r="A919" s="143">
        <f>IFERROR(__xludf.DUMMYFUNCTION("""COMPUTED_VALUE"""),44561.0)</f>
        <v>44561</v>
      </c>
      <c r="B919">
        <f>IFERROR(__xludf.DUMMYFUNCTION("""COMPUTED_VALUE"""),2031694.0)</f>
        <v>2031694</v>
      </c>
      <c r="C919" s="141" t="str">
        <f>IFERROR(__xludf.DUMMYFUNCTION("""COMPUTED_VALUE"""),"en")</f>
        <v>en</v>
      </c>
      <c r="D919" t="str">
        <f>IFERROR(__xludf.DUMMYFUNCTION("""COMPUTED_VALUE"""),"Wondershare Filmora Masterclass A Complete Guide to Filmora")</f>
        <v>Wondershare Filmora Masterclass A Complete Guide to Filmora</v>
      </c>
      <c r="E919" t="str">
        <f>IFERROR(__xludf.DUMMYFUNCTION("""COMPUTED_VALUE"""),"Wondershare Filmora Masterclass A Complete Guide to Filmora")</f>
        <v>Wondershare Filmora Masterclass A Complete Guide to Filmora</v>
      </c>
      <c r="F919">
        <f>IFERROR(__xludf.DUMMYFUNCTION("""COMPUTED_VALUE"""),4.4001652E7)</f>
        <v>44001652</v>
      </c>
      <c r="G919" t="str">
        <f>IFERROR(__xludf.DUMMYFUNCTION("""COMPUTED_VALUE"""),"Pavy Technical")</f>
        <v>Pavy Technical</v>
      </c>
      <c r="H919" t="str">
        <f>IFERROR(__xludf.DUMMYFUNCTION("""COMPUTED_VALUE"""),"Low Rating")</f>
        <v>Low Rating</v>
      </c>
      <c r="I919" t="str">
        <f>IFERROR(__xludf.DUMMYFUNCTION("""COMPUTED_VALUE"""),"Design")</f>
        <v>Design</v>
      </c>
      <c r="J919" t="str">
        <f>IFERROR(__xludf.DUMMYFUNCTION("""COMPUTED_VALUE"""),"Design Tools")</f>
        <v>Design Tools</v>
      </c>
      <c r="L919" s="140" t="str">
        <f>IFERROR(__xludf.DUMMYFUNCTION("""COMPUTED_VALUE"""),"")</f>
        <v/>
      </c>
      <c r="N919" s="140" t="str">
        <f>IFERROR(__xludf.DUMMYFUNCTION("""COMPUTED_VALUE"""),"")</f>
        <v/>
      </c>
    </row>
    <row r="920">
      <c r="A920" s="143">
        <f>IFERROR(__xludf.DUMMYFUNCTION("""COMPUTED_VALUE"""),44561.0)</f>
        <v>44561</v>
      </c>
      <c r="B920">
        <f>IFERROR(__xludf.DUMMYFUNCTION("""COMPUTED_VALUE"""),2399412.0)</f>
        <v>2399412</v>
      </c>
      <c r="C920" s="141" t="str">
        <f>IFERROR(__xludf.DUMMYFUNCTION("""COMPUTED_VALUE"""),"ja")</f>
        <v>ja</v>
      </c>
      <c r="D920" t="str">
        <f>IFERROR(__xludf.DUMMYFUNCTION("""COMPUTED_VALUE"""),"Ansible入門")</f>
        <v>Ansible入門</v>
      </c>
      <c r="E920" t="str">
        <f>IFERROR(__xludf.DUMMYFUNCTION("""COMPUTED_VALUE"""),"Getting started with ANSIBLE")</f>
        <v>Getting started with ANSIBLE</v>
      </c>
      <c r="F920">
        <f>IFERROR(__xludf.DUMMYFUNCTION("""COMPUTED_VALUE"""),1.5474822E7)</f>
        <v>15474822</v>
      </c>
      <c r="G920" t="str">
        <f>IFERROR(__xludf.DUMMYFUNCTION("""COMPUTED_VALUE"""),"Kanri Mega")</f>
        <v>Kanri Mega</v>
      </c>
      <c r="H920" t="str">
        <f>IFERROR(__xludf.DUMMYFUNCTION("""COMPUTED_VALUE"""),"Low Rating")</f>
        <v>Low Rating</v>
      </c>
      <c r="I920" t="str">
        <f>IFERROR(__xludf.DUMMYFUNCTION("""COMPUTED_VALUE"""),"IT Operations")</f>
        <v>IT Operations</v>
      </c>
      <c r="J920" t="str">
        <f>IFERROR(__xludf.DUMMYFUNCTION("""COMPUTED_VALUE"""),"Operating Systems &amp; Servers")</f>
        <v>Operating Systems &amp; Servers</v>
      </c>
      <c r="L920" s="140" t="str">
        <f>IFERROR(__xludf.DUMMYFUNCTION("""COMPUTED_VALUE"""),"")</f>
        <v/>
      </c>
      <c r="N920" s="140" t="str">
        <f>IFERROR(__xludf.DUMMYFUNCTION("""COMPUTED_VALUE"""),"")</f>
        <v/>
      </c>
    </row>
    <row r="921">
      <c r="A921" s="143">
        <f>IFERROR(__xludf.DUMMYFUNCTION("""COMPUTED_VALUE"""),44561.0)</f>
        <v>44561</v>
      </c>
      <c r="B921">
        <f>IFERROR(__xludf.DUMMYFUNCTION("""COMPUTED_VALUE"""),2621544.0)</f>
        <v>2621544</v>
      </c>
      <c r="C921" s="141" t="str">
        <f>IFERROR(__xludf.DUMMYFUNCTION("""COMPUTED_VALUE"""),"en")</f>
        <v>en</v>
      </c>
      <c r="D921" t="str">
        <f>IFERROR(__xludf.DUMMYFUNCTION("""COMPUTED_VALUE"""),"Python Game Development using Pygame and Python 3")</f>
        <v>Python Game Development using Pygame and Python 3</v>
      </c>
      <c r="E921" t="str">
        <f>IFERROR(__xludf.DUMMYFUNCTION("""COMPUTED_VALUE"""),"Python Game Development using Pygame and Python 3")</f>
        <v>Python Game Development using Pygame and Python 3</v>
      </c>
      <c r="F921">
        <f>IFERROR(__xludf.DUMMYFUNCTION("""COMPUTED_VALUE"""),2.1109634E7)</f>
        <v>21109634</v>
      </c>
      <c r="G921" t="str">
        <f>IFERROR(__xludf.DUMMYFUNCTION("""COMPUTED_VALUE"""),"Attreya Bhatt")</f>
        <v>Attreya Bhatt</v>
      </c>
      <c r="H921" t="str">
        <f>IFERROR(__xludf.DUMMYFUNCTION("""COMPUTED_VALUE"""),"Low Rating")</f>
        <v>Low Rating</v>
      </c>
      <c r="I921" t="str">
        <f>IFERROR(__xludf.DUMMYFUNCTION("""COMPUTED_VALUE"""),"Development")</f>
        <v>Development</v>
      </c>
      <c r="J921" t="str">
        <f>IFERROR(__xludf.DUMMYFUNCTION("""COMPUTED_VALUE"""),"Game Development")</f>
        <v>Game Development</v>
      </c>
      <c r="L921" s="140" t="str">
        <f>IFERROR(__xludf.DUMMYFUNCTION("""COMPUTED_VALUE"""),"")</f>
        <v/>
      </c>
      <c r="N921" s="140" t="str">
        <f>IFERROR(__xludf.DUMMYFUNCTION("""COMPUTED_VALUE"""),"")</f>
        <v/>
      </c>
    </row>
    <row r="922">
      <c r="A922" s="143">
        <f>IFERROR(__xludf.DUMMYFUNCTION("""COMPUTED_VALUE"""),44561.0)</f>
        <v>44561</v>
      </c>
      <c r="B922">
        <f>IFERROR(__xludf.DUMMYFUNCTION("""COMPUTED_VALUE"""),2929044.0)</f>
        <v>2929044</v>
      </c>
      <c r="C922" s="141" t="str">
        <f>IFERROR(__xludf.DUMMYFUNCTION("""COMPUTED_VALUE"""),"en")</f>
        <v>en</v>
      </c>
      <c r="D922" t="str">
        <f>IFERROR(__xludf.DUMMYFUNCTION("""COMPUTED_VALUE"""),"SAP MDG Workflows ( BRF+ Rule Based / Static ) with Hands-On")</f>
        <v>SAP MDG Workflows ( BRF+ Rule Based / Static ) with Hands-On</v>
      </c>
      <c r="E922" t="str">
        <f>IFERROR(__xludf.DUMMYFUNCTION("""COMPUTED_VALUE"""),"SAP MDG Workflows ( BRF+ Rule Based / Static ) with Hands-On")</f>
        <v>SAP MDG Workflows ( BRF+ Rule Based / Static ) with Hands-On</v>
      </c>
      <c r="F922">
        <f>IFERROR(__xludf.DUMMYFUNCTION("""COMPUTED_VALUE"""),3.4139302E7)</f>
        <v>34139302</v>
      </c>
      <c r="G922" t="str">
        <f>IFERROR(__xludf.DUMMYFUNCTION("""COMPUTED_VALUE"""),"Vishal Saxena")</f>
        <v>Vishal Saxena</v>
      </c>
      <c r="H922" t="str">
        <f>IFERROR(__xludf.DUMMYFUNCTION("""COMPUTED_VALUE"""),"Low Rating")</f>
        <v>Low Rating</v>
      </c>
      <c r="I922" t="str">
        <f>IFERROR(__xludf.DUMMYFUNCTION("""COMPUTED_VALUE"""),"Finance &amp; Accounting")</f>
        <v>Finance &amp; Accounting</v>
      </c>
      <c r="J922" t="str">
        <f>IFERROR(__xludf.DUMMYFUNCTION("""COMPUTED_VALUE"""),"Accounting Software")</f>
        <v>Accounting Software</v>
      </c>
      <c r="L922" s="140" t="str">
        <f>IFERROR(__xludf.DUMMYFUNCTION("""COMPUTED_VALUE"""),"")</f>
        <v/>
      </c>
      <c r="N922" s="140" t="str">
        <f>IFERROR(__xludf.DUMMYFUNCTION("""COMPUTED_VALUE"""),"")</f>
        <v/>
      </c>
    </row>
    <row r="923">
      <c r="A923" s="143">
        <f>IFERROR(__xludf.DUMMYFUNCTION("""COMPUTED_VALUE"""),44561.0)</f>
        <v>44561</v>
      </c>
      <c r="B923">
        <f>IFERROR(__xludf.DUMMYFUNCTION("""COMPUTED_VALUE"""),559976.0)</f>
        <v>559976</v>
      </c>
      <c r="C923" s="141" t="str">
        <f>IFERROR(__xludf.DUMMYFUNCTION("""COMPUTED_VALUE"""),"en")</f>
        <v>en</v>
      </c>
      <c r="D923" t="str">
        <f>IFERROR(__xludf.DUMMYFUNCTION("""COMPUTED_VALUE"""),"Sensu - Intermediate")</f>
        <v>Sensu - Intermediate</v>
      </c>
      <c r="E923" t="str">
        <f>IFERROR(__xludf.DUMMYFUNCTION("""COMPUTED_VALUE"""),"Sensu - Intermediate")</f>
        <v>Sensu - Intermediate</v>
      </c>
      <c r="F923">
        <f>IFERROR(__xludf.DUMMYFUNCTION("""COMPUTED_VALUE"""),1.413679E7)</f>
        <v>14136790</v>
      </c>
      <c r="G923" t="str">
        <f>IFERROR(__xludf.DUMMYFUNCTION("""COMPUTED_VALUE"""),"Kyle Anderson")</f>
        <v>Kyle Anderson</v>
      </c>
      <c r="H923" t="str">
        <f>IFERROR(__xludf.DUMMYFUNCTION("""COMPUTED_VALUE"""),"3 Flags")</f>
        <v>3 Flags</v>
      </c>
      <c r="I923" t="str">
        <f>IFERROR(__xludf.DUMMYFUNCTION("""COMPUTED_VALUE"""),"IT Operations")</f>
        <v>IT Operations</v>
      </c>
      <c r="J923" t="str">
        <f>IFERROR(__xludf.DUMMYFUNCTION("""COMPUTED_VALUE"""),"Operating Systems &amp; Servers")</f>
        <v>Operating Systems &amp; Servers</v>
      </c>
      <c r="L923" s="140" t="str">
        <f>IFERROR(__xludf.DUMMYFUNCTION("""COMPUTED_VALUE"""),"")</f>
        <v/>
      </c>
      <c r="N923" s="140" t="str">
        <f>IFERROR(__xludf.DUMMYFUNCTION("""COMPUTED_VALUE"""),"")</f>
        <v/>
      </c>
    </row>
    <row r="924">
      <c r="A924" s="143">
        <f>IFERROR(__xludf.DUMMYFUNCTION("""COMPUTED_VALUE"""),44561.0)</f>
        <v>44561</v>
      </c>
      <c r="B924">
        <f>IFERROR(__xludf.DUMMYFUNCTION("""COMPUTED_VALUE"""),771198.0)</f>
        <v>771198</v>
      </c>
      <c r="C924" s="141" t="str">
        <f>IFERROR(__xludf.DUMMYFUNCTION("""COMPUTED_VALUE"""),"en")</f>
        <v>en</v>
      </c>
      <c r="D924" t="str">
        <f>IFERROR(__xludf.DUMMYFUNCTION("""COMPUTED_VALUE"""),"Reactive JS:  Are you ready for the next big paradigm shift?")</f>
        <v>Reactive JS:  Are you ready for the next big paradigm shift?</v>
      </c>
      <c r="E924" t="str">
        <f>IFERROR(__xludf.DUMMYFUNCTION("""COMPUTED_VALUE"""),"Reactive JS:  Are you ready for the next big paradigm shift?")</f>
        <v>Reactive JS:  Are you ready for the next big paradigm shift?</v>
      </c>
      <c r="F924">
        <f>IFERROR(__xludf.DUMMYFUNCTION("""COMPUTED_VALUE"""),2154592.0)</f>
        <v>2154592</v>
      </c>
      <c r="G924" t="str">
        <f>IFERROR(__xludf.DUMMYFUNCTION("""COMPUTED_VALUE"""),"3D BUZZ Programming and Digital Art training")</f>
        <v>3D BUZZ Programming and Digital Art training</v>
      </c>
      <c r="H924" t="str">
        <f>IFERROR(__xludf.DUMMYFUNCTION("""COMPUTED_VALUE"""),"3 Flags")</f>
        <v>3 Flags</v>
      </c>
      <c r="I924" t="str">
        <f>IFERROR(__xludf.DUMMYFUNCTION("""COMPUTED_VALUE"""),"Development")</f>
        <v>Development</v>
      </c>
      <c r="J924" t="str">
        <f>IFERROR(__xludf.DUMMYFUNCTION("""COMPUTED_VALUE"""),"Web Development")</f>
        <v>Web Development</v>
      </c>
      <c r="K924" s="140">
        <f>IFERROR(__xludf.DUMMYFUNCTION("""COMPUTED_VALUE"""),1619356.0)</f>
        <v>1619356</v>
      </c>
      <c r="L924" s="140" t="str">
        <f>IFERROR(__xludf.DUMMYFUNCTION("""COMPUTED_VALUE"""),"React in easy steps with Node and Java Backend")</f>
        <v>React in easy steps with Node and Java Backend</v>
      </c>
      <c r="N924" s="140" t="str">
        <f>IFERROR(__xludf.DUMMYFUNCTION("""COMPUTED_VALUE"""),"")</f>
        <v/>
      </c>
    </row>
    <row r="925">
      <c r="A925" s="143">
        <f>IFERROR(__xludf.DUMMYFUNCTION("""COMPUTED_VALUE"""),44561.0)</f>
        <v>44561</v>
      </c>
      <c r="B925">
        <f>IFERROR(__xludf.DUMMYFUNCTION("""COMPUTED_VALUE"""),852158.0)</f>
        <v>852158</v>
      </c>
      <c r="C925" s="141" t="str">
        <f>IFERROR(__xludf.DUMMYFUNCTION("""COMPUTED_VALUE"""),"pt")</f>
        <v>pt</v>
      </c>
      <c r="D925" t="str">
        <f>IFERROR(__xludf.DUMMYFUNCTION("""COMPUTED_VALUE"""),"Modelagem para Jogos com Blender 3D")</f>
        <v>Modelagem para Jogos com Blender 3D</v>
      </c>
      <c r="E925" t="str">
        <f>IFERROR(__xludf.DUMMYFUNCTION("""COMPUTED_VALUE"""),"Modeling for Games with Blender 3D")</f>
        <v>Modeling for Games with Blender 3D</v>
      </c>
      <c r="F925">
        <f>IFERROR(__xludf.DUMMYFUNCTION("""COMPUTED_VALUE"""),1.1270172E7)</f>
        <v>11270172</v>
      </c>
      <c r="G925" t="str">
        <f>IFERROR(__xludf.DUMMYFUNCTION("""COMPUTED_VALUE"""),"José Augusto Thomas")</f>
        <v>José Augusto Thomas</v>
      </c>
      <c r="H925" t="str">
        <f>IFERROR(__xludf.DUMMYFUNCTION("""COMPUTED_VALUE"""),"3 Flags")</f>
        <v>3 Flags</v>
      </c>
      <c r="I925" t="str">
        <f>IFERROR(__xludf.DUMMYFUNCTION("""COMPUTED_VALUE"""),"Design")</f>
        <v>Design</v>
      </c>
      <c r="J925" t="str">
        <f>IFERROR(__xludf.DUMMYFUNCTION("""COMPUTED_VALUE"""),"3D &amp; Animation")</f>
        <v>3D &amp; Animation</v>
      </c>
      <c r="K925" s="140">
        <f>IFERROR(__xludf.DUMMYFUNCTION("""COMPUTED_VALUE"""),1480378.0)</f>
        <v>1480378</v>
      </c>
      <c r="L925" s="140" t="str">
        <f>IFERROR(__xludf.DUMMYFUNCTION("""COMPUTED_VALUE"""),"Crie seu personagem 3D completo no Blender!")</f>
        <v>Crie seu personagem 3D completo no Blender!</v>
      </c>
      <c r="N925" s="140" t="str">
        <f>IFERROR(__xludf.DUMMYFUNCTION("""COMPUTED_VALUE"""),"")</f>
        <v/>
      </c>
    </row>
    <row r="926">
      <c r="A926" s="143">
        <f>IFERROR(__xludf.DUMMYFUNCTION("""COMPUTED_VALUE"""),44561.0)</f>
        <v>44561</v>
      </c>
      <c r="B926">
        <f>IFERROR(__xludf.DUMMYFUNCTION("""COMPUTED_VALUE"""),1318134.0)</f>
        <v>1318134</v>
      </c>
      <c r="C926" s="141" t="str">
        <f>IFERROR(__xludf.DUMMYFUNCTION("""COMPUTED_VALUE"""),"de")</f>
        <v>de</v>
      </c>
      <c r="D926" t="str">
        <f>IFERROR(__xludf.DUMMYFUNCTION("""COMPUTED_VALUE"""),"Produktivität: Der etwas andere Produktivitätskurs")</f>
        <v>Produktivität: Der etwas andere Produktivitätskurs</v>
      </c>
      <c r="E926" t="str">
        <f>IFERROR(__xludf.DUMMYFUNCTION("""COMPUTED_VALUE"""),"Productivity: The slightly different productivity course")</f>
        <v>Productivity: The slightly different productivity course</v>
      </c>
      <c r="F926">
        <f>IFERROR(__xludf.DUMMYFUNCTION("""COMPUTED_VALUE"""),2.7209146E7)</f>
        <v>27209146</v>
      </c>
      <c r="G926" t="str">
        <f>IFERROR(__xludf.DUMMYFUNCTION("""COMPUTED_VALUE"""),"Tim Lamprecht")</f>
        <v>Tim Lamprecht</v>
      </c>
      <c r="H926" t="str">
        <f>IFERROR(__xludf.DUMMYFUNCTION("""COMPUTED_VALUE"""),"3 Flags")</f>
        <v>3 Flags</v>
      </c>
      <c r="I926" t="str">
        <f>IFERROR(__xludf.DUMMYFUNCTION("""COMPUTED_VALUE"""),"Personal Development")</f>
        <v>Personal Development</v>
      </c>
      <c r="J926" t="str">
        <f>IFERROR(__xludf.DUMMYFUNCTION("""COMPUTED_VALUE"""),"Personal Growth")</f>
        <v>Personal Growth</v>
      </c>
      <c r="K926" s="140">
        <f>IFERROR(__xludf.DUMMYFUNCTION("""COMPUTED_VALUE"""),862886.0)</f>
        <v>862886</v>
      </c>
      <c r="L926" s="140" t="str">
        <f>IFERROR(__xludf.DUMMYFUNCTION("""COMPUTED_VALUE"""),"Produktivität im Arbeitsalltag")</f>
        <v>Produktivität im Arbeitsalltag</v>
      </c>
      <c r="N926" s="140" t="str">
        <f>IFERROR(__xludf.DUMMYFUNCTION("""COMPUTED_VALUE"""),"")</f>
        <v/>
      </c>
    </row>
    <row r="927">
      <c r="A927" s="143">
        <f>IFERROR(__xludf.DUMMYFUNCTION("""COMPUTED_VALUE"""),44561.0)</f>
        <v>44561</v>
      </c>
      <c r="B927">
        <f>IFERROR(__xludf.DUMMYFUNCTION("""COMPUTED_VALUE"""),1393734.0)</f>
        <v>1393734</v>
      </c>
      <c r="C927" s="141" t="str">
        <f>IFERROR(__xludf.DUMMYFUNCTION("""COMPUTED_VALUE"""),"en")</f>
        <v>en</v>
      </c>
      <c r="D927" t="str">
        <f>IFERROR(__xludf.DUMMYFUNCTION("""COMPUTED_VALUE"""),"Learn complete Java  -  Core Java &amp; JSP &amp; Servlets")</f>
        <v>Learn complete Java  -  Core Java &amp; JSP &amp; Servlets</v>
      </c>
      <c r="E927" t="str">
        <f>IFERROR(__xludf.DUMMYFUNCTION("""COMPUTED_VALUE"""),"Learn complete Java  -  Core Java &amp; JSP &amp; Servlets")</f>
        <v>Learn complete Java  -  Core Java &amp; JSP &amp; Servlets</v>
      </c>
      <c r="F927">
        <f>IFERROR(__xludf.DUMMYFUNCTION("""COMPUTED_VALUE"""),8119046.0)</f>
        <v>8119046</v>
      </c>
      <c r="G927" t="str">
        <f>IFERROR(__xludf.DUMMYFUNCTION("""COMPUTED_VALUE"""),"Anand Mahajan")</f>
        <v>Anand Mahajan</v>
      </c>
      <c r="H927" t="str">
        <f>IFERROR(__xludf.DUMMYFUNCTION("""COMPUTED_VALUE"""),"3 Flags")</f>
        <v>3 Flags</v>
      </c>
      <c r="I927" t="str">
        <f>IFERROR(__xludf.DUMMYFUNCTION("""COMPUTED_VALUE"""),"Development")</f>
        <v>Development</v>
      </c>
      <c r="J927" t="str">
        <f>IFERROR(__xludf.DUMMYFUNCTION("""COMPUTED_VALUE"""),"Web Development")</f>
        <v>Web Development</v>
      </c>
      <c r="K927" s="140">
        <f>IFERROR(__xludf.DUMMYFUNCTION("""COMPUTED_VALUE"""),533682.0)</f>
        <v>533682</v>
      </c>
      <c r="L927" s="140" t="str">
        <f>IFERROR(__xludf.DUMMYFUNCTION("""COMPUTED_VALUE"""),"Java Programming Masterclass covering Java 11 &amp; Java 17")</f>
        <v>Java Programming Masterclass covering Java 11 &amp; Java 17</v>
      </c>
      <c r="N927" s="140" t="str">
        <f>IFERROR(__xludf.DUMMYFUNCTION("""COMPUTED_VALUE"""),"")</f>
        <v/>
      </c>
    </row>
    <row r="928">
      <c r="A928" s="143">
        <f>IFERROR(__xludf.DUMMYFUNCTION("""COMPUTED_VALUE"""),44561.0)</f>
        <v>44561</v>
      </c>
      <c r="B928">
        <f>IFERROR(__xludf.DUMMYFUNCTION("""COMPUTED_VALUE"""),1509090.0)</f>
        <v>1509090</v>
      </c>
      <c r="C928" s="141" t="str">
        <f>IFERROR(__xludf.DUMMYFUNCTION("""COMPUTED_VALUE"""),"en")</f>
        <v>en</v>
      </c>
      <c r="D928" t="str">
        <f>IFERROR(__xludf.DUMMYFUNCTION("""COMPUTED_VALUE"""),"Pardot Specialist Certification Practice Tests")</f>
        <v>Pardot Specialist Certification Practice Tests</v>
      </c>
      <c r="E928" t="str">
        <f>IFERROR(__xludf.DUMMYFUNCTION("""COMPUTED_VALUE"""),"PARDOT SPECIALIST CERTIFICATION PRACTICE TEST")</f>
        <v>PARDOT SPECIALIST CERTIFICATION PRACTICE TEST</v>
      </c>
      <c r="F928">
        <f>IFERROR(__xludf.DUMMYFUNCTION("""COMPUTED_VALUE"""),7048602.0)</f>
        <v>7048602</v>
      </c>
      <c r="G928" t="str">
        <f>IFERROR(__xludf.DUMMYFUNCTION("""COMPUTED_VALUE"""),"Kelli Meador")</f>
        <v>Kelli Meador</v>
      </c>
      <c r="H928" t="str">
        <f>IFERROR(__xludf.DUMMYFUNCTION("""COMPUTED_VALUE"""),"3 Flags")</f>
        <v>3 Flags</v>
      </c>
      <c r="I928" t="str">
        <f>IFERROR(__xludf.DUMMYFUNCTION("""COMPUTED_VALUE"""),"Marketing")</f>
        <v>Marketing</v>
      </c>
      <c r="J928" t="str">
        <f>IFERROR(__xludf.DUMMYFUNCTION("""COMPUTED_VALUE"""),"Marketing Analytics &amp; Automation")</f>
        <v>Marketing Analytics &amp; Automation</v>
      </c>
      <c r="L928" s="140" t="str">
        <f>IFERROR(__xludf.DUMMYFUNCTION("""COMPUTED_VALUE"""),"")</f>
        <v/>
      </c>
      <c r="N928" s="140" t="str">
        <f>IFERROR(__xludf.DUMMYFUNCTION("""COMPUTED_VALUE"""),"")</f>
        <v/>
      </c>
    </row>
    <row r="929">
      <c r="A929" s="143">
        <f>IFERROR(__xludf.DUMMYFUNCTION("""COMPUTED_VALUE"""),44561.0)</f>
        <v>44561</v>
      </c>
      <c r="B929">
        <f>IFERROR(__xludf.DUMMYFUNCTION("""COMPUTED_VALUE"""),1581552.0)</f>
        <v>1581552</v>
      </c>
      <c r="C929" s="141" t="str">
        <f>IFERROR(__xludf.DUMMYFUNCTION("""COMPUTED_VALUE"""),"en")</f>
        <v>en</v>
      </c>
      <c r="D929" t="str">
        <f>IFERROR(__xludf.DUMMYFUNCTION("""COMPUTED_VALUE"""),"Get Clients Now Funnel (Client Acquisition, Lead Gen)")</f>
        <v>Get Clients Now Funnel (Client Acquisition, Lead Gen)</v>
      </c>
      <c r="E929" t="str">
        <f>IFERROR(__xludf.DUMMYFUNCTION("""COMPUTED_VALUE"""),"Get Clients Now Funnel (Client Acquisition, Lead Gen)")</f>
        <v>Get Clients Now Funnel (Client Acquisition, Lead Gen)</v>
      </c>
      <c r="F929">
        <f>IFERROR(__xludf.DUMMYFUNCTION("""COMPUTED_VALUE"""),6111202.0)</f>
        <v>6111202</v>
      </c>
      <c r="G929" t="str">
        <f>IFERROR(__xludf.DUMMYFUNCTION("""COMPUTED_VALUE"""),"Nathan Williams")</f>
        <v>Nathan Williams</v>
      </c>
      <c r="H929" t="str">
        <f>IFERROR(__xludf.DUMMYFUNCTION("""COMPUTED_VALUE"""),"3 Flags")</f>
        <v>3 Flags</v>
      </c>
      <c r="I929" t="str">
        <f>IFERROR(__xludf.DUMMYFUNCTION("""COMPUTED_VALUE"""),"Sales")</f>
        <v>Sales</v>
      </c>
      <c r="J929" t="str">
        <f>IFERROR(__xludf.DUMMYFUNCTION("""COMPUTED_VALUE"""),"Sales Skills &amp; Tools")</f>
        <v>Sales Skills &amp; Tools</v>
      </c>
      <c r="K929" s="140">
        <f>IFERROR(__xludf.DUMMYFUNCTION("""COMPUTED_VALUE"""),1393266.0)</f>
        <v>1393266</v>
      </c>
      <c r="L929" s="140" t="str">
        <f>IFERROR(__xludf.DUMMYFUNCTION("""COMPUTED_VALUE"""),"Lead Generation Machine: Cold Email B2B Sales Master Course")</f>
        <v>Lead Generation Machine: Cold Email B2B Sales Master Course</v>
      </c>
      <c r="N929" s="140" t="str">
        <f>IFERROR(__xludf.DUMMYFUNCTION("""COMPUTED_VALUE"""),"")</f>
        <v/>
      </c>
    </row>
    <row r="930">
      <c r="A930" s="143">
        <f>IFERROR(__xludf.DUMMYFUNCTION("""COMPUTED_VALUE"""),44561.0)</f>
        <v>44561</v>
      </c>
      <c r="B930">
        <f>IFERROR(__xludf.DUMMYFUNCTION("""COMPUTED_VALUE"""),1603282.0)</f>
        <v>1603282</v>
      </c>
      <c r="C930" s="141" t="str">
        <f>IFERROR(__xludf.DUMMYFUNCTION("""COMPUTED_VALUE"""),"de")</f>
        <v>de</v>
      </c>
      <c r="D930" t="str">
        <f>IFERROR(__xludf.DUMMYFUNCTION("""COMPUTED_VALUE"""),"30 Facebook Marketing Hacks: Der Komplette Facebook Kurs")</f>
        <v>30 Facebook Marketing Hacks: Der Komplette Facebook Kurs</v>
      </c>
      <c r="E930" t="str">
        <f>IFERROR(__xludf.DUMMYFUNCTION("""COMPUTED_VALUE"""),"30 Facebook Marketing Hacks: The Complete Facebook Course")</f>
        <v>30 Facebook Marketing Hacks: The Complete Facebook Course</v>
      </c>
      <c r="F930">
        <f>IFERROR(__xludf.DUMMYFUNCTION("""COMPUTED_VALUE"""),2.978558E7)</f>
        <v>29785580</v>
      </c>
      <c r="G930" t="str">
        <f>IFERROR(__xludf.DUMMYFUNCTION("""COMPUTED_VALUE"""),"Leon Chaudhari Akademie")</f>
        <v>Leon Chaudhari Akademie</v>
      </c>
      <c r="H930" t="str">
        <f>IFERROR(__xludf.DUMMYFUNCTION("""COMPUTED_VALUE"""),"3 Flags")</f>
        <v>3 Flags</v>
      </c>
      <c r="I930" t="str">
        <f>IFERROR(__xludf.DUMMYFUNCTION("""COMPUTED_VALUE"""),"Marketing")</f>
        <v>Marketing</v>
      </c>
      <c r="J930" t="str">
        <f>IFERROR(__xludf.DUMMYFUNCTION("""COMPUTED_VALUE"""),"Digital Marketing")</f>
        <v>Digital Marketing</v>
      </c>
      <c r="K930" s="140">
        <f>IFERROR(__xludf.DUMMYFUNCTION("""COMPUTED_VALUE"""),1622104.0)</f>
        <v>1622104</v>
      </c>
      <c r="L930" s="140" t="str">
        <f>IFERROR(__xludf.DUMMYFUNCTION("""COMPUTED_VALUE"""),"Facebook Marketing - Seite, Gruppe, Livestream, Bots und Co.")</f>
        <v>Facebook Marketing - Seite, Gruppe, Livestream, Bots und Co.</v>
      </c>
      <c r="M930" s="140">
        <f>IFERROR(__xludf.DUMMYFUNCTION("""COMPUTED_VALUE"""),1493316.0)</f>
        <v>1493316</v>
      </c>
      <c r="N930" s="140" t="str">
        <f>IFERROR(__xludf.DUMMYFUNCTION("""COMPUTED_VALUE"""),"Facebook Werbeanzeigen Meisterkurs: Facebook Werbung von A-Z")</f>
        <v>Facebook Werbeanzeigen Meisterkurs: Facebook Werbung von A-Z</v>
      </c>
    </row>
    <row r="931">
      <c r="A931" s="143">
        <f>IFERROR(__xludf.DUMMYFUNCTION("""COMPUTED_VALUE"""),44561.0)</f>
        <v>44561</v>
      </c>
      <c r="B931">
        <f>IFERROR(__xludf.DUMMYFUNCTION("""COMPUTED_VALUE"""),1631156.0)</f>
        <v>1631156</v>
      </c>
      <c r="C931" s="141" t="str">
        <f>IFERROR(__xludf.DUMMYFUNCTION("""COMPUTED_VALUE"""),"en")</f>
        <v>en</v>
      </c>
      <c r="D931" t="str">
        <f>IFERROR(__xludf.DUMMYFUNCTION("""COMPUTED_VALUE"""),"Email Marketing - The Complete Guide to MailChimp")</f>
        <v>Email Marketing - The Complete Guide to MailChimp</v>
      </c>
      <c r="E931" t="str">
        <f>IFERROR(__xludf.DUMMYFUNCTION("""COMPUTED_VALUE"""),"Email Marketing - The Complete Guide to MailChimp")</f>
        <v>Email Marketing - The Complete Guide to MailChimp</v>
      </c>
      <c r="F931">
        <f>IFERROR(__xludf.DUMMYFUNCTION("""COMPUTED_VALUE"""),3.6921905E7)</f>
        <v>36921905</v>
      </c>
      <c r="G931" t="str">
        <f>IFERROR(__xludf.DUMMYFUNCTION("""COMPUTED_VALUE"""),"Robin &amp; Jesper")</f>
        <v>Robin &amp; Jesper</v>
      </c>
      <c r="H931" t="str">
        <f>IFERROR(__xludf.DUMMYFUNCTION("""COMPUTED_VALUE"""),"3 Flags")</f>
        <v>3 Flags</v>
      </c>
      <c r="I931" t="str">
        <f>IFERROR(__xludf.DUMMYFUNCTION("""COMPUTED_VALUE"""),"Marketing")</f>
        <v>Marketing</v>
      </c>
      <c r="J931" t="str">
        <f>IFERROR(__xludf.DUMMYFUNCTION("""COMPUTED_VALUE"""),"Content Marketing")</f>
        <v>Content Marketing</v>
      </c>
      <c r="K931" s="140">
        <f>IFERROR(__xludf.DUMMYFUNCTION("""COMPUTED_VALUE"""),802116.0)</f>
        <v>802116</v>
      </c>
      <c r="L931" s="140" t="str">
        <f>IFERROR(__xludf.DUMMYFUNCTION("""COMPUTED_VALUE"""),"Email Marketing 2021: Build and Launch Effective Campaigns")</f>
        <v>Email Marketing 2021: Build and Launch Effective Campaigns</v>
      </c>
      <c r="N931" s="140" t="str">
        <f>IFERROR(__xludf.DUMMYFUNCTION("""COMPUTED_VALUE"""),"")</f>
        <v/>
      </c>
    </row>
    <row r="932">
      <c r="A932" s="143">
        <f>IFERROR(__xludf.DUMMYFUNCTION("""COMPUTED_VALUE"""),44561.0)</f>
        <v>44561</v>
      </c>
      <c r="B932">
        <f>IFERROR(__xludf.DUMMYFUNCTION("""COMPUTED_VALUE"""),2129116.0)</f>
        <v>2129116</v>
      </c>
      <c r="C932" s="141" t="str">
        <f>IFERROR(__xludf.DUMMYFUNCTION("""COMPUTED_VALUE"""),"fr")</f>
        <v>fr</v>
      </c>
      <c r="D932" t="str">
        <f>IFERROR(__xludf.DUMMYFUNCTION("""COMPUTED_VALUE"""),"LINKEDIN POUR LES DÉBUTANTS (2021)")</f>
        <v>LINKEDIN POUR LES DÉBUTANTS (2021)</v>
      </c>
      <c r="E932" t="str">
        <f>IFERROR(__xludf.DUMMYFUNCTION("""COMPUTED_VALUE"""),"LinkedIn for beginners (2021)")</f>
        <v>LinkedIn for beginners (2021)</v>
      </c>
      <c r="F932">
        <f>IFERROR(__xludf.DUMMYFUNCTION("""COMPUTED_VALUE"""),4.4045494E7)</f>
        <v>44045494</v>
      </c>
      <c r="G932" t="str">
        <f>IFERROR(__xludf.DUMMYFUNCTION("""COMPUTED_VALUE"""),"Guillaume Duhan")</f>
        <v>Guillaume Duhan</v>
      </c>
      <c r="H932" t="str">
        <f>IFERROR(__xludf.DUMMYFUNCTION("""COMPUTED_VALUE"""),"3 Flags")</f>
        <v>3 Flags</v>
      </c>
      <c r="I932" t="str">
        <f>IFERROR(__xludf.DUMMYFUNCTION("""COMPUTED_VALUE"""),"Marketing")</f>
        <v>Marketing</v>
      </c>
      <c r="J932" t="str">
        <f>IFERROR(__xludf.DUMMYFUNCTION("""COMPUTED_VALUE"""),"Social Media Marketing")</f>
        <v>Social Media Marketing</v>
      </c>
      <c r="L932" s="140" t="str">
        <f>IFERROR(__xludf.DUMMYFUNCTION("""COMPUTED_VALUE"""),"")</f>
        <v/>
      </c>
      <c r="N932" s="140" t="str">
        <f>IFERROR(__xludf.DUMMYFUNCTION("""COMPUTED_VALUE"""),"")</f>
        <v/>
      </c>
    </row>
    <row r="933">
      <c r="A933" s="143">
        <f>IFERROR(__xludf.DUMMYFUNCTION("""COMPUTED_VALUE"""),44561.0)</f>
        <v>44561</v>
      </c>
      <c r="B933">
        <f>IFERROR(__xludf.DUMMYFUNCTION("""COMPUTED_VALUE"""),3255704.0)</f>
        <v>3255704</v>
      </c>
      <c r="C933" s="141" t="str">
        <f>IFERROR(__xludf.DUMMYFUNCTION("""COMPUTED_VALUE"""),"en")</f>
        <v>en</v>
      </c>
      <c r="D933" t="str">
        <f>IFERROR(__xludf.DUMMYFUNCTION("""COMPUTED_VALUE"""),"SAP Cloud Platform - Essential Training { 2021 }")</f>
        <v>SAP Cloud Platform - Essential Training { 2021 }</v>
      </c>
      <c r="E933" t="str">
        <f>IFERROR(__xludf.DUMMYFUNCTION("""COMPUTED_VALUE"""),"SAP Cloud Platform - Essential Training { 2021 }")</f>
        <v>SAP Cloud Platform - Essential Training { 2021 }</v>
      </c>
      <c r="F933">
        <f>IFERROR(__xludf.DUMMYFUNCTION("""COMPUTED_VALUE"""),8.7097992E7)</f>
        <v>87097992</v>
      </c>
      <c r="G933" t="str">
        <f>IFERROR(__xludf.DUMMYFUNCTION("""COMPUTED_VALUE"""),"Ranjeet Singh")</f>
        <v>Ranjeet Singh</v>
      </c>
      <c r="H933" t="str">
        <f>IFERROR(__xludf.DUMMYFUNCTION("""COMPUTED_VALUE"""),"3 Flags")</f>
        <v>3 Flags</v>
      </c>
      <c r="I933" t="str">
        <f>IFERROR(__xludf.DUMMYFUNCTION("""COMPUTED_VALUE"""),"Cloud Computing")</f>
        <v>Cloud Computing</v>
      </c>
      <c r="J933" t="str">
        <f>IFERROR(__xludf.DUMMYFUNCTION("""COMPUTED_VALUE"""),"Cloud Development")</f>
        <v>Cloud Development</v>
      </c>
      <c r="K933" s="140">
        <f>IFERROR(__xludf.DUMMYFUNCTION("""COMPUTED_VALUE"""),3340536.0)</f>
        <v>3340536</v>
      </c>
      <c r="L933" s="140" t="str">
        <f>IFERROR(__xludf.DUMMYFUNCTION("""COMPUTED_VALUE"""),"")</f>
        <v/>
      </c>
      <c r="N933" s="140" t="str">
        <f>IFERROR(__xludf.DUMMYFUNCTION("""COMPUTED_VALUE"""),"")</f>
        <v/>
      </c>
    </row>
    <row r="934">
      <c r="A934" s="143">
        <f>IFERROR(__xludf.DUMMYFUNCTION("""COMPUTED_VALUE"""),44561.0)</f>
        <v>44561</v>
      </c>
      <c r="B934">
        <f>IFERROR(__xludf.DUMMYFUNCTION("""COMPUTED_VALUE"""),3355948.0)</f>
        <v>3355948</v>
      </c>
      <c r="C934" s="141" t="str">
        <f>IFERROR(__xludf.DUMMYFUNCTION("""COMPUTED_VALUE"""),"en")</f>
        <v>en</v>
      </c>
      <c r="D934" t="str">
        <f>IFERROR(__xludf.DUMMYFUNCTION("""COMPUTED_VALUE"""),"SAP Analytics Cloud {C_SAC_2021} -  Material and Q&amp;A Dumps")</f>
        <v>SAP Analytics Cloud {C_SAC_2021} -  Material and Q&amp;A Dumps</v>
      </c>
      <c r="E934" t="str">
        <f>IFERROR(__xludf.DUMMYFUNCTION("""COMPUTED_VALUE"""),"SAP Analytics Cloud {C_SAC_2021} -  Material and Q&amp;A Dumps")</f>
        <v>SAP Analytics Cloud {C_SAC_2021} -  Material and Q&amp;A Dumps</v>
      </c>
      <c r="F934">
        <f>IFERROR(__xludf.DUMMYFUNCTION("""COMPUTED_VALUE"""),6.980479E7)</f>
        <v>69804790</v>
      </c>
      <c r="G934" t="str">
        <f>IFERROR(__xludf.DUMMYFUNCTION("""COMPUTED_VALUE"""),"SAP Guruji")</f>
        <v>SAP Guruji</v>
      </c>
      <c r="H934" t="str">
        <f>IFERROR(__xludf.DUMMYFUNCTION("""COMPUTED_VALUE"""),"3 Flags")</f>
        <v>3 Flags</v>
      </c>
      <c r="I934" t="str">
        <f>IFERROR(__xludf.DUMMYFUNCTION("""COMPUTED_VALUE"""),"Sales")</f>
        <v>Sales</v>
      </c>
      <c r="J934" t="str">
        <f>IFERROR(__xludf.DUMMYFUNCTION("""COMPUTED_VALUE"""),"Sales Skills &amp; Tools")</f>
        <v>Sales Skills &amp; Tools</v>
      </c>
      <c r="K934" s="140">
        <f>IFERROR(__xludf.DUMMYFUNCTION("""COMPUTED_VALUE"""),3340536.0)</f>
        <v>3340536</v>
      </c>
      <c r="L934" s="140" t="str">
        <f>IFERROR(__xludf.DUMMYFUNCTION("""COMPUTED_VALUE"""),"")</f>
        <v/>
      </c>
      <c r="N934" s="140" t="str">
        <f>IFERROR(__xludf.DUMMYFUNCTION("""COMPUTED_VALUE"""),"")</f>
        <v/>
      </c>
    </row>
    <row r="935">
      <c r="A935" s="143">
        <f>IFERROR(__xludf.DUMMYFUNCTION("""COMPUTED_VALUE"""),44561.0)</f>
        <v>44561</v>
      </c>
      <c r="B935">
        <f>IFERROR(__xludf.DUMMYFUNCTION("""COMPUTED_VALUE"""),3384352.0)</f>
        <v>3384352</v>
      </c>
      <c r="C935" s="141" t="str">
        <f>IFERROR(__xludf.DUMMYFUNCTION("""COMPUTED_VALUE"""),"en")</f>
        <v>en</v>
      </c>
      <c r="D935" t="str">
        <f>IFERROR(__xludf.DUMMYFUNCTION("""COMPUTED_VALUE"""),"Mastering Burp Suite Pro - Dynamic course")</f>
        <v>Mastering Burp Suite Pro - Dynamic course</v>
      </c>
      <c r="E935" t="str">
        <f>IFERROR(__xludf.DUMMYFUNCTION("""COMPUTED_VALUE"""),"Mastering Burp Suite Pro - Dynamic course")</f>
        <v>Mastering Burp Suite Pro - Dynamic course</v>
      </c>
      <c r="F935">
        <f>IFERROR(__xludf.DUMMYFUNCTION("""COMPUTED_VALUE"""),5215360.0)</f>
        <v>5215360</v>
      </c>
      <c r="G935" t="str">
        <f>IFERROR(__xludf.DUMMYFUNCTION("""COMPUTED_VALUE"""),"Hackkart Tech")</f>
        <v>Hackkart Tech</v>
      </c>
      <c r="H935" t="str">
        <f>IFERROR(__xludf.DUMMYFUNCTION("""COMPUTED_VALUE"""),"3 Flags")</f>
        <v>3 Flags</v>
      </c>
      <c r="I935" t="str">
        <f>IFERROR(__xludf.DUMMYFUNCTION("""COMPUTED_VALUE"""),"IT Operations")</f>
        <v>IT Operations</v>
      </c>
      <c r="J935" t="str">
        <f>IFERROR(__xludf.DUMMYFUNCTION("""COMPUTED_VALUE"""),"Network &amp; Security")</f>
        <v>Network &amp; Security</v>
      </c>
      <c r="K935" s="140">
        <f>IFERROR(__xludf.DUMMYFUNCTION("""COMPUTED_VALUE"""),3932106.0)</f>
        <v>3932106</v>
      </c>
      <c r="L935" s="140" t="str">
        <f>IFERROR(__xludf.DUMMYFUNCTION("""COMPUTED_VALUE"""),"Burp Suite: In Depth Survival Guide")</f>
        <v>Burp Suite: In Depth Survival Guide</v>
      </c>
      <c r="N935" s="140" t="str">
        <f>IFERROR(__xludf.DUMMYFUNCTION("""COMPUTED_VALUE"""),"")</f>
        <v/>
      </c>
    </row>
    <row r="936">
      <c r="A936" s="143">
        <f>IFERROR(__xludf.DUMMYFUNCTION("""COMPUTED_VALUE"""),44561.0)</f>
        <v>44561</v>
      </c>
      <c r="B936">
        <f>IFERROR(__xludf.DUMMYFUNCTION("""COMPUTED_VALUE"""),332248.0)</f>
        <v>332248</v>
      </c>
      <c r="C936" s="141" t="str">
        <f>IFERROR(__xludf.DUMMYFUNCTION("""COMPUTED_VALUE"""),"en")</f>
        <v>en</v>
      </c>
      <c r="D936" t="str">
        <f>IFERROR(__xludf.DUMMYFUNCTION("""COMPUTED_VALUE"""),"Fundamentals of Business Crisis Management")</f>
        <v>Fundamentals of Business Crisis Management</v>
      </c>
      <c r="E936" t="str">
        <f>IFERROR(__xludf.DUMMYFUNCTION("""COMPUTED_VALUE"""),"Fundamentals of Business Crisis Management")</f>
        <v>Fundamentals of Business Crisis Management</v>
      </c>
      <c r="F936">
        <f>IFERROR(__xludf.DUMMYFUNCTION("""COMPUTED_VALUE"""),8252750.0)</f>
        <v>8252750</v>
      </c>
      <c r="G936" t="str">
        <f>IFERROR(__xludf.DUMMYFUNCTION("""COMPUTED_VALUE"""),"LearnSmart LLC")</f>
        <v>LearnSmart LLC</v>
      </c>
      <c r="H936" t="str">
        <f>IFERROR(__xludf.DUMMYFUNCTION("""COMPUTED_VALUE"""),"Instructor Request- Opted Out")</f>
        <v>Instructor Request- Opted Out</v>
      </c>
      <c r="I936" t="str">
        <f>IFERROR(__xludf.DUMMYFUNCTION("""COMPUTED_VALUE"""),"Continuing Education Units")</f>
        <v>Continuing Education Units</v>
      </c>
      <c r="J936" t="str">
        <f>IFERROR(__xludf.DUMMYFUNCTION("""COMPUTED_VALUE"""),"PMI Professional Development Units (PDUs)")</f>
        <v>PMI Professional Development Units (PDUs)</v>
      </c>
      <c r="L936" s="140" t="str">
        <f>IFERROR(__xludf.DUMMYFUNCTION("""COMPUTED_VALUE"""),"")</f>
        <v/>
      </c>
      <c r="N936" s="140" t="str">
        <f>IFERROR(__xludf.DUMMYFUNCTION("""COMPUTED_VALUE"""),"")</f>
        <v/>
      </c>
    </row>
    <row r="937">
      <c r="A937" s="143">
        <f>IFERROR(__xludf.DUMMYFUNCTION("""COMPUTED_VALUE"""),44561.0)</f>
        <v>44561</v>
      </c>
      <c r="B937">
        <f>IFERROR(__xludf.DUMMYFUNCTION("""COMPUTED_VALUE"""),865978.0)</f>
        <v>865978</v>
      </c>
      <c r="C937" s="141" t="str">
        <f>IFERROR(__xludf.DUMMYFUNCTION("""COMPUTED_VALUE"""),"en")</f>
        <v>en</v>
      </c>
      <c r="D937" t="str">
        <f>IFERROR(__xludf.DUMMYFUNCTION("""COMPUTED_VALUE"""),"A+ 2016: PC Components Fundamentals")</f>
        <v>A+ 2016: PC Components Fundamentals</v>
      </c>
      <c r="E937" t="str">
        <f>IFERROR(__xludf.DUMMYFUNCTION("""COMPUTED_VALUE"""),"A+ 2016: PC Components Fundamentals")</f>
        <v>A+ 2016: PC Components Fundamentals</v>
      </c>
      <c r="F937">
        <f>IFERROR(__xludf.DUMMYFUNCTION("""COMPUTED_VALUE"""),8252750.0)</f>
        <v>8252750</v>
      </c>
      <c r="G937" t="str">
        <f>IFERROR(__xludf.DUMMYFUNCTION("""COMPUTED_VALUE"""),"LearnSmart LLC")</f>
        <v>LearnSmart LLC</v>
      </c>
      <c r="H937" t="str">
        <f>IFERROR(__xludf.DUMMYFUNCTION("""COMPUTED_VALUE"""),"Instructor Request- Opted Out")</f>
        <v>Instructor Request- Opted Out</v>
      </c>
      <c r="I937" t="str">
        <f>IFERROR(__xludf.DUMMYFUNCTION("""COMPUTED_VALUE"""),"IT Operations")</f>
        <v>IT Operations</v>
      </c>
      <c r="J937" t="str">
        <f>IFERROR(__xludf.DUMMYFUNCTION("""COMPUTED_VALUE"""),"IT Certifications")</f>
        <v>IT Certifications</v>
      </c>
      <c r="L937" s="140" t="str">
        <f>IFERROR(__xludf.DUMMYFUNCTION("""COMPUTED_VALUE"""),"")</f>
        <v/>
      </c>
      <c r="N937" s="140" t="str">
        <f>IFERROR(__xludf.DUMMYFUNCTION("""COMPUTED_VALUE"""),"")</f>
        <v/>
      </c>
    </row>
    <row r="938">
      <c r="A938" s="143">
        <f>IFERROR(__xludf.DUMMYFUNCTION("""COMPUTED_VALUE"""),44561.0)</f>
        <v>44561</v>
      </c>
      <c r="B938">
        <f>IFERROR(__xludf.DUMMYFUNCTION("""COMPUTED_VALUE"""),865984.0)</f>
        <v>865984</v>
      </c>
      <c r="C938" s="141" t="str">
        <f>IFERROR(__xludf.DUMMYFUNCTION("""COMPUTED_VALUE"""),"en")</f>
        <v>en</v>
      </c>
      <c r="D938" t="str">
        <f>IFERROR(__xludf.DUMMYFUNCTION("""COMPUTED_VALUE"""),"A+ 2016: Operating Systems Fundamentals")</f>
        <v>A+ 2016: Operating Systems Fundamentals</v>
      </c>
      <c r="E938" t="str">
        <f>IFERROR(__xludf.DUMMYFUNCTION("""COMPUTED_VALUE"""),"A+ 2016: Operating Systems Fundamentals")</f>
        <v>A+ 2016: Operating Systems Fundamentals</v>
      </c>
      <c r="F938">
        <f>IFERROR(__xludf.DUMMYFUNCTION("""COMPUTED_VALUE"""),8252750.0)</f>
        <v>8252750</v>
      </c>
      <c r="G938" t="str">
        <f>IFERROR(__xludf.DUMMYFUNCTION("""COMPUTED_VALUE"""),"LearnSmart LLC")</f>
        <v>LearnSmart LLC</v>
      </c>
      <c r="H938" t="str">
        <f>IFERROR(__xludf.DUMMYFUNCTION("""COMPUTED_VALUE"""),"Instructor Request- Opted Out")</f>
        <v>Instructor Request- Opted Out</v>
      </c>
      <c r="I938" t="str">
        <f>IFERROR(__xludf.DUMMYFUNCTION("""COMPUTED_VALUE"""),"IT Operations")</f>
        <v>IT Operations</v>
      </c>
      <c r="J938" t="str">
        <f>IFERROR(__xludf.DUMMYFUNCTION("""COMPUTED_VALUE"""),"IT Certifications")</f>
        <v>IT Certifications</v>
      </c>
      <c r="L938" s="140" t="str">
        <f>IFERROR(__xludf.DUMMYFUNCTION("""COMPUTED_VALUE"""),"")</f>
        <v/>
      </c>
      <c r="N938" s="140" t="str">
        <f>IFERROR(__xludf.DUMMYFUNCTION("""COMPUTED_VALUE"""),"")</f>
        <v/>
      </c>
    </row>
    <row r="939">
      <c r="A939" s="143">
        <f>IFERROR(__xludf.DUMMYFUNCTION("""COMPUTED_VALUE"""),44561.0)</f>
        <v>44561</v>
      </c>
      <c r="B939">
        <f>IFERROR(__xludf.DUMMYFUNCTION("""COMPUTED_VALUE"""),865976.0)</f>
        <v>865976</v>
      </c>
      <c r="C939" s="141" t="str">
        <f>IFERROR(__xludf.DUMMYFUNCTION("""COMPUTED_VALUE"""),"en")</f>
        <v>en</v>
      </c>
      <c r="D939" t="str">
        <f>IFERROR(__xludf.DUMMYFUNCTION("""COMPUTED_VALUE"""),"A+ 2016: PC Assembly Fundamentals")</f>
        <v>A+ 2016: PC Assembly Fundamentals</v>
      </c>
      <c r="E939" t="str">
        <f>IFERROR(__xludf.DUMMYFUNCTION("""COMPUTED_VALUE"""),"A+ 2016: PC Assembly Fundamentals")</f>
        <v>A+ 2016: PC Assembly Fundamentals</v>
      </c>
      <c r="F939">
        <f>IFERROR(__xludf.DUMMYFUNCTION("""COMPUTED_VALUE"""),8252750.0)</f>
        <v>8252750</v>
      </c>
      <c r="G939" t="str">
        <f>IFERROR(__xludf.DUMMYFUNCTION("""COMPUTED_VALUE"""),"LearnSmart LLC")</f>
        <v>LearnSmart LLC</v>
      </c>
      <c r="H939" t="str">
        <f>IFERROR(__xludf.DUMMYFUNCTION("""COMPUTED_VALUE"""),"Instructor Request- Opted Out")</f>
        <v>Instructor Request- Opted Out</v>
      </c>
      <c r="I939" t="str">
        <f>IFERROR(__xludf.DUMMYFUNCTION("""COMPUTED_VALUE"""),"IT Operations")</f>
        <v>IT Operations</v>
      </c>
      <c r="J939" t="str">
        <f>IFERROR(__xludf.DUMMYFUNCTION("""COMPUTED_VALUE"""),"IT Certifications")</f>
        <v>IT Certifications</v>
      </c>
      <c r="L939" s="140" t="str">
        <f>IFERROR(__xludf.DUMMYFUNCTION("""COMPUTED_VALUE"""),"")</f>
        <v/>
      </c>
      <c r="N939" s="140" t="str">
        <f>IFERROR(__xludf.DUMMYFUNCTION("""COMPUTED_VALUE"""),"")</f>
        <v/>
      </c>
    </row>
    <row r="940">
      <c r="A940" s="143">
        <f>IFERROR(__xludf.DUMMYFUNCTION("""COMPUTED_VALUE"""),44561.0)</f>
        <v>44561</v>
      </c>
      <c r="B940">
        <f>IFERROR(__xludf.DUMMYFUNCTION("""COMPUTED_VALUE"""),436900.0)</f>
        <v>436900</v>
      </c>
      <c r="C940" s="141" t="str">
        <f>IFERROR(__xludf.DUMMYFUNCTION("""COMPUTED_VALUE"""),"en")</f>
        <v>en</v>
      </c>
      <c r="D940" t="str">
        <f>IFERROR(__xludf.DUMMYFUNCTION("""COMPUTED_VALUE"""),"Managing Employees Young &amp; Old (Multi-Generation Mgmt)")</f>
        <v>Managing Employees Young &amp; Old (Multi-Generation Mgmt)</v>
      </c>
      <c r="E940" t="str">
        <f>IFERROR(__xludf.DUMMYFUNCTION("""COMPUTED_VALUE"""),"Managing Employees Young &amp; Old (Multi-Generation Mgmt)")</f>
        <v>Managing Employees Young &amp; Old (Multi-Generation Mgmt)</v>
      </c>
      <c r="F940">
        <f>IFERROR(__xludf.DUMMYFUNCTION("""COMPUTED_VALUE"""),8252750.0)</f>
        <v>8252750</v>
      </c>
      <c r="G940" t="str">
        <f>IFERROR(__xludf.DUMMYFUNCTION("""COMPUTED_VALUE"""),"LearnSmart LLC")</f>
        <v>LearnSmart LLC</v>
      </c>
      <c r="H940" t="str">
        <f>IFERROR(__xludf.DUMMYFUNCTION("""COMPUTED_VALUE"""),"Instructor Request- Opted Out")</f>
        <v>Instructor Request- Opted Out</v>
      </c>
      <c r="I940" t="str">
        <f>IFERROR(__xludf.DUMMYFUNCTION("""COMPUTED_VALUE"""),"Continuing Education Units")</f>
        <v>Continuing Education Units</v>
      </c>
      <c r="J940" t="str">
        <f>IFERROR(__xludf.DUMMYFUNCTION("""COMPUTED_VALUE"""),"PMI Professional Development Units (PDUs)")</f>
        <v>PMI Professional Development Units (PDUs)</v>
      </c>
      <c r="K940" s="140">
        <f>IFERROR(__xludf.DUMMYFUNCTION("""COMPUTED_VALUE"""),372624.0)</f>
        <v>372624</v>
      </c>
      <c r="L940" s="140" t="str">
        <f>IFERROR(__xludf.DUMMYFUNCTION("""COMPUTED_VALUE"""),"Managing Generational Conflict")</f>
        <v>Managing Generational Conflict</v>
      </c>
      <c r="N940" s="140" t="str">
        <f>IFERROR(__xludf.DUMMYFUNCTION("""COMPUTED_VALUE"""),"")</f>
        <v/>
      </c>
    </row>
    <row r="941">
      <c r="A941" s="143">
        <f>IFERROR(__xludf.DUMMYFUNCTION("""COMPUTED_VALUE"""),44561.0)</f>
        <v>44561</v>
      </c>
      <c r="B941">
        <f>IFERROR(__xludf.DUMMYFUNCTION("""COMPUTED_VALUE"""),332140.0)</f>
        <v>332140</v>
      </c>
      <c r="C941" s="141" t="str">
        <f>IFERROR(__xludf.DUMMYFUNCTION("""COMPUTED_VALUE"""),"en")</f>
        <v>en</v>
      </c>
      <c r="D941" t="str">
        <f>IFERROR(__xludf.DUMMYFUNCTION("""COMPUTED_VALUE"""),"Effective Delegation")</f>
        <v>Effective Delegation</v>
      </c>
      <c r="E941" t="str">
        <f>IFERROR(__xludf.DUMMYFUNCTION("""COMPUTED_VALUE"""),"Effective Delegation")</f>
        <v>Effective Delegation</v>
      </c>
      <c r="F941">
        <f>IFERROR(__xludf.DUMMYFUNCTION("""COMPUTED_VALUE"""),8252750.0)</f>
        <v>8252750</v>
      </c>
      <c r="G941" t="str">
        <f>IFERROR(__xludf.DUMMYFUNCTION("""COMPUTED_VALUE"""),"LearnSmart LLC")</f>
        <v>LearnSmart LLC</v>
      </c>
      <c r="H941" t="str">
        <f>IFERROR(__xludf.DUMMYFUNCTION("""COMPUTED_VALUE"""),"Instructor Request- Opted Out")</f>
        <v>Instructor Request- Opted Out</v>
      </c>
      <c r="I941" t="str">
        <f>IFERROR(__xludf.DUMMYFUNCTION("""COMPUTED_VALUE"""),"Continuing Education Units")</f>
        <v>Continuing Education Units</v>
      </c>
      <c r="J941" t="str">
        <f>IFERROR(__xludf.DUMMYFUNCTION("""COMPUTED_VALUE"""),"PMI Professional Development Units (PDUs)")</f>
        <v>PMI Professional Development Units (PDUs)</v>
      </c>
      <c r="K941" s="140">
        <f>IFERROR(__xludf.DUMMYFUNCTION("""COMPUTED_VALUE"""),1556346.0)</f>
        <v>1556346</v>
      </c>
      <c r="L941" s="140" t="str">
        <f>IFERROR(__xludf.DUMMYFUNCTION("""COMPUTED_VALUE"""),"Effective Delegation for New Managers")</f>
        <v>Effective Delegation for New Managers</v>
      </c>
      <c r="N941" s="140" t="str">
        <f>IFERROR(__xludf.DUMMYFUNCTION("""COMPUTED_VALUE"""),"")</f>
        <v/>
      </c>
    </row>
    <row r="942">
      <c r="A942" s="143">
        <f>IFERROR(__xludf.DUMMYFUNCTION("""COMPUTED_VALUE"""),44561.0)</f>
        <v>44561</v>
      </c>
      <c r="B942">
        <f>IFERROR(__xludf.DUMMYFUNCTION("""COMPUTED_VALUE"""),357216.0)</f>
        <v>357216</v>
      </c>
      <c r="C942" s="141" t="str">
        <f>IFERROR(__xludf.DUMMYFUNCTION("""COMPUTED_VALUE"""),"en")</f>
        <v>en</v>
      </c>
      <c r="D942" t="str">
        <f>IFERROR(__xludf.DUMMYFUNCTION("""COMPUTED_VALUE"""),"Communication in the Workplace: Using Humor at Work")</f>
        <v>Communication in the Workplace: Using Humor at Work</v>
      </c>
      <c r="E942" t="str">
        <f>IFERROR(__xludf.DUMMYFUNCTION("""COMPUTED_VALUE"""),"Communication in the Workplace: Using Humor at Work")</f>
        <v>Communication in the Workplace: Using Humor at Work</v>
      </c>
      <c r="F942">
        <f>IFERROR(__xludf.DUMMYFUNCTION("""COMPUTED_VALUE"""),8252750.0)</f>
        <v>8252750</v>
      </c>
      <c r="G942" t="str">
        <f>IFERROR(__xludf.DUMMYFUNCTION("""COMPUTED_VALUE"""),"LearnSmart LLC")</f>
        <v>LearnSmart LLC</v>
      </c>
      <c r="H942" t="str">
        <f>IFERROR(__xludf.DUMMYFUNCTION("""COMPUTED_VALUE"""),"Instructor Request- Opted Out")</f>
        <v>Instructor Request- Opted Out</v>
      </c>
      <c r="I942" t="str">
        <f>IFERROR(__xludf.DUMMYFUNCTION("""COMPUTED_VALUE"""),"Continuing Education Units")</f>
        <v>Continuing Education Units</v>
      </c>
      <c r="J942" t="str">
        <f>IFERROR(__xludf.DUMMYFUNCTION("""COMPUTED_VALUE"""),"PMI Professional Development Units (PDUs)")</f>
        <v>PMI Professional Development Units (PDUs)</v>
      </c>
      <c r="K942" s="140">
        <f>IFERROR(__xludf.DUMMYFUNCTION("""COMPUTED_VALUE"""),1551970.0)</f>
        <v>1551970</v>
      </c>
      <c r="L942" s="140" t="str">
        <f>IFERROR(__xludf.DUMMYFUNCTION("""COMPUTED_VALUE"""),"Communication Skills for Beginners")</f>
        <v>Communication Skills for Beginners</v>
      </c>
      <c r="N942" s="140" t="str">
        <f>IFERROR(__xludf.DUMMYFUNCTION("""COMPUTED_VALUE"""),"")</f>
        <v/>
      </c>
    </row>
    <row r="943">
      <c r="A943" s="143">
        <f>IFERROR(__xludf.DUMMYFUNCTION("""COMPUTED_VALUE"""),44561.0)</f>
        <v>44561</v>
      </c>
      <c r="B943">
        <f>IFERROR(__xludf.DUMMYFUNCTION("""COMPUTED_VALUE"""),427152.0)</f>
        <v>427152</v>
      </c>
      <c r="C943" s="141" t="str">
        <f>IFERROR(__xludf.DUMMYFUNCTION("""COMPUTED_VALUE"""),"en")</f>
        <v>en</v>
      </c>
      <c r="D943" t="str">
        <f>IFERROR(__xludf.DUMMYFUNCTION("""COMPUTED_VALUE"""),"Climbing the Ladder: Moving from IT Pro to Manager")</f>
        <v>Climbing the Ladder: Moving from IT Pro to Manager</v>
      </c>
      <c r="E943" t="str">
        <f>IFERROR(__xludf.DUMMYFUNCTION("""COMPUTED_VALUE"""),"Climbing the Ladder: Moving from IT Pro to Manager")</f>
        <v>Climbing the Ladder: Moving from IT Pro to Manager</v>
      </c>
      <c r="F943">
        <f>IFERROR(__xludf.DUMMYFUNCTION("""COMPUTED_VALUE"""),8252750.0)</f>
        <v>8252750</v>
      </c>
      <c r="G943" t="str">
        <f>IFERROR(__xludf.DUMMYFUNCTION("""COMPUTED_VALUE"""),"LearnSmart LLC")</f>
        <v>LearnSmart LLC</v>
      </c>
      <c r="H943" t="str">
        <f>IFERROR(__xludf.DUMMYFUNCTION("""COMPUTED_VALUE"""),"Instructor Request- Opted Out")</f>
        <v>Instructor Request- Opted Out</v>
      </c>
      <c r="I943" t="str">
        <f>IFERROR(__xludf.DUMMYFUNCTION("""COMPUTED_VALUE"""),"Continuing Education Units")</f>
        <v>Continuing Education Units</v>
      </c>
      <c r="J943" t="str">
        <f>IFERROR(__xludf.DUMMYFUNCTION("""COMPUTED_VALUE"""),"PMI Professional Development Units (PDUs)")</f>
        <v>PMI Professional Development Units (PDUs)</v>
      </c>
      <c r="K943" s="140">
        <f>IFERROR(__xludf.DUMMYFUNCTION("""COMPUTED_VALUE"""),429062.0)</f>
        <v>429062</v>
      </c>
      <c r="L943" s="140" t="str">
        <f>IFERROR(__xludf.DUMMYFUNCTION("""COMPUTED_VALUE"""),"New Manager: The Basics and More of Being a Great Leader")</f>
        <v>New Manager: The Basics and More of Being a Great Leader</v>
      </c>
      <c r="N943" s="140" t="str">
        <f>IFERROR(__xludf.DUMMYFUNCTION("""COMPUTED_VALUE"""),"")</f>
        <v/>
      </c>
    </row>
    <row r="944">
      <c r="A944" s="143">
        <f>IFERROR(__xludf.DUMMYFUNCTION("""COMPUTED_VALUE"""),44561.0)</f>
        <v>44561</v>
      </c>
      <c r="B944">
        <f>IFERROR(__xludf.DUMMYFUNCTION("""COMPUTED_VALUE"""),631827.0)</f>
        <v>631827</v>
      </c>
      <c r="C944" s="141" t="str">
        <f>IFERROR(__xludf.DUMMYFUNCTION("""COMPUTED_VALUE"""),"en")</f>
        <v>en</v>
      </c>
      <c r="D944" t="str">
        <f>IFERROR(__xludf.DUMMYFUNCTION("""COMPUTED_VALUE"""),"Installing and Configuring Windows Server 2012 (70-410)")</f>
        <v>Installing and Configuring Windows Server 2012 (70-410)</v>
      </c>
      <c r="E944" t="str">
        <f>IFERROR(__xludf.DUMMYFUNCTION("""COMPUTED_VALUE"""),"Installing and Configuring Windows Server 2012 (70-410)")</f>
        <v>Installing and Configuring Windows Server 2012 (70-410)</v>
      </c>
      <c r="F944">
        <f>IFERROR(__xludf.DUMMYFUNCTION("""COMPUTED_VALUE"""),8252750.0)</f>
        <v>8252750</v>
      </c>
      <c r="G944" t="str">
        <f>IFERROR(__xludf.DUMMYFUNCTION("""COMPUTED_VALUE"""),"LearnSmart LLC")</f>
        <v>LearnSmart LLC</v>
      </c>
      <c r="H944" t="str">
        <f>IFERROR(__xludf.DUMMYFUNCTION("""COMPUTED_VALUE"""),"Instructor Request- Opted Out")</f>
        <v>Instructor Request- Opted Out</v>
      </c>
      <c r="I944" t="str">
        <f>IFERROR(__xludf.DUMMYFUNCTION("""COMPUTED_VALUE"""),"IT Operations")</f>
        <v>IT Operations</v>
      </c>
      <c r="J944" t="str">
        <f>IFERROR(__xludf.DUMMYFUNCTION("""COMPUTED_VALUE"""),"IT Certifications")</f>
        <v>IT Certifications</v>
      </c>
      <c r="L944" s="140" t="str">
        <f>IFERROR(__xludf.DUMMYFUNCTION("""COMPUTED_VALUE"""),"")</f>
        <v/>
      </c>
      <c r="N944" s="140" t="str">
        <f>IFERROR(__xludf.DUMMYFUNCTION("""COMPUTED_VALUE"""),"")</f>
        <v/>
      </c>
    </row>
    <row r="945">
      <c r="A945" s="143">
        <f>IFERROR(__xludf.DUMMYFUNCTION("""COMPUTED_VALUE"""),44561.0)</f>
        <v>44561</v>
      </c>
      <c r="B945">
        <f>IFERROR(__xludf.DUMMYFUNCTION("""COMPUTED_VALUE"""),332928.0)</f>
        <v>332928</v>
      </c>
      <c r="C945" s="141" t="str">
        <f>IFERROR(__xludf.DUMMYFUNCTION("""COMPUTED_VALUE"""),"en")</f>
        <v>en</v>
      </c>
      <c r="D945" t="str">
        <f>IFERROR(__xludf.DUMMYFUNCTION("""COMPUTED_VALUE"""),"Successful HR in Business")</f>
        <v>Successful HR in Business</v>
      </c>
      <c r="E945" t="str">
        <f>IFERROR(__xludf.DUMMYFUNCTION("""COMPUTED_VALUE"""),"Successful HR in Business")</f>
        <v>Successful HR in Business</v>
      </c>
      <c r="F945">
        <f>IFERROR(__xludf.DUMMYFUNCTION("""COMPUTED_VALUE"""),8252750.0)</f>
        <v>8252750</v>
      </c>
      <c r="G945" t="str">
        <f>IFERROR(__xludf.DUMMYFUNCTION("""COMPUTED_VALUE"""),"LearnSmart LLC")</f>
        <v>LearnSmart LLC</v>
      </c>
      <c r="H945" t="str">
        <f>IFERROR(__xludf.DUMMYFUNCTION("""COMPUTED_VALUE"""),"Instructor Request- Opted Out")</f>
        <v>Instructor Request- Opted Out</v>
      </c>
      <c r="I945" t="str">
        <f>IFERROR(__xludf.DUMMYFUNCTION("""COMPUTED_VALUE"""),"Workplace &amp; Human Resources")</f>
        <v>Workplace &amp; Human Resources</v>
      </c>
      <c r="J945" t="str">
        <f>IFERROR(__xludf.DUMMYFUNCTION("""COMPUTED_VALUE"""),"Work Safety")</f>
        <v>Work Safety</v>
      </c>
      <c r="K945" s="140">
        <f>IFERROR(__xludf.DUMMYFUNCTION("""COMPUTED_VALUE"""),415612.0)</f>
        <v>415612</v>
      </c>
      <c r="L945" s="140" t="str">
        <f>IFERROR(__xludf.DUMMYFUNCTION("""COMPUTED_VALUE"""),"Employment Law Compliance Made Easy")</f>
        <v>Employment Law Compliance Made Easy</v>
      </c>
      <c r="N945" s="140" t="str">
        <f>IFERROR(__xludf.DUMMYFUNCTION("""COMPUTED_VALUE"""),"")</f>
        <v/>
      </c>
    </row>
    <row r="946">
      <c r="A946" s="143">
        <f>IFERROR(__xludf.DUMMYFUNCTION("""COMPUTED_VALUE"""),44561.0)</f>
        <v>44561</v>
      </c>
      <c r="B946">
        <f>IFERROR(__xludf.DUMMYFUNCTION("""COMPUTED_VALUE"""),437860.0)</f>
        <v>437860</v>
      </c>
      <c r="C946" s="141" t="str">
        <f>IFERROR(__xludf.DUMMYFUNCTION("""COMPUTED_VALUE"""),"en")</f>
        <v>en</v>
      </c>
      <c r="D946" t="str">
        <f>IFERROR(__xludf.DUMMYFUNCTION("""COMPUTED_VALUE"""),"Effectively Managing Employee Performance")</f>
        <v>Effectively Managing Employee Performance</v>
      </c>
      <c r="E946" t="str">
        <f>IFERROR(__xludf.DUMMYFUNCTION("""COMPUTED_VALUE"""),"Effectively Managing Employee Performance")</f>
        <v>Effectively Managing Employee Performance</v>
      </c>
      <c r="F946">
        <f>IFERROR(__xludf.DUMMYFUNCTION("""COMPUTED_VALUE"""),8252750.0)</f>
        <v>8252750</v>
      </c>
      <c r="G946" t="str">
        <f>IFERROR(__xludf.DUMMYFUNCTION("""COMPUTED_VALUE"""),"LearnSmart LLC")</f>
        <v>LearnSmart LLC</v>
      </c>
      <c r="H946" t="str">
        <f>IFERROR(__xludf.DUMMYFUNCTION("""COMPUTED_VALUE"""),"Instructor Request- Opted Out")</f>
        <v>Instructor Request- Opted Out</v>
      </c>
      <c r="I946" t="str">
        <f>IFERROR(__xludf.DUMMYFUNCTION("""COMPUTED_VALUE"""),"Continuing Education Units")</f>
        <v>Continuing Education Units</v>
      </c>
      <c r="J946" t="str">
        <f>IFERROR(__xludf.DUMMYFUNCTION("""COMPUTED_VALUE"""),"PMI Professional Development Units (PDUs)")</f>
        <v>PMI Professional Development Units (PDUs)</v>
      </c>
      <c r="K946" s="140">
        <f>IFERROR(__xludf.DUMMYFUNCTION("""COMPUTED_VALUE"""),1349100.0)</f>
        <v>1349100</v>
      </c>
    </row>
    <row r="947">
      <c r="A947" s="143">
        <f>IFERROR(__xludf.DUMMYFUNCTION("""COMPUTED_VALUE"""),44561.0)</f>
        <v>44561</v>
      </c>
      <c r="B947">
        <f>IFERROR(__xludf.DUMMYFUNCTION("""COMPUTED_VALUE"""),512304.0)</f>
        <v>512304</v>
      </c>
      <c r="C947" s="141" t="str">
        <f>IFERROR(__xludf.DUMMYFUNCTION("""COMPUTED_VALUE"""),"en")</f>
        <v>en</v>
      </c>
      <c r="D947" t="str">
        <f>IFERROR(__xludf.DUMMYFUNCTION("""COMPUTED_VALUE"""),"OSHA Workplace Safety (General Industry 6 Hr Class)")</f>
        <v>OSHA Workplace Safety (General Industry 6 Hr Class)</v>
      </c>
      <c r="E947" t="str">
        <f>IFERROR(__xludf.DUMMYFUNCTION("""COMPUTED_VALUE"""),"OSHA Workplace Safety (General Industry 6 Hr Class)")</f>
        <v>OSHA Workplace Safety (General Industry 6 Hr Class)</v>
      </c>
      <c r="F947">
        <f>IFERROR(__xludf.DUMMYFUNCTION("""COMPUTED_VALUE"""),8252750.0)</f>
        <v>8252750</v>
      </c>
      <c r="G947" t="str">
        <f>IFERROR(__xludf.DUMMYFUNCTION("""COMPUTED_VALUE"""),"LearnSmart LLC")</f>
        <v>LearnSmart LLC</v>
      </c>
      <c r="H947" t="str">
        <f>IFERROR(__xludf.DUMMYFUNCTION("""COMPUTED_VALUE"""),"Instructor Request- Opted Out")</f>
        <v>Instructor Request- Opted Out</v>
      </c>
      <c r="I947" t="str">
        <f>IFERROR(__xludf.DUMMYFUNCTION("""COMPUTED_VALUE"""),"Workplace &amp; Human Resources")</f>
        <v>Workplace &amp; Human Resources</v>
      </c>
      <c r="J947" t="str">
        <f>IFERROR(__xludf.DUMMYFUNCTION("""COMPUTED_VALUE"""),"Work Safety")</f>
        <v>Work Safety</v>
      </c>
      <c r="L947" s="140" t="str">
        <f>IFERROR(__xludf.DUMMYFUNCTION("""COMPUTED_VALUE"""),"")</f>
        <v/>
      </c>
      <c r="N947" s="140" t="str">
        <f>IFERROR(__xludf.DUMMYFUNCTION("""COMPUTED_VALUE"""),"")</f>
        <v/>
      </c>
    </row>
    <row r="948">
      <c r="A948" s="143">
        <f>IFERROR(__xludf.DUMMYFUNCTION("""COMPUTED_VALUE"""),44561.0)</f>
        <v>44561</v>
      </c>
      <c r="B948">
        <f>IFERROR(__xludf.DUMMYFUNCTION("""COMPUTED_VALUE"""),641410.0)</f>
        <v>641410</v>
      </c>
      <c r="C948" s="141" t="str">
        <f>IFERROR(__xludf.DUMMYFUNCTION("""COMPUTED_VALUE"""),"en")</f>
        <v>en</v>
      </c>
      <c r="D948" t="str">
        <f>IFERROR(__xludf.DUMMYFUNCTION("""COMPUTED_VALUE"""),"Configuring Server 2012 (70-412)")</f>
        <v>Configuring Server 2012 (70-412)</v>
      </c>
      <c r="E948" t="str">
        <f>IFERROR(__xludf.DUMMYFUNCTION("""COMPUTED_VALUE"""),"Configuring Server 2012 (70-412)")</f>
        <v>Configuring Server 2012 (70-412)</v>
      </c>
      <c r="F948">
        <f>IFERROR(__xludf.DUMMYFUNCTION("""COMPUTED_VALUE"""),8252750.0)</f>
        <v>8252750</v>
      </c>
      <c r="G948" t="str">
        <f>IFERROR(__xludf.DUMMYFUNCTION("""COMPUTED_VALUE"""),"LearnSmart LLC")</f>
        <v>LearnSmart LLC</v>
      </c>
      <c r="H948" t="str">
        <f>IFERROR(__xludf.DUMMYFUNCTION("""COMPUTED_VALUE"""),"Instructor Request- Opted Out")</f>
        <v>Instructor Request- Opted Out</v>
      </c>
      <c r="I948" t="str">
        <f>IFERROR(__xludf.DUMMYFUNCTION("""COMPUTED_VALUE"""),"IT Operations")</f>
        <v>IT Operations</v>
      </c>
      <c r="J948" t="str">
        <f>IFERROR(__xludf.DUMMYFUNCTION("""COMPUTED_VALUE"""),"IT Certifications")</f>
        <v>IT Certifications</v>
      </c>
      <c r="L948" s="140" t="str">
        <f>IFERROR(__xludf.DUMMYFUNCTION("""COMPUTED_VALUE"""),"")</f>
        <v/>
      </c>
      <c r="N948" s="140" t="str">
        <f>IFERROR(__xludf.DUMMYFUNCTION("""COMPUTED_VALUE"""),"")</f>
        <v/>
      </c>
    </row>
    <row r="949">
      <c r="A949" s="143">
        <f>IFERROR(__xludf.DUMMYFUNCTION("""COMPUTED_VALUE"""),44561.0)</f>
        <v>44561</v>
      </c>
      <c r="B949">
        <f>IFERROR(__xludf.DUMMYFUNCTION("""COMPUTED_VALUE"""),646038.0)</f>
        <v>646038</v>
      </c>
      <c r="C949" s="141" t="str">
        <f>IFERROR(__xludf.DUMMYFUNCTION("""COMPUTED_VALUE"""),"en")</f>
        <v>en</v>
      </c>
      <c r="D949" t="str">
        <f>IFERROR(__xludf.DUMMYFUNCTION("""COMPUTED_VALUE"""),"Designing Server 2012 (70-413)")</f>
        <v>Designing Server 2012 (70-413)</v>
      </c>
      <c r="E949" t="str">
        <f>IFERROR(__xludf.DUMMYFUNCTION("""COMPUTED_VALUE"""),"Designing Server 2012 (70-413)")</f>
        <v>Designing Server 2012 (70-413)</v>
      </c>
      <c r="F949">
        <f>IFERROR(__xludf.DUMMYFUNCTION("""COMPUTED_VALUE"""),8252750.0)</f>
        <v>8252750</v>
      </c>
      <c r="G949" t="str">
        <f>IFERROR(__xludf.DUMMYFUNCTION("""COMPUTED_VALUE"""),"LearnSmart LLC")</f>
        <v>LearnSmart LLC</v>
      </c>
      <c r="H949" t="str">
        <f>IFERROR(__xludf.DUMMYFUNCTION("""COMPUTED_VALUE"""),"Instructor Request- Opted Out")</f>
        <v>Instructor Request- Opted Out</v>
      </c>
      <c r="I949" t="str">
        <f>IFERROR(__xludf.DUMMYFUNCTION("""COMPUTED_VALUE"""),"IT Operations")</f>
        <v>IT Operations</v>
      </c>
      <c r="J949" t="str">
        <f>IFERROR(__xludf.DUMMYFUNCTION("""COMPUTED_VALUE"""),"IT Certifications")</f>
        <v>IT Certifications</v>
      </c>
      <c r="L949" s="140" t="str">
        <f>IFERROR(__xludf.DUMMYFUNCTION("""COMPUTED_VALUE"""),"")</f>
        <v/>
      </c>
      <c r="N949" s="140" t="str">
        <f>IFERROR(__xludf.DUMMYFUNCTION("""COMPUTED_VALUE"""),"")</f>
        <v/>
      </c>
    </row>
    <row r="950">
      <c r="A950" s="143">
        <f>IFERROR(__xludf.DUMMYFUNCTION("""COMPUTED_VALUE"""),44561.0)</f>
        <v>44561</v>
      </c>
      <c r="B950">
        <f>IFERROR(__xludf.DUMMYFUNCTION("""COMPUTED_VALUE"""),587890.0)</f>
        <v>587890</v>
      </c>
      <c r="C950" s="141" t="str">
        <f>IFERROR(__xludf.DUMMYFUNCTION("""COMPUTED_VALUE"""),"en")</f>
        <v>en</v>
      </c>
      <c r="D950" t="str">
        <f>IFERROR(__xludf.DUMMYFUNCTION("""COMPUTED_VALUE"""),"Getting Started with Google Office: Docs, Sheets, Slides")</f>
        <v>Getting Started with Google Office: Docs, Sheets, Slides</v>
      </c>
      <c r="E950" t="str">
        <f>IFERROR(__xludf.DUMMYFUNCTION("""COMPUTED_VALUE"""),"Getting Started with Google Office: Docs, Sheets, Slides")</f>
        <v>Getting Started with Google Office: Docs, Sheets, Slides</v>
      </c>
      <c r="F950">
        <f>IFERROR(__xludf.DUMMYFUNCTION("""COMPUTED_VALUE"""),8252750.0)</f>
        <v>8252750</v>
      </c>
      <c r="G950" t="str">
        <f>IFERROR(__xludf.DUMMYFUNCTION("""COMPUTED_VALUE"""),"LearnSmart LLC")</f>
        <v>LearnSmart LLC</v>
      </c>
      <c r="H950" t="str">
        <f>IFERROR(__xludf.DUMMYFUNCTION("""COMPUTED_VALUE"""),"Instructor Request- Opted Out")</f>
        <v>Instructor Request- Opted Out</v>
      </c>
      <c r="I950" t="str">
        <f>IFERROR(__xludf.DUMMYFUNCTION("""COMPUTED_VALUE"""),"Office Productivity")</f>
        <v>Office Productivity</v>
      </c>
      <c r="J950" t="str">
        <f>IFERROR(__xludf.DUMMYFUNCTION("""COMPUTED_VALUE"""),"Word Processing")</f>
        <v>Word Processing</v>
      </c>
      <c r="K950" s="140">
        <f>IFERROR(__xludf.DUMMYFUNCTION("""COMPUTED_VALUE"""),3507196.0)</f>
        <v>3507196</v>
      </c>
      <c r="L950" s="140" t="str">
        <f>IFERROR(__xludf.DUMMYFUNCTION("""COMPUTED_VALUE"""),"Google Sheets - The Comprehensive Masterclass")</f>
        <v>Google Sheets - The Comprehensive Masterclass</v>
      </c>
      <c r="N950" s="140" t="str">
        <f>IFERROR(__xludf.DUMMYFUNCTION("""COMPUTED_VALUE"""),"")</f>
        <v/>
      </c>
    </row>
    <row r="951">
      <c r="A951" s="143">
        <f>IFERROR(__xludf.DUMMYFUNCTION("""COMPUTED_VALUE"""),44561.0)</f>
        <v>44561</v>
      </c>
      <c r="B951">
        <f>IFERROR(__xludf.DUMMYFUNCTION("""COMPUTED_VALUE"""),636184.0)</f>
        <v>636184</v>
      </c>
      <c r="C951" s="141" t="str">
        <f>IFERROR(__xludf.DUMMYFUNCTION("""COMPUTED_VALUE"""),"en")</f>
        <v>en</v>
      </c>
      <c r="D951" t="str">
        <f>IFERROR(__xludf.DUMMYFUNCTION("""COMPUTED_VALUE"""),"Administering Windows Server 2012 (70-411)")</f>
        <v>Administering Windows Server 2012 (70-411)</v>
      </c>
      <c r="E951" t="str">
        <f>IFERROR(__xludf.DUMMYFUNCTION("""COMPUTED_VALUE"""),"Administering Windows Server 2012 (70-411)")</f>
        <v>Administering Windows Server 2012 (70-411)</v>
      </c>
      <c r="F951">
        <f>IFERROR(__xludf.DUMMYFUNCTION("""COMPUTED_VALUE"""),8252750.0)</f>
        <v>8252750</v>
      </c>
      <c r="G951" t="str">
        <f>IFERROR(__xludf.DUMMYFUNCTION("""COMPUTED_VALUE"""),"LearnSmart LLC")</f>
        <v>LearnSmart LLC</v>
      </c>
      <c r="H951" t="str">
        <f>IFERROR(__xludf.DUMMYFUNCTION("""COMPUTED_VALUE"""),"Instructor Request- Opted Out")</f>
        <v>Instructor Request- Opted Out</v>
      </c>
      <c r="I951" t="str">
        <f>IFERROR(__xludf.DUMMYFUNCTION("""COMPUTED_VALUE"""),"IT Operations")</f>
        <v>IT Operations</v>
      </c>
      <c r="J951" t="str">
        <f>IFERROR(__xludf.DUMMYFUNCTION("""COMPUTED_VALUE"""),"IT Certifications")</f>
        <v>IT Certifications</v>
      </c>
      <c r="L951" s="140" t="str">
        <f>IFERROR(__xludf.DUMMYFUNCTION("""COMPUTED_VALUE"""),"")</f>
        <v/>
      </c>
      <c r="N951" s="140" t="str">
        <f>IFERROR(__xludf.DUMMYFUNCTION("""COMPUTED_VALUE"""),"")</f>
        <v/>
      </c>
    </row>
    <row r="952">
      <c r="A952" s="143">
        <f>IFERROR(__xludf.DUMMYFUNCTION("""COMPUTED_VALUE"""),44561.0)</f>
        <v>44561</v>
      </c>
      <c r="B952">
        <f>IFERROR(__xludf.DUMMYFUNCTION("""COMPUTED_VALUE"""),1152164.0)</f>
        <v>1152164</v>
      </c>
      <c r="C952" s="141" t="str">
        <f>IFERROR(__xludf.DUMMYFUNCTION("""COMPUTED_VALUE"""),"en")</f>
        <v>en</v>
      </c>
      <c r="D952" t="str">
        <f>IFERROR(__xludf.DUMMYFUNCTION("""COMPUTED_VALUE"""),"Server Administration Fundamentals 2017 (Server+ SK0-004)")</f>
        <v>Server Administration Fundamentals 2017 (Server+ SK0-004)</v>
      </c>
      <c r="E952" t="str">
        <f>IFERROR(__xludf.DUMMYFUNCTION("""COMPUTED_VALUE"""),"Server Administration Fundamentals 2017 (Server+ SK0-004)")</f>
        <v>Server Administration Fundamentals 2017 (Server+ SK0-004)</v>
      </c>
      <c r="F952">
        <f>IFERROR(__xludf.DUMMYFUNCTION("""COMPUTED_VALUE"""),8252750.0)</f>
        <v>8252750</v>
      </c>
      <c r="G952" t="str">
        <f>IFERROR(__xludf.DUMMYFUNCTION("""COMPUTED_VALUE"""),"LearnSmart LLC")</f>
        <v>LearnSmart LLC</v>
      </c>
      <c r="H952" t="str">
        <f>IFERROR(__xludf.DUMMYFUNCTION("""COMPUTED_VALUE"""),"Instructor Request- Opted Out")</f>
        <v>Instructor Request- Opted Out</v>
      </c>
      <c r="I952" t="str">
        <f>IFERROR(__xludf.DUMMYFUNCTION("""COMPUTED_VALUE"""),"IT Operations")</f>
        <v>IT Operations</v>
      </c>
      <c r="J952" t="str">
        <f>IFERROR(__xludf.DUMMYFUNCTION("""COMPUTED_VALUE"""),"IT Certifications")</f>
        <v>IT Certifications</v>
      </c>
      <c r="L952" s="140" t="str">
        <f>IFERROR(__xludf.DUMMYFUNCTION("""COMPUTED_VALUE"""),"")</f>
        <v/>
      </c>
      <c r="N952" s="140" t="str">
        <f>IFERROR(__xludf.DUMMYFUNCTION("""COMPUTED_VALUE"""),"")</f>
        <v/>
      </c>
    </row>
    <row r="953">
      <c r="A953" s="143">
        <f>IFERROR(__xludf.DUMMYFUNCTION("""COMPUTED_VALUE"""),44561.0)</f>
        <v>44561</v>
      </c>
      <c r="B953">
        <f>IFERROR(__xludf.DUMMYFUNCTION("""COMPUTED_VALUE"""),2434620.0)</f>
        <v>2434620</v>
      </c>
      <c r="C953" s="141" t="str">
        <f>IFERROR(__xludf.DUMMYFUNCTION("""COMPUTED_VALUE"""),"en")</f>
        <v>en</v>
      </c>
      <c r="D953" t="str">
        <f>IFERROR(__xludf.DUMMYFUNCTION("""COMPUTED_VALUE"""),"Server side rendering with Next JS")</f>
        <v>Server side rendering with Next JS</v>
      </c>
      <c r="E953" t="str">
        <f>IFERROR(__xludf.DUMMYFUNCTION("""COMPUTED_VALUE"""),"Server side rendering with Next JS")</f>
        <v>Server side rendering with Next JS</v>
      </c>
      <c r="F953">
        <f>IFERROR(__xludf.DUMMYFUNCTION("""COMPUTED_VALUE"""),3.3236808E7)</f>
        <v>33236808</v>
      </c>
      <c r="G953" t="str">
        <f>IFERROR(__xludf.DUMMYFUNCTION("""COMPUTED_VALUE"""),"Coding Revolution")</f>
        <v>Coding Revolution</v>
      </c>
      <c r="H953" t="str">
        <f>IFERROR(__xludf.DUMMYFUNCTION("""COMPUTED_VALUE"""),"Instructor Request- Opted Out")</f>
        <v>Instructor Request- Opted Out</v>
      </c>
      <c r="I953" t="str">
        <f>IFERROR(__xludf.DUMMYFUNCTION("""COMPUTED_VALUE"""),"Development")</f>
        <v>Development</v>
      </c>
      <c r="J953" t="str">
        <f>IFERROR(__xludf.DUMMYFUNCTION("""COMPUTED_VALUE"""),"Web Development")</f>
        <v>Web Development</v>
      </c>
      <c r="K953" s="140">
        <f>IFERROR(__xludf.DUMMYFUNCTION("""COMPUTED_VALUE"""),2019358.0)</f>
        <v>2019358</v>
      </c>
      <c r="L953" s="140" t="str">
        <f>IFERROR(__xludf.DUMMYFUNCTION("""COMPUTED_VALUE"""),"Universal React with Next.js - The Ultimate Guide")</f>
        <v>Universal React with Next.js - The Ultimate Guide</v>
      </c>
      <c r="N953" s="140" t="str">
        <f>IFERROR(__xludf.DUMMYFUNCTION("""COMPUTED_VALUE"""),"")</f>
        <v/>
      </c>
    </row>
    <row r="954">
      <c r="A954" s="143">
        <f>IFERROR(__xludf.DUMMYFUNCTION("""COMPUTED_VALUE"""),44561.0)</f>
        <v>44561</v>
      </c>
      <c r="B954">
        <f>IFERROR(__xludf.DUMMYFUNCTION("""COMPUTED_VALUE"""),1820254.0)</f>
        <v>1820254</v>
      </c>
      <c r="C954" s="141" t="str">
        <f>IFERROR(__xludf.DUMMYFUNCTION("""COMPUTED_VALUE"""),"en")</f>
        <v>en</v>
      </c>
      <c r="D954" t="str">
        <f>IFERROR(__xludf.DUMMYFUNCTION("""COMPUTED_VALUE"""),"Sexual Harassment Training for Employees in the Workplace")</f>
        <v>Sexual Harassment Training for Employees in the Workplace</v>
      </c>
      <c r="E954" t="str">
        <f>IFERROR(__xludf.DUMMYFUNCTION("""COMPUTED_VALUE"""),"Sexual Harassment Training for Employees in the Workplace")</f>
        <v>Sexual Harassment Training for Employees in the Workplace</v>
      </c>
      <c r="F954">
        <f>IFERROR(__xludf.DUMMYFUNCTION("""COMPUTED_VALUE"""),1.8448574E7)</f>
        <v>18448574</v>
      </c>
      <c r="G954" t="str">
        <f>IFERROR(__xludf.DUMMYFUNCTION("""COMPUTED_VALUE"""),"CyberTraining 365")</f>
        <v>CyberTraining 365</v>
      </c>
      <c r="H954" t="str">
        <f>IFERROR(__xludf.DUMMYFUNCTION("""COMPUTED_VALUE"""),"Inapropriate Topic")</f>
        <v>Inapropriate Topic</v>
      </c>
      <c r="I954" t="str">
        <f>IFERROR(__xludf.DUMMYFUNCTION("""COMPUTED_VALUE"""),"Workplace &amp; Human Resources")</f>
        <v>Workplace &amp; Human Resources</v>
      </c>
      <c r="J954" t="str">
        <f>IFERROR(__xludf.DUMMYFUNCTION("""COMPUTED_VALUE"""),"Work Safety")</f>
        <v>Work Safety</v>
      </c>
      <c r="K954" s="140" t="str">
        <f>IFERROR(__xludf.DUMMYFUNCTION("""COMPUTED_VALUE"""),"N/A")</f>
        <v>N/A</v>
      </c>
      <c r="L954" s="140" t="str">
        <f>IFERROR(__xludf.DUMMYFUNCTION("""COMPUTED_VALUE"""),"N/A")</f>
        <v>N/A</v>
      </c>
    </row>
    <row r="955">
      <c r="A955" s="143">
        <f>IFERROR(__xludf.DUMMYFUNCTION("""COMPUTED_VALUE"""),44561.0)</f>
        <v>44561</v>
      </c>
      <c r="B955">
        <f>IFERROR(__xludf.DUMMYFUNCTION("""COMPUTED_VALUE"""),2920846.0)</f>
        <v>2920846</v>
      </c>
      <c r="C955" s="141" t="str">
        <f>IFERROR(__xludf.DUMMYFUNCTION("""COMPUTED_VALUE"""),"ar")</f>
        <v>ar</v>
      </c>
      <c r="D955" t="str">
        <f>IFERROR(__xludf.DUMMYFUNCTION("""COMPUTED_VALUE"""),"(Updated 2021) سيكولوجية الإعلان")</f>
        <v>(Updated 2021) سيكولوجية الإعلان</v>
      </c>
      <c r="E955" t="str">
        <f>IFERROR(__xludf.DUMMYFUNCTION("""COMPUTED_VALUE"""),"(Updated 2021) Psychology")</f>
        <v>(Updated 2021) Psychology</v>
      </c>
      <c r="F955">
        <f>IFERROR(__xludf.DUMMYFUNCTION("""COMPUTED_VALUE"""),657976.0)</f>
        <v>657976</v>
      </c>
      <c r="G955" t="str">
        <f>IFERROR(__xludf.DUMMYFUNCTION("""COMPUTED_VALUE"""),"Hesham Ezzat")</f>
        <v>Hesham Ezzat</v>
      </c>
      <c r="H955" t="str">
        <f>IFERROR(__xludf.DUMMYFUNCTION("""COMPUTED_VALUE"""),"Instructor Request- Opted Out")</f>
        <v>Instructor Request- Opted Out</v>
      </c>
      <c r="I955" t="str">
        <f>IFERROR(__xludf.DUMMYFUNCTION("""COMPUTED_VALUE"""),"Marketing")</f>
        <v>Marketing</v>
      </c>
      <c r="J955" t="str">
        <f>IFERROR(__xludf.DUMMYFUNCTION("""COMPUTED_VALUE"""),"Marketing Strategy")</f>
        <v>Marketing Strategy</v>
      </c>
    </row>
    <row r="956">
      <c r="A956" s="143">
        <f>IFERROR(__xludf.DUMMYFUNCTION("""COMPUTED_VALUE"""),44561.0)</f>
        <v>44561</v>
      </c>
      <c r="B956">
        <f>IFERROR(__xludf.DUMMYFUNCTION("""COMPUTED_VALUE"""),2921398.0)</f>
        <v>2921398</v>
      </c>
      <c r="C956" s="141" t="str">
        <f>IFERROR(__xludf.DUMMYFUNCTION("""COMPUTED_VALUE"""),"ar")</f>
        <v>ar</v>
      </c>
      <c r="D956" t="str">
        <f>IFERROR(__xludf.DUMMYFUNCTION("""COMPUTED_VALUE"""),"(Updated 2021) الاستهداف السيكولوجي")</f>
        <v>(Updated 2021) الاستهداف السيكولوجي</v>
      </c>
      <c r="E956" t="str">
        <f>IFERROR(__xludf.DUMMYFUNCTION("""COMPUTED_VALUE"""),"(Updated 2021) Psychological targeting")</f>
        <v>(Updated 2021) Psychological targeting</v>
      </c>
      <c r="F956">
        <f>IFERROR(__xludf.DUMMYFUNCTION("""COMPUTED_VALUE"""),657976.0)</f>
        <v>657976</v>
      </c>
      <c r="G956" t="str">
        <f>IFERROR(__xludf.DUMMYFUNCTION("""COMPUTED_VALUE"""),"Hesham Ezzat")</f>
        <v>Hesham Ezzat</v>
      </c>
      <c r="H956" t="str">
        <f>IFERROR(__xludf.DUMMYFUNCTION("""COMPUTED_VALUE"""),"Instructor Request- Opted Out")</f>
        <v>Instructor Request- Opted Out</v>
      </c>
      <c r="I956" t="str">
        <f>IFERROR(__xludf.DUMMYFUNCTION("""COMPUTED_VALUE"""),"Marketing")</f>
        <v>Marketing</v>
      </c>
      <c r="J956" t="str">
        <f>IFERROR(__xludf.DUMMYFUNCTION("""COMPUTED_VALUE"""),"Marketing Strategy")</f>
        <v>Marketing Strategy</v>
      </c>
    </row>
    <row r="957">
      <c r="A957" s="143">
        <f>IFERROR(__xludf.DUMMYFUNCTION("""COMPUTED_VALUE"""),44561.0)</f>
        <v>44561</v>
      </c>
      <c r="B957">
        <f>IFERROR(__xludf.DUMMYFUNCTION("""COMPUTED_VALUE"""),2067309.0)</f>
        <v>2067309</v>
      </c>
      <c r="C957" s="141" t="str">
        <f>IFERROR(__xludf.DUMMYFUNCTION("""COMPUTED_VALUE"""),"ar")</f>
        <v>ar</v>
      </c>
      <c r="D957" t="str">
        <f>IFERROR(__xludf.DUMMYFUNCTION("""COMPUTED_VALUE"""),"(Updated 2021) التسعير السيكولوجي")</f>
        <v>(Updated 2021) التسعير السيكولوجي</v>
      </c>
      <c r="E957" t="str">
        <f>IFERROR(__xludf.DUMMYFUNCTION("""COMPUTED_VALUE"""),"(Updated 2021) Psychological Pricing")</f>
        <v>(Updated 2021) Psychological Pricing</v>
      </c>
      <c r="F957">
        <f>IFERROR(__xludf.DUMMYFUNCTION("""COMPUTED_VALUE"""),657976.0)</f>
        <v>657976</v>
      </c>
      <c r="G957" t="str">
        <f>IFERROR(__xludf.DUMMYFUNCTION("""COMPUTED_VALUE"""),"Hesham Ezzat")</f>
        <v>Hesham Ezzat</v>
      </c>
      <c r="H957" t="str">
        <f>IFERROR(__xludf.DUMMYFUNCTION("""COMPUTED_VALUE"""),"Instructor Request- Opted Out")</f>
        <v>Instructor Request- Opted Out</v>
      </c>
      <c r="I957" t="str">
        <f>IFERROR(__xludf.DUMMYFUNCTION("""COMPUTED_VALUE"""),"Sales")</f>
        <v>Sales</v>
      </c>
      <c r="J957" t="str">
        <f>IFERROR(__xludf.DUMMYFUNCTION("""COMPUTED_VALUE"""),"Sales Skills &amp; Tools")</f>
        <v>Sales Skills &amp; Tools</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t="str">
        <f>IFERROR(__xludf.DUMMYFUNCTION("IMPORTRANGE(""https://docs.google.com/spreadsheets/d/1-PGtQfbeuiWnM5yK4JbSPcN2oBJ9Xk5oQx_g5stVnf0/edit#gid=982786439"",""Retired 2022!A:P"")"),"date")</f>
        <v>date</v>
      </c>
      <c r="B1" t="str">
        <f>IFERROR(__xludf.DUMMYFUNCTION("""COMPUTED_VALUE"""),"courseid")</f>
        <v>courseid</v>
      </c>
      <c r="C1" t="str">
        <f>IFERROR(__xludf.DUMMYFUNCTION("""COMPUTED_VALUE"""),"language")</f>
        <v>language</v>
      </c>
      <c r="D1" t="str">
        <f>IFERROR(__xludf.DUMMYFUNCTION("""COMPUTED_VALUE"""),"Course Title")</f>
        <v>Course Title</v>
      </c>
      <c r="E1" t="str">
        <f>IFERROR(__xludf.DUMMYFUNCTION("""COMPUTED_VALUE"""),"Translated Title")</f>
        <v>Translated Title</v>
      </c>
      <c r="F1" t="str">
        <f>IFERROR(__xludf.DUMMYFUNCTION("""COMPUTED_VALUE"""),"Instructor User ID")</f>
        <v>Instructor User ID</v>
      </c>
      <c r="G1" t="str">
        <f>IFERROR(__xludf.DUMMYFUNCTION("""COMPUTED_VALUE"""),"Instructor")</f>
        <v>Instructor</v>
      </c>
      <c r="H1" t="str">
        <f>IFERROR(__xludf.DUMMYFUNCTION("""COMPUTED_VALUE"""),"reason")</f>
        <v>reason</v>
      </c>
      <c r="I1" t="str">
        <f>IFERROR(__xludf.DUMMYFUNCTION("""COMPUTED_VALUE"""),"Category")</f>
        <v>Category</v>
      </c>
      <c r="J1" t="str">
        <f>IFERROR(__xludf.DUMMYFUNCTION("""COMPUTED_VALUE"""),"Subcategory")</f>
        <v>Subcategory</v>
      </c>
      <c r="K1" t="str">
        <f>IFERROR(__xludf.DUMMYFUNCTION("""COMPUTED_VALUE"""),"replacement_courseid_1")</f>
        <v>replacement_courseid_1</v>
      </c>
      <c r="L1" t="str">
        <f>IFERROR(__xludf.DUMMYFUNCTION("""COMPUTED_VALUE"""),"Replacement Course Title 1")</f>
        <v>Replacement Course Title 1</v>
      </c>
      <c r="M1" t="str">
        <f>IFERROR(__xludf.DUMMYFUNCTION("""COMPUTED_VALUE"""),"replacement_courseid_2")</f>
        <v>replacement_courseid_2</v>
      </c>
      <c r="N1" t="str">
        <f>IFERROR(__xludf.DUMMYFUNCTION("""COMPUTED_VALUE"""),"Replacement Course Title 2")</f>
        <v>Replacement Course Title 2</v>
      </c>
      <c r="O1" t="str">
        <f>IFERROR(__xludf.DUMMYFUNCTION("""COMPUTED_VALUE"""),"Notes")</f>
        <v>Notes</v>
      </c>
    </row>
    <row r="2">
      <c r="A2" s="143">
        <f>IFERROR(__xludf.DUMMYFUNCTION("""COMPUTED_VALUE"""),44571.0)</f>
        <v>44571</v>
      </c>
      <c r="B2">
        <f>IFERROR(__xludf.DUMMYFUNCTION("""COMPUTED_VALUE"""),1683326.0)</f>
        <v>1683326</v>
      </c>
      <c r="C2" t="str">
        <f>IFERROR(__xludf.DUMMYFUNCTION("""COMPUTED_VALUE"""),"en")</f>
        <v>en</v>
      </c>
      <c r="D2" t="str">
        <f>IFERROR(__xludf.DUMMYFUNCTION("""COMPUTED_VALUE"""),"TOTAL: CompTIA Cloud+ (CV0-002): 3 FULL Practice Tests")</f>
        <v>TOTAL: CompTIA Cloud+ (CV0-002): 3 FULL Practice Tests</v>
      </c>
      <c r="E2" t="str">
        <f>IFERROR(__xludf.DUMMYFUNCTION("""COMPUTED_VALUE"""),"TOTAL: CompTIA Cloud+ (CV0-002): 3 FULL Practice Tests")</f>
        <v>TOTAL: CompTIA Cloud+ (CV0-002): 3 FULL Practice Tests</v>
      </c>
      <c r="F2">
        <f>IFERROR(__xludf.DUMMYFUNCTION("""COMPUTED_VALUE"""),1.6569604E7)</f>
        <v>16569604</v>
      </c>
      <c r="G2" t="str">
        <f>IFERROR(__xludf.DUMMYFUNCTION("""COMPUTED_VALUE"""),"Total Seminars • 750,000+ Enrollments")</f>
        <v>Total Seminars • 750,000+ Enrollments</v>
      </c>
      <c r="H2" t="str">
        <f>IFERROR(__xludf.DUMMYFUNCTION("""COMPUTED_VALUE"""),"Instructor Request- Opted Out")</f>
        <v>Instructor Request- Opted Out</v>
      </c>
      <c r="I2" s="142" t="str">
        <f>IFERROR(__xludf.DUMMYFUNCTION("""COMPUTED_VALUE"""),"IT Operations")</f>
        <v>IT Operations</v>
      </c>
      <c r="J2" s="142" t="str">
        <f>IFERROR(__xludf.DUMMYFUNCTION("""COMPUTED_VALUE"""),"IT Certifications")</f>
        <v>IT Certifications</v>
      </c>
    </row>
    <row r="3">
      <c r="A3" s="143">
        <f>IFERROR(__xludf.DUMMYFUNCTION("""COMPUTED_VALUE"""),44573.0)</f>
        <v>44573</v>
      </c>
      <c r="B3">
        <f>IFERROR(__xludf.DUMMYFUNCTION("""COMPUTED_VALUE"""),4204358.0)</f>
        <v>4204358</v>
      </c>
      <c r="C3" t="str">
        <f>IFERROR(__xludf.DUMMYFUNCTION("""COMPUTED_VALUE"""),"en")</f>
        <v>en</v>
      </c>
      <c r="D3" t="str">
        <f>IFERROR(__xludf.DUMMYFUNCTION("""COMPUTED_VALUE"""),"NEW SAFe 5 Scrum Master (SSM) Practice Exams")</f>
        <v>NEW SAFe 5 Scrum Master (SSM) Practice Exams</v>
      </c>
      <c r="E3" t="str">
        <f>IFERROR(__xludf.DUMMYFUNCTION("""COMPUTED_VALUE"""),"NEW SAFe 5 Scrum Master (SSM) Practice Exams")</f>
        <v>NEW SAFe 5 Scrum Master (SSM) Practice Exams</v>
      </c>
      <c r="F3">
        <f>IFERROR(__xludf.DUMMYFUNCTION("""COMPUTED_VALUE"""),1.48658884E8)</f>
        <v>148658884</v>
      </c>
      <c r="G3" t="str">
        <f>IFERROR(__xludf.DUMMYFUNCTION("""COMPUTED_VALUE"""),"Online Education Hub")</f>
        <v>Online Education Hub</v>
      </c>
      <c r="H3" t="str">
        <f>IFERROR(__xludf.DUMMYFUNCTION("""COMPUTED_VALUE"""),"T&amp;S")</f>
        <v>T&amp;S</v>
      </c>
      <c r="I3" t="str">
        <f>IFERROR(__xludf.DUMMYFUNCTION("""COMPUTED_VALUE"""),"IT Operations")</f>
        <v>IT Operations</v>
      </c>
      <c r="J3" t="str">
        <f>IFERROR(__xludf.DUMMYFUNCTION("""COMPUTED_VALUE"""),"IT Certifications")</f>
        <v>IT Certifications</v>
      </c>
      <c r="K3">
        <f>IFERROR(__xludf.DUMMYFUNCTION("""COMPUTED_VALUE"""),1850902.0)</f>
        <v>1850902</v>
      </c>
      <c r="L3" t="str">
        <f>IFERROR(__xludf.DUMMYFUNCTION("""COMPUTED_VALUE"""),"Scrum for Beginners + Scrum Master Certification Preparation")</f>
        <v>Scrum for Beginners + Scrum Master Certification Preparation</v>
      </c>
    </row>
    <row r="4">
      <c r="A4" s="143">
        <f>IFERROR(__xludf.DUMMYFUNCTION("""COMPUTED_VALUE"""),44573.0)</f>
        <v>44573</v>
      </c>
      <c r="B4">
        <f>IFERROR(__xludf.DUMMYFUNCTION("""COMPUTED_VALUE"""),3810768.0)</f>
        <v>3810768</v>
      </c>
      <c r="C4" s="140" t="str">
        <f>IFERROR(__xludf.DUMMYFUNCTION("""COMPUTED_VALUE"""),"en")</f>
        <v>en</v>
      </c>
      <c r="D4" t="str">
        <f>IFERROR(__xludf.DUMMYFUNCTION("""COMPUTED_VALUE"""),"NEW SAFe 5 Agilist (Leading SAFe) Practice Exams (235 Q's)")</f>
        <v>NEW SAFe 5 Agilist (Leading SAFe) Practice Exams (235 Q's)</v>
      </c>
      <c r="E4" t="str">
        <f>IFERROR(__xludf.DUMMYFUNCTION("""COMPUTED_VALUE"""),"NEW SAFe 5 Agilist (Leading SAFe) Practice Exams (235 Q's)")</f>
        <v>NEW SAFe 5 Agilist (Leading SAFe) Practice Exams (235 Q's)</v>
      </c>
      <c r="F4">
        <f>IFERROR(__xludf.DUMMYFUNCTION("""COMPUTED_VALUE"""),1.48658884E8)</f>
        <v>148658884</v>
      </c>
      <c r="G4" t="str">
        <f>IFERROR(__xludf.DUMMYFUNCTION("""COMPUTED_VALUE"""),"Online Education Hub")</f>
        <v>Online Education Hub</v>
      </c>
      <c r="H4" t="str">
        <f>IFERROR(__xludf.DUMMYFUNCTION("""COMPUTED_VALUE"""),"T&amp;S")</f>
        <v>T&amp;S</v>
      </c>
      <c r="I4" t="str">
        <f>IFERROR(__xludf.DUMMYFUNCTION("""COMPUTED_VALUE"""),"IT Operations")</f>
        <v>IT Operations</v>
      </c>
      <c r="J4" t="str">
        <f>IFERROR(__xludf.DUMMYFUNCTION("""COMPUTED_VALUE"""),"IT Certifications")</f>
        <v>IT Certifications</v>
      </c>
      <c r="K4">
        <f>IFERROR(__xludf.DUMMYFUNCTION("""COMPUTED_VALUE"""),3270848.0)</f>
        <v>3270848</v>
      </c>
      <c r="L4" s="140" t="str">
        <f>IFERROR(__xludf.DUMMYFUNCTION("""COMPUTED_VALUE"""),"Complete Agile Scrum Master Certification Training")</f>
        <v>Complete Agile Scrum Master Certification Training</v>
      </c>
    </row>
    <row r="5">
      <c r="A5" s="143">
        <f>IFERROR(__xludf.DUMMYFUNCTION("""COMPUTED_VALUE"""),44575.0)</f>
        <v>44575</v>
      </c>
      <c r="B5">
        <f>IFERROR(__xludf.DUMMYFUNCTION("""COMPUTED_VALUE"""),2916422.0)</f>
        <v>2916422</v>
      </c>
      <c r="C5" s="140" t="str">
        <f>IFERROR(__xludf.DUMMYFUNCTION("""COMPUTED_VALUE"""),"en")</f>
        <v>en</v>
      </c>
      <c r="D5" s="145" t="str">
        <f>IFERROR(__xludf.DUMMYFUNCTION("""COMPUTED_VALUE"""),"2021 Data Science/MachineLearning Project Deployment Mastery")</f>
        <v>2021 Data Science/MachineLearning Project Deployment Mastery</v>
      </c>
      <c r="E5" t="str">
        <f>IFERROR(__xludf.DUMMYFUNCTION("""COMPUTED_VALUE"""),"2021 Data Science/MachineLearning Project Deployment Mastery")</f>
        <v>2021 Data Science/MachineLearning Project Deployment Mastery</v>
      </c>
      <c r="F5">
        <f>IFERROR(__xludf.DUMMYFUNCTION("""COMPUTED_VALUE"""),5.9856157E7)</f>
        <v>59856157</v>
      </c>
      <c r="G5" t="str">
        <f>IFERROR(__xludf.DUMMYFUNCTION("""COMPUTED_VALUE"""),"MrBriit .")</f>
        <v>MrBriit .</v>
      </c>
      <c r="H5" t="str">
        <f>IFERROR(__xludf.DUMMYFUNCTION("""COMPUTED_VALUE"""),"T&amp;S")</f>
        <v>T&amp;S</v>
      </c>
      <c r="I5" t="str">
        <f>IFERROR(__xludf.DUMMYFUNCTION("""COMPUTED_VALUE"""),"Cloud Computing")</f>
        <v>Cloud Computing</v>
      </c>
      <c r="J5" t="str">
        <f>IFERROR(__xludf.DUMMYFUNCTION("""COMPUTED_VALUE"""),"Cloud Development")</f>
        <v>Cloud Development</v>
      </c>
      <c r="K5">
        <f>IFERROR(__xludf.DUMMYFUNCTION("""COMPUTED_VALUE"""),1754098.0)</f>
        <v>1754098</v>
      </c>
      <c r="L5" s="140" t="str">
        <f>IFERROR(__xludf.DUMMYFUNCTION("""COMPUTED_VALUE"""),"The Data Science Course 2022: Complete Data Science Bootcamp")</f>
        <v>The Data Science Course 2022: Complete Data Science Bootcamp</v>
      </c>
    </row>
    <row r="6">
      <c r="A6" s="143">
        <f>IFERROR(__xludf.DUMMYFUNCTION("""COMPUTED_VALUE"""),44579.0)</f>
        <v>44579</v>
      </c>
      <c r="B6">
        <f>IFERROR(__xludf.DUMMYFUNCTION("""COMPUTED_VALUE"""),1188846.0)</f>
        <v>1188846</v>
      </c>
      <c r="C6" t="str">
        <f>IFERROR(__xludf.DUMMYFUNCTION("""COMPUTED_VALUE"""),"en")</f>
        <v>en</v>
      </c>
      <c r="D6" t="str">
        <f>IFERROR(__xludf.DUMMYFUNCTION("""COMPUTED_VALUE"""),"2D Game Artist: Learn GIMP For Game Art")</f>
        <v>2D Game Artist: Learn GIMP For Game Art</v>
      </c>
      <c r="E6" t="str">
        <f>IFERROR(__xludf.DUMMYFUNCTION("""COMPUTED_VALUE"""),"2D Game Artist: Learn GIMP For Game Art")</f>
        <v>2D Game Artist: Learn GIMP For Game Art</v>
      </c>
      <c r="F6">
        <f>IFERROR(__xludf.DUMMYFUNCTION("""COMPUTED_VALUE"""),4355282.0)</f>
        <v>4355282</v>
      </c>
      <c r="G6" t="str">
        <f>IFERROR(__xludf.DUMMYFUNCTION("""COMPUTED_VALUE"""),"Ben Tristem")</f>
        <v>Ben Tristem</v>
      </c>
      <c r="H6" t="str">
        <f>IFERROR(__xludf.DUMMYFUNCTION("""COMPUTED_VALUE"""),"Instructor Request- Opted Out")</f>
        <v>Instructor Request- Opted Out</v>
      </c>
      <c r="I6" t="str">
        <f>IFERROR(__xludf.DUMMYFUNCTION("""COMPUTED_VALUE"""),"Development")</f>
        <v>Development</v>
      </c>
      <c r="J6" s="142" t="str">
        <f>IFERROR(__xludf.DUMMYFUNCTION("""COMPUTED_VALUE"""),"Game Development")</f>
        <v>Game Development</v>
      </c>
    </row>
    <row r="7">
      <c r="A7" s="143">
        <f>IFERROR(__xludf.DUMMYFUNCTION("""COMPUTED_VALUE"""),44580.0)</f>
        <v>44580</v>
      </c>
      <c r="B7">
        <f>IFERROR(__xludf.DUMMYFUNCTION("""COMPUTED_VALUE"""),3501722.0)</f>
        <v>3501722</v>
      </c>
      <c r="C7" t="str">
        <f>IFERROR(__xludf.DUMMYFUNCTION("""COMPUTED_VALUE"""),"de")</f>
        <v>de</v>
      </c>
      <c r="D7" t="str">
        <f>IFERROR(__xludf.DUMMYFUNCTION("""COMPUTED_VALUE"""),"Die ultimative Power BI Masterclass 2022: Der Komplettkurs!")</f>
        <v>Die ultimative Power BI Masterclass 2022: Der Komplettkurs!</v>
      </c>
      <c r="E7" t="str">
        <f>IFERROR(__xludf.DUMMYFUNCTION("""COMPUTED_VALUE"""),"The Ultimate Power Bi Masterclass 2022: The complete course!")</f>
        <v>The Ultimate Power Bi Masterclass 2022: The complete course!</v>
      </c>
      <c r="F7">
        <f>IFERROR(__xludf.DUMMYFUNCTION("""COMPUTED_VALUE"""),1.3313684E8)</f>
        <v>133136840</v>
      </c>
      <c r="G7" t="str">
        <f>IFERROR(__xludf.DUMMYFUNCTION("""COMPUTED_VALUE"""),"Fabio Basler")</f>
        <v>Fabio Basler</v>
      </c>
      <c r="H7" t="str">
        <f>IFERROR(__xludf.DUMMYFUNCTION("""COMPUTED_VALUE"""),"T&amp;S")</f>
        <v>T&amp;S</v>
      </c>
      <c r="I7" t="str">
        <f>IFERROR(__xludf.DUMMYFUNCTION("""COMPUTED_VALUE"""),"Data Science")</f>
        <v>Data Science</v>
      </c>
      <c r="J7" t="str">
        <f>IFERROR(__xludf.DUMMYFUNCTION("""COMPUTED_VALUE"""),"Analytics")</f>
        <v>Analytics</v>
      </c>
    </row>
    <row r="8">
      <c r="A8" s="143">
        <f>IFERROR(__xludf.DUMMYFUNCTION("""COMPUTED_VALUE"""),44580.0)</f>
        <v>44580</v>
      </c>
      <c r="B8">
        <f>IFERROR(__xludf.DUMMYFUNCTION("""COMPUTED_VALUE"""),3736092.0)</f>
        <v>3736092</v>
      </c>
      <c r="C8" t="str">
        <f>IFERROR(__xludf.DUMMYFUNCTION("""COMPUTED_VALUE"""),"de")</f>
        <v>de</v>
      </c>
      <c r="D8" t="str">
        <f>IFERROR(__xludf.DUMMYFUNCTION("""COMPUTED_VALUE"""),"Python Meisterkurs von A-Z: Komplettkurs für Anfänger 2022!")</f>
        <v>Python Meisterkurs von A-Z: Komplettkurs für Anfänger 2022!</v>
      </c>
      <c r="E8" t="str">
        <f>IFERROR(__xludf.DUMMYFUNCTION("""COMPUTED_VALUE"""),"Python master course from A-Z: complete course for beginners 2022!")</f>
        <v>Python master course from A-Z: complete course for beginners 2022!</v>
      </c>
      <c r="F8">
        <f>IFERROR(__xludf.DUMMYFUNCTION("""COMPUTED_VALUE"""),1.18596128E8)</f>
        <v>118596128</v>
      </c>
      <c r="G8" t="str">
        <f>IFERROR(__xludf.DUMMYFUNCTION("""COMPUTED_VALUE"""),"Fabio Basler")</f>
        <v>Fabio Basler</v>
      </c>
      <c r="H8" t="str">
        <f>IFERROR(__xludf.DUMMYFUNCTION("""COMPUTED_VALUE"""),"T&amp;S")</f>
        <v>T&amp;S</v>
      </c>
      <c r="I8" t="str">
        <f>IFERROR(__xludf.DUMMYFUNCTION("""COMPUTED_VALUE"""),"Development")</f>
        <v>Development</v>
      </c>
      <c r="J8" s="142" t="str">
        <f>IFERROR(__xludf.DUMMYFUNCTION("""COMPUTED_VALUE"""),"Programming Languages")</f>
        <v>Programming Languages</v>
      </c>
    </row>
    <row r="9">
      <c r="A9" s="143">
        <f>IFERROR(__xludf.DUMMYFUNCTION("""COMPUTED_VALUE"""),44586.0)</f>
        <v>44586</v>
      </c>
      <c r="B9">
        <f>IFERROR(__xludf.DUMMYFUNCTION("""COMPUTED_VALUE"""),1570368.0)</f>
        <v>1570368</v>
      </c>
      <c r="C9" t="str">
        <f>IFERROR(__xludf.DUMMYFUNCTION("""COMPUTED_VALUE"""),"it")</f>
        <v>it</v>
      </c>
      <c r="D9" t="str">
        <f>IFERROR(__xludf.DUMMYFUNCTION("""COMPUTED_VALUE"""),"PLC : Programmare con CoDeSys V3.5.x da zero")</f>
        <v>PLC : Programmare con CoDeSys V3.5.x da zero</v>
      </c>
      <c r="E9" t="str">
        <f>IFERROR(__xludf.DUMMYFUNCTION("""COMPUTED_VALUE"""),"PLC: program with codesys v3.5.x from scratch")</f>
        <v>PLC: program with codesys v3.5.x from scratch</v>
      </c>
      <c r="F9">
        <f>IFERROR(__xludf.DUMMYFUNCTION("""COMPUTED_VALUE"""),3.9073532E7)</f>
        <v>39073532</v>
      </c>
      <c r="G9" t="str">
        <f>IFERROR(__xludf.DUMMYFUNCTION("""COMPUTED_VALUE"""),"Lorenzo Pattaro")</f>
        <v>Lorenzo Pattaro</v>
      </c>
      <c r="H9" t="str">
        <f>IFERROR(__xludf.DUMMYFUNCTION("""COMPUTED_VALUE"""),"Low Rating")</f>
        <v>Low Rating</v>
      </c>
      <c r="I9" t="str">
        <f>IFERROR(__xludf.DUMMYFUNCTION("""COMPUTED_VALUE"""),"Development")</f>
        <v>Development</v>
      </c>
      <c r="J9" s="142" t="str">
        <f>IFERROR(__xludf.DUMMYFUNCTION("""COMPUTED_VALUE"""),"Programming Languages")</f>
        <v>Programming Languages</v>
      </c>
    </row>
    <row r="10">
      <c r="A10" s="143">
        <f>IFERROR(__xludf.DUMMYFUNCTION("""COMPUTED_VALUE"""),44586.0)</f>
        <v>44586</v>
      </c>
      <c r="B10">
        <f>IFERROR(__xludf.DUMMYFUNCTION("""COMPUTED_VALUE"""),3642838.0)</f>
        <v>3642838</v>
      </c>
      <c r="C10" t="str">
        <f>IFERROR(__xludf.DUMMYFUNCTION("""COMPUTED_VALUE"""),"it")</f>
        <v>it</v>
      </c>
      <c r="D10" t="str">
        <f>IFERROR(__xludf.DUMMYFUNCTION("""COMPUTED_VALUE"""),"VENDITA TELEFONICA PERSUASIVA")</f>
        <v>VENDITA TELEFONICA PERSUASIVA</v>
      </c>
      <c r="E10" t="str">
        <f>IFERROR(__xludf.DUMMYFUNCTION("""COMPUTED_VALUE"""),"Persuasive telephone sales")</f>
        <v>Persuasive telephone sales</v>
      </c>
      <c r="F10">
        <f>IFERROR(__xludf.DUMMYFUNCTION("""COMPUTED_VALUE"""),6.4121098E7)</f>
        <v>64121098</v>
      </c>
      <c r="G10" t="str">
        <f>IFERROR(__xludf.DUMMYFUNCTION("""COMPUTED_VALUE"""),"Coaching Lab")</f>
        <v>Coaching Lab</v>
      </c>
      <c r="H10" t="str">
        <f>IFERROR(__xludf.DUMMYFUNCTION("""COMPUTED_VALUE"""),"Low Rating")</f>
        <v>Low Rating</v>
      </c>
      <c r="I10" t="str">
        <f>IFERROR(__xludf.DUMMYFUNCTION("""COMPUTED_VALUE"""),"Sales")</f>
        <v>Sales</v>
      </c>
      <c r="J10" t="str">
        <f>IFERROR(__xludf.DUMMYFUNCTION("""COMPUTED_VALUE"""),"Sales Skills &amp; Tools")</f>
        <v>Sales Skills &amp; Tools</v>
      </c>
    </row>
    <row r="11">
      <c r="A11" s="143">
        <f>IFERROR(__xludf.DUMMYFUNCTION("""COMPUTED_VALUE"""),44586.0)</f>
        <v>44586</v>
      </c>
      <c r="B11">
        <f>IFERROR(__xludf.DUMMYFUNCTION("""COMPUTED_VALUE"""),3656168.0)</f>
        <v>3656168</v>
      </c>
      <c r="C11" t="str">
        <f>IFERROR(__xludf.DUMMYFUNCTION("""COMPUTED_VALUE"""),"it")</f>
        <v>it</v>
      </c>
      <c r="D11" t="str">
        <f>IFERROR(__xludf.DUMMYFUNCTION("""COMPUTED_VALUE"""),"Strategie di Trading Online pronte all'uso")</f>
        <v>Strategie di Trading Online pronte all'uso</v>
      </c>
      <c r="E11" t="str">
        <f>IFERROR(__xludf.DUMMYFUNCTION("""COMPUTED_VALUE"""),"Online Trading Strategies Ready to use")</f>
        <v>Online Trading Strategies Ready to use</v>
      </c>
      <c r="F11">
        <f>IFERROR(__xludf.DUMMYFUNCTION("""COMPUTED_VALUE"""),5.0213358E7)</f>
        <v>50213358</v>
      </c>
      <c r="G11" t="str">
        <f>IFERROR(__xludf.DUMMYFUNCTION("""COMPUTED_VALUE"""),"Gianluca Sidoti")</f>
        <v>Gianluca Sidoti</v>
      </c>
      <c r="H11" t="str">
        <f>IFERROR(__xludf.DUMMYFUNCTION("""COMPUTED_VALUE"""),"Low Rating")</f>
        <v>Low Rating</v>
      </c>
      <c r="I11" t="str">
        <f>IFERROR(__xludf.DUMMYFUNCTION("""COMPUTED_VALUE"""),"Finance &amp; Accounting")</f>
        <v>Finance &amp; Accounting</v>
      </c>
      <c r="J11" t="str">
        <f>IFERROR(__xludf.DUMMYFUNCTION("""COMPUTED_VALUE"""),"Finance Fundamentals")</f>
        <v>Finance Fundamentals</v>
      </c>
    </row>
    <row r="12">
      <c r="A12" s="143">
        <f>IFERROR(__xludf.DUMMYFUNCTION("""COMPUTED_VALUE"""),44586.0)</f>
        <v>44586</v>
      </c>
      <c r="B12">
        <f>IFERROR(__xludf.DUMMYFUNCTION("""COMPUTED_VALUE"""),3978766.0)</f>
        <v>3978766</v>
      </c>
      <c r="C12" t="str">
        <f>IFERROR(__xludf.DUMMYFUNCTION("""COMPUTED_VALUE"""),"it")</f>
        <v>it</v>
      </c>
      <c r="D12" t="str">
        <f>IFERROR(__xludf.DUMMYFUNCTION("""COMPUTED_VALUE"""),"Potere Personale - Le leve del Coaching per il Successo")</f>
        <v>Potere Personale - Le leve del Coaching per il Successo</v>
      </c>
      <c r="E12" t="str">
        <f>IFERROR(__xludf.DUMMYFUNCTION("""COMPUTED_VALUE"""),"Personal power - coaching levers for success")</f>
        <v>Personal power - coaching levers for success</v>
      </c>
      <c r="F12">
        <f>IFERROR(__xludf.DUMMYFUNCTION("""COMPUTED_VALUE"""),1.38449082E8)</f>
        <v>138449082</v>
      </c>
      <c r="G12" t="str">
        <f>IFERROR(__xludf.DUMMYFUNCTION("""COMPUTED_VALUE"""),"D ACADEMY")</f>
        <v>D ACADEMY</v>
      </c>
      <c r="H12" t="str">
        <f>IFERROR(__xludf.DUMMYFUNCTION("""COMPUTED_VALUE"""),"Low Rating")</f>
        <v>Low Rating</v>
      </c>
      <c r="I12" t="str">
        <f>IFERROR(__xludf.DUMMYFUNCTION("""COMPUTED_VALUE"""),"Personal Development")</f>
        <v>Personal Development</v>
      </c>
      <c r="J12" t="str">
        <f>IFERROR(__xludf.DUMMYFUNCTION("""COMPUTED_VALUE"""),"Personal Growth")</f>
        <v>Personal Growth</v>
      </c>
    </row>
    <row r="13">
      <c r="A13" s="143">
        <f>IFERROR(__xludf.DUMMYFUNCTION("""COMPUTED_VALUE"""),44586.0)</f>
        <v>44586</v>
      </c>
      <c r="B13">
        <f>IFERROR(__xludf.DUMMYFUNCTION("""COMPUTED_VALUE"""),3601182.0)</f>
        <v>3601182</v>
      </c>
      <c r="C13" t="str">
        <f>IFERROR(__xludf.DUMMYFUNCTION("""COMPUTED_VALUE"""),"it")</f>
        <v>it</v>
      </c>
      <c r="D13" t="str">
        <f>IFERROR(__xludf.DUMMYFUNCTION("""COMPUTED_VALUE"""),"GDPR Fundamentals")</f>
        <v>GDPR Fundamentals</v>
      </c>
      <c r="E13" t="str">
        <f>IFERROR(__xludf.DUMMYFUNCTION("""COMPUTED_VALUE"""),"GDPR Fundamentals")</f>
        <v>GDPR Fundamentals</v>
      </c>
      <c r="F13">
        <f>IFERROR(__xludf.DUMMYFUNCTION("""COMPUTED_VALUE"""),1.27950842E8)</f>
        <v>127950842</v>
      </c>
      <c r="G13" t="str">
        <f>IFERROR(__xludf.DUMMYFUNCTION("""COMPUTED_VALUE"""),"Exprivia S.p.a.")</f>
        <v>Exprivia S.p.a.</v>
      </c>
      <c r="H13" t="str">
        <f>IFERROR(__xludf.DUMMYFUNCTION("""COMPUTED_VALUE"""),"Low Rating")</f>
        <v>Low Rating</v>
      </c>
      <c r="I13" t="str">
        <f>IFERROR(__xludf.DUMMYFUNCTION("""COMPUTED_VALUE"""),"IT Operations")</f>
        <v>IT Operations</v>
      </c>
      <c r="J13" t="str">
        <f>IFERROR(__xludf.DUMMYFUNCTION("""COMPUTED_VALUE"""),"IT Certifications")</f>
        <v>IT Certifications</v>
      </c>
    </row>
    <row r="14">
      <c r="A14" s="143">
        <f>IFERROR(__xludf.DUMMYFUNCTION("""COMPUTED_VALUE"""),44586.0)</f>
        <v>44586</v>
      </c>
      <c r="B14">
        <f>IFERROR(__xludf.DUMMYFUNCTION("""COMPUTED_VALUE"""),2962074.0)</f>
        <v>2962074</v>
      </c>
      <c r="C14" t="str">
        <f>IFERROR(__xludf.DUMMYFUNCTION("""COMPUTED_VALUE"""),"it")</f>
        <v>it</v>
      </c>
      <c r="D14" t="str">
        <f>IFERROR(__xludf.DUMMYFUNCTION("""COMPUTED_VALUE"""),"Corso per Impiegato Commerciale con esempi report Excel")</f>
        <v>Corso per Impiegato Commerciale con esempi report Excel</v>
      </c>
      <c r="E14" t="str">
        <f>IFERROR(__xludf.DUMMYFUNCTION("""COMPUTED_VALUE"""),"Course for Commercial Employee with Excel Examples")</f>
        <v>Course for Commercial Employee with Excel Examples</v>
      </c>
      <c r="F14">
        <f>IFERROR(__xludf.DUMMYFUNCTION("""COMPUTED_VALUE"""),1.10469208E8)</f>
        <v>110469208</v>
      </c>
      <c r="G14" t="str">
        <f>IFERROR(__xludf.DUMMYFUNCTION("""COMPUTED_VALUE"""),"Enrica Gonella")</f>
        <v>Enrica Gonella</v>
      </c>
      <c r="H14" t="str">
        <f>IFERROR(__xludf.DUMMYFUNCTION("""COMPUTED_VALUE"""),"Low Rating")</f>
        <v>Low Rating</v>
      </c>
      <c r="I14" t="str">
        <f>IFERROR(__xludf.DUMMYFUNCTION("""COMPUTED_VALUE"""),"Office Productivity")</f>
        <v>Office Productivity</v>
      </c>
      <c r="J14" t="str">
        <f>IFERROR(__xludf.DUMMYFUNCTION("""COMPUTED_VALUE"""),"Spreadsheets")</f>
        <v>Spreadsheets</v>
      </c>
    </row>
    <row r="15">
      <c r="A15" s="143">
        <f>IFERROR(__xludf.DUMMYFUNCTION("""COMPUTED_VALUE"""),44586.0)</f>
        <v>44586</v>
      </c>
      <c r="B15">
        <f>IFERROR(__xludf.DUMMYFUNCTION("""COMPUTED_VALUE"""),3681076.0)</f>
        <v>3681076</v>
      </c>
      <c r="C15" t="str">
        <f>IFERROR(__xludf.DUMMYFUNCTION("""COMPUTED_VALUE"""),"it")</f>
        <v>it</v>
      </c>
      <c r="D15" t="str">
        <f>IFERROR(__xludf.DUMMYFUNCTION("""COMPUTED_VALUE"""),"Instagram 2021 - Digital Marketing e Strategie di Crescita")</f>
        <v>Instagram 2021 - Digital Marketing e Strategie di Crescita</v>
      </c>
      <c r="E15" t="str">
        <f>IFERROR(__xludf.DUMMYFUNCTION("""COMPUTED_VALUE"""),"Instagram 2021 - Digital Marketing and Growth Strategies")</f>
        <v>Instagram 2021 - Digital Marketing and Growth Strategies</v>
      </c>
      <c r="F15">
        <f>IFERROR(__xludf.DUMMYFUNCTION("""COMPUTED_VALUE"""),6.2393414E7)</f>
        <v>62393414</v>
      </c>
      <c r="G15" t="str">
        <f>IFERROR(__xludf.DUMMYFUNCTION("""COMPUTED_VALUE"""),"Francesca Simone")</f>
        <v>Francesca Simone</v>
      </c>
      <c r="H15" t="str">
        <f>IFERROR(__xludf.DUMMYFUNCTION("""COMPUTED_VALUE"""),"Low Rating")</f>
        <v>Low Rating</v>
      </c>
      <c r="I15" t="str">
        <f>IFERROR(__xludf.DUMMYFUNCTION("""COMPUTED_VALUE"""),"Marketing")</f>
        <v>Marketing</v>
      </c>
      <c r="J15" t="str">
        <f>IFERROR(__xludf.DUMMYFUNCTION("""COMPUTED_VALUE"""),"Social Media Marketing")</f>
        <v>Social Media Marketing</v>
      </c>
    </row>
    <row r="16">
      <c r="A16" s="143">
        <f>IFERROR(__xludf.DUMMYFUNCTION("""COMPUTED_VALUE"""),44586.0)</f>
        <v>44586</v>
      </c>
      <c r="B16">
        <f>IFERROR(__xludf.DUMMYFUNCTION("""COMPUTED_VALUE"""),1628858.0)</f>
        <v>1628858</v>
      </c>
      <c r="C16" t="str">
        <f>IFERROR(__xludf.DUMMYFUNCTION("""COMPUTED_VALUE"""),"it")</f>
        <v>it</v>
      </c>
      <c r="D16" t="str">
        <f>IFERROR(__xludf.DUMMYFUNCTION("""COMPUTED_VALUE"""),"Il corso completo su Bitcoin e Blockchain")</f>
        <v>Il corso completo su Bitcoin e Blockchain</v>
      </c>
      <c r="E16" t="str">
        <f>IFERROR(__xludf.DUMMYFUNCTION("""COMPUTED_VALUE"""),"The complete course on Bitcoin and Blockchain")</f>
        <v>The complete course on Bitcoin and Blockchain</v>
      </c>
      <c r="F16">
        <f>IFERROR(__xludf.DUMMYFUNCTION("""COMPUTED_VALUE"""),4.6506908E7)</f>
        <v>46506908</v>
      </c>
      <c r="G16" t="str">
        <f>IFERROR(__xludf.DUMMYFUNCTION("""COMPUTED_VALUE"""),"Nicolò Molfetta")</f>
        <v>Nicolò Molfetta</v>
      </c>
      <c r="H16" t="str">
        <f>IFERROR(__xludf.DUMMYFUNCTION("""COMPUTED_VALUE"""),"Low Rating")</f>
        <v>Low Rating</v>
      </c>
      <c r="I16" t="str">
        <f>IFERROR(__xludf.DUMMYFUNCTION("""COMPUTED_VALUE"""),"Finance &amp; Accounting")</f>
        <v>Finance &amp; Accounting</v>
      </c>
      <c r="J16" t="str">
        <f>IFERROR(__xludf.DUMMYFUNCTION("""COMPUTED_VALUE"""),"Financial Modeling &amp; Analysis")</f>
        <v>Financial Modeling &amp; Analysis</v>
      </c>
    </row>
    <row r="17">
      <c r="A17" s="143">
        <f>IFERROR(__xludf.DUMMYFUNCTION("""COMPUTED_VALUE"""),44586.0)</f>
        <v>44586</v>
      </c>
      <c r="B17">
        <f>IFERROR(__xludf.DUMMYFUNCTION("""COMPUTED_VALUE"""),1148806.0)</f>
        <v>1148806</v>
      </c>
      <c r="C17" t="str">
        <f>IFERROR(__xludf.DUMMYFUNCTION("""COMPUTED_VALUE"""),"it")</f>
        <v>it</v>
      </c>
      <c r="D17" t="str">
        <f>IFERROR(__xludf.DUMMYFUNCTION("""COMPUTED_VALUE"""),"Comunicazione Non Verbale sul lavoro - 35 errori da evitare")</f>
        <v>Comunicazione Non Verbale sul lavoro - 35 errori da evitare</v>
      </c>
      <c r="E17" t="str">
        <f>IFERROR(__xludf.DUMMYFUNCTION("""COMPUTED_VALUE"""),"Non-verbal communication at work - 35 errors to avoid")</f>
        <v>Non-verbal communication at work - 35 errors to avoid</v>
      </c>
      <c r="F17">
        <f>IFERROR(__xludf.DUMMYFUNCTION("""COMPUTED_VALUE"""),2.1213006E7)</f>
        <v>21213006</v>
      </c>
      <c r="G17" t="str">
        <f>IFERROR(__xludf.DUMMYFUNCTION("""COMPUTED_VALUE"""),"FYM srl FORMazione in AZIONE")</f>
        <v>FYM srl FORMazione in AZIONE</v>
      </c>
      <c r="H17" t="str">
        <f>IFERROR(__xludf.DUMMYFUNCTION("""COMPUTED_VALUE"""),"Low Rating")</f>
        <v>Low Rating</v>
      </c>
      <c r="I17" t="str">
        <f>IFERROR(__xludf.DUMMYFUNCTION("""COMPUTED_VALUE"""),"Leadership &amp; Management")</f>
        <v>Leadership &amp; Management</v>
      </c>
      <c r="J17" t="str">
        <f>IFERROR(__xludf.DUMMYFUNCTION("""COMPUTED_VALUE"""),"Communication")</f>
        <v>Communication</v>
      </c>
    </row>
    <row r="18">
      <c r="A18" s="143">
        <f>IFERROR(__xludf.DUMMYFUNCTION("""COMPUTED_VALUE"""),44586.0)</f>
        <v>44586</v>
      </c>
      <c r="B18">
        <f>IFERROR(__xludf.DUMMYFUNCTION("""COMPUTED_VALUE"""),3730394.0)</f>
        <v>3730394</v>
      </c>
      <c r="C18" t="str">
        <f>IFERROR(__xludf.DUMMYFUNCTION("""COMPUTED_VALUE"""),"it")</f>
        <v>it</v>
      </c>
      <c r="D18" t="str">
        <f>IFERROR(__xludf.DUMMYFUNCTION("""COMPUTED_VALUE"""),"Corso per creare App senza essere programmatori Gratis")</f>
        <v>Corso per creare App senza essere programmatori Gratis</v>
      </c>
      <c r="E18" t="str">
        <f>IFERROR(__xludf.DUMMYFUNCTION("""COMPUTED_VALUE"""),"Course to create apps without being free programmers")</f>
        <v>Course to create apps without being free programmers</v>
      </c>
      <c r="F18">
        <f>IFERROR(__xludf.DUMMYFUNCTION("""COMPUTED_VALUE"""),1.45677778E8)</f>
        <v>145677778</v>
      </c>
      <c r="G18" t="str">
        <f>IFERROR(__xludf.DUMMYFUNCTION("""COMPUTED_VALUE"""),"Guglio Willa")</f>
        <v>Guglio Willa</v>
      </c>
      <c r="H18" t="str">
        <f>IFERROR(__xludf.DUMMYFUNCTION("""COMPUTED_VALUE"""),"Low Rating")</f>
        <v>Low Rating</v>
      </c>
      <c r="I18" t="str">
        <f>IFERROR(__xludf.DUMMYFUNCTION("""COMPUTED_VALUE"""),"Development")</f>
        <v>Development</v>
      </c>
      <c r="J18" t="str">
        <f>IFERROR(__xludf.DUMMYFUNCTION("""COMPUTED_VALUE"""),"Development Tools")</f>
        <v>Development Tools</v>
      </c>
    </row>
    <row r="19">
      <c r="A19" s="143">
        <f>IFERROR(__xludf.DUMMYFUNCTION("""COMPUTED_VALUE"""),44586.0)</f>
        <v>44586</v>
      </c>
      <c r="B19">
        <f>IFERROR(__xludf.DUMMYFUNCTION("""COMPUTED_VALUE"""),3075584.0)</f>
        <v>3075584</v>
      </c>
      <c r="C19" t="str">
        <f>IFERROR(__xludf.DUMMYFUNCTION("""COMPUTED_VALUE"""),"it")</f>
        <v>it</v>
      </c>
      <c r="D19" t="str">
        <f>IFERROR(__xludf.DUMMYFUNCTION("""COMPUTED_VALUE"""),"Corso base sul CRM: migliora la relazione con il cliente")</f>
        <v>Corso base sul CRM: migliora la relazione con il cliente</v>
      </c>
      <c r="E19" t="str">
        <f>IFERROR(__xludf.DUMMYFUNCTION("""COMPUTED_VALUE"""),"Basic CRM course: improves the relationship with the customer")</f>
        <v>Basic CRM course: improves the relationship with the customer</v>
      </c>
      <c r="F19">
        <f>IFERROR(__xludf.DUMMYFUNCTION("""COMPUTED_VALUE"""),1.10469208E8)</f>
        <v>110469208</v>
      </c>
      <c r="G19" t="str">
        <f>IFERROR(__xludf.DUMMYFUNCTION("""COMPUTED_VALUE"""),"Enrica Gonella")</f>
        <v>Enrica Gonella</v>
      </c>
      <c r="H19" t="str">
        <f>IFERROR(__xludf.DUMMYFUNCTION("""COMPUTED_VALUE"""),"Low Rating")</f>
        <v>Low Rating</v>
      </c>
      <c r="I19" t="str">
        <f>IFERROR(__xludf.DUMMYFUNCTION("""COMPUTED_VALUE"""),"Leadership &amp; Management")</f>
        <v>Leadership &amp; Management</v>
      </c>
      <c r="J19" t="str">
        <f>IFERROR(__xludf.DUMMYFUNCTION("""COMPUTED_VALUE"""),"Strategy")</f>
        <v>Strategy</v>
      </c>
    </row>
    <row r="20">
      <c r="A20" s="141">
        <f>IFERROR(__xludf.DUMMYFUNCTION("""COMPUTED_VALUE"""),44592.0)</f>
        <v>44592</v>
      </c>
      <c r="B20">
        <f>IFERROR(__xludf.DUMMYFUNCTION("""COMPUTED_VALUE"""),3457204.0)</f>
        <v>3457204</v>
      </c>
      <c r="C20" t="str">
        <f>IFERROR(__xludf.DUMMYFUNCTION("""COMPUTED_VALUE"""),"ja")</f>
        <v>ja</v>
      </c>
      <c r="D20" t="str">
        <f>IFERROR(__xludf.DUMMYFUNCTION("""COMPUTED_VALUE"""),"米シリコンバレーDevOps監修！Istio Service Mesh ハンズオン+Kubernetes AWS EKS")</f>
        <v>米シリコンバレーDevOps監修！Istio Service Mesh ハンズオン+Kubernetes AWS EKS</v>
      </c>
      <c r="E20" t="str">
        <f>IFERROR(__xludf.DUMMYFUNCTION("""COMPUTED_VALUE"""),"US Silicon Valley Devops supervision! ISTIO SERVICE MESH Hands-on + KUBERNETES AWS EKS")</f>
        <v>US Silicon Valley Devops supervision! ISTIO SERVICE MESH Hands-on + KUBERNETES AWS EKS</v>
      </c>
      <c r="F20">
        <f>IFERROR(__xludf.DUMMYFUNCTION("""COMPUTED_VALUE"""),1.10924584E8)</f>
        <v>110924584</v>
      </c>
      <c r="G20" t="str">
        <f>IFERROR(__xludf.DUMMYFUNCTION("""COMPUTED_VALUE"""),"CS Career Kaizen (元Microsoft現シリバレエンジニア)")</f>
        <v>CS Career Kaizen (元Microsoft現シリバレエンジニア)</v>
      </c>
      <c r="H20" t="str">
        <f>IFERROR(__xludf.DUMMYFUNCTION("""COMPUTED_VALUE"""),"Instructor Request- Opted Out")</f>
        <v>Instructor Request- Opted Out</v>
      </c>
      <c r="I20" s="142" t="str">
        <f>IFERROR(__xludf.DUMMYFUNCTION("""COMPUTED_VALUE"""),"IT Operations")</f>
        <v>IT Operations</v>
      </c>
      <c r="J20" s="142" t="str">
        <f>IFERROR(__xludf.DUMMYFUNCTION("""COMPUTED_VALUE"""),"Network &amp; Security")</f>
        <v>Network &amp; Security</v>
      </c>
    </row>
    <row r="21">
      <c r="A21" s="141">
        <f>IFERROR(__xludf.DUMMYFUNCTION("""COMPUTED_VALUE"""),44592.0)</f>
        <v>44592</v>
      </c>
      <c r="B21">
        <f>IFERROR(__xludf.DUMMYFUNCTION("""COMPUTED_VALUE"""),2966640.0)</f>
        <v>2966640</v>
      </c>
      <c r="C21" t="str">
        <f>IFERROR(__xludf.DUMMYFUNCTION("""COMPUTED_VALUE"""),"ja")</f>
        <v>ja</v>
      </c>
      <c r="D21" t="str">
        <f>IFERROR(__xludf.DUMMYFUNCTION("""COMPUTED_VALUE"""),"シリコンバレーエンジニア監修！GAFAデータ構造コーディング試験入門in Java &amp; Python【やさしい図解説付】")</f>
        <v>シリコンバレーエンジニア監修！GAFAデータ構造コーディング試験入門in Java &amp; Python【やさしい図解説付】</v>
      </c>
      <c r="E21" t="str">
        <f>IFERROR(__xludf.DUMMYFUNCTION("""COMPUTED_VALUE"""),"Silicon Valley Engineer Supervisor! GAFA Data Structure Coding Examination Introduction in Java &amp; Python 【With a gentle illustration】")</f>
        <v>Silicon Valley Engineer Supervisor! GAFA Data Structure Coding Examination Introduction in Java &amp; Python 【With a gentle illustration】</v>
      </c>
      <c r="F21">
        <f>IFERROR(__xludf.DUMMYFUNCTION("""COMPUTED_VALUE"""),1.10924584E8)</f>
        <v>110924584</v>
      </c>
      <c r="G21" t="str">
        <f>IFERROR(__xludf.DUMMYFUNCTION("""COMPUTED_VALUE"""),"CS Career Kaizen (元Microsoft現シリバレエンジニア)")</f>
        <v>CS Career Kaizen (元Microsoft現シリバレエンジニア)</v>
      </c>
      <c r="H21" t="str">
        <f>IFERROR(__xludf.DUMMYFUNCTION("""COMPUTED_VALUE"""),"Instructor Request- Opted Out")</f>
        <v>Instructor Request- Opted Out</v>
      </c>
      <c r="I21" s="142" t="str">
        <f>IFERROR(__xludf.DUMMYFUNCTION("""COMPUTED_VALUE"""),"Development")</f>
        <v>Development</v>
      </c>
      <c r="J21" s="142" t="str">
        <f>IFERROR(__xludf.DUMMYFUNCTION("""COMPUTED_VALUE"""),"Database Design &amp; Development")</f>
        <v>Database Design &amp; Development</v>
      </c>
    </row>
    <row r="22">
      <c r="A22" s="141">
        <f>IFERROR(__xludf.DUMMYFUNCTION("""COMPUTED_VALUE"""),44592.0)</f>
        <v>44592</v>
      </c>
      <c r="B22">
        <f>IFERROR(__xludf.DUMMYFUNCTION("""COMPUTED_VALUE"""),3345950.0)</f>
        <v>3345950</v>
      </c>
      <c r="C22" t="str">
        <f>IFERROR(__xludf.DUMMYFUNCTION("""COMPUTED_VALUE"""),"ja")</f>
        <v>ja</v>
      </c>
      <c r="D22" t="str">
        <f>IFERROR(__xludf.DUMMYFUNCTION("""COMPUTED_VALUE"""),"米シリコンバレーエンジニア監修！AWS EKS KubernetesハンズオンBest Practices (2020)")</f>
        <v>米シリコンバレーエンジニア監修！AWS EKS KubernetesハンズオンBest Practices (2020)</v>
      </c>
      <c r="E22" t="str">
        <f>IFERROR(__xludf.DUMMYFUNCTION("""COMPUTED_VALUE"""),"Rice Silicon Valley Engineer Supervisor! AWS EKS KUBERNETES Hands On Best Practices (2020)")</f>
        <v>Rice Silicon Valley Engineer Supervisor! AWS EKS KUBERNETES Hands On Best Practices (2020)</v>
      </c>
      <c r="F22">
        <f>IFERROR(__xludf.DUMMYFUNCTION("""COMPUTED_VALUE"""),1.10924584E8)</f>
        <v>110924584</v>
      </c>
      <c r="G22" t="str">
        <f>IFERROR(__xludf.DUMMYFUNCTION("""COMPUTED_VALUE"""),"CS Career Kaizen (元Microsoft現シリバレエンジニア)")</f>
        <v>CS Career Kaizen (元Microsoft現シリバレエンジニア)</v>
      </c>
      <c r="H22" t="str">
        <f>IFERROR(__xludf.DUMMYFUNCTION("""COMPUTED_VALUE"""),"Instructor Request- Opted Out")</f>
        <v>Instructor Request- Opted Out</v>
      </c>
      <c r="I22" s="142" t="str">
        <f>IFERROR(__xludf.DUMMYFUNCTION("""COMPUTED_VALUE"""),"Development")</f>
        <v>Development</v>
      </c>
      <c r="J22" s="142" t="str">
        <f>IFERROR(__xludf.DUMMYFUNCTION("""COMPUTED_VALUE"""),"Development Tools")</f>
        <v>Development Tools</v>
      </c>
    </row>
    <row r="23">
      <c r="A23" s="141">
        <f>IFERROR(__xludf.DUMMYFUNCTION("""COMPUTED_VALUE"""),44592.0)</f>
        <v>44592</v>
      </c>
      <c r="B23">
        <f>IFERROR(__xludf.DUMMYFUNCTION("""COMPUTED_VALUE"""),2481326.0)</f>
        <v>2481326</v>
      </c>
      <c r="C23" t="str">
        <f>IFERROR(__xludf.DUMMYFUNCTION("""COMPUTED_VALUE"""),"en")</f>
        <v>en</v>
      </c>
      <c r="D23" t="str">
        <f>IFERROR(__xludf.DUMMYFUNCTION("""COMPUTED_VALUE"""),"Medical Coding: ICD-10-CM Essentials")</f>
        <v>Medical Coding: ICD-10-CM Essentials</v>
      </c>
      <c r="E23" t="str">
        <f>IFERROR(__xludf.DUMMYFUNCTION("""COMPUTED_VALUE"""),"Medical Coding: ICD-10-CM Essentials")</f>
        <v>Medical Coding: ICD-10-CM Essentials</v>
      </c>
      <c r="F23">
        <f>IFERROR(__xludf.DUMMYFUNCTION("""COMPUTED_VALUE"""),7.4267114E7)</f>
        <v>74267114</v>
      </c>
      <c r="G23" t="str">
        <f>IFERROR(__xludf.DUMMYFUNCTION("""COMPUTED_VALUE"""),"Victoria Moll")</f>
        <v>Victoria Moll</v>
      </c>
      <c r="H23" t="str">
        <f>IFERROR(__xludf.DUMMYFUNCTION("""COMPUTED_VALUE"""),"Instructor Request- Opted Out")</f>
        <v>Instructor Request- Opted Out</v>
      </c>
      <c r="I23" s="142" t="str">
        <f>IFERROR(__xludf.DUMMYFUNCTION("""COMPUTED_VALUE"""),"Personal Development")</f>
        <v>Personal Development</v>
      </c>
      <c r="J23" s="142" t="str">
        <f>IFERROR(__xludf.DUMMYFUNCTION("""COMPUTED_VALUE"""),"Health &amp; Fitness")</f>
        <v>Health &amp; Fitness</v>
      </c>
      <c r="L23" s="140" t="str">
        <f>IFERROR(__xludf.DUMMYFUNCTION("""COMPUTED_VALUE"""),"")</f>
        <v/>
      </c>
      <c r="N23" s="140" t="str">
        <f>IFERROR(__xludf.DUMMYFUNCTION("""COMPUTED_VALUE"""),"")</f>
        <v/>
      </c>
    </row>
    <row r="24">
      <c r="A24" s="141">
        <f>IFERROR(__xludf.DUMMYFUNCTION("""COMPUTED_VALUE"""),44592.0)</f>
        <v>44592</v>
      </c>
      <c r="B24">
        <f>IFERROR(__xludf.DUMMYFUNCTION("""COMPUTED_VALUE"""),1596138.0)</f>
        <v>1596138</v>
      </c>
      <c r="C24" t="str">
        <f>IFERROR(__xludf.DUMMYFUNCTION("""COMPUTED_VALUE"""),"en")</f>
        <v>en</v>
      </c>
      <c r="D24" t="str">
        <f>IFERROR(__xludf.DUMMYFUNCTION("""COMPUTED_VALUE"""),"TOTAL: CompTIA Security+ Certification (SY0-501)")</f>
        <v>TOTAL: CompTIA Security+ Certification (SY0-501)</v>
      </c>
      <c r="E24" t="str">
        <f>IFERROR(__xludf.DUMMYFUNCTION("""COMPUTED_VALUE"""),"TOTAL: CompTIA Security+ Certification (SY0-501)")</f>
        <v>TOTAL: CompTIA Security+ Certification (SY0-501)</v>
      </c>
      <c r="F24">
        <f>IFERROR(__xludf.DUMMYFUNCTION("""COMPUTED_VALUE"""),1.6569604E7)</f>
        <v>16569604</v>
      </c>
      <c r="G24" t="str">
        <f>IFERROR(__xludf.DUMMYFUNCTION("""COMPUTED_VALUE"""),"Total Seminars • 750,000+ Enrollments")</f>
        <v>Total Seminars • 750,000+ Enrollments</v>
      </c>
      <c r="H24" t="str">
        <f>IFERROR(__xludf.DUMMYFUNCTION("""COMPUTED_VALUE"""),"Instructor Request- Opted Out")</f>
        <v>Instructor Request- Opted Out</v>
      </c>
      <c r="I24" s="142" t="str">
        <f>IFERROR(__xludf.DUMMYFUNCTION("""COMPUTED_VALUE"""),"IT Operations")</f>
        <v>IT Operations</v>
      </c>
      <c r="J24" s="142" t="str">
        <f>IFERROR(__xludf.DUMMYFUNCTION("""COMPUTED_VALUE"""),"IT Certifications")</f>
        <v>IT Certifications</v>
      </c>
      <c r="L24" s="140" t="str">
        <f>IFERROR(__xludf.DUMMYFUNCTION("""COMPUTED_VALUE"""),"")</f>
        <v/>
      </c>
      <c r="N24" s="140" t="str">
        <f>IFERROR(__xludf.DUMMYFUNCTION("""COMPUTED_VALUE"""),"")</f>
        <v/>
      </c>
    </row>
    <row r="25">
      <c r="A25" s="141">
        <f>IFERROR(__xludf.DUMMYFUNCTION("""COMPUTED_VALUE"""),44592.0)</f>
        <v>44592</v>
      </c>
      <c r="B25">
        <f>IFERROR(__xludf.DUMMYFUNCTION("""COMPUTED_VALUE"""),3448856.0)</f>
        <v>3448856</v>
      </c>
      <c r="C25" t="str">
        <f>IFERROR(__xludf.DUMMYFUNCTION("""COMPUTED_VALUE"""),"en")</f>
        <v>en</v>
      </c>
      <c r="D25" t="str">
        <f>IFERROR(__xludf.DUMMYFUNCTION("""COMPUTED_VALUE"""),"Complete Istio Service Mesh (1.8) Masterclass + AWS EKS 2020")</f>
        <v>Complete Istio Service Mesh (1.8) Masterclass + AWS EKS 2020</v>
      </c>
      <c r="E25" t="str">
        <f>IFERROR(__xludf.DUMMYFUNCTION("""COMPUTED_VALUE"""),"Complete Istio Service Mesh (1.8) Masterclass + AWS EKS 2020")</f>
        <v>Complete Istio Service Mesh (1.8) Masterclass + AWS EKS 2020</v>
      </c>
      <c r="F25">
        <f>IFERROR(__xludf.DUMMYFUNCTION("""COMPUTED_VALUE"""),1.10924584E8)</f>
        <v>110924584</v>
      </c>
      <c r="G25" t="str">
        <f>IFERROR(__xludf.DUMMYFUNCTION("""COMPUTED_VALUE"""),"CS Career Kaizen (元Microsoft現シリバレエンジニア)")</f>
        <v>CS Career Kaizen (元Microsoft現シリバレエンジニア)</v>
      </c>
      <c r="H25" t="str">
        <f>IFERROR(__xludf.DUMMYFUNCTION("""COMPUTED_VALUE"""),"Instructor Request- Revenue")</f>
        <v>Instructor Request- Revenue</v>
      </c>
      <c r="I25" s="142" t="str">
        <f>IFERROR(__xludf.DUMMYFUNCTION("""COMPUTED_VALUE"""),"Development")</f>
        <v>Development</v>
      </c>
      <c r="J25" s="142" t="str">
        <f>IFERROR(__xludf.DUMMYFUNCTION("""COMPUTED_VALUE"""),"Development Tools")</f>
        <v>Development Tools</v>
      </c>
      <c r="L25" s="140" t="str">
        <f>IFERROR(__xludf.DUMMYFUNCTION("""COMPUTED_VALUE"""),"")</f>
        <v/>
      </c>
      <c r="N25" s="140" t="str">
        <f>IFERROR(__xludf.DUMMYFUNCTION("""COMPUTED_VALUE"""),"")</f>
        <v/>
      </c>
    </row>
    <row r="26">
      <c r="A26" s="141">
        <f>IFERROR(__xludf.DUMMYFUNCTION("""COMPUTED_VALUE"""),44592.0)</f>
        <v>44592</v>
      </c>
      <c r="B26">
        <f>IFERROR(__xludf.DUMMYFUNCTION("""COMPUTED_VALUE"""),101928.0)</f>
        <v>101928</v>
      </c>
      <c r="C26" t="str">
        <f>IFERROR(__xludf.DUMMYFUNCTION("""COMPUTED_VALUE"""),"en")</f>
        <v>en</v>
      </c>
      <c r="D26" t="str">
        <f>IFERROR(__xludf.DUMMYFUNCTION("""COMPUTED_VALUE"""),"Product Management &amp; Marketing: Personas")</f>
        <v>Product Management &amp; Marketing: Personas</v>
      </c>
      <c r="E26" t="str">
        <f>IFERROR(__xludf.DUMMYFUNCTION("""COMPUTED_VALUE"""),"Product Management &amp; Marketing: Personas")</f>
        <v>Product Management &amp; Marketing: Personas</v>
      </c>
      <c r="F26">
        <f>IFERROR(__xludf.DUMMYFUNCTION("""COMPUTED_VALUE"""),1970044.0)</f>
        <v>1970044</v>
      </c>
      <c r="G26" t="str">
        <f>IFERROR(__xludf.DUMMYFUNCTION("""COMPUTED_VALUE"""),"David Fradin")</f>
        <v>David Fradin</v>
      </c>
      <c r="H26" t="str">
        <f>IFERROR(__xludf.DUMMYFUNCTION("""COMPUTED_VALUE"""),"Low Rating")</f>
        <v>Low Rating</v>
      </c>
      <c r="I26" s="142" t="str">
        <f>IFERROR(__xludf.DUMMYFUNCTION("""COMPUTED_VALUE"""),"Marketing")</f>
        <v>Marketing</v>
      </c>
      <c r="J26" s="142" t="str">
        <f>IFERROR(__xludf.DUMMYFUNCTION("""COMPUTED_VALUE"""),"Marketing Strategy")</f>
        <v>Marketing Strategy</v>
      </c>
      <c r="K26">
        <f>IFERROR(__xludf.DUMMYFUNCTION("""COMPUTED_VALUE"""),673654.0)</f>
        <v>673654</v>
      </c>
      <c r="L26" s="140" t="str">
        <f>IFERROR(__xludf.DUMMYFUNCTION("""COMPUTED_VALUE"""),"Become a Product Manager | Learn the Skills &amp; Get the Job")</f>
        <v>Become a Product Manager | Learn the Skills &amp; Get the Job</v>
      </c>
      <c r="N26" s="140" t="str">
        <f>IFERROR(__xludf.DUMMYFUNCTION("""COMPUTED_VALUE"""),"")</f>
        <v/>
      </c>
    </row>
    <row r="27">
      <c r="A27" s="141">
        <f>IFERROR(__xludf.DUMMYFUNCTION("""COMPUTED_VALUE"""),44592.0)</f>
        <v>44592</v>
      </c>
      <c r="B27">
        <f>IFERROR(__xludf.DUMMYFUNCTION("""COMPUTED_VALUE"""),682346.0)</f>
        <v>682346</v>
      </c>
      <c r="C27" t="str">
        <f>IFERROR(__xludf.DUMMYFUNCTION("""COMPUTED_VALUE"""),"en")</f>
        <v>en</v>
      </c>
      <c r="D27" t="str">
        <f>IFERROR(__xludf.DUMMYFUNCTION("""COMPUTED_VALUE"""),"Complete SAP OS/DB Migration")</f>
        <v>Complete SAP OS/DB Migration</v>
      </c>
      <c r="E27" t="str">
        <f>IFERROR(__xludf.DUMMYFUNCTION("""COMPUTED_VALUE"""),"Complete SAP OS / DB Migration")</f>
        <v>Complete SAP OS / DB Migration</v>
      </c>
      <c r="F27">
        <f>IFERROR(__xludf.DUMMYFUNCTION("""COMPUTED_VALUE"""),1.1642966E7)</f>
        <v>11642966</v>
      </c>
      <c r="G27" t="str">
        <f>IFERROR(__xludf.DUMMYFUNCTION("""COMPUTED_VALUE"""),"eLearnGenie .")</f>
        <v>eLearnGenie .</v>
      </c>
      <c r="H27" t="str">
        <f>IFERROR(__xludf.DUMMYFUNCTION("""COMPUTED_VALUE"""),"Low Rating")</f>
        <v>Low Rating</v>
      </c>
      <c r="I27" s="142" t="str">
        <f>IFERROR(__xludf.DUMMYFUNCTION("""COMPUTED_VALUE"""),"IT Operations")</f>
        <v>IT Operations</v>
      </c>
      <c r="J27" s="142" t="str">
        <f>IFERROR(__xludf.DUMMYFUNCTION("""COMPUTED_VALUE"""),"Operating Systems &amp; Servers")</f>
        <v>Operating Systems &amp; Servers</v>
      </c>
      <c r="L27" s="140" t="str">
        <f>IFERROR(__xludf.DUMMYFUNCTION("""COMPUTED_VALUE"""),"")</f>
        <v/>
      </c>
      <c r="N27" s="140" t="str">
        <f>IFERROR(__xludf.DUMMYFUNCTION("""COMPUTED_VALUE"""),"")</f>
        <v/>
      </c>
    </row>
    <row r="28">
      <c r="A28" s="141">
        <f>IFERROR(__xludf.DUMMYFUNCTION("""COMPUTED_VALUE"""),44592.0)</f>
        <v>44592</v>
      </c>
      <c r="B28">
        <f>IFERROR(__xludf.DUMMYFUNCTION("""COMPUTED_VALUE"""),757918.0)</f>
        <v>757918</v>
      </c>
      <c r="C28" t="str">
        <f>IFERROR(__xludf.DUMMYFUNCTION("""COMPUTED_VALUE"""),"en")</f>
        <v>en</v>
      </c>
      <c r="D28" t="str">
        <f>IFERROR(__xludf.DUMMYFUNCTION("""COMPUTED_VALUE"""),"Talend Data Integration Course : Beginner to Expert")</f>
        <v>Talend Data Integration Course : Beginner to Expert</v>
      </c>
      <c r="E28" t="str">
        <f>IFERROR(__xludf.DUMMYFUNCTION("""COMPUTED_VALUE"""),"Talend Data Integration Course : Beginner to Expert")</f>
        <v>Talend Data Integration Course : Beginner to Expert</v>
      </c>
      <c r="F28">
        <f>IFERROR(__xludf.DUMMYFUNCTION("""COMPUTED_VALUE"""),2.0302686E7)</f>
        <v>20302686</v>
      </c>
      <c r="G28" t="str">
        <f>IFERROR(__xludf.DUMMYFUNCTION("""COMPUTED_VALUE"""),"Kapil Chaitanya Kasarapu")</f>
        <v>Kapil Chaitanya Kasarapu</v>
      </c>
      <c r="H28" t="str">
        <f>IFERROR(__xludf.DUMMYFUNCTION("""COMPUTED_VALUE"""),"Low Rating")</f>
        <v>Low Rating</v>
      </c>
      <c r="I28" t="str">
        <f>IFERROR(__xludf.DUMMYFUNCTION("""COMPUTED_VALUE"""),"Data Science")</f>
        <v>Data Science</v>
      </c>
      <c r="J28" t="str">
        <f>IFERROR(__xludf.DUMMYFUNCTION("""COMPUTED_VALUE"""),"Big Data")</f>
        <v>Big Data</v>
      </c>
      <c r="L28" s="140" t="str">
        <f>IFERROR(__xludf.DUMMYFUNCTION("""COMPUTED_VALUE"""),"")</f>
        <v/>
      </c>
      <c r="N28" s="140" t="str">
        <f>IFERROR(__xludf.DUMMYFUNCTION("""COMPUTED_VALUE"""),"")</f>
        <v/>
      </c>
    </row>
    <row r="29">
      <c r="A29" s="141">
        <f>IFERROR(__xludf.DUMMYFUNCTION("""COMPUTED_VALUE"""),44592.0)</f>
        <v>44592</v>
      </c>
      <c r="B29">
        <f>IFERROR(__xludf.DUMMYFUNCTION("""COMPUTED_VALUE"""),759420.0)</f>
        <v>759420</v>
      </c>
      <c r="C29" t="str">
        <f>IFERROR(__xludf.DUMMYFUNCTION("""COMPUTED_VALUE"""),"en")</f>
        <v>en</v>
      </c>
      <c r="D29" t="str">
        <f>IFERROR(__xludf.DUMMYFUNCTION("""COMPUTED_VALUE"""),"Applied ISO14971 Medical Device Risk Management")</f>
        <v>Applied ISO14971 Medical Device Risk Management</v>
      </c>
      <c r="E29" t="str">
        <f>IFERROR(__xludf.DUMMYFUNCTION("""COMPUTED_VALUE"""),"Applied ISO14971 Medical Device Risk Management")</f>
        <v>Applied ISO14971 Medical Device Risk Management</v>
      </c>
      <c r="F29">
        <f>IFERROR(__xludf.DUMMYFUNCTION("""COMPUTED_VALUE"""),1.1419972E7)</f>
        <v>11419972</v>
      </c>
      <c r="G29" t="str">
        <f>IFERROR(__xludf.DUMMYFUNCTION("""COMPUTED_VALUE"""),"Nealda Yusof")</f>
        <v>Nealda Yusof</v>
      </c>
      <c r="H29" t="str">
        <f>IFERROR(__xludf.DUMMYFUNCTION("""COMPUTED_VALUE"""),"Low Rating")</f>
        <v>Low Rating</v>
      </c>
      <c r="I29" t="str">
        <f>IFERROR(__xludf.DUMMYFUNCTION("""COMPUTED_VALUE"""),"Project Management &amp; Operations")</f>
        <v>Project Management &amp; Operations</v>
      </c>
      <c r="J29" t="str">
        <f>IFERROR(__xludf.DUMMYFUNCTION("""COMPUTED_VALUE"""),"Operations Management")</f>
        <v>Operations Management</v>
      </c>
      <c r="L29" s="140" t="str">
        <f>IFERROR(__xludf.DUMMYFUNCTION("""COMPUTED_VALUE"""),"")</f>
        <v/>
      </c>
      <c r="N29" s="140" t="str">
        <f>IFERROR(__xludf.DUMMYFUNCTION("""COMPUTED_VALUE"""),"")</f>
        <v/>
      </c>
    </row>
    <row r="30">
      <c r="A30" s="141">
        <f>IFERROR(__xludf.DUMMYFUNCTION("""COMPUTED_VALUE"""),44592.0)</f>
        <v>44592</v>
      </c>
      <c r="B30">
        <f>IFERROR(__xludf.DUMMYFUNCTION("""COMPUTED_VALUE"""),897500.0)</f>
        <v>897500</v>
      </c>
      <c r="C30" t="str">
        <f>IFERROR(__xludf.DUMMYFUNCTION("""COMPUTED_VALUE"""),"en")</f>
        <v>en</v>
      </c>
      <c r="D30" t="str">
        <f>IFERROR(__xludf.DUMMYFUNCTION("""COMPUTED_VALUE"""),"OpenID Connect &amp; JWT: Identity as a Service for your Apps")</f>
        <v>OpenID Connect &amp; JWT: Identity as a Service for your Apps</v>
      </c>
      <c r="E30" t="str">
        <f>IFERROR(__xludf.DUMMYFUNCTION("""COMPUTED_VALUE"""),"OpenID Connect &amp; JWT: Identity as a Service for your Apps")</f>
        <v>OpenID Connect &amp; JWT: Identity as a Service for your Apps</v>
      </c>
      <c r="F30">
        <f>IFERROR(__xludf.DUMMYFUNCTION("""COMPUTED_VALUE"""),9797972.0)</f>
        <v>9797972</v>
      </c>
      <c r="G30" t="str">
        <f>IFERROR(__xludf.DUMMYFUNCTION("""COMPUTED_VALUE"""),"Matthias Biehl")</f>
        <v>Matthias Biehl</v>
      </c>
      <c r="H30" t="str">
        <f>IFERROR(__xludf.DUMMYFUNCTION("""COMPUTED_VALUE"""),"Low Rating")</f>
        <v>Low Rating</v>
      </c>
      <c r="I30" t="str">
        <f>IFERROR(__xludf.DUMMYFUNCTION("""COMPUTED_VALUE"""),"IT Operations")</f>
        <v>IT Operations</v>
      </c>
      <c r="J30" t="str">
        <f>IFERROR(__xludf.DUMMYFUNCTION("""COMPUTED_VALUE"""),"Network &amp; Security")</f>
        <v>Network &amp; Security</v>
      </c>
      <c r="L30" s="140" t="str">
        <f>IFERROR(__xludf.DUMMYFUNCTION("""COMPUTED_VALUE"""),"")</f>
        <v/>
      </c>
      <c r="N30" s="140" t="str">
        <f>IFERROR(__xludf.DUMMYFUNCTION("""COMPUTED_VALUE"""),"")</f>
        <v/>
      </c>
    </row>
    <row r="31">
      <c r="A31" s="141">
        <f>IFERROR(__xludf.DUMMYFUNCTION("""COMPUTED_VALUE"""),44592.0)</f>
        <v>44592</v>
      </c>
      <c r="B31">
        <f>IFERROR(__xludf.DUMMYFUNCTION("""COMPUTED_VALUE"""),1395644.0)</f>
        <v>1395644</v>
      </c>
      <c r="C31" t="str">
        <f>IFERROR(__xludf.DUMMYFUNCTION("""COMPUTED_VALUE"""),"en")</f>
        <v>en</v>
      </c>
      <c r="D31" t="str">
        <f>IFERROR(__xludf.DUMMYFUNCTION("""COMPUTED_VALUE"""),"Image Processing on Raspberry Pi - Beginner to Advanced")</f>
        <v>Image Processing on Raspberry Pi - Beginner to Advanced</v>
      </c>
      <c r="E31" t="str">
        <f>IFERROR(__xludf.DUMMYFUNCTION("""COMPUTED_VALUE"""),"Image Processing on Raspberry Pi - Beginner to Advanced")</f>
        <v>Image Processing on Raspberry Pi - Beginner to Advanced</v>
      </c>
      <c r="F31">
        <f>IFERROR(__xludf.DUMMYFUNCTION("""COMPUTED_VALUE"""),3.7477656E7)</f>
        <v>37477656</v>
      </c>
      <c r="G31" t="str">
        <f>IFERROR(__xludf.DUMMYFUNCTION("""COMPUTED_VALUE"""),"Dr. Steven")</f>
        <v>Dr. Steven</v>
      </c>
      <c r="H31" t="str">
        <f>IFERROR(__xludf.DUMMYFUNCTION("""COMPUTED_VALUE"""),"Low Rating")</f>
        <v>Low Rating</v>
      </c>
      <c r="I31" t="str">
        <f>IFERROR(__xludf.DUMMYFUNCTION("""COMPUTED_VALUE"""),"IT Operations")</f>
        <v>IT Operations</v>
      </c>
      <c r="J31" t="str">
        <f>IFERROR(__xludf.DUMMYFUNCTION("""COMPUTED_VALUE"""),"Hardware")</f>
        <v>Hardware</v>
      </c>
      <c r="K31">
        <f>IFERROR(__xludf.DUMMYFUNCTION("""COMPUTED_VALUE"""),1407868.0)</f>
        <v>1407868</v>
      </c>
      <c r="L31" s="140" t="str">
        <f>IFERROR(__xludf.DUMMYFUNCTION("""COMPUTED_VALUE"""),"2021 Ultimate Guide to Raspberry Pi : Tips, Tricks and Hacks")</f>
        <v>2021 Ultimate Guide to Raspberry Pi : Tips, Tricks and Hacks</v>
      </c>
      <c r="N31" s="140" t="str">
        <f>IFERROR(__xludf.DUMMYFUNCTION("""COMPUTED_VALUE"""),"")</f>
        <v/>
      </c>
    </row>
    <row r="32">
      <c r="A32" s="141">
        <f>IFERROR(__xludf.DUMMYFUNCTION("""COMPUTED_VALUE"""),44592.0)</f>
        <v>44592</v>
      </c>
      <c r="B32">
        <f>IFERROR(__xludf.DUMMYFUNCTION("""COMPUTED_VALUE"""),1456380.0)</f>
        <v>1456380</v>
      </c>
      <c r="C32" t="str">
        <f>IFERROR(__xludf.DUMMYFUNCTION("""COMPUTED_VALUE"""),"en")</f>
        <v>en</v>
      </c>
      <c r="D32" t="str">
        <f>IFERROR(__xludf.DUMMYFUNCTION("""COMPUTED_VALUE"""),"Certified ISTQB Test Analyst Advanced Level (CTAL-TA) - 2021")</f>
        <v>Certified ISTQB Test Analyst Advanced Level (CTAL-TA) - 2021</v>
      </c>
      <c r="E32" t="str">
        <f>IFERROR(__xludf.DUMMYFUNCTION("""COMPUTED_VALUE"""),"Certified ISTQB Test Analyst Advanced Level (CTAL-TA) - 2021")</f>
        <v>Certified ISTQB Test Analyst Advanced Level (CTAL-TA) - 2021</v>
      </c>
      <c r="F32">
        <f>IFERROR(__xludf.DUMMYFUNCTION("""COMPUTED_VALUE"""),6768256.0)</f>
        <v>6768256</v>
      </c>
      <c r="G32" t="str">
        <f>IFERROR(__xludf.DUMMYFUNCTION("""COMPUTED_VALUE"""),"Maged Koshty")</f>
        <v>Maged Koshty</v>
      </c>
      <c r="H32" t="str">
        <f>IFERROR(__xludf.DUMMYFUNCTION("""COMPUTED_VALUE"""),"Low Rating")</f>
        <v>Low Rating</v>
      </c>
      <c r="I32" t="str">
        <f>IFERROR(__xludf.DUMMYFUNCTION("""COMPUTED_VALUE"""),"IT Operations")</f>
        <v>IT Operations</v>
      </c>
      <c r="J32" s="142" t="str">
        <f>IFERROR(__xludf.DUMMYFUNCTION("""COMPUTED_VALUE"""),"IT Certifications")</f>
        <v>IT Certifications</v>
      </c>
      <c r="L32" s="140" t="str">
        <f>IFERROR(__xludf.DUMMYFUNCTION("""COMPUTED_VALUE"""),"")</f>
        <v/>
      </c>
      <c r="N32" s="140" t="str">
        <f>IFERROR(__xludf.DUMMYFUNCTION("""COMPUTED_VALUE"""),"")</f>
        <v/>
      </c>
    </row>
    <row r="33">
      <c r="A33" s="141">
        <f>IFERROR(__xludf.DUMMYFUNCTION("""COMPUTED_VALUE"""),44592.0)</f>
        <v>44592</v>
      </c>
      <c r="B33">
        <f>IFERROR(__xludf.DUMMYFUNCTION("""COMPUTED_VALUE"""),1608398.0)</f>
        <v>1608398</v>
      </c>
      <c r="C33" t="str">
        <f>IFERROR(__xludf.DUMMYFUNCTION("""COMPUTED_VALUE"""),"en")</f>
        <v>en</v>
      </c>
      <c r="D33" t="str">
        <f>IFERROR(__xludf.DUMMYFUNCTION("""COMPUTED_VALUE"""),"Certified Wireless Security Professional (CWSP)")</f>
        <v>Certified Wireless Security Professional (CWSP)</v>
      </c>
      <c r="E33" t="str">
        <f>IFERROR(__xludf.DUMMYFUNCTION("""COMPUTED_VALUE"""),"Certified Wireless Security Professional (CWSP)")</f>
        <v>Certified Wireless Security Professional (CWSP)</v>
      </c>
      <c r="F33">
        <f>IFERROR(__xludf.DUMMYFUNCTION("""COMPUTED_VALUE"""),4.3284762E7)</f>
        <v>43284762</v>
      </c>
      <c r="G33" t="str">
        <f>IFERROR(__xludf.DUMMYFUNCTION("""COMPUTED_VALUE"""),"Integrity Training")</f>
        <v>Integrity Training</v>
      </c>
      <c r="H33" t="str">
        <f>IFERROR(__xludf.DUMMYFUNCTION("""COMPUTED_VALUE"""),"Low Rating")</f>
        <v>Low Rating</v>
      </c>
      <c r="I33" t="str">
        <f>IFERROR(__xludf.DUMMYFUNCTION("""COMPUTED_VALUE"""),"IT Operations")</f>
        <v>IT Operations</v>
      </c>
      <c r="J33" s="142" t="str">
        <f>IFERROR(__xludf.DUMMYFUNCTION("""COMPUTED_VALUE"""),"IT Certifications")</f>
        <v>IT Certifications</v>
      </c>
      <c r="L33" s="140" t="str">
        <f>IFERROR(__xludf.DUMMYFUNCTION("""COMPUTED_VALUE"""),"")</f>
        <v/>
      </c>
      <c r="N33" s="140" t="str">
        <f>IFERROR(__xludf.DUMMYFUNCTION("""COMPUTED_VALUE"""),"")</f>
        <v/>
      </c>
    </row>
    <row r="34">
      <c r="A34" s="141">
        <f>IFERROR(__xludf.DUMMYFUNCTION("""COMPUTED_VALUE"""),44592.0)</f>
        <v>44592</v>
      </c>
      <c r="B34">
        <f>IFERROR(__xludf.DUMMYFUNCTION("""COMPUTED_VALUE"""),1703390.0)</f>
        <v>1703390</v>
      </c>
      <c r="C34" t="str">
        <f>IFERROR(__xludf.DUMMYFUNCTION("""COMPUTED_VALUE"""),"en")</f>
        <v>en</v>
      </c>
      <c r="D34" t="str">
        <f>IFERROR(__xludf.DUMMYFUNCTION("""COMPUTED_VALUE"""),"Scrum Master Professional Cert,Real Case,2021 Exam Questions")</f>
        <v>Scrum Master Professional Cert,Real Case,2021 Exam Questions</v>
      </c>
      <c r="E34" t="str">
        <f>IFERROR(__xludf.DUMMYFUNCTION("""COMPUTED_VALUE"""),"Scrum Master Professional Cert,Real Case,2021 Exam Questions")</f>
        <v>Scrum Master Professional Cert,Real Case,2021 Exam Questions</v>
      </c>
      <c r="F34">
        <f>IFERROR(__xludf.DUMMYFUNCTION("""COMPUTED_VALUE"""),6768256.0)</f>
        <v>6768256</v>
      </c>
      <c r="G34" t="str">
        <f>IFERROR(__xludf.DUMMYFUNCTION("""COMPUTED_VALUE"""),"Maged Koshty")</f>
        <v>Maged Koshty</v>
      </c>
      <c r="H34" t="str">
        <f>IFERROR(__xludf.DUMMYFUNCTION("""COMPUTED_VALUE"""),"Low Rating")</f>
        <v>Low Rating</v>
      </c>
      <c r="I34" t="str">
        <f>IFERROR(__xludf.DUMMYFUNCTION("""COMPUTED_VALUE"""),"Project Management &amp; Operations")</f>
        <v>Project Management &amp; Operations</v>
      </c>
      <c r="J34" s="142" t="str">
        <f>IFERROR(__xludf.DUMMYFUNCTION("""COMPUTED_VALUE"""),"Project Management Certifications")</f>
        <v>Project Management Certifications</v>
      </c>
      <c r="K34">
        <f>IFERROR(__xludf.DUMMYFUNCTION("""COMPUTED_VALUE"""),2474986.0)</f>
        <v>2474986</v>
      </c>
      <c r="L34" s="140" t="str">
        <f>IFERROR(__xludf.DUMMYFUNCTION("""COMPUTED_VALUE"""),"Scrum Master certification - practice test questions")</f>
        <v>Scrum Master certification - practice test questions</v>
      </c>
      <c r="N34" s="140" t="str">
        <f>IFERROR(__xludf.DUMMYFUNCTION("""COMPUTED_VALUE"""),"")</f>
        <v/>
      </c>
    </row>
    <row r="35">
      <c r="A35" s="141">
        <f>IFERROR(__xludf.DUMMYFUNCTION("""COMPUTED_VALUE"""),44592.0)</f>
        <v>44592</v>
      </c>
      <c r="B35">
        <f>IFERROR(__xludf.DUMMYFUNCTION("""COMPUTED_VALUE"""),1747516.0)</f>
        <v>1747516</v>
      </c>
      <c r="C35" t="str">
        <f>IFERROR(__xludf.DUMMYFUNCTION("""COMPUTED_VALUE"""),"en")</f>
        <v>en</v>
      </c>
      <c r="D35" t="str">
        <f>IFERROR(__xludf.DUMMYFUNCTION("""COMPUTED_VALUE"""),"Rust Programming Language for Beginners")</f>
        <v>Rust Programming Language for Beginners</v>
      </c>
      <c r="E35" t="str">
        <f>IFERROR(__xludf.DUMMYFUNCTION("""COMPUTED_VALUE"""),"Rust Programming Language for Beginners")</f>
        <v>Rust Programming Language for Beginners</v>
      </c>
      <c r="F35">
        <f>IFERROR(__xludf.DUMMYFUNCTION("""COMPUTED_VALUE"""),3.510115E7)</f>
        <v>35101150</v>
      </c>
      <c r="G35" t="str">
        <f>IFERROR(__xludf.DUMMYFUNCTION("""COMPUTED_VALUE"""),"Tim Buchalka's Learn Programming Academy")</f>
        <v>Tim Buchalka's Learn Programming Academy</v>
      </c>
      <c r="H35" t="str">
        <f>IFERROR(__xludf.DUMMYFUNCTION("""COMPUTED_VALUE"""),"Low Rating")</f>
        <v>Low Rating</v>
      </c>
      <c r="I35" t="str">
        <f>IFERROR(__xludf.DUMMYFUNCTION("""COMPUTED_VALUE"""),"Development")</f>
        <v>Development</v>
      </c>
      <c r="J35" t="str">
        <f>IFERROR(__xludf.DUMMYFUNCTION("""COMPUTED_VALUE"""),"Programming Languages")</f>
        <v>Programming Languages</v>
      </c>
      <c r="K35">
        <f>IFERROR(__xludf.DUMMYFUNCTION("""COMPUTED_VALUE"""),2757066.0)</f>
        <v>2757066</v>
      </c>
      <c r="L35" s="140" t="str">
        <f>IFERROR(__xludf.DUMMYFUNCTION("""COMPUTED_VALUE"""),"Learn Rust by Building Real Applications")</f>
        <v>Learn Rust by Building Real Applications</v>
      </c>
      <c r="N35" s="140" t="str">
        <f>IFERROR(__xludf.DUMMYFUNCTION("""COMPUTED_VALUE"""),"")</f>
        <v/>
      </c>
    </row>
    <row r="36">
      <c r="A36" s="141">
        <f>IFERROR(__xludf.DUMMYFUNCTION("""COMPUTED_VALUE"""),44592.0)</f>
        <v>44592</v>
      </c>
      <c r="B36">
        <f>IFERROR(__xludf.DUMMYFUNCTION("""COMPUTED_VALUE"""),2013228.0)</f>
        <v>2013228</v>
      </c>
      <c r="C36" t="str">
        <f>IFERROR(__xludf.DUMMYFUNCTION("""COMPUTED_VALUE"""),"pt")</f>
        <v>pt</v>
      </c>
      <c r="D36" t="str">
        <f>IFERROR(__xludf.DUMMYFUNCTION("""COMPUTED_VALUE"""),"PDCA na prática COMPLETO")</f>
        <v>PDCA na prática COMPLETO</v>
      </c>
      <c r="E36" t="str">
        <f>IFERROR(__xludf.DUMMYFUNCTION("""COMPUTED_VALUE"""),"PDCA in complete practice")</f>
        <v>PDCA in complete practice</v>
      </c>
      <c r="F36">
        <f>IFERROR(__xludf.DUMMYFUNCTION("""COMPUTED_VALUE"""),3.520509E7)</f>
        <v>35205090</v>
      </c>
      <c r="G36" t="str">
        <f>IFERROR(__xludf.DUMMYFUNCTION("""COMPUTED_VALUE"""),"Henrique Oliveira")</f>
        <v>Henrique Oliveira</v>
      </c>
      <c r="H36" t="str">
        <f>IFERROR(__xludf.DUMMYFUNCTION("""COMPUTED_VALUE"""),"Low Rating")</f>
        <v>Low Rating</v>
      </c>
      <c r="I36" t="str">
        <f>IFERROR(__xludf.DUMMYFUNCTION("""COMPUTED_VALUE"""),"Office Productivity")</f>
        <v>Office Productivity</v>
      </c>
      <c r="J36" t="str">
        <f>IFERROR(__xludf.DUMMYFUNCTION("""COMPUTED_VALUE"""),"Email &amp; Productivity")</f>
        <v>Email &amp; Productivity</v>
      </c>
      <c r="L36" s="140" t="str">
        <f>IFERROR(__xludf.DUMMYFUNCTION("""COMPUTED_VALUE"""),"")</f>
        <v/>
      </c>
      <c r="N36" s="140" t="str">
        <f>IFERROR(__xludf.DUMMYFUNCTION("""COMPUTED_VALUE"""),"")</f>
        <v/>
      </c>
    </row>
    <row r="37">
      <c r="A37" s="141">
        <f>IFERROR(__xludf.DUMMYFUNCTION("""COMPUTED_VALUE"""),44592.0)</f>
        <v>44592</v>
      </c>
      <c r="B37">
        <f>IFERROR(__xludf.DUMMYFUNCTION("""COMPUTED_VALUE"""),2313744.0)</f>
        <v>2313744</v>
      </c>
      <c r="C37" t="str">
        <f>IFERROR(__xludf.DUMMYFUNCTION("""COMPUTED_VALUE"""),"en")</f>
        <v>en</v>
      </c>
      <c r="D37" t="str">
        <f>IFERROR(__xludf.DUMMYFUNCTION("""COMPUTED_VALUE"""),"Change Management: Design Successful Organizational Change")</f>
        <v>Change Management: Design Successful Organizational Change</v>
      </c>
      <c r="E37" t="str">
        <f>IFERROR(__xludf.DUMMYFUNCTION("""COMPUTED_VALUE"""),"Change Management: Design Successful Organizational Change")</f>
        <v>Change Management: Design Successful Organizational Change</v>
      </c>
      <c r="F37">
        <f>IFERROR(__xludf.DUMMYFUNCTION("""COMPUTED_VALUE"""),6.0774088E7)</f>
        <v>60774088</v>
      </c>
      <c r="G37" t="str">
        <f>IFERROR(__xludf.DUMMYFUNCTION("""COMPUTED_VALUE"""),"Impact Company")</f>
        <v>Impact Company</v>
      </c>
      <c r="H37" t="str">
        <f>IFERROR(__xludf.DUMMYFUNCTION("""COMPUTED_VALUE"""),"Low Rating")</f>
        <v>Low Rating</v>
      </c>
      <c r="I37" t="str">
        <f>IFERROR(__xludf.DUMMYFUNCTION("""COMPUTED_VALUE"""),"Leadership &amp; Management")</f>
        <v>Leadership &amp; Management</v>
      </c>
      <c r="J37" t="str">
        <f>IFERROR(__xludf.DUMMYFUNCTION("""COMPUTED_VALUE"""),"Strategy")</f>
        <v>Strategy</v>
      </c>
      <c r="K37">
        <f>IFERROR(__xludf.DUMMYFUNCTION("""COMPUTED_VALUE"""),2266662.0)</f>
        <v>2266662</v>
      </c>
      <c r="L37" s="140" t="str">
        <f>IFERROR(__xludf.DUMMYFUNCTION("""COMPUTED_VALUE"""),"CHANGE MANAGEMENT FOR ORGANIZATIONS: Drive Strategic Results")</f>
        <v>CHANGE MANAGEMENT FOR ORGANIZATIONS: Drive Strategic Results</v>
      </c>
      <c r="N37" s="140" t="str">
        <f>IFERROR(__xludf.DUMMYFUNCTION("""COMPUTED_VALUE"""),"")</f>
        <v/>
      </c>
    </row>
    <row r="38">
      <c r="A38" s="141">
        <f>IFERROR(__xludf.DUMMYFUNCTION("""COMPUTED_VALUE"""),44592.0)</f>
        <v>44592</v>
      </c>
      <c r="B38">
        <f>IFERROR(__xludf.DUMMYFUNCTION("""COMPUTED_VALUE"""),2483772.0)</f>
        <v>2483772</v>
      </c>
      <c r="C38" t="str">
        <f>IFERROR(__xludf.DUMMYFUNCTION("""COMPUTED_VALUE"""),"en")</f>
        <v>en</v>
      </c>
      <c r="D38" t="str">
        <f>IFERROR(__xludf.DUMMYFUNCTION("""COMPUTED_VALUE"""),"Terraform Version 0.12 - Complete Guide on Microsoft Azure")</f>
        <v>Terraform Version 0.12 - Complete Guide on Microsoft Azure</v>
      </c>
      <c r="E38" t="str">
        <f>IFERROR(__xludf.DUMMYFUNCTION("""COMPUTED_VALUE"""),"Terraform Version 0.12 - Complete Guide on Microsoft Azure")</f>
        <v>Terraform Version 0.12 - Complete Guide on Microsoft Azure</v>
      </c>
      <c r="F38">
        <f>IFERROR(__xludf.DUMMYFUNCTION("""COMPUTED_VALUE"""),6.405067E7)</f>
        <v>64050670</v>
      </c>
      <c r="G38" t="str">
        <f>IFERROR(__xludf.DUMMYFUNCTION("""COMPUTED_VALUE"""),"DevOps Made Easy")</f>
        <v>DevOps Made Easy</v>
      </c>
      <c r="H38" t="str">
        <f>IFERROR(__xludf.DUMMYFUNCTION("""COMPUTED_VALUE"""),"Low Rating")</f>
        <v>Low Rating</v>
      </c>
      <c r="I38" t="str">
        <f>IFERROR(__xludf.DUMMYFUNCTION("""COMPUTED_VALUE"""),"Development")</f>
        <v>Development</v>
      </c>
      <c r="J38" t="str">
        <f>IFERROR(__xludf.DUMMYFUNCTION("""COMPUTED_VALUE"""),"Development Tools")</f>
        <v>Development Tools</v>
      </c>
      <c r="L38" s="140" t="str">
        <f>IFERROR(__xludf.DUMMYFUNCTION("""COMPUTED_VALUE"""),"")</f>
        <v/>
      </c>
      <c r="N38" s="140" t="str">
        <f>IFERROR(__xludf.DUMMYFUNCTION("""COMPUTED_VALUE"""),"")</f>
        <v/>
      </c>
    </row>
    <row r="39">
      <c r="A39" s="141">
        <f>IFERROR(__xludf.DUMMYFUNCTION("""COMPUTED_VALUE"""),44592.0)</f>
        <v>44592</v>
      </c>
      <c r="B39">
        <f>IFERROR(__xludf.DUMMYFUNCTION("""COMPUTED_VALUE"""),2521762.0)</f>
        <v>2521762</v>
      </c>
      <c r="C39" t="str">
        <f>IFERROR(__xludf.DUMMYFUNCTION("""COMPUTED_VALUE"""),"en")</f>
        <v>en</v>
      </c>
      <c r="D39" s="140" t="str">
        <f>IFERROR(__xludf.DUMMYFUNCTION("""COMPUTED_VALUE"""),"Introduction to D3.js with React")</f>
        <v>Introduction to D3.js with React</v>
      </c>
      <c r="E39" t="str">
        <f>IFERROR(__xludf.DUMMYFUNCTION("""COMPUTED_VALUE"""),"Introduction to D3.js with React")</f>
        <v>Introduction to D3.js with React</v>
      </c>
      <c r="F39" s="140">
        <f>IFERROR(__xludf.DUMMYFUNCTION("""COMPUTED_VALUE"""),3.6657086E7)</f>
        <v>36657086</v>
      </c>
      <c r="G39" s="140" t="str">
        <f>IFERROR(__xludf.DUMMYFUNCTION("""COMPUTED_VALUE"""),"Adam Janes")</f>
        <v>Adam Janes</v>
      </c>
      <c r="H39" t="str">
        <f>IFERROR(__xludf.DUMMYFUNCTION("""COMPUTED_VALUE"""),"Low Rating")</f>
        <v>Low Rating</v>
      </c>
      <c r="I39" t="str">
        <f>IFERROR(__xludf.DUMMYFUNCTION("""COMPUTED_VALUE"""),"Development")</f>
        <v>Development</v>
      </c>
      <c r="J39" s="142" t="str">
        <f>IFERROR(__xludf.DUMMYFUNCTION("""COMPUTED_VALUE"""),"Web Development")</f>
        <v>Web Development</v>
      </c>
      <c r="L39" s="140" t="str">
        <f>IFERROR(__xludf.DUMMYFUNCTION("""COMPUTED_VALUE"""),"")</f>
        <v/>
      </c>
      <c r="N39" s="140" t="str">
        <f>IFERROR(__xludf.DUMMYFUNCTION("""COMPUTED_VALUE"""),"")</f>
        <v/>
      </c>
    </row>
    <row r="40">
      <c r="A40" s="141">
        <f>IFERROR(__xludf.DUMMYFUNCTION("""COMPUTED_VALUE"""),44592.0)</f>
        <v>44592</v>
      </c>
      <c r="B40">
        <f>IFERROR(__xludf.DUMMYFUNCTION("""COMPUTED_VALUE"""),2527362.0)</f>
        <v>2527362</v>
      </c>
      <c r="C40" t="str">
        <f>IFERROR(__xludf.DUMMYFUNCTION("""COMPUTED_VALUE"""),"en")</f>
        <v>en</v>
      </c>
      <c r="D40" s="140" t="str">
        <f>IFERROR(__xludf.DUMMYFUNCTION("""COMPUTED_VALUE"""),"Cloud Security Course: Cloud Compliance, Audits,Legal issues")</f>
        <v>Cloud Security Course: Cloud Compliance, Audits,Legal issues</v>
      </c>
      <c r="E40" t="str">
        <f>IFERROR(__xludf.DUMMYFUNCTION("""COMPUTED_VALUE"""),"Cloud Security Course: Cloud Compliance, Audits,Legal issues")</f>
        <v>Cloud Security Course: Cloud Compliance, Audits,Legal issues</v>
      </c>
      <c r="F40" s="140">
        <f>IFERROR(__xludf.DUMMYFUNCTION("""COMPUTED_VALUE"""),6.3429016E7)</f>
        <v>63429016</v>
      </c>
      <c r="G40" s="140" t="str">
        <f>IFERROR(__xludf.DUMMYFUNCTION("""COMPUTED_VALUE"""),"Varinder K")</f>
        <v>Varinder K</v>
      </c>
      <c r="H40" t="str">
        <f>IFERROR(__xludf.DUMMYFUNCTION("""COMPUTED_VALUE"""),"Low Rating")</f>
        <v>Low Rating</v>
      </c>
      <c r="I40" t="str">
        <f>IFERROR(__xludf.DUMMYFUNCTION("""COMPUTED_VALUE"""),"Cloud Computing")</f>
        <v>Cloud Computing</v>
      </c>
      <c r="J40" s="142" t="str">
        <f>IFERROR(__xludf.DUMMYFUNCTION("""COMPUTED_VALUE"""),"Cloud Fundamentals")</f>
        <v>Cloud Fundamentals</v>
      </c>
      <c r="K40" s="140">
        <f>IFERROR(__xludf.DUMMYFUNCTION("""COMPUTED_VALUE"""),1648248.0)</f>
        <v>1648248</v>
      </c>
      <c r="L40" s="140" t="str">
        <f>IFERROR(__xludf.DUMMYFUNCTION("""COMPUTED_VALUE"""),"Understand the CCSK Cloud Security Certification (INTRODUCT)")</f>
        <v>Understand the CCSK Cloud Security Certification (INTRODUCT)</v>
      </c>
      <c r="N40" s="140" t="str">
        <f>IFERROR(__xludf.DUMMYFUNCTION("""COMPUTED_VALUE"""),"")</f>
        <v/>
      </c>
    </row>
    <row r="41">
      <c r="A41" s="141">
        <f>IFERROR(__xludf.DUMMYFUNCTION("""COMPUTED_VALUE"""),44592.0)</f>
        <v>44592</v>
      </c>
      <c r="B41">
        <f>IFERROR(__xludf.DUMMYFUNCTION("""COMPUTED_VALUE"""),2621602.0)</f>
        <v>2621602</v>
      </c>
      <c r="C41" t="str">
        <f>IFERROR(__xludf.DUMMYFUNCTION("""COMPUTED_VALUE"""),"en")</f>
        <v>en</v>
      </c>
      <c r="D41" t="str">
        <f>IFERROR(__xludf.DUMMYFUNCTION("""COMPUTED_VALUE"""),"California Consumer Privacy Act-CCPA-Complete Course (CIPP)")</f>
        <v>California Consumer Privacy Act-CCPA-Complete Course (CIPP)</v>
      </c>
      <c r="E41" t="str">
        <f>IFERROR(__xludf.DUMMYFUNCTION("""COMPUTED_VALUE"""),"California Consumer Privacy Act-CCPA-Complete Course (CIPP)")</f>
        <v>California Consumer Privacy Act-CCPA-Complete Course (CIPP)</v>
      </c>
      <c r="F41" s="140">
        <f>IFERROR(__xludf.DUMMYFUNCTION("""COMPUTED_VALUE"""),2.6496734E7)</f>
        <v>26496734</v>
      </c>
      <c r="G41" s="140" t="str">
        <f>IFERROR(__xludf.DUMMYFUNCTION("""COMPUTED_VALUE"""),"Roland Costea")</f>
        <v>Roland Costea</v>
      </c>
      <c r="H41" t="str">
        <f>IFERROR(__xludf.DUMMYFUNCTION("""COMPUTED_VALUE"""),"Low Rating")</f>
        <v>Low Rating</v>
      </c>
      <c r="I41" t="str">
        <f>IFERROR(__xludf.DUMMYFUNCTION("""COMPUTED_VALUE"""),"IT Operations")</f>
        <v>IT Operations</v>
      </c>
      <c r="J41" t="str">
        <f>IFERROR(__xludf.DUMMYFUNCTION("""COMPUTED_VALUE"""),"Network &amp; Security")</f>
        <v>Network &amp; Security</v>
      </c>
      <c r="K41">
        <f>IFERROR(__xludf.DUMMYFUNCTION("""COMPUTED_VALUE"""),1883574.0)</f>
        <v>1883574</v>
      </c>
      <c r="L41" s="140" t="str">
        <f>IFERROR(__xludf.DUMMYFUNCTION("""COMPUTED_VALUE"""),"GDPR Certification &amp; Preparation to CIPP Certification Test")</f>
        <v>GDPR Certification &amp; Preparation to CIPP Certification Test</v>
      </c>
      <c r="N41" s="140" t="str">
        <f>IFERROR(__xludf.DUMMYFUNCTION("""COMPUTED_VALUE"""),"")</f>
        <v/>
      </c>
    </row>
    <row r="42">
      <c r="A42" s="141">
        <f>IFERROR(__xludf.DUMMYFUNCTION("""COMPUTED_VALUE"""),44592.0)</f>
        <v>44592</v>
      </c>
      <c r="B42">
        <f>IFERROR(__xludf.DUMMYFUNCTION("""COMPUTED_VALUE"""),2705676.0)</f>
        <v>2705676</v>
      </c>
      <c r="C42" t="str">
        <f>IFERROR(__xludf.DUMMYFUNCTION("""COMPUTED_VALUE"""),"es")</f>
        <v>es</v>
      </c>
      <c r="D42" t="str">
        <f>IFERROR(__xludf.DUMMYFUNCTION("""COMPUTED_VALUE"""),"Microsoft® AZ-900 Azure Fundamentals-Real Questions Jul 2021")</f>
        <v>Microsoft® AZ-900 Azure Fundamentals-Real Questions Jul 2021</v>
      </c>
      <c r="E42" t="str">
        <f>IFERROR(__xludf.DUMMYFUNCTION("""COMPUTED_VALUE"""),"Microsoft® AZ-900 Azure Fundamentals-Real Questions Jul 2021")</f>
        <v>Microsoft® AZ-900 Azure Fundamentals-Real Questions Jul 2021</v>
      </c>
      <c r="F42" s="140">
        <f>IFERROR(__xludf.DUMMYFUNCTION("""COMPUTED_VALUE"""),8.2598714E7)</f>
        <v>82598714</v>
      </c>
      <c r="G42" s="140" t="str">
        <f>IFERROR(__xludf.DUMMYFUNCTION("""COMPUTED_VALUE"""),"Duxter IT Study Materials")</f>
        <v>Duxter IT Study Materials</v>
      </c>
      <c r="H42" t="str">
        <f>IFERROR(__xludf.DUMMYFUNCTION("""COMPUTED_VALUE"""),"Low Rating")</f>
        <v>Low Rating</v>
      </c>
      <c r="I42" t="str">
        <f>IFERROR(__xludf.DUMMYFUNCTION("""COMPUTED_VALUE"""),"Cloud Computing")</f>
        <v>Cloud Computing</v>
      </c>
      <c r="J42" t="str">
        <f>IFERROR(__xludf.DUMMYFUNCTION("""COMPUTED_VALUE"""),"Cloud Certification")</f>
        <v>Cloud Certification</v>
      </c>
      <c r="L42" s="140" t="str">
        <f>IFERROR(__xludf.DUMMYFUNCTION("""COMPUTED_VALUE"""),"")</f>
        <v/>
      </c>
      <c r="N42" s="140" t="str">
        <f>IFERROR(__xludf.DUMMYFUNCTION("""COMPUTED_VALUE"""),"")</f>
        <v/>
      </c>
    </row>
    <row r="43">
      <c r="A43" s="141">
        <f>IFERROR(__xludf.DUMMYFUNCTION("""COMPUTED_VALUE"""),44592.0)</f>
        <v>44592</v>
      </c>
      <c r="B43">
        <f>IFERROR(__xludf.DUMMYFUNCTION("""COMPUTED_VALUE"""),2726018.0)</f>
        <v>2726018</v>
      </c>
      <c r="C43" t="str">
        <f>IFERROR(__xludf.DUMMYFUNCTION("""COMPUTED_VALUE"""),"de")</f>
        <v>de</v>
      </c>
      <c r="D43" t="str">
        <f>IFERROR(__xludf.DUMMYFUNCTION("""COMPUTED_VALUE"""),"Microsoft Planner für Einsteiger")</f>
        <v>Microsoft Planner für Einsteiger</v>
      </c>
      <c r="E43" t="str">
        <f>IFERROR(__xludf.DUMMYFUNCTION("""COMPUTED_VALUE"""),"Microsoft Planner for beginners")</f>
        <v>Microsoft Planner for beginners</v>
      </c>
      <c r="F43" s="140">
        <f>IFERROR(__xludf.DUMMYFUNCTION("""COMPUTED_VALUE"""),4.7071866E7)</f>
        <v>47071866</v>
      </c>
      <c r="G43" s="140" t="str">
        <f>IFERROR(__xludf.DUMMYFUNCTION("""COMPUTED_VALUE"""),"Benjamin Beloch")</f>
        <v>Benjamin Beloch</v>
      </c>
      <c r="H43" t="str">
        <f>IFERROR(__xludf.DUMMYFUNCTION("""COMPUTED_VALUE"""),"Low Rating")</f>
        <v>Low Rating</v>
      </c>
      <c r="I43" t="str">
        <f>IFERROR(__xludf.DUMMYFUNCTION("""COMPUTED_VALUE"""),"Office Productivity")</f>
        <v>Office Productivity</v>
      </c>
      <c r="J43" t="str">
        <f>IFERROR(__xludf.DUMMYFUNCTION("""COMPUTED_VALUE"""),"Email &amp; Productivity")</f>
        <v>Email &amp; Productivity</v>
      </c>
      <c r="L43" s="140" t="str">
        <f>IFERROR(__xludf.DUMMYFUNCTION("""COMPUTED_VALUE"""),"")</f>
        <v/>
      </c>
      <c r="N43" s="140" t="str">
        <f>IFERROR(__xludf.DUMMYFUNCTION("""COMPUTED_VALUE"""),"")</f>
        <v/>
      </c>
    </row>
    <row r="44">
      <c r="A44" s="141">
        <f>IFERROR(__xludf.DUMMYFUNCTION("""COMPUTED_VALUE"""),44592.0)</f>
        <v>44592</v>
      </c>
      <c r="B44">
        <f>IFERROR(__xludf.DUMMYFUNCTION("""COMPUTED_VALUE"""),2740396.0)</f>
        <v>2740396</v>
      </c>
      <c r="C44" t="str">
        <f>IFERROR(__xludf.DUMMYFUNCTION("""COMPUTED_VALUE"""),"fr")</f>
        <v>fr</v>
      </c>
      <c r="D44" t="str">
        <f>IFERROR(__xludf.DUMMYFUNCTION("""COMPUTED_VALUE"""),"Microsoft Office 2019 de A à Z")</f>
        <v>Microsoft Office 2019 de A à Z</v>
      </c>
      <c r="E44" t="str">
        <f>IFERROR(__xludf.DUMMYFUNCTION("""COMPUTED_VALUE"""),"Microsoft Office 2019 from A to Z")</f>
        <v>Microsoft Office 2019 from A to Z</v>
      </c>
      <c r="F44" s="140">
        <f>IFERROR(__xludf.DUMMYFUNCTION("""COMPUTED_VALUE"""),880432.0)</f>
        <v>880432</v>
      </c>
      <c r="G44" s="140" t="str">
        <f>IFERROR(__xludf.DUMMYFUNCTION("""COMPUTED_VALUE"""),"Michel Martin")</f>
        <v>Michel Martin</v>
      </c>
      <c r="H44" t="str">
        <f>IFERROR(__xludf.DUMMYFUNCTION("""COMPUTED_VALUE"""),"Low Rating")</f>
        <v>Low Rating</v>
      </c>
      <c r="I44" t="str">
        <f>IFERROR(__xludf.DUMMYFUNCTION("""COMPUTED_VALUE"""),"Office Productivity")</f>
        <v>Office Productivity</v>
      </c>
      <c r="J44" t="str">
        <f>IFERROR(__xludf.DUMMYFUNCTION("""COMPUTED_VALUE"""),"Email &amp; Productivity")</f>
        <v>Email &amp; Productivity</v>
      </c>
      <c r="K44" s="140">
        <f>IFERROR(__xludf.DUMMYFUNCTION("""COMPUTED_VALUE"""),2025986.0)</f>
        <v>2025986</v>
      </c>
      <c r="L44" s="140" t="str">
        <f>IFERROR(__xludf.DUMMYFUNCTION("""COMPUTED_VALUE"""),"Apprendre les Macros et le langage VBA avec Excel")</f>
        <v>Apprendre les Macros et le langage VBA avec Excel</v>
      </c>
      <c r="N44" s="140" t="str">
        <f>IFERROR(__xludf.DUMMYFUNCTION("""COMPUTED_VALUE"""),"")</f>
        <v/>
      </c>
    </row>
    <row r="45">
      <c r="A45" s="141">
        <f>IFERROR(__xludf.DUMMYFUNCTION("""COMPUTED_VALUE"""),44592.0)</f>
        <v>44592</v>
      </c>
      <c r="B45">
        <f>IFERROR(__xludf.DUMMYFUNCTION("""COMPUTED_VALUE"""),2781448.0)</f>
        <v>2781448</v>
      </c>
      <c r="C45" t="str">
        <f>IFERROR(__xludf.DUMMYFUNCTION("""COMPUTED_VALUE"""),"de")</f>
        <v>de</v>
      </c>
      <c r="D45" t="str">
        <f>IFERROR(__xludf.DUMMYFUNCTION("""COMPUTED_VALUE"""),"Microsoft Teams 2020")</f>
        <v>Microsoft Teams 2020</v>
      </c>
      <c r="E45" t="str">
        <f>IFERROR(__xludf.DUMMYFUNCTION("""COMPUTED_VALUE"""),"Microsoft Teams 2020")</f>
        <v>Microsoft Teams 2020</v>
      </c>
      <c r="F45" s="140">
        <f>IFERROR(__xludf.DUMMYFUNCTION("""COMPUTED_VALUE"""),1.01207744E8)</f>
        <v>101207744</v>
      </c>
      <c r="G45" s="140" t="str">
        <f>IFERROR(__xludf.DUMMYFUNCTION("""COMPUTED_VALUE"""),"XTrain E-Learning")</f>
        <v>XTrain E-Learning</v>
      </c>
      <c r="H45" t="str">
        <f>IFERROR(__xludf.DUMMYFUNCTION("""COMPUTED_VALUE"""),"Low Rating")</f>
        <v>Low Rating</v>
      </c>
      <c r="I45" t="str">
        <f>IFERROR(__xludf.DUMMYFUNCTION("""COMPUTED_VALUE"""),"Office Productivity")</f>
        <v>Office Productivity</v>
      </c>
      <c r="J45" t="str">
        <f>IFERROR(__xludf.DUMMYFUNCTION("""COMPUTED_VALUE"""),"Email &amp; Productivity")</f>
        <v>Email &amp; Productivity</v>
      </c>
      <c r="K45" s="140">
        <f>IFERROR(__xludf.DUMMYFUNCTION("""COMPUTED_VALUE"""),3570305.0)</f>
        <v>3570305</v>
      </c>
      <c r="L45" s="140" t="str">
        <f>IFERROR(__xludf.DUMMYFUNCTION("""COMPUTED_VALUE"""),"Microsoft Teams Komplettkurs - Vom Einsteiger zum Profi")</f>
        <v>Microsoft Teams Komplettkurs - Vom Einsteiger zum Profi</v>
      </c>
      <c r="N45" s="140" t="str">
        <f>IFERROR(__xludf.DUMMYFUNCTION("""COMPUTED_VALUE"""),"")</f>
        <v/>
      </c>
    </row>
    <row r="46">
      <c r="A46" s="141">
        <f>IFERROR(__xludf.DUMMYFUNCTION("""COMPUTED_VALUE"""),44592.0)</f>
        <v>44592</v>
      </c>
      <c r="B46">
        <f>IFERROR(__xludf.DUMMYFUNCTION("""COMPUTED_VALUE"""),2808699.0)</f>
        <v>2808699</v>
      </c>
      <c r="C46" t="str">
        <f>IFERROR(__xludf.DUMMYFUNCTION("""COMPUTED_VALUE"""),"en")</f>
        <v>en</v>
      </c>
      <c r="D46" t="str">
        <f>IFERROR(__xludf.DUMMYFUNCTION("""COMPUTED_VALUE"""),"Basics of Material selection for mechanical design engineers")</f>
        <v>Basics of Material selection for mechanical design engineers</v>
      </c>
      <c r="E46" t="str">
        <f>IFERROR(__xludf.DUMMYFUNCTION("""COMPUTED_VALUE"""),"Basics of Material selection for mechanical design engineers")</f>
        <v>Basics of Material selection for mechanical design engineers</v>
      </c>
      <c r="F46" s="140">
        <f>IFERROR(__xludf.DUMMYFUNCTION("""COMPUTED_VALUE"""),5.5587414E7)</f>
        <v>55587414</v>
      </c>
      <c r="G46" s="140" t="str">
        <f>IFERROR(__xludf.DUMMYFUNCTION("""COMPUTED_VALUE"""),"Mufaddal Rasheed")</f>
        <v>Mufaddal Rasheed</v>
      </c>
      <c r="H46" t="str">
        <f>IFERROR(__xludf.DUMMYFUNCTION("""COMPUTED_VALUE"""),"Low Rating")</f>
        <v>Low Rating</v>
      </c>
      <c r="I46" t="str">
        <f>IFERROR(__xludf.DUMMYFUNCTION("""COMPUTED_VALUE"""),"Personal Development")</f>
        <v>Personal Development</v>
      </c>
      <c r="J46" t="str">
        <f>IFERROR(__xludf.DUMMYFUNCTION("""COMPUTED_VALUE"""),"Hobbies")</f>
        <v>Hobbies</v>
      </c>
      <c r="L46" s="140" t="str">
        <f>IFERROR(__xludf.DUMMYFUNCTION("""COMPUTED_VALUE"""),"")</f>
        <v/>
      </c>
      <c r="N46" s="140" t="str">
        <f>IFERROR(__xludf.DUMMYFUNCTION("""COMPUTED_VALUE"""),"")</f>
        <v/>
      </c>
    </row>
    <row r="47">
      <c r="A47" s="141">
        <f>IFERROR(__xludf.DUMMYFUNCTION("""COMPUTED_VALUE"""),44592.0)</f>
        <v>44592</v>
      </c>
      <c r="B47">
        <f>IFERROR(__xludf.DUMMYFUNCTION("""COMPUTED_VALUE"""),2909924.0)</f>
        <v>2909924</v>
      </c>
      <c r="C47" t="str">
        <f>IFERROR(__xludf.DUMMYFUNCTION("""COMPUTED_VALUE"""),"en")</f>
        <v>en</v>
      </c>
      <c r="D47" t="str">
        <f>IFERROR(__xludf.DUMMYFUNCTION("""COMPUTED_VALUE"""),"Salesforce Certification - Sales Cloud Consultant")</f>
        <v>Salesforce Certification - Sales Cloud Consultant</v>
      </c>
      <c r="E47" t="str">
        <f>IFERROR(__xludf.DUMMYFUNCTION("""COMPUTED_VALUE"""),"Salesforce Certification - Sales Cloud Consultant")</f>
        <v>Salesforce Certification - Sales Cloud Consultant</v>
      </c>
      <c r="F47" s="140">
        <f>IFERROR(__xludf.DUMMYFUNCTION("""COMPUTED_VALUE"""),6.9452076E7)</f>
        <v>69452076</v>
      </c>
      <c r="G47" s="140" t="str">
        <f>IFERROR(__xludf.DUMMYFUNCTION("""COMPUTED_VALUE"""),"Yashad Tayal")</f>
        <v>Yashad Tayal</v>
      </c>
      <c r="H47" t="str">
        <f>IFERROR(__xludf.DUMMYFUNCTION("""COMPUTED_VALUE"""),"Low Rating")</f>
        <v>Low Rating</v>
      </c>
      <c r="I47" t="str">
        <f>IFERROR(__xludf.DUMMYFUNCTION("""COMPUTED_VALUE"""),"Sales")</f>
        <v>Sales</v>
      </c>
      <c r="J47" t="str">
        <f>IFERROR(__xludf.DUMMYFUNCTION("""COMPUTED_VALUE"""),"Sales Skills &amp; Tools")</f>
        <v>Sales Skills &amp; Tools</v>
      </c>
      <c r="K47" s="140">
        <f>IFERROR(__xludf.DUMMYFUNCTION("""COMPUTED_VALUE"""),1096662.0)</f>
        <v>1096662</v>
      </c>
      <c r="L47" s="140" t="str">
        <f>IFERROR(__xludf.DUMMYFUNCTION("""COMPUTED_VALUE"""),"Salesforce Sales Cloud Consultant Certification Course")</f>
        <v>Salesforce Sales Cloud Consultant Certification Course</v>
      </c>
      <c r="N47" s="140" t="str">
        <f>IFERROR(__xludf.DUMMYFUNCTION("""COMPUTED_VALUE"""),"")</f>
        <v/>
      </c>
    </row>
    <row r="48">
      <c r="A48" s="141">
        <f>IFERROR(__xludf.DUMMYFUNCTION("""COMPUTED_VALUE"""),44592.0)</f>
        <v>44592</v>
      </c>
      <c r="B48">
        <f>IFERROR(__xludf.DUMMYFUNCTION("""COMPUTED_VALUE"""),3323862.0)</f>
        <v>3323862</v>
      </c>
      <c r="C48" t="str">
        <f>IFERROR(__xludf.DUMMYFUNCTION("""COMPUTED_VALUE"""),"en")</f>
        <v>en</v>
      </c>
      <c r="D48" t="str">
        <f>IFERROR(__xludf.DUMMYFUNCTION("""COMPUTED_VALUE"""),"Travel Management Course (Skill-Based)")</f>
        <v>Travel Management Course (Skill-Based)</v>
      </c>
      <c r="E48" t="str">
        <f>IFERROR(__xludf.DUMMYFUNCTION("""COMPUTED_VALUE"""),"Travel Management Course (Skill-Based)")</f>
        <v>Travel Management Course (Skill-Based)</v>
      </c>
      <c r="F48" s="140">
        <f>IFERROR(__xludf.DUMMYFUNCTION("""COMPUTED_VALUE"""),1.2600567E8)</f>
        <v>126005670</v>
      </c>
      <c r="G48" s="140" t="str">
        <f>IFERROR(__xludf.DUMMYFUNCTION("""COMPUTED_VALUE"""),"Babu Koshy")</f>
        <v>Babu Koshy</v>
      </c>
      <c r="H48" t="str">
        <f>IFERROR(__xludf.DUMMYFUNCTION("""COMPUTED_VALUE"""),"Low Rating")</f>
        <v>Low Rating</v>
      </c>
      <c r="I48" t="str">
        <f>IFERROR(__xludf.DUMMYFUNCTION("""COMPUTED_VALUE"""),"Leadership &amp; Management")</f>
        <v>Leadership &amp; Management</v>
      </c>
      <c r="J48" t="str">
        <f>IFERROR(__xludf.DUMMYFUNCTION("""COMPUTED_VALUE"""),"Management")</f>
        <v>Management</v>
      </c>
      <c r="L48" s="140" t="str">
        <f>IFERROR(__xludf.DUMMYFUNCTION("""COMPUTED_VALUE"""),"")</f>
        <v/>
      </c>
      <c r="N48" s="140" t="str">
        <f>IFERROR(__xludf.DUMMYFUNCTION("""COMPUTED_VALUE"""),"")</f>
        <v/>
      </c>
    </row>
    <row r="49">
      <c r="A49" s="141">
        <f>IFERROR(__xludf.DUMMYFUNCTION("""COMPUTED_VALUE"""),44592.0)</f>
        <v>44592</v>
      </c>
      <c r="B49">
        <f>IFERROR(__xludf.DUMMYFUNCTION("""COMPUTED_VALUE"""),3402164.0)</f>
        <v>3402164</v>
      </c>
      <c r="C49" t="str">
        <f>IFERROR(__xludf.DUMMYFUNCTION("""COMPUTED_VALUE"""),"en")</f>
        <v>en</v>
      </c>
      <c r="D49" t="str">
        <f>IFERROR(__xludf.DUMMYFUNCTION("""COMPUTED_VALUE"""),"Docker and Kubernetes: The Complete Reference")</f>
        <v>Docker and Kubernetes: The Complete Reference</v>
      </c>
      <c r="E49" t="str">
        <f>IFERROR(__xludf.DUMMYFUNCTION("""COMPUTED_VALUE"""),"Docker and Kubernetes: The Complete Reference")</f>
        <v>Docker and Kubernetes: The Complete Reference</v>
      </c>
      <c r="F49" s="140">
        <f>IFERROR(__xludf.DUMMYFUNCTION("""COMPUTED_VALUE"""),1.9779924E7)</f>
        <v>19779924</v>
      </c>
      <c r="G49" s="140" t="str">
        <f>IFERROR(__xludf.DUMMYFUNCTION("""COMPUTED_VALUE"""),"Lawrence Manickam")</f>
        <v>Lawrence Manickam</v>
      </c>
      <c r="H49" t="str">
        <f>IFERROR(__xludf.DUMMYFUNCTION("""COMPUTED_VALUE"""),"Low Rating")</f>
        <v>Low Rating</v>
      </c>
      <c r="I49" t="str">
        <f>IFERROR(__xludf.DUMMYFUNCTION("""COMPUTED_VALUE"""),"Development")</f>
        <v>Development</v>
      </c>
      <c r="J49" t="str">
        <f>IFERROR(__xludf.DUMMYFUNCTION("""COMPUTED_VALUE"""),"Development Tools")</f>
        <v>Development Tools</v>
      </c>
      <c r="K49" s="140">
        <f>IFERROR(__xludf.DUMMYFUNCTION("""COMPUTED_VALUE"""),1793828.0)</f>
        <v>1793828</v>
      </c>
      <c r="L49" s="140" t="str">
        <f>IFERROR(__xludf.DUMMYFUNCTION("""COMPUTED_VALUE"""),"Docker and Kubernetes: The Complete Guide")</f>
        <v>Docker and Kubernetes: The Complete Guide</v>
      </c>
      <c r="N49" s="140" t="str">
        <f>IFERROR(__xludf.DUMMYFUNCTION("""COMPUTED_VALUE"""),"")</f>
        <v/>
      </c>
    </row>
    <row r="50">
      <c r="A50" s="141">
        <f>IFERROR(__xludf.DUMMYFUNCTION("""COMPUTED_VALUE"""),44592.0)</f>
        <v>44592</v>
      </c>
      <c r="B50">
        <f>IFERROR(__xludf.DUMMYFUNCTION("""COMPUTED_VALUE"""),3404622.0)</f>
        <v>3404622</v>
      </c>
      <c r="C50" t="str">
        <f>IFERROR(__xludf.DUMMYFUNCTION("""COMPUTED_VALUE"""),"en")</f>
        <v>en</v>
      </c>
      <c r="D50" t="str">
        <f>IFERROR(__xludf.DUMMYFUNCTION("""COMPUTED_VALUE"""),"SAP S/4HANA Supply Chain Management Fundamentals")</f>
        <v>SAP S/4HANA Supply Chain Management Fundamentals</v>
      </c>
      <c r="E50" t="str">
        <f>IFERROR(__xludf.DUMMYFUNCTION("""COMPUTED_VALUE"""),"SAP S/4HANA Supply Chain Management Fundamentals")</f>
        <v>SAP S/4HANA Supply Chain Management Fundamentals</v>
      </c>
      <c r="F50" s="140">
        <f>IFERROR(__xludf.DUMMYFUNCTION("""COMPUTED_VALUE"""),6735840.0)</f>
        <v>6735840</v>
      </c>
      <c r="G50" s="140" t="str">
        <f>IFERROR(__xludf.DUMMYFUNCTION("""COMPUTED_VALUE"""),"Global Learning Labs .")</f>
        <v>Global Learning Labs .</v>
      </c>
      <c r="H50" t="str">
        <f>IFERROR(__xludf.DUMMYFUNCTION("""COMPUTED_VALUE"""),"Low Rating")</f>
        <v>Low Rating</v>
      </c>
      <c r="I50" t="str">
        <f>IFERROR(__xludf.DUMMYFUNCTION("""COMPUTED_VALUE"""),"Sales")</f>
        <v>Sales</v>
      </c>
      <c r="J50" t="str">
        <f>IFERROR(__xludf.DUMMYFUNCTION("""COMPUTED_VALUE"""),"Sales Skills &amp; Tools")</f>
        <v>Sales Skills &amp; Tools</v>
      </c>
      <c r="L50" s="140" t="str">
        <f>IFERROR(__xludf.DUMMYFUNCTION("""COMPUTED_VALUE"""),"")</f>
        <v/>
      </c>
      <c r="N50" s="140" t="str">
        <f>IFERROR(__xludf.DUMMYFUNCTION("""COMPUTED_VALUE"""),"")</f>
        <v/>
      </c>
    </row>
    <row r="51">
      <c r="A51" s="141">
        <f>IFERROR(__xludf.DUMMYFUNCTION("""COMPUTED_VALUE"""),44592.0)</f>
        <v>44592</v>
      </c>
      <c r="B51">
        <f>IFERROR(__xludf.DUMMYFUNCTION("""COMPUTED_VALUE"""),3742998.0)</f>
        <v>3742998</v>
      </c>
      <c r="C51" t="str">
        <f>IFERROR(__xludf.DUMMYFUNCTION("""COMPUTED_VALUE"""),"en")</f>
        <v>en</v>
      </c>
      <c r="D51" t="str">
        <f>IFERROR(__xludf.DUMMYFUNCTION("""COMPUTED_VALUE"""),"CATIA V5 BASIC TO EXPERT IN INTERIOR &amp; EXTERIOR")</f>
        <v>CATIA V5 BASIC TO EXPERT IN INTERIOR &amp; EXTERIOR</v>
      </c>
      <c r="E51" t="str">
        <f>IFERROR(__xludf.DUMMYFUNCTION("""COMPUTED_VALUE"""),"CATIA V5 BASIC TO EXPERT IN INTERIOR &amp; EXTERIOR")</f>
        <v>CATIA V5 BASIC TO EXPERT IN INTERIOR &amp; EXTERIOR</v>
      </c>
      <c r="F51" s="140">
        <f>IFERROR(__xludf.DUMMYFUNCTION("""COMPUTED_VALUE"""),1.46174404E8)</f>
        <v>146174404</v>
      </c>
      <c r="G51" s="140" t="str">
        <f>IFERROR(__xludf.DUMMYFUNCTION("""COMPUTED_VALUE"""),"Manjeet singh Bhatia")</f>
        <v>Manjeet singh Bhatia</v>
      </c>
      <c r="H51" t="str">
        <f>IFERROR(__xludf.DUMMYFUNCTION("""COMPUTED_VALUE"""),"Low Rating")</f>
        <v>Low Rating</v>
      </c>
      <c r="I51" t="str">
        <f>IFERROR(__xludf.DUMMYFUNCTION("""COMPUTED_VALUE"""),"Design")</f>
        <v>Design</v>
      </c>
      <c r="J51" t="str">
        <f>IFERROR(__xludf.DUMMYFUNCTION("""COMPUTED_VALUE"""),"Design Tools")</f>
        <v>Design Tools</v>
      </c>
      <c r="K51" s="140">
        <f>IFERROR(__xludf.DUMMYFUNCTION("""COMPUTED_VALUE"""),3833732.0)</f>
        <v>3833732</v>
      </c>
      <c r="L51" s="140" t="str">
        <f>IFERROR(__xludf.DUMMYFUNCTION("""COMPUTED_VALUE"""),"Catia V5 Beginner to Advanced - Automotive and Industrial")</f>
        <v>Catia V5 Beginner to Advanced - Automotive and Industrial</v>
      </c>
      <c r="N51" s="140" t="str">
        <f>IFERROR(__xludf.DUMMYFUNCTION("""COMPUTED_VALUE"""),"")</f>
        <v/>
      </c>
    </row>
    <row r="52">
      <c r="A52" s="141">
        <f>IFERROR(__xludf.DUMMYFUNCTION("""COMPUTED_VALUE"""),44592.0)</f>
        <v>44592</v>
      </c>
      <c r="B52">
        <f>IFERROR(__xludf.DUMMYFUNCTION("""COMPUTED_VALUE"""),3935600.0)</f>
        <v>3935600</v>
      </c>
      <c r="C52" t="str">
        <f>IFERROR(__xludf.DUMMYFUNCTION("""COMPUTED_VALUE"""),"en")</f>
        <v>en</v>
      </c>
      <c r="D52" t="str">
        <f>IFERROR(__xludf.DUMMYFUNCTION("""COMPUTED_VALUE"""),"GCP | Professional Cloud Architect | Practice Exams | MAR 21")</f>
        <v>GCP | Professional Cloud Architect | Practice Exams | MAR 21</v>
      </c>
      <c r="E52" t="str">
        <f>IFERROR(__xludf.DUMMYFUNCTION("""COMPUTED_VALUE"""),"GCP | Professional Cloud Architect | Practice Exams | MAR 21")</f>
        <v>GCP | Professional Cloud Architect | Practice Exams | MAR 21</v>
      </c>
      <c r="F52" s="140">
        <f>IFERROR(__xludf.DUMMYFUNCTION("""COMPUTED_VALUE"""),1.5203167E8)</f>
        <v>152031670</v>
      </c>
      <c r="G52" s="140" t="str">
        <f>IFERROR(__xludf.DUMMYFUNCTION("""COMPUTED_VALUE"""),"Zahra Zoha")</f>
        <v>Zahra Zoha</v>
      </c>
      <c r="H52" t="str">
        <f>IFERROR(__xludf.DUMMYFUNCTION("""COMPUTED_VALUE"""),"Low Rating")</f>
        <v>Low Rating</v>
      </c>
      <c r="I52" t="str">
        <f>IFERROR(__xludf.DUMMYFUNCTION("""COMPUTED_VALUE"""),"Cloud Computing")</f>
        <v>Cloud Computing</v>
      </c>
      <c r="J52" t="str">
        <f>IFERROR(__xludf.DUMMYFUNCTION("""COMPUTED_VALUE"""),"Cloud Certification")</f>
        <v>Cloud Certification</v>
      </c>
      <c r="K52" s="140">
        <f>IFERROR(__xludf.DUMMYFUNCTION("""COMPUTED_VALUE"""),3995372.0)</f>
        <v>3995372</v>
      </c>
      <c r="L52" s="140" t="str">
        <f>IFERROR(__xludf.DUMMYFUNCTION("""COMPUTED_VALUE"""),"GCP Professional Cloud Architect: Google Cloud Certification")</f>
        <v>GCP Professional Cloud Architect: Google Cloud Certification</v>
      </c>
      <c r="N52" s="140" t="str">
        <f>IFERROR(__xludf.DUMMYFUNCTION("""COMPUTED_VALUE"""),"")</f>
        <v/>
      </c>
    </row>
    <row r="53">
      <c r="A53" s="141">
        <f>IFERROR(__xludf.DUMMYFUNCTION("""COMPUTED_VALUE"""),44592.0)</f>
        <v>44592</v>
      </c>
      <c r="B53">
        <f>IFERROR(__xludf.DUMMYFUNCTION("""COMPUTED_VALUE"""),3951744.0)</f>
        <v>3951744</v>
      </c>
      <c r="C53" t="str">
        <f>IFERROR(__xludf.DUMMYFUNCTION("""COMPUTED_VALUE"""),"es")</f>
        <v>es</v>
      </c>
      <c r="D53" t="str">
        <f>IFERROR(__xludf.DUMMYFUNCTION("""COMPUTED_VALUE"""),"Bootcamp de Redacción Publicitaria (Copywriting Course)")</f>
        <v>Bootcamp de Redacción Publicitaria (Copywriting Course)</v>
      </c>
      <c r="E53" t="str">
        <f>IFERROR(__xludf.DUMMYFUNCTION("""COMPUTED_VALUE"""),"Bootcamp of advertising wording (Copywriting Course)")</f>
        <v>Bootcamp of advertising wording (Copywriting Course)</v>
      </c>
      <c r="F53" s="140">
        <f>IFERROR(__xludf.DUMMYFUNCTION("""COMPUTED_VALUE"""),1.9701574E7)</f>
        <v>19701574</v>
      </c>
      <c r="G53" s="140" t="str">
        <f>IFERROR(__xludf.DUMMYFUNCTION("""COMPUTED_VALUE"""),"Video School")</f>
        <v>Video School</v>
      </c>
      <c r="H53" t="str">
        <f>IFERROR(__xludf.DUMMYFUNCTION("""COMPUTED_VALUE"""),"Low Rating")</f>
        <v>Low Rating</v>
      </c>
      <c r="I53" t="str">
        <f>IFERROR(__xludf.DUMMYFUNCTION("""COMPUTED_VALUE"""),"Marketing")</f>
        <v>Marketing</v>
      </c>
      <c r="J53" t="str">
        <f>IFERROR(__xludf.DUMMYFUNCTION("""COMPUTED_VALUE"""),"Content Marketing")</f>
        <v>Content Marketing</v>
      </c>
      <c r="K53" s="140">
        <f>IFERROR(__xludf.DUMMYFUNCTION("""COMPUTED_VALUE"""),2720210.0)</f>
        <v>2720210</v>
      </c>
      <c r="L53" s="140" t="str">
        <f>IFERROR(__xludf.DUMMYFUNCTION("""COMPUTED_VALUE"""),"Copywriting Pro - Genera más clicks y más ventas")</f>
        <v>Copywriting Pro - Genera más clicks y más ventas</v>
      </c>
      <c r="N53" s="140" t="str">
        <f>IFERROR(__xludf.DUMMYFUNCTION("""COMPUTED_VALUE"""),"")</f>
        <v/>
      </c>
    </row>
    <row r="54">
      <c r="A54" s="141">
        <f>IFERROR(__xludf.DUMMYFUNCTION("""COMPUTED_VALUE"""),44592.0)</f>
        <v>44592</v>
      </c>
      <c r="B54">
        <f>IFERROR(__xludf.DUMMYFUNCTION("""COMPUTED_VALUE"""),4095874.0)</f>
        <v>4095874</v>
      </c>
      <c r="C54" t="str">
        <f>IFERROR(__xludf.DUMMYFUNCTION("""COMPUTED_VALUE"""),"en")</f>
        <v>en</v>
      </c>
      <c r="D54" t="str">
        <f>IFERROR(__xludf.DUMMYFUNCTION("""COMPUTED_VALUE"""),"MICROSOFT POWER BI DA-100 Certification Exam: Practice Test")</f>
        <v>MICROSOFT POWER BI DA-100 Certification Exam: Practice Test</v>
      </c>
      <c r="E54" t="str">
        <f>IFERROR(__xludf.DUMMYFUNCTION("""COMPUTED_VALUE"""),"MICROSOFT POWER BI DA-100 Certification Exam: Practice Test")</f>
        <v>MICROSOFT POWER BI DA-100 Certification Exam: Practice Test</v>
      </c>
      <c r="F54" s="140">
        <f>IFERROR(__xludf.DUMMYFUNCTION("""COMPUTED_VALUE"""),1.27209556E8)</f>
        <v>127209556</v>
      </c>
      <c r="G54" s="140" t="str">
        <f>IFERROR(__xludf.DUMMYFUNCTION("""COMPUTED_VALUE"""),"PowerBI Hub")</f>
        <v>PowerBI Hub</v>
      </c>
      <c r="H54" t="str">
        <f>IFERROR(__xludf.DUMMYFUNCTION("""COMPUTED_VALUE"""),"3 Flags")</f>
        <v>3 Flags</v>
      </c>
      <c r="I54" t="str">
        <f>IFERROR(__xludf.DUMMYFUNCTION("""COMPUTED_VALUE"""),"IT Operations")</f>
        <v>IT Operations</v>
      </c>
      <c r="J54" t="str">
        <f>IFERROR(__xludf.DUMMYFUNCTION("""COMPUTED_VALUE"""),"IT Certifications")</f>
        <v>IT Certifications</v>
      </c>
      <c r="L54" s="140" t="str">
        <f>IFERROR(__xludf.DUMMYFUNCTION("""COMPUTED_VALUE"""),"")</f>
        <v/>
      </c>
      <c r="N54" s="140" t="str">
        <f>IFERROR(__xludf.DUMMYFUNCTION("""COMPUTED_VALUE"""),"")</f>
        <v/>
      </c>
    </row>
    <row r="55">
      <c r="A55" s="141">
        <f>IFERROR(__xludf.DUMMYFUNCTION("""COMPUTED_VALUE"""),44592.0)</f>
        <v>44592</v>
      </c>
      <c r="B55">
        <f>IFERROR(__xludf.DUMMYFUNCTION("""COMPUTED_VALUE"""),83762.0)</f>
        <v>83762</v>
      </c>
      <c r="C55" t="str">
        <f>IFERROR(__xludf.DUMMYFUNCTION("""COMPUTED_VALUE"""),"en")</f>
        <v>en</v>
      </c>
      <c r="D55" t="str">
        <f>IFERROR(__xludf.DUMMYFUNCTION("""COMPUTED_VALUE"""),"Complete Game Asset Workflow - The Treasure Chest")</f>
        <v>Complete Game Asset Workflow - The Treasure Chest</v>
      </c>
      <c r="E55" t="str">
        <f>IFERROR(__xludf.DUMMYFUNCTION("""COMPUTED_VALUE"""),"Complete Game Asset Workflow - The Treasure Chest")</f>
        <v>Complete Game Asset Workflow - The Treasure Chest</v>
      </c>
      <c r="F55" s="140">
        <f>IFERROR(__xludf.DUMMYFUNCTION("""COMPUTED_VALUE"""),1339040.0)</f>
        <v>1339040</v>
      </c>
      <c r="G55" s="140" t="str">
        <f>IFERROR(__xludf.DUMMYFUNCTION("""COMPUTED_VALUE"""),"3dmotive LLC")</f>
        <v>3dmotive LLC</v>
      </c>
      <c r="H55" t="str">
        <f>IFERROR(__xludf.DUMMYFUNCTION("""COMPUTED_VALUE"""),"3 Flags")</f>
        <v>3 Flags</v>
      </c>
      <c r="I55" t="str">
        <f>IFERROR(__xludf.DUMMYFUNCTION("""COMPUTED_VALUE"""),"Design")</f>
        <v>Design</v>
      </c>
      <c r="J55" t="str">
        <f>IFERROR(__xludf.DUMMYFUNCTION("""COMPUTED_VALUE"""),"Game Design")</f>
        <v>Game Design</v>
      </c>
      <c r="K55" s="140">
        <f>IFERROR(__xludf.DUMMYFUNCTION("""COMPUTED_VALUE"""),867218.0)</f>
        <v>867218</v>
      </c>
      <c r="L55" s="140" t="str">
        <f>IFERROR(__xludf.DUMMYFUNCTION("""COMPUTED_VALUE"""),"Learn Professional 2D Game Asset Graphic Design in Photoshop")</f>
        <v>Learn Professional 2D Game Asset Graphic Design in Photoshop</v>
      </c>
      <c r="N55" s="140" t="str">
        <f>IFERROR(__xludf.DUMMYFUNCTION("""COMPUTED_VALUE"""),"")</f>
        <v/>
      </c>
    </row>
    <row r="56">
      <c r="A56" s="141">
        <f>IFERROR(__xludf.DUMMYFUNCTION("""COMPUTED_VALUE"""),44592.0)</f>
        <v>44592</v>
      </c>
      <c r="B56">
        <f>IFERROR(__xludf.DUMMYFUNCTION("""COMPUTED_VALUE"""),417430.0)</f>
        <v>417430</v>
      </c>
      <c r="C56" t="str">
        <f>IFERROR(__xludf.DUMMYFUNCTION("""COMPUTED_VALUE"""),"en")</f>
        <v>en</v>
      </c>
      <c r="D56" t="str">
        <f>IFERROR(__xludf.DUMMYFUNCTION("""COMPUTED_VALUE"""),"Surviving Digital Forensics: Windows Shellbags")</f>
        <v>Surviving Digital Forensics: Windows Shellbags</v>
      </c>
      <c r="E56" t="str">
        <f>IFERROR(__xludf.DUMMYFUNCTION("""COMPUTED_VALUE"""),"Surviving Digital Forensics: Windows Shellbags")</f>
        <v>Surviving Digital Forensics: Windows Shellbags</v>
      </c>
      <c r="F56" s="140">
        <f>IFERROR(__xludf.DUMMYFUNCTION("""COMPUTED_VALUE"""),3804670.0)</f>
        <v>3804670</v>
      </c>
      <c r="G56" s="140" t="str">
        <f>IFERROR(__xludf.DUMMYFUNCTION("""COMPUTED_VALUE"""),"Michael Leclair")</f>
        <v>Michael Leclair</v>
      </c>
      <c r="H56" t="str">
        <f>IFERROR(__xludf.DUMMYFUNCTION("""COMPUTED_VALUE"""),"3 Flags")</f>
        <v>3 Flags</v>
      </c>
      <c r="I56" t="str">
        <f>IFERROR(__xludf.DUMMYFUNCTION("""COMPUTED_VALUE"""),"IT Operations")</f>
        <v>IT Operations</v>
      </c>
      <c r="J56" t="str">
        <f>IFERROR(__xludf.DUMMYFUNCTION("""COMPUTED_VALUE"""),"Network &amp; Security")</f>
        <v>Network &amp; Security</v>
      </c>
      <c r="K56">
        <f>IFERROR(__xludf.DUMMYFUNCTION("""COMPUTED_VALUE"""),119866.0)</f>
        <v>119866</v>
      </c>
      <c r="L56" s="140" t="str">
        <f>IFERROR(__xludf.DUMMYFUNCTION("""COMPUTED_VALUE"""),"Intermediate Computer Forensics")</f>
        <v>Intermediate Computer Forensics</v>
      </c>
      <c r="N56" s="140" t="str">
        <f>IFERROR(__xludf.DUMMYFUNCTION("""COMPUTED_VALUE"""),"")</f>
        <v/>
      </c>
    </row>
    <row r="57">
      <c r="A57" s="141">
        <f>IFERROR(__xludf.DUMMYFUNCTION("""COMPUTED_VALUE"""),44592.0)</f>
        <v>44592</v>
      </c>
      <c r="B57">
        <f>IFERROR(__xludf.DUMMYFUNCTION("""COMPUTED_VALUE"""),440764.0)</f>
        <v>440764</v>
      </c>
      <c r="C57" t="str">
        <f>IFERROR(__xludf.DUMMYFUNCTION("""COMPUTED_VALUE"""),"en")</f>
        <v>en</v>
      </c>
      <c r="D57" t="str">
        <f>IFERROR(__xludf.DUMMYFUNCTION("""COMPUTED_VALUE"""),"Applied Petroleum Reservoir Engineering")</f>
        <v>Applied Petroleum Reservoir Engineering</v>
      </c>
      <c r="E57" t="str">
        <f>IFERROR(__xludf.DUMMYFUNCTION("""COMPUTED_VALUE"""),"Applied Petroleum Reservoir Engineering")</f>
        <v>Applied Petroleum Reservoir Engineering</v>
      </c>
      <c r="F57">
        <f>IFERROR(__xludf.DUMMYFUNCTION("""COMPUTED_VALUE"""),9693318.0)</f>
        <v>9693318</v>
      </c>
      <c r="G57" t="str">
        <f>IFERROR(__xludf.DUMMYFUNCTION("""COMPUTED_VALUE"""),"J. Brandon Rogers")</f>
        <v>J. Brandon Rogers</v>
      </c>
      <c r="H57" t="str">
        <f>IFERROR(__xludf.DUMMYFUNCTION("""COMPUTED_VALUE"""),"3 Flags")</f>
        <v>3 Flags</v>
      </c>
      <c r="I57" t="str">
        <f>IFERROR(__xludf.DUMMYFUNCTION("""COMPUTED_VALUE"""),"Development")</f>
        <v>Development</v>
      </c>
      <c r="J57" t="str">
        <f>IFERROR(__xludf.DUMMYFUNCTION("""COMPUTED_VALUE"""),"Software Engineering")</f>
        <v>Software Engineering</v>
      </c>
      <c r="L57" s="140" t="str">
        <f>IFERROR(__xludf.DUMMYFUNCTION("""COMPUTED_VALUE"""),"")</f>
        <v/>
      </c>
      <c r="N57" s="140" t="str">
        <f>IFERROR(__xludf.DUMMYFUNCTION("""COMPUTED_VALUE"""),"")</f>
        <v/>
      </c>
    </row>
    <row r="58">
      <c r="A58" s="141">
        <f>IFERROR(__xludf.DUMMYFUNCTION("""COMPUTED_VALUE"""),44592.0)</f>
        <v>44592</v>
      </c>
      <c r="B58">
        <f>IFERROR(__xludf.DUMMYFUNCTION("""COMPUTED_VALUE"""),516846.0)</f>
        <v>516846</v>
      </c>
      <c r="C58" t="str">
        <f>IFERROR(__xludf.DUMMYFUNCTION("""COMPUTED_VALUE"""),"en")</f>
        <v>en</v>
      </c>
      <c r="D58" t="str">
        <f>IFERROR(__xludf.DUMMYFUNCTION("""COMPUTED_VALUE"""),"Certified Management Accountant's 2021 Exam #1 Prep.")</f>
        <v>Certified Management Accountant's 2021 Exam #1 Prep.</v>
      </c>
      <c r="E58" t="str">
        <f>IFERROR(__xludf.DUMMYFUNCTION("""COMPUTED_VALUE"""),"Certified Management Accountant's 2021 Exam #1 Prep.")</f>
        <v>Certified Management Accountant's 2021 Exam #1 Prep.</v>
      </c>
      <c r="F58">
        <f>IFERROR(__xludf.DUMMYFUNCTION("""COMPUTED_VALUE"""),5007216.0)</f>
        <v>5007216</v>
      </c>
      <c r="G58" t="str">
        <f>IFERROR(__xludf.DUMMYFUNCTION("""COMPUTED_VALUE"""),"Dr. John Daniel Mclellan")</f>
        <v>Dr. John Daniel Mclellan</v>
      </c>
      <c r="H58" t="str">
        <f>IFERROR(__xludf.DUMMYFUNCTION("""COMPUTED_VALUE"""),"3 Flags")</f>
        <v>3 Flags</v>
      </c>
      <c r="I58" t="str">
        <f>IFERROR(__xludf.DUMMYFUNCTION("""COMPUTED_VALUE"""),"Finance &amp; Accounting")</f>
        <v>Finance &amp; Accounting</v>
      </c>
      <c r="J58" t="str">
        <f>IFERROR(__xludf.DUMMYFUNCTION("""COMPUTED_VALUE"""),"Accounting")</f>
        <v>Accounting</v>
      </c>
      <c r="K58">
        <f>IFERROR(__xludf.DUMMYFUNCTION("""COMPUTED_VALUE"""),866584.0)</f>
        <v>866584</v>
      </c>
      <c r="L58" s="140" t="str">
        <f>IFERROR(__xludf.DUMMYFUNCTION("""COMPUTED_VALUE"""),"Advanced Accounting A Complete Study for CA/CMA/CFA/ACCA/CS")</f>
        <v>Advanced Accounting A Complete Study for CA/CMA/CFA/ACCA/CS</v>
      </c>
      <c r="N58" s="140" t="str">
        <f>IFERROR(__xludf.DUMMYFUNCTION("""COMPUTED_VALUE"""),"")</f>
        <v/>
      </c>
    </row>
    <row r="59">
      <c r="A59" s="141">
        <f>IFERROR(__xludf.DUMMYFUNCTION("""COMPUTED_VALUE"""),44592.0)</f>
        <v>44592</v>
      </c>
      <c r="B59">
        <f>IFERROR(__xludf.DUMMYFUNCTION("""COMPUTED_VALUE"""),575076.0)</f>
        <v>575076</v>
      </c>
      <c r="C59" t="str">
        <f>IFERROR(__xludf.DUMMYFUNCTION("""COMPUTED_VALUE"""),"en")</f>
        <v>en</v>
      </c>
      <c r="D59" t="str">
        <f>IFERROR(__xludf.DUMMYFUNCTION("""COMPUTED_VALUE"""),"Spring Core Advanced - Beyond the Basics")</f>
        <v>Spring Core Advanced - Beyond the Basics</v>
      </c>
      <c r="E59" t="str">
        <f>IFERROR(__xludf.DUMMYFUNCTION("""COMPUTED_VALUE"""),"Spring Core Advanced - Beyond the Basics")</f>
        <v>Spring Core Advanced - Beyond the Basics</v>
      </c>
      <c r="F59">
        <f>IFERROR(__xludf.DUMMYFUNCTION("""COMPUTED_VALUE"""),1.4788334E7)</f>
        <v>14788334</v>
      </c>
      <c r="G59" t="str">
        <f>IFERROR(__xludf.DUMMYFUNCTION("""COMPUTED_VALUE"""),"John Thompson")</f>
        <v>John Thompson</v>
      </c>
      <c r="H59" t="str">
        <f>IFERROR(__xludf.DUMMYFUNCTION("""COMPUTED_VALUE"""),"3 Flags")</f>
        <v>3 Flags</v>
      </c>
      <c r="I59" t="str">
        <f>IFERROR(__xludf.DUMMYFUNCTION("""COMPUTED_VALUE"""),"Development")</f>
        <v>Development</v>
      </c>
      <c r="J59" t="str">
        <f>IFERROR(__xludf.DUMMYFUNCTION("""COMPUTED_VALUE"""),"Web Development")</f>
        <v>Web Development</v>
      </c>
      <c r="K59">
        <f>IFERROR(__xludf.DUMMYFUNCTION("""COMPUTED_VALUE"""),964914.0)</f>
        <v>964914</v>
      </c>
      <c r="L59" s="140" t="str">
        <f>IFERROR(__xludf.DUMMYFUNCTION("""COMPUTED_VALUE"""),"Spring Framework In Easy Steps")</f>
        <v>Spring Framework In Easy Steps</v>
      </c>
      <c r="N59" s="140" t="str">
        <f>IFERROR(__xludf.DUMMYFUNCTION("""COMPUTED_VALUE"""),"")</f>
        <v/>
      </c>
    </row>
    <row r="60">
      <c r="A60" s="141">
        <f>IFERROR(__xludf.DUMMYFUNCTION("""COMPUTED_VALUE"""),44592.0)</f>
        <v>44592</v>
      </c>
      <c r="B60">
        <f>IFERROR(__xludf.DUMMYFUNCTION("""COMPUTED_VALUE"""),714228.0)</f>
        <v>714228</v>
      </c>
      <c r="C60" t="str">
        <f>IFERROR(__xludf.DUMMYFUNCTION("""COMPUTED_VALUE"""),"es")</f>
        <v>es</v>
      </c>
      <c r="D60" t="str">
        <f>IFERROR(__xludf.DUMMYFUNCTION("""COMPUTED_VALUE"""),"CURSO PROFESIONAL DE JAVA ORIENTADO A OBJETOS")</f>
        <v>CURSO PROFESIONAL DE JAVA ORIENTADO A OBJETOS</v>
      </c>
      <c r="E60" t="str">
        <f>IFERROR(__xludf.DUMMYFUNCTION("""COMPUTED_VALUE"""),"Professional Java Course Oriented to Objects")</f>
        <v>Professional Java Course Oriented to Objects</v>
      </c>
      <c r="F60">
        <f>IFERROR(__xludf.DUMMYFUNCTION("""COMPUTED_VALUE"""),1.2112026E7)</f>
        <v>12112026</v>
      </c>
      <c r="G60" t="str">
        <f>IFERROR(__xludf.DUMMYFUNCTION("""COMPUTED_VALUE"""),"Gustavo Coronel")</f>
        <v>Gustavo Coronel</v>
      </c>
      <c r="H60" t="str">
        <f>IFERROR(__xludf.DUMMYFUNCTION("""COMPUTED_VALUE"""),"3 Flags")</f>
        <v>3 Flags</v>
      </c>
      <c r="I60" t="str">
        <f>IFERROR(__xludf.DUMMYFUNCTION("""COMPUTED_VALUE"""),"Development")</f>
        <v>Development</v>
      </c>
      <c r="J60" t="str">
        <f>IFERROR(__xludf.DUMMYFUNCTION("""COMPUTED_VALUE"""),"Programming Languages")</f>
        <v>Programming Languages</v>
      </c>
      <c r="K60">
        <f>IFERROR(__xludf.DUMMYFUNCTION("""COMPUTED_VALUE"""),2675212.0)</f>
        <v>2675212</v>
      </c>
      <c r="L60" s="140" t="str">
        <f>IFERROR(__xludf.DUMMYFUNCTION("""COMPUTED_VALUE"""),"")</f>
        <v/>
      </c>
      <c r="N60" s="140" t="str">
        <f>IFERROR(__xludf.DUMMYFUNCTION("""COMPUTED_VALUE"""),"")</f>
        <v/>
      </c>
    </row>
    <row r="61">
      <c r="A61" s="141">
        <f>IFERROR(__xludf.DUMMYFUNCTION("""COMPUTED_VALUE"""),44592.0)</f>
        <v>44592</v>
      </c>
      <c r="B61">
        <f>IFERROR(__xludf.DUMMYFUNCTION("""COMPUTED_VALUE"""),751392.0)</f>
        <v>751392</v>
      </c>
      <c r="C61" t="str">
        <f>IFERROR(__xludf.DUMMYFUNCTION("""COMPUTED_VALUE"""),"en")</f>
        <v>en</v>
      </c>
      <c r="D61" t="str">
        <f>IFERROR(__xludf.DUMMYFUNCTION("""COMPUTED_VALUE"""),"Tableau for R Users - Explore Tableau and Embed R Code")</f>
        <v>Tableau for R Users - Explore Tableau and Embed R Code</v>
      </c>
      <c r="E61" t="str">
        <f>IFERROR(__xludf.DUMMYFUNCTION("""COMPUTED_VALUE"""),"Tableau for R Users - Explore Tableau and Embed R Code")</f>
        <v>Tableau for R Users - Explore Tableau and Embed R Code</v>
      </c>
      <c r="F61">
        <f>IFERROR(__xludf.DUMMYFUNCTION("""COMPUTED_VALUE"""),5678748.0)</f>
        <v>5678748</v>
      </c>
      <c r="G61" t="str">
        <f>IFERROR(__xludf.DUMMYFUNCTION("""COMPUTED_VALUE"""),"R-Tutorials Training")</f>
        <v>R-Tutorials Training</v>
      </c>
      <c r="H61" t="str">
        <f>IFERROR(__xludf.DUMMYFUNCTION("""COMPUTED_VALUE"""),"3 Flags")</f>
        <v>3 Flags</v>
      </c>
      <c r="I61" t="str">
        <f>IFERROR(__xludf.DUMMYFUNCTION("""COMPUTED_VALUE"""),"Data Science")</f>
        <v>Data Science</v>
      </c>
      <c r="J61" t="str">
        <f>IFERROR(__xludf.DUMMYFUNCTION("""COMPUTED_VALUE"""),"Data Visualization")</f>
        <v>Data Visualization</v>
      </c>
      <c r="K61">
        <f>IFERROR(__xludf.DUMMYFUNCTION("""COMPUTED_VALUE"""),1249064.0)</f>
        <v>1249064</v>
      </c>
      <c r="L61" s="140" t="str">
        <f>IFERROR(__xludf.DUMMYFUNCTION("""COMPUTED_VALUE"""),"48 Charts in Tableau 2020 -  Basic to Intermediate")</f>
        <v>48 Charts in Tableau 2020 -  Basic to Intermediate</v>
      </c>
      <c r="N61" s="140" t="str">
        <f>IFERROR(__xludf.DUMMYFUNCTION("""COMPUTED_VALUE"""),"")</f>
        <v/>
      </c>
    </row>
    <row r="62">
      <c r="A62" s="141">
        <f>IFERROR(__xludf.DUMMYFUNCTION("""COMPUTED_VALUE"""),44592.0)</f>
        <v>44592</v>
      </c>
      <c r="B62">
        <f>IFERROR(__xludf.DUMMYFUNCTION("""COMPUTED_VALUE"""),796010.0)</f>
        <v>796010</v>
      </c>
      <c r="C62" t="str">
        <f>IFERROR(__xludf.DUMMYFUNCTION("""COMPUTED_VALUE"""),"en")</f>
        <v>en</v>
      </c>
      <c r="D62" t="str">
        <f>IFERROR(__xludf.DUMMYFUNCTION("""COMPUTED_VALUE"""),"Develop Your First App in an Hour")</f>
        <v>Develop Your First App in an Hour</v>
      </c>
      <c r="E62" t="str">
        <f>IFERROR(__xludf.DUMMYFUNCTION("""COMPUTED_VALUE"""),"Develop Your First App in an Hour")</f>
        <v>Develop Your First App in an Hour</v>
      </c>
      <c r="F62">
        <f>IFERROR(__xludf.DUMMYFUNCTION("""COMPUTED_VALUE"""),11439.0)</f>
        <v>11439</v>
      </c>
      <c r="G62" t="str">
        <f>IFERROR(__xludf.DUMMYFUNCTION("""COMPUTED_VALUE"""),"Framework Tech Media")</f>
        <v>Framework Tech Media</v>
      </c>
      <c r="H62" t="str">
        <f>IFERROR(__xludf.DUMMYFUNCTION("""COMPUTED_VALUE"""),"3 Flags")</f>
        <v>3 Flags</v>
      </c>
      <c r="I62" t="str">
        <f>IFERROR(__xludf.DUMMYFUNCTION("""COMPUTED_VALUE"""),"Development")</f>
        <v>Development</v>
      </c>
      <c r="J62" t="str">
        <f>IFERROR(__xludf.DUMMYFUNCTION("""COMPUTED_VALUE"""),"Mobile Development")</f>
        <v>Mobile Development</v>
      </c>
      <c r="L62" s="140" t="str">
        <f>IFERROR(__xludf.DUMMYFUNCTION("""COMPUTED_VALUE"""),"")</f>
        <v/>
      </c>
      <c r="N62" s="140" t="str">
        <f>IFERROR(__xludf.DUMMYFUNCTION("""COMPUTED_VALUE"""),"")</f>
        <v/>
      </c>
    </row>
    <row r="63">
      <c r="A63" s="141">
        <f>IFERROR(__xludf.DUMMYFUNCTION("""COMPUTED_VALUE"""),44592.0)</f>
        <v>44592</v>
      </c>
      <c r="B63">
        <f>IFERROR(__xludf.DUMMYFUNCTION("""COMPUTED_VALUE"""),923554.0)</f>
        <v>923554</v>
      </c>
      <c r="C63" t="str">
        <f>IFERROR(__xludf.DUMMYFUNCTION("""COMPUTED_VALUE"""),"de")</f>
        <v>de</v>
      </c>
      <c r="D63" t="str">
        <f>IFERROR(__xludf.DUMMYFUNCTION("""COMPUTED_VALUE"""),"SAP ABAP Objects Komplettkurs für Praktiker")</f>
        <v>SAP ABAP Objects Komplettkurs für Praktiker</v>
      </c>
      <c r="E63" t="str">
        <f>IFERROR(__xludf.DUMMYFUNCTION("""COMPUTED_VALUE"""),"SAP ABAP Objects complete course for practitioners")</f>
        <v>SAP ABAP Objects complete course for practitioners</v>
      </c>
      <c r="F63">
        <f>IFERROR(__xludf.DUMMYFUNCTION("""COMPUTED_VALUE"""),1.5858324E7)</f>
        <v>15858324</v>
      </c>
      <c r="G63" t="str">
        <f>IFERROR(__xludf.DUMMYFUNCTION("""COMPUTED_VALUE"""),"Ana Lekic")</f>
        <v>Ana Lekic</v>
      </c>
      <c r="H63" t="str">
        <f>IFERROR(__xludf.DUMMYFUNCTION("""COMPUTED_VALUE"""),"3 Flags")</f>
        <v>3 Flags</v>
      </c>
      <c r="I63" t="str">
        <f>IFERROR(__xludf.DUMMYFUNCTION("""COMPUTED_VALUE"""),"Development")</f>
        <v>Development</v>
      </c>
      <c r="J63" t="str">
        <f>IFERROR(__xludf.DUMMYFUNCTION("""COMPUTED_VALUE"""),"Web Development")</f>
        <v>Web Development</v>
      </c>
      <c r="K63">
        <f>IFERROR(__xludf.DUMMYFUNCTION("""COMPUTED_VALUE"""),1068668.0)</f>
        <v>1068668</v>
      </c>
      <c r="L63" s="140" t="str">
        <f>IFERROR(__xludf.DUMMYFUNCTION("""COMPUTED_VALUE"""),"SAP ABAP Programmierung auf einen Blick")</f>
        <v>SAP ABAP Programmierung auf einen Blick</v>
      </c>
      <c r="N63" s="140" t="str">
        <f>IFERROR(__xludf.DUMMYFUNCTION("""COMPUTED_VALUE"""),"")</f>
        <v/>
      </c>
    </row>
    <row r="64">
      <c r="A64" s="141">
        <f>IFERROR(__xludf.DUMMYFUNCTION("""COMPUTED_VALUE"""),44592.0)</f>
        <v>44592</v>
      </c>
      <c r="B64">
        <f>IFERROR(__xludf.DUMMYFUNCTION("""COMPUTED_VALUE"""),926390.0)</f>
        <v>926390</v>
      </c>
      <c r="C64" t="str">
        <f>IFERROR(__xludf.DUMMYFUNCTION("""COMPUTED_VALUE"""),"en")</f>
        <v>en</v>
      </c>
      <c r="D64" t="str">
        <f>IFERROR(__xludf.DUMMYFUNCTION("""COMPUTED_VALUE"""),"SAP DeepDive - SD Orders - Backorder using SAP Best Practice")</f>
        <v>SAP DeepDive - SD Orders - Backorder using SAP Best Practice</v>
      </c>
      <c r="E64" t="str">
        <f>IFERROR(__xludf.DUMMYFUNCTION("""COMPUTED_VALUE"""),"SAP DeepDive - SD Orders - Backorder using SAP Best Practice")</f>
        <v>SAP DeepDive - SD Orders - Backorder using SAP Best Practice</v>
      </c>
      <c r="F64" s="140">
        <f>IFERROR(__xludf.DUMMYFUNCTION("""COMPUTED_VALUE"""),1.2257042E7)</f>
        <v>12257042</v>
      </c>
      <c r="G64" s="140" t="str">
        <f>IFERROR(__xludf.DUMMYFUNCTION("""COMPUTED_VALUE"""),"Abdul Maulud")</f>
        <v>Abdul Maulud</v>
      </c>
      <c r="H64" t="str">
        <f>IFERROR(__xludf.DUMMYFUNCTION("""COMPUTED_VALUE"""),"3 Flags")</f>
        <v>3 Flags</v>
      </c>
      <c r="I64" t="str">
        <f>IFERROR(__xludf.DUMMYFUNCTION("""COMPUTED_VALUE"""),"Finance &amp; Accounting")</f>
        <v>Finance &amp; Accounting</v>
      </c>
      <c r="J64" t="str">
        <f>IFERROR(__xludf.DUMMYFUNCTION("""COMPUTED_VALUE"""),"Accounting Software")</f>
        <v>Accounting Software</v>
      </c>
      <c r="L64" s="140" t="str">
        <f>IFERROR(__xludf.DUMMYFUNCTION("""COMPUTED_VALUE"""),"")</f>
        <v/>
      </c>
      <c r="N64" s="140" t="str">
        <f>IFERROR(__xludf.DUMMYFUNCTION("""COMPUTED_VALUE"""),"")</f>
        <v/>
      </c>
    </row>
    <row r="65">
      <c r="A65" s="141">
        <f>IFERROR(__xludf.DUMMYFUNCTION("""COMPUTED_VALUE"""),44592.0)</f>
        <v>44592</v>
      </c>
      <c r="B65">
        <f>IFERROR(__xludf.DUMMYFUNCTION("""COMPUTED_VALUE"""),1001874.0)</f>
        <v>1001874</v>
      </c>
      <c r="C65" t="str">
        <f>IFERROR(__xludf.DUMMYFUNCTION("""COMPUTED_VALUE"""),"en")</f>
        <v>en</v>
      </c>
      <c r="D65" t="str">
        <f>IFERROR(__xludf.DUMMYFUNCTION("""COMPUTED_VALUE"""),"Learn Microsoft SQL Server 2016 Best Practices for VLDB")</f>
        <v>Learn Microsoft SQL Server 2016 Best Practices for VLDB</v>
      </c>
      <c r="E65" t="str">
        <f>IFERROR(__xludf.DUMMYFUNCTION("""COMPUTED_VALUE"""),"Learn Microsoft SQL Server 2016 Best Practices for VLDB")</f>
        <v>Learn Microsoft SQL Server 2016 Best Practices for VLDB</v>
      </c>
      <c r="F65" s="140">
        <f>IFERROR(__xludf.DUMMYFUNCTION("""COMPUTED_VALUE"""),2.6659602E7)</f>
        <v>26659602</v>
      </c>
      <c r="G65" s="140" t="str">
        <f>IFERROR(__xludf.DUMMYFUNCTION("""COMPUTED_VALUE"""),"John Hall")</f>
        <v>John Hall</v>
      </c>
      <c r="H65" t="str">
        <f>IFERROR(__xludf.DUMMYFUNCTION("""COMPUTED_VALUE"""),"3 Flags")</f>
        <v>3 Flags</v>
      </c>
      <c r="I65" t="str">
        <f>IFERROR(__xludf.DUMMYFUNCTION("""COMPUTED_VALUE"""),"IT Operations")</f>
        <v>IT Operations</v>
      </c>
      <c r="J65" t="str">
        <f>IFERROR(__xludf.DUMMYFUNCTION("""COMPUTED_VALUE"""),"Operating Systems &amp; Servers")</f>
        <v>Operating Systems &amp; Servers</v>
      </c>
      <c r="K65">
        <f>IFERROR(__xludf.DUMMYFUNCTION("""COMPUTED_VALUE"""),578350.0)</f>
        <v>578350</v>
      </c>
      <c r="L65" s="140" t="str">
        <f>IFERROR(__xludf.DUMMYFUNCTION("""COMPUTED_VALUE"""),"Microsoft SQL Server Reporting Services (SSRS)")</f>
        <v>Microsoft SQL Server Reporting Services (SSRS)</v>
      </c>
      <c r="N65" s="140" t="str">
        <f>IFERROR(__xludf.DUMMYFUNCTION("""COMPUTED_VALUE"""),"")</f>
        <v/>
      </c>
    </row>
    <row r="66">
      <c r="A66" s="141">
        <f>IFERROR(__xludf.DUMMYFUNCTION("""COMPUTED_VALUE"""),44592.0)</f>
        <v>44592</v>
      </c>
      <c r="B66">
        <f>IFERROR(__xludf.DUMMYFUNCTION("""COMPUTED_VALUE"""),1061278.0)</f>
        <v>1061278</v>
      </c>
      <c r="C66" t="str">
        <f>IFERROR(__xludf.DUMMYFUNCTION("""COMPUTED_VALUE"""),"en")</f>
        <v>en</v>
      </c>
      <c r="D66" t="str">
        <f>IFERROR(__xludf.DUMMYFUNCTION("""COMPUTED_VALUE"""),"Dynamic 2D video game character animation with free tools")</f>
        <v>Dynamic 2D video game character animation with free tools</v>
      </c>
      <c r="E66" t="str">
        <f>IFERROR(__xludf.DUMMYFUNCTION("""COMPUTED_VALUE"""),"Dynamic 2D video game character animation with free tools")</f>
        <v>Dynamic 2D video game character animation with free tools</v>
      </c>
      <c r="F66" s="140">
        <f>IFERROR(__xludf.DUMMYFUNCTION("""COMPUTED_VALUE"""),7495694.0)</f>
        <v>7495694</v>
      </c>
      <c r="G66" s="140" t="str">
        <f>IFERROR(__xludf.DUMMYFUNCTION("""COMPUTED_VALUE"""),"István Szép")</f>
        <v>István Szép</v>
      </c>
      <c r="H66" t="str">
        <f>IFERROR(__xludf.DUMMYFUNCTION("""COMPUTED_VALUE"""),"3 Flags")</f>
        <v>3 Flags</v>
      </c>
      <c r="I66" t="str">
        <f>IFERROR(__xludf.DUMMYFUNCTION("""COMPUTED_VALUE"""),"Design")</f>
        <v>Design</v>
      </c>
      <c r="J66" t="str">
        <f>IFERROR(__xludf.DUMMYFUNCTION("""COMPUTED_VALUE"""),"Game Design")</f>
        <v>Game Design</v>
      </c>
      <c r="K66">
        <f>IFERROR(__xludf.DUMMYFUNCTION("""COMPUTED_VALUE"""),1791750.0)</f>
        <v>1791750</v>
      </c>
      <c r="L66" s="140" t="str">
        <f>IFERROR(__xludf.DUMMYFUNCTION("""COMPUTED_VALUE"""),"How to Make Professional 2D Animation Videos in Vyond")</f>
        <v>How to Make Professional 2D Animation Videos in Vyond</v>
      </c>
      <c r="N66" s="140" t="str">
        <f>IFERROR(__xludf.DUMMYFUNCTION("""COMPUTED_VALUE"""),"")</f>
        <v/>
      </c>
    </row>
    <row r="67">
      <c r="A67" s="141">
        <f>IFERROR(__xludf.DUMMYFUNCTION("""COMPUTED_VALUE"""),44592.0)</f>
        <v>44592</v>
      </c>
      <c r="B67">
        <f>IFERROR(__xludf.DUMMYFUNCTION("""COMPUTED_VALUE"""),1111116.0)</f>
        <v>1111116</v>
      </c>
      <c r="C67" t="str">
        <f>IFERROR(__xludf.DUMMYFUNCTION("""COMPUTED_VALUE"""),"de")</f>
        <v>de</v>
      </c>
      <c r="D67" t="str">
        <f>IFERROR(__xludf.DUMMYFUNCTION("""COMPUTED_VALUE"""),"Data Science, Apache Spark &amp; Python: Analysiere echte Daten!")</f>
        <v>Data Science, Apache Spark &amp; Python: Analysiere echte Daten!</v>
      </c>
      <c r="E67" t="str">
        <f>IFERROR(__xludf.DUMMYFUNCTION("""COMPUTED_VALUE"""),"Data Science, Apache Spark &amp; ​​Python: Analyze real data!")</f>
        <v>Data Science, Apache Spark &amp; ​​Python: Analyze real data!</v>
      </c>
      <c r="F67" s="140">
        <f>IFERROR(__xludf.DUMMYFUNCTION("""COMPUTED_VALUE"""),3.9081598E7)</f>
        <v>39081598</v>
      </c>
      <c r="G67" s="140" t="str">
        <f>IFERROR(__xludf.DUMMYFUNCTION("""COMPUTED_VALUE"""),"Jannis Seemann")</f>
        <v>Jannis Seemann</v>
      </c>
      <c r="H67" t="str">
        <f>IFERROR(__xludf.DUMMYFUNCTION("""COMPUTED_VALUE"""),"3 Flags")</f>
        <v>3 Flags</v>
      </c>
      <c r="I67" t="str">
        <f>IFERROR(__xludf.DUMMYFUNCTION("""COMPUTED_VALUE"""),"Data Science")</f>
        <v>Data Science</v>
      </c>
      <c r="J67" t="str">
        <f>IFERROR(__xludf.DUMMYFUNCTION("""COMPUTED_VALUE"""),"Big Data")</f>
        <v>Big Data</v>
      </c>
      <c r="K67">
        <f>IFERROR(__xludf.DUMMYFUNCTION("""COMPUTED_VALUE"""),1948756.0)</f>
        <v>1948756</v>
      </c>
      <c r="L67" s="140" t="str">
        <f>IFERROR(__xludf.DUMMYFUNCTION("""COMPUTED_VALUE"""),"Spark und Python für Big Data und Data Science mit PySpark")</f>
        <v>Spark und Python für Big Data und Data Science mit PySpark</v>
      </c>
      <c r="N67" s="140" t="str">
        <f>IFERROR(__xludf.DUMMYFUNCTION("""COMPUTED_VALUE"""),"")</f>
        <v/>
      </c>
    </row>
    <row r="68">
      <c r="A68" s="141">
        <f>IFERROR(__xludf.DUMMYFUNCTION("""COMPUTED_VALUE"""),44592.0)</f>
        <v>44592</v>
      </c>
      <c r="B68">
        <f>IFERROR(__xludf.DUMMYFUNCTION("""COMPUTED_VALUE"""),1206148.0)</f>
        <v>1206148</v>
      </c>
      <c r="C68" t="str">
        <f>IFERROR(__xludf.DUMMYFUNCTION("""COMPUTED_VALUE"""),"en")</f>
        <v>en</v>
      </c>
      <c r="D68" t="str">
        <f>IFERROR(__xludf.DUMMYFUNCTION("""COMPUTED_VALUE"""),"CCNA 200-301 IP Addressing and Subnetting - Exam Prep")</f>
        <v>CCNA 200-301 IP Addressing and Subnetting - Exam Prep</v>
      </c>
      <c r="E68" t="str">
        <f>IFERROR(__xludf.DUMMYFUNCTION("""COMPUTED_VALUE"""),"CCNA 200-301 IP Addressing and Subnetting - Exam Prep")</f>
        <v>CCNA 200-301 IP Addressing and Subnetting - Exam Prep</v>
      </c>
      <c r="F68" s="140">
        <f>IFERROR(__xludf.DUMMYFUNCTION("""COMPUTED_VALUE"""),794308.0)</f>
        <v>794308</v>
      </c>
      <c r="G68" s="140" t="str">
        <f>IFERROR(__xludf.DUMMYFUNCTION("""COMPUTED_VALUE"""),"David Bombal")</f>
        <v>David Bombal</v>
      </c>
      <c r="H68" t="str">
        <f>IFERROR(__xludf.DUMMYFUNCTION("""COMPUTED_VALUE"""),"3 Flags")</f>
        <v>3 Flags</v>
      </c>
      <c r="I68" t="str">
        <f>IFERROR(__xludf.DUMMYFUNCTION("""COMPUTED_VALUE"""),"IT Operations")</f>
        <v>IT Operations</v>
      </c>
      <c r="J68" t="str">
        <f>IFERROR(__xludf.DUMMYFUNCTION("""COMPUTED_VALUE"""),"IT Certifications")</f>
        <v>IT Certifications</v>
      </c>
      <c r="K68">
        <f>IFERROR(__xludf.DUMMYFUNCTION("""COMPUTED_VALUE"""),2804061.0)</f>
        <v>2804061</v>
      </c>
      <c r="L68" s="140" t="str">
        <f>IFERROR(__xludf.DUMMYFUNCTION("""COMPUTED_VALUE"""),"CCNA 200-301 Pre-Exam Practice Tests")</f>
        <v>CCNA 200-301 Pre-Exam Practice Tests</v>
      </c>
      <c r="N68" s="140" t="str">
        <f>IFERROR(__xludf.DUMMYFUNCTION("""COMPUTED_VALUE"""),"")</f>
        <v/>
      </c>
    </row>
    <row r="69">
      <c r="A69" s="141">
        <f>IFERROR(__xludf.DUMMYFUNCTION("""COMPUTED_VALUE"""),44592.0)</f>
        <v>44592</v>
      </c>
      <c r="B69">
        <f>IFERROR(__xludf.DUMMYFUNCTION("""COMPUTED_VALUE"""),1277856.0)</f>
        <v>1277856</v>
      </c>
      <c r="C69" t="str">
        <f>IFERROR(__xludf.DUMMYFUNCTION("""COMPUTED_VALUE"""),"en")</f>
        <v>en</v>
      </c>
      <c r="D69" t="str">
        <f>IFERROR(__xludf.DUMMYFUNCTION("""COMPUTED_VALUE"""),"Step by Step Branding and Customizing Search in SharePoint")</f>
        <v>Step by Step Branding and Customizing Search in SharePoint</v>
      </c>
      <c r="E69" t="str">
        <f>IFERROR(__xludf.DUMMYFUNCTION("""COMPUTED_VALUE"""),"Step by Step Branding and Customizing Search in SharePoint")</f>
        <v>Step by Step Branding and Customizing Search in SharePoint</v>
      </c>
      <c r="F69" s="140">
        <f>IFERROR(__xludf.DUMMYFUNCTION("""COMPUTED_VALUE"""),1.5711754E7)</f>
        <v>15711754</v>
      </c>
      <c r="G69" s="140" t="str">
        <f>IFERROR(__xludf.DUMMYFUNCTION("""COMPUTED_VALUE"""),"Aftab Syed")</f>
        <v>Aftab Syed</v>
      </c>
      <c r="H69" t="str">
        <f>IFERROR(__xludf.DUMMYFUNCTION("""COMPUTED_VALUE"""),"3 Flags")</f>
        <v>3 Flags</v>
      </c>
      <c r="I69" t="str">
        <f>IFERROR(__xludf.DUMMYFUNCTION("""COMPUTED_VALUE"""),"Office Productivity")</f>
        <v>Office Productivity</v>
      </c>
      <c r="J69" t="str">
        <f>IFERROR(__xludf.DUMMYFUNCTION("""COMPUTED_VALUE"""),"Collaboration")</f>
        <v>Collaboration</v>
      </c>
      <c r="L69" s="140" t="str">
        <f>IFERROR(__xludf.DUMMYFUNCTION("""COMPUTED_VALUE"""),"")</f>
        <v/>
      </c>
      <c r="N69" s="140" t="str">
        <f>IFERROR(__xludf.DUMMYFUNCTION("""COMPUTED_VALUE"""),"")</f>
        <v/>
      </c>
    </row>
    <row r="70">
      <c r="A70" s="141">
        <f>IFERROR(__xludf.DUMMYFUNCTION("""COMPUTED_VALUE"""),44592.0)</f>
        <v>44592</v>
      </c>
      <c r="B70">
        <f>IFERROR(__xludf.DUMMYFUNCTION("""COMPUTED_VALUE"""),1320062.0)</f>
        <v>1320062</v>
      </c>
      <c r="C70" t="str">
        <f>IFERROR(__xludf.DUMMYFUNCTION("""COMPUTED_VALUE"""),"de")</f>
        <v>de</v>
      </c>
      <c r="D70" t="str">
        <f>IFERROR(__xludf.DUMMYFUNCTION("""COMPUTED_VALUE"""),"Divi: WordPress Theme Grundlagen")</f>
        <v>Divi: WordPress Theme Grundlagen</v>
      </c>
      <c r="E70" t="str">
        <f>IFERROR(__xludf.DUMMYFUNCTION("""COMPUTED_VALUE"""),"Divi: WordPress Theme Basics")</f>
        <v>Divi: WordPress Theme Basics</v>
      </c>
      <c r="F70" s="140">
        <f>IFERROR(__xludf.DUMMYFUNCTION("""COMPUTED_VALUE"""),3508340.0)</f>
        <v>3508340</v>
      </c>
      <c r="G70" s="140" t="str">
        <f>IFERROR(__xludf.DUMMYFUNCTION("""COMPUTED_VALUE"""),"Andreas Geibert")</f>
        <v>Andreas Geibert</v>
      </c>
      <c r="H70" t="str">
        <f>IFERROR(__xludf.DUMMYFUNCTION("""COMPUTED_VALUE"""),"3 Flags")</f>
        <v>3 Flags</v>
      </c>
      <c r="I70" t="str">
        <f>IFERROR(__xludf.DUMMYFUNCTION("""COMPUTED_VALUE"""),"Development")</f>
        <v>Development</v>
      </c>
      <c r="J70" t="str">
        <f>IFERROR(__xludf.DUMMYFUNCTION("""COMPUTED_VALUE"""),"Web Development")</f>
        <v>Web Development</v>
      </c>
      <c r="K70">
        <f>IFERROR(__xludf.DUMMYFUNCTION("""COMPUTED_VALUE"""),3379528.0)</f>
        <v>3379528</v>
      </c>
      <c r="L70" s="140" t="str">
        <f>IFERROR(__xludf.DUMMYFUNCTION("""COMPUTED_VALUE"""),"Divi Masterclass: Website erstellen mit WordPress Theme Divi")</f>
        <v>Divi Masterclass: Website erstellen mit WordPress Theme Divi</v>
      </c>
      <c r="N70" s="140" t="str">
        <f>IFERROR(__xludf.DUMMYFUNCTION("""COMPUTED_VALUE"""),"")</f>
        <v/>
      </c>
    </row>
    <row r="71">
      <c r="A71" s="141">
        <f>IFERROR(__xludf.DUMMYFUNCTION("""COMPUTED_VALUE"""),44592.0)</f>
        <v>44592</v>
      </c>
      <c r="B71">
        <f>IFERROR(__xludf.DUMMYFUNCTION("""COMPUTED_VALUE"""),1330246.0)</f>
        <v>1330246</v>
      </c>
      <c r="C71" t="str">
        <f>IFERROR(__xludf.DUMMYFUNCTION("""COMPUTED_VALUE"""),"en")</f>
        <v>en</v>
      </c>
      <c r="D71" t="str">
        <f>IFERROR(__xludf.DUMMYFUNCTION("""COMPUTED_VALUE"""),"TensorFlow 101: Introduction to Deep Learning")</f>
        <v>TensorFlow 101: Introduction to Deep Learning</v>
      </c>
      <c r="E71" t="str">
        <f>IFERROR(__xludf.DUMMYFUNCTION("""COMPUTED_VALUE"""),"TensorFlow 101: Introduction to Deep Learning")</f>
        <v>TensorFlow 101: Introduction to Deep Learning</v>
      </c>
      <c r="F71" s="140">
        <f>IFERROR(__xludf.DUMMYFUNCTION("""COMPUTED_VALUE"""),3.458859E7)</f>
        <v>34588590</v>
      </c>
      <c r="G71" s="140" t="str">
        <f>IFERROR(__xludf.DUMMYFUNCTION("""COMPUTED_VALUE"""),"Sefik Ilkin Serengil")</f>
        <v>Sefik Ilkin Serengil</v>
      </c>
      <c r="H71" t="str">
        <f>IFERROR(__xludf.DUMMYFUNCTION("""COMPUTED_VALUE"""),"3 Flags")</f>
        <v>3 Flags</v>
      </c>
      <c r="I71" t="str">
        <f>IFERROR(__xludf.DUMMYFUNCTION("""COMPUTED_VALUE"""),"Data Science")</f>
        <v>Data Science</v>
      </c>
      <c r="J71" t="str">
        <f>IFERROR(__xludf.DUMMYFUNCTION("""COMPUTED_VALUE"""),"Machine Learning")</f>
        <v>Machine Learning</v>
      </c>
      <c r="K71">
        <f>IFERROR(__xludf.DUMMYFUNCTION("""COMPUTED_VALUE"""),3693164.0)</f>
        <v>3693164</v>
      </c>
      <c r="L71" s="140" t="str">
        <f>IFERROR(__xludf.DUMMYFUNCTION("""COMPUTED_VALUE"""),"TensorFlow Developer Certificate in 2022: Zero to Mastery")</f>
        <v>TensorFlow Developer Certificate in 2022: Zero to Mastery</v>
      </c>
      <c r="N71" s="140" t="str">
        <f>IFERROR(__xludf.DUMMYFUNCTION("""COMPUTED_VALUE"""),"")</f>
        <v/>
      </c>
    </row>
    <row r="72">
      <c r="A72" s="141">
        <f>IFERROR(__xludf.DUMMYFUNCTION("""COMPUTED_VALUE"""),44592.0)</f>
        <v>44592</v>
      </c>
      <c r="B72">
        <f>IFERROR(__xludf.DUMMYFUNCTION("""COMPUTED_VALUE"""),1493880.0)</f>
        <v>1493880</v>
      </c>
      <c r="C72" t="str">
        <f>IFERROR(__xludf.DUMMYFUNCTION("""COMPUTED_VALUE"""),"es")</f>
        <v>es</v>
      </c>
      <c r="D72" t="str">
        <f>IFERROR(__xludf.DUMMYFUNCTION("""COMPUTED_VALUE"""),"Curso para iniciar en YouTube y generar ingresos")</f>
        <v>Curso para iniciar en YouTube y generar ingresos</v>
      </c>
      <c r="E72" t="str">
        <f>IFERROR(__xludf.DUMMYFUNCTION("""COMPUTED_VALUE"""),"Course to start on YouTube and generate income")</f>
        <v>Course to start on YouTube and generate income</v>
      </c>
      <c r="F72" s="140">
        <f>IFERROR(__xludf.DUMMYFUNCTION("""COMPUTED_VALUE"""),2.3291626E7)</f>
        <v>23291626</v>
      </c>
      <c r="G72" s="140" t="str">
        <f>IFERROR(__xludf.DUMMYFUNCTION("""COMPUTED_VALUE"""),"Eduardo Meza")</f>
        <v>Eduardo Meza</v>
      </c>
      <c r="H72" t="str">
        <f>IFERROR(__xludf.DUMMYFUNCTION("""COMPUTED_VALUE"""),"3 Flags")</f>
        <v>3 Flags</v>
      </c>
      <c r="I72" t="str">
        <f>IFERROR(__xludf.DUMMYFUNCTION("""COMPUTED_VALUE"""),"Marketing")</f>
        <v>Marketing</v>
      </c>
      <c r="J72" t="str">
        <f>IFERROR(__xludf.DUMMYFUNCTION("""COMPUTED_VALUE"""),"Video &amp; Mobile Marketing")</f>
        <v>Video &amp; Mobile Marketing</v>
      </c>
      <c r="K72">
        <f>IFERROR(__xludf.DUMMYFUNCTION("""COMPUTED_VALUE"""),3229207.0)</f>
        <v>3229207</v>
      </c>
      <c r="L72" s="140" t="str">
        <f>IFERROR(__xludf.DUMMYFUNCTION("""COMPUTED_VALUE"""),"Máster en Marketing Digital - Posiciona tu negocio en la web")</f>
        <v>Máster en Marketing Digital - Posiciona tu negocio en la web</v>
      </c>
      <c r="N72" s="140" t="str">
        <f>IFERROR(__xludf.DUMMYFUNCTION("""COMPUTED_VALUE"""),"")</f>
        <v/>
      </c>
    </row>
    <row r="73">
      <c r="A73" s="141">
        <f>IFERROR(__xludf.DUMMYFUNCTION("""COMPUTED_VALUE"""),44592.0)</f>
        <v>44592</v>
      </c>
      <c r="B73">
        <f>IFERROR(__xludf.DUMMYFUNCTION("""COMPUTED_VALUE"""),1561898.0)</f>
        <v>1561898</v>
      </c>
      <c r="C73" t="str">
        <f>IFERROR(__xludf.DUMMYFUNCTION("""COMPUTED_VALUE"""),"es")</f>
        <v>es</v>
      </c>
      <c r="D73" t="str">
        <f>IFERROR(__xludf.DUMMYFUNCTION("""COMPUTED_VALUE"""),"Excel para la Gestión de Recursos Humanos")</f>
        <v>Excel para la Gestión de Recursos Humanos</v>
      </c>
      <c r="E73" t="str">
        <f>IFERROR(__xludf.DUMMYFUNCTION("""COMPUTED_VALUE"""),"Excel for human resources management")</f>
        <v>Excel for human resources management</v>
      </c>
      <c r="F73" s="140">
        <f>IFERROR(__xludf.DUMMYFUNCTION("""COMPUTED_VALUE"""),3.910707E7)</f>
        <v>39107070</v>
      </c>
      <c r="G73" s="140" t="str">
        <f>IFERROR(__xludf.DUMMYFUNCTION("""COMPUTED_VALUE"""),"Jose Gregorio Guevara Liendo")</f>
        <v>Jose Gregorio Guevara Liendo</v>
      </c>
      <c r="H73" t="str">
        <f>IFERROR(__xludf.DUMMYFUNCTION("""COMPUTED_VALUE"""),"3 Flags")</f>
        <v>3 Flags</v>
      </c>
      <c r="I73" t="str">
        <f>IFERROR(__xludf.DUMMYFUNCTION("""COMPUTED_VALUE"""),"Office Productivity")</f>
        <v>Office Productivity</v>
      </c>
      <c r="J73" t="str">
        <f>IFERROR(__xludf.DUMMYFUNCTION("""COMPUTED_VALUE"""),"Spreadsheets")</f>
        <v>Spreadsheets</v>
      </c>
      <c r="K73">
        <f>IFERROR(__xludf.DUMMYFUNCTION("""COMPUTED_VALUE"""),1981074.0)</f>
        <v>1981074</v>
      </c>
      <c r="L73" s="140" t="str">
        <f>IFERROR(__xludf.DUMMYFUNCTION("""COMPUTED_VALUE"""),"Microsoft Excel - Fórmulas y Funciones Avanzadas en Excel")</f>
        <v>Microsoft Excel - Fórmulas y Funciones Avanzadas en Excel</v>
      </c>
      <c r="N73" s="140" t="str">
        <f>IFERROR(__xludf.DUMMYFUNCTION("""COMPUTED_VALUE"""),"")</f>
        <v/>
      </c>
    </row>
    <row r="74">
      <c r="A74" s="141">
        <f>IFERROR(__xludf.DUMMYFUNCTION("""COMPUTED_VALUE"""),44592.0)</f>
        <v>44592</v>
      </c>
      <c r="B74">
        <f>IFERROR(__xludf.DUMMYFUNCTION("""COMPUTED_VALUE"""),1713386.0)</f>
        <v>1713386</v>
      </c>
      <c r="C74" t="str">
        <f>IFERROR(__xludf.DUMMYFUNCTION("""COMPUTED_VALUE"""),"en")</f>
        <v>en</v>
      </c>
      <c r="D74" t="str">
        <f>IFERROR(__xludf.DUMMYFUNCTION("""COMPUTED_VALUE"""),"MacOS Apps for iOS Developers")</f>
        <v>MacOS Apps for iOS Developers</v>
      </c>
      <c r="E74" t="str">
        <f>IFERROR(__xludf.DUMMYFUNCTION("""COMPUTED_VALUE"""),"MacOS Apps for iOS Developers")</f>
        <v>MacOS Apps for iOS Developers</v>
      </c>
      <c r="F74" s="140">
        <f>IFERROR(__xludf.DUMMYFUNCTION("""COMPUTED_VALUE"""),5653090.0)</f>
        <v>5653090</v>
      </c>
      <c r="G74" s="140" t="str">
        <f>IFERROR(__xludf.DUMMYFUNCTION("""COMPUTED_VALUE"""),"Nick Walter")</f>
        <v>Nick Walter</v>
      </c>
      <c r="H74" t="str">
        <f>IFERROR(__xludf.DUMMYFUNCTION("""COMPUTED_VALUE"""),"3 Flags")</f>
        <v>3 Flags</v>
      </c>
      <c r="I74" t="str">
        <f>IFERROR(__xludf.DUMMYFUNCTION("""COMPUTED_VALUE"""),"Development")</f>
        <v>Development</v>
      </c>
      <c r="J74" t="str">
        <f>IFERROR(__xludf.DUMMYFUNCTION("""COMPUTED_VALUE"""),"Mobile Development")</f>
        <v>Mobile Development</v>
      </c>
      <c r="L74" s="140" t="str">
        <f>IFERROR(__xludf.DUMMYFUNCTION("""COMPUTED_VALUE"""),"")</f>
        <v/>
      </c>
      <c r="N74" s="140" t="str">
        <f>IFERROR(__xludf.DUMMYFUNCTION("""COMPUTED_VALUE"""),"")</f>
        <v/>
      </c>
    </row>
    <row r="75">
      <c r="A75" s="141">
        <f>IFERROR(__xludf.DUMMYFUNCTION("""COMPUTED_VALUE"""),44592.0)</f>
        <v>44592</v>
      </c>
      <c r="B75">
        <f>IFERROR(__xludf.DUMMYFUNCTION("""COMPUTED_VALUE"""),1722568.0)</f>
        <v>1722568</v>
      </c>
      <c r="C75" t="str">
        <f>IFERROR(__xludf.DUMMYFUNCTION("""COMPUTED_VALUE"""),"en")</f>
        <v>en</v>
      </c>
      <c r="D75" t="str">
        <f>IFERROR(__xludf.DUMMYFUNCTION("""COMPUTED_VALUE"""),"ADSENSE ARBITRAGE:  ADSENSE TRAFFIC ARBITRAGE")</f>
        <v>ADSENSE ARBITRAGE:  ADSENSE TRAFFIC ARBITRAGE</v>
      </c>
      <c r="E75" t="str">
        <f>IFERROR(__xludf.DUMMYFUNCTION("""COMPUTED_VALUE"""),"ADSENSE ARBITRAGE:  ADSENSE TRAFFIC ARBITRAGE")</f>
        <v>ADSENSE ARBITRAGE:  ADSENSE TRAFFIC ARBITRAGE</v>
      </c>
      <c r="F75" s="140">
        <f>IFERROR(__xludf.DUMMYFUNCTION("""COMPUTED_VALUE"""),4.5236788E7)</f>
        <v>45236788</v>
      </c>
      <c r="G75" s="140" t="str">
        <f>IFERROR(__xludf.DUMMYFUNCTION("""COMPUTED_VALUE"""),"Raj Kumar")</f>
        <v>Raj Kumar</v>
      </c>
      <c r="H75" t="str">
        <f>IFERROR(__xludf.DUMMYFUNCTION("""COMPUTED_VALUE"""),"3 Flags")</f>
        <v>3 Flags</v>
      </c>
      <c r="I75" t="str">
        <f>IFERROR(__xludf.DUMMYFUNCTION("""COMPUTED_VALUE"""),"Sales")</f>
        <v>Sales</v>
      </c>
      <c r="J75" t="str">
        <f>IFERROR(__xludf.DUMMYFUNCTION("""COMPUTED_VALUE"""),"Sales Skills &amp; Tools")</f>
        <v>Sales Skills &amp; Tools</v>
      </c>
      <c r="L75" s="140" t="str">
        <f>IFERROR(__xludf.DUMMYFUNCTION("""COMPUTED_VALUE"""),"")</f>
        <v/>
      </c>
      <c r="N75" s="140" t="str">
        <f>IFERROR(__xludf.DUMMYFUNCTION("""COMPUTED_VALUE"""),"")</f>
        <v/>
      </c>
    </row>
    <row r="76">
      <c r="A76" s="141">
        <f>IFERROR(__xludf.DUMMYFUNCTION("""COMPUTED_VALUE"""),44592.0)</f>
        <v>44592</v>
      </c>
      <c r="B76">
        <f>IFERROR(__xludf.DUMMYFUNCTION("""COMPUTED_VALUE"""),1767136.0)</f>
        <v>1767136</v>
      </c>
      <c r="C76" t="str">
        <f>IFERROR(__xludf.DUMMYFUNCTION("""COMPUTED_VALUE"""),"en")</f>
        <v>en</v>
      </c>
      <c r="D76" t="str">
        <f>IFERROR(__xludf.DUMMYFUNCTION("""COMPUTED_VALUE"""),"Learn Backup &amp; Restore with CommVault,Get a High paying JOB")</f>
        <v>Learn Backup &amp; Restore with CommVault,Get a High paying JOB</v>
      </c>
      <c r="E76" t="str">
        <f>IFERROR(__xludf.DUMMYFUNCTION("""COMPUTED_VALUE"""),"Learn Backup &amp; Restore with CommVault,Get a High paying JOB")</f>
        <v>Learn Backup &amp; Restore with CommVault,Get a High paying JOB</v>
      </c>
      <c r="F76" s="140">
        <f>IFERROR(__xludf.DUMMYFUNCTION("""COMPUTED_VALUE"""),2.4530656E7)</f>
        <v>24530656</v>
      </c>
      <c r="G76" s="140" t="str">
        <f>IFERROR(__xludf.DUMMYFUNCTION("""COMPUTED_VALUE"""),"Gary McNeely")</f>
        <v>Gary McNeely</v>
      </c>
      <c r="H76" t="str">
        <f>IFERROR(__xludf.DUMMYFUNCTION("""COMPUTED_VALUE"""),"3 Flags")</f>
        <v>3 Flags</v>
      </c>
      <c r="I76" t="str">
        <f>IFERROR(__xludf.DUMMYFUNCTION("""COMPUTED_VALUE"""),"IT Operations")</f>
        <v>IT Operations</v>
      </c>
      <c r="J76" t="str">
        <f>IFERROR(__xludf.DUMMYFUNCTION("""COMPUTED_VALUE"""),"Operating Systems &amp; Servers")</f>
        <v>Operating Systems &amp; Servers</v>
      </c>
      <c r="K76">
        <f>IFERROR(__xludf.DUMMYFUNCTION("""COMPUTED_VALUE"""),2812611.0)</f>
        <v>2812611</v>
      </c>
      <c r="L76" s="140" t="str">
        <f>IFERROR(__xludf.DUMMYFUNCTION("""COMPUTED_VALUE"""),"")</f>
        <v/>
      </c>
      <c r="N76" s="140" t="str">
        <f>IFERROR(__xludf.DUMMYFUNCTION("""COMPUTED_VALUE"""),"")</f>
        <v/>
      </c>
    </row>
    <row r="77">
      <c r="A77" s="141">
        <f>IFERROR(__xludf.DUMMYFUNCTION("""COMPUTED_VALUE"""),44592.0)</f>
        <v>44592</v>
      </c>
      <c r="B77">
        <f>IFERROR(__xludf.DUMMYFUNCTION("""COMPUTED_VALUE"""),1881734.0)</f>
        <v>1881734</v>
      </c>
      <c r="C77" t="str">
        <f>IFERROR(__xludf.DUMMYFUNCTION("""COMPUTED_VALUE"""),"en")</f>
        <v>en</v>
      </c>
      <c r="D77" t="str">
        <f>IFERROR(__xludf.DUMMYFUNCTION("""COMPUTED_VALUE"""),"EE1C01 - Electronics Engineering Bootcamp")</f>
        <v>EE1C01 - Electronics Engineering Bootcamp</v>
      </c>
      <c r="E77" t="str">
        <f>IFERROR(__xludf.DUMMYFUNCTION("""COMPUTED_VALUE"""),"EE1C01 - Electronics Engineering Bootcamp")</f>
        <v>EE1C01 - Electronics Engineering Bootcamp</v>
      </c>
      <c r="F77" s="140">
        <f>IFERROR(__xludf.DUMMYFUNCTION("""COMPUTED_VALUE"""),3.7336818E7)</f>
        <v>37336818</v>
      </c>
      <c r="G77" s="140" t="str">
        <f>IFERROR(__xludf.DUMMYFUNCTION("""COMPUTED_VALUE"""),"Moe Salih")</f>
        <v>Moe Salih</v>
      </c>
      <c r="H77" t="str">
        <f>IFERROR(__xludf.DUMMYFUNCTION("""COMPUTED_VALUE"""),"3 Flags")</f>
        <v>3 Flags</v>
      </c>
      <c r="I77" t="str">
        <f>IFERROR(__xludf.DUMMYFUNCTION("""COMPUTED_VALUE"""),"IT Operations")</f>
        <v>IT Operations</v>
      </c>
      <c r="J77" t="str">
        <f>IFERROR(__xludf.DUMMYFUNCTION("""COMPUTED_VALUE"""),"Hardware")</f>
        <v>Hardware</v>
      </c>
      <c r="L77" s="140" t="str">
        <f>IFERROR(__xludf.DUMMYFUNCTION("""COMPUTED_VALUE"""),"")</f>
        <v/>
      </c>
      <c r="N77" s="140" t="str">
        <f>IFERROR(__xludf.DUMMYFUNCTION("""COMPUTED_VALUE"""),"")</f>
        <v/>
      </c>
    </row>
    <row r="78">
      <c r="A78" s="141">
        <f>IFERROR(__xludf.DUMMYFUNCTION("""COMPUTED_VALUE"""),44592.0)</f>
        <v>44592</v>
      </c>
      <c r="B78">
        <f>IFERROR(__xludf.DUMMYFUNCTION("""COMPUTED_VALUE"""),1896718.0)</f>
        <v>1896718</v>
      </c>
      <c r="C78" t="str">
        <f>IFERROR(__xludf.DUMMYFUNCTION("""COMPUTED_VALUE"""),"en")</f>
        <v>en</v>
      </c>
      <c r="D78" t="str">
        <f>IFERROR(__xludf.DUMMYFUNCTION("""COMPUTED_VALUE"""),"The Complete Guide to Designing a Mobile App")</f>
        <v>The Complete Guide to Designing a Mobile App</v>
      </c>
      <c r="E78" t="str">
        <f>IFERROR(__xludf.DUMMYFUNCTION("""COMPUTED_VALUE"""),"The Complete Guide to Designing a Mobile App")</f>
        <v>The Complete Guide to Designing a Mobile App</v>
      </c>
      <c r="F78" s="140">
        <f>IFERROR(__xludf.DUMMYFUNCTION("""COMPUTED_VALUE"""),3.3231436E7)</f>
        <v>33231436</v>
      </c>
      <c r="G78" s="140" t="str">
        <f>IFERROR(__xludf.DUMMYFUNCTION("""COMPUTED_VALUE"""),"Codestars by Rob Percival")</f>
        <v>Codestars by Rob Percival</v>
      </c>
      <c r="H78" t="str">
        <f>IFERROR(__xludf.DUMMYFUNCTION("""COMPUTED_VALUE"""),"3 Flags")</f>
        <v>3 Flags</v>
      </c>
      <c r="I78" t="str">
        <f>IFERROR(__xludf.DUMMYFUNCTION("""COMPUTED_VALUE"""),"Design")</f>
        <v>Design</v>
      </c>
      <c r="J78" t="str">
        <f>IFERROR(__xludf.DUMMYFUNCTION("""COMPUTED_VALUE"""),"Mobile Design")</f>
        <v>Mobile Design</v>
      </c>
      <c r="L78" s="140" t="str">
        <f>IFERROR(__xludf.DUMMYFUNCTION("""COMPUTED_VALUE"""),"")</f>
        <v/>
      </c>
      <c r="N78" s="140" t="str">
        <f>IFERROR(__xludf.DUMMYFUNCTION("""COMPUTED_VALUE"""),"")</f>
        <v/>
      </c>
    </row>
    <row r="79">
      <c r="A79" s="141">
        <f>IFERROR(__xludf.DUMMYFUNCTION("""COMPUTED_VALUE"""),44592.0)</f>
        <v>44592</v>
      </c>
      <c r="B79">
        <f>IFERROR(__xludf.DUMMYFUNCTION("""COMPUTED_VALUE"""),2289889.0)</f>
        <v>2289889</v>
      </c>
      <c r="C79" t="str">
        <f>IFERROR(__xludf.DUMMYFUNCTION("""COMPUTED_VALUE"""),"en")</f>
        <v>en</v>
      </c>
      <c r="D79" t="str">
        <f>IFERROR(__xludf.DUMMYFUNCTION("""COMPUTED_VALUE"""),"ANSYS ICEMCFD Hexa Basic course  (Part 1)")</f>
        <v>ANSYS ICEMCFD Hexa Basic course  (Part 1)</v>
      </c>
      <c r="E79" t="str">
        <f>IFERROR(__xludf.DUMMYFUNCTION("""COMPUTED_VALUE"""),"ANSYS ICEMCFD Hexa Basic course  (Part 1)")</f>
        <v>ANSYS ICEMCFD Hexa Basic course  (Part 1)</v>
      </c>
      <c r="F79" s="140">
        <f>IFERROR(__xludf.DUMMYFUNCTION("""COMPUTED_VALUE"""),3.404151E7)</f>
        <v>34041510</v>
      </c>
      <c r="G79" s="140" t="str">
        <f>IFERROR(__xludf.DUMMYFUNCTION("""COMPUTED_VALUE"""),"Sijal Ahmed")</f>
        <v>Sijal Ahmed</v>
      </c>
      <c r="H79" t="str">
        <f>IFERROR(__xludf.DUMMYFUNCTION("""COMPUTED_VALUE"""),"3 Flags")</f>
        <v>3 Flags</v>
      </c>
      <c r="I79" t="str">
        <f>IFERROR(__xludf.DUMMYFUNCTION("""COMPUTED_VALUE"""),"Design")</f>
        <v>Design</v>
      </c>
      <c r="J79" t="str">
        <f>IFERROR(__xludf.DUMMYFUNCTION("""COMPUTED_VALUE"""),"Design Tools")</f>
        <v>Design Tools</v>
      </c>
      <c r="K79">
        <f>IFERROR(__xludf.DUMMYFUNCTION("""COMPUTED_VALUE"""),1951990.0)</f>
        <v>1951990</v>
      </c>
      <c r="L79" s="140" t="str">
        <f>IFERROR(__xludf.DUMMYFUNCTION("""COMPUTED_VALUE"""),"")</f>
        <v/>
      </c>
    </row>
    <row r="80">
      <c r="A80" s="141">
        <f>IFERROR(__xludf.DUMMYFUNCTION("""COMPUTED_VALUE"""),44592.0)</f>
        <v>44592</v>
      </c>
      <c r="B80">
        <f>IFERROR(__xludf.DUMMYFUNCTION("""COMPUTED_VALUE"""),2547537.0)</f>
        <v>2547537</v>
      </c>
      <c r="C80" t="str">
        <f>IFERROR(__xludf.DUMMYFUNCTION("""COMPUTED_VALUE"""),"en")</f>
        <v>en</v>
      </c>
      <c r="D80" t="str">
        <f>IFERROR(__xludf.DUMMYFUNCTION("""COMPUTED_VALUE"""),"Learn the Newest and EASIEST React Native Stack")</f>
        <v>Learn the Newest and EASIEST React Native Stack</v>
      </c>
      <c r="E80" t="str">
        <f>IFERROR(__xludf.DUMMYFUNCTION("""COMPUTED_VALUE"""),"Learn the Newest and EASIEST React Native Stack")</f>
        <v>Learn the Newest and EASIEST React Native Stack</v>
      </c>
      <c r="F80">
        <f>IFERROR(__xludf.DUMMYFUNCTION("""COMPUTED_VALUE"""),1.0312216E7)</f>
        <v>10312216</v>
      </c>
      <c r="G80" t="str">
        <f>IFERROR(__xludf.DUMMYFUNCTION("""COMPUTED_VALUE"""),"Sezgi Ulucam")</f>
        <v>Sezgi Ulucam</v>
      </c>
      <c r="H80" t="str">
        <f>IFERROR(__xludf.DUMMYFUNCTION("""COMPUTED_VALUE"""),"3 Flags")</f>
        <v>3 Flags</v>
      </c>
      <c r="I80" s="140" t="str">
        <f>IFERROR(__xludf.DUMMYFUNCTION("""COMPUTED_VALUE"""),"Development")</f>
        <v>Development</v>
      </c>
      <c r="J80" s="140" t="str">
        <f>IFERROR(__xludf.DUMMYFUNCTION("""COMPUTED_VALUE"""),"Mobile Development")</f>
        <v>Mobile Development</v>
      </c>
      <c r="K80">
        <f>IFERROR(__xludf.DUMMYFUNCTION("""COMPUTED_VALUE"""),1589310.0)</f>
        <v>1589310</v>
      </c>
      <c r="L80" s="140" t="str">
        <f>IFERROR(__xludf.DUMMYFUNCTION("""COMPUTED_VALUE"""),"The complete React Native course ( 2021 edition )")</f>
        <v>The complete React Native course ( 2021 edition )</v>
      </c>
      <c r="N80" s="140" t="str">
        <f>IFERROR(__xludf.DUMMYFUNCTION("""COMPUTED_VALUE"""),"")</f>
        <v/>
      </c>
    </row>
    <row r="81">
      <c r="A81" s="141">
        <f>IFERROR(__xludf.DUMMYFUNCTION("""COMPUTED_VALUE"""),44592.0)</f>
        <v>44592</v>
      </c>
      <c r="B81">
        <f>IFERROR(__xludf.DUMMYFUNCTION("""COMPUTED_VALUE"""),2816705.0)</f>
        <v>2816705</v>
      </c>
      <c r="C81" t="str">
        <f>IFERROR(__xludf.DUMMYFUNCTION("""COMPUTED_VALUE"""),"en")</f>
        <v>en</v>
      </c>
      <c r="D81" t="str">
        <f>IFERROR(__xludf.DUMMYFUNCTION("""COMPUTED_VALUE"""),"SPS ™ Scaled Professional Scrum ™ - Nexus ™ 2021 (160 Q)")</f>
        <v>SPS ™ Scaled Professional Scrum ™ - Nexus ™ 2021 (160 Q)</v>
      </c>
      <c r="E81" t="str">
        <f>IFERROR(__xludf.DUMMYFUNCTION("""COMPUTED_VALUE"""),"SPS ™ Scaled Professional Scrum ™ - Nexus ™ 2021 (160 Q)")</f>
        <v>SPS ™ Scaled Professional Scrum ™ - Nexus ™ 2021 (160 Q)</v>
      </c>
      <c r="F81">
        <f>IFERROR(__xludf.DUMMYFUNCTION("""COMPUTED_VALUE"""),5.3438756E7)</f>
        <v>53438756</v>
      </c>
      <c r="G81" t="str">
        <f>IFERROR(__xludf.DUMMYFUNCTION("""COMPUTED_VALUE"""),"Sammy The Teacher")</f>
        <v>Sammy The Teacher</v>
      </c>
      <c r="H81" t="str">
        <f>IFERROR(__xludf.DUMMYFUNCTION("""COMPUTED_VALUE"""),"3 Flags")</f>
        <v>3 Flags</v>
      </c>
      <c r="I81" s="140" t="str">
        <f>IFERROR(__xludf.DUMMYFUNCTION("""COMPUTED_VALUE"""),"IT Operations")</f>
        <v>IT Operations</v>
      </c>
      <c r="J81" s="140" t="str">
        <f>IFERROR(__xludf.DUMMYFUNCTION("""COMPUTED_VALUE"""),"IT Certifications")</f>
        <v>IT Certifications</v>
      </c>
      <c r="L81" s="140" t="str">
        <f>IFERROR(__xludf.DUMMYFUNCTION("""COMPUTED_VALUE"""),"")</f>
        <v/>
      </c>
      <c r="N81" s="140" t="str">
        <f>IFERROR(__xludf.DUMMYFUNCTION("""COMPUTED_VALUE"""),"")</f>
        <v/>
      </c>
    </row>
    <row r="82">
      <c r="A82" s="141">
        <f>IFERROR(__xludf.DUMMYFUNCTION("""COMPUTED_VALUE"""),44592.0)</f>
        <v>44592</v>
      </c>
      <c r="B82">
        <f>IFERROR(__xludf.DUMMYFUNCTION("""COMPUTED_VALUE"""),3481720.0)</f>
        <v>3481720</v>
      </c>
      <c r="C82" t="str">
        <f>IFERROR(__xludf.DUMMYFUNCTION("""COMPUTED_VALUE"""),"en")</f>
        <v>en</v>
      </c>
      <c r="D82" t="str">
        <f>IFERROR(__xludf.DUMMYFUNCTION("""COMPUTED_VALUE"""),"Linux Kernel Development Model and Compilation")</f>
        <v>Linux Kernel Development Model and Compilation</v>
      </c>
      <c r="E82" t="str">
        <f>IFERROR(__xludf.DUMMYFUNCTION("""COMPUTED_VALUE"""),"Linux Kernel Development Model and Compilation")</f>
        <v>Linux Kernel Development Model and Compilation</v>
      </c>
      <c r="F82">
        <f>IFERROR(__xludf.DUMMYFUNCTION("""COMPUTED_VALUE"""),7.7763704E7)</f>
        <v>77763704</v>
      </c>
      <c r="G82" t="str">
        <f>IFERROR(__xludf.DUMMYFUNCTION("""COMPUTED_VALUE"""),"Linux Trainer")</f>
        <v>Linux Trainer</v>
      </c>
      <c r="H82" t="str">
        <f>IFERROR(__xludf.DUMMYFUNCTION("""COMPUTED_VALUE"""),"3 Flags")</f>
        <v>3 Flags</v>
      </c>
      <c r="I82" s="140" t="str">
        <f>IFERROR(__xludf.DUMMYFUNCTION("""COMPUTED_VALUE"""),"IT Operations")</f>
        <v>IT Operations</v>
      </c>
      <c r="J82" s="140" t="str">
        <f>IFERROR(__xludf.DUMMYFUNCTION("""COMPUTED_VALUE"""),"Operating Systems &amp; Servers")</f>
        <v>Operating Systems &amp; Servers</v>
      </c>
      <c r="K82">
        <f>IFERROR(__xludf.DUMMYFUNCTION("""COMPUTED_VALUE"""),1523066.0)</f>
        <v>1523066</v>
      </c>
      <c r="L82" s="140" t="str">
        <f>IFERROR(__xludf.DUMMYFUNCTION("""COMPUTED_VALUE"""),"Complete Linux Training Course to Get Your Dream IT Job 2021")</f>
        <v>Complete Linux Training Course to Get Your Dream IT Job 2021</v>
      </c>
      <c r="N82" s="140" t="str">
        <f>IFERROR(__xludf.DUMMYFUNCTION("""COMPUTED_VALUE"""),"")</f>
        <v/>
      </c>
    </row>
    <row r="83">
      <c r="A83" s="141">
        <f>IFERROR(__xludf.DUMMYFUNCTION("""COMPUTED_VALUE"""),44592.0)</f>
        <v>44592</v>
      </c>
      <c r="B83">
        <f>IFERROR(__xludf.DUMMYFUNCTION("""COMPUTED_VALUE"""),3520898.0)</f>
        <v>3520898</v>
      </c>
      <c r="C83" t="str">
        <f>IFERROR(__xludf.DUMMYFUNCTION("""COMPUTED_VALUE"""),"en")</f>
        <v>en</v>
      </c>
      <c r="D83" t="str">
        <f>IFERROR(__xludf.DUMMYFUNCTION("""COMPUTED_VALUE"""),"Exam MS-700: Managing Microsoft Teams Questions &amp; Answers")</f>
        <v>Exam MS-700: Managing Microsoft Teams Questions &amp; Answers</v>
      </c>
      <c r="F83">
        <f>IFERROR(__xludf.DUMMYFUNCTION("""COMPUTED_VALUE"""),9796104.0)</f>
        <v>9796104</v>
      </c>
      <c r="G83" t="str">
        <f>IFERROR(__xludf.DUMMYFUNCTION("""COMPUTED_VALUE"""),"Marjan Jordanovski")</f>
        <v>Marjan Jordanovski</v>
      </c>
      <c r="H83" t="str">
        <f>IFERROR(__xludf.DUMMYFUNCTION("""COMPUTED_VALUE"""),"Instructor Request- No Detail")</f>
        <v>Instructor Request- No Detail</v>
      </c>
      <c r="I83" s="140" t="str">
        <f>IFERROR(__xludf.DUMMYFUNCTION("""COMPUTED_VALUE"""),"IT Operations")</f>
        <v>IT Operations</v>
      </c>
      <c r="J83" s="140" t="str">
        <f>IFERROR(__xludf.DUMMYFUNCTION("""COMPUTED_VALUE"""),"IT Certifications")</f>
        <v>IT Certifications</v>
      </c>
      <c r="L83" s="140" t="str">
        <f>IFERROR(__xludf.DUMMYFUNCTION("""COMPUTED_VALUE"""),"")</f>
        <v/>
      </c>
      <c r="N83" s="140" t="str">
        <f>IFERROR(__xludf.DUMMYFUNCTION("""COMPUTED_VALUE"""),"")</f>
        <v/>
      </c>
    </row>
    <row r="84">
      <c r="A84" s="141">
        <f>IFERROR(__xludf.DUMMYFUNCTION("""COMPUTED_VALUE"""),44592.0)</f>
        <v>44592</v>
      </c>
      <c r="B84">
        <f>IFERROR(__xludf.DUMMYFUNCTION("""COMPUTED_VALUE"""),1517076.0)</f>
        <v>1517076</v>
      </c>
      <c r="C84" t="str">
        <f>IFERROR(__xludf.DUMMYFUNCTION("""COMPUTED_VALUE"""),"de")</f>
        <v>de</v>
      </c>
      <c r="D84" t="str">
        <f>IFERROR(__xludf.DUMMYFUNCTION("""COMPUTED_VALUE"""),"Mindset Finanzen: GRAFISCHES Coaching (Kursbeschreibung!!)")</f>
        <v>Mindset Finanzen: GRAFISCHES Coaching (Kursbeschreibung!!)</v>
      </c>
      <c r="E84" t="str">
        <f>IFERROR(__xludf.DUMMYFUNCTION("""COMPUTED_VALUE"""),"Mindset Finance: Graphic coaching (course description !!)")</f>
        <v>Mindset Finance: Graphic coaching (course description !!)</v>
      </c>
      <c r="F84">
        <f>IFERROR(__xludf.DUMMYFUNCTION("""COMPUTED_VALUE"""),3.13846E7)</f>
        <v>31384600</v>
      </c>
      <c r="G84" t="str">
        <f>IFERROR(__xludf.DUMMYFUNCTION("""COMPUTED_VALUE"""),"Michelle Amecke")</f>
        <v>Michelle Amecke</v>
      </c>
      <c r="H84" t="str">
        <f>IFERROR(__xludf.DUMMYFUNCTION("""COMPUTED_VALUE"""),"Instructor Request- Opted Out")</f>
        <v>Instructor Request- Opted Out</v>
      </c>
      <c r="I84" s="140" t="str">
        <f>IFERROR(__xludf.DUMMYFUNCTION("""COMPUTED_VALUE"""),"Finance &amp; Accounting")</f>
        <v>Finance &amp; Accounting</v>
      </c>
      <c r="J84" s="140" t="str">
        <f>IFERROR(__xludf.DUMMYFUNCTION("""COMPUTED_VALUE"""),"Finance Fundamentals")</f>
        <v>Finance Fundamentals</v>
      </c>
      <c r="L84" s="140" t="str">
        <f>IFERROR(__xludf.DUMMYFUNCTION("""COMPUTED_VALUE"""),"")</f>
        <v/>
      </c>
      <c r="N84" s="140" t="str">
        <f>IFERROR(__xludf.DUMMYFUNCTION("""COMPUTED_VALUE"""),"")</f>
        <v/>
      </c>
    </row>
    <row r="85">
      <c r="A85" s="141">
        <f>IFERROR(__xludf.DUMMYFUNCTION("""COMPUTED_VALUE"""),44592.0)</f>
        <v>44592</v>
      </c>
      <c r="B85">
        <f>IFERROR(__xludf.DUMMYFUNCTION("""COMPUTED_VALUE"""),3302130.0)</f>
        <v>3302130</v>
      </c>
      <c r="C85" t="str">
        <f>IFERROR(__xludf.DUMMYFUNCTION("""COMPUTED_VALUE"""),"en")</f>
        <v>en</v>
      </c>
      <c r="D85" t="str">
        <f>IFERROR(__xludf.DUMMYFUNCTION("""COMPUTED_VALUE"""),"Complete AWS EKS MasterClass (best practices) in 2021")</f>
        <v>Complete AWS EKS MasterClass (best practices) in 2021</v>
      </c>
      <c r="F85">
        <f>IFERROR(__xludf.DUMMYFUNCTION("""COMPUTED_VALUE"""),1.10924584E8)</f>
        <v>110924584</v>
      </c>
      <c r="G85" t="str">
        <f>IFERROR(__xludf.DUMMYFUNCTION("""COMPUTED_VALUE"""),"CS Career Kaizen ")</f>
        <v>CS Career Kaizen </v>
      </c>
      <c r="H85" t="str">
        <f>IFERROR(__xludf.DUMMYFUNCTION("""COMPUTED_VALUE"""),"Instructor Request- Revenue")</f>
        <v>Instructor Request- Revenue</v>
      </c>
      <c r="I85" s="140" t="str">
        <f>IFERROR(__xludf.DUMMYFUNCTION("""COMPUTED_VALUE"""),"IT Operations")</f>
        <v>IT Operations</v>
      </c>
      <c r="J85" s="140" t="str">
        <f>IFERROR(__xludf.DUMMYFUNCTION("""COMPUTED_VALUE"""),"Development Tools")</f>
        <v>Development Tools</v>
      </c>
      <c r="L85" s="140" t="str">
        <f>IFERROR(__xludf.DUMMYFUNCTION("""COMPUTED_VALUE"""),"")</f>
        <v/>
      </c>
      <c r="N85" s="140" t="str">
        <f>IFERROR(__xludf.DUMMYFUNCTION("""COMPUTED_VALUE"""),"")</f>
        <v/>
      </c>
    </row>
    <row r="86">
      <c r="A86" s="141">
        <f>IFERROR(__xludf.DUMMYFUNCTION("""COMPUTED_VALUE"""),44592.0)</f>
        <v>44592</v>
      </c>
      <c r="B86">
        <f>IFERROR(__xludf.DUMMYFUNCTION("""COMPUTED_VALUE"""),587086.0)</f>
        <v>587086</v>
      </c>
      <c r="C86" t="str">
        <f>IFERROR(__xludf.DUMMYFUNCTION("""COMPUTED_VALUE"""),"de")</f>
        <v>de</v>
      </c>
      <c r="D86" t="str">
        <f>IFERROR(__xludf.DUMMYFUNCTION("""COMPUTED_VALUE"""),"Zbrush Power Workshops (deutsch)")</f>
        <v>Zbrush Power Workshops (deutsch)</v>
      </c>
      <c r="E86" t="str">
        <f>IFERROR(__xludf.DUMMYFUNCTION("""COMPUTED_VALUE"""),"Zbrush Power Workshops (deutsch)")</f>
        <v>Zbrush Power Workshops (deutsch)</v>
      </c>
      <c r="F86">
        <f>IFERROR(__xludf.DUMMYFUNCTION("""COMPUTED_VALUE"""),1.436075E7)</f>
        <v>14360750</v>
      </c>
      <c r="G86" t="str">
        <f>IFERROR(__xludf.DUMMYFUNCTION("""COMPUTED_VALUE"""),"rs maxdesigner")</f>
        <v>rs maxdesigner</v>
      </c>
      <c r="H86" t="str">
        <f>IFERROR(__xludf.DUMMYFUNCTION("""COMPUTED_VALUE"""),"Instructor Request- Opted Out")</f>
        <v>Instructor Request- Opted Out</v>
      </c>
      <c r="I86" s="140" t="str">
        <f>IFERROR(__xludf.DUMMYFUNCTION("""COMPUTED_VALUE"""),"Design")</f>
        <v>Design</v>
      </c>
      <c r="J86" s="140" t="str">
        <f>IFERROR(__xludf.DUMMYFUNCTION("""COMPUTED_VALUE"""),"Design Tools")</f>
        <v>Design Tools</v>
      </c>
      <c r="L86" s="140" t="str">
        <f>IFERROR(__xludf.DUMMYFUNCTION("""COMPUTED_VALUE"""),"")</f>
        <v/>
      </c>
      <c r="N86" s="140" t="str">
        <f>IFERROR(__xludf.DUMMYFUNCTION("""COMPUTED_VALUE"""),"")</f>
        <v/>
      </c>
    </row>
    <row r="87">
      <c r="A87" s="141">
        <f>IFERROR(__xludf.DUMMYFUNCTION("""COMPUTED_VALUE"""),44592.0)</f>
        <v>44592</v>
      </c>
      <c r="B87">
        <f>IFERROR(__xludf.DUMMYFUNCTION("""COMPUTED_VALUE"""),2504794.0)</f>
        <v>2504794</v>
      </c>
      <c r="C87" t="str">
        <f>IFERROR(__xludf.DUMMYFUNCTION("""COMPUTED_VALUE"""),"fr")</f>
        <v>fr</v>
      </c>
      <c r="D87" t="str">
        <f>IFERROR(__xludf.DUMMYFUNCTION("""COMPUTED_VALUE"""),"AZ-900 - Cloud Microsoft Azure - Fondamentaux (2021)")</f>
        <v>AZ-900 - Cloud Microsoft Azure - Fondamentaux (2021)</v>
      </c>
      <c r="E87" t="str">
        <f>IFERROR(__xludf.DUMMYFUNCTION("""COMPUTED_VALUE"""),"AZ-900 - Cloud Microsoft Azure - Fundamentals (2021)")</f>
        <v>AZ-900 - Cloud Microsoft Azure - Fundamentals (2021)</v>
      </c>
      <c r="F87">
        <f>IFERROR(__xludf.DUMMYFUNCTION("""COMPUTED_VALUE"""),6178780.0)</f>
        <v>6178780</v>
      </c>
      <c r="G87" t="str">
        <f>IFERROR(__xludf.DUMMYFUNCTION("""COMPUTED_VALUE"""),"Jonathan Bourbonnais")</f>
        <v>Jonathan Bourbonnais</v>
      </c>
      <c r="H87" t="str">
        <f>IFERROR(__xludf.DUMMYFUNCTION("""COMPUTED_VALUE"""),"Instructor Request- Opted Out")</f>
        <v>Instructor Request- Opted Out</v>
      </c>
      <c r="I87" s="140" t="str">
        <f>IFERROR(__xludf.DUMMYFUNCTION("""COMPUTED_VALUE"""),"Cloud Computing")</f>
        <v>Cloud Computing</v>
      </c>
      <c r="J87" s="140" t="str">
        <f>IFERROR(__xludf.DUMMYFUNCTION("""COMPUTED_VALUE"""),"Cloud Fundamentals")</f>
        <v>Cloud Fundamentals</v>
      </c>
      <c r="L87" s="140" t="str">
        <f>IFERROR(__xludf.DUMMYFUNCTION("""COMPUTED_VALUE"""),"")</f>
        <v/>
      </c>
      <c r="N87" s="140" t="str">
        <f>IFERROR(__xludf.DUMMYFUNCTION("""COMPUTED_VALUE"""),"")</f>
        <v/>
      </c>
    </row>
    <row r="88">
      <c r="A88" s="141">
        <f>IFERROR(__xludf.DUMMYFUNCTION("""COMPUTED_VALUE"""),44592.0)</f>
        <v>44592</v>
      </c>
      <c r="B88">
        <f>IFERROR(__xludf.DUMMYFUNCTION("""COMPUTED_VALUE"""),1422246.0)</f>
        <v>1422246</v>
      </c>
      <c r="C88" t="str">
        <f>IFERROR(__xludf.DUMMYFUNCTION("""COMPUTED_VALUE"""),"es")</f>
        <v>es</v>
      </c>
      <c r="D88" t="str">
        <f>IFERROR(__xludf.DUMMYFUNCTION("""COMPUTED_VALUE"""),"Experto en Firebase para Android + MVP Curso Completo +30hrs")</f>
        <v>Experto en Firebase para Android + MVP Curso Completo +30hrs</v>
      </c>
      <c r="E88" t="str">
        <f>IFERROR(__xludf.DUMMYFUNCTION("""COMPUTED_VALUE"""),"Expert in Firebase for Android + MVP full course + 30hrs")</f>
        <v>Expert in Firebase for Android + MVP full course + 30hrs</v>
      </c>
      <c r="F88">
        <f>IFERROR(__xludf.DUMMYFUNCTION("""COMPUTED_VALUE"""),2.7459168E7)</f>
        <v>27459168</v>
      </c>
      <c r="G88" t="str">
        <f>IFERROR(__xludf.DUMMYFUNCTION("""COMPUTED_VALUE"""),"Alain Nicolás Tello")</f>
        <v>Alain Nicolás Tello</v>
      </c>
      <c r="H88" s="140" t="str">
        <f>IFERROR(__xludf.DUMMYFUNCTION("""COMPUTED_VALUE"""),"Instructor Request- Exclusivity")</f>
        <v>Instructor Request- Exclusivity</v>
      </c>
      <c r="I88" s="140" t="str">
        <f>IFERROR(__xludf.DUMMYFUNCTION("""COMPUTED_VALUE"""),"Development")</f>
        <v>Development</v>
      </c>
      <c r="J88" t="str">
        <f>IFERROR(__xludf.DUMMYFUNCTION("""COMPUTED_VALUE"""),"Mobile Development")</f>
        <v>Mobile Development</v>
      </c>
      <c r="L88" s="140" t="str">
        <f>IFERROR(__xludf.DUMMYFUNCTION("""COMPUTED_VALUE"""),"")</f>
        <v/>
      </c>
      <c r="N88" s="140" t="str">
        <f>IFERROR(__xludf.DUMMYFUNCTION("""COMPUTED_VALUE"""),"")</f>
        <v/>
      </c>
    </row>
    <row r="89">
      <c r="A89" s="141">
        <f>IFERROR(__xludf.DUMMYFUNCTION("""COMPUTED_VALUE"""),44592.0)</f>
        <v>44592</v>
      </c>
      <c r="B89">
        <f>IFERROR(__xludf.DUMMYFUNCTION("""COMPUTED_VALUE"""),3216135.0)</f>
        <v>3216135</v>
      </c>
      <c r="C89" t="str">
        <f>IFERROR(__xludf.DUMMYFUNCTION("""COMPUTED_VALUE"""),"en")</f>
        <v>en</v>
      </c>
      <c r="D89" t="str">
        <f>IFERROR(__xludf.DUMMYFUNCTION("""COMPUTED_VALUE"""),"Structural Engineering Abaqus Tutorials")</f>
        <v>Structural Engineering Abaqus Tutorials</v>
      </c>
      <c r="F89">
        <f>IFERROR(__xludf.DUMMYFUNCTION("""COMPUTED_VALUE"""),2.5813862E7)</f>
        <v>25813862</v>
      </c>
      <c r="G89" s="140" t="str">
        <f>IFERROR(__xludf.DUMMYFUNCTION("""COMPUTED_VALUE"""),"Armin Yousefi Kanani")</f>
        <v>Armin Yousefi Kanani</v>
      </c>
      <c r="H89" s="140" t="str">
        <f>IFERROR(__xludf.DUMMYFUNCTION("""COMPUTED_VALUE"""),"Instructor Request- Revenue")</f>
        <v>Instructor Request- Revenue</v>
      </c>
      <c r="I89" t="str">
        <f>IFERROR(__xludf.DUMMYFUNCTION("""COMPUTED_VALUE"""),"IT Operations")</f>
        <v>IT Operations</v>
      </c>
      <c r="J89" t="str">
        <f>IFERROR(__xludf.DUMMYFUNCTION("""COMPUTED_VALUE"""),"IT Certifications")</f>
        <v>IT Certifications</v>
      </c>
      <c r="L89" s="140" t="str">
        <f>IFERROR(__xludf.DUMMYFUNCTION("""COMPUTED_VALUE"""),"")</f>
        <v/>
      </c>
      <c r="N89" s="140" t="str">
        <f>IFERROR(__xludf.DUMMYFUNCTION("""COMPUTED_VALUE"""),"")</f>
        <v/>
      </c>
    </row>
    <row r="90">
      <c r="A90" s="141">
        <f>IFERROR(__xludf.DUMMYFUNCTION("""COMPUTED_VALUE"""),44592.0)</f>
        <v>44592</v>
      </c>
      <c r="B90">
        <f>IFERROR(__xludf.DUMMYFUNCTION("""COMPUTED_VALUE"""),1005210.0)</f>
        <v>1005210</v>
      </c>
      <c r="C90" t="str">
        <f>IFERROR(__xludf.DUMMYFUNCTION("""COMPUTED_VALUE"""),"en")</f>
        <v>en</v>
      </c>
      <c r="D90" t="str">
        <f>IFERROR(__xludf.DUMMYFUNCTION("""COMPUTED_VALUE"""),"Ansys Tutorial")</f>
        <v>Ansys Tutorial</v>
      </c>
      <c r="F90">
        <f>IFERROR(__xludf.DUMMYFUNCTION("""COMPUTED_VALUE"""),2.5813862E7)</f>
        <v>25813862</v>
      </c>
      <c r="G90" s="140" t="str">
        <f>IFERROR(__xludf.DUMMYFUNCTION("""COMPUTED_VALUE"""),"Armin Yousefi Kanani")</f>
        <v>Armin Yousefi Kanani</v>
      </c>
      <c r="H90" t="str">
        <f>IFERROR(__xludf.DUMMYFUNCTION("""COMPUTED_VALUE"""),"Instructor Request- Revenue")</f>
        <v>Instructor Request- Revenue</v>
      </c>
      <c r="I90" t="str">
        <f>IFERROR(__xludf.DUMMYFUNCTION("""COMPUTED_VALUE"""),"Design")</f>
        <v>Design</v>
      </c>
      <c r="J90" t="str">
        <f>IFERROR(__xludf.DUMMYFUNCTION("""COMPUTED_VALUE"""),"Design Tools")</f>
        <v>Design Tools</v>
      </c>
      <c r="L90" s="140" t="str">
        <f>IFERROR(__xludf.DUMMYFUNCTION("""COMPUTED_VALUE"""),"")</f>
        <v/>
      </c>
      <c r="N90" s="140" t="str">
        <f>IFERROR(__xludf.DUMMYFUNCTION("""COMPUTED_VALUE"""),"")</f>
        <v/>
      </c>
    </row>
    <row r="91">
      <c r="A91" s="141">
        <f>IFERROR(__xludf.DUMMYFUNCTION("""COMPUTED_VALUE"""),44592.0)</f>
        <v>44592</v>
      </c>
      <c r="B91">
        <f>IFERROR(__xludf.DUMMYFUNCTION("""COMPUTED_VALUE"""),2027452.0)</f>
        <v>2027452</v>
      </c>
      <c r="C91" t="str">
        <f>IFERROR(__xludf.DUMMYFUNCTION("""COMPUTED_VALUE"""),"en")</f>
        <v>en</v>
      </c>
      <c r="D91" t="str">
        <f>IFERROR(__xludf.DUMMYFUNCTION("""COMPUTED_VALUE"""),"ArcGIS Level 1: GIS &amp; ArcMap, ArcCatalog, ArcGlobe, ArcScene")</f>
        <v>ArcGIS Level 1: GIS &amp; ArcMap, ArcCatalog, ArcGlobe, ArcScene</v>
      </c>
      <c r="F91">
        <f>IFERROR(__xludf.DUMMYFUNCTION("""COMPUTED_VALUE"""),1.772171E7)</f>
        <v>17721710</v>
      </c>
      <c r="G91" s="140" t="str">
        <f>IFERROR(__xludf.DUMMYFUNCTION("""COMPUTED_VALUE"""),"MD. Shahriar Alam")</f>
        <v>MD. Shahriar Alam</v>
      </c>
      <c r="H91" s="140" t="str">
        <f>IFERROR(__xludf.DUMMYFUNCTION("""COMPUTED_VALUE"""),"Low Rating")</f>
        <v>Low Rating</v>
      </c>
      <c r="I91" t="str">
        <f>IFERROR(__xludf.DUMMYFUNCTION("""COMPUTED_VALUE"""),"Data Science")</f>
        <v>Data Science</v>
      </c>
      <c r="J91" t="str">
        <f>IFERROR(__xludf.DUMMYFUNCTION("""COMPUTED_VALUE"""),"Big Data")</f>
        <v>Big Data</v>
      </c>
      <c r="L91" s="140" t="str">
        <f>IFERROR(__xludf.DUMMYFUNCTION("""COMPUTED_VALUE"""),"")</f>
        <v/>
      </c>
      <c r="N91" s="140" t="str">
        <f>IFERROR(__xludf.DUMMYFUNCTION("""COMPUTED_VALUE"""),"")</f>
        <v/>
      </c>
    </row>
    <row r="92">
      <c r="A92" s="141">
        <f>IFERROR(__xludf.DUMMYFUNCTION("""COMPUTED_VALUE"""),44592.0)</f>
        <v>44592</v>
      </c>
      <c r="B92">
        <f>IFERROR(__xludf.DUMMYFUNCTION("""COMPUTED_VALUE"""),2285797.0)</f>
        <v>2285797</v>
      </c>
      <c r="C92" t="str">
        <f>IFERROR(__xludf.DUMMYFUNCTION("""COMPUTED_VALUE"""),"pt")</f>
        <v>pt</v>
      </c>
      <c r="D92" t="str">
        <f>IFERROR(__xludf.DUMMYFUNCTION("""COMPUTED_VALUE"""),"GMO I Gestão de Mudanças I Change Management para Resultados")</f>
        <v>GMO I Gestão de Mudanças I Change Management para Resultados</v>
      </c>
      <c r="E92" t="str">
        <f>IFERROR(__xludf.DUMMYFUNCTION("""COMPUTED_VALUE"""),"GMO I Change Management I Change Management for Results")</f>
        <v>GMO I Change Management I Change Management for Results</v>
      </c>
      <c r="F92">
        <f>IFERROR(__xludf.DUMMYFUNCTION("""COMPUTED_VALUE"""),4.545744E7)</f>
        <v>45457440</v>
      </c>
      <c r="G92" s="140" t="str">
        <f>IFERROR(__xludf.DUMMYFUNCTION("""COMPUTED_VALUE"""),"Lucia Torres")</f>
        <v>Lucia Torres</v>
      </c>
      <c r="H92" t="str">
        <f>IFERROR(__xludf.DUMMYFUNCTION("""COMPUTED_VALUE"""),"Low Rating")</f>
        <v>Low Rating</v>
      </c>
      <c r="I92" t="str">
        <f>IFERROR(__xludf.DUMMYFUNCTION("""COMPUTED_VALUE"""),"Leadership &amp; Management")</f>
        <v>Leadership &amp; Management</v>
      </c>
      <c r="J92" t="str">
        <f>IFERROR(__xludf.DUMMYFUNCTION("""COMPUTED_VALUE"""),"Strategy")</f>
        <v>Strategy</v>
      </c>
      <c r="L92" s="140" t="str">
        <f>IFERROR(__xludf.DUMMYFUNCTION("""COMPUTED_VALUE"""),"")</f>
        <v/>
      </c>
      <c r="N92" s="140" t="str">
        <f>IFERROR(__xludf.DUMMYFUNCTION("""COMPUTED_VALUE"""),"")</f>
        <v/>
      </c>
    </row>
    <row r="93">
      <c r="A93" s="141">
        <f>IFERROR(__xludf.DUMMYFUNCTION("""COMPUTED_VALUE"""),44592.0)</f>
        <v>44592</v>
      </c>
      <c r="B93">
        <f>IFERROR(__xludf.DUMMYFUNCTION("""COMPUTED_VALUE"""),2986274.0)</f>
        <v>2986274</v>
      </c>
      <c r="C93" t="str">
        <f>IFERROR(__xludf.DUMMYFUNCTION("""COMPUTED_VALUE"""),"en")</f>
        <v>en</v>
      </c>
      <c r="D93" t="str">
        <f>IFERROR(__xludf.DUMMYFUNCTION("""COMPUTED_VALUE"""),"Cisco AppDynamics Application Performance Management (APM)")</f>
        <v>Cisco AppDynamics Application Performance Management (APM)</v>
      </c>
      <c r="F93">
        <f>IFERROR(__xludf.DUMMYFUNCTION("""COMPUTED_VALUE"""),1.4707144E7)</f>
        <v>14707144</v>
      </c>
      <c r="G93" s="140" t="str">
        <f>IFERROR(__xludf.DUMMYFUNCTION("""COMPUTED_VALUE"""),"Chidi Uchegbu")</f>
        <v>Chidi Uchegbu</v>
      </c>
      <c r="H93" s="140" t="str">
        <f>IFERROR(__xludf.DUMMYFUNCTION("""COMPUTED_VALUE"""),"Low Rating")</f>
        <v>Low Rating</v>
      </c>
      <c r="I93" t="str">
        <f>IFERROR(__xludf.DUMMYFUNCTION("""COMPUTED_VALUE"""),"Development")</f>
        <v>Development</v>
      </c>
      <c r="J93" t="str">
        <f>IFERROR(__xludf.DUMMYFUNCTION("""COMPUTED_VALUE"""),"Software Testing")</f>
        <v>Software Testing</v>
      </c>
      <c r="K93">
        <f>IFERROR(__xludf.DUMMYFUNCTION("""COMPUTED_VALUE"""),1733814.0)</f>
        <v>1733814</v>
      </c>
      <c r="L93" s="140" t="str">
        <f>IFERROR(__xludf.DUMMYFUNCTION("""COMPUTED_VALUE"""),"New Relic APM: Application Performance Management for DevOps")</f>
        <v>New Relic APM: Application Performance Management for DevOps</v>
      </c>
      <c r="N93" s="140" t="str">
        <f>IFERROR(__xludf.DUMMYFUNCTION("""COMPUTED_VALUE"""),"")</f>
        <v/>
      </c>
    </row>
    <row r="94">
      <c r="A94" s="141">
        <f>IFERROR(__xludf.DUMMYFUNCTION("""COMPUTED_VALUE"""),44592.0)</f>
        <v>44592</v>
      </c>
      <c r="B94">
        <f>IFERROR(__xludf.DUMMYFUNCTION("""COMPUTED_VALUE"""),3184048.0)</f>
        <v>3184048</v>
      </c>
      <c r="C94" t="str">
        <f>IFERROR(__xludf.DUMMYFUNCTION("""COMPUTED_VALUE"""),"en")</f>
        <v>en</v>
      </c>
      <c r="D94" t="str">
        <f>IFERROR(__xludf.DUMMYFUNCTION("""COMPUTED_VALUE"""),"IT &amp; Technical Support Guide to Helpdesk, Desktop &amp; Servers")</f>
        <v>IT &amp; Technical Support Guide to Helpdesk, Desktop &amp; Servers</v>
      </c>
      <c r="F94">
        <f>IFERROR(__xludf.DUMMYFUNCTION("""COMPUTED_VALUE"""),7.5506274E7)</f>
        <v>75506274</v>
      </c>
      <c r="G94" s="140" t="str">
        <f>IFERROR(__xludf.DUMMYFUNCTION("""COMPUTED_VALUE"""),"John Courtenay")</f>
        <v>John Courtenay</v>
      </c>
      <c r="H94" s="140" t="str">
        <f>IFERROR(__xludf.DUMMYFUNCTION("""COMPUTED_VALUE"""),"Low Rating")</f>
        <v>Low Rating</v>
      </c>
      <c r="I94" t="str">
        <f>IFERROR(__xludf.DUMMYFUNCTION("""COMPUTED_VALUE"""),"IT Operations")</f>
        <v>IT Operations</v>
      </c>
      <c r="J94" t="str">
        <f>IFERROR(__xludf.DUMMYFUNCTION("""COMPUTED_VALUE"""),"Operating Systems &amp; Servers")</f>
        <v>Operating Systems &amp; Servers</v>
      </c>
      <c r="K94">
        <f>IFERROR(__xludf.DUMMYFUNCTION("""COMPUTED_VALUE"""),986016.0)</f>
        <v>986016</v>
      </c>
      <c r="L94" s="140" t="str">
        <f>IFERROR(__xludf.DUMMYFUNCTION("""COMPUTED_VALUE"""),"IT Help Desk Professional")</f>
        <v>IT Help Desk Professional</v>
      </c>
      <c r="N94" s="140" t="str">
        <f>IFERROR(__xludf.DUMMYFUNCTION("""COMPUTED_VALUE"""),"")</f>
        <v/>
      </c>
    </row>
    <row r="95">
      <c r="A95" s="141">
        <f>IFERROR(__xludf.DUMMYFUNCTION("""COMPUTED_VALUE"""),44592.0)</f>
        <v>44592</v>
      </c>
      <c r="B95">
        <f>IFERROR(__xludf.DUMMYFUNCTION("""COMPUTED_VALUE"""),1940584.0)</f>
        <v>1940584</v>
      </c>
      <c r="C95" t="str">
        <f>IFERROR(__xludf.DUMMYFUNCTION("""COMPUTED_VALUE"""),"en")</f>
        <v>en</v>
      </c>
      <c r="D95" t="str">
        <f>IFERROR(__xludf.DUMMYFUNCTION("""COMPUTED_VALUE"""),"Automating Enterprise Infrastructure - Terraform and Packer")</f>
        <v>Automating Enterprise Infrastructure - Terraform and Packer</v>
      </c>
      <c r="E95" t="str">
        <f>IFERROR(__xludf.DUMMYFUNCTION("""COMPUTED_VALUE"""),"Automating Enterprise Infrastructure - Terraform and Packer")</f>
        <v>Automating Enterprise Infrastructure - Terraform and Packer</v>
      </c>
      <c r="F95">
        <f>IFERROR(__xludf.DUMMYFUNCTION("""COMPUTED_VALUE"""),5.5240226E7)</f>
        <v>55240226</v>
      </c>
      <c r="G95" s="140" t="str">
        <f>IFERROR(__xludf.DUMMYFUNCTION("""COMPUTED_VALUE"""),"Vijay Sharma")</f>
        <v>Vijay Sharma</v>
      </c>
      <c r="H95" s="140" t="str">
        <f>IFERROR(__xludf.DUMMYFUNCTION("""COMPUTED_VALUE"""),"Saturated Topic")</f>
        <v>Saturated Topic</v>
      </c>
      <c r="I95" t="str">
        <f>IFERROR(__xludf.DUMMYFUNCTION("""COMPUTED_VALUE"""),"Development")</f>
        <v>Development</v>
      </c>
      <c r="J95" t="str">
        <f>IFERROR(__xludf.DUMMYFUNCTION("""COMPUTED_VALUE"""),"Development Tools")</f>
        <v>Development Tools</v>
      </c>
      <c r="K95">
        <f>IFERROR(__xludf.DUMMYFUNCTION("""COMPUTED_VALUE"""),977360.0)</f>
        <v>977360</v>
      </c>
      <c r="L95" s="140" t="str">
        <f>IFERROR(__xludf.DUMMYFUNCTION("""COMPUTED_VALUE"""),"Learn DevOps: Infrastructure Automation With Terraform")</f>
        <v>Learn DevOps: Infrastructure Automation With Terraform</v>
      </c>
      <c r="N95" s="140" t="str">
        <f>IFERROR(__xludf.DUMMYFUNCTION("""COMPUTED_VALUE"""),"")</f>
        <v/>
      </c>
    </row>
    <row r="96">
      <c r="A96" s="141">
        <f>IFERROR(__xludf.DUMMYFUNCTION("""COMPUTED_VALUE"""),44592.0)</f>
        <v>44592</v>
      </c>
      <c r="B96">
        <f>IFERROR(__xludf.DUMMYFUNCTION("""COMPUTED_VALUE"""),1336420.0)</f>
        <v>1336420</v>
      </c>
      <c r="C96" t="str">
        <f>IFERROR(__xludf.DUMMYFUNCTION("""COMPUTED_VALUE"""),"en")</f>
        <v>en</v>
      </c>
      <c r="D96" t="str">
        <f>IFERROR(__xludf.DUMMYFUNCTION("""COMPUTED_VALUE"""),"PHP: The Complete PHP MVC Course")</f>
        <v>PHP: The Complete PHP MVC Course</v>
      </c>
      <c r="E96" t="str">
        <f>IFERROR(__xludf.DUMMYFUNCTION("""COMPUTED_VALUE"""),"PHP: The Complete PHP MVC Course")</f>
        <v>PHP: The Complete PHP MVC Course</v>
      </c>
      <c r="F96">
        <f>IFERROR(__xludf.DUMMYFUNCTION("""COMPUTED_VALUE"""),3.466823E7)</f>
        <v>34668230</v>
      </c>
      <c r="G96" s="140" t="str">
        <f>IFERROR(__xludf.DUMMYFUNCTION("""COMPUTED_VALUE"""),"Devscreencast Elearning")</f>
        <v>Devscreencast Elearning</v>
      </c>
      <c r="H96" t="str">
        <f>IFERROR(__xludf.DUMMYFUNCTION("""COMPUTED_VALUE"""),"Saturated Topic")</f>
        <v>Saturated Topic</v>
      </c>
      <c r="I96" t="str">
        <f>IFERROR(__xludf.DUMMYFUNCTION("""COMPUTED_VALUE"""),"Development")</f>
        <v>Development</v>
      </c>
      <c r="J96" t="str">
        <f>IFERROR(__xludf.DUMMYFUNCTION("""COMPUTED_VALUE"""),"Web Development")</f>
        <v>Web Development</v>
      </c>
      <c r="L96" s="140" t="str">
        <f>IFERROR(__xludf.DUMMYFUNCTION("""COMPUTED_VALUE"""),"")</f>
        <v/>
      </c>
      <c r="N96" s="140" t="str">
        <f>IFERROR(__xludf.DUMMYFUNCTION("""COMPUTED_VALUE"""),"")</f>
        <v/>
      </c>
    </row>
    <row r="97">
      <c r="A97" s="141">
        <f>IFERROR(__xludf.DUMMYFUNCTION("""COMPUTED_VALUE"""),44592.0)</f>
        <v>44592</v>
      </c>
      <c r="B97">
        <f>IFERROR(__xludf.DUMMYFUNCTION("""COMPUTED_VALUE"""),1867116.0)</f>
        <v>1867116</v>
      </c>
      <c r="C97" t="str">
        <f>IFERROR(__xludf.DUMMYFUNCTION("""COMPUTED_VALUE"""),"en")</f>
        <v>en</v>
      </c>
      <c r="D97" t="str">
        <f>IFERROR(__xludf.DUMMYFUNCTION("""COMPUTED_VALUE"""),"The Ultimate Guide to Real World Applications with Unity")</f>
        <v>The Ultimate Guide to Real World Applications with Unity</v>
      </c>
      <c r="E97" t="str">
        <f>IFERROR(__xludf.DUMMYFUNCTION("""COMPUTED_VALUE"""),"The Ultimate Guide to Real World Applications with Unity")</f>
        <v>The Ultimate Guide to Real World Applications with Unity</v>
      </c>
      <c r="F97">
        <f>IFERROR(__xludf.DUMMYFUNCTION("""COMPUTED_VALUE"""),2.767456E7)</f>
        <v>27674560</v>
      </c>
      <c r="G97" s="140" t="str">
        <f>IFERROR(__xludf.DUMMYFUNCTION("""COMPUTED_VALUE"""),"Jonathan Weinberger")</f>
        <v>Jonathan Weinberger</v>
      </c>
      <c r="H97" t="str">
        <f>IFERROR(__xludf.DUMMYFUNCTION("""COMPUTED_VALUE"""),"Saturated Topic")</f>
        <v>Saturated Topic</v>
      </c>
      <c r="I97" t="str">
        <f>IFERROR(__xludf.DUMMYFUNCTION("""COMPUTED_VALUE"""),"Development")</f>
        <v>Development</v>
      </c>
      <c r="J97" t="str">
        <f>IFERROR(__xludf.DUMMYFUNCTION("""COMPUTED_VALUE"""),"Mobile Development")</f>
        <v>Mobile Development</v>
      </c>
      <c r="L97" s="140" t="str">
        <f>IFERROR(__xludf.DUMMYFUNCTION("""COMPUTED_VALUE"""),"")</f>
        <v/>
      </c>
      <c r="N97" s="140" t="str">
        <f>IFERROR(__xludf.DUMMYFUNCTION("""COMPUTED_VALUE"""),"")</f>
        <v/>
      </c>
    </row>
    <row r="98">
      <c r="A98" s="141">
        <f>IFERROR(__xludf.DUMMYFUNCTION("""COMPUTED_VALUE"""),44592.0)</f>
        <v>44592</v>
      </c>
      <c r="B98">
        <f>IFERROR(__xludf.DUMMYFUNCTION("""COMPUTED_VALUE"""),3722744.0)</f>
        <v>3722744</v>
      </c>
      <c r="C98" t="str">
        <f>IFERROR(__xludf.DUMMYFUNCTION("""COMPUTED_VALUE"""),"en")</f>
        <v>en</v>
      </c>
      <c r="D98" t="str">
        <f>IFERROR(__xludf.DUMMYFUNCTION("""COMPUTED_VALUE"""),"Certified Kubernetes Security Specialist (CKS)")</f>
        <v>Certified Kubernetes Security Specialist (CKS)</v>
      </c>
      <c r="E98" t="str">
        <f>IFERROR(__xludf.DUMMYFUNCTION("""COMPUTED_VALUE"""),"Certified Kubernetes Security Specialist (CKS)")</f>
        <v>Certified Kubernetes Security Specialist (CKS)</v>
      </c>
      <c r="F98">
        <f>IFERROR(__xludf.DUMMYFUNCTION("""COMPUTED_VALUE"""),1.9779924E7)</f>
        <v>19779924</v>
      </c>
      <c r="G98" s="140" t="str">
        <f>IFERROR(__xludf.DUMMYFUNCTION("""COMPUTED_VALUE"""),"Lawrence Manickam")</f>
        <v>Lawrence Manickam</v>
      </c>
      <c r="H98" s="140" t="str">
        <f>IFERROR(__xludf.DUMMYFUNCTION("""COMPUTED_VALUE"""),"Saturated Topic")</f>
        <v>Saturated Topic</v>
      </c>
      <c r="I98" t="str">
        <f>IFERROR(__xludf.DUMMYFUNCTION("""COMPUTED_VALUE"""),"IT Operations")</f>
        <v>IT Operations</v>
      </c>
      <c r="J98" t="str">
        <f>IFERROR(__xludf.DUMMYFUNCTION("""COMPUTED_VALUE"""),"IT Certifications")</f>
        <v>IT Certifications</v>
      </c>
      <c r="K98">
        <f>IFERROR(__xludf.DUMMYFUNCTION("""COMPUTED_VALUE"""),3573079.0)</f>
        <v>3573079</v>
      </c>
      <c r="L98" s="140" t="str">
        <f>IFERROR(__xludf.DUMMYFUNCTION("""COMPUTED_VALUE"""),"Kubernetes CKS 2021 Complete Course - Theory - Practice")</f>
        <v>Kubernetes CKS 2021 Complete Course - Theory - Practice</v>
      </c>
      <c r="N98" s="140" t="str">
        <f>IFERROR(__xludf.DUMMYFUNCTION("""COMPUTED_VALUE"""),"")</f>
        <v/>
      </c>
    </row>
    <row r="99">
      <c r="A99" s="141">
        <f>IFERROR(__xludf.DUMMYFUNCTION("""COMPUTED_VALUE"""),44592.0)</f>
        <v>44592</v>
      </c>
      <c r="B99">
        <f>IFERROR(__xludf.DUMMYFUNCTION("""COMPUTED_VALUE"""),3331252.0)</f>
        <v>3331252</v>
      </c>
      <c r="C99" t="str">
        <f>IFERROR(__xludf.DUMMYFUNCTION("""COMPUTED_VALUE"""),"en")</f>
        <v>en</v>
      </c>
      <c r="D99" t="str">
        <f>IFERROR(__xludf.DUMMYFUNCTION("""COMPUTED_VALUE"""),"Train and Deploy Tensorflow models using Google AI Platform")</f>
        <v>Train and Deploy Tensorflow models using Google AI Platform</v>
      </c>
      <c r="E99" t="str">
        <f>IFERROR(__xludf.DUMMYFUNCTION("""COMPUTED_VALUE"""),"Train and Deploy Tensorflow models using Google AI Platform")</f>
        <v>Train and Deploy Tensorflow models using Google AI Platform</v>
      </c>
      <c r="F99">
        <f>IFERROR(__xludf.DUMMYFUNCTION("""COMPUTED_VALUE"""),1.24868536E8)</f>
        <v>124868536</v>
      </c>
      <c r="G99" s="140" t="str">
        <f>IFERROR(__xludf.DUMMYFUNCTION("""COMPUTED_VALUE"""),"Nour Islam Mokhtari")</f>
        <v>Nour Islam Mokhtari</v>
      </c>
      <c r="H99" t="str">
        <f>IFERROR(__xludf.DUMMYFUNCTION("""COMPUTED_VALUE"""),"Saturated Topic")</f>
        <v>Saturated Topic</v>
      </c>
      <c r="I99" t="str">
        <f>IFERROR(__xludf.DUMMYFUNCTION("""COMPUTED_VALUE"""),"Cloud Computing")</f>
        <v>Cloud Computing</v>
      </c>
      <c r="J99" t="str">
        <f>IFERROR(__xludf.DUMMYFUNCTION("""COMPUTED_VALUE"""),"Cloud Development")</f>
        <v>Cloud Development</v>
      </c>
      <c r="L99" s="140" t="str">
        <f>IFERROR(__xludf.DUMMYFUNCTION("""COMPUTED_VALUE"""),"")</f>
        <v/>
      </c>
      <c r="N99" s="140" t="str">
        <f>IFERROR(__xludf.DUMMYFUNCTION("""COMPUTED_VALUE"""),"")</f>
        <v/>
      </c>
    </row>
    <row r="100">
      <c r="A100" s="141">
        <f>IFERROR(__xludf.DUMMYFUNCTION("""COMPUTED_VALUE"""),44592.0)</f>
        <v>44592</v>
      </c>
      <c r="B100">
        <f>IFERROR(__xludf.DUMMYFUNCTION("""COMPUTED_VALUE"""),2475496.0)</f>
        <v>2475496</v>
      </c>
      <c r="C100" t="str">
        <f>IFERROR(__xludf.DUMMYFUNCTION("""COMPUTED_VALUE"""),"en")</f>
        <v>en</v>
      </c>
      <c r="D100" t="str">
        <f>IFERROR(__xludf.DUMMYFUNCTION("""COMPUTED_VALUE"""),"Ultimate ServiceNow Security Operations Course")</f>
        <v>Ultimate ServiceNow Security Operations Course</v>
      </c>
      <c r="E100" t="str">
        <f>IFERROR(__xludf.DUMMYFUNCTION("""COMPUTED_VALUE"""),"Ultimate ServiceNow Security Operations Course")</f>
        <v>Ultimate ServiceNow Security Operations Course</v>
      </c>
      <c r="F100">
        <f>IFERROR(__xludf.DUMMYFUNCTION("""COMPUTED_VALUE"""),7.7789374E7)</f>
        <v>77789374</v>
      </c>
      <c r="G100" s="140" t="str">
        <f>IFERROR(__xludf.DUMMYFUNCTION("""COMPUTED_VALUE"""),"Brett DeHoag")</f>
        <v>Brett DeHoag</v>
      </c>
      <c r="H100" t="str">
        <f>IFERROR(__xludf.DUMMYFUNCTION("""COMPUTED_VALUE"""),"Saturated Topic")</f>
        <v>Saturated Topic</v>
      </c>
      <c r="I100" t="str">
        <f>IFERROR(__xludf.DUMMYFUNCTION("""COMPUTED_VALUE"""),"IT Operations")</f>
        <v>IT Operations</v>
      </c>
      <c r="J100" t="str">
        <f>IFERROR(__xludf.DUMMYFUNCTION("""COMPUTED_VALUE"""),"Network &amp; Security")</f>
        <v>Network &amp; Security</v>
      </c>
      <c r="L100" s="140" t="str">
        <f>IFERROR(__xludf.DUMMYFUNCTION("""COMPUTED_VALUE"""),"")</f>
        <v/>
      </c>
      <c r="N100" s="140" t="str">
        <f>IFERROR(__xludf.DUMMYFUNCTION("""COMPUTED_VALUE"""),"")</f>
        <v/>
      </c>
    </row>
    <row r="101">
      <c r="A101" s="141">
        <f>IFERROR(__xludf.DUMMYFUNCTION("""COMPUTED_VALUE"""),44592.0)</f>
        <v>44592</v>
      </c>
      <c r="B101">
        <f>IFERROR(__xludf.DUMMYFUNCTION("""COMPUTED_VALUE"""),2666128.0)</f>
        <v>2666128</v>
      </c>
      <c r="C101" t="str">
        <f>IFERROR(__xludf.DUMMYFUNCTION("""COMPUTED_VALUE"""),"en")</f>
        <v>en</v>
      </c>
      <c r="D101" t="str">
        <f>IFERROR(__xludf.DUMMYFUNCTION("""COMPUTED_VALUE"""),"Advanced UiPath Course- 5 Real time Projects by Amit &amp; Minal")</f>
        <v>Advanced UiPath Course- 5 Real time Projects by Amit &amp; Minal</v>
      </c>
      <c r="E101" t="str">
        <f>IFERROR(__xludf.DUMMYFUNCTION("""COMPUTED_VALUE"""),"Advanced UiPath Course- 5 Real time Projects by Amit &amp; Minal")</f>
        <v>Advanced UiPath Course- 5 Real time Projects by Amit &amp; Minal</v>
      </c>
      <c r="F101">
        <f>IFERROR(__xludf.DUMMYFUNCTION("""COMPUTED_VALUE"""),8.2354412E7)</f>
        <v>82354412</v>
      </c>
      <c r="G101" s="140" t="str">
        <f>IFERROR(__xludf.DUMMYFUNCTION("""COMPUTED_VALUE"""),"Minal Gupta")</f>
        <v>Minal Gupta</v>
      </c>
      <c r="H101" s="140" t="str">
        <f>IFERROR(__xludf.DUMMYFUNCTION("""COMPUTED_VALUE"""),"Saturated Topic")</f>
        <v>Saturated Topic</v>
      </c>
      <c r="I101" t="str">
        <f>IFERROR(__xludf.DUMMYFUNCTION("""COMPUTED_VALUE"""),"Data Science")</f>
        <v>Data Science</v>
      </c>
      <c r="J101" t="str">
        <f>IFERROR(__xludf.DUMMYFUNCTION("""COMPUTED_VALUE"""),"Machine Learning")</f>
        <v>Machine Learning</v>
      </c>
      <c r="L101" s="140" t="str">
        <f>IFERROR(__xludf.DUMMYFUNCTION("""COMPUTED_VALUE"""),"")</f>
        <v/>
      </c>
      <c r="N101" s="140" t="str">
        <f>IFERROR(__xludf.DUMMYFUNCTION("""COMPUTED_VALUE"""),"")</f>
        <v/>
      </c>
    </row>
    <row r="102">
      <c r="A102" s="141">
        <f>IFERROR(__xludf.DUMMYFUNCTION("""COMPUTED_VALUE"""),44592.0)</f>
        <v>44592</v>
      </c>
      <c r="B102">
        <f>IFERROR(__xludf.DUMMYFUNCTION("""COMPUTED_VALUE"""),3818320.0)</f>
        <v>3818320</v>
      </c>
      <c r="C102" t="str">
        <f>IFERROR(__xludf.DUMMYFUNCTION("""COMPUTED_VALUE"""),"en")</f>
        <v>en</v>
      </c>
      <c r="D102" t="str">
        <f>IFERROR(__xludf.DUMMYFUNCTION("""COMPUTED_VALUE"""),"Practice Exams | Microsoft Azure Exam AZ-220 IoT Developer")</f>
        <v>Practice Exams | Microsoft Azure Exam AZ-220 IoT Developer</v>
      </c>
      <c r="E102" t="str">
        <f>IFERROR(__xludf.DUMMYFUNCTION("""COMPUTED_VALUE"""),"Practice Exams | Microsoft Azure Exam AZ-220 IoT Developer")</f>
        <v>Practice Exams | Microsoft Azure Exam AZ-220 IoT Developer</v>
      </c>
      <c r="F102">
        <f>IFERROR(__xludf.DUMMYFUNCTION("""COMPUTED_VALUE"""),5.144189E7)</f>
        <v>51441890</v>
      </c>
      <c r="G102" s="140" t="str">
        <f>IFERROR(__xludf.DUMMYFUNCTION("""COMPUTED_VALUE"""),"Wade Henderson")</f>
        <v>Wade Henderson</v>
      </c>
      <c r="H102" s="140" t="str">
        <f>IFERROR(__xludf.DUMMYFUNCTION("""COMPUTED_VALUE"""),"Saturated Topic")</f>
        <v>Saturated Topic</v>
      </c>
      <c r="I102" t="str">
        <f>IFERROR(__xludf.DUMMYFUNCTION("""COMPUTED_VALUE"""),"IT Operations")</f>
        <v>IT Operations</v>
      </c>
      <c r="J102" t="str">
        <f>IFERROR(__xludf.DUMMYFUNCTION("""COMPUTED_VALUE"""),"IT Certifications")</f>
        <v>IT Certifications</v>
      </c>
      <c r="L102" s="140" t="str">
        <f>IFERROR(__xludf.DUMMYFUNCTION("""COMPUTED_VALUE"""),"")</f>
        <v/>
      </c>
      <c r="N102" s="140" t="str">
        <f>IFERROR(__xludf.DUMMYFUNCTION("""COMPUTED_VALUE"""),"")</f>
        <v/>
      </c>
    </row>
    <row r="103">
      <c r="A103" s="141">
        <f>IFERROR(__xludf.DUMMYFUNCTION("""COMPUTED_VALUE"""),44592.0)</f>
        <v>44592</v>
      </c>
      <c r="B103">
        <f>IFERROR(__xludf.DUMMYFUNCTION("""COMPUTED_VALUE"""),1716506.0)</f>
        <v>1716506</v>
      </c>
      <c r="C103" t="str">
        <f>IFERROR(__xludf.DUMMYFUNCTION("""COMPUTED_VALUE"""),"en")</f>
        <v>en</v>
      </c>
      <c r="D103" t="str">
        <f>IFERROR(__xludf.DUMMYFUNCTION("""COMPUTED_VALUE"""),"Audio Engineering: Mixing with Studio One")</f>
        <v>Audio Engineering: Mixing with Studio One</v>
      </c>
      <c r="E103" t="str">
        <f>IFERROR(__xludf.DUMMYFUNCTION("""COMPUTED_VALUE"""),"Audio Engineering: Mixing with Studio One")</f>
        <v>Audio Engineering: Mixing with Studio One</v>
      </c>
      <c r="F103">
        <f>IFERROR(__xludf.DUMMYFUNCTION("""COMPUTED_VALUE"""),7825650.0)</f>
        <v>7825650</v>
      </c>
      <c r="G103" s="140" t="str">
        <f>IFERROR(__xludf.DUMMYFUNCTION("""COMPUTED_VALUE"""),"Christopher ""Czar"" Smith")</f>
        <v>Christopher "Czar" Smith</v>
      </c>
      <c r="H103" s="140" t="str">
        <f>IFERROR(__xludf.DUMMYFUNCTION("""COMPUTED_VALUE"""),"Saturated Topic")</f>
        <v>Saturated Topic</v>
      </c>
      <c r="I103" t="str">
        <f>IFERROR(__xludf.DUMMYFUNCTION("""COMPUTED_VALUE"""),"Personal Development")</f>
        <v>Personal Development</v>
      </c>
      <c r="J103" t="str">
        <f>IFERROR(__xludf.DUMMYFUNCTION("""COMPUTED_VALUE"""),"Arts &amp; Creativity")</f>
        <v>Arts &amp; Creativity</v>
      </c>
      <c r="K103">
        <f>IFERROR(__xludf.DUMMYFUNCTION("""COMPUTED_VALUE"""),322818.0)</f>
        <v>322818</v>
      </c>
      <c r="L103" s="140" t="str">
        <f>IFERROR(__xludf.DUMMYFUNCTION("""COMPUTED_VALUE"""),"audio engineering: EQ and Compression for beginners")</f>
        <v>audio engineering: EQ and Compression for beginners</v>
      </c>
      <c r="N103" s="140" t="str">
        <f>IFERROR(__xludf.DUMMYFUNCTION("""COMPUTED_VALUE"""),"")</f>
        <v/>
      </c>
    </row>
    <row r="104">
      <c r="A104" s="141">
        <f>IFERROR(__xludf.DUMMYFUNCTION("""COMPUTED_VALUE"""),44592.0)</f>
        <v>44592</v>
      </c>
      <c r="B104">
        <f>IFERROR(__xludf.DUMMYFUNCTION("""COMPUTED_VALUE"""),1382630.0)</f>
        <v>1382630</v>
      </c>
      <c r="C104" t="str">
        <f>IFERROR(__xludf.DUMMYFUNCTION("""COMPUTED_VALUE"""),"en")</f>
        <v>en</v>
      </c>
      <c r="D104" t="str">
        <f>IFERROR(__xludf.DUMMYFUNCTION("""COMPUTED_VALUE"""),"GMAT Data Sufficiency : The ULTIMATE GUIDE")</f>
        <v>GMAT Data Sufficiency : The ULTIMATE GUIDE</v>
      </c>
      <c r="E104" t="str">
        <f>IFERROR(__xludf.DUMMYFUNCTION("""COMPUTED_VALUE"""),"GMAT Data Sufficiency : The ULTIMATE GUIDE")</f>
        <v>GMAT Data Sufficiency : The ULTIMATE GUIDE</v>
      </c>
      <c r="F104">
        <f>IFERROR(__xludf.DUMMYFUNCTION("""COMPUTED_VALUE"""),1.4534044E7)</f>
        <v>14534044</v>
      </c>
      <c r="G104" s="140" t="str">
        <f>IFERROR(__xludf.DUMMYFUNCTION("""COMPUTED_VALUE"""),"Anis MURR")</f>
        <v>Anis MURR</v>
      </c>
      <c r="H104" t="str">
        <f>IFERROR(__xludf.DUMMYFUNCTION("""COMPUTED_VALUE"""),"Saturated Topic")</f>
        <v>Saturated Topic</v>
      </c>
      <c r="I104" t="str">
        <f>IFERROR(__xludf.DUMMYFUNCTION("""COMPUTED_VALUE"""),"Personal Development")</f>
        <v>Personal Development</v>
      </c>
      <c r="J104" t="str">
        <f>IFERROR(__xludf.DUMMYFUNCTION("""COMPUTED_VALUE"""),"Personal Growth")</f>
        <v>Personal Growth</v>
      </c>
      <c r="K104">
        <f>IFERROR(__xludf.DUMMYFUNCTION("""COMPUTED_VALUE"""),199644.0)</f>
        <v>199644</v>
      </c>
      <c r="L104" s="140" t="str">
        <f>IFERROR(__xludf.DUMMYFUNCTION("""COMPUTED_VALUE"""),"Dominate GMAT Verbal - Comprehensive GMAT Verbal Prep Course")</f>
        <v>Dominate GMAT Verbal - Comprehensive GMAT Verbal Prep Course</v>
      </c>
      <c r="N104" s="140" t="str">
        <f>IFERROR(__xludf.DUMMYFUNCTION("""COMPUTED_VALUE"""),"")</f>
        <v/>
      </c>
    </row>
    <row r="105">
      <c r="A105" s="141">
        <f>IFERROR(__xludf.DUMMYFUNCTION("""COMPUTED_VALUE"""),44592.0)</f>
        <v>44592</v>
      </c>
      <c r="B105">
        <f>IFERROR(__xludf.DUMMYFUNCTION("""COMPUTED_VALUE"""),30732.0)</f>
        <v>30732</v>
      </c>
      <c r="C105" t="str">
        <f>IFERROR(__xludf.DUMMYFUNCTION("""COMPUTED_VALUE"""),"en")</f>
        <v>en</v>
      </c>
      <c r="D105" t="str">
        <f>IFERROR(__xludf.DUMMYFUNCTION("""COMPUTED_VALUE"""),"Adobe CS6 New Features")</f>
        <v>Adobe CS6 New Features</v>
      </c>
      <c r="E105" t="str">
        <f>IFERROR(__xludf.DUMMYFUNCTION("""COMPUTED_VALUE"""),"Adobe CS6 New Features")</f>
        <v>Adobe CS6 New Features</v>
      </c>
      <c r="F105">
        <f>IFERROR(__xludf.DUMMYFUNCTION("""COMPUTED_VALUE"""),232846.0)</f>
        <v>232846</v>
      </c>
      <c r="G105" s="140" t="str">
        <f>IFERROR(__xludf.DUMMYFUNCTION("""COMPUTED_VALUE"""),"Learnit Anytime")</f>
        <v>Learnit Anytime</v>
      </c>
      <c r="H105" t="str">
        <f>IFERROR(__xludf.DUMMYFUNCTION("""COMPUTED_VALUE"""),"Saturated Topic")</f>
        <v>Saturated Topic</v>
      </c>
      <c r="I105" t="str">
        <f>IFERROR(__xludf.DUMMYFUNCTION("""COMPUTED_VALUE"""),"Design")</f>
        <v>Design</v>
      </c>
      <c r="J105" t="str">
        <f>IFERROR(__xludf.DUMMYFUNCTION("""COMPUTED_VALUE"""),"Design Tools")</f>
        <v>Design Tools</v>
      </c>
      <c r="L105" s="140" t="str">
        <f>IFERROR(__xludf.DUMMYFUNCTION("""COMPUTED_VALUE"""),"")</f>
        <v/>
      </c>
      <c r="N105" s="140" t="str">
        <f>IFERROR(__xludf.DUMMYFUNCTION("""COMPUTED_VALUE"""),"")</f>
        <v/>
      </c>
    </row>
    <row r="106">
      <c r="A106" s="141">
        <f>IFERROR(__xludf.DUMMYFUNCTION("""COMPUTED_VALUE"""),44592.0)</f>
        <v>44592</v>
      </c>
      <c r="B106">
        <f>IFERROR(__xludf.DUMMYFUNCTION("""COMPUTED_VALUE"""),115758.0)</f>
        <v>115758</v>
      </c>
      <c r="C106" t="str">
        <f>IFERROR(__xludf.DUMMYFUNCTION("""COMPUTED_VALUE"""),"en")</f>
        <v>en</v>
      </c>
      <c r="D106" t="str">
        <f>IFERROR(__xludf.DUMMYFUNCTION("""COMPUTED_VALUE"""),"Learn the Fundamentals of Adobe Edge Animate")</f>
        <v>Learn the Fundamentals of Adobe Edge Animate</v>
      </c>
      <c r="E106" t="str">
        <f>IFERROR(__xludf.DUMMYFUNCTION("""COMPUTED_VALUE"""),"Learn the Fundamentals of Adobe Edge Animate")</f>
        <v>Learn the Fundamentals of Adobe Edge Animate</v>
      </c>
      <c r="F106">
        <f>IFERROR(__xludf.DUMMYFUNCTION("""COMPUTED_VALUE"""),890434.0)</f>
        <v>890434</v>
      </c>
      <c r="G106" s="140" t="str">
        <f>IFERROR(__xludf.DUMMYFUNCTION("""COMPUTED_VALUE"""),"Tom Green")</f>
        <v>Tom Green</v>
      </c>
      <c r="H106" s="140" t="str">
        <f>IFERROR(__xludf.DUMMYFUNCTION("""COMPUTED_VALUE"""),"Saturated Topic")</f>
        <v>Saturated Topic</v>
      </c>
      <c r="I106" t="str">
        <f>IFERROR(__xludf.DUMMYFUNCTION("""COMPUTED_VALUE"""),"Design")</f>
        <v>Design</v>
      </c>
      <c r="J106" t="str">
        <f>IFERROR(__xludf.DUMMYFUNCTION("""COMPUTED_VALUE"""),"3D &amp; Animation")</f>
        <v>3D &amp; Animation</v>
      </c>
      <c r="L106" s="140" t="str">
        <f>IFERROR(__xludf.DUMMYFUNCTION("""COMPUTED_VALUE"""),"")</f>
        <v/>
      </c>
      <c r="N106" s="140" t="str">
        <f>IFERROR(__xludf.DUMMYFUNCTION("""COMPUTED_VALUE"""),"")</f>
        <v/>
      </c>
    </row>
    <row r="107">
      <c r="A107" s="141">
        <f>IFERROR(__xludf.DUMMYFUNCTION("""COMPUTED_VALUE"""),44592.0)</f>
        <v>44592</v>
      </c>
      <c r="B107">
        <f>IFERROR(__xludf.DUMMYFUNCTION("""COMPUTED_VALUE"""),2412230.0)</f>
        <v>2412230</v>
      </c>
      <c r="C107" t="str">
        <f>IFERROR(__xludf.DUMMYFUNCTION("""COMPUTED_VALUE"""),"en")</f>
        <v>en</v>
      </c>
      <c r="D107" t="str">
        <f>IFERROR(__xludf.DUMMYFUNCTION("""COMPUTED_VALUE"""),"Awesome Electronics Course. Electronics from Soup to Nuts")</f>
        <v>Awesome Electronics Course. Electronics from Soup to Nuts</v>
      </c>
      <c r="E107" t="str">
        <f>IFERROR(__xludf.DUMMYFUNCTION("""COMPUTED_VALUE"""),"Awesome Electronics Course. Electronics from Soup to Nuts")</f>
        <v>Awesome Electronics Course. Electronics from Soup to Nuts</v>
      </c>
      <c r="F107">
        <f>IFERROR(__xludf.DUMMYFUNCTION("""COMPUTED_VALUE"""),8327776.0)</f>
        <v>8327776</v>
      </c>
      <c r="G107" s="140" t="str">
        <f>IFERROR(__xludf.DUMMYFUNCTION("""COMPUTED_VALUE"""),"albert spinosa")</f>
        <v>albert spinosa</v>
      </c>
      <c r="H107" t="str">
        <f>IFERROR(__xludf.DUMMYFUNCTION("""COMPUTED_VALUE"""),"Saturated Topic")</f>
        <v>Saturated Topic</v>
      </c>
      <c r="I107" t="str">
        <f>IFERROR(__xludf.DUMMYFUNCTION("""COMPUTED_VALUE"""),"IT Operations")</f>
        <v>IT Operations</v>
      </c>
      <c r="J107" t="str">
        <f>IFERROR(__xludf.DUMMYFUNCTION("""COMPUTED_VALUE"""),"Hardware")</f>
        <v>Hardware</v>
      </c>
      <c r="K107">
        <f>IFERROR(__xludf.DUMMYFUNCTION("""COMPUTED_VALUE"""),1215970.0)</f>
        <v>1215970</v>
      </c>
      <c r="L107" s="140" t="str">
        <f>IFERROR(__xludf.DUMMYFUNCTION("""COMPUTED_VALUE"""),"The Complete Basic Electricity &amp; Electronics Course")</f>
        <v>The Complete Basic Electricity &amp; Electronics Course</v>
      </c>
      <c r="M107" s="140">
        <f>IFERROR(__xludf.DUMMYFUNCTION("""COMPUTED_VALUE"""),706086.0)</f>
        <v>706086</v>
      </c>
      <c r="N107" s="140" t="str">
        <f>IFERROR(__xludf.DUMMYFUNCTION("""COMPUTED_VALUE"""),"Electronics - for Complete Beginners")</f>
        <v>Electronics - for Complete Beginners</v>
      </c>
    </row>
    <row r="108">
      <c r="A108" s="141">
        <f>IFERROR(__xludf.DUMMYFUNCTION("""COMPUTED_VALUE"""),44592.0)</f>
        <v>44592</v>
      </c>
      <c r="B108">
        <f>IFERROR(__xludf.DUMMYFUNCTION("""COMPUTED_VALUE"""),403072.0)</f>
        <v>403072</v>
      </c>
      <c r="C108" t="str">
        <f>IFERROR(__xludf.DUMMYFUNCTION("""COMPUTED_VALUE"""),"en")</f>
        <v>en</v>
      </c>
      <c r="D108" t="str">
        <f>IFERROR(__xludf.DUMMYFUNCTION("""COMPUTED_VALUE"""),"Logistics for Management Consultants - a practical guide")</f>
        <v>Logistics for Management Consultants - a practical guide</v>
      </c>
      <c r="E108" t="str">
        <f>IFERROR(__xludf.DUMMYFUNCTION("""COMPUTED_VALUE"""),"Logistics for Management Consultants - a practical guide")</f>
        <v>Logistics for Management Consultants - a practical guide</v>
      </c>
      <c r="F108">
        <f>IFERROR(__xludf.DUMMYFUNCTION("""COMPUTED_VALUE"""),6124030.0)</f>
        <v>6124030</v>
      </c>
      <c r="G108" s="140" t="str">
        <f>IFERROR(__xludf.DUMMYFUNCTION("""COMPUTED_VALUE"""),"Asen Gyczew")</f>
        <v>Asen Gyczew</v>
      </c>
      <c r="H108" s="140" t="str">
        <f>IFERROR(__xludf.DUMMYFUNCTION("""COMPUTED_VALUE"""),"Saturated Topic")</f>
        <v>Saturated Topic</v>
      </c>
      <c r="I108" t="str">
        <f>IFERROR(__xludf.DUMMYFUNCTION("""COMPUTED_VALUE"""),"Project Management &amp; Operations")</f>
        <v>Project Management &amp; Operations</v>
      </c>
      <c r="J108" t="str">
        <f>IFERROR(__xludf.DUMMYFUNCTION("""COMPUTED_VALUE"""),"Operations Management")</f>
        <v>Operations Management</v>
      </c>
      <c r="K108">
        <f>IFERROR(__xludf.DUMMYFUNCTION("""COMPUTED_VALUE"""),3726964.0)</f>
        <v>3726964</v>
      </c>
      <c r="L108" s="140" t="str">
        <f>IFERROR(__xludf.DUMMYFUNCTION("""COMPUTED_VALUE"""),"Management Consulting Essential Training")</f>
        <v>Management Consulting Essential Training</v>
      </c>
      <c r="M108" s="140">
        <f>IFERROR(__xludf.DUMMYFUNCTION("""COMPUTED_VALUE"""),1058386.0)</f>
        <v>1058386</v>
      </c>
      <c r="N108" s="140" t="str">
        <f>IFERROR(__xludf.DUMMYFUNCTION("""COMPUTED_VALUE"""),"Management Consulting Project – Behind the Scenes")</f>
        <v>Management Consulting Project – Behind the Scenes</v>
      </c>
    </row>
    <row r="109">
      <c r="A109" s="141">
        <f>IFERROR(__xludf.DUMMYFUNCTION("""COMPUTED_VALUE"""),44592.0)</f>
        <v>44592</v>
      </c>
      <c r="B109">
        <f>IFERROR(__xludf.DUMMYFUNCTION("""COMPUTED_VALUE"""),1238886.0)</f>
        <v>1238886</v>
      </c>
      <c r="C109" t="str">
        <f>IFERROR(__xludf.DUMMYFUNCTION("""COMPUTED_VALUE"""),"en")</f>
        <v>en</v>
      </c>
      <c r="D109" t="str">
        <f>IFERROR(__xludf.DUMMYFUNCTION("""COMPUTED_VALUE"""),"Two popular tools -Easily Learn to work with Redis,Vagrant")</f>
        <v>Two popular tools -Easily Learn to work with Redis,Vagrant</v>
      </c>
      <c r="E109" t="str">
        <f>IFERROR(__xludf.DUMMYFUNCTION("""COMPUTED_VALUE"""),"Two popular tools -Easily Learn to work with Redis,Vagrant")</f>
        <v>Two popular tools -Easily Learn to work with Redis,Vagrant</v>
      </c>
      <c r="F109">
        <f>IFERROR(__xludf.DUMMYFUNCTION("""COMPUTED_VALUE"""),323709.0)</f>
        <v>323709</v>
      </c>
      <c r="G109" s="140" t="str">
        <f>IFERROR(__xludf.DUMMYFUNCTION("""COMPUTED_VALUE"""),"Gandhi Kumarasamy Sezhian")</f>
        <v>Gandhi Kumarasamy Sezhian</v>
      </c>
      <c r="H109" t="str">
        <f>IFERROR(__xludf.DUMMYFUNCTION("""COMPUTED_VALUE"""),"Saturated Topic")</f>
        <v>Saturated Topic</v>
      </c>
      <c r="I109" t="str">
        <f>IFERROR(__xludf.DUMMYFUNCTION("""COMPUTED_VALUE"""),"Development")</f>
        <v>Development</v>
      </c>
      <c r="J109" t="str">
        <f>IFERROR(__xludf.DUMMYFUNCTION("""COMPUTED_VALUE"""),"Database Design &amp; Development")</f>
        <v>Database Design &amp; Development</v>
      </c>
      <c r="L109" s="140" t="str">
        <f>IFERROR(__xludf.DUMMYFUNCTION("""COMPUTED_VALUE"""),"")</f>
        <v/>
      </c>
      <c r="N109" s="140" t="str">
        <f>IFERROR(__xludf.DUMMYFUNCTION("""COMPUTED_VALUE"""),"")</f>
        <v/>
      </c>
    </row>
    <row r="110">
      <c r="A110" s="141">
        <f>IFERROR(__xludf.DUMMYFUNCTION("""COMPUTED_VALUE"""),44592.0)</f>
        <v>44592</v>
      </c>
      <c r="B110">
        <f>IFERROR(__xludf.DUMMYFUNCTION("""COMPUTED_VALUE"""),963324.0)</f>
        <v>963324</v>
      </c>
      <c r="C110" t="str">
        <f>IFERROR(__xludf.DUMMYFUNCTION("""COMPUTED_VALUE"""),"en")</f>
        <v>en</v>
      </c>
      <c r="D110" t="str">
        <f>IFERROR(__xludf.DUMMYFUNCTION("""COMPUTED_VALUE"""),"Use SAP BRFplus Like a Pro!")</f>
        <v>Use SAP BRFplus Like a Pro!</v>
      </c>
      <c r="E110" t="str">
        <f>IFERROR(__xludf.DUMMYFUNCTION("""COMPUTED_VALUE"""),"Use SAP BRFplus Like a Pro!")</f>
        <v>Use SAP BRFplus Like a Pro!</v>
      </c>
      <c r="F110">
        <f>IFERROR(__xludf.DUMMYFUNCTION("""COMPUTED_VALUE"""),7890310.0)</f>
        <v>7890310</v>
      </c>
      <c r="G110" s="140" t="str">
        <f>IFERROR(__xludf.DUMMYFUNCTION("""COMPUTED_VALUE"""),"Tom Zamir")</f>
        <v>Tom Zamir</v>
      </c>
      <c r="H110" t="str">
        <f>IFERROR(__xludf.DUMMYFUNCTION("""COMPUTED_VALUE"""),"Saturated Topic")</f>
        <v>Saturated Topic</v>
      </c>
      <c r="I110" t="str">
        <f>IFERROR(__xludf.DUMMYFUNCTION("""COMPUTED_VALUE"""),"IT Operations")</f>
        <v>IT Operations</v>
      </c>
      <c r="J110" t="str">
        <f>IFERROR(__xludf.DUMMYFUNCTION("""COMPUTED_VALUE"""),"Operating Systems &amp; Servers")</f>
        <v>Operating Systems &amp; Servers</v>
      </c>
      <c r="L110" s="140" t="str">
        <f>IFERROR(__xludf.DUMMYFUNCTION("""COMPUTED_VALUE"""),"")</f>
        <v/>
      </c>
      <c r="N110" s="140" t="str">
        <f>IFERROR(__xludf.DUMMYFUNCTION("""COMPUTED_VALUE"""),"")</f>
        <v/>
      </c>
    </row>
    <row r="111">
      <c r="A111" s="141">
        <f>IFERROR(__xludf.DUMMYFUNCTION("""COMPUTED_VALUE"""),44592.0)</f>
        <v>44592</v>
      </c>
      <c r="B111">
        <f>IFERROR(__xludf.DUMMYFUNCTION("""COMPUTED_VALUE"""),1158720.0)</f>
        <v>1158720</v>
      </c>
      <c r="C111" t="str">
        <f>IFERROR(__xludf.DUMMYFUNCTION("""COMPUTED_VALUE"""),"en")</f>
        <v>en</v>
      </c>
      <c r="D111" t="str">
        <f>IFERROR(__xludf.DUMMYFUNCTION("""COMPUTED_VALUE"""),"SAP ABAP in BW: Core ABAP Training")</f>
        <v>SAP ABAP in BW: Core ABAP Training</v>
      </c>
      <c r="E111" t="str">
        <f>IFERROR(__xludf.DUMMYFUNCTION("""COMPUTED_VALUE"""),"SAP ABAP in BW: Core ABAP Training")</f>
        <v>SAP ABAP in BW: Core ABAP Training</v>
      </c>
      <c r="F111">
        <f>IFERROR(__xludf.DUMMYFUNCTION("""COMPUTED_VALUE"""),367934.0)</f>
        <v>367934</v>
      </c>
      <c r="G111" s="140" t="str">
        <f>IFERROR(__xludf.DUMMYFUNCTION("""COMPUTED_VALUE"""),"COGENT TUTORIALS")</f>
        <v>COGENT TUTORIALS</v>
      </c>
      <c r="H111" t="str">
        <f>IFERROR(__xludf.DUMMYFUNCTION("""COMPUTED_VALUE"""),"Saturated Topic")</f>
        <v>Saturated Topic</v>
      </c>
      <c r="I111" t="str">
        <f>IFERROR(__xludf.DUMMYFUNCTION("""COMPUTED_VALUE"""),"Development")</f>
        <v>Development</v>
      </c>
      <c r="J111" t="str">
        <f>IFERROR(__xludf.DUMMYFUNCTION("""COMPUTED_VALUE"""),"Development Tools")</f>
        <v>Development Tools</v>
      </c>
      <c r="K111">
        <f>IFERROR(__xludf.DUMMYFUNCTION("""COMPUTED_VALUE"""),20365.0)</f>
        <v>20365</v>
      </c>
      <c r="L111" s="140" t="str">
        <f>IFERROR(__xludf.DUMMYFUNCTION("""COMPUTED_VALUE"""),"SAP ABAP Programming For Beginners - Online Training")</f>
        <v>SAP ABAP Programming For Beginners - Online Training</v>
      </c>
      <c r="M111" s="140">
        <f>IFERROR(__xludf.DUMMYFUNCTION("""COMPUTED_VALUE"""),1146144.0)</f>
        <v>1146144</v>
      </c>
      <c r="N111" s="140" t="str">
        <f>IFERROR(__xludf.DUMMYFUNCTION("""COMPUTED_VALUE"""),"SAP ABAP Training - in Plain English")</f>
        <v>SAP ABAP Training - in Plain English</v>
      </c>
    </row>
    <row r="112">
      <c r="A112" s="141">
        <f>IFERROR(__xludf.DUMMYFUNCTION("""COMPUTED_VALUE"""),44592.0)</f>
        <v>44592</v>
      </c>
      <c r="B112">
        <f>IFERROR(__xludf.DUMMYFUNCTION("""COMPUTED_VALUE"""),215728.0)</f>
        <v>215728</v>
      </c>
      <c r="C112" t="str">
        <f>IFERROR(__xludf.DUMMYFUNCTION("""COMPUTED_VALUE"""),"en")</f>
        <v>en</v>
      </c>
      <c r="D112" t="str">
        <f>IFERROR(__xludf.DUMMYFUNCTION("""COMPUTED_VALUE"""),"Shark Accounting - Building a Business by the Numbers!")</f>
        <v>Shark Accounting - Building a Business by the Numbers!</v>
      </c>
      <c r="E112" t="str">
        <f>IFERROR(__xludf.DUMMYFUNCTION("""COMPUTED_VALUE"""),"Shark Accounting - Building a Business by the Numbers!")</f>
        <v>Shark Accounting - Building a Business by the Numbers!</v>
      </c>
      <c r="F112">
        <f>IFERROR(__xludf.DUMMYFUNCTION("""COMPUTED_VALUE"""),156449.0)</f>
        <v>156449</v>
      </c>
      <c r="G112" s="140" t="str">
        <f>IFERROR(__xludf.DUMMYFUNCTION("""COMPUTED_VALUE"""),"Vincent Turner")</f>
        <v>Vincent Turner</v>
      </c>
      <c r="H112" t="str">
        <f>IFERROR(__xludf.DUMMYFUNCTION("""COMPUTED_VALUE"""),"Saturated Topic")</f>
        <v>Saturated Topic</v>
      </c>
      <c r="I112" t="str">
        <f>IFERROR(__xludf.DUMMYFUNCTION("""COMPUTED_VALUE"""),"Finance &amp; Accounting")</f>
        <v>Finance &amp; Accounting</v>
      </c>
      <c r="J112" t="str">
        <f>IFERROR(__xludf.DUMMYFUNCTION("""COMPUTED_VALUE"""),"Accounting")</f>
        <v>Accounting</v>
      </c>
      <c r="K112">
        <f>IFERROR(__xludf.DUMMYFUNCTION("""COMPUTED_VALUE"""),640100.0)</f>
        <v>640100</v>
      </c>
      <c r="L112" s="140" t="str">
        <f>IFERROR(__xludf.DUMMYFUNCTION("""COMPUTED_VALUE"""),"Accounting &amp; Financial Statement Analysis: Complete Training")</f>
        <v>Accounting &amp; Financial Statement Analysis: Complete Training</v>
      </c>
      <c r="M112" s="140">
        <f>IFERROR(__xludf.DUMMYFUNCTION("""COMPUTED_VALUE"""),133428.0)</f>
        <v>133428</v>
      </c>
      <c r="N112" s="140" t="str">
        <f>IFERROR(__xludf.DUMMYFUNCTION("""COMPUTED_VALUE"""),"Accounting: From Beginner to Advanced!")</f>
        <v>Accounting: From Beginner to Advanced!</v>
      </c>
    </row>
    <row r="113">
      <c r="A113" s="141">
        <f>IFERROR(__xludf.DUMMYFUNCTION("""COMPUTED_VALUE"""),44592.0)</f>
        <v>44592</v>
      </c>
      <c r="B113">
        <f>IFERROR(__xludf.DUMMYFUNCTION("""COMPUTED_VALUE"""),508010.0)</f>
        <v>508010</v>
      </c>
      <c r="C113" t="str">
        <f>IFERROR(__xludf.DUMMYFUNCTION("""COMPUTED_VALUE"""),"en")</f>
        <v>en</v>
      </c>
      <c r="D113" t="str">
        <f>IFERROR(__xludf.DUMMYFUNCTION("""COMPUTED_VALUE"""),"Effective use of Excel 2013 in real life")</f>
        <v>Effective use of Excel 2013 in real life</v>
      </c>
      <c r="E113" t="str">
        <f>IFERROR(__xludf.DUMMYFUNCTION("""COMPUTED_VALUE"""),"Effective use of Excel 2013 in real life")</f>
        <v>Effective use of Excel 2013 in real life</v>
      </c>
      <c r="F113">
        <f>IFERROR(__xludf.DUMMYFUNCTION("""COMPUTED_VALUE"""),686918.0)</f>
        <v>686918</v>
      </c>
      <c r="G113" s="140" t="str">
        <f>IFERROR(__xludf.DUMMYFUNCTION("""COMPUTED_VALUE"""),"Ulrika Hedlund")</f>
        <v>Ulrika Hedlund</v>
      </c>
      <c r="H113" t="str">
        <f>IFERROR(__xludf.DUMMYFUNCTION("""COMPUTED_VALUE"""),"Saturated Topic")</f>
        <v>Saturated Topic</v>
      </c>
      <c r="I113" t="str">
        <f>IFERROR(__xludf.DUMMYFUNCTION("""COMPUTED_VALUE"""),"Office Productivity")</f>
        <v>Office Productivity</v>
      </c>
      <c r="J113" t="str">
        <f>IFERROR(__xludf.DUMMYFUNCTION("""COMPUTED_VALUE"""),"Spreadsheets")</f>
        <v>Spreadsheets</v>
      </c>
      <c r="K113">
        <f>IFERROR(__xludf.DUMMYFUNCTION("""COMPUTED_VALUE"""),793796.0)</f>
        <v>793796</v>
      </c>
      <c r="L113" s="140" t="str">
        <f>IFERROR(__xludf.DUMMYFUNCTION("""COMPUTED_VALUE"""),"Microsoft Excel - Excel from Beginner to Advanced")</f>
        <v>Microsoft Excel - Excel from Beginner to Advanced</v>
      </c>
      <c r="M113" s="140">
        <f>IFERROR(__xludf.DUMMYFUNCTION("""COMPUTED_VALUE"""),49250.0)</f>
        <v>49250</v>
      </c>
      <c r="N113" s="140" t="str">
        <f>IFERROR(__xludf.DUMMYFUNCTION("""COMPUTED_VALUE"""),"Microsoft Excel - From Beginner to Expert in 6 Hours")</f>
        <v>Microsoft Excel - From Beginner to Expert in 6 Hours</v>
      </c>
    </row>
    <row r="114">
      <c r="A114" s="141">
        <f>IFERROR(__xludf.DUMMYFUNCTION("""COMPUTED_VALUE"""),44592.0)</f>
        <v>44592</v>
      </c>
      <c r="B114">
        <f>IFERROR(__xludf.DUMMYFUNCTION("""COMPUTED_VALUE"""),777654.0)</f>
        <v>777654</v>
      </c>
      <c r="C114" t="str">
        <f>IFERROR(__xludf.DUMMYFUNCTION("""COMPUTED_VALUE"""),"en")</f>
        <v>en</v>
      </c>
      <c r="D114" t="str">
        <f>IFERROR(__xludf.DUMMYFUNCTION("""COMPUTED_VALUE"""),"Learn what's new in PHP 7")</f>
        <v>Learn what's new in PHP 7</v>
      </c>
      <c r="E114" t="str">
        <f>IFERROR(__xludf.DUMMYFUNCTION("""COMPUTED_VALUE"""),"Learn what's new in PHP 7")</f>
        <v>Learn what's new in PHP 7</v>
      </c>
      <c r="F114">
        <f>IFERROR(__xludf.DUMMYFUNCTION("""COMPUTED_VALUE"""),3410094.0)</f>
        <v>3410094</v>
      </c>
      <c r="G114" s="140" t="str">
        <f>IFERROR(__xludf.DUMMYFUNCTION("""COMPUTED_VALUE"""),"Lawrence Turton")</f>
        <v>Lawrence Turton</v>
      </c>
      <c r="H114" t="str">
        <f>IFERROR(__xludf.DUMMYFUNCTION("""COMPUTED_VALUE"""),"Saturated Topic")</f>
        <v>Saturated Topic</v>
      </c>
      <c r="I114" t="str">
        <f>IFERROR(__xludf.DUMMYFUNCTION("""COMPUTED_VALUE"""),"Development")</f>
        <v>Development</v>
      </c>
      <c r="J114" t="str">
        <f>IFERROR(__xludf.DUMMYFUNCTION("""COMPUTED_VALUE"""),"Programming Languages")</f>
        <v>Programming Languages</v>
      </c>
      <c r="K114">
        <f>IFERROR(__xludf.DUMMYFUNCTION("""COMPUTED_VALUE"""),405282.0)</f>
        <v>405282</v>
      </c>
      <c r="L114" s="140" t="str">
        <f>IFERROR(__xludf.DUMMYFUNCTION("""COMPUTED_VALUE"""),"PHP for Beginners - Become a PHP Master - CMS Project")</f>
        <v>PHP for Beginners - Become a PHP Master - CMS Project</v>
      </c>
      <c r="M114" s="140">
        <f>IFERROR(__xludf.DUMMYFUNCTION("""COMPUTED_VALUE"""),1576856.0)</f>
        <v>1576856</v>
      </c>
      <c r="N114" s="140" t="str">
        <f>IFERROR(__xludf.DUMMYFUNCTION("""COMPUTED_VALUE"""),"PHP for Beginners")</f>
        <v>PHP for Beginners</v>
      </c>
    </row>
    <row r="115">
      <c r="A115" s="141">
        <f>IFERROR(__xludf.DUMMYFUNCTION("""COMPUTED_VALUE"""),44592.0)</f>
        <v>44592</v>
      </c>
      <c r="B115">
        <f>IFERROR(__xludf.DUMMYFUNCTION("""COMPUTED_VALUE"""),509454.0)</f>
        <v>509454</v>
      </c>
      <c r="C115" t="str">
        <f>IFERROR(__xludf.DUMMYFUNCTION("""COMPUTED_VALUE"""),"en")</f>
        <v>en</v>
      </c>
      <c r="D115" t="str">
        <f>IFERROR(__xludf.DUMMYFUNCTION("""COMPUTED_VALUE"""),"Essentials of Developing Windows Store Apps Using C#")</f>
        <v>Essentials of Developing Windows Store Apps Using C#</v>
      </c>
      <c r="E115" t="str">
        <f>IFERROR(__xludf.DUMMYFUNCTION("""COMPUTED_VALUE"""),"Essentials of Developing Windows Store Apps Using C#")</f>
        <v>Essentials of Developing Windows Store Apps Using C#</v>
      </c>
      <c r="F115">
        <f>IFERROR(__xludf.DUMMYFUNCTION("""COMPUTED_VALUE"""),8602168.0)</f>
        <v>8602168</v>
      </c>
      <c r="G115" s="140" t="str">
        <f>IFERROR(__xludf.DUMMYFUNCTION("""COMPUTED_VALUE"""),"Compaq learning")</f>
        <v>Compaq learning</v>
      </c>
      <c r="H115" s="140" t="str">
        <f>IFERROR(__xludf.DUMMYFUNCTION("""COMPUTED_VALUE"""),"Saturated Topic")</f>
        <v>Saturated Topic</v>
      </c>
      <c r="I115" t="str">
        <f>IFERROR(__xludf.DUMMYFUNCTION("""COMPUTED_VALUE"""),"Development")</f>
        <v>Development</v>
      </c>
      <c r="J115" t="str">
        <f>IFERROR(__xludf.DUMMYFUNCTION("""COMPUTED_VALUE"""),"Programming Languages")</f>
        <v>Programming Languages</v>
      </c>
      <c r="K115">
        <f>IFERROR(__xludf.DUMMYFUNCTION("""COMPUTED_VALUE"""),2181338.0)</f>
        <v>2181338</v>
      </c>
      <c r="L115" s="140" t="str">
        <f>IFERROR(__xludf.DUMMYFUNCTION("""COMPUTED_VALUE"""),"Easy C# with Windows Forms +70 Projects for Beginners to Pro")</f>
        <v>Easy C# with Windows Forms +70 Projects for Beginners to Pro</v>
      </c>
      <c r="N115" s="140" t="str">
        <f>IFERROR(__xludf.DUMMYFUNCTION("""COMPUTED_VALUE"""),"")</f>
        <v/>
      </c>
    </row>
    <row r="116">
      <c r="A116" s="141">
        <f>IFERROR(__xludf.DUMMYFUNCTION("""COMPUTED_VALUE"""),44592.0)</f>
        <v>44592</v>
      </c>
      <c r="B116">
        <f>IFERROR(__xludf.DUMMYFUNCTION("""COMPUTED_VALUE"""),853420.0)</f>
        <v>853420</v>
      </c>
      <c r="C116" t="str">
        <f>IFERROR(__xludf.DUMMYFUNCTION("""COMPUTED_VALUE"""),"en")</f>
        <v>en</v>
      </c>
      <c r="D116" t="str">
        <f>IFERROR(__xludf.DUMMYFUNCTION("""COMPUTED_VALUE"""),"3D Game Development with Blender")</f>
        <v>3D Game Development with Blender</v>
      </c>
      <c r="E116" t="str">
        <f>IFERROR(__xludf.DUMMYFUNCTION("""COMPUTED_VALUE"""),"3D Game Development with Blender")</f>
        <v>3D Game Development with Blender</v>
      </c>
      <c r="F116">
        <f>IFERROR(__xludf.DUMMYFUNCTION("""COMPUTED_VALUE"""),149780.0)</f>
        <v>149780</v>
      </c>
      <c r="G116" s="140" t="str">
        <f>IFERROR(__xludf.DUMMYFUNCTION("""COMPUTED_VALUE"""),"Andy Harris")</f>
        <v>Andy Harris</v>
      </c>
      <c r="H116" s="140" t="str">
        <f>IFERROR(__xludf.DUMMYFUNCTION("""COMPUTED_VALUE"""),"Saturated Topic")</f>
        <v>Saturated Topic</v>
      </c>
      <c r="I116" t="str">
        <f>IFERROR(__xludf.DUMMYFUNCTION("""COMPUTED_VALUE"""),"Development")</f>
        <v>Development</v>
      </c>
      <c r="J116" t="str">
        <f>IFERROR(__xludf.DUMMYFUNCTION("""COMPUTED_VALUE"""),"Game Development")</f>
        <v>Game Development</v>
      </c>
      <c r="K116">
        <f>IFERROR(__xludf.DUMMYFUNCTION("""COMPUTED_VALUE"""),1356020.0)</f>
        <v>1356020</v>
      </c>
      <c r="L116" s="140" t="str">
        <f>IFERROR(__xludf.DUMMYFUNCTION("""COMPUTED_VALUE"""),"Blender Character Creator v2.0 for Video Games Design")</f>
        <v>Blender Character Creator v2.0 for Video Games Design</v>
      </c>
      <c r="N116" s="140" t="str">
        <f>IFERROR(__xludf.DUMMYFUNCTION("""COMPUTED_VALUE"""),"")</f>
        <v/>
      </c>
    </row>
    <row r="117">
      <c r="A117" s="141">
        <f>IFERROR(__xludf.DUMMYFUNCTION("""COMPUTED_VALUE"""),44592.0)</f>
        <v>44592</v>
      </c>
      <c r="B117">
        <f>IFERROR(__xludf.DUMMYFUNCTION("""COMPUTED_VALUE"""),1715894.0)</f>
        <v>1715894</v>
      </c>
      <c r="C117" t="str">
        <f>IFERROR(__xludf.DUMMYFUNCTION("""COMPUTED_VALUE"""),"en")</f>
        <v>en</v>
      </c>
      <c r="D117" t="str">
        <f>IFERROR(__xludf.DUMMYFUNCTION("""COMPUTED_VALUE"""),"Full-Stack React with GraphQL and Apollo Boost")</f>
        <v>Full-Stack React with GraphQL and Apollo Boost</v>
      </c>
      <c r="E117" t="str">
        <f>IFERROR(__xludf.DUMMYFUNCTION("""COMPUTED_VALUE"""),"Full-Stack React with GraphQL and Apollo Boost")</f>
        <v>Full-Stack React with GraphQL and Apollo Boost</v>
      </c>
      <c r="F117">
        <f>IFERROR(__xludf.DUMMYFUNCTION("""COMPUTED_VALUE"""),4.8943274E7)</f>
        <v>48943274</v>
      </c>
      <c r="G117" s="140" t="str">
        <f>IFERROR(__xludf.DUMMYFUNCTION("""COMPUTED_VALUE"""),"Reed Barger")</f>
        <v>Reed Barger</v>
      </c>
      <c r="H117" s="140" t="str">
        <f>IFERROR(__xludf.DUMMYFUNCTION("""COMPUTED_VALUE"""),"Saturated Topic")</f>
        <v>Saturated Topic</v>
      </c>
      <c r="I117" t="str">
        <f>IFERROR(__xludf.DUMMYFUNCTION("""COMPUTED_VALUE"""),"Development")</f>
        <v>Development</v>
      </c>
      <c r="J117" t="str">
        <f>IFERROR(__xludf.DUMMYFUNCTION("""COMPUTED_VALUE"""),"Web Development")</f>
        <v>Web Development</v>
      </c>
      <c r="K117">
        <f>IFERROR(__xludf.DUMMYFUNCTION("""COMPUTED_VALUE"""),1853176.0)</f>
        <v>1853176</v>
      </c>
      <c r="L117" s="140" t="str">
        <f>IFERROR(__xludf.DUMMYFUNCTION("""COMPUTED_VALUE"""),"Master Full-Stack Web Development | Node, SQL, React, &amp; More")</f>
        <v>Master Full-Stack Web Development | Node, SQL, React, &amp; More</v>
      </c>
      <c r="N117" s="140" t="str">
        <f>IFERROR(__xludf.DUMMYFUNCTION("""COMPUTED_VALUE"""),"")</f>
        <v/>
      </c>
    </row>
    <row r="118">
      <c r="A118" s="141">
        <f>IFERROR(__xludf.DUMMYFUNCTION("""COMPUTED_VALUE"""),44592.0)</f>
        <v>44592</v>
      </c>
      <c r="B118">
        <f>IFERROR(__xludf.DUMMYFUNCTION("""COMPUTED_VALUE"""),1140472.0)</f>
        <v>1140472</v>
      </c>
      <c r="C118" t="str">
        <f>IFERROR(__xludf.DUMMYFUNCTION("""COMPUTED_VALUE"""),"en")</f>
        <v>en</v>
      </c>
      <c r="D118" t="str">
        <f>IFERROR(__xludf.DUMMYFUNCTION("""COMPUTED_VALUE"""),"Difficult Conversations at Work Made Easier")</f>
        <v>Difficult Conversations at Work Made Easier</v>
      </c>
      <c r="E118" t="str">
        <f>IFERROR(__xludf.DUMMYFUNCTION("""COMPUTED_VALUE"""),"Difficult Conversations at Work Made Easier")</f>
        <v>Difficult Conversations at Work Made Easier</v>
      </c>
      <c r="F118">
        <f>IFERROR(__xludf.DUMMYFUNCTION("""COMPUTED_VALUE"""),3234824.0)</f>
        <v>3234824</v>
      </c>
      <c r="G118" s="140" t="str">
        <f>IFERROR(__xludf.DUMMYFUNCTION("""COMPUTED_VALUE"""),"Kellie Edwards")</f>
        <v>Kellie Edwards</v>
      </c>
      <c r="H118" s="140" t="str">
        <f>IFERROR(__xludf.DUMMYFUNCTION("""COMPUTED_VALUE"""),"Saturated Topic")</f>
        <v>Saturated Topic</v>
      </c>
      <c r="I118" t="str">
        <f>IFERROR(__xludf.DUMMYFUNCTION("""COMPUTED_VALUE"""),"Leadership &amp; Management")</f>
        <v>Leadership &amp; Management</v>
      </c>
      <c r="J118" t="str">
        <f>IFERROR(__xludf.DUMMYFUNCTION("""COMPUTED_VALUE"""),"Communication")</f>
        <v>Communication</v>
      </c>
      <c r="K118">
        <f>IFERROR(__xludf.DUMMYFUNCTION("""COMPUTED_VALUE"""),1379522.0)</f>
        <v>1379522</v>
      </c>
      <c r="L118" s="140" t="str">
        <f>IFERROR(__xludf.DUMMYFUNCTION("""COMPUTED_VALUE"""),"Difficult Conversations: Master Difficult Conversations")</f>
        <v>Difficult Conversations: Master Difficult Conversations</v>
      </c>
      <c r="N118" s="140" t="str">
        <f>IFERROR(__xludf.DUMMYFUNCTION("""COMPUTED_VALUE"""),"")</f>
        <v/>
      </c>
    </row>
    <row r="119">
      <c r="A119" s="141">
        <f>IFERROR(__xludf.DUMMYFUNCTION("""COMPUTED_VALUE"""),44592.0)</f>
        <v>44592</v>
      </c>
      <c r="B119">
        <f>IFERROR(__xludf.DUMMYFUNCTION("""COMPUTED_VALUE"""),1175526.0)</f>
        <v>1175526</v>
      </c>
      <c r="C119" t="str">
        <f>IFERROR(__xludf.DUMMYFUNCTION("""COMPUTED_VALUE"""),"en")</f>
        <v>en</v>
      </c>
      <c r="D119" t="str">
        <f>IFERROR(__xludf.DUMMYFUNCTION("""COMPUTED_VALUE"""),"Facebook Ads Profit Bootcamp: Covert Ads into Sales!")</f>
        <v>Facebook Ads Profit Bootcamp: Covert Ads into Sales!</v>
      </c>
      <c r="E119" t="str">
        <f>IFERROR(__xludf.DUMMYFUNCTION("""COMPUTED_VALUE"""),"Facebook Ads Profit Bootcamp: Covert Ads into Sales!")</f>
        <v>Facebook Ads Profit Bootcamp: Covert Ads into Sales!</v>
      </c>
      <c r="F119">
        <f>IFERROR(__xludf.DUMMYFUNCTION("""COMPUTED_VALUE"""),9150270.0)</f>
        <v>9150270</v>
      </c>
      <c r="G119" s="140" t="str">
        <f>IFERROR(__xludf.DUMMYFUNCTION("""COMPUTED_VALUE"""),"Suppoman ™")</f>
        <v>Suppoman ™</v>
      </c>
      <c r="H119" s="140" t="str">
        <f>IFERROR(__xludf.DUMMYFUNCTION("""COMPUTED_VALUE"""),"Saturated Topic")</f>
        <v>Saturated Topic</v>
      </c>
      <c r="I119" t="str">
        <f>IFERROR(__xludf.DUMMYFUNCTION("""COMPUTED_VALUE"""),"Marketing")</f>
        <v>Marketing</v>
      </c>
      <c r="J119" t="str">
        <f>IFERROR(__xludf.DUMMYFUNCTION("""COMPUTED_VALUE"""),"Paid Advertising")</f>
        <v>Paid Advertising</v>
      </c>
      <c r="K119">
        <f>IFERROR(__xludf.DUMMYFUNCTION("""COMPUTED_VALUE"""),1725350.0)</f>
        <v>1725350</v>
      </c>
      <c r="L119" s="140" t="str">
        <f>IFERROR(__xludf.DUMMYFUNCTION("""COMPUTED_VALUE"""),"10 Facebook Ads Strategies That Make Me 6-Figures")</f>
        <v>10 Facebook Ads Strategies That Make Me 6-Figures</v>
      </c>
      <c r="M119" s="140">
        <f>IFERROR(__xludf.DUMMYFUNCTION("""COMPUTED_VALUE"""),1175526.0)</f>
        <v>1175526</v>
      </c>
      <c r="N119" s="140" t="str">
        <f>IFERROR(__xludf.DUMMYFUNCTION("""COMPUTED_VALUE"""),"Facebook Ads Profit Bootcamp: Covert Ads into Sales!")</f>
        <v>Facebook Ads Profit Bootcamp: Covert Ads into Sales!</v>
      </c>
    </row>
    <row r="120">
      <c r="A120" s="141">
        <f>IFERROR(__xludf.DUMMYFUNCTION("""COMPUTED_VALUE"""),44592.0)</f>
        <v>44592</v>
      </c>
      <c r="B120">
        <f>IFERROR(__xludf.DUMMYFUNCTION("""COMPUTED_VALUE"""),1248974.0)</f>
        <v>1248974</v>
      </c>
      <c r="C120" t="str">
        <f>IFERROR(__xludf.DUMMYFUNCTION("""COMPUTED_VALUE"""),"en")</f>
        <v>en</v>
      </c>
      <c r="D120" t="str">
        <f>IFERROR(__xludf.DUMMYFUNCTION("""COMPUTED_VALUE"""),"Learn Bootstrap 4 by Example")</f>
        <v>Learn Bootstrap 4 by Example</v>
      </c>
      <c r="E120" t="str">
        <f>IFERROR(__xludf.DUMMYFUNCTION("""COMPUTED_VALUE"""),"Learn Bootstrap 4 by Example")</f>
        <v>Learn Bootstrap 4 by Example</v>
      </c>
      <c r="F120">
        <f>IFERROR(__xludf.DUMMYFUNCTION("""COMPUTED_VALUE"""),7327108.0)</f>
        <v>7327108</v>
      </c>
      <c r="G120" s="140" t="str">
        <f>IFERROR(__xludf.DUMMYFUNCTION("""COMPUTED_VALUE"""),"Gary Simon")</f>
        <v>Gary Simon</v>
      </c>
      <c r="H120" s="140" t="str">
        <f>IFERROR(__xludf.DUMMYFUNCTION("""COMPUTED_VALUE"""),"Saturated Topic")</f>
        <v>Saturated Topic</v>
      </c>
      <c r="I120" t="str">
        <f>IFERROR(__xludf.DUMMYFUNCTION("""COMPUTED_VALUE"""),"Development")</f>
        <v>Development</v>
      </c>
      <c r="J120" t="str">
        <f>IFERROR(__xludf.DUMMYFUNCTION("""COMPUTED_VALUE"""),"Web Development")</f>
        <v>Web Development</v>
      </c>
      <c r="K120">
        <f>IFERROR(__xludf.DUMMYFUNCTION("""COMPUTED_VALUE"""),1313502.0)</f>
        <v>1313502</v>
      </c>
      <c r="L120" s="140" t="str">
        <f>IFERROR(__xludf.DUMMYFUNCTION("""COMPUTED_VALUE"""),"Bootstrap 4 From Scratch With 5 Projects")</f>
        <v>Bootstrap 4 From Scratch With 5 Projects</v>
      </c>
      <c r="M120" s="140">
        <f>IFERROR(__xludf.DUMMYFUNCTION("""COMPUTED_VALUE"""),1968412.0)</f>
        <v>1968412</v>
      </c>
      <c r="N120" s="140" t="str">
        <f>IFERROR(__xludf.DUMMYFUNCTION("""COMPUTED_VALUE"""),"The Bootstrap 4 Bootcamp")</f>
        <v>The Bootstrap 4 Bootcamp</v>
      </c>
    </row>
    <row r="121">
      <c r="A121" s="141">
        <f>IFERROR(__xludf.DUMMYFUNCTION("""COMPUTED_VALUE"""),44592.0)</f>
        <v>44592</v>
      </c>
      <c r="B121">
        <f>IFERROR(__xludf.DUMMYFUNCTION("""COMPUTED_VALUE"""),113312.0)</f>
        <v>113312</v>
      </c>
      <c r="C121" t="str">
        <f>IFERROR(__xludf.DUMMYFUNCTION("""COMPUTED_VALUE"""),"en")</f>
        <v>en</v>
      </c>
      <c r="D121" t="str">
        <f>IFERROR(__xludf.DUMMYFUNCTION("""COMPUTED_VALUE"""),"Introduction to Microsoft Project 2010")</f>
        <v>Introduction to Microsoft Project 2010</v>
      </c>
      <c r="E121" t="str">
        <f>IFERROR(__xludf.DUMMYFUNCTION("""COMPUTED_VALUE"""),"Introduction to Microsoft Project 2010")</f>
        <v>Introduction to Microsoft Project 2010</v>
      </c>
      <c r="F121">
        <f>IFERROR(__xludf.DUMMYFUNCTION("""COMPUTED_VALUE"""),254593.0)</f>
        <v>254593</v>
      </c>
      <c r="G121" s="140" t="str">
        <f>IFERROR(__xludf.DUMMYFUNCTION("""COMPUTED_VALUE"""),"Simon Sez IT")</f>
        <v>Simon Sez IT</v>
      </c>
      <c r="H121" s="140" t="str">
        <f>IFERROR(__xludf.DUMMYFUNCTION("""COMPUTED_VALUE"""),"Saturated Topic")</f>
        <v>Saturated Topic</v>
      </c>
      <c r="I121" t="str">
        <f>IFERROR(__xludf.DUMMYFUNCTION("""COMPUTED_VALUE"""),"Project Management &amp; Operations")</f>
        <v>Project Management &amp; Operations</v>
      </c>
      <c r="J121" t="str">
        <f>IFERROR(__xludf.DUMMYFUNCTION("""COMPUTED_VALUE"""),"Project Management Tools")</f>
        <v>Project Management Tools</v>
      </c>
      <c r="L121" s="140" t="str">
        <f>IFERROR(__xludf.DUMMYFUNCTION("""COMPUTED_VALUE"""),"")</f>
        <v/>
      </c>
      <c r="N121" s="140" t="str">
        <f>IFERROR(__xludf.DUMMYFUNCTION("""COMPUTED_VALUE"""),"")</f>
        <v/>
      </c>
    </row>
    <row r="122">
      <c r="A122" s="141">
        <f>IFERROR(__xludf.DUMMYFUNCTION("""COMPUTED_VALUE"""),44592.0)</f>
        <v>44592</v>
      </c>
      <c r="B122">
        <f>IFERROR(__xludf.DUMMYFUNCTION("""COMPUTED_VALUE"""),2861282.0)</f>
        <v>2861282</v>
      </c>
      <c r="C122" t="str">
        <f>IFERROR(__xludf.DUMMYFUNCTION("""COMPUTED_VALUE"""),"en")</f>
        <v>en</v>
      </c>
      <c r="D122" t="str">
        <f>IFERROR(__xludf.DUMMYFUNCTION("""COMPUTED_VALUE"""),"Unity Shaders con CG/HLSL y Shader Graph | Nivel Intermedio")</f>
        <v>Unity Shaders con CG/HLSL y Shader Graph | Nivel Intermedio</v>
      </c>
      <c r="E122" t="str">
        <f>IFERROR(__xludf.DUMMYFUNCTION("""COMPUTED_VALUE"""),"Unity Shaders with CG / HLSL and Shader Graph | Intermediate level")</f>
        <v>Unity Shaders with CG / HLSL and Shader Graph | Intermediate level</v>
      </c>
      <c r="F122">
        <f>IFERROR(__xludf.DUMMYFUNCTION("""COMPUTED_VALUE"""),6.277554E7)</f>
        <v>62775540</v>
      </c>
      <c r="G122" s="140" t="str">
        <f>IFERROR(__xludf.DUMMYFUNCTION("""COMPUTED_VALUE"""),"Jettelly Team")</f>
        <v>Jettelly Team</v>
      </c>
      <c r="H122" s="140" t="str">
        <f>IFERROR(__xludf.DUMMYFUNCTION("""COMPUTED_VALUE"""),"Instructor Request- Opted Out")</f>
        <v>Instructor Request- Opted Out</v>
      </c>
      <c r="I122" t="str">
        <f>IFERROR(__xludf.DUMMYFUNCTION("""COMPUTED_VALUE"""),"Development")</f>
        <v>Development</v>
      </c>
      <c r="J122" t="str">
        <f>IFERROR(__xludf.DUMMYFUNCTION("""COMPUTED_VALUE"""),"Game Development")</f>
        <v>Game Development</v>
      </c>
      <c r="L122" s="140" t="str">
        <f>IFERROR(__xludf.DUMMYFUNCTION("""COMPUTED_VALUE"""),"")</f>
        <v/>
      </c>
      <c r="N122" s="140" t="str">
        <f>IFERROR(__xludf.DUMMYFUNCTION("""COMPUTED_VALUE"""),"")</f>
        <v/>
      </c>
    </row>
    <row r="123">
      <c r="A123" s="141">
        <f>IFERROR(__xludf.DUMMYFUNCTION("""COMPUTED_VALUE"""),44592.0)</f>
        <v>44592</v>
      </c>
      <c r="B123">
        <f>IFERROR(__xludf.DUMMYFUNCTION("""COMPUTED_VALUE"""),2.7592028E7)</f>
        <v>27592028</v>
      </c>
      <c r="C123" t="str">
        <f>IFERROR(__xludf.DUMMYFUNCTION("""COMPUTED_VALUE"""),"en")</f>
        <v>en</v>
      </c>
      <c r="D123" t="str">
        <f>IFERROR(__xludf.DUMMYFUNCTION("""COMPUTED_VALUE"""),"#N/A")</f>
        <v>#N/A</v>
      </c>
      <c r="E123" t="str">
        <f>IFERROR(__xludf.DUMMYFUNCTION("""COMPUTED_VALUE"""),"#N/A")</f>
        <v>#N/A</v>
      </c>
      <c r="F123">
        <f>IFERROR(__xludf.DUMMYFUNCTION("""COMPUTED_VALUE"""),2.7592028E7)</f>
        <v>27592028</v>
      </c>
      <c r="G123" s="140" t="str">
        <f>IFERROR(__xludf.DUMMYFUNCTION("""COMPUTED_VALUE"""),"#N/A")</f>
        <v>#N/A</v>
      </c>
      <c r="H123" s="140" t="str">
        <f>IFERROR(__xludf.DUMMYFUNCTION("""COMPUTED_VALUE"""),"Instructor Request- Opted Out")</f>
        <v>Instructor Request- Opted Out</v>
      </c>
      <c r="I123" t="str">
        <f>IFERROR(__xludf.DUMMYFUNCTION("""COMPUTED_VALUE"""),"#N/A")</f>
        <v>#N/A</v>
      </c>
      <c r="J123" t="str">
        <f>IFERROR(__xludf.DUMMYFUNCTION("""COMPUTED_VALUE"""),"#N/A")</f>
        <v>#N/A</v>
      </c>
      <c r="L123" s="140" t="str">
        <f>IFERROR(__xludf.DUMMYFUNCTION("""COMPUTED_VALUE"""),"")</f>
        <v/>
      </c>
      <c r="N123" s="140" t="str">
        <f>IFERROR(__xludf.DUMMYFUNCTION("""COMPUTED_VALUE"""),"")</f>
        <v/>
      </c>
    </row>
    <row r="124">
      <c r="A124" s="141">
        <f>IFERROR(__xludf.DUMMYFUNCTION("""COMPUTED_VALUE"""),44592.0)</f>
        <v>44592</v>
      </c>
      <c r="B124">
        <f>IFERROR(__xludf.DUMMYFUNCTION("""COMPUTED_VALUE"""),2240248.0)</f>
        <v>2240248</v>
      </c>
      <c r="C124" t="str">
        <f>IFERROR(__xludf.DUMMYFUNCTION("""COMPUTED_VALUE"""),"es")</f>
        <v>es</v>
      </c>
      <c r="D124" t="str">
        <f>IFERROR(__xludf.DUMMYFUNCTION("""COMPUTED_VALUE"""),"Finanzas Personales para Principiantes")</f>
        <v>Finanzas Personales para Principiantes</v>
      </c>
      <c r="E124" t="str">
        <f>IFERROR(__xludf.DUMMYFUNCTION("""COMPUTED_VALUE"""),"Personal Finance for Beginners")</f>
        <v>Personal Finance for Beginners</v>
      </c>
      <c r="F124">
        <f>IFERROR(__xludf.DUMMYFUNCTION("""COMPUTED_VALUE"""),3.7700798E7)</f>
        <v>37700798</v>
      </c>
      <c r="G124" s="140" t="str">
        <f>IFERROR(__xludf.DUMMYFUNCTION("""COMPUTED_VALUE"""),"Alejandra P. Rodríguez")</f>
        <v>Alejandra P. Rodríguez</v>
      </c>
      <c r="H124" s="140" t="str">
        <f>IFERROR(__xludf.DUMMYFUNCTION("""COMPUTED_VALUE"""),"Instructor Request- Opted Out")</f>
        <v>Instructor Request- Opted Out</v>
      </c>
      <c r="I124" t="str">
        <f>IFERROR(__xludf.DUMMYFUNCTION("""COMPUTED_VALUE"""),"Personal Development")</f>
        <v>Personal Development</v>
      </c>
      <c r="J124" t="str">
        <f>IFERROR(__xludf.DUMMYFUNCTION("""COMPUTED_VALUE"""),"Personal Growth")</f>
        <v>Personal Growth</v>
      </c>
      <c r="K124">
        <f>IFERROR(__xludf.DUMMYFUNCTION("""COMPUTED_VALUE"""),2128114.0)</f>
        <v>2128114</v>
      </c>
      <c r="L124" s="140" t="str">
        <f>IFERROR(__xludf.DUMMYFUNCTION("""COMPUTED_VALUE"""),"Curso de Finanzas Personales")</f>
        <v>Curso de Finanzas Personales</v>
      </c>
      <c r="M124" s="140">
        <f>IFERROR(__xludf.DUMMYFUNCTION("""COMPUTED_VALUE"""),1248082.0)</f>
        <v>1248082</v>
      </c>
      <c r="N124" s="140" t="str">
        <f>IFERROR(__xludf.DUMMYFUNCTION("""COMPUTED_VALUE"""),"Curso Completo de Finanzas Personales para No Expertos")</f>
        <v>Curso Completo de Finanzas Personales para No Expertos</v>
      </c>
    </row>
    <row r="125">
      <c r="A125" s="141">
        <f>IFERROR(__xludf.DUMMYFUNCTION("""COMPUTED_VALUE"""),44592.0)</f>
        <v>44592</v>
      </c>
      <c r="B125">
        <f>IFERROR(__xludf.DUMMYFUNCTION("""COMPUTED_VALUE"""),1585344.0)</f>
        <v>1585344</v>
      </c>
      <c r="C125" t="str">
        <f>IFERROR(__xludf.DUMMYFUNCTION("""COMPUTED_VALUE"""),"pt")</f>
        <v>pt</v>
      </c>
      <c r="D125" t="str">
        <f>IFERROR(__xludf.DUMMYFUNCTION("""COMPUTED_VALUE"""),"Criando uma planilha de controle financeiro empresarial")</f>
        <v>Criando uma planilha de controle financeiro empresarial</v>
      </c>
      <c r="E125" t="str">
        <f>IFERROR(__xludf.DUMMYFUNCTION("""COMPUTED_VALUE"""),"Creating a Business Financial Control Worksheet")</f>
        <v>Creating a Business Financial Control Worksheet</v>
      </c>
      <c r="F125">
        <f>IFERROR(__xludf.DUMMYFUNCTION("""COMPUTED_VALUE"""),7512270.0)</f>
        <v>7512270</v>
      </c>
      <c r="G125" s="140" t="str">
        <f>IFERROR(__xludf.DUMMYFUNCTION("""COMPUTED_VALUE"""),"Estevão Mortare")</f>
        <v>Estevão Mortare</v>
      </c>
      <c r="H125" s="140" t="str">
        <f>IFERROR(__xludf.DUMMYFUNCTION("""COMPUTED_VALUE"""),"Instructor Request- Opted Out")</f>
        <v>Instructor Request- Opted Out</v>
      </c>
      <c r="I125" t="str">
        <f>IFERROR(__xludf.DUMMYFUNCTION("""COMPUTED_VALUE"""),"Finance &amp; Accounting")</f>
        <v>Finance &amp; Accounting</v>
      </c>
      <c r="J125" t="str">
        <f>IFERROR(__xludf.DUMMYFUNCTION("""COMPUTED_VALUE"""),"Accounting")</f>
        <v>Accounting</v>
      </c>
      <c r="L125" s="140" t="str">
        <f>IFERROR(__xludf.DUMMYFUNCTION("""COMPUTED_VALUE"""),"")</f>
        <v/>
      </c>
      <c r="N125" s="140" t="str">
        <f>IFERROR(__xludf.DUMMYFUNCTION("""COMPUTED_VALUE"""),"")</f>
        <v/>
      </c>
    </row>
    <row r="126">
      <c r="A126" s="141">
        <f>IFERROR(__xludf.DUMMYFUNCTION("""COMPUTED_VALUE"""),44592.0)</f>
        <v>44592</v>
      </c>
      <c r="B126">
        <f>IFERROR(__xludf.DUMMYFUNCTION("""COMPUTED_VALUE"""),1682960.0)</f>
        <v>1682960</v>
      </c>
      <c r="C126" t="str">
        <f>IFERROR(__xludf.DUMMYFUNCTION("""COMPUTED_VALUE"""),"es")</f>
        <v>es</v>
      </c>
      <c r="D126" t="str">
        <f>IFERROR(__xludf.DUMMYFUNCTION("""COMPUTED_VALUE"""),"Google Ads - Curso Completo Desde lo Básico Hasta Avanzado")</f>
        <v>Google Ads - Curso Completo Desde lo Básico Hasta Avanzado</v>
      </c>
      <c r="E126" t="str">
        <f>IFERROR(__xludf.DUMMYFUNCTION("""COMPUTED_VALUE"""),"Google Ads - Complete course from the basics up to advanced")</f>
        <v>Google Ads - Complete course from the basics up to advanced</v>
      </c>
      <c r="F126">
        <f>IFERROR(__xludf.DUMMYFUNCTION("""COMPUTED_VALUE"""),3.2673184E7)</f>
        <v>32673184</v>
      </c>
      <c r="G126" s="140" t="str">
        <f>IFERROR(__xludf.DUMMYFUNCTION("""COMPUTED_VALUE"""),"Miguel Maraby")</f>
        <v>Miguel Maraby</v>
      </c>
      <c r="H126" s="140" t="str">
        <f>IFERROR(__xludf.DUMMYFUNCTION("""COMPUTED_VALUE"""),"Instructor Request- Opted Out")</f>
        <v>Instructor Request- Opted Out</v>
      </c>
      <c r="I126" t="str">
        <f>IFERROR(__xludf.DUMMYFUNCTION("""COMPUTED_VALUE"""),"Marketing")</f>
        <v>Marketing</v>
      </c>
      <c r="J126" t="str">
        <f>IFERROR(__xludf.DUMMYFUNCTION("""COMPUTED_VALUE"""),"Search Engine Optimization")</f>
        <v>Search Engine Optimization</v>
      </c>
      <c r="L126" s="140" t="str">
        <f>IFERROR(__xludf.DUMMYFUNCTION("""COMPUTED_VALUE"""),"")</f>
        <v/>
      </c>
      <c r="N126" s="140" t="str">
        <f>IFERROR(__xludf.DUMMYFUNCTION("""COMPUTED_VALUE"""),"")</f>
        <v/>
      </c>
    </row>
    <row r="127">
      <c r="A127" s="143">
        <f>IFERROR(__xludf.DUMMYFUNCTION("""COMPUTED_VALUE"""),44592.0)</f>
        <v>44592</v>
      </c>
      <c r="B127">
        <f>IFERROR(__xludf.DUMMYFUNCTION("""COMPUTED_VALUE"""),2672672.0)</f>
        <v>2672672</v>
      </c>
      <c r="C127" t="str">
        <f>IFERROR(__xludf.DUMMYFUNCTION("""COMPUTED_VALUE"""),"ja")</f>
        <v>ja</v>
      </c>
      <c r="D127" t="str">
        <f>IFERROR(__xludf.DUMMYFUNCTION("""COMPUTED_VALUE"""),"今からでも基礎から学べるPythonによる自然言語処理（NLP）：現役データサイエンティストが教える「日本語」文書分類")</f>
        <v>今からでも基礎から学べるPythonによる自然言語処理（NLP）：現役データサイエンティストが教える「日本語」文書分類</v>
      </c>
      <c r="E127" t="str">
        <f>IFERROR(__xludf.DUMMYFUNCTION("""COMPUTED_VALUE"""),"Natural language processing by Python who can learn from the basics from now on: ""Japanese"" document classification that active duty data scientists teach")</f>
        <v>Natural language processing by Python who can learn from the basics from now on: "Japanese" document classification that active duty data scientists teach</v>
      </c>
      <c r="F127">
        <f>IFERROR(__xludf.DUMMYFUNCTION("""COMPUTED_VALUE"""),9.383616E7)</f>
        <v>93836160</v>
      </c>
      <c r="G127" s="140" t="str">
        <f>IFERROR(__xludf.DUMMYFUNCTION("""COMPUTED_VALUE"""),"Tomone Hata")</f>
        <v>Tomone Hata</v>
      </c>
      <c r="H127" s="140" t="str">
        <f>IFERROR(__xludf.DUMMYFUNCTION("""COMPUTED_VALUE"""),"Low Rating")</f>
        <v>Low Rating</v>
      </c>
      <c r="I127" t="str">
        <f>IFERROR(__xludf.DUMMYFUNCTION("""COMPUTED_VALUE"""),"Data Science")</f>
        <v>Data Science</v>
      </c>
      <c r="J127" t="str">
        <f>IFERROR(__xludf.DUMMYFUNCTION("""COMPUTED_VALUE"""),"Machine Learning")</f>
        <v>Machine Learning</v>
      </c>
    </row>
    <row r="128">
      <c r="A128" s="141">
        <f>IFERROR(__xludf.DUMMYFUNCTION("""COMPUTED_VALUE"""),44595.0)</f>
        <v>44595</v>
      </c>
      <c r="B128">
        <f>IFERROR(__xludf.DUMMYFUNCTION("""COMPUTED_VALUE"""),796730.0)</f>
        <v>796730</v>
      </c>
      <c r="C128" t="str">
        <f>IFERROR(__xludf.DUMMYFUNCTION("""COMPUTED_VALUE"""),"ja")</f>
        <v>ja</v>
      </c>
      <c r="D128" t="str">
        <f>IFERROR(__xludf.DUMMYFUNCTION("""COMPUTED_VALUE"""),"サイバーセキュリティ～ハッキングと防御 ビギナー編")</f>
        <v>サイバーセキュリティ～ハッキングと防御 ビギナー編</v>
      </c>
      <c r="E128" t="str">
        <f>IFERROR(__xludf.DUMMYFUNCTION("""COMPUTED_VALUE"""),"Cyber ​​Security ~ Hacking and Defense Begunar Hen")</f>
        <v>Cyber ​​Security ~ Hacking and Defense Begunar Hen</v>
      </c>
      <c r="F128">
        <f>IFERROR(__xludf.DUMMYFUNCTION("""COMPUTED_VALUE"""),2.1322028E7)</f>
        <v>21322028</v>
      </c>
      <c r="G128" s="140" t="str">
        <f>IFERROR(__xludf.DUMMYFUNCTION("""COMPUTED_VALUE"""),"Hackademy Project")</f>
        <v>Hackademy Project</v>
      </c>
      <c r="H128" s="140" t="str">
        <f>IFERROR(__xludf.DUMMYFUNCTION("""COMPUTED_VALUE"""),"Low Rating")</f>
        <v>Low Rating</v>
      </c>
      <c r="I128" t="str">
        <f>IFERROR(__xludf.DUMMYFUNCTION("""COMPUTED_VALUE"""),"IT Operations")</f>
        <v>IT Operations</v>
      </c>
      <c r="J128" t="str">
        <f>IFERROR(__xludf.DUMMYFUNCTION("""COMPUTED_VALUE"""),"Network &amp; Security")</f>
        <v>Network &amp; Security</v>
      </c>
    </row>
    <row r="129">
      <c r="A129" s="143">
        <f>IFERROR(__xludf.DUMMYFUNCTION("""COMPUTED_VALUE"""),44599.0)</f>
        <v>44599</v>
      </c>
      <c r="B129">
        <f>IFERROR(__xludf.DUMMYFUNCTION("""COMPUTED_VALUE"""),3156760.0)</f>
        <v>3156760</v>
      </c>
      <c r="C129" t="str">
        <f>IFERROR(__xludf.DUMMYFUNCTION("""COMPUTED_VALUE"""),"it")</f>
        <v>it</v>
      </c>
      <c r="D129" t="str">
        <f>IFERROR(__xludf.DUMMYFUNCTION("""COMPUTED_VALUE"""),"Informatica per principianti")</f>
        <v>Informatica per principianti</v>
      </c>
      <c r="E129" t="str">
        <f>IFERROR(__xludf.DUMMYFUNCTION("""COMPUTED_VALUE"""),"Computer science for beginners")</f>
        <v>Computer science for beginners</v>
      </c>
      <c r="F129">
        <f>IFERROR(__xludf.DUMMYFUNCTION("""COMPUTED_VALUE"""),4.0668074E7)</f>
        <v>40668074</v>
      </c>
      <c r="H129" s="140" t="str">
        <f>IFERROR(__xludf.DUMMYFUNCTION("""COMPUTED_VALUE"""),"T&amp;S")</f>
        <v>T&amp;S</v>
      </c>
    </row>
    <row r="130">
      <c r="A130" s="143">
        <f>IFERROR(__xludf.DUMMYFUNCTION("""COMPUTED_VALUE"""),44600.0)</f>
        <v>44600</v>
      </c>
      <c r="B130">
        <f>IFERROR(__xludf.DUMMYFUNCTION("""COMPUTED_VALUE"""),3538620.0)</f>
        <v>3538620</v>
      </c>
      <c r="C130" t="str">
        <f>IFERROR(__xludf.DUMMYFUNCTION("""COMPUTED_VALUE"""),"en")</f>
        <v>en</v>
      </c>
      <c r="D130" t="str">
        <f>IFERROR(__xludf.DUMMYFUNCTION("""COMPUTED_VALUE"""),"A Comprehensive Guide to Safeguarding Children")</f>
        <v>A Comprehensive Guide to Safeguarding Children</v>
      </c>
      <c r="E130" t="str">
        <f>IFERROR(__xludf.DUMMYFUNCTION("""COMPUTED_VALUE"""),"A Comprehensive Guide to Safeguarding Children")</f>
        <v>A Comprehensive Guide to Safeguarding Children</v>
      </c>
      <c r="F130">
        <f>IFERROR(__xludf.DUMMYFUNCTION("""COMPUTED_VALUE"""),1.29229426E8)</f>
        <v>129229426</v>
      </c>
      <c r="G130" s="140" t="str">
        <f>IFERROR(__xludf.DUMMYFUNCTION("""COMPUTED_VALUE"""),"Training Express")</f>
        <v>Training Express</v>
      </c>
      <c r="H130" s="140" t="str">
        <f>IFERROR(__xludf.DUMMYFUNCTION("""COMPUTED_VALUE"""),"T&amp;S")</f>
        <v>T&amp;S</v>
      </c>
      <c r="K130">
        <f>IFERROR(__xludf.DUMMYFUNCTION("""COMPUTED_VALUE"""),3496080.0)</f>
        <v>3496080</v>
      </c>
      <c r="L130" s="140" t="str">
        <f>IFERROR(__xludf.DUMMYFUNCTION("""COMPUTED_VALUE"""),"Safeguarding Children Level One")</f>
        <v>Safeguarding Children Level One</v>
      </c>
    </row>
    <row r="131">
      <c r="A131" s="141">
        <f>IFERROR(__xludf.DUMMYFUNCTION("""COMPUTED_VALUE"""),44600.0)</f>
        <v>44600</v>
      </c>
      <c r="B131">
        <f>IFERROR(__xludf.DUMMYFUNCTION("""COMPUTED_VALUE"""),4433652.0)</f>
        <v>4433652</v>
      </c>
      <c r="C131" t="str">
        <f>IFERROR(__xludf.DUMMYFUNCTION("""COMPUTED_VALUE"""),"EN")</f>
        <v>EN</v>
      </c>
      <c r="D131" t="str">
        <f>IFERROR(__xludf.DUMMYFUNCTION("""COMPUTED_VALUE"""),"Programming Design Patterns For Unity - Write Better Code")</f>
        <v>Programming Design Patterns For Unity - Write Better Code</v>
      </c>
      <c r="E131" t="str">
        <f>IFERROR(__xludf.DUMMYFUNCTION("""COMPUTED_VALUE"""),"Programming Design Patterns For Unity - Write Better Code")</f>
        <v>Programming Design Patterns For Unity - Write Better Code</v>
      </c>
      <c r="F131">
        <f>IFERROR(__xludf.DUMMYFUNCTION("""COMPUTED_VALUE"""),4355282.0)</f>
        <v>4355282</v>
      </c>
      <c r="G131" t="str">
        <f>IFERROR(__xludf.DUMMYFUNCTION("""COMPUTED_VALUE"""),"Ben Tristem")</f>
        <v>Ben Tristem</v>
      </c>
      <c r="H131" s="140" t="str">
        <f>IFERROR(__xludf.DUMMYFUNCTION("""COMPUTED_VALUE"""),"Instructor Request- Opted Out")</f>
        <v>Instructor Request- Opted Out</v>
      </c>
      <c r="I131" t="str">
        <f>IFERROR(__xludf.DUMMYFUNCTION("""COMPUTED_VALUE"""),"Development")</f>
        <v>Development</v>
      </c>
      <c r="J131" t="str">
        <f>IFERROR(__xludf.DUMMYFUNCTION("""COMPUTED_VALUE"""),"Game Development")</f>
        <v>Game Development</v>
      </c>
    </row>
    <row r="132">
      <c r="A132" s="141">
        <f>IFERROR(__xludf.DUMMYFUNCTION("""COMPUTED_VALUE"""),44601.0)</f>
        <v>44601</v>
      </c>
      <c r="B132" t="str">
        <f>IFERROR(__xludf.DUMMYFUNCTION("""COMPUTED_VALUE"""),"1080376")</f>
        <v>1080376</v>
      </c>
      <c r="C132" t="str">
        <f>IFERROR(__xludf.DUMMYFUNCTION("""COMPUTED_VALUE"""),"en")</f>
        <v>en</v>
      </c>
      <c r="D132" t="str">
        <f>IFERROR(__xludf.DUMMYFUNCTION("""COMPUTED_VALUE"""),"Life Coaching Certification Course (Beginner to Advanced)")</f>
        <v>Life Coaching Certification Course (Beginner to Advanced)</v>
      </c>
      <c r="E132" t="str">
        <f>IFERROR(__xludf.DUMMYFUNCTION("""COMPUTED_VALUE"""),"Life Coaching Certification Course (Beginner to Advanced)")</f>
        <v>Life Coaching Certification Course (Beginner to Advanced)</v>
      </c>
      <c r="F132">
        <f>IFERROR(__xludf.DUMMYFUNCTION("""COMPUTED_VALUE"""),3890126.0)</f>
        <v>3890126</v>
      </c>
      <c r="G132" t="str">
        <f>IFERROR(__xludf.DUMMYFUNCTION("""COMPUTED_VALUE"""),"Kain Ramsay")</f>
        <v>Kain Ramsay</v>
      </c>
      <c r="H132" s="140" t="str">
        <f>IFERROR(__xludf.DUMMYFUNCTION("""COMPUTED_VALUE"""),"T&amp;S")</f>
        <v>T&amp;S</v>
      </c>
      <c r="I132" s="142" t="str">
        <f>IFERROR(__xludf.DUMMYFUNCTION("""COMPUTED_VALUE"""),"Personal Development")</f>
        <v>Personal Development</v>
      </c>
      <c r="J132" s="142" t="str">
        <f>IFERROR(__xludf.DUMMYFUNCTION("""COMPUTED_VALUE"""),"Personal Growth")</f>
        <v>Personal Growth</v>
      </c>
      <c r="K132" s="140">
        <f>IFERROR(__xludf.DUMMYFUNCTION("""COMPUTED_VALUE"""),840388.0)</f>
        <v>840388</v>
      </c>
      <c r="L132" s="140" t="str">
        <f>IFERROR(__xludf.DUMMYFUNCTION("""COMPUTED_VALUE"""),"100% Official Certified CBT Practitioner - IGCBT™ Certified ")</f>
        <v>100% Official Certified CBT Practitioner - IGCBT™ Certified </v>
      </c>
    </row>
    <row r="133">
      <c r="A133" s="141">
        <f>IFERROR(__xludf.DUMMYFUNCTION("""COMPUTED_VALUE"""),44601.0)</f>
        <v>44601</v>
      </c>
      <c r="B133" t="str">
        <f>IFERROR(__xludf.DUMMYFUNCTION("""COMPUTED_VALUE"""),"1091520")</f>
        <v>1091520</v>
      </c>
      <c r="C133" t="str">
        <f>IFERROR(__xludf.DUMMYFUNCTION("""COMPUTED_VALUE"""),"en")</f>
        <v>en</v>
      </c>
      <c r="D133" t="str">
        <f>IFERROR(__xludf.DUMMYFUNCTION("""COMPUTED_VALUE"""),"Cognitive Behavioural Therapy (CBT) Practitioner Certificate")</f>
        <v>Cognitive Behavioural Therapy (CBT) Practitioner Certificate</v>
      </c>
      <c r="E133" t="str">
        <f>IFERROR(__xludf.DUMMYFUNCTION("""COMPUTED_VALUE"""),"Cognitive Behavioural Therapy (CBT) Practitioner Certificate")</f>
        <v>Cognitive Behavioural Therapy (CBT) Practitioner Certificate</v>
      </c>
      <c r="F133">
        <f>IFERROR(__xludf.DUMMYFUNCTION("""COMPUTED_VALUE"""),3890126.0)</f>
        <v>3890126</v>
      </c>
      <c r="G133" t="str">
        <f>IFERROR(__xludf.DUMMYFUNCTION("""COMPUTED_VALUE"""),"Kain Ramsay")</f>
        <v>Kain Ramsay</v>
      </c>
      <c r="H133" s="140" t="str">
        <f>IFERROR(__xludf.DUMMYFUNCTION("""COMPUTED_VALUE"""),"T&amp;S")</f>
        <v>T&amp;S</v>
      </c>
      <c r="I133" s="142" t="str">
        <f>IFERROR(__xludf.DUMMYFUNCTION("""COMPUTED_VALUE"""),"Personal Development")</f>
        <v>Personal Development</v>
      </c>
      <c r="J133" s="142" t="str">
        <f>IFERROR(__xludf.DUMMYFUNCTION("""COMPUTED_VALUE"""),"Personal Growth")</f>
        <v>Personal Growth</v>
      </c>
      <c r="K133" s="140">
        <f>IFERROR(__xludf.DUMMYFUNCTION("""COMPUTED_VALUE"""),3398710.0)</f>
        <v>3398710</v>
      </c>
      <c r="L133" s="140" t="str">
        <f>IFERROR(__xludf.DUMMYFUNCTION("""COMPUTED_VALUE"""),"Mindfulness Teacher Training Certificate")</f>
        <v>Mindfulness Teacher Training Certificate</v>
      </c>
    </row>
    <row r="134">
      <c r="A134" s="141">
        <f>IFERROR(__xludf.DUMMYFUNCTION("""COMPUTED_VALUE"""),44601.0)</f>
        <v>44601</v>
      </c>
      <c r="B134" t="str">
        <f>IFERROR(__xludf.DUMMYFUNCTION("""COMPUTED_VALUE"""),"1141368")</f>
        <v>1141368</v>
      </c>
      <c r="C134" t="str">
        <f>IFERROR(__xludf.DUMMYFUNCTION("""COMPUTED_VALUE"""),"en")</f>
        <v>en</v>
      </c>
      <c r="D134" t="str">
        <f>IFERROR(__xludf.DUMMYFUNCTION("""COMPUTED_VALUE"""),"Mindfulness Certificate Course (Level I, II, III and Master)")</f>
        <v>Mindfulness Certificate Course (Level I, II, III and Master)</v>
      </c>
      <c r="E134" t="str">
        <f>IFERROR(__xludf.DUMMYFUNCTION("""COMPUTED_VALUE"""),"Mindfulness Certificate Course (Level I, II, III and Master)")</f>
        <v>Mindfulness Certificate Course (Level I, II, III and Master)</v>
      </c>
      <c r="F134">
        <f>IFERROR(__xludf.DUMMYFUNCTION("""COMPUTED_VALUE"""),3890126.0)</f>
        <v>3890126</v>
      </c>
      <c r="G134" t="str">
        <f>IFERROR(__xludf.DUMMYFUNCTION("""COMPUTED_VALUE"""),"Kain Ramsay")</f>
        <v>Kain Ramsay</v>
      </c>
      <c r="H134" s="140" t="str">
        <f>IFERROR(__xludf.DUMMYFUNCTION("""COMPUTED_VALUE"""),"T&amp;S")</f>
        <v>T&amp;S</v>
      </c>
      <c r="I134" s="142" t="str">
        <f>IFERROR(__xludf.DUMMYFUNCTION("""COMPUTED_VALUE"""),"Personal Development")</f>
        <v>Personal Development</v>
      </c>
      <c r="J134" s="142" t="str">
        <f>IFERROR(__xludf.DUMMYFUNCTION("""COMPUTED_VALUE"""),"Personal Growth")</f>
        <v>Personal Growth</v>
      </c>
    </row>
    <row r="135">
      <c r="A135" s="141">
        <f>IFERROR(__xludf.DUMMYFUNCTION("""COMPUTED_VALUE"""),44601.0)</f>
        <v>44601</v>
      </c>
      <c r="B135" t="str">
        <f>IFERROR(__xludf.DUMMYFUNCTION("""COMPUTED_VALUE"""),"1328588")</f>
        <v>1328588</v>
      </c>
      <c r="C135" t="str">
        <f>IFERROR(__xludf.DUMMYFUNCTION("""COMPUTED_VALUE"""),"en")</f>
        <v>en</v>
      </c>
      <c r="D135" t="str">
        <f>IFERROR(__xludf.DUMMYFUNCTION("""COMPUTED_VALUE"""),"The NLP Confidence &amp; Self Esteem Breakthrough Programme")</f>
        <v>The NLP Confidence &amp; Self Esteem Breakthrough Programme</v>
      </c>
      <c r="E135" t="str">
        <f>IFERROR(__xludf.DUMMYFUNCTION("""COMPUTED_VALUE"""),"The NLP Confidence &amp; Self Esteem Breakthrough Programme")</f>
        <v>The NLP Confidence &amp; Self Esteem Breakthrough Programme</v>
      </c>
      <c r="F135">
        <f>IFERROR(__xludf.DUMMYFUNCTION("""COMPUTED_VALUE"""),3890126.0)</f>
        <v>3890126</v>
      </c>
      <c r="G135" t="str">
        <f>IFERROR(__xludf.DUMMYFUNCTION("""COMPUTED_VALUE"""),"Kain Ramsay")</f>
        <v>Kain Ramsay</v>
      </c>
      <c r="H135" s="140" t="str">
        <f>IFERROR(__xludf.DUMMYFUNCTION("""COMPUTED_VALUE"""),"T&amp;S")</f>
        <v>T&amp;S</v>
      </c>
      <c r="I135" s="142" t="str">
        <f>IFERROR(__xludf.DUMMYFUNCTION("""COMPUTED_VALUE"""),"Personal Development")</f>
        <v>Personal Development</v>
      </c>
      <c r="J135" s="142" t="str">
        <f>IFERROR(__xludf.DUMMYFUNCTION("""COMPUTED_VALUE"""),"Personal Growth")</f>
        <v>Personal Growth</v>
      </c>
    </row>
    <row r="136">
      <c r="A136" s="141">
        <f>IFERROR(__xludf.DUMMYFUNCTION("""COMPUTED_VALUE"""),44601.0)</f>
        <v>44601</v>
      </c>
      <c r="B136" t="str">
        <f>IFERROR(__xludf.DUMMYFUNCTION("""COMPUTED_VALUE"""),"1336870")</f>
        <v>1336870</v>
      </c>
      <c r="C136" t="str">
        <f>IFERROR(__xludf.DUMMYFUNCTION("""COMPUTED_VALUE"""),"en")</f>
        <v>en</v>
      </c>
      <c r="D136" t="str">
        <f>IFERROR(__xludf.DUMMYFUNCTION("""COMPUTED_VALUE"""),"NLP Master Practitioner Certificate (Advanced to Specialist)")</f>
        <v>NLP Master Practitioner Certificate (Advanced to Specialist)</v>
      </c>
      <c r="E136" t="str">
        <f>IFERROR(__xludf.DUMMYFUNCTION("""COMPUTED_VALUE"""),"NLP Master Practitioner Certificate (Advanced to Specialist)")</f>
        <v>NLP Master Practitioner Certificate (Advanced to Specialist)</v>
      </c>
      <c r="F136">
        <f>IFERROR(__xludf.DUMMYFUNCTION("""COMPUTED_VALUE"""),3890126.0)</f>
        <v>3890126</v>
      </c>
      <c r="G136" t="str">
        <f>IFERROR(__xludf.DUMMYFUNCTION("""COMPUTED_VALUE"""),"Kain Ramsay")</f>
        <v>Kain Ramsay</v>
      </c>
      <c r="H136" s="140" t="str">
        <f>IFERROR(__xludf.DUMMYFUNCTION("""COMPUTED_VALUE"""),"T&amp;S")</f>
        <v>T&amp;S</v>
      </c>
      <c r="I136" s="142" t="str">
        <f>IFERROR(__xludf.DUMMYFUNCTION("""COMPUTED_VALUE"""),"Personal Development")</f>
        <v>Personal Development</v>
      </c>
      <c r="J136" s="142" t="str">
        <f>IFERROR(__xludf.DUMMYFUNCTION("""COMPUTED_VALUE"""),"Personal Growth")</f>
        <v>Personal Growth</v>
      </c>
    </row>
    <row r="137">
      <c r="A137" s="141">
        <f>IFERROR(__xludf.DUMMYFUNCTION("""COMPUTED_VALUE"""),44601.0)</f>
        <v>44601</v>
      </c>
      <c r="B137" t="str">
        <f>IFERROR(__xludf.DUMMYFUNCTION("""COMPUTED_VALUE"""),"1336872")</f>
        <v>1336872</v>
      </c>
      <c r="C137" t="str">
        <f>IFERROR(__xludf.DUMMYFUNCTION("""COMPUTED_VALUE"""),"en")</f>
        <v>en</v>
      </c>
      <c r="D137" t="str">
        <f>IFERROR(__xludf.DUMMYFUNCTION("""COMPUTED_VALUE"""),"NLP Practitioner Certification Course (Beginner to Advanced)")</f>
        <v>NLP Practitioner Certification Course (Beginner to Advanced)</v>
      </c>
      <c r="E137" t="str">
        <f>IFERROR(__xludf.DUMMYFUNCTION("""COMPUTED_VALUE"""),"NLP Practitioner Certification Course (Beginner to Advanced)")</f>
        <v>NLP Practitioner Certification Course (Beginner to Advanced)</v>
      </c>
      <c r="F137">
        <f>IFERROR(__xludf.DUMMYFUNCTION("""COMPUTED_VALUE"""),3890126.0)</f>
        <v>3890126</v>
      </c>
      <c r="G137" t="str">
        <f>IFERROR(__xludf.DUMMYFUNCTION("""COMPUTED_VALUE"""),"Kain Ramsay")</f>
        <v>Kain Ramsay</v>
      </c>
      <c r="H137" s="140" t="str">
        <f>IFERROR(__xludf.DUMMYFUNCTION("""COMPUTED_VALUE"""),"T&amp;S")</f>
        <v>T&amp;S</v>
      </c>
      <c r="I137" s="142" t="str">
        <f>IFERROR(__xludf.DUMMYFUNCTION("""COMPUTED_VALUE"""),"Personal Development")</f>
        <v>Personal Development</v>
      </c>
      <c r="J137" s="142" t="str">
        <f>IFERROR(__xludf.DUMMYFUNCTION("""COMPUTED_VALUE"""),"Personal Growth")</f>
        <v>Personal Growth</v>
      </c>
      <c r="K137" s="140">
        <f>IFERROR(__xludf.DUMMYFUNCTION("""COMPUTED_VALUE"""),802642.0)</f>
        <v>802642</v>
      </c>
      <c r="L137" s="140" t="str">
        <f>IFERROR(__xludf.DUMMYFUNCTION("""COMPUTED_VALUE"""),"Creating a Meaningful Life &amp; Developing Habits of Happiness               ")</f>
        <v>Creating a Meaningful Life &amp; Developing Habits of Happiness               </v>
      </c>
    </row>
    <row r="138">
      <c r="A138" s="141">
        <f>IFERROR(__xludf.DUMMYFUNCTION("""COMPUTED_VALUE"""),44601.0)</f>
        <v>44601</v>
      </c>
      <c r="B138" t="str">
        <f>IFERROR(__xludf.DUMMYFUNCTION("""COMPUTED_VALUE"""),"184136")</f>
        <v>184136</v>
      </c>
      <c r="C138" t="str">
        <f>IFERROR(__xludf.DUMMYFUNCTION("""COMPUTED_VALUE"""),"en")</f>
        <v>en</v>
      </c>
      <c r="D138" t="str">
        <f>IFERROR(__xludf.DUMMYFUNCTION("""COMPUTED_VALUE"""),"Clarity: A Complete Blueprint For Getting 'Unstuck' in Life")</f>
        <v>Clarity: A Complete Blueprint For Getting 'Unstuck' in Life</v>
      </c>
      <c r="E138" t="str">
        <f>IFERROR(__xludf.DUMMYFUNCTION("""COMPUTED_VALUE"""),"Clarity: A Complete Blueprint For Getting 'Unstuck' in Life")</f>
        <v>Clarity: A Complete Blueprint For Getting 'Unstuck' in Life</v>
      </c>
      <c r="F138">
        <f>IFERROR(__xludf.DUMMYFUNCTION("""COMPUTED_VALUE"""),3890126.0)</f>
        <v>3890126</v>
      </c>
      <c r="G138" t="str">
        <f>IFERROR(__xludf.DUMMYFUNCTION("""COMPUTED_VALUE"""),"Kain Ramsay")</f>
        <v>Kain Ramsay</v>
      </c>
      <c r="H138" s="140" t="str">
        <f>IFERROR(__xludf.DUMMYFUNCTION("""COMPUTED_VALUE"""),"T&amp;S")</f>
        <v>T&amp;S</v>
      </c>
      <c r="I138" s="142" t="str">
        <f>IFERROR(__xludf.DUMMYFUNCTION("""COMPUTED_VALUE"""),"Personal Development")</f>
        <v>Personal Development</v>
      </c>
      <c r="J138" s="142" t="str">
        <f>IFERROR(__xludf.DUMMYFUNCTION("""COMPUTED_VALUE"""),"Personal Growth")</f>
        <v>Personal Growth</v>
      </c>
      <c r="K138" s="140">
        <f>IFERROR(__xludf.DUMMYFUNCTION("""COMPUTED_VALUE"""),1466514.0)</f>
        <v>1466514</v>
      </c>
      <c r="L138" s="140" t="str">
        <f>IFERROR(__xludf.DUMMYFUNCTION("""COMPUTED_VALUE"""),"Confidence Blueprint: Develop Confidence &amp; a Growth Mindset")</f>
        <v>Confidence Blueprint: Develop Confidence &amp; a Growth Mindset</v>
      </c>
    </row>
    <row r="139">
      <c r="A139" s="141">
        <f>IFERROR(__xludf.DUMMYFUNCTION("""COMPUTED_VALUE"""),44601.0)</f>
        <v>44601</v>
      </c>
      <c r="B139" t="str">
        <f>IFERROR(__xludf.DUMMYFUNCTION("""COMPUTED_VALUE"""),"184138")</f>
        <v>184138</v>
      </c>
      <c r="C139" t="str">
        <f>IFERROR(__xludf.DUMMYFUNCTION("""COMPUTED_VALUE"""),"en")</f>
        <v>en</v>
      </c>
      <c r="D139" t="str">
        <f>IFERROR(__xludf.DUMMYFUNCTION("""COMPUTED_VALUE"""),"Unshakable Confidence: Become 100% Secure in Who You Are")</f>
        <v>Unshakable Confidence: Become 100% Secure in Who You Are</v>
      </c>
      <c r="E139" t="str">
        <f>IFERROR(__xludf.DUMMYFUNCTION("""COMPUTED_VALUE"""),"Unshakable Confidence: Become 100% Secure in Who You Are")</f>
        <v>Unshakable Confidence: Become 100% Secure in Who You Are</v>
      </c>
      <c r="F139">
        <f>IFERROR(__xludf.DUMMYFUNCTION("""COMPUTED_VALUE"""),3890126.0)</f>
        <v>3890126</v>
      </c>
      <c r="G139" t="str">
        <f>IFERROR(__xludf.DUMMYFUNCTION("""COMPUTED_VALUE"""),"Kain Ramsay")</f>
        <v>Kain Ramsay</v>
      </c>
      <c r="H139" s="140" t="str">
        <f>IFERROR(__xludf.DUMMYFUNCTION("""COMPUTED_VALUE"""),"T&amp;S")</f>
        <v>T&amp;S</v>
      </c>
      <c r="I139" s="142" t="str">
        <f>IFERROR(__xludf.DUMMYFUNCTION("""COMPUTED_VALUE"""),"Personal Development")</f>
        <v>Personal Development</v>
      </c>
      <c r="J139" s="142" t="str">
        <f>IFERROR(__xludf.DUMMYFUNCTION("""COMPUTED_VALUE"""),"Personal Growth")</f>
        <v>Personal Growth</v>
      </c>
    </row>
    <row r="140">
      <c r="A140" s="141">
        <f>IFERROR(__xludf.DUMMYFUNCTION("""COMPUTED_VALUE"""),44601.0)</f>
        <v>44601</v>
      </c>
      <c r="B140" t="str">
        <f>IFERROR(__xludf.DUMMYFUNCTION("""COMPUTED_VALUE"""),"1870492")</f>
        <v>1870492</v>
      </c>
      <c r="C140" t="str">
        <f>IFERROR(__xludf.DUMMYFUNCTION("""COMPUTED_VALUE"""),"en")</f>
        <v>en</v>
      </c>
      <c r="D140" t="str">
        <f>IFERROR(__xludf.DUMMYFUNCTION("""COMPUTED_VALUE"""),"The Skilled Helper Training Course (with Gerard Egan Ph.D.)")</f>
        <v>The Skilled Helper Training Course (with Gerard Egan Ph.D.)</v>
      </c>
      <c r="E140" t="str">
        <f>IFERROR(__xludf.DUMMYFUNCTION("""COMPUTED_VALUE"""),"The Skilled Helper Training Course (with Gerard Egan Ph.D.)")</f>
        <v>The Skilled Helper Training Course (with Gerard Egan Ph.D.)</v>
      </c>
      <c r="F140">
        <f>IFERROR(__xludf.DUMMYFUNCTION("""COMPUTED_VALUE"""),3890126.0)</f>
        <v>3890126</v>
      </c>
      <c r="G140" t="str">
        <f>IFERROR(__xludf.DUMMYFUNCTION("""COMPUTED_VALUE"""),"Kain Ramsay")</f>
        <v>Kain Ramsay</v>
      </c>
      <c r="H140" s="140" t="str">
        <f>IFERROR(__xludf.DUMMYFUNCTION("""COMPUTED_VALUE"""),"T&amp;S")</f>
        <v>T&amp;S</v>
      </c>
      <c r="I140" s="142" t="str">
        <f>IFERROR(__xludf.DUMMYFUNCTION("""COMPUTED_VALUE"""),"Personal Development")</f>
        <v>Personal Development</v>
      </c>
      <c r="J140" s="142" t="str">
        <f>IFERROR(__xludf.DUMMYFUNCTION("""COMPUTED_VALUE"""),"Personal Growth")</f>
        <v>Personal Growth</v>
      </c>
      <c r="K140" s="140">
        <f>IFERROR(__xludf.DUMMYFUNCTION("""COMPUTED_VALUE"""),662354.0)</f>
        <v>662354</v>
      </c>
      <c r="L140" s="140" t="str">
        <f>IFERROR(__xludf.DUMMYFUNCTION("""COMPUTED_VALUE"""),"Intro to Entrepreneurship: Get started as an Entrepreneur	")</f>
        <v>Intro to Entrepreneurship: Get started as an Entrepreneur	</v>
      </c>
    </row>
    <row r="141">
      <c r="A141" s="141">
        <f>IFERROR(__xludf.DUMMYFUNCTION("""COMPUTED_VALUE"""),44601.0)</f>
        <v>44601</v>
      </c>
      <c r="B141" t="str">
        <f>IFERROR(__xludf.DUMMYFUNCTION("""COMPUTED_VALUE"""),"2953690")</f>
        <v>2953690</v>
      </c>
      <c r="C141" t="str">
        <f>IFERROR(__xludf.DUMMYFUNCTION("""COMPUTED_VALUE"""),"en")</f>
        <v>en</v>
      </c>
      <c r="D141" t="str">
        <f>IFERROR(__xludf.DUMMYFUNCTION("""COMPUTED_VALUE"""),"The Business, Innovation and Entrepreneurship Masterclass")</f>
        <v>The Business, Innovation and Entrepreneurship Masterclass</v>
      </c>
      <c r="E141" t="str">
        <f>IFERROR(__xludf.DUMMYFUNCTION("""COMPUTED_VALUE"""),"The Business, Innovation and Entrepreneurship Masterclass")</f>
        <v>The Business, Innovation and Entrepreneurship Masterclass</v>
      </c>
      <c r="F141">
        <f>IFERROR(__xludf.DUMMYFUNCTION("""COMPUTED_VALUE"""),3890126.0)</f>
        <v>3890126</v>
      </c>
      <c r="G141" t="str">
        <f>IFERROR(__xludf.DUMMYFUNCTION("""COMPUTED_VALUE"""),"Kain Ramsay")</f>
        <v>Kain Ramsay</v>
      </c>
      <c r="H141" s="140" t="str">
        <f>IFERROR(__xludf.DUMMYFUNCTION("""COMPUTED_VALUE"""),"T&amp;S")</f>
        <v>T&amp;S</v>
      </c>
      <c r="I141" s="142" t="str">
        <f>IFERROR(__xludf.DUMMYFUNCTION("""COMPUTED_VALUE"""),"Personal Development")</f>
        <v>Personal Development</v>
      </c>
      <c r="J141" s="142" t="str">
        <f>IFERROR(__xludf.DUMMYFUNCTION("""COMPUTED_VALUE"""),"Personal Growth")</f>
        <v>Personal Growth</v>
      </c>
      <c r="K141" s="140">
        <f>IFERROR(__xludf.DUMMYFUNCTION("""COMPUTED_VALUE"""),1350272.0)</f>
        <v>1350272</v>
      </c>
      <c r="L141" s="140" t="str">
        <f>IFERROR(__xludf.DUMMYFUNCTION("""COMPUTED_VALUE"""),"Goal Setting Mastery Course	")</f>
        <v>Goal Setting Mastery Course	</v>
      </c>
    </row>
    <row r="142">
      <c r="A142" s="141">
        <f>IFERROR(__xludf.DUMMYFUNCTION("""COMPUTED_VALUE"""),44601.0)</f>
        <v>44601</v>
      </c>
      <c r="B142" t="str">
        <f>IFERROR(__xludf.DUMMYFUNCTION("""COMPUTED_VALUE"""),"433024")</f>
        <v>433024</v>
      </c>
      <c r="C142" t="str">
        <f>IFERROR(__xludf.DUMMYFUNCTION("""COMPUTED_VALUE"""),"en")</f>
        <v>en</v>
      </c>
      <c r="D142" t="str">
        <f>IFERROR(__xludf.DUMMYFUNCTION("""COMPUTED_VALUE"""),"Goal Setting Success: A Complete Blueprint for Life Planning")</f>
        <v>Goal Setting Success: A Complete Blueprint for Life Planning</v>
      </c>
      <c r="E142" t="str">
        <f>IFERROR(__xludf.DUMMYFUNCTION("""COMPUTED_VALUE"""),"Goal Setting Success: A Complete Blueprint for Life Planning")</f>
        <v>Goal Setting Success: A Complete Blueprint for Life Planning</v>
      </c>
      <c r="F142">
        <f>IFERROR(__xludf.DUMMYFUNCTION("""COMPUTED_VALUE"""),3890126.0)</f>
        <v>3890126</v>
      </c>
      <c r="G142" t="str">
        <f>IFERROR(__xludf.DUMMYFUNCTION("""COMPUTED_VALUE"""),"Kain Ramsay")</f>
        <v>Kain Ramsay</v>
      </c>
      <c r="H142" s="140" t="str">
        <f>IFERROR(__xludf.DUMMYFUNCTION("""COMPUTED_VALUE"""),"T&amp;S")</f>
        <v>T&amp;S</v>
      </c>
      <c r="I142" s="142" t="str">
        <f>IFERROR(__xludf.DUMMYFUNCTION("""COMPUTED_VALUE"""),"Personal Development")</f>
        <v>Personal Development</v>
      </c>
      <c r="J142" s="142" t="str">
        <f>IFERROR(__xludf.DUMMYFUNCTION("""COMPUTED_VALUE"""),"Personal Growth")</f>
        <v>Personal Growth</v>
      </c>
      <c r="K142" s="140">
        <f>IFERROR(__xludf.DUMMYFUNCTION("""COMPUTED_VALUE"""),394952.0)</f>
        <v>394952</v>
      </c>
      <c r="L142" s="140" t="str">
        <f>IFERROR(__xludf.DUMMYFUNCTION("""COMPUTED_VALUE"""),"How I Overcame Social Anxiety, Grew Confidence &amp; Self-Esteem	")</f>
        <v>How I Overcame Social Anxiety, Grew Confidence &amp; Self-Esteem	</v>
      </c>
    </row>
    <row r="143">
      <c r="A143" s="141">
        <f>IFERROR(__xludf.DUMMYFUNCTION("""COMPUTED_VALUE"""),44601.0)</f>
        <v>44601</v>
      </c>
      <c r="B143" t="str">
        <f>IFERROR(__xludf.DUMMYFUNCTION("""COMPUTED_VALUE"""),"592896")</f>
        <v>592896</v>
      </c>
      <c r="C143" t="str">
        <f>IFERROR(__xludf.DUMMYFUNCTION("""COMPUTED_VALUE"""),"en")</f>
        <v>en</v>
      </c>
      <c r="D143" t="str">
        <f>IFERROR(__xludf.DUMMYFUNCTION("""COMPUTED_VALUE"""),"Depression Breakthrough: How To End The Cycle of Depression")</f>
        <v>Depression Breakthrough: How To End The Cycle of Depression</v>
      </c>
      <c r="E143" t="str">
        <f>IFERROR(__xludf.DUMMYFUNCTION("""COMPUTED_VALUE"""),"Depression Breakthrough: How To End The Cycle of Depression")</f>
        <v>Depression Breakthrough: How To End The Cycle of Depression</v>
      </c>
      <c r="F143">
        <f>IFERROR(__xludf.DUMMYFUNCTION("""COMPUTED_VALUE"""),3890126.0)</f>
        <v>3890126</v>
      </c>
      <c r="G143" t="str">
        <f>IFERROR(__xludf.DUMMYFUNCTION("""COMPUTED_VALUE"""),"Kain Ramsay")</f>
        <v>Kain Ramsay</v>
      </c>
      <c r="H143" s="140" t="str">
        <f>IFERROR(__xludf.DUMMYFUNCTION("""COMPUTED_VALUE"""),"T&amp;S")</f>
        <v>T&amp;S</v>
      </c>
      <c r="I143" s="142" t="str">
        <f>IFERROR(__xludf.DUMMYFUNCTION("""COMPUTED_VALUE"""),"Personal Development")</f>
        <v>Personal Development</v>
      </c>
      <c r="J143" s="142" t="str">
        <f>IFERROR(__xludf.DUMMYFUNCTION("""COMPUTED_VALUE"""),"Personal Growth")</f>
        <v>Personal Growth</v>
      </c>
      <c r="K143" s="140">
        <f>IFERROR(__xludf.DUMMYFUNCTION("""COMPUTED_VALUE"""),2390192.0)</f>
        <v>2390192</v>
      </c>
      <c r="L143" s="140" t="str">
        <f>IFERROR(__xludf.DUMMYFUNCTION("""COMPUTED_VALUE"""),"Smart Tips: Communication")</f>
        <v>Smart Tips: Communication</v>
      </c>
    </row>
    <row r="144">
      <c r="A144" s="141">
        <f>IFERROR(__xludf.DUMMYFUNCTION("""COMPUTED_VALUE"""),44601.0)</f>
        <v>44601</v>
      </c>
      <c r="B144">
        <f>IFERROR(__xludf.DUMMYFUNCTION("""COMPUTED_VALUE"""),1328594.0)</f>
        <v>1328594</v>
      </c>
      <c r="C144" t="str">
        <f>IFERROR(__xludf.DUMMYFUNCTION("""COMPUTED_VALUE"""),"en")</f>
        <v>en</v>
      </c>
      <c r="D144" t="str">
        <f>IFERROR(__xludf.DUMMYFUNCTION("""COMPUTED_VALUE"""),"Influence: Communication Skills for Management &amp; Leadership")</f>
        <v>Influence: Communication Skills for Management &amp; Leadership</v>
      </c>
      <c r="E144" t="str">
        <f>IFERROR(__xludf.DUMMYFUNCTION("""COMPUTED_VALUE"""),"Influence: Communication Skills for Management &amp; Leadership")</f>
        <v>Influence: Communication Skills for Management &amp; Leadership</v>
      </c>
      <c r="F144">
        <f>IFERROR(__xludf.DUMMYFUNCTION("""COMPUTED_VALUE"""),3890126.0)</f>
        <v>3890126</v>
      </c>
      <c r="G144" t="str">
        <f>IFERROR(__xludf.DUMMYFUNCTION("""COMPUTED_VALUE"""),"Kain Ramsay")</f>
        <v>Kain Ramsay</v>
      </c>
      <c r="H144" s="140" t="str">
        <f>IFERROR(__xludf.DUMMYFUNCTION("""COMPUTED_VALUE"""),"T&amp;S")</f>
        <v>T&amp;S</v>
      </c>
      <c r="I144" s="142" t="str">
        <f>IFERROR(__xludf.DUMMYFUNCTION("""COMPUTED_VALUE"""),"Personal Development")</f>
        <v>Personal Development</v>
      </c>
      <c r="J144" s="142" t="str">
        <f>IFERROR(__xludf.DUMMYFUNCTION("""COMPUTED_VALUE"""),"Personal Growth")</f>
        <v>Personal Growth</v>
      </c>
      <c r="K144" s="140">
        <f>IFERROR(__xludf.DUMMYFUNCTION("""COMPUTED_VALUE"""),2108272.0)</f>
        <v>2108272</v>
      </c>
      <c r="L144" s="140" t="str">
        <f>IFERROR(__xludf.DUMMYFUNCTION("""COMPUTED_VALUE"""),"Time Management Mastery: Do More, Stress Less")</f>
        <v>Time Management Mastery: Do More, Stress Less</v>
      </c>
    </row>
    <row r="145">
      <c r="A145" s="141">
        <f>IFERROR(__xludf.DUMMYFUNCTION("""COMPUTED_VALUE"""),44601.0)</f>
        <v>44601</v>
      </c>
      <c r="B145">
        <f>IFERROR(__xludf.DUMMYFUNCTION("""COMPUTED_VALUE"""),604972.0)</f>
        <v>604972</v>
      </c>
      <c r="C145" t="str">
        <f>IFERROR(__xludf.DUMMYFUNCTION("""COMPUTED_VALUE"""),"en")</f>
        <v>en</v>
      </c>
      <c r="D145" t="str">
        <f>IFERROR(__xludf.DUMMYFUNCTION("""COMPUTED_VALUE"""),"
Productivity Masterclass: A Guide To Personal Effectiveness")</f>
        <v>
Productivity Masterclass: A Guide To Personal Effectiveness</v>
      </c>
      <c r="E145" t="str">
        <f>IFERROR(__xludf.DUMMYFUNCTION("""COMPUTED_VALUE"""),"
Productivity Masterclass: A Guide To Personal Effectiveness")</f>
        <v>
Productivity Masterclass: A Guide To Personal Effectiveness</v>
      </c>
      <c r="F145">
        <f>IFERROR(__xludf.DUMMYFUNCTION("""COMPUTED_VALUE"""),3890126.0)</f>
        <v>3890126</v>
      </c>
      <c r="G145" t="str">
        <f>IFERROR(__xludf.DUMMYFUNCTION("""COMPUTED_VALUE"""),"Kain Ramsay")</f>
        <v>Kain Ramsay</v>
      </c>
      <c r="H145" s="140" t="str">
        <f>IFERROR(__xludf.DUMMYFUNCTION("""COMPUTED_VALUE"""),"T&amp;S")</f>
        <v>T&amp;S</v>
      </c>
      <c r="I145" s="142" t="str">
        <f>IFERROR(__xludf.DUMMYFUNCTION("""COMPUTED_VALUE"""),"Personal Development")</f>
        <v>Personal Development</v>
      </c>
      <c r="J145" s="142" t="str">
        <f>IFERROR(__xludf.DUMMYFUNCTION("""COMPUTED_VALUE"""),"Personal Growth")</f>
        <v>Personal Growth</v>
      </c>
    </row>
    <row r="146">
      <c r="A146" s="141">
        <f>IFERROR(__xludf.DUMMYFUNCTION("""COMPUTED_VALUE"""),44601.0)</f>
        <v>44601</v>
      </c>
      <c r="B146">
        <f>IFERROR(__xludf.DUMMYFUNCTION("""COMPUTED_VALUE"""),1328606.0)</f>
        <v>1328606</v>
      </c>
      <c r="C146" t="str">
        <f>IFERROR(__xludf.DUMMYFUNCTION("""COMPUTED_VALUE"""),"en")</f>
        <v>en</v>
      </c>
      <c r="D146" t="str">
        <f>IFERROR(__xludf.DUMMYFUNCTION("""COMPUTED_VALUE"""),"Diploma in Modern Applied Psychology (DMAP.)")</f>
        <v>Diploma in Modern Applied Psychology (DMAP.)</v>
      </c>
      <c r="E146" t="str">
        <f>IFERROR(__xludf.DUMMYFUNCTION("""COMPUTED_VALUE"""),"Diploma in Modern Applied Psychology (DMAP.)")</f>
        <v>Diploma in Modern Applied Psychology (DMAP.)</v>
      </c>
      <c r="F146">
        <f>IFERROR(__xludf.DUMMYFUNCTION("""COMPUTED_VALUE"""),3890126.0)</f>
        <v>3890126</v>
      </c>
      <c r="G146" t="str">
        <f>IFERROR(__xludf.DUMMYFUNCTION("""COMPUTED_VALUE"""),"Kain Ramsay")</f>
        <v>Kain Ramsay</v>
      </c>
      <c r="H146" s="140" t="str">
        <f>IFERROR(__xludf.DUMMYFUNCTION("""COMPUTED_VALUE"""),"T&amp;S")</f>
        <v>T&amp;S</v>
      </c>
      <c r="I146" s="142" t="str">
        <f>IFERROR(__xludf.DUMMYFUNCTION("""COMPUTED_VALUE"""),"Personal Development")</f>
        <v>Personal Development</v>
      </c>
      <c r="J146" s="142" t="str">
        <f>IFERROR(__xludf.DUMMYFUNCTION("""COMPUTED_VALUE"""),"Personal Growth")</f>
        <v>Personal Growth</v>
      </c>
    </row>
    <row r="147">
      <c r="A147" s="143">
        <f>IFERROR(__xludf.DUMMYFUNCTION("""COMPUTED_VALUE"""),44607.0)</f>
        <v>44607</v>
      </c>
      <c r="B147">
        <f>IFERROR(__xludf.DUMMYFUNCTION("""COMPUTED_VALUE"""),2963190.0)</f>
        <v>2963190</v>
      </c>
      <c r="C147" t="str">
        <f>IFERROR(__xludf.DUMMYFUNCTION("""COMPUTED_VALUE"""),"ar")</f>
        <v>ar</v>
      </c>
      <c r="D147" t="str">
        <f>IFERROR(__xludf.DUMMYFUNCTION("""COMPUTED_VALUE"""),"تعلم الفوتوشوب من الصفر")</f>
        <v>تعلم الفوتوشوب من الصفر</v>
      </c>
      <c r="E147" t="str">
        <f>IFERROR(__xludf.DUMMYFUNCTION("""COMPUTED_VALUE"""),"Learn Photoshop from scratch")</f>
        <v>Learn Photoshop from scratch</v>
      </c>
      <c r="F147">
        <f>IFERROR(__xludf.DUMMYFUNCTION("""COMPUTED_VALUE"""),3.6966556E7)</f>
        <v>36966556</v>
      </c>
      <c r="G147" s="140" t="str">
        <f>IFERROR(__xludf.DUMMYFUNCTION("""COMPUTED_VALUE"""),"Mahmoud Qaisiya")</f>
        <v>Mahmoud Qaisiya</v>
      </c>
      <c r="H147" s="140" t="str">
        <f>IFERROR(__xludf.DUMMYFUNCTION("""COMPUTED_VALUE"""),"Instructor Request- Opted Out")</f>
        <v>Instructor Request- Opted Out</v>
      </c>
      <c r="I147" t="str">
        <f>IFERROR(__xludf.DUMMYFUNCTION("""COMPUTED_VALUE"""),"Design")</f>
        <v>Design</v>
      </c>
      <c r="J147" t="str">
        <f>IFERROR(__xludf.DUMMYFUNCTION("""COMPUTED_VALUE"""),"Design Tools")</f>
        <v>Design Tools</v>
      </c>
    </row>
    <row r="148">
      <c r="A148" s="143">
        <f>IFERROR(__xludf.DUMMYFUNCTION("""COMPUTED_VALUE"""),44607.0)</f>
        <v>44607</v>
      </c>
      <c r="B148">
        <f>IFERROR(__xludf.DUMMYFUNCTION("""COMPUTED_VALUE"""),3460298.0)</f>
        <v>3460298</v>
      </c>
      <c r="C148" t="str">
        <f>IFERROR(__xludf.DUMMYFUNCTION("""COMPUTED_VALUE"""),"ar")</f>
        <v>ar</v>
      </c>
      <c r="D148" t="str">
        <f>IFERROR(__xludf.DUMMYFUNCTION("""COMPUTED_VALUE"""),"تعلم الهكر الأخلاقي من الصفر")</f>
        <v>تعلم الهكر الأخلاقي من الصفر</v>
      </c>
      <c r="E148" t="str">
        <f>IFERROR(__xludf.DUMMYFUNCTION("""COMPUTED_VALUE"""),"Learn the moral hacker from scratch")</f>
        <v>Learn the moral hacker from scratch</v>
      </c>
      <c r="F148">
        <f>IFERROR(__xludf.DUMMYFUNCTION("""COMPUTED_VALUE"""),3.6966556E7)</f>
        <v>36966556</v>
      </c>
      <c r="G148" s="140" t="str">
        <f>IFERROR(__xludf.DUMMYFUNCTION("""COMPUTED_VALUE"""),"Mahmoud Qaisiya")</f>
        <v>Mahmoud Qaisiya</v>
      </c>
      <c r="H148" s="140" t="str">
        <f>IFERROR(__xludf.DUMMYFUNCTION("""COMPUTED_VALUE"""),"Instructor Request- Opted Out")</f>
        <v>Instructor Request- Opted Out</v>
      </c>
      <c r="I148" t="str">
        <f>IFERROR(__xludf.DUMMYFUNCTION("""COMPUTED_VALUE"""),"IT Operations")</f>
        <v>IT Operations</v>
      </c>
      <c r="J148" t="str">
        <f>IFERROR(__xludf.DUMMYFUNCTION("""COMPUTED_VALUE"""),"Network &amp; Security")</f>
        <v>Network &amp; Security</v>
      </c>
    </row>
    <row r="149">
      <c r="A149" s="143">
        <f>IFERROR(__xludf.DUMMYFUNCTION("""COMPUTED_VALUE"""),44609.0)</f>
        <v>44609</v>
      </c>
      <c r="B149">
        <f>IFERROR(__xludf.DUMMYFUNCTION("""COMPUTED_VALUE"""),2276765.0)</f>
        <v>2276765</v>
      </c>
      <c r="C149" t="str">
        <f>IFERROR(__xludf.DUMMYFUNCTION("""COMPUTED_VALUE"""),"ru")</f>
        <v>ru</v>
      </c>
      <c r="D149" t="str">
        <f>IFERROR(__xludf.DUMMYFUNCTION("""COMPUTED_VALUE"""),"SalesForce на русском")</f>
        <v>SalesForce на русском</v>
      </c>
      <c r="E149" t="str">
        <f>IFERROR(__xludf.DUMMYFUNCTION("""COMPUTED_VALUE"""),"Salesforce in Russian")</f>
        <v>Salesforce in Russian</v>
      </c>
      <c r="H149" s="140" t="str">
        <f>IFERROR(__xludf.DUMMYFUNCTION("""COMPUTED_VALUE"""),"Low Rating")</f>
        <v>Low Rating</v>
      </c>
    </row>
    <row r="150">
      <c r="A150" s="143">
        <f>IFERROR(__xludf.DUMMYFUNCTION("""COMPUTED_VALUE"""),44609.0)</f>
        <v>44609</v>
      </c>
      <c r="B150">
        <f>IFERROR(__xludf.DUMMYFUNCTION("""COMPUTED_VALUE"""),2335248.0)</f>
        <v>2335248</v>
      </c>
      <c r="C150" t="str">
        <f>IFERROR(__xludf.DUMMYFUNCTION("""COMPUTED_VALUE"""),"ru")</f>
        <v>ru</v>
      </c>
      <c r="D150" t="str">
        <f>IFERROR(__xludf.DUMMYFUNCTION("""COMPUTED_VALUE"""),"Концентрированный SMM")</f>
        <v>Концентрированный SMM</v>
      </c>
      <c r="E150" t="str">
        <f>IFERROR(__xludf.DUMMYFUNCTION("""COMPUTED_VALUE"""),"Concentrated SMM.")</f>
        <v>Concentrated SMM.</v>
      </c>
      <c r="H150" s="140" t="str">
        <f>IFERROR(__xludf.DUMMYFUNCTION("""COMPUTED_VALUE"""),"Low Rating")</f>
        <v>Low Rating</v>
      </c>
    </row>
    <row r="151">
      <c r="A151" s="143">
        <f>IFERROR(__xludf.DUMMYFUNCTION("""COMPUTED_VALUE"""),44609.0)</f>
        <v>44609</v>
      </c>
      <c r="B151">
        <f>IFERROR(__xludf.DUMMYFUNCTION("""COMPUTED_VALUE"""),2001784.0)</f>
        <v>2001784</v>
      </c>
      <c r="C151" t="str">
        <f>IFERROR(__xludf.DUMMYFUNCTION("""COMPUTED_VALUE"""),"ru")</f>
        <v>ru</v>
      </c>
      <c r="D151" t="str">
        <f>IFERROR(__xludf.DUMMYFUNCTION("""COMPUTED_VALUE"""),"Ораторское мастерство и эффективные коммуникации. Лекции")</f>
        <v>Ораторское мастерство и эффективные коммуникации. Лекции</v>
      </c>
      <c r="E151" t="str">
        <f>IFERROR(__xludf.DUMMYFUNCTION("""COMPUTED_VALUE"""),"Oratory skills and effective communications. Lectures")</f>
        <v>Oratory skills and effective communications. Lectures</v>
      </c>
      <c r="H151" s="140" t="str">
        <f>IFERROR(__xludf.DUMMYFUNCTION("""COMPUTED_VALUE"""),"Low Rating")</f>
        <v>Low Rating</v>
      </c>
    </row>
    <row r="152">
      <c r="A152" s="143">
        <f>IFERROR(__xludf.DUMMYFUNCTION("""COMPUTED_VALUE"""),44609.0)</f>
        <v>44609</v>
      </c>
      <c r="B152">
        <f>IFERROR(__xludf.DUMMYFUNCTION("""COMPUTED_VALUE"""),3512994.0)</f>
        <v>3512994</v>
      </c>
      <c r="C152" t="str">
        <f>IFERROR(__xludf.DUMMYFUNCTION("""COMPUTED_VALUE"""),"ru")</f>
        <v>ru</v>
      </c>
      <c r="D152" t="str">
        <f>IFERROR(__xludf.DUMMYFUNCTION("""COMPUTED_VALUE"""),"React + Redux 2020, с нуля до про")</f>
        <v>React + Redux 2020, с нуля до про</v>
      </c>
      <c r="E152" t="str">
        <f>IFERROR(__xludf.DUMMYFUNCTION("""COMPUTED_VALUE"""),"REACT + REDUX 2020, from scratch to pro")</f>
        <v>REACT + REDUX 2020, from scratch to pro</v>
      </c>
      <c r="H152" s="140" t="str">
        <f>IFERROR(__xludf.DUMMYFUNCTION("""COMPUTED_VALUE"""),"Low Rating")</f>
        <v>Low Rating</v>
      </c>
    </row>
    <row r="153">
      <c r="A153" s="143">
        <f>IFERROR(__xludf.DUMMYFUNCTION("""COMPUTED_VALUE"""),44609.0)</f>
        <v>44609</v>
      </c>
      <c r="B153">
        <f>IFERROR(__xludf.DUMMYFUNCTION("""COMPUTED_VALUE"""),3348566.0)</f>
        <v>3348566</v>
      </c>
      <c r="C153" t="str">
        <f>IFERROR(__xludf.DUMMYFUNCTION("""COMPUTED_VALUE"""),"ru")</f>
        <v>ru</v>
      </c>
      <c r="D153" t="str">
        <f>IFERROR(__xludf.DUMMYFUNCTION("""COMPUTED_VALUE"""),"After Effects ""ОТ НОВИЧКА ДО ЭКСПЕРТА"" за 2 месяца")</f>
        <v>After Effects "ОТ НОВИЧКА ДО ЭКСПЕРТА" за 2 месяца</v>
      </c>
      <c r="E153" t="str">
        <f>IFERROR(__xludf.DUMMYFUNCTION("""COMPUTED_VALUE"""),"After Effects ""from the novice to the expert"" for 2 months")</f>
        <v>After Effects "from the novice to the expert" for 2 months</v>
      </c>
      <c r="H153" s="140" t="str">
        <f>IFERROR(__xludf.DUMMYFUNCTION("""COMPUTED_VALUE"""),"Low Rating")</f>
        <v>Low Rating</v>
      </c>
    </row>
    <row r="154">
      <c r="A154" s="143">
        <f>IFERROR(__xludf.DUMMYFUNCTION("""COMPUTED_VALUE"""),44609.0)</f>
        <v>44609</v>
      </c>
      <c r="B154">
        <f>IFERROR(__xludf.DUMMYFUNCTION("""COMPUTED_VALUE"""),3657124.0)</f>
        <v>3657124</v>
      </c>
      <c r="C154" t="str">
        <f>IFERROR(__xludf.DUMMYFUNCTION("""COMPUTED_VALUE"""),"ru")</f>
        <v>ru</v>
      </c>
      <c r="D154" t="str">
        <f>IFERROR(__xludf.DUMMYFUNCTION("""COMPUTED_VALUE"""),"Проектный менеджмент - Управление проектами в сфере IT")</f>
        <v>Проектный менеджмент - Управление проектами в сфере IT</v>
      </c>
      <c r="E154" t="str">
        <f>IFERROR(__xludf.DUMMYFUNCTION("""COMPUTED_VALUE"""),"Project Management - Project Management in IT")</f>
        <v>Project Management - Project Management in IT</v>
      </c>
      <c r="H154" s="140" t="str">
        <f>IFERROR(__xludf.DUMMYFUNCTION("""COMPUTED_VALUE"""),"Low Rating")</f>
        <v>Low Rating</v>
      </c>
    </row>
    <row r="155">
      <c r="A155" s="143">
        <f>IFERROR(__xludf.DUMMYFUNCTION("""COMPUTED_VALUE"""),44609.0)</f>
        <v>44609</v>
      </c>
      <c r="B155">
        <f>IFERROR(__xludf.DUMMYFUNCTION("""COMPUTED_VALUE"""),3108406.0)</f>
        <v>3108406</v>
      </c>
      <c r="C155" t="str">
        <f>IFERROR(__xludf.DUMMYFUNCTION("""COMPUTED_VALUE"""),"ru")</f>
        <v>ru</v>
      </c>
      <c r="D155" t="str">
        <f>IFERROR(__xludf.DUMMYFUNCTION("""COMPUTED_VALUE"""),"git. Управление версиями для разработчиков")</f>
        <v>git. Управление версиями для разработчиков</v>
      </c>
      <c r="E155" t="str">
        <f>IFERROR(__xludf.DUMMYFUNCTION("""COMPUTED_VALUE"""),"Git. Managing Versions for Developers")</f>
        <v>Git. Managing Versions for Developers</v>
      </c>
      <c r="H155" s="140" t="str">
        <f>IFERROR(__xludf.DUMMYFUNCTION("""COMPUTED_VALUE"""),"Low Rating")</f>
        <v>Low Rating</v>
      </c>
    </row>
    <row r="156">
      <c r="A156" s="143">
        <f>IFERROR(__xludf.DUMMYFUNCTION("""COMPUTED_VALUE"""),44609.0)</f>
        <v>44609</v>
      </c>
      <c r="B156">
        <f>IFERROR(__xludf.DUMMYFUNCTION("""COMPUTED_VALUE"""),3035836.0)</f>
        <v>3035836</v>
      </c>
      <c r="C156" t="str">
        <f>IFERROR(__xludf.DUMMYFUNCTION("""COMPUTED_VALUE"""),"ru")</f>
        <v>ru</v>
      </c>
      <c r="D156" t="str">
        <f>IFERROR(__xludf.DUMMYFUNCTION("""COMPUTED_VALUE"""),"Excel: Создание Эффектных и Профессиональных Дашбордов")</f>
        <v>Excel: Создание Эффектных и Профессиональных Дашбордов</v>
      </c>
      <c r="E156" t="str">
        <f>IFERROR(__xludf.DUMMYFUNCTION("""COMPUTED_VALUE"""),"Excel: Creating spectacular and professional dashboards")</f>
        <v>Excel: Creating spectacular and professional dashboards</v>
      </c>
      <c r="H156" s="140" t="str">
        <f>IFERROR(__xludf.DUMMYFUNCTION("""COMPUTED_VALUE"""),"Low Rating")</f>
        <v>Low Rating</v>
      </c>
    </row>
    <row r="157">
      <c r="A157" s="143">
        <f>IFERROR(__xludf.DUMMYFUNCTION("""COMPUTED_VALUE"""),44609.0)</f>
        <v>44609</v>
      </c>
      <c r="B157">
        <f>IFERROR(__xludf.DUMMYFUNCTION("""COMPUTED_VALUE"""),1321052.0)</f>
        <v>1321052</v>
      </c>
      <c r="C157" t="str">
        <f>IFERROR(__xludf.DUMMYFUNCTION("""COMPUTED_VALUE"""),"ru")</f>
        <v>ru</v>
      </c>
      <c r="D157" t="str">
        <f>IFERROR(__xludf.DUMMYFUNCTION("""COMPUTED_VALUE"""),"Практический курс по созданию iOS приложения на swif 22 часа")</f>
        <v>Практический курс по созданию iOS приложения на swif 22 часа</v>
      </c>
      <c r="E157" t="str">
        <f>IFERROR(__xludf.DUMMYFUNCTION("""COMPUTED_VALUE"""),"Practical course on creating iOS application on SWIF 22 hours")</f>
        <v>Practical course on creating iOS application on SWIF 22 hours</v>
      </c>
      <c r="H157" s="140" t="str">
        <f>IFERROR(__xludf.DUMMYFUNCTION("""COMPUTED_VALUE"""),"Low Rating")</f>
        <v>Low Rating</v>
      </c>
    </row>
    <row r="158">
      <c r="A158" s="143">
        <f>IFERROR(__xludf.DUMMYFUNCTION("""COMPUTED_VALUE"""),44609.0)</f>
        <v>44609</v>
      </c>
      <c r="B158">
        <f>IFERROR(__xludf.DUMMYFUNCTION("""COMPUTED_VALUE"""),3419728.0)</f>
        <v>3419728</v>
      </c>
      <c r="C158" t="str">
        <f>IFERROR(__xludf.DUMMYFUNCTION("""COMPUTED_VALUE"""),"ru")</f>
        <v>ru</v>
      </c>
      <c r="D158" t="str">
        <f>IFERROR(__xludf.DUMMYFUNCTION("""COMPUTED_VALUE"""),"Python: Быстрый старт")</f>
        <v>Python: Быстрый старт</v>
      </c>
      <c r="E158" t="str">
        <f>IFERROR(__xludf.DUMMYFUNCTION("""COMPUTED_VALUE"""),"Python: Quick Start")</f>
        <v>Python: Quick Start</v>
      </c>
      <c r="H158" s="140" t="str">
        <f>IFERROR(__xludf.DUMMYFUNCTION("""COMPUTED_VALUE"""),"Low Rating")</f>
        <v>Low Rating</v>
      </c>
    </row>
    <row r="159">
      <c r="A159" s="143">
        <f>IFERROR(__xludf.DUMMYFUNCTION("""COMPUTED_VALUE"""),44616.0)</f>
        <v>44616</v>
      </c>
      <c r="B159">
        <f>IFERROR(__xludf.DUMMYFUNCTION("""COMPUTED_VALUE"""),466736.0)</f>
        <v>466736</v>
      </c>
      <c r="C159" t="str">
        <f>IFERROR(__xludf.DUMMYFUNCTION("""COMPUTED_VALUE"""),"en")</f>
        <v>en</v>
      </c>
      <c r="D159" t="str">
        <f>IFERROR(__xludf.DUMMYFUNCTION("""COMPUTED_VALUE"""),"Stress Management: 40+ easy ways to deal with stress")</f>
        <v>Stress Management: 40+ easy ways to deal with stress</v>
      </c>
      <c r="E159" t="str">
        <f>IFERROR(__xludf.DUMMYFUNCTION("""COMPUTED_VALUE"""),"Stress Management: 40+ easy ways to deal with stress")</f>
        <v>Stress Management: 40+ easy ways to deal with stress</v>
      </c>
      <c r="F159">
        <f>IFERROR(__xludf.DUMMYFUNCTION("""COMPUTED_VALUE"""),7010472.0)</f>
        <v>7010472</v>
      </c>
      <c r="G159" t="str">
        <f>IFERROR(__xludf.DUMMYFUNCTION("""COMPUTED_VALUE"""),"Gregory Caremans - Brain Academy	")</f>
        <v>Gregory Caremans - Brain Academy	</v>
      </c>
      <c r="H159" s="140" t="str">
        <f>IFERROR(__xludf.DUMMYFUNCTION("""COMPUTED_VALUE"""),"Instructor Behavior")</f>
        <v>Instructor Behavior</v>
      </c>
      <c r="I159" t="str">
        <f>IFERROR(__xludf.DUMMYFUNCTION("""COMPUTED_VALUE"""),"Personal Development")</f>
        <v>Personal Development</v>
      </c>
      <c r="J159" t="str">
        <f>IFERROR(__xludf.DUMMYFUNCTION("""COMPUTED_VALUE"""),"Stress Management")</f>
        <v>Stress Management</v>
      </c>
      <c r="K159">
        <f>IFERROR(__xludf.DUMMYFUNCTION("""COMPUTED_VALUE"""),2495378.0)</f>
        <v>2495378</v>
      </c>
      <c r="L159" s="140" t="str">
        <f>IFERROR(__xludf.DUMMYFUNCTION("""COMPUTED_VALUE"""),"The Complete Mindfulness Course - Enjoy Life In the Present")</f>
        <v>The Complete Mindfulness Course - Enjoy Life In the Present</v>
      </c>
      <c r="M159" s="140">
        <f>IFERROR(__xludf.DUMMYFUNCTION("""COMPUTED_VALUE"""),484366.0)</f>
        <v>484366</v>
      </c>
      <c r="N159" s="140" t="str">
        <f>IFERROR(__xludf.DUMMYFUNCTION("""COMPUTED_VALUE"""),"Manage Workplace Stress &amp; Strike a Balance")</f>
        <v>Manage Workplace Stress &amp; Strike a Balance</v>
      </c>
    </row>
    <row r="160">
      <c r="A160" s="143">
        <f>IFERROR(__xludf.DUMMYFUNCTION("""COMPUTED_VALUE"""),44620.0)</f>
        <v>44620</v>
      </c>
      <c r="B160">
        <f>IFERROR(__xludf.DUMMYFUNCTION("""COMPUTED_VALUE"""),3764342.0)</f>
        <v>3764342</v>
      </c>
      <c r="C160" t="str">
        <f>IFERROR(__xludf.DUMMYFUNCTION("""COMPUTED_VALUE"""),"pl")</f>
        <v>pl</v>
      </c>
      <c r="D160" t="str">
        <f>IFERROR(__xludf.DUMMYFUNCTION("""COMPUTED_VALUE"""),"UX Design Masterclass by Erick")</f>
        <v>UX Design Masterclass by Erick</v>
      </c>
      <c r="E160" t="str">
        <f>IFERROR(__xludf.DUMMYFUNCTION("""COMPUTED_VALUE"""),"UX Design Masterclass by Erick")</f>
        <v>UX Design Masterclass by Erick</v>
      </c>
      <c r="G160" t="str">
        <f>IFERROR(__xludf.DUMMYFUNCTION("""COMPUTED_VALUE"""),"Erick Bulatowicz")</f>
        <v>Erick Bulatowicz</v>
      </c>
      <c r="H160" s="140" t="str">
        <f>IFERROR(__xludf.DUMMYFUNCTION("""COMPUTED_VALUE"""),"Low Rating")</f>
        <v>Low Rating</v>
      </c>
      <c r="I160" t="str">
        <f>IFERROR(__xludf.DUMMYFUNCTION("""COMPUTED_VALUE"""),"Design")</f>
        <v>Design</v>
      </c>
      <c r="J160" t="str">
        <f>IFERROR(__xludf.DUMMYFUNCTION("""COMPUTED_VALUE"""),"User Experience Design")</f>
        <v>User Experience Design</v>
      </c>
    </row>
    <row r="161">
      <c r="A161" s="143">
        <f>IFERROR(__xludf.DUMMYFUNCTION("""COMPUTED_VALUE"""),44620.0)</f>
        <v>44620</v>
      </c>
      <c r="B161">
        <f>IFERROR(__xludf.DUMMYFUNCTION("""COMPUTED_VALUE"""),2795300.0)</f>
        <v>2795300</v>
      </c>
      <c r="C161" t="str">
        <f>IFERROR(__xludf.DUMMYFUNCTION("""COMPUTED_VALUE"""),"pl")</f>
        <v>pl</v>
      </c>
      <c r="D161" t="str">
        <f>IFERROR(__xludf.DUMMYFUNCTION("""COMPUTED_VALUE"""),"AWS S3, IAM, EC2, Lambda i DynamoDb - podstawy AWS 2022")</f>
        <v>AWS S3, IAM, EC2, Lambda i DynamoDb - podstawy AWS 2022</v>
      </c>
      <c r="E161" t="str">
        <f>IFERROR(__xludf.DUMMYFUNCTION("""COMPUTED_VALUE"""),"AWS S3, IAM, EC2, Lambda and DynamodB - AWS 2022 basics")</f>
        <v>AWS S3, IAM, EC2, Lambda and DynamodB - AWS 2022 basics</v>
      </c>
      <c r="G161" t="str">
        <f>IFERROR(__xludf.DUMMYFUNCTION("""COMPUTED_VALUE"""),"Jacek Pająk")</f>
        <v>Jacek Pająk</v>
      </c>
      <c r="H161" s="140" t="str">
        <f>IFERROR(__xludf.DUMMYFUNCTION("""COMPUTED_VALUE"""),"Low Rating")</f>
        <v>Low Rating</v>
      </c>
      <c r="I161" t="str">
        <f>IFERROR(__xludf.DUMMYFUNCTION("""COMPUTED_VALUE"""),"Cloud Computing")</f>
        <v>Cloud Computing</v>
      </c>
      <c r="J161" t="str">
        <f>IFERROR(__xludf.DUMMYFUNCTION("""COMPUTED_VALUE"""),"Cloud Development")</f>
        <v>Cloud Development</v>
      </c>
    </row>
    <row r="162">
      <c r="A162" s="143">
        <f>IFERROR(__xludf.DUMMYFUNCTION("""COMPUTED_VALUE"""),44620.0)</f>
        <v>44620</v>
      </c>
      <c r="B162">
        <f>IFERROR(__xludf.DUMMYFUNCTION("""COMPUTED_VALUE"""),1477898.0)</f>
        <v>1477898</v>
      </c>
      <c r="C162" t="str">
        <f>IFERROR(__xludf.DUMMYFUNCTION("""COMPUTED_VALUE"""),"pl")</f>
        <v>pl</v>
      </c>
      <c r="D162" t="str">
        <f>IFERROR(__xludf.DUMMYFUNCTION("""COMPUTED_VALUE"""),"Photoshop Dla Fotografów - Od Zera do Profesjonalisty!")</f>
        <v>Photoshop Dla Fotografów - Od Zera do Profesjonalisty!</v>
      </c>
      <c r="E162" t="str">
        <f>IFERROR(__xludf.DUMMYFUNCTION("""COMPUTED_VALUE"""),"Photoshop for photographers - from zero to professional!")</f>
        <v>Photoshop for photographers - from zero to professional!</v>
      </c>
      <c r="G162" t="str">
        <f>IFERROR(__xludf.DUMMYFUNCTION("""COMPUTED_VALUE"""),"Marcin Mikus")</f>
        <v>Marcin Mikus</v>
      </c>
      <c r="H162" s="140" t="str">
        <f>IFERROR(__xludf.DUMMYFUNCTION("""COMPUTED_VALUE"""),"Low Rating")</f>
        <v>Low Rating</v>
      </c>
      <c r="I162" t="str">
        <f>IFERROR(__xludf.DUMMYFUNCTION("""COMPUTED_VALUE"""),"Design")</f>
        <v>Design</v>
      </c>
      <c r="J162" t="str">
        <f>IFERROR(__xludf.DUMMYFUNCTION("""COMPUTED_VALUE"""),"Design Tools")</f>
        <v>Design Tools</v>
      </c>
    </row>
    <row r="163">
      <c r="A163" s="143">
        <f>IFERROR(__xludf.DUMMYFUNCTION("""COMPUTED_VALUE"""),44620.0)</f>
        <v>44620</v>
      </c>
      <c r="B163">
        <f>IFERROR(__xludf.DUMMYFUNCTION("""COMPUTED_VALUE"""),3921006.0)</f>
        <v>3921006</v>
      </c>
      <c r="C163" t="str">
        <f>IFERROR(__xludf.DUMMYFUNCTION("""COMPUTED_VALUE"""),"pl")</f>
        <v>pl</v>
      </c>
      <c r="D163" t="str">
        <f>IFERROR(__xludf.DUMMYFUNCTION("""COMPUTED_VALUE"""),"Lean - Mapowanie Strumienia Wartości - szkolenie z ekspertem")</f>
        <v>Lean - Mapowanie Strumienia Wartości - szkolenie z ekspertem</v>
      </c>
      <c r="E163" t="str">
        <f>IFERROR(__xludf.DUMMYFUNCTION("""COMPUTED_VALUE"""),"Lean - Map the stream of values ​​- Training with an expert")</f>
        <v>Lean - Map the stream of values ​​- Training with an expert</v>
      </c>
      <c r="G163" t="str">
        <f>IFERROR(__xludf.DUMMYFUNCTION("""COMPUTED_VALUE"""),"Janusz Pieklik")</f>
        <v>Janusz Pieklik</v>
      </c>
      <c r="H163" s="140" t="str">
        <f>IFERROR(__xludf.DUMMYFUNCTION("""COMPUTED_VALUE"""),"Low Rating")</f>
        <v>Low Rating</v>
      </c>
      <c r="I163" t="str">
        <f>IFERROR(__xludf.DUMMYFUNCTION("""COMPUTED_VALUE"""),"Leadership &amp; Management")</f>
        <v>Leadership &amp; Management</v>
      </c>
      <c r="J163" t="str">
        <f>IFERROR(__xludf.DUMMYFUNCTION("""COMPUTED_VALUE"""),"Strategy")</f>
        <v>Strategy</v>
      </c>
    </row>
    <row r="164">
      <c r="A164" s="143">
        <f>IFERROR(__xludf.DUMMYFUNCTION("""COMPUTED_VALUE"""),44620.0)</f>
        <v>44620</v>
      </c>
      <c r="B164">
        <f>IFERROR(__xludf.DUMMYFUNCTION("""COMPUTED_VALUE"""),2003832.0)</f>
        <v>2003832</v>
      </c>
      <c r="C164" t="str">
        <f>IFERROR(__xludf.DUMMYFUNCTION("""COMPUTED_VALUE"""),"pl")</f>
        <v>pl</v>
      </c>
      <c r="D164" t="str">
        <f>IFERROR(__xludf.DUMMYFUNCTION("""COMPUTED_VALUE"""),"Zwycięska Sprzedaż")</f>
        <v>Zwycięska Sprzedaż</v>
      </c>
      <c r="E164" t="str">
        <f>IFERROR(__xludf.DUMMYFUNCTION("""COMPUTED_VALUE"""),"Winning sale")</f>
        <v>Winning sale</v>
      </c>
      <c r="G164" t="str">
        <f>IFERROR(__xludf.DUMMYFUNCTION("""COMPUTED_VALUE"""),"Nikodem Zegzda")</f>
        <v>Nikodem Zegzda</v>
      </c>
      <c r="H164" s="140" t="str">
        <f>IFERROR(__xludf.DUMMYFUNCTION("""COMPUTED_VALUE"""),"Low Rating")</f>
        <v>Low Rating</v>
      </c>
      <c r="I164" t="str">
        <f>IFERROR(__xludf.DUMMYFUNCTION("""COMPUTED_VALUE"""),"Sales")</f>
        <v>Sales</v>
      </c>
      <c r="J164" t="str">
        <f>IFERROR(__xludf.DUMMYFUNCTION("""COMPUTED_VALUE"""),"Sales Skills &amp; Tools")</f>
        <v>Sales Skills &amp; Tools</v>
      </c>
    </row>
    <row r="165">
      <c r="A165" s="143">
        <f>IFERROR(__xludf.DUMMYFUNCTION("""COMPUTED_VALUE"""),44620.0)</f>
        <v>44620</v>
      </c>
      <c r="B165">
        <f>IFERROR(__xludf.DUMMYFUNCTION("""COMPUTED_VALUE"""),2940740.0)</f>
        <v>2940740</v>
      </c>
      <c r="C165" t="str">
        <f>IFERROR(__xludf.DUMMYFUNCTION("""COMPUTED_VALUE"""),"pl")</f>
        <v>pl</v>
      </c>
      <c r="D165" t="str">
        <f>IFERROR(__xludf.DUMMYFUNCTION("""COMPUTED_VALUE"""),"Trening Mentalny -jak się podnieść, otrzepać i iść do przodu")</f>
        <v>Trening Mentalny -jak się podnieść, otrzepać i iść do przodu</v>
      </c>
      <c r="E165" t="str">
        <f>IFERROR(__xludf.DUMMYFUNCTION("""COMPUTED_VALUE"""),"Mental training - how to raise, brush and move forward")</f>
        <v>Mental training - how to raise, brush and move forward</v>
      </c>
      <c r="G165" t="str">
        <f>IFERROR(__xludf.DUMMYFUNCTION("""COMPUTED_VALUE"""),"Piotr Strzyżewski")</f>
        <v>Piotr Strzyżewski</v>
      </c>
      <c r="H165" s="140" t="str">
        <f>IFERROR(__xludf.DUMMYFUNCTION("""COMPUTED_VALUE"""),"Low Rating")</f>
        <v>Low Rating</v>
      </c>
      <c r="I165" t="str">
        <f>IFERROR(__xludf.DUMMYFUNCTION("""COMPUTED_VALUE"""),"Personal Development")</f>
        <v>Personal Development</v>
      </c>
      <c r="J165" t="str">
        <f>IFERROR(__xludf.DUMMYFUNCTION("""COMPUTED_VALUE"""),"Personal Growth")</f>
        <v>Personal Growth</v>
      </c>
    </row>
    <row r="166">
      <c r="A166" s="143">
        <f>IFERROR(__xludf.DUMMYFUNCTION("""COMPUTED_VALUE"""),44620.0)</f>
        <v>44620</v>
      </c>
      <c r="B166">
        <f>IFERROR(__xludf.DUMMYFUNCTION("""COMPUTED_VALUE"""),2798056.0)</f>
        <v>2798056</v>
      </c>
      <c r="C166" t="str">
        <f>IFERROR(__xludf.DUMMYFUNCTION("""COMPUTED_VALUE"""),"pl")</f>
        <v>pl</v>
      </c>
      <c r="D166" t="str">
        <f>IFERROR(__xludf.DUMMYFUNCTION("""COMPUTED_VALUE"""),"Kurs Microsoft Project 2016 - od Podstaw do Eksperta")</f>
        <v>Kurs Microsoft Project 2016 - od Podstaw do Eksperta</v>
      </c>
      <c r="E166" t="str">
        <f>IFERROR(__xludf.DUMMYFUNCTION("""COMPUTED_VALUE"""),"Microsoft Project 2016 - from scratch to an expert")</f>
        <v>Microsoft Project 2016 - from scratch to an expert</v>
      </c>
      <c r="G166" t="str">
        <f>IFERROR(__xludf.DUMMYFUNCTION("""COMPUTED_VALUE"""),"Akademia CentrumXP")</f>
        <v>Akademia CentrumXP</v>
      </c>
      <c r="H166" s="140" t="str">
        <f>IFERROR(__xludf.DUMMYFUNCTION("""COMPUTED_VALUE"""),"Low Rating")</f>
        <v>Low Rating</v>
      </c>
      <c r="I166" t="str">
        <f>IFERROR(__xludf.DUMMYFUNCTION("""COMPUTED_VALUE"""),"Project Management &amp; Operations")</f>
        <v>Project Management &amp; Operations</v>
      </c>
      <c r="J166" t="str">
        <f>IFERROR(__xludf.DUMMYFUNCTION("""COMPUTED_VALUE"""),"Project Management Tools")</f>
        <v>Project Management Tools</v>
      </c>
    </row>
    <row r="167">
      <c r="A167" s="143">
        <f>IFERROR(__xludf.DUMMYFUNCTION("""COMPUTED_VALUE"""),44620.0)</f>
        <v>44620</v>
      </c>
      <c r="B167">
        <f>IFERROR(__xludf.DUMMYFUNCTION("""COMPUTED_VALUE"""),1478328.0)</f>
        <v>1478328</v>
      </c>
      <c r="C167" t="str">
        <f>IFERROR(__xludf.DUMMYFUNCTION("""COMPUTED_VALUE"""),"en")</f>
        <v>en</v>
      </c>
      <c r="D167" t="str">
        <f>IFERROR(__xludf.DUMMYFUNCTION("""COMPUTED_VALUE"""),"MySQL MariaDB From Scratch - Become an App Developer in 2021")</f>
        <v>MySQL MariaDB From Scratch - Become an App Developer in 2021</v>
      </c>
      <c r="F167">
        <f>IFERROR(__xludf.DUMMYFUNCTION("""COMPUTED_VALUE"""),3.5908064E7)</f>
        <v>35908064</v>
      </c>
      <c r="G167" s="140" t="str">
        <f>IFERROR(__xludf.DUMMYFUNCTION("""COMPUTED_VALUE"""),"Edmund P Obiri, M.Tech")</f>
        <v>Edmund P Obiri, M.Tech</v>
      </c>
      <c r="H167" s="140" t="str">
        <f>IFERROR(__xludf.DUMMYFUNCTION("""COMPUTED_VALUE"""),"Low Rating")</f>
        <v>Low Rating</v>
      </c>
      <c r="I167" t="str">
        <f>IFERROR(__xludf.DUMMYFUNCTION("""COMPUTED_VALUE"""),"Development")</f>
        <v>Development</v>
      </c>
      <c r="J167" t="str">
        <f>IFERROR(__xludf.DUMMYFUNCTION("""COMPUTED_VALUE"""),"Database Design &amp; Development")</f>
        <v>Database Design &amp; Development</v>
      </c>
    </row>
    <row r="168">
      <c r="A168" s="143">
        <f>IFERROR(__xludf.DUMMYFUNCTION("""COMPUTED_VALUE"""),44620.0)</f>
        <v>44620</v>
      </c>
      <c r="B168">
        <f>IFERROR(__xludf.DUMMYFUNCTION("""COMPUTED_VALUE"""),1939102.0)</f>
        <v>1939102</v>
      </c>
      <c r="C168" t="str">
        <f>IFERROR(__xludf.DUMMYFUNCTION("""COMPUTED_VALUE"""),"de")</f>
        <v>de</v>
      </c>
      <c r="D168" t="str">
        <f>IFERROR(__xludf.DUMMYFUNCTION("""COMPUTED_VALUE"""),"Emotionale Intelligenz - Wie man gute Entscheidungen trifft")</f>
        <v>Emotionale Intelligenz - Wie man gute Entscheidungen trifft</v>
      </c>
      <c r="E168" s="145" t="str">
        <f>IFERROR(__xludf.DUMMYFUNCTION("""COMPUTED_VALUE"""),"Emotional Intelligence - How to make good decisions")</f>
        <v>Emotional Intelligence - How to make good decisions</v>
      </c>
      <c r="F168">
        <f>IFERROR(__xludf.DUMMYFUNCTION("""COMPUTED_VALUE"""),2.6649216E7)</f>
        <v>26649216</v>
      </c>
      <c r="G168" s="140" t="str">
        <f>IFERROR(__xludf.DUMMYFUNCTION("""COMPUTED_VALUE"""),"Andreas Vögele")</f>
        <v>Andreas Vögele</v>
      </c>
      <c r="H168" s="140" t="str">
        <f>IFERROR(__xludf.DUMMYFUNCTION("""COMPUTED_VALUE"""),"Low Rating")</f>
        <v>Low Rating</v>
      </c>
      <c r="I168" s="144" t="str">
        <f>IFERROR(__xludf.DUMMYFUNCTION("""COMPUTED_VALUE"""),"Leadership &amp; Management")</f>
        <v>Leadership &amp; Management</v>
      </c>
      <c r="J168" s="144" t="str">
        <f>IFERROR(__xludf.DUMMYFUNCTION("""COMPUTED_VALUE"""),"Leadership")</f>
        <v>Leadership</v>
      </c>
    </row>
    <row r="169">
      <c r="A169" s="143">
        <f>IFERROR(__xludf.DUMMYFUNCTION("""COMPUTED_VALUE"""),44620.0)</f>
        <v>44620</v>
      </c>
      <c r="B169">
        <f>IFERROR(__xludf.DUMMYFUNCTION("""COMPUTED_VALUE"""),2132994.0)</f>
        <v>2132994</v>
      </c>
      <c r="C169" t="str">
        <f>IFERROR(__xludf.DUMMYFUNCTION("""COMPUTED_VALUE"""),"en")</f>
        <v>en</v>
      </c>
      <c r="D169" t="str">
        <f>IFERROR(__xludf.DUMMYFUNCTION("""COMPUTED_VALUE"""),"Distribution Power Engineering Fundamentals")</f>
        <v>Distribution Power Engineering Fundamentals</v>
      </c>
      <c r="F169">
        <f>IFERROR(__xludf.DUMMYFUNCTION("""COMPUTED_VALUE"""),6.2215418E7)</f>
        <v>62215418</v>
      </c>
      <c r="G169" s="140" t="str">
        <f>IFERROR(__xludf.DUMMYFUNCTION("""COMPUTED_VALUE"""),"Mike L")</f>
        <v>Mike L</v>
      </c>
      <c r="H169" s="140" t="str">
        <f>IFERROR(__xludf.DUMMYFUNCTION("""COMPUTED_VALUE"""),"Low Rating")</f>
        <v>Low Rating</v>
      </c>
      <c r="I169" t="str">
        <f>IFERROR(__xludf.DUMMYFUNCTION("""COMPUTED_VALUE"""),"IT Operations")</f>
        <v>IT Operations</v>
      </c>
      <c r="J169" t="str">
        <f>IFERROR(__xludf.DUMMYFUNCTION("""COMPUTED_VALUE"""),"Hardware")</f>
        <v>Hardware</v>
      </c>
    </row>
    <row r="170">
      <c r="A170" s="143">
        <f>IFERROR(__xludf.DUMMYFUNCTION("""COMPUTED_VALUE"""),44620.0)</f>
        <v>44620</v>
      </c>
      <c r="B170">
        <f>IFERROR(__xludf.DUMMYFUNCTION("""COMPUTED_VALUE"""),2277297.0)</f>
        <v>2277297</v>
      </c>
      <c r="C170" t="str">
        <f>IFERROR(__xludf.DUMMYFUNCTION("""COMPUTED_VALUE"""),"en")</f>
        <v>en</v>
      </c>
      <c r="D170" t="str">
        <f>IFERROR(__xludf.DUMMYFUNCTION("""COMPUTED_VALUE"""),"Fraud Analytics using R &amp; Microsoft Excel")</f>
        <v>Fraud Analytics using R &amp; Microsoft Excel</v>
      </c>
      <c r="F170">
        <f>IFERROR(__xludf.DUMMYFUNCTION("""COMPUTED_VALUE"""),5.904831E7)</f>
        <v>59048310</v>
      </c>
      <c r="G170" s="140" t="str">
        <f>IFERROR(__xludf.DUMMYFUNCTION("""COMPUTED_VALUE"""),"Exam Turf")</f>
        <v>Exam Turf</v>
      </c>
      <c r="H170" s="140" t="str">
        <f>IFERROR(__xludf.DUMMYFUNCTION("""COMPUTED_VALUE"""),"Low Rating")</f>
        <v>Low Rating</v>
      </c>
      <c r="I170" t="str">
        <f>IFERROR(__xludf.DUMMYFUNCTION("""COMPUTED_VALUE"""),"Data Science")</f>
        <v>Data Science</v>
      </c>
      <c r="J170" t="str">
        <f>IFERROR(__xludf.DUMMYFUNCTION("""COMPUTED_VALUE"""),"Analytics")</f>
        <v>Analytics</v>
      </c>
    </row>
    <row r="171">
      <c r="A171" s="143">
        <f>IFERROR(__xludf.DUMMYFUNCTION("""COMPUTED_VALUE"""),44620.0)</f>
        <v>44620</v>
      </c>
      <c r="B171">
        <f>IFERROR(__xludf.DUMMYFUNCTION("""COMPUTED_VALUE"""),2380528.0)</f>
        <v>2380528</v>
      </c>
      <c r="C171" t="str">
        <f>IFERROR(__xludf.DUMMYFUNCTION("""COMPUTED_VALUE"""),"es")</f>
        <v>es</v>
      </c>
      <c r="D171" t="str">
        <f>IFERROR(__xludf.DUMMYFUNCTION("""COMPUTED_VALUE"""),"Aprende Xamarin Forms y desarrolla apps para Android y IOS")</f>
        <v>Aprende Xamarin Forms y desarrolla apps para Android y IOS</v>
      </c>
      <c r="E171" t="str">
        <f>IFERROR(__xludf.DUMMYFUNCTION("""COMPUTED_VALUE"""),"Learn Xamarin Forms and develops apps for Android and iOS")</f>
        <v>Learn Xamarin Forms and develops apps for Android and iOS</v>
      </c>
      <c r="F171">
        <f>IFERROR(__xludf.DUMMYFUNCTION("""COMPUTED_VALUE"""),2.4572942E7)</f>
        <v>24572942</v>
      </c>
      <c r="G171" s="140" t="str">
        <f>IFERROR(__xludf.DUMMYFUNCTION("""COMPUTED_VALUE"""),"Jonathan Robayo")</f>
        <v>Jonathan Robayo</v>
      </c>
      <c r="H171" s="140" t="str">
        <f>IFERROR(__xludf.DUMMYFUNCTION("""COMPUTED_VALUE"""),"Low Rating")</f>
        <v>Low Rating</v>
      </c>
      <c r="I171" s="140" t="str">
        <f>IFERROR(__xludf.DUMMYFUNCTION("""COMPUTED_VALUE"""),"Development")</f>
        <v>Development</v>
      </c>
      <c r="J171" t="str">
        <f>IFERROR(__xludf.DUMMYFUNCTION("""COMPUTED_VALUE"""),"Mobile Development")</f>
        <v>Mobile Development</v>
      </c>
    </row>
    <row r="172">
      <c r="A172" s="143">
        <f>IFERROR(__xludf.DUMMYFUNCTION("""COMPUTED_VALUE"""),44620.0)</f>
        <v>44620</v>
      </c>
      <c r="B172">
        <f>IFERROR(__xludf.DUMMYFUNCTION("""COMPUTED_VALUE"""),2594210.0)</f>
        <v>2594210</v>
      </c>
      <c r="C172" t="str">
        <f>IFERROR(__xludf.DUMMYFUNCTION("""COMPUTED_VALUE"""),"es")</f>
        <v>es</v>
      </c>
      <c r="D172" s="145" t="str">
        <f>IFERROR(__xludf.DUMMYFUNCTION("""COMPUTED_VALUE"""),"Scrum Product Owner: Simulador &amp; Material de Estudio")</f>
        <v>Scrum Product Owner: Simulador &amp; Material de Estudio</v>
      </c>
      <c r="E172" t="str">
        <f>IFERROR(__xludf.DUMMYFUNCTION("""COMPUTED_VALUE"""),"Scrum Product Owner: Simulator &amp; Study Material")</f>
        <v>Scrum Product Owner: Simulator &amp; Study Material</v>
      </c>
      <c r="F172">
        <f>IFERROR(__xludf.DUMMYFUNCTION("""COMPUTED_VALUE"""),7.8922112E7)</f>
        <v>78922112</v>
      </c>
      <c r="H172" s="140" t="str">
        <f>IFERROR(__xludf.DUMMYFUNCTION("""COMPUTED_VALUE"""),"Low Rating")</f>
        <v>Low Rating</v>
      </c>
      <c r="I172" s="140" t="str">
        <f>IFERROR(__xludf.DUMMYFUNCTION("""COMPUTED_VALUE"""),"IT Cert")</f>
        <v>IT Cert</v>
      </c>
      <c r="J172" s="140" t="str">
        <f>IFERROR(__xludf.DUMMYFUNCTION("""COMPUTED_VALUE"""),"IT Operations")</f>
        <v>IT Operations</v>
      </c>
    </row>
    <row r="173">
      <c r="A173" s="143">
        <f>IFERROR(__xludf.DUMMYFUNCTION("""COMPUTED_VALUE"""),44620.0)</f>
        <v>44620</v>
      </c>
      <c r="B173">
        <f>IFERROR(__xludf.DUMMYFUNCTION("""COMPUTED_VALUE"""),2651556.0)</f>
        <v>2651556</v>
      </c>
      <c r="C173" t="str">
        <f>IFERROR(__xludf.DUMMYFUNCTION("""COMPUTED_VALUE"""),"en")</f>
        <v>en</v>
      </c>
      <c r="D173" s="145" t="str">
        <f>IFERROR(__xludf.DUMMYFUNCTION("""COMPUTED_VALUE"""),"Real-Time Data Stream Processing In Azure")</f>
        <v>Real-Time Data Stream Processing In Azure</v>
      </c>
      <c r="F173">
        <f>IFERROR(__xludf.DUMMYFUNCTION("""COMPUTED_VALUE"""),6.7793361E7)</f>
        <v>67793361</v>
      </c>
      <c r="G173" s="140" t="str">
        <f>IFERROR(__xludf.DUMMYFUNCTION("""COMPUTED_VALUE"""),"Hersh Bhasin")</f>
        <v>Hersh Bhasin</v>
      </c>
      <c r="H173" s="140" t="str">
        <f>IFERROR(__xludf.DUMMYFUNCTION("""COMPUTED_VALUE"""),"Low Rating")</f>
        <v>Low Rating</v>
      </c>
      <c r="I173" s="140" t="str">
        <f>IFERROR(__xludf.DUMMYFUNCTION("""COMPUTED_VALUE"""),"Cloud Computing")</f>
        <v>Cloud Computing</v>
      </c>
      <c r="J173" t="str">
        <f>IFERROR(__xludf.DUMMYFUNCTION("""COMPUTED_VALUE"""),"Cloud Development")</f>
        <v>Cloud Development</v>
      </c>
    </row>
    <row r="174">
      <c r="A174" s="143">
        <f>IFERROR(__xludf.DUMMYFUNCTION("""COMPUTED_VALUE"""),44620.0)</f>
        <v>44620</v>
      </c>
      <c r="B174">
        <f>IFERROR(__xludf.DUMMYFUNCTION("""COMPUTED_VALUE"""),2837620.0)</f>
        <v>2837620</v>
      </c>
      <c r="C174" s="140" t="str">
        <f>IFERROR(__xludf.DUMMYFUNCTION("""COMPUTED_VALUE"""),"en")</f>
        <v>en</v>
      </c>
      <c r="D174" t="str">
        <f>IFERROR(__xludf.DUMMYFUNCTION("""COMPUTED_VALUE"""),"#REF!")</f>
        <v>#REF!</v>
      </c>
      <c r="H174" s="140" t="str">
        <f>IFERROR(__xludf.DUMMYFUNCTION("""COMPUTED_VALUE"""),"Low Rating")</f>
        <v>Low Rating</v>
      </c>
    </row>
    <row r="175">
      <c r="A175" s="143">
        <f>IFERROR(__xludf.DUMMYFUNCTION("""COMPUTED_VALUE"""),44620.0)</f>
        <v>44620</v>
      </c>
      <c r="B175">
        <f>IFERROR(__xludf.DUMMYFUNCTION("""COMPUTED_VALUE"""),3220009.0)</f>
        <v>3220009</v>
      </c>
      <c r="C175" t="str">
        <f>IFERROR(__xludf.DUMMYFUNCTION("""COMPUTED_VALUE"""),"en")</f>
        <v>en</v>
      </c>
      <c r="D175" t="str">
        <f>IFERROR(__xludf.DUMMYFUNCTION("""COMPUTED_VALUE"""),"Azure Data Factory V2:Premium Hands on Practical Course 2021
")</f>
        <v>Azure Data Factory V2:Premium Hands on Practical Course 2021
</v>
      </c>
      <c r="F175">
        <f>IFERROR(__xludf.DUMMYFUNCTION("""COMPUTED_VALUE"""),1.17494792E8)</f>
        <v>117494792</v>
      </c>
      <c r="G175" t="str">
        <f>IFERROR(__xludf.DUMMYFUNCTION("""COMPUTED_VALUE"""),"Sujeet Singh
")</f>
        <v>Sujeet Singh
</v>
      </c>
      <c r="H175" s="140" t="str">
        <f>IFERROR(__xludf.DUMMYFUNCTION("""COMPUTED_VALUE"""),"Low Rating")</f>
        <v>Low Rating</v>
      </c>
      <c r="I175" s="140" t="str">
        <f>IFERROR(__xludf.DUMMYFUNCTION("""COMPUTED_VALUE"""),"Cloud Computing")</f>
        <v>Cloud Computing</v>
      </c>
      <c r="J175" s="140" t="str">
        <f>IFERROR(__xludf.DUMMYFUNCTION("""COMPUTED_VALUE"""),"Cloud Development")</f>
        <v>Cloud Development</v>
      </c>
    </row>
    <row r="176">
      <c r="A176" s="143">
        <f>IFERROR(__xludf.DUMMYFUNCTION("""COMPUTED_VALUE"""),44620.0)</f>
        <v>44620</v>
      </c>
      <c r="B176">
        <f>IFERROR(__xludf.DUMMYFUNCTION("""COMPUTED_VALUE"""),3344214.0)</f>
        <v>3344214</v>
      </c>
      <c r="C176" s="140" t="str">
        <f>IFERROR(__xludf.DUMMYFUNCTION("""COMPUTED_VALUE"""),"en")</f>
        <v>en</v>
      </c>
      <c r="D176" t="str">
        <f>IFERROR(__xludf.DUMMYFUNCTION("""COMPUTED_VALUE"""),"#REF!")</f>
        <v>#REF!</v>
      </c>
      <c r="H176" s="140" t="str">
        <f>IFERROR(__xludf.DUMMYFUNCTION("""COMPUTED_VALUE"""),"Low Rating")</f>
        <v>Low Rating</v>
      </c>
    </row>
    <row r="177">
      <c r="A177" s="143">
        <f>IFERROR(__xludf.DUMMYFUNCTION("""COMPUTED_VALUE"""),44620.0)</f>
        <v>44620</v>
      </c>
      <c r="B177">
        <f>IFERROR(__xludf.DUMMYFUNCTION("""COMPUTED_VALUE"""),3774636.0)</f>
        <v>3774636</v>
      </c>
      <c r="C177" t="str">
        <f>IFERROR(__xludf.DUMMYFUNCTION("""COMPUTED_VALUE"""),"en")</f>
        <v>en</v>
      </c>
      <c r="D177" t="str">
        <f>IFERROR(__xludf.DUMMYFUNCTION("""COMPUTED_VALUE"""),"Enable your learning agility
")</f>
        <v>Enable your learning agility
</v>
      </c>
      <c r="F177">
        <f>IFERROR(__xludf.DUMMYFUNCTION("""COMPUTED_VALUE"""),1.40196576E8)</f>
        <v>140196576</v>
      </c>
      <c r="G177" t="str">
        <f>IFERROR(__xludf.DUMMYFUNCTION("""COMPUTED_VALUE"""),"Na Jamie Zhang
")</f>
        <v>Na Jamie Zhang
</v>
      </c>
      <c r="H177" s="140" t="str">
        <f>IFERROR(__xludf.DUMMYFUNCTION("""COMPUTED_VALUE"""),"Low Rating")</f>
        <v>Low Rating</v>
      </c>
      <c r="I177" s="140" t="str">
        <f>IFERROR(__xludf.DUMMYFUNCTION("""COMPUTED_VALUE"""),"Personal Development")</f>
        <v>Personal Development</v>
      </c>
      <c r="J177" t="str">
        <f>IFERROR(__xludf.DUMMYFUNCTION("""COMPUTED_VALUE"""),"Personal Growth")</f>
        <v>Personal Growth</v>
      </c>
    </row>
    <row r="178">
      <c r="A178" s="143">
        <f>IFERROR(__xludf.DUMMYFUNCTION("""COMPUTED_VALUE"""),44620.0)</f>
        <v>44620</v>
      </c>
      <c r="B178">
        <f>IFERROR(__xludf.DUMMYFUNCTION("""COMPUTED_VALUE"""),415720.0)</f>
        <v>415720</v>
      </c>
      <c r="C178" t="str">
        <f>IFERROR(__xludf.DUMMYFUNCTION("""COMPUTED_VALUE"""),"en")</f>
        <v>en</v>
      </c>
      <c r="D178" s="145" t="str">
        <f>IFERROR(__xludf.DUMMYFUNCTION("""COMPUTED_VALUE"""),"Game Devs Unleash Artificial Intelligence: Flocking Agents")</f>
        <v>Game Devs Unleash Artificial Intelligence: Flocking Agents</v>
      </c>
      <c r="F178" s="145">
        <f>IFERROR(__xludf.DUMMYFUNCTION("""COMPUTED_VALUE"""),348329.0)</f>
        <v>348329</v>
      </c>
      <c r="G178" t="str">
        <f>IFERROR(__xludf.DUMMYFUNCTION("""COMPUTED_VALUE"""),"Razvan Pistolea")</f>
        <v>Razvan Pistolea</v>
      </c>
      <c r="H178" s="140" t="str">
        <f>IFERROR(__xludf.DUMMYFUNCTION("""COMPUTED_VALUE"""),"Low Rating")</f>
        <v>Low Rating</v>
      </c>
      <c r="I178" s="140" t="str">
        <f>IFERROR(__xludf.DUMMYFUNCTION("""COMPUTED_VALUE"""),"Development")</f>
        <v>Development</v>
      </c>
      <c r="J178" t="str">
        <f>IFERROR(__xludf.DUMMYFUNCTION("""COMPUTED_VALUE"""),"Game Development")</f>
        <v>Game Development</v>
      </c>
    </row>
    <row r="179">
      <c r="A179" s="143">
        <f>IFERROR(__xludf.DUMMYFUNCTION("""COMPUTED_VALUE"""),44620.0)</f>
        <v>44620</v>
      </c>
      <c r="B179">
        <f>IFERROR(__xludf.DUMMYFUNCTION("""COMPUTED_VALUE"""),688968.0)</f>
        <v>688968</v>
      </c>
      <c r="C179" t="str">
        <f>IFERROR(__xludf.DUMMYFUNCTION("""COMPUTED_VALUE"""),"en")</f>
        <v>en</v>
      </c>
      <c r="D179" t="str">
        <f>IFERROR(__xludf.DUMMYFUNCTION("""COMPUTED_VALUE"""),"PHP with PDO - ULTIMATE Crash Course")</f>
        <v>PHP with PDO - ULTIMATE Crash Course</v>
      </c>
      <c r="G179" t="str">
        <f>IFERROR(__xludf.DUMMYFUNCTION("""COMPUTED_VALUE"""),"Edwin Diaz")</f>
        <v>Edwin Diaz</v>
      </c>
      <c r="H179" s="140" t="str">
        <f>IFERROR(__xludf.DUMMYFUNCTION("""COMPUTED_VALUE"""),"Low Rating")</f>
        <v>Low Rating</v>
      </c>
      <c r="I179" s="140" t="str">
        <f>IFERROR(__xludf.DUMMYFUNCTION("""COMPUTED_VALUE"""),"Development")</f>
        <v>Development</v>
      </c>
      <c r="J179" t="str">
        <f>IFERROR(__xludf.DUMMYFUNCTION("""COMPUTED_VALUE"""),"Web Development")</f>
        <v>Web Development</v>
      </c>
    </row>
    <row r="180">
      <c r="A180" s="143">
        <f>IFERROR(__xludf.DUMMYFUNCTION("""COMPUTED_VALUE"""),44620.0)</f>
        <v>44620</v>
      </c>
      <c r="B180">
        <f>IFERROR(__xludf.DUMMYFUNCTION("""COMPUTED_VALUE"""),958164.0)</f>
        <v>958164</v>
      </c>
      <c r="C180" t="str">
        <f>IFERROR(__xludf.DUMMYFUNCTION("""COMPUTED_VALUE"""),"es")</f>
        <v>es</v>
      </c>
      <c r="D180" t="str">
        <f>IFERROR(__xludf.DUMMYFUNCTION("""COMPUTED_VALUE"""),"Aprende a crea tus propias apps para Android N desde cero")</f>
        <v>Aprende a crea tus propias apps para Android N desde cero</v>
      </c>
      <c r="E180" t="str">
        <f>IFERROR(__xludf.DUMMYFUNCTION("""COMPUTED_VALUE"""),"Learn to create your own apps for Android N from scratch")</f>
        <v>Learn to create your own apps for Android N from scratch</v>
      </c>
      <c r="F180">
        <f>IFERROR(__xludf.DUMMYFUNCTION("""COMPUTED_VALUE"""),3311510.0)</f>
        <v>3311510</v>
      </c>
      <c r="G180" t="str">
        <f>IFERROR(__xludf.DUMMYFUNCTION("""COMPUTED_VALUE"""),"Juan Gabriel Gomila Salas")</f>
        <v>Juan Gabriel Gomila Salas</v>
      </c>
      <c r="H180" s="140" t="str">
        <f>IFERROR(__xludf.DUMMYFUNCTION("""COMPUTED_VALUE"""),"Low Rating")</f>
        <v>Low Rating</v>
      </c>
      <c r="I180" s="140" t="str">
        <f>IFERROR(__xludf.DUMMYFUNCTION("""COMPUTED_VALUE"""),"Development")</f>
        <v>Development</v>
      </c>
      <c r="J180" t="str">
        <f>IFERROR(__xludf.DUMMYFUNCTION("""COMPUTED_VALUE"""),"Mobile Development")</f>
        <v>Mobile Development</v>
      </c>
    </row>
    <row r="181">
      <c r="A181" s="143">
        <f>IFERROR(__xludf.DUMMYFUNCTION("""COMPUTED_VALUE"""),44620.0)</f>
        <v>44620</v>
      </c>
      <c r="B181">
        <f>IFERROR(__xludf.DUMMYFUNCTION("""COMPUTED_VALUE"""),1067632.0)</f>
        <v>1067632</v>
      </c>
      <c r="C181" t="str">
        <f>IFERROR(__xludf.DUMMYFUNCTION("""COMPUTED_VALUE"""),"en")</f>
        <v>en</v>
      </c>
      <c r="D181" s="142" t="str">
        <f>IFERROR(__xludf.DUMMYFUNCTION("""COMPUTED_VALUE"""),"How to Create Video Tutorials and Perform on Camera")</f>
        <v>How to Create Video Tutorials and Perform on Camera</v>
      </c>
      <c r="G181" t="str">
        <f>IFERROR(__xludf.DUMMYFUNCTION("""COMPUTED_VALUE"""),"Marinda Botha")</f>
        <v>Marinda Botha</v>
      </c>
      <c r="H181" s="140" t="str">
        <f>IFERROR(__xludf.DUMMYFUNCTION("""COMPUTED_VALUE"""),"Low Rating")</f>
        <v>Low Rating</v>
      </c>
    </row>
    <row r="182">
      <c r="A182" s="143">
        <f>IFERROR(__xludf.DUMMYFUNCTION("""COMPUTED_VALUE"""),44620.0)</f>
        <v>44620</v>
      </c>
      <c r="B182">
        <f>IFERROR(__xludf.DUMMYFUNCTION("""COMPUTED_VALUE"""),1175340.0)</f>
        <v>1175340</v>
      </c>
      <c r="C182" t="str">
        <f>IFERROR(__xludf.DUMMYFUNCTION("""COMPUTED_VALUE"""),"de")</f>
        <v>de</v>
      </c>
      <c r="D182" s="145" t="str">
        <f>IFERROR(__xludf.DUMMYFUNCTION("""COMPUTED_VALUE"""),"Python-Entwicklung für Einsteiger")</f>
        <v>Python-Entwicklung für Einsteiger</v>
      </c>
      <c r="E182" t="str">
        <f>IFERROR(__xludf.DUMMYFUNCTION("""COMPUTED_VALUE"""),"Python development for beginners")</f>
        <v>Python development for beginners</v>
      </c>
      <c r="F182">
        <f>IFERROR(__xludf.DUMMYFUNCTION("""COMPUTED_VALUE"""),84163.0)</f>
        <v>84163</v>
      </c>
      <c r="G182" s="145" t="str">
        <f>IFERROR(__xludf.DUMMYFUNCTION("""COMPUTED_VALUE"""),"Jan Brinkmann")</f>
        <v>Jan Brinkmann</v>
      </c>
      <c r="H182" s="140" t="str">
        <f>IFERROR(__xludf.DUMMYFUNCTION("""COMPUTED_VALUE"""),"Low Rating")</f>
        <v>Low Rating</v>
      </c>
      <c r="I182" s="140" t="str">
        <f>IFERROR(__xludf.DUMMYFUNCTION("""COMPUTED_VALUE"""),"Marketing")</f>
        <v>Marketing</v>
      </c>
      <c r="J182" t="str">
        <f>IFERROR(__xludf.DUMMYFUNCTION("""COMPUTED_VALUE"""),"Social Media Marketing")</f>
        <v>Social Media Marketing</v>
      </c>
    </row>
    <row r="183">
      <c r="A183" s="143">
        <f>IFERROR(__xludf.DUMMYFUNCTION("""COMPUTED_VALUE"""),44620.0)</f>
        <v>44620</v>
      </c>
      <c r="B183">
        <f>IFERROR(__xludf.DUMMYFUNCTION("""COMPUTED_VALUE"""),1256544.0)</f>
        <v>1256544</v>
      </c>
      <c r="C183" t="str">
        <f>IFERROR(__xludf.DUMMYFUNCTION("""COMPUTED_VALUE"""),"en")</f>
        <v>en</v>
      </c>
      <c r="D183" s="145" t="str">
        <f>IFERROR(__xludf.DUMMYFUNCTION("""COMPUTED_VALUE"""),"Beginner's Guide to Elm Programming. Build Web Apps!
")</f>
        <v>Beginner's Guide to Elm Programming. Build Web Apps!
</v>
      </c>
      <c r="F183">
        <f>IFERROR(__xludf.DUMMYFUNCTION("""COMPUTED_VALUE"""),2.2923344E7)</f>
        <v>22923344</v>
      </c>
      <c r="G183" t="str">
        <f>IFERROR(__xludf.DUMMYFUNCTION("""COMPUTED_VALUE"""),"Mammoth Interactive
")</f>
        <v>Mammoth Interactive
</v>
      </c>
      <c r="H183" s="140" t="str">
        <f>IFERROR(__xludf.DUMMYFUNCTION("""COMPUTED_VALUE"""),"Low Rating")</f>
        <v>Low Rating</v>
      </c>
      <c r="I183" s="140" t="str">
        <f>IFERROR(__xludf.DUMMYFUNCTION("""COMPUTED_VALUE"""),"Development")</f>
        <v>Development</v>
      </c>
      <c r="J183" t="str">
        <f>IFERROR(__xludf.DUMMYFUNCTION("""COMPUTED_VALUE"""),"Web Development")</f>
        <v>Web Development</v>
      </c>
    </row>
    <row r="184">
      <c r="A184" s="143">
        <f>IFERROR(__xludf.DUMMYFUNCTION("""COMPUTED_VALUE"""),44620.0)</f>
        <v>44620</v>
      </c>
      <c r="B184">
        <f>IFERROR(__xludf.DUMMYFUNCTION("""COMPUTED_VALUE"""),1462912.0)</f>
        <v>1462912</v>
      </c>
      <c r="C184" t="str">
        <f>IFERROR(__xludf.DUMMYFUNCTION("""COMPUTED_VALUE"""),"en")</f>
        <v>en</v>
      </c>
      <c r="D184" s="145" t="str">
        <f>IFERROR(__xludf.DUMMYFUNCTION("""COMPUTED_VALUE"""),"Artificial Intelligence III - Deep Learning in Java")</f>
        <v>Artificial Intelligence III - Deep Learning in Java</v>
      </c>
      <c r="F184" s="145">
        <f>IFERROR(__xludf.DUMMYFUNCTION("""COMPUTED_VALUE"""),837576.0)</f>
        <v>837576</v>
      </c>
      <c r="G184" t="str">
        <f>IFERROR(__xludf.DUMMYFUNCTION("""COMPUTED_VALUE"""),"Holczer Balazs")</f>
        <v>Holczer Balazs</v>
      </c>
      <c r="H184" s="140" t="str">
        <f>IFERROR(__xludf.DUMMYFUNCTION("""COMPUTED_VALUE"""),"Low Rating")</f>
        <v>Low Rating</v>
      </c>
      <c r="I184" s="140" t="str">
        <f>IFERROR(__xludf.DUMMYFUNCTION("""COMPUTED_VALUE"""),"Data Science")</f>
        <v>Data Science</v>
      </c>
      <c r="J184" t="str">
        <f>IFERROR(__xludf.DUMMYFUNCTION("""COMPUTED_VALUE"""),"Machine Learning")</f>
        <v>Machine Learning</v>
      </c>
    </row>
    <row r="185">
      <c r="A185" s="143">
        <f>IFERROR(__xludf.DUMMYFUNCTION("""COMPUTED_VALUE"""),44620.0)</f>
        <v>44620</v>
      </c>
      <c r="B185">
        <f>IFERROR(__xludf.DUMMYFUNCTION("""COMPUTED_VALUE"""),1702314.0)</f>
        <v>1702314</v>
      </c>
      <c r="C185" t="str">
        <f>IFERROR(__xludf.DUMMYFUNCTION("""COMPUTED_VALUE"""),"en")</f>
        <v>en</v>
      </c>
      <c r="D185" s="145" t="str">
        <f>IFERROR(__xludf.DUMMYFUNCTION("""COMPUTED_VALUE"""),"YOUTUBE : 21 hacks pour avoir plus de vues")</f>
        <v>YOUTUBE : 21 hacks pour avoir plus de vues</v>
      </c>
      <c r="E185" t="str">
        <f>IFERROR(__xludf.DUMMYFUNCTION("""COMPUTED_VALUE"""),"YouTube: 21 hacks for more views")</f>
        <v>YouTube: 21 hacks for more views</v>
      </c>
      <c r="F185" s="145">
        <f>IFERROR(__xludf.DUMMYFUNCTION("""COMPUTED_VALUE"""),3.3492038E7)</f>
        <v>33492038</v>
      </c>
      <c r="G185" s="145" t="str">
        <f>IFERROR(__xludf.DUMMYFUNCTION("""COMPUTED_VALUE"""),"Jonathan Panarotto")</f>
        <v>Jonathan Panarotto</v>
      </c>
      <c r="H185" s="140" t="str">
        <f>IFERROR(__xludf.DUMMYFUNCTION("""COMPUTED_VALUE"""),"Low Rating")</f>
        <v>Low Rating</v>
      </c>
      <c r="I185" s="145" t="str">
        <f>IFERROR(__xludf.DUMMYFUNCTION("""COMPUTED_VALUE"""),"Marketing")</f>
        <v>Marketing</v>
      </c>
      <c r="J185" s="145" t="str">
        <f>IFERROR(__xludf.DUMMYFUNCTION("""COMPUTED_VALUE"""),"Video &amp; Mobile Marketing")</f>
        <v>Video &amp; Mobile Marketing</v>
      </c>
    </row>
    <row r="186">
      <c r="A186" s="143">
        <f>IFERROR(__xludf.DUMMYFUNCTION("""COMPUTED_VALUE"""),44620.0)</f>
        <v>44620</v>
      </c>
      <c r="B186">
        <f>IFERROR(__xludf.DUMMYFUNCTION("""COMPUTED_VALUE"""),1840864.0)</f>
        <v>1840864</v>
      </c>
      <c r="C186" t="str">
        <f>IFERROR(__xludf.DUMMYFUNCTION("""COMPUTED_VALUE"""),"en")</f>
        <v>en</v>
      </c>
      <c r="D186" s="145" t="str">
        <f>IFERROR(__xludf.DUMMYFUNCTION("""COMPUTED_VALUE"""),"ISTQB Foundation level certification training +1500 quiz")</f>
        <v>ISTQB Foundation level certification training +1500 quiz</v>
      </c>
      <c r="F186">
        <f>IFERROR(__xludf.DUMMYFUNCTION("""COMPUTED_VALUE"""),1.440359E7)</f>
        <v>14403590</v>
      </c>
      <c r="G186" t="str">
        <f>IFERROR(__xludf.DUMMYFUNCTION("""COMPUTED_VALUE"""),"ISTQB Masterclass")</f>
        <v>ISTQB Masterclass</v>
      </c>
      <c r="H186" s="140" t="str">
        <f>IFERROR(__xludf.DUMMYFUNCTION("""COMPUTED_VALUE"""),"Low Rating")</f>
        <v>Low Rating</v>
      </c>
      <c r="I186" s="140" t="str">
        <f>IFERROR(__xludf.DUMMYFUNCTION("""COMPUTED_VALUE"""),"IT Operations")</f>
        <v>IT Operations</v>
      </c>
      <c r="J186" t="str">
        <f>IFERROR(__xludf.DUMMYFUNCTION("""COMPUTED_VALUE"""),"IT Certifications")</f>
        <v>IT Certifications</v>
      </c>
    </row>
    <row r="187">
      <c r="A187" s="143">
        <f>IFERROR(__xludf.DUMMYFUNCTION("""COMPUTED_VALUE"""),44620.0)</f>
        <v>44620</v>
      </c>
      <c r="B187">
        <f>IFERROR(__xludf.DUMMYFUNCTION("""COMPUTED_VALUE"""),1842114.0)</f>
        <v>1842114</v>
      </c>
      <c r="C187" t="str">
        <f>IFERROR(__xludf.DUMMYFUNCTION("""COMPUTED_VALUE"""),"pt")</f>
        <v>pt</v>
      </c>
      <c r="D187" s="145" t="str">
        <f>IFERROR(__xludf.DUMMYFUNCTION("""COMPUTED_VALUE"""),"Flutter e Dart - Curso Completo de Criação de Apps")</f>
        <v>Flutter e Dart - Curso Completo de Criação de Apps</v>
      </c>
      <c r="E187" t="str">
        <f>IFERROR(__xludf.DUMMYFUNCTION("""COMPUTED_VALUE"""),"Flutter and Dart - Apps Creation Complete Course")</f>
        <v>Flutter and Dart - Apps Creation Complete Course</v>
      </c>
      <c r="F187">
        <f>IFERROR(__xludf.DUMMYFUNCTION("""COMPUTED_VALUE"""),9230936.0)</f>
        <v>9230936</v>
      </c>
      <c r="G187" t="str">
        <f>IFERROR(__xludf.DUMMYFUNCTION("""COMPUTED_VALUE"""),"Paulo Dichone")</f>
        <v>Paulo Dichone</v>
      </c>
      <c r="H187" s="140" t="str">
        <f>IFERROR(__xludf.DUMMYFUNCTION("""COMPUTED_VALUE"""),"Low Rating")</f>
        <v>Low Rating</v>
      </c>
      <c r="I187" s="140" t="str">
        <f>IFERROR(__xludf.DUMMYFUNCTION("""COMPUTED_VALUE"""),"Development")</f>
        <v>Development</v>
      </c>
      <c r="J187" t="str">
        <f>IFERROR(__xludf.DUMMYFUNCTION("""COMPUTED_VALUE"""),"Mobile Development")</f>
        <v>Mobile Development</v>
      </c>
    </row>
    <row r="188">
      <c r="A188" s="143">
        <f>IFERROR(__xludf.DUMMYFUNCTION("""COMPUTED_VALUE"""),44620.0)</f>
        <v>44620</v>
      </c>
      <c r="B188">
        <f>IFERROR(__xludf.DUMMYFUNCTION("""COMPUTED_VALUE"""),1881192.0)</f>
        <v>1881192</v>
      </c>
      <c r="C188" t="str">
        <f>IFERROR(__xludf.DUMMYFUNCTION("""COMPUTED_VALUE"""),"de")</f>
        <v>de</v>
      </c>
      <c r="D188" s="145" t="str">
        <f>IFERROR(__xludf.DUMMYFUNCTION("""COMPUTED_VALUE"""),"Exzellenter Kundenservice - Begeistern Sie Ihre Kunden!")</f>
        <v>Exzellenter Kundenservice - Begeistern Sie Ihre Kunden!</v>
      </c>
      <c r="E188" t="str">
        <f>IFERROR(__xludf.DUMMYFUNCTION("""COMPUTED_VALUE"""),"Excellent customer service - Delight your customers!")</f>
        <v>Excellent customer service - Delight your customers!</v>
      </c>
      <c r="F188">
        <f>IFERROR(__xludf.DUMMYFUNCTION("""COMPUTED_VALUE"""),2.4560118E7)</f>
        <v>24560118</v>
      </c>
      <c r="G188" t="str">
        <f>IFERROR(__xludf.DUMMYFUNCTION("""COMPUTED_VALUE"""),"Prof. Dr. Mario Bosslau")</f>
        <v>Prof. Dr. Mario Bosslau</v>
      </c>
      <c r="H188" s="140" t="str">
        <f>IFERROR(__xludf.DUMMYFUNCTION("""COMPUTED_VALUE"""),"Low Rating")</f>
        <v>Low Rating</v>
      </c>
      <c r="I188" s="140" t="str">
        <f>IFERROR(__xludf.DUMMYFUNCTION("""COMPUTED_VALUE"""),"Sales")</f>
        <v>Sales</v>
      </c>
      <c r="J188" t="str">
        <f>IFERROR(__xludf.DUMMYFUNCTION("""COMPUTED_VALUE"""),"Customer Service")</f>
        <v>Customer Service</v>
      </c>
    </row>
    <row r="189">
      <c r="A189" s="143">
        <f>IFERROR(__xludf.DUMMYFUNCTION("""COMPUTED_VALUE"""),44620.0)</f>
        <v>44620</v>
      </c>
      <c r="B189">
        <f>IFERROR(__xludf.DUMMYFUNCTION("""COMPUTED_VALUE"""),1883834.0)</f>
        <v>1883834</v>
      </c>
      <c r="C189" t="str">
        <f>IFERROR(__xludf.DUMMYFUNCTION("""COMPUTED_VALUE"""),"pt")</f>
        <v>pt</v>
      </c>
      <c r="D189" s="145" t="str">
        <f>IFERROR(__xludf.DUMMYFUNCTION("""COMPUTED_VALUE"""),"Administração de redes - Linux 101 v2")</f>
        <v>Administração de redes - Linux 101 v2</v>
      </c>
      <c r="E189" t="str">
        <f>IFERROR(__xludf.DUMMYFUNCTION("""COMPUTED_VALUE"""),"Network Management - Linux 101 V2")</f>
        <v>Network Management - Linux 101 V2</v>
      </c>
      <c r="F189">
        <f>IFERROR(__xludf.DUMMYFUNCTION("""COMPUTED_VALUE"""),4.6167386E7)</f>
        <v>46167386</v>
      </c>
      <c r="G189" t="str">
        <f>IFERROR(__xludf.DUMMYFUNCTION("""COMPUTED_VALUE"""),"Thiago Nosch")</f>
        <v>Thiago Nosch</v>
      </c>
      <c r="H189" s="140" t="str">
        <f>IFERROR(__xludf.DUMMYFUNCTION("""COMPUTED_VALUE"""),"Low Rating")</f>
        <v>Low Rating</v>
      </c>
      <c r="I189" s="140" t="str">
        <f>IFERROR(__xludf.DUMMYFUNCTION("""COMPUTED_VALUE"""),"IT Operations")</f>
        <v>IT Operations</v>
      </c>
      <c r="J189" t="str">
        <f>IFERROR(__xludf.DUMMYFUNCTION("""COMPUTED_VALUE"""),"Operating Systems &amp; Servers")</f>
        <v>Operating Systems &amp; Servers</v>
      </c>
    </row>
    <row r="190">
      <c r="A190" s="143">
        <f>IFERROR(__xludf.DUMMYFUNCTION("""COMPUTED_VALUE"""),44620.0)</f>
        <v>44620</v>
      </c>
      <c r="B190">
        <f>IFERROR(__xludf.DUMMYFUNCTION("""COMPUTED_VALUE"""),2098030.0)</f>
        <v>2098030</v>
      </c>
      <c r="C190" t="str">
        <f>IFERROR(__xludf.DUMMYFUNCTION("""COMPUTED_VALUE"""),"es")</f>
        <v>es</v>
      </c>
      <c r="D190" s="145" t="str">
        <f>IFERROR(__xludf.DUMMYFUNCTION("""COMPUTED_VALUE"""),"Fundamentos &amp; Sistema Dashboard de Seguimiento de Proyectos")</f>
        <v>Fundamentos &amp; Sistema Dashboard de Seguimiento de Proyectos</v>
      </c>
      <c r="E190" t="str">
        <f>IFERROR(__xludf.DUMMYFUNCTION("""COMPUTED_VALUE"""),"Fundamentals &amp; Dashboard Project Tracking System")</f>
        <v>Fundamentals &amp; Dashboard Project Tracking System</v>
      </c>
      <c r="F190">
        <f>IFERROR(__xludf.DUMMYFUNCTION("""COMPUTED_VALUE"""),2.7695378E7)</f>
        <v>27695378</v>
      </c>
      <c r="G190" t="str">
        <f>IFERROR(__xludf.DUMMYFUNCTION("""COMPUTED_VALUE"""),"Armando Alfonzo Torres")</f>
        <v>Armando Alfonzo Torres</v>
      </c>
      <c r="H190" s="140" t="str">
        <f>IFERROR(__xludf.DUMMYFUNCTION("""COMPUTED_VALUE"""),"Low Rating")</f>
        <v>Low Rating</v>
      </c>
      <c r="I190" s="140" t="str">
        <f>IFERROR(__xludf.DUMMYFUNCTION("""COMPUTED_VALUE"""),"Project Management &amp; Operations")</f>
        <v>Project Management &amp; Operations</v>
      </c>
      <c r="J190" t="str">
        <f>IFERROR(__xludf.DUMMYFUNCTION("""COMPUTED_VALUE"""),"Project Management Tools")</f>
        <v>Project Management Tools</v>
      </c>
    </row>
    <row r="191">
      <c r="A191" s="143">
        <f>IFERROR(__xludf.DUMMYFUNCTION("""COMPUTED_VALUE"""),44620.0)</f>
        <v>44620</v>
      </c>
      <c r="B191">
        <f>IFERROR(__xludf.DUMMYFUNCTION("""COMPUTED_VALUE"""),2278705.0)</f>
        <v>2278705</v>
      </c>
      <c r="C191" t="str">
        <f>IFERROR(__xludf.DUMMYFUNCTION("""COMPUTED_VALUE"""),"pt")</f>
        <v>pt</v>
      </c>
      <c r="D191" s="145" t="str">
        <f>IFERROR(__xludf.DUMMYFUNCTION("""COMPUTED_VALUE"""),"Windows 2019 - Aprendizado Definitivo")</f>
        <v>Windows 2019 - Aprendizado Definitivo</v>
      </c>
      <c r="E191" t="str">
        <f>IFERROR(__xludf.DUMMYFUNCTION("""COMPUTED_VALUE"""),"Windows 2019 - Definitive Learning")</f>
        <v>Windows 2019 - Definitive Learning</v>
      </c>
      <c r="F191">
        <f>IFERROR(__xludf.DUMMYFUNCTION("""COMPUTED_VALUE"""),4.6274948E7)</f>
        <v>46274948</v>
      </c>
      <c r="G191" t="str">
        <f>IFERROR(__xludf.DUMMYFUNCTION("""COMPUTED_VALUE"""),"Eduardo Pasquotto Orsolini")</f>
        <v>Eduardo Pasquotto Orsolini</v>
      </c>
      <c r="H191" s="140" t="str">
        <f>IFERROR(__xludf.DUMMYFUNCTION("""COMPUTED_VALUE"""),"Low Rating")</f>
        <v>Low Rating</v>
      </c>
      <c r="I191" s="140" t="str">
        <f>IFERROR(__xludf.DUMMYFUNCTION("""COMPUTED_VALUE"""),"IT Operations")</f>
        <v>IT Operations</v>
      </c>
      <c r="J191" t="str">
        <f>IFERROR(__xludf.DUMMYFUNCTION("""COMPUTED_VALUE"""),"Operating Systems &amp; Servers")</f>
        <v>Operating Systems &amp; Servers</v>
      </c>
    </row>
    <row r="192">
      <c r="A192" s="143">
        <f>IFERROR(__xludf.DUMMYFUNCTION("""COMPUTED_VALUE"""),44620.0)</f>
        <v>44620</v>
      </c>
      <c r="B192">
        <f>IFERROR(__xludf.DUMMYFUNCTION("""COMPUTED_VALUE"""),2418790.0)</f>
        <v>2418790</v>
      </c>
      <c r="C192" t="str">
        <f>IFERROR(__xludf.DUMMYFUNCTION("""COMPUTED_VALUE"""),"fr")</f>
        <v>fr</v>
      </c>
      <c r="D192" t="str">
        <f>IFERROR(__xludf.DUMMYFUNCTION("""COMPUTED_VALUE"""),"Service clients, le guide complet pour des clients heureux")</f>
        <v>Service clients, le guide complet pour des clients heureux</v>
      </c>
      <c r="E192" t="str">
        <f>IFERROR(__xludf.DUMMYFUNCTION("""COMPUTED_VALUE"""),"Customer service, the complete guide for happy customers")</f>
        <v>Customer service, the complete guide for happy customers</v>
      </c>
      <c r="F192">
        <f>IFERROR(__xludf.DUMMYFUNCTION("""COMPUTED_VALUE"""),2.0280376E7)</f>
        <v>20280376</v>
      </c>
      <c r="G192" t="str">
        <f>IFERROR(__xludf.DUMMYFUNCTION("""COMPUTED_VALUE"""),"Marilène St-Cyr")</f>
        <v>Marilène St-Cyr</v>
      </c>
      <c r="H192" s="140" t="str">
        <f>IFERROR(__xludf.DUMMYFUNCTION("""COMPUTED_VALUE"""),"Low Rating")</f>
        <v>Low Rating</v>
      </c>
      <c r="I192" s="140" t="str">
        <f>IFERROR(__xludf.DUMMYFUNCTION("""COMPUTED_VALUE"""),"Sales")</f>
        <v>Sales</v>
      </c>
      <c r="J192" t="str">
        <f>IFERROR(__xludf.DUMMYFUNCTION("""COMPUTED_VALUE"""),"Customer Service")</f>
        <v>Customer Service</v>
      </c>
    </row>
    <row r="193">
      <c r="A193" s="143">
        <f>IFERROR(__xludf.DUMMYFUNCTION("""COMPUTED_VALUE"""),44620.0)</f>
        <v>44620</v>
      </c>
      <c r="B193">
        <f>IFERROR(__xludf.DUMMYFUNCTION("""COMPUTED_VALUE"""),2504238.0)</f>
        <v>2504238</v>
      </c>
      <c r="C193" t="str">
        <f>IFERROR(__xludf.DUMMYFUNCTION("""COMPUTED_VALUE"""),"es")</f>
        <v>es</v>
      </c>
      <c r="D193" t="str">
        <f>IFERROR(__xludf.DUMMYFUNCTION("""COMPUTED_VALUE"""),"[A-Z] Google Data Studio crea reportes, informes y dashboard")</f>
        <v>[A-Z] Google Data Studio crea reportes, informes y dashboard</v>
      </c>
      <c r="E193" t="str">
        <f>IFERROR(__xludf.DUMMYFUNCTION("""COMPUTED_VALUE"""),"[A-Z] Google Data Studio creates reports, reports and dashboard")</f>
        <v>[A-Z] Google Data Studio creates reports, reports and dashboard</v>
      </c>
      <c r="F193">
        <f>IFERROR(__xludf.DUMMYFUNCTION("""COMPUTED_VALUE"""),3.8475646E7)</f>
        <v>38475646</v>
      </c>
      <c r="G193" t="str">
        <f>IFERROR(__xludf.DUMMYFUNCTION("""COMPUTED_VALUE"""),"Marco Russo")</f>
        <v>Marco Russo</v>
      </c>
      <c r="H193" s="140" t="str">
        <f>IFERROR(__xludf.DUMMYFUNCTION("""COMPUTED_VALUE"""),"Low Rating")</f>
        <v>Low Rating</v>
      </c>
      <c r="I193" s="140" t="str">
        <f>IFERROR(__xludf.DUMMYFUNCTION("""COMPUTED_VALUE"""),"Data Science")</f>
        <v>Data Science</v>
      </c>
      <c r="J193" t="str">
        <f>IFERROR(__xludf.DUMMYFUNCTION("""COMPUTED_VALUE"""),"Business Intelligence")</f>
        <v>Business Intelligence</v>
      </c>
    </row>
    <row r="194">
      <c r="A194" s="143">
        <f>IFERROR(__xludf.DUMMYFUNCTION("""COMPUTED_VALUE"""),44620.0)</f>
        <v>44620</v>
      </c>
      <c r="B194">
        <f>IFERROR(__xludf.DUMMYFUNCTION("""COMPUTED_VALUE"""),2512366.0)</f>
        <v>2512366</v>
      </c>
      <c r="C194" t="str">
        <f>IFERROR(__xludf.DUMMYFUNCTION("""COMPUTED_VALUE"""),"en")</f>
        <v>en</v>
      </c>
      <c r="D194" s="145" t="str">
        <f>IFERROR(__xludf.DUMMYFUNCTION("""COMPUTED_VALUE"""),"Getting Started with Embedded AI | Edge AI")</f>
        <v>Getting Started with Embedded AI | Edge AI</v>
      </c>
      <c r="E194" t="str">
        <f>IFERROR(__xludf.DUMMYFUNCTION("""COMPUTED_VALUE"""),"Getting Started with Embedded AI | Edge AI")</f>
        <v>Getting Started with Embedded AI | Edge AI</v>
      </c>
      <c r="F194">
        <f>IFERROR(__xludf.DUMMYFUNCTION("""COMPUTED_VALUE"""),7.9689936E7)</f>
        <v>79689936</v>
      </c>
      <c r="G194" t="str">
        <f>IFERROR(__xludf.DUMMYFUNCTION("""COMPUTED_VALUE"""),"Embedded Insider")</f>
        <v>Embedded Insider</v>
      </c>
      <c r="H194" s="140" t="str">
        <f>IFERROR(__xludf.DUMMYFUNCTION("""COMPUTED_VALUE"""),"Low Rating")</f>
        <v>Low Rating</v>
      </c>
      <c r="I194" s="140" t="str">
        <f>IFERROR(__xludf.DUMMYFUNCTION("""COMPUTED_VALUE"""),"Data Science")</f>
        <v>Data Science</v>
      </c>
      <c r="J194" t="str">
        <f>IFERROR(__xludf.DUMMYFUNCTION("""COMPUTED_VALUE"""),"Machine Learning")</f>
        <v>Machine Learning</v>
      </c>
    </row>
    <row r="195">
      <c r="A195" s="143">
        <f>IFERROR(__xludf.DUMMYFUNCTION("""COMPUTED_VALUE"""),44620.0)</f>
        <v>44620</v>
      </c>
      <c r="B195">
        <f>IFERROR(__xludf.DUMMYFUNCTION("""COMPUTED_VALUE"""),739854.0)</f>
        <v>739854</v>
      </c>
      <c r="C195" t="str">
        <f>IFERROR(__xludf.DUMMYFUNCTION("""COMPUTED_VALUE"""),"en")</f>
        <v>en</v>
      </c>
      <c r="D195" t="str">
        <f>IFERROR(__xludf.DUMMYFUNCTION("""COMPUTED_VALUE"""),"Cisco OSPF Practical Labs 2020- Basic to Advanced")</f>
        <v>Cisco OSPF Practical Labs 2020- Basic to Advanced</v>
      </c>
      <c r="E195" t="str">
        <f>IFERROR(__xludf.DUMMYFUNCTION("""COMPUTED_VALUE"""),"Cisco OSPF Practical Labs 2020- Basic to Advanced")</f>
        <v>Cisco OSPF Practical Labs 2020- Basic to Advanced</v>
      </c>
      <c r="F195">
        <f>IFERROR(__xludf.DUMMYFUNCTION("""COMPUTED_VALUE"""),1.5092458E7)</f>
        <v>15092458</v>
      </c>
      <c r="G195" t="str">
        <f>IFERROR(__xludf.DUMMYFUNCTION("""COMPUTED_VALUE"""),"Ashish • 20,000+ Students Worldwide")</f>
        <v>Ashish • 20,000+ Students Worldwide</v>
      </c>
      <c r="H195" s="140" t="str">
        <f>IFERROR(__xludf.DUMMYFUNCTION("""COMPUTED_VALUE"""),"Low Rating")</f>
        <v>Low Rating</v>
      </c>
      <c r="I195" s="140" t="str">
        <f>IFERROR(__xludf.DUMMYFUNCTION("""COMPUTED_VALUE"""),"IT Operations")</f>
        <v>IT Operations</v>
      </c>
      <c r="J195" t="str">
        <f>IFERROR(__xludf.DUMMYFUNCTION("""COMPUTED_VALUE"""),"Network &amp; Security")</f>
        <v>Network &amp; Security</v>
      </c>
    </row>
    <row r="196">
      <c r="A196" s="143">
        <f>IFERROR(__xludf.DUMMYFUNCTION("""COMPUTED_VALUE"""),44620.0)</f>
        <v>44620</v>
      </c>
      <c r="B196">
        <f>IFERROR(__xludf.DUMMYFUNCTION("""COMPUTED_VALUE"""),2268814.0)</f>
        <v>2268814</v>
      </c>
      <c r="C196" t="str">
        <f>IFERROR(__xludf.DUMMYFUNCTION("""COMPUTED_VALUE"""),"en")</f>
        <v>en</v>
      </c>
      <c r="D196" s="145" t="str">
        <f>IFERROR(__xludf.DUMMYFUNCTION("""COMPUTED_VALUE"""),"Amazon Cognito: The Complete Introduction (2019)")</f>
        <v>Amazon Cognito: The Complete Introduction (2019)</v>
      </c>
      <c r="E196" t="str">
        <f>IFERROR(__xludf.DUMMYFUNCTION("""COMPUTED_VALUE"""),"Amazon Cognito: The Complete Introduction (2019)")</f>
        <v>Amazon Cognito: The Complete Introduction (2019)</v>
      </c>
      <c r="F196">
        <f>IFERROR(__xludf.DUMMYFUNCTION("""COMPUTED_VALUE"""),6.7087904E7)</f>
        <v>67087904</v>
      </c>
      <c r="G196" t="str">
        <f>IFERROR(__xludf.DUMMYFUNCTION("""COMPUTED_VALUE"""),"Cloud Shikshak")</f>
        <v>Cloud Shikshak</v>
      </c>
      <c r="H196" s="140" t="str">
        <f>IFERROR(__xludf.DUMMYFUNCTION("""COMPUTED_VALUE"""),"Low Rating")</f>
        <v>Low Rating</v>
      </c>
      <c r="I196" s="140" t="str">
        <f>IFERROR(__xludf.DUMMYFUNCTION("""COMPUTED_VALUE"""),"Cloud Computing")</f>
        <v>Cloud Computing</v>
      </c>
      <c r="J196" t="str">
        <f>IFERROR(__xludf.DUMMYFUNCTION("""COMPUTED_VALUE"""),"Cloud Development")</f>
        <v>Cloud Development</v>
      </c>
    </row>
    <row r="197">
      <c r="A197" s="143">
        <f>IFERROR(__xludf.DUMMYFUNCTION("""COMPUTED_VALUE"""),44620.0)</f>
        <v>44620</v>
      </c>
      <c r="B197">
        <f>IFERROR(__xludf.DUMMYFUNCTION("""COMPUTED_VALUE"""),3454890.0)</f>
        <v>3454890</v>
      </c>
      <c r="C197" t="str">
        <f>IFERROR(__xludf.DUMMYFUNCTION("""COMPUTED_VALUE"""),"en")</f>
        <v>en</v>
      </c>
      <c r="D197" s="145" t="str">
        <f>IFERROR(__xludf.DUMMYFUNCTION("""COMPUTED_VALUE"""),"[Official] Rasa Certification Workshop")</f>
        <v>[Official] Rasa Certification Workshop</v>
      </c>
      <c r="E197" t="str">
        <f>IFERROR(__xludf.DUMMYFUNCTION("""COMPUTED_VALUE"""),"[Official] Rasa Certification Workshop")</f>
        <v>[Official] Rasa Certification Workshop</v>
      </c>
      <c r="F197">
        <f>IFERROR(__xludf.DUMMYFUNCTION("""COMPUTED_VALUE"""),1.28240906E8)</f>
        <v>128240906</v>
      </c>
      <c r="G197" t="str">
        <f>IFERROR(__xludf.DUMMYFUNCTION("""COMPUTED_VALUE"""),"Rasa Technologies")</f>
        <v>Rasa Technologies</v>
      </c>
      <c r="H197" s="140" t="str">
        <f>IFERROR(__xludf.DUMMYFUNCTION("""COMPUTED_VALUE"""),"Low Rating")</f>
        <v>Low Rating</v>
      </c>
      <c r="I197" s="140" t="str">
        <f>IFERROR(__xludf.DUMMYFUNCTION("""COMPUTED_VALUE"""),"IT Operations")</f>
        <v>IT Operations</v>
      </c>
      <c r="J197" t="str">
        <f>IFERROR(__xludf.DUMMYFUNCTION("""COMPUTED_VALUE"""),"IT Certifications")</f>
        <v>IT Certifications</v>
      </c>
    </row>
    <row r="198">
      <c r="A198" s="143">
        <f>IFERROR(__xludf.DUMMYFUNCTION("""COMPUTED_VALUE"""),44620.0)</f>
        <v>44620</v>
      </c>
      <c r="B198">
        <f>IFERROR(__xludf.DUMMYFUNCTION("""COMPUTED_VALUE"""),3524652.0)</f>
        <v>3524652</v>
      </c>
      <c r="C198" t="str">
        <f>IFERROR(__xludf.DUMMYFUNCTION("""COMPUTED_VALUE"""),"en")</f>
        <v>en</v>
      </c>
      <c r="D198" s="145" t="str">
        <f>IFERROR(__xludf.DUMMYFUNCTION("""COMPUTED_VALUE"""),"Rasa Advanced Deployment Workshop	")</f>
        <v>Rasa Advanced Deployment Workshop	</v>
      </c>
      <c r="E198" t="str">
        <f>IFERROR(__xludf.DUMMYFUNCTION("""COMPUTED_VALUE"""),"Rasa Advanced Deployment Workshop	")</f>
        <v>Rasa Advanced Deployment Workshop	</v>
      </c>
      <c r="F198">
        <f>IFERROR(__xludf.DUMMYFUNCTION("""COMPUTED_VALUE"""),1.28240906E8)</f>
        <v>128240906</v>
      </c>
      <c r="G198" t="str">
        <f>IFERROR(__xludf.DUMMYFUNCTION("""COMPUTED_VALUE"""),"Rasa Technologies	")</f>
        <v>Rasa Technologies	</v>
      </c>
      <c r="H198" s="140" t="str">
        <f>IFERROR(__xludf.DUMMYFUNCTION("""COMPUTED_VALUE"""),"Low Rating")</f>
        <v>Low Rating</v>
      </c>
      <c r="I198" s="140" t="str">
        <f>IFERROR(__xludf.DUMMYFUNCTION("""COMPUTED_VALUE"""),"Development")</f>
        <v>Development</v>
      </c>
      <c r="J198" t="str">
        <f>IFERROR(__xludf.DUMMYFUNCTION("""COMPUTED_VALUE"""),"Development Tools")</f>
        <v>Development Tools</v>
      </c>
    </row>
    <row r="199">
      <c r="A199" s="143">
        <f>IFERROR(__xludf.DUMMYFUNCTION("""COMPUTED_VALUE"""),44620.0)</f>
        <v>44620</v>
      </c>
      <c r="B199">
        <f>IFERROR(__xludf.DUMMYFUNCTION("""COMPUTED_VALUE"""),300756.0)</f>
        <v>300756</v>
      </c>
      <c r="C199" t="str">
        <f>IFERROR(__xludf.DUMMYFUNCTION("""COMPUTED_VALUE"""),"en")</f>
        <v>en</v>
      </c>
      <c r="D199" t="str">
        <f>IFERROR(__xludf.DUMMYFUNCTION("""COMPUTED_VALUE"""),"SAP Vendor Invoice Management(VIM) by OpenText")</f>
        <v>SAP Vendor Invoice Management(VIM) by OpenText</v>
      </c>
      <c r="E199" t="str">
        <f>IFERROR(__xludf.DUMMYFUNCTION("""COMPUTED_VALUE"""),"SAP Vendor Invoice Management(VIM) by OpenText")</f>
        <v>SAP Vendor Invoice Management(VIM) by OpenText</v>
      </c>
      <c r="F199">
        <f>IFERROR(__xludf.DUMMYFUNCTION("""COMPUTED_VALUE"""),3458680.0)</f>
        <v>3458680</v>
      </c>
      <c r="G199" t="str">
        <f>IFERROR(__xludf.DUMMYFUNCTION("""COMPUTED_VALUE"""),"Iniyan R")</f>
        <v>Iniyan R</v>
      </c>
      <c r="H199" s="140" t="str">
        <f>IFERROR(__xludf.DUMMYFUNCTION("""COMPUTED_VALUE"""),"Low Rating")</f>
        <v>Low Rating</v>
      </c>
      <c r="I199" s="140" t="str">
        <f>IFERROR(__xludf.DUMMYFUNCTION("""COMPUTED_VALUE"""),"Finance &amp; Accounting")</f>
        <v>Finance &amp; Accounting</v>
      </c>
      <c r="J199" t="str">
        <f>IFERROR(__xludf.DUMMYFUNCTION("""COMPUTED_VALUE"""),"Accounting Software")</f>
        <v>Accounting Software</v>
      </c>
    </row>
    <row r="200">
      <c r="A200" s="143">
        <f>IFERROR(__xludf.DUMMYFUNCTION("""COMPUTED_VALUE"""),44620.0)</f>
        <v>44620</v>
      </c>
      <c r="B200">
        <f>IFERROR(__xludf.DUMMYFUNCTION("""COMPUTED_VALUE"""),1719852.0)</f>
        <v>1719852</v>
      </c>
      <c r="C200" t="str">
        <f>IFERROR(__xludf.DUMMYFUNCTION("""COMPUTED_VALUE"""),"en")</f>
        <v>en</v>
      </c>
      <c r="D200" t="str">
        <f>IFERROR(__xludf.DUMMYFUNCTION("""COMPUTED_VALUE"""),"Neuroplasticity: Rewire Your Brain With Dr. Cliff Saunders")</f>
        <v>Neuroplasticity: Rewire Your Brain With Dr. Cliff Saunders</v>
      </c>
      <c r="E200" t="str">
        <f>IFERROR(__xludf.DUMMYFUNCTION("""COMPUTED_VALUE"""),"Neuroplasticity: Rewire Your Brain With Dr. Cliff Saunders")</f>
        <v>Neuroplasticity: Rewire Your Brain With Dr. Cliff Saunders</v>
      </c>
      <c r="F200">
        <f>IFERROR(__xludf.DUMMYFUNCTION("""COMPUTED_VALUE"""),1.8711242E7)</f>
        <v>18711242</v>
      </c>
      <c r="G200" t="str">
        <f>IFERROR(__xludf.DUMMYFUNCTION("""COMPUTED_VALUE"""),"Life Progression Project")</f>
        <v>Life Progression Project</v>
      </c>
      <c r="H200" s="140" t="str">
        <f>IFERROR(__xludf.DUMMYFUNCTION("""COMPUTED_VALUE"""),"Low Rating")</f>
        <v>Low Rating</v>
      </c>
      <c r="I200" s="140" t="str">
        <f>IFERROR(__xludf.DUMMYFUNCTION("""COMPUTED_VALUE"""),"Personal Development")</f>
        <v>Personal Development</v>
      </c>
      <c r="J200" t="str">
        <f>IFERROR(__xludf.DUMMYFUNCTION("""COMPUTED_VALUE"""),"Personal Growth")</f>
        <v>Personal Growth</v>
      </c>
    </row>
    <row r="201">
      <c r="A201" s="143">
        <f>IFERROR(__xludf.DUMMYFUNCTION("""COMPUTED_VALUE"""),44620.0)</f>
        <v>44620</v>
      </c>
      <c r="B201">
        <f>IFERROR(__xludf.DUMMYFUNCTION("""COMPUTED_VALUE"""),990850.0)</f>
        <v>990850</v>
      </c>
      <c r="C201" t="str">
        <f>IFERROR(__xludf.DUMMYFUNCTION("""COMPUTED_VALUE"""),"en")</f>
        <v>en</v>
      </c>
      <c r="D201" t="str">
        <f>IFERROR(__xludf.DUMMYFUNCTION("""COMPUTED_VALUE"""),"Chef Fundamentals: A Recipe for Automating Infrastructure")</f>
        <v>Chef Fundamentals: A Recipe for Automating Infrastructure</v>
      </c>
      <c r="E201" t="str">
        <f>IFERROR(__xludf.DUMMYFUNCTION("""COMPUTED_VALUE"""),"Chef Fundamentals: A Recipe for Automating Infrastructure")</f>
        <v>Chef Fundamentals: A Recipe for Automating Infrastructure</v>
      </c>
      <c r="G201" t="str">
        <f>IFERROR(__xludf.DUMMYFUNCTION("""COMPUTED_VALUE"""),"Robin Beck")</f>
        <v>Robin Beck</v>
      </c>
      <c r="H201" s="140" t="str">
        <f>IFERROR(__xludf.DUMMYFUNCTION("""COMPUTED_VALUE"""),"Low Rating")</f>
        <v>Low Rating</v>
      </c>
      <c r="I201" t="str">
        <f>IFERROR(__xludf.DUMMYFUNCTION("""COMPUTED_VALUE"""),"Development")</f>
        <v>Development</v>
      </c>
      <c r="J201" t="str">
        <f>IFERROR(__xludf.DUMMYFUNCTION("""COMPUTED_VALUE"""),"Web Development")</f>
        <v>Web Development</v>
      </c>
    </row>
    <row r="202">
      <c r="A202" s="143">
        <f>IFERROR(__xludf.DUMMYFUNCTION("""COMPUTED_VALUE"""),44620.0)</f>
        <v>44620</v>
      </c>
      <c r="B202">
        <f>IFERROR(__xludf.DUMMYFUNCTION("""COMPUTED_VALUE"""),2646020.0)</f>
        <v>2646020</v>
      </c>
      <c r="C202" t="str">
        <f>IFERROR(__xludf.DUMMYFUNCTION("""COMPUTED_VALUE"""),"ru")</f>
        <v>ru</v>
      </c>
      <c r="D202" t="str">
        <f>IFERROR(__xludf.DUMMYFUNCTION("""COMPUTED_VALUE"""),"Android Architecture Components - основа надёжных приложений")</f>
        <v>Android Architecture Components - основа надёжных приложений</v>
      </c>
      <c r="E202" t="str">
        <f>IFERROR(__xludf.DUMMYFUNCTION("""COMPUTED_VALUE"""),"Android Architecture Components - Basis of Reliable Applications")</f>
        <v>Android Architecture Components - Basis of Reliable Applications</v>
      </c>
      <c r="F202">
        <f>IFERROR(__xludf.DUMMYFUNCTION("""COMPUTED_VALUE"""),2.7030988E7)</f>
        <v>27030988</v>
      </c>
      <c r="G202" t="str">
        <f>IFERROR(__xludf.DUMMYFUNCTION("""COMPUTED_VALUE"""),"YouRa Allakhverdov")</f>
        <v>YouRa Allakhverdov</v>
      </c>
      <c r="H202" s="140" t="str">
        <f>IFERROR(__xludf.DUMMYFUNCTION("""COMPUTED_VALUE"""),"Low Rating")</f>
        <v>Low Rating</v>
      </c>
      <c r="I202" t="str">
        <f>IFERROR(__xludf.DUMMYFUNCTION("""COMPUTED_VALUE"""),"Development")</f>
        <v>Development</v>
      </c>
      <c r="J202" t="str">
        <f>IFERROR(__xludf.DUMMYFUNCTION("""COMPUTED_VALUE"""),"Mobile Development")</f>
        <v>Mobile Development</v>
      </c>
    </row>
    <row r="203">
      <c r="A203" s="143">
        <f>IFERROR(__xludf.DUMMYFUNCTION("""COMPUTED_VALUE"""),44620.0)</f>
        <v>44620</v>
      </c>
      <c r="B203">
        <f>IFERROR(__xludf.DUMMYFUNCTION("""COMPUTED_VALUE"""),2577178.0)</f>
        <v>2577178</v>
      </c>
      <c r="C203" t="str">
        <f>IFERROR(__xludf.DUMMYFUNCTION("""COMPUTED_VALUE"""),"en")</f>
        <v>en</v>
      </c>
      <c r="D203" t="str">
        <f>IFERROR(__xludf.DUMMYFUNCTION("""COMPUTED_VALUE"""),"Vision Creation Practitioner Certificate [Accredited]")</f>
        <v>Vision Creation Practitioner Certificate [Accredited]</v>
      </c>
      <c r="E203" t="str">
        <f>IFERROR(__xludf.DUMMYFUNCTION("""COMPUTED_VALUE"""),"Vision Creation Practitioner Certificate [Accredited]")</f>
        <v>Vision Creation Practitioner Certificate [Accredited]</v>
      </c>
      <c r="F203">
        <f>IFERROR(__xludf.DUMMYFUNCTION("""COMPUTED_VALUE"""),2108870.0)</f>
        <v>2108870</v>
      </c>
      <c r="G203" t="str">
        <f>IFERROR(__xludf.DUMMYFUNCTION("""COMPUTED_VALUE"""),"Braco Pobric")</f>
        <v>Braco Pobric</v>
      </c>
      <c r="H203" s="140" t="str">
        <f>IFERROR(__xludf.DUMMYFUNCTION("""COMPUTED_VALUE"""),"Low Rating")</f>
        <v>Low Rating</v>
      </c>
      <c r="I203" s="140" t="str">
        <f>IFERROR(__xludf.DUMMYFUNCTION("""COMPUTED_VALUE"""),"Leadership &amp; Management")</f>
        <v>Leadership &amp; Management</v>
      </c>
      <c r="J203" t="str">
        <f>IFERROR(__xludf.DUMMYFUNCTION("""COMPUTED_VALUE"""),"Strategy")</f>
        <v>Strategy</v>
      </c>
    </row>
    <row r="204">
      <c r="A204" s="143">
        <f>IFERROR(__xludf.DUMMYFUNCTION("""COMPUTED_VALUE"""),44620.0)</f>
        <v>44620</v>
      </c>
      <c r="B204">
        <f>IFERROR(__xludf.DUMMYFUNCTION("""COMPUTED_VALUE"""),1315130.0)</f>
        <v>1315130</v>
      </c>
      <c r="C204" t="str">
        <f>IFERROR(__xludf.DUMMYFUNCTION("""COMPUTED_VALUE"""),"en")</f>
        <v>en</v>
      </c>
      <c r="D204" t="str">
        <f>IFERROR(__xludf.DUMMYFUNCTION("""COMPUTED_VALUE"""),"Certified Resilience Practitioner: Psychology: [Accredited]")</f>
        <v>Certified Resilience Practitioner: Psychology: [Accredited]</v>
      </c>
      <c r="E204" t="str">
        <f>IFERROR(__xludf.DUMMYFUNCTION("""COMPUTED_VALUE"""),"Certified Resilience Practitioner: Psychology: [Accredited]")</f>
        <v>Certified Resilience Practitioner: Psychology: [Accredited]</v>
      </c>
      <c r="F204">
        <f>IFERROR(__xludf.DUMMYFUNCTION("""COMPUTED_VALUE"""),2108870.0)</f>
        <v>2108870</v>
      </c>
      <c r="G204" t="str">
        <f>IFERROR(__xludf.DUMMYFUNCTION("""COMPUTED_VALUE"""),"Braco Pobric")</f>
        <v>Braco Pobric</v>
      </c>
      <c r="H204" s="140" t="str">
        <f>IFERROR(__xludf.DUMMYFUNCTION("""COMPUTED_VALUE"""),"Low Rating")</f>
        <v>Low Rating</v>
      </c>
      <c r="I204" s="140" t="str">
        <f>IFERROR(__xludf.DUMMYFUNCTION("""COMPUTED_VALUE"""),"Personal Development")</f>
        <v>Personal Development</v>
      </c>
      <c r="J204" t="str">
        <f>IFERROR(__xludf.DUMMYFUNCTION("""COMPUTED_VALUE"""),"Stress Management")</f>
        <v>Stress Management</v>
      </c>
    </row>
    <row r="205">
      <c r="A205" s="143">
        <f>IFERROR(__xludf.DUMMYFUNCTION("""COMPUTED_VALUE"""),44620.0)</f>
        <v>44620</v>
      </c>
      <c r="B205">
        <f>IFERROR(__xludf.DUMMYFUNCTION("""COMPUTED_VALUE"""),1567458.0)</f>
        <v>1567458</v>
      </c>
      <c r="C205" t="str">
        <f>IFERROR(__xludf.DUMMYFUNCTION("""COMPUTED_VALUE"""),"en")</f>
        <v>en</v>
      </c>
      <c r="D205" t="str">
        <f>IFERROR(__xludf.DUMMYFUNCTION("""COMPUTED_VALUE"""),"TOTAL: CompTIA Security+ Cert. (SY0-501) Practice Tests.")</f>
        <v>TOTAL: CompTIA Security+ Cert. (SY0-501) Practice Tests.</v>
      </c>
      <c r="E205" t="str">
        <f>IFERROR(__xludf.DUMMYFUNCTION("""COMPUTED_VALUE"""),"TOTAL: CompTIA Security+ Cert. (SY0-501) Practice Tests.")</f>
        <v>TOTAL: CompTIA Security+ Cert. (SY0-501) Practice Tests.</v>
      </c>
      <c r="F205">
        <f>IFERROR(__xludf.DUMMYFUNCTION("""COMPUTED_VALUE"""),1.6569604E7)</f>
        <v>16569604</v>
      </c>
      <c r="G205" t="str">
        <f>IFERROR(__xludf.DUMMYFUNCTION("""COMPUTED_VALUE"""),"Total Seminars • 900,000+ Enrollments")</f>
        <v>Total Seminars • 900,000+ Enrollments</v>
      </c>
      <c r="H205" s="140" t="str">
        <f>IFERROR(__xludf.DUMMYFUNCTION("""COMPUTED_VALUE"""),"Low Rating")</f>
        <v>Low Rating</v>
      </c>
      <c r="I205" s="140" t="str">
        <f>IFERROR(__xludf.DUMMYFUNCTION("""COMPUTED_VALUE"""),"IT Operations")</f>
        <v>IT Operations</v>
      </c>
      <c r="J205" t="str">
        <f>IFERROR(__xludf.DUMMYFUNCTION("""COMPUTED_VALUE"""),"IT Certifications")</f>
        <v>IT Certifications</v>
      </c>
    </row>
    <row r="206">
      <c r="A206" s="143">
        <f>IFERROR(__xludf.DUMMYFUNCTION("""COMPUTED_VALUE"""),44628.0)</f>
        <v>44628</v>
      </c>
      <c r="B206">
        <f>IFERROR(__xludf.DUMMYFUNCTION("""COMPUTED_VALUE"""),4296928.0)</f>
        <v>4296928</v>
      </c>
      <c r="C206" t="str">
        <f>IFERROR(__xludf.DUMMYFUNCTION("""COMPUTED_VALUE"""),"it")</f>
        <v>it</v>
      </c>
      <c r="D206" t="str">
        <f>IFERROR(__xludf.DUMMYFUNCTION("""COMPUTED_VALUE"""),"Introduzione alla Finanza")</f>
        <v>Introduzione alla Finanza</v>
      </c>
      <c r="E206" t="str">
        <f>IFERROR(__xludf.DUMMYFUNCTION("""COMPUTED_VALUE"""),"Introduction to finance")</f>
        <v>Introduction to finance</v>
      </c>
      <c r="F206">
        <f>IFERROR(__xludf.DUMMYFUNCTION("""COMPUTED_VALUE"""),6.2023738E7)</f>
        <v>62023738</v>
      </c>
      <c r="G206" t="str">
        <f>IFERROR(__xludf.DUMMYFUNCTION("""COMPUTED_VALUE"""),"Gianluca Pontoni")</f>
        <v>Gianluca Pontoni</v>
      </c>
      <c r="H206" t="str">
        <f>IFERROR(__xludf.DUMMYFUNCTION("""COMPUTED_VALUE"""),"Instructor Request- Outdated")</f>
        <v>Instructor Request- Outdated</v>
      </c>
      <c r="I206" t="str">
        <f>IFERROR(__xludf.DUMMYFUNCTION("""COMPUTED_VALUE"""),"Finance &amp; Accounting")</f>
        <v>Finance &amp; Accounting</v>
      </c>
      <c r="J206" t="str">
        <f>IFERROR(__xludf.DUMMYFUNCTION("""COMPUTED_VALUE"""),"Finance Fundamentals")</f>
        <v>Finance Fundamentals</v>
      </c>
    </row>
    <row r="207">
      <c r="A207" s="143">
        <f>IFERROR(__xludf.DUMMYFUNCTION("""COMPUTED_VALUE"""),44628.0)</f>
        <v>44628</v>
      </c>
      <c r="B207">
        <f>IFERROR(__xludf.DUMMYFUNCTION("""COMPUTED_VALUE"""),4069482.0)</f>
        <v>4069482</v>
      </c>
      <c r="C207" t="str">
        <f>IFERROR(__xludf.DUMMYFUNCTION("""COMPUTED_VALUE"""),"it")</f>
        <v>it</v>
      </c>
      <c r="D207" t="str">
        <f>IFERROR(__xludf.DUMMYFUNCTION("""COMPUTED_VALUE"""),"valutazione Azionaria")</f>
        <v>valutazione Azionaria</v>
      </c>
      <c r="E207" t="str">
        <f>IFERROR(__xludf.DUMMYFUNCTION("""COMPUTED_VALUE"""),"equity assessment")</f>
        <v>equity assessment</v>
      </c>
      <c r="F207">
        <f>IFERROR(__xludf.DUMMYFUNCTION("""COMPUTED_VALUE"""),6.2023738E7)</f>
        <v>62023738</v>
      </c>
      <c r="G207" t="str">
        <f>IFERROR(__xludf.DUMMYFUNCTION("""COMPUTED_VALUE"""),"Gianluca Pontoni")</f>
        <v>Gianluca Pontoni</v>
      </c>
      <c r="H207" t="str">
        <f>IFERROR(__xludf.DUMMYFUNCTION("""COMPUTED_VALUE"""),"Instructor Request- Outdated")</f>
        <v>Instructor Request- Outdated</v>
      </c>
      <c r="I207" t="str">
        <f>IFERROR(__xludf.DUMMYFUNCTION("""COMPUTED_VALUE"""),"Finance &amp; Accounting")</f>
        <v>Finance &amp; Accounting</v>
      </c>
      <c r="J207" t="str">
        <f>IFERROR(__xludf.DUMMYFUNCTION("""COMPUTED_VALUE"""),"Finance Fundamentals")</f>
        <v>Finance Fundamentals</v>
      </c>
    </row>
    <row r="208">
      <c r="A208" s="143">
        <f>IFERROR(__xludf.DUMMYFUNCTION("""COMPUTED_VALUE"""),44628.0)</f>
        <v>44628</v>
      </c>
      <c r="B208">
        <f>IFERROR(__xludf.DUMMYFUNCTION("""COMPUTED_VALUE"""),3530152.0)</f>
        <v>3530152</v>
      </c>
      <c r="C208" t="str">
        <f>IFERROR(__xludf.DUMMYFUNCTION("""COMPUTED_VALUE"""),"it")</f>
        <v>it</v>
      </c>
      <c r="D208" t="str">
        <f>IFERROR(__xludf.DUMMYFUNCTION("""COMPUTED_VALUE"""),"Excel per la Finanza")</f>
        <v>Excel per la Finanza</v>
      </c>
      <c r="E208" t="str">
        <f>IFERROR(__xludf.DUMMYFUNCTION("""COMPUTED_VALUE"""),"Excel for finance")</f>
        <v>Excel for finance</v>
      </c>
      <c r="F208">
        <f>IFERROR(__xludf.DUMMYFUNCTION("""COMPUTED_VALUE"""),6.2023738E7)</f>
        <v>62023738</v>
      </c>
      <c r="G208" t="str">
        <f>IFERROR(__xludf.DUMMYFUNCTION("""COMPUTED_VALUE"""),"Gianluca Pontoni")</f>
        <v>Gianluca Pontoni</v>
      </c>
      <c r="H208" t="str">
        <f>IFERROR(__xludf.DUMMYFUNCTION("""COMPUTED_VALUE"""),"Instructor Request- Outdated")</f>
        <v>Instructor Request- Outdated</v>
      </c>
      <c r="I208" t="str">
        <f>IFERROR(__xludf.DUMMYFUNCTION("""COMPUTED_VALUE"""),"Finance &amp; Accounting")</f>
        <v>Finance &amp; Accounting</v>
      </c>
      <c r="J208" t="str">
        <f>IFERROR(__xludf.DUMMYFUNCTION("""COMPUTED_VALUE"""),"Finance Fundamentals")</f>
        <v>Finance Fundamentals</v>
      </c>
    </row>
    <row r="209">
      <c r="A209" s="143">
        <f>IFERROR(__xludf.DUMMYFUNCTION("""COMPUTED_VALUE"""),44629.0)</f>
        <v>44629</v>
      </c>
      <c r="B209">
        <f>IFERROR(__xludf.DUMMYFUNCTION("""COMPUTED_VALUE"""),3659072.0)</f>
        <v>3659072</v>
      </c>
      <c r="C209" t="str">
        <f>IFERROR(__xludf.DUMMYFUNCTION("""COMPUTED_VALUE"""),"en")</f>
        <v>en</v>
      </c>
      <c r="D209" t="str">
        <f>IFERROR(__xludf.DUMMYFUNCTION("""COMPUTED_VALUE"""),"Certified Cloud Financial Operations (FinOps) Practitioner")</f>
        <v>Certified Cloud Financial Operations (FinOps) Practitioner</v>
      </c>
      <c r="E209" t="str">
        <f>IFERROR(__xludf.DUMMYFUNCTION("""COMPUTED_VALUE"""),"Certified Cloud Financial Operations (FinOps) Practitioner")</f>
        <v>Certified Cloud Financial Operations (FinOps) Practitioner</v>
      </c>
      <c r="F209">
        <f>IFERROR(__xludf.DUMMYFUNCTION("""COMPUTED_VALUE"""),1.21926831E8)</f>
        <v>121926831</v>
      </c>
      <c r="G209" t="str">
        <f>IFERROR(__xludf.DUMMYFUNCTION("""COMPUTED_VALUE"""),"Freddy Ayala")</f>
        <v>Freddy Ayala</v>
      </c>
      <c r="H209" t="str">
        <f>IFERROR(__xludf.DUMMYFUNCTION("""COMPUTED_VALUE"""),"T&amp;S")</f>
        <v>T&amp;S</v>
      </c>
      <c r="I209" t="str">
        <f>IFERROR(__xludf.DUMMYFUNCTION("""COMPUTED_VALUE"""),"IT Operations")</f>
        <v>IT Operations</v>
      </c>
      <c r="J209" t="str">
        <f>IFERROR(__xludf.DUMMYFUNCTION("""COMPUTED_VALUE"""),"IT Certifications")</f>
        <v>IT Certifications</v>
      </c>
      <c r="K209">
        <f>IFERROR(__xludf.DUMMYFUNCTION("""COMPUTED_VALUE"""),3736570.0)</f>
        <v>3736570</v>
      </c>
      <c r="L209" s="140" t="str">
        <f>IFERROR(__xludf.DUMMYFUNCTION("""COMPUTED_VALUE"""),"AWS Cost Management Tools (Cost Explorer) Crash Course")</f>
        <v>AWS Cost Management Tools (Cost Explorer) Crash Course</v>
      </c>
      <c r="M209">
        <f>IFERROR(__xludf.DUMMYFUNCTION("""COMPUTED_VALUE"""),2630926.0)</f>
        <v>2630926</v>
      </c>
      <c r="N209" s="140" t="str">
        <f>IFERROR(__xludf.DUMMYFUNCTION("""COMPUTED_VALUE"""),"Azure Deep Dive: Complete Cost Management Course")</f>
        <v>Azure Deep Dive: Complete Cost Management Course</v>
      </c>
    </row>
    <row r="210">
      <c r="A210" s="143">
        <f>IFERROR(__xludf.DUMMYFUNCTION("""COMPUTED_VALUE"""),44639.0)</f>
        <v>44639</v>
      </c>
      <c r="B210">
        <f>IFERROR(__xludf.DUMMYFUNCTION("""COMPUTED_VALUE"""),1678752.0)</f>
        <v>1678752</v>
      </c>
      <c r="C210" t="str">
        <f>IFERROR(__xludf.DUMMYFUNCTION("""COMPUTED_VALUE"""),"en")</f>
        <v>en</v>
      </c>
      <c r="D210" t="str">
        <f>IFERROR(__xludf.DUMMYFUNCTION("""COMPUTED_VALUE"""),"Practice PMP Exam Questions: 3 Full PMP Exams, Jan 2021")</f>
        <v>Practice PMP Exam Questions: 3 Full PMP Exams, Jan 2021</v>
      </c>
      <c r="E210" t="str">
        <f>IFERROR(__xludf.DUMMYFUNCTION("""COMPUTED_VALUE"""),"Practice PMP Exam Questions: 3 Full PMP Exams, Jan 2021")</f>
        <v>Practice PMP Exam Questions: 3 Full PMP Exams, Jan 2021</v>
      </c>
      <c r="F210">
        <f>IFERROR(__xludf.DUMMYFUNCTION("""COMPUTED_VALUE"""),2.6748778E7)</f>
        <v>26748778</v>
      </c>
      <c r="G210" t="str">
        <f>IFERROR(__xludf.DUMMYFUNCTION("""COMPUTED_VALUE"""),"Elite Instructors, PMP ®, RMP®, ACP®, PRINCE2® Practitioner")</f>
        <v>Elite Instructors, PMP ®, RMP®, ACP®, PRINCE2® Practitioner</v>
      </c>
      <c r="H210" t="str">
        <f>IFERROR(__xludf.DUMMYFUNCTION("""COMPUTED_VALUE"""),"T&amp;S")</f>
        <v>T&amp;S</v>
      </c>
      <c r="I210" t="str">
        <f>IFERROR(__xludf.DUMMYFUNCTION("""COMPUTED_VALUE"""),"Project Management &amp; Operations")</f>
        <v>Project Management &amp; Operations</v>
      </c>
      <c r="J210" t="str">
        <f>IFERROR(__xludf.DUMMYFUNCTION("""COMPUTED_VALUE"""),"Project Management Fundamentals")</f>
        <v>Project Management Fundamentals</v>
      </c>
    </row>
    <row r="211">
      <c r="A211" s="143">
        <f>IFERROR(__xludf.DUMMYFUNCTION("""COMPUTED_VALUE"""),44630.0)</f>
        <v>44630</v>
      </c>
      <c r="B211">
        <f>IFERROR(__xludf.DUMMYFUNCTION("""COMPUTED_VALUE"""),2257336.0)</f>
        <v>2257336</v>
      </c>
      <c r="C211" t="str">
        <f>IFERROR(__xludf.DUMMYFUNCTION("""COMPUTED_VALUE"""),"en")</f>
        <v>en</v>
      </c>
      <c r="D211" t="str">
        <f>IFERROR(__xludf.DUMMYFUNCTION("""COMPUTED_VALUE"""),"The Complete PEGA Senior Architect Course - 8.5 Updated")</f>
        <v>The Complete PEGA Senior Architect Course - 8.5 Updated</v>
      </c>
      <c r="E211" t="str">
        <f>IFERROR(__xludf.DUMMYFUNCTION("""COMPUTED_VALUE"""),"The Complete PEGA Senior Architect Course - 8.5 Updated")</f>
        <v>The Complete PEGA Senior Architect Course - 8.5 Updated</v>
      </c>
      <c r="F211">
        <f>IFERROR(__xludf.DUMMYFUNCTION("""COMPUTED_VALUE"""),6.6671182E7)</f>
        <v>66671182</v>
      </c>
      <c r="G211" t="str">
        <f>IFERROR(__xludf.DUMMYFUNCTION("""COMPUTED_VALUE"""),"NEO Trainings")</f>
        <v>NEO Trainings</v>
      </c>
      <c r="H211" t="str">
        <f>IFERROR(__xludf.DUMMYFUNCTION("""COMPUTED_VALUE"""),"T&amp;S")</f>
        <v>T&amp;S</v>
      </c>
      <c r="I211" t="str">
        <f>IFERROR(__xludf.DUMMYFUNCTION("""COMPUTED_VALUE"""),"IT Operations")</f>
        <v>IT Operations</v>
      </c>
      <c r="J211" t="str">
        <f>IFERROR(__xludf.DUMMYFUNCTION("""COMPUTED_VALUE"""),"IT Certifications")</f>
        <v>IT Certifications</v>
      </c>
    </row>
    <row r="212">
      <c r="A212" s="143">
        <f>IFERROR(__xludf.DUMMYFUNCTION("""COMPUTED_VALUE"""),44635.0)</f>
        <v>44635</v>
      </c>
      <c r="B212">
        <f>IFERROR(__xludf.DUMMYFUNCTION("""COMPUTED_VALUE"""),3728402.0)</f>
        <v>3728402</v>
      </c>
      <c r="C212" t="str">
        <f>IFERROR(__xludf.DUMMYFUNCTION("""COMPUTED_VALUE"""),"en")</f>
        <v>en</v>
      </c>
      <c r="D212" t="str">
        <f>IFERROR(__xludf.DUMMYFUNCTION("""COMPUTED_VALUE"""),"Informatica Master Data Management ( Informatica MDM )")</f>
        <v>Informatica Master Data Management ( Informatica MDM )</v>
      </c>
      <c r="E212" t="str">
        <f>IFERROR(__xludf.DUMMYFUNCTION("""COMPUTED_VALUE"""),"Computer Science Master Data Management (MDM Computer Science)")</f>
        <v>Computer Science Master Data Management (MDM Computer Science)</v>
      </c>
      <c r="F212">
        <f>IFERROR(__xludf.DUMMYFUNCTION("""COMPUTED_VALUE"""),1.45597212E8)</f>
        <v>145597212</v>
      </c>
      <c r="G212" t="str">
        <f>IFERROR(__xludf.DUMMYFUNCTION("""COMPUTED_VALUE"""),"Vinay Srivastava")</f>
        <v>Vinay Srivastava</v>
      </c>
      <c r="H212" t="str">
        <f>IFERROR(__xludf.DUMMYFUNCTION("""COMPUTED_VALUE"""),"T&amp;S")</f>
        <v>T&amp;S</v>
      </c>
      <c r="I212" t="str">
        <f>IFERROR(__xludf.DUMMYFUNCTION("""COMPUTED_VALUE"""),"Data Science")</f>
        <v>Data Science</v>
      </c>
      <c r="J212" t="str">
        <f>IFERROR(__xludf.DUMMYFUNCTION("""COMPUTED_VALUE"""),"Big Data")</f>
        <v>Big Data</v>
      </c>
      <c r="K212">
        <f>IFERROR(__xludf.DUMMYFUNCTION("""COMPUTED_VALUE"""),2233312.0)</f>
        <v>2233312</v>
      </c>
      <c r="L212" s="140" t="str">
        <f>IFERROR(__xludf.DUMMYFUNCTION("""COMPUTED_VALUE"""),"Informatica Master Data Management Concepts (MDM)")</f>
        <v>Informatica Master Data Management Concepts (MDM)</v>
      </c>
    </row>
    <row r="213">
      <c r="A213" s="143">
        <f>IFERROR(__xludf.DUMMYFUNCTION("""COMPUTED_VALUE"""),44637.0)</f>
        <v>44637</v>
      </c>
      <c r="B213">
        <f>IFERROR(__xludf.DUMMYFUNCTION("""COMPUTED_VALUE"""),4259040.0)</f>
        <v>4259040</v>
      </c>
      <c r="C213" t="str">
        <f>IFERROR(__xludf.DUMMYFUNCTION("""COMPUTED_VALUE"""),"en")</f>
        <v>en</v>
      </c>
      <c r="D213" t="str">
        <f>IFERROR(__xludf.DUMMYFUNCTION("""COMPUTED_VALUE"""),"Real Exam Prep SC-200: Microsoft Security Operations Analyst")</f>
        <v>Real Exam Prep SC-200: Microsoft Security Operations Analyst</v>
      </c>
      <c r="E213" t="str">
        <f>IFERROR(__xludf.DUMMYFUNCTION("""COMPUTED_VALUE"""),"Real Exam Prep SC-200: Microsoft Security Operations Analyst")</f>
        <v>Real Exam Prep SC-200: Microsoft Security Operations Analyst</v>
      </c>
      <c r="F213">
        <f>IFERROR(__xludf.DUMMYFUNCTION("""COMPUTED_VALUE"""),1.70609516E8)</f>
        <v>170609516</v>
      </c>
      <c r="G213" t="str">
        <f>IFERROR(__xludf.DUMMYFUNCTION("""COMPUTED_VALUE"""),"Cyber Security Exam Prep • Pass Guarantee")</f>
        <v>Cyber Security Exam Prep • Pass Guarantee</v>
      </c>
      <c r="H213" t="str">
        <f>IFERROR(__xludf.DUMMYFUNCTION("""COMPUTED_VALUE"""),"T&amp;S")</f>
        <v>T&amp;S</v>
      </c>
      <c r="I213" t="str">
        <f>IFERROR(__xludf.DUMMYFUNCTION("""COMPUTED_VALUE"""),"IT Operations")</f>
        <v>IT Operations</v>
      </c>
      <c r="J213" t="str">
        <f>IFERROR(__xludf.DUMMYFUNCTION("""COMPUTED_VALUE"""),"IT Certifications")</f>
        <v>IT Certifications</v>
      </c>
      <c r="K213">
        <f>IFERROR(__xludf.DUMMYFUNCTION("""COMPUTED_VALUE"""),4419078.0)</f>
        <v>4419078</v>
      </c>
      <c r="L213" s="140" t="str">
        <f>IFERROR(__xludf.DUMMYFUNCTION("""COMPUTED_VALUE"""),"SC-200: Microsoft Security Operations Analyst")</f>
        <v>SC-200: Microsoft Security Operations Analyst</v>
      </c>
      <c r="M213">
        <f>IFERROR(__xludf.DUMMYFUNCTION("""COMPUTED_VALUE"""),4579614.0)</f>
        <v>4579614</v>
      </c>
      <c r="N213" s="140" t="str">
        <f>IFERROR(__xludf.DUMMYFUNCTION("""COMPUTED_VALUE"""),"SC-200 Microsoft Security Operations Analyst
")</f>
        <v>SC-200 Microsoft Security Operations Analyst
</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11.71"/>
    <col customWidth="1" min="2" max="2" width="14.43"/>
    <col customWidth="1" min="3" max="3" width="12.57"/>
    <col customWidth="1" min="4" max="4" width="43.0"/>
    <col customWidth="1" min="5" max="6" width="24.43"/>
    <col customWidth="1" min="7" max="7" width="19.57"/>
    <col customWidth="1" min="8" max="8" width="41.57"/>
    <col customWidth="1" min="9" max="9" width="19.57"/>
    <col customWidth="1" min="10" max="10" width="42.86"/>
  </cols>
  <sheetData>
    <row r="1" ht="19.5" customHeight="1">
      <c r="A1" s="146"/>
      <c r="B1" s="147"/>
      <c r="C1" s="73" t="s">
        <v>706</v>
      </c>
      <c r="I1" s="74"/>
      <c r="J1" s="22"/>
    </row>
    <row r="2" ht="47.25" customHeight="1">
      <c r="A2" s="146"/>
      <c r="C2" s="75" t="s">
        <v>2446</v>
      </c>
      <c r="I2" s="156"/>
      <c r="J2" s="76"/>
    </row>
    <row r="3">
      <c r="A3" s="25" t="s">
        <v>27</v>
      </c>
      <c r="B3" s="25" t="s">
        <v>28</v>
      </c>
      <c r="C3" s="25" t="s">
        <v>29</v>
      </c>
      <c r="D3" s="25" t="s">
        <v>30</v>
      </c>
      <c r="E3" s="25" t="s">
        <v>31</v>
      </c>
      <c r="F3" s="25" t="s">
        <v>32</v>
      </c>
      <c r="G3" s="25" t="s">
        <v>33</v>
      </c>
      <c r="H3" s="25" t="s">
        <v>34</v>
      </c>
      <c r="I3" s="25" t="s">
        <v>35</v>
      </c>
      <c r="J3" s="25" t="s">
        <v>36</v>
      </c>
    </row>
    <row r="4">
      <c r="A4" s="157">
        <v>2192682.0</v>
      </c>
      <c r="B4" s="158">
        <v>44183.0</v>
      </c>
      <c r="C4" s="159" t="s">
        <v>142</v>
      </c>
      <c r="D4" s="159" t="s">
        <v>2447</v>
      </c>
      <c r="E4" s="30" t="s">
        <v>83</v>
      </c>
      <c r="F4" s="30" t="s">
        <v>153</v>
      </c>
      <c r="G4" s="31"/>
      <c r="H4" s="30" t="s">
        <v>47</v>
      </c>
      <c r="I4" s="31"/>
      <c r="J4" s="30" t="s">
        <v>47</v>
      </c>
    </row>
    <row r="5">
      <c r="A5" s="157">
        <v>1271544.0</v>
      </c>
      <c r="B5" s="158">
        <v>44183.0</v>
      </c>
      <c r="C5" s="159" t="s">
        <v>142</v>
      </c>
      <c r="D5" s="159" t="s">
        <v>2448</v>
      </c>
      <c r="E5" s="30" t="s">
        <v>63</v>
      </c>
      <c r="F5" s="30" t="s">
        <v>258</v>
      </c>
      <c r="G5" s="31">
        <v>1745078.0</v>
      </c>
      <c r="H5" s="30" t="s">
        <v>2449</v>
      </c>
      <c r="I5" s="31"/>
      <c r="J5" s="30" t="s">
        <v>47</v>
      </c>
    </row>
    <row r="6">
      <c r="A6" s="157">
        <v>1590990.0</v>
      </c>
      <c r="B6" s="158">
        <v>44183.0</v>
      </c>
      <c r="C6" s="159" t="s">
        <v>142</v>
      </c>
      <c r="D6" s="159" t="s">
        <v>2450</v>
      </c>
      <c r="E6" s="30" t="s">
        <v>79</v>
      </c>
      <c r="F6" s="30" t="s">
        <v>150</v>
      </c>
      <c r="G6" s="31">
        <v>2557436.0</v>
      </c>
      <c r="H6" s="30" t="s">
        <v>2451</v>
      </c>
      <c r="I6" s="31"/>
      <c r="J6" s="30" t="s">
        <v>47</v>
      </c>
    </row>
    <row r="7">
      <c r="A7" s="157">
        <v>2402868.0</v>
      </c>
      <c r="B7" s="158">
        <v>44183.0</v>
      </c>
      <c r="C7" s="159" t="s">
        <v>37</v>
      </c>
      <c r="D7" s="159" t="s">
        <v>2452</v>
      </c>
      <c r="E7" s="30" t="s">
        <v>83</v>
      </c>
      <c r="F7" s="30" t="s">
        <v>147</v>
      </c>
      <c r="G7" s="31"/>
      <c r="H7" s="30" t="s">
        <v>47</v>
      </c>
      <c r="I7" s="31"/>
      <c r="J7" s="30" t="s">
        <v>47</v>
      </c>
    </row>
    <row r="8">
      <c r="A8" s="157">
        <v>1113520.0</v>
      </c>
      <c r="B8" s="158">
        <v>44183.0</v>
      </c>
      <c r="C8" s="159" t="s">
        <v>37</v>
      </c>
      <c r="D8" s="159" t="s">
        <v>2453</v>
      </c>
      <c r="E8" s="30" t="s">
        <v>45</v>
      </c>
      <c r="F8" s="30" t="s">
        <v>172</v>
      </c>
      <c r="G8" s="31">
        <v>1225172.0</v>
      </c>
      <c r="H8" s="30" t="s">
        <v>2454</v>
      </c>
      <c r="I8" s="31"/>
      <c r="J8" s="30" t="s">
        <v>47</v>
      </c>
    </row>
    <row r="9">
      <c r="A9" s="157">
        <v>1897948.0</v>
      </c>
      <c r="B9" s="158">
        <v>44183.0</v>
      </c>
      <c r="C9" s="159" t="s">
        <v>37</v>
      </c>
      <c r="D9" s="159" t="s">
        <v>2455</v>
      </c>
      <c r="E9" s="30" t="s">
        <v>63</v>
      </c>
      <c r="F9" s="30" t="s">
        <v>256</v>
      </c>
      <c r="G9" s="31">
        <v>2327498.0</v>
      </c>
      <c r="H9" s="30" t="s">
        <v>47</v>
      </c>
      <c r="I9" s="31"/>
      <c r="J9" s="30" t="s">
        <v>47</v>
      </c>
    </row>
    <row r="10">
      <c r="A10" s="157">
        <v>2424796.0</v>
      </c>
      <c r="B10" s="158">
        <v>44183.0</v>
      </c>
      <c r="C10" s="159" t="s">
        <v>37</v>
      </c>
      <c r="D10" s="159" t="s">
        <v>2456</v>
      </c>
      <c r="E10" s="30" t="s">
        <v>39</v>
      </c>
      <c r="F10" s="30" t="s">
        <v>40</v>
      </c>
      <c r="G10" s="31">
        <v>1265410.0</v>
      </c>
      <c r="H10" s="30" t="s">
        <v>2174</v>
      </c>
      <c r="I10" s="31">
        <v>1248784.0</v>
      </c>
      <c r="J10" s="30" t="s">
        <v>2457</v>
      </c>
    </row>
    <row r="11">
      <c r="A11" s="157">
        <v>1592636.0</v>
      </c>
      <c r="B11" s="158">
        <v>44183.0</v>
      </c>
      <c r="C11" s="159" t="s">
        <v>37</v>
      </c>
      <c r="D11" s="159" t="s">
        <v>2458</v>
      </c>
      <c r="E11" s="30" t="s">
        <v>45</v>
      </c>
      <c r="F11" s="30" t="s">
        <v>172</v>
      </c>
      <c r="G11" s="31">
        <v>2337452.0</v>
      </c>
      <c r="H11" s="30" t="s">
        <v>2459</v>
      </c>
      <c r="I11" s="31"/>
      <c r="J11" s="30" t="s">
        <v>47</v>
      </c>
    </row>
    <row r="12">
      <c r="A12" s="157">
        <v>2418286.0</v>
      </c>
      <c r="B12" s="158">
        <v>44183.0</v>
      </c>
      <c r="C12" s="159" t="s">
        <v>37</v>
      </c>
      <c r="D12" s="159" t="s">
        <v>2460</v>
      </c>
      <c r="E12" s="30" t="s">
        <v>45</v>
      </c>
      <c r="F12" s="30" t="s">
        <v>90</v>
      </c>
      <c r="G12" s="31">
        <v>442896.0</v>
      </c>
      <c r="H12" s="30" t="s">
        <v>248</v>
      </c>
      <c r="I12" s="31"/>
      <c r="J12" s="30" t="s">
        <v>47</v>
      </c>
    </row>
    <row r="13">
      <c r="A13" s="157">
        <v>863976.0</v>
      </c>
      <c r="B13" s="158">
        <v>44183.0</v>
      </c>
      <c r="C13" s="159" t="s">
        <v>37</v>
      </c>
      <c r="D13" s="159" t="s">
        <v>2461</v>
      </c>
      <c r="E13" s="30" t="s">
        <v>39</v>
      </c>
      <c r="F13" s="30" t="s">
        <v>140</v>
      </c>
      <c r="G13" s="31"/>
      <c r="H13" s="30" t="s">
        <v>47</v>
      </c>
      <c r="I13" s="31"/>
      <c r="J13" s="30" t="s">
        <v>47</v>
      </c>
    </row>
    <row r="14">
      <c r="A14" s="157">
        <v>1274262.0</v>
      </c>
      <c r="B14" s="158">
        <v>44183.0</v>
      </c>
      <c r="C14" s="159" t="s">
        <v>187</v>
      </c>
      <c r="D14" s="159" t="s">
        <v>2462</v>
      </c>
      <c r="E14" s="30" t="s">
        <v>63</v>
      </c>
      <c r="F14" s="30" t="s">
        <v>115</v>
      </c>
      <c r="G14" s="31"/>
      <c r="H14" s="30" t="s">
        <v>47</v>
      </c>
      <c r="I14" s="31"/>
      <c r="J14" s="30" t="s">
        <v>47</v>
      </c>
    </row>
    <row r="15">
      <c r="A15" s="157">
        <v>1614454.0</v>
      </c>
      <c r="B15" s="158">
        <v>44183.0</v>
      </c>
      <c r="C15" s="159" t="s">
        <v>37</v>
      </c>
      <c r="D15" s="159" t="s">
        <v>424</v>
      </c>
      <c r="E15" s="30" t="s">
        <v>39</v>
      </c>
      <c r="F15" s="30" t="s">
        <v>50</v>
      </c>
      <c r="G15" s="31"/>
      <c r="H15" s="30" t="s">
        <v>47</v>
      </c>
      <c r="I15" s="31"/>
      <c r="J15" s="30" t="s">
        <v>47</v>
      </c>
    </row>
    <row r="16">
      <c r="A16" s="157">
        <v>1169070.0</v>
      </c>
      <c r="B16" s="158">
        <v>44183.0</v>
      </c>
      <c r="C16" s="159" t="s">
        <v>142</v>
      </c>
      <c r="D16" s="159" t="s">
        <v>2463</v>
      </c>
      <c r="E16" s="30" t="s">
        <v>144</v>
      </c>
      <c r="F16" s="30" t="s">
        <v>467</v>
      </c>
      <c r="G16" s="31">
        <v>1468006.0</v>
      </c>
      <c r="H16" s="30" t="s">
        <v>2464</v>
      </c>
      <c r="I16" s="31"/>
      <c r="J16" s="30" t="s">
        <v>47</v>
      </c>
    </row>
    <row r="17">
      <c r="A17" s="157">
        <v>1842542.0</v>
      </c>
      <c r="B17" s="158">
        <v>44183.0</v>
      </c>
      <c r="C17" s="159" t="s">
        <v>187</v>
      </c>
      <c r="D17" s="159" t="s">
        <v>2465</v>
      </c>
      <c r="E17" s="30" t="s">
        <v>58</v>
      </c>
      <c r="F17" s="30" t="s">
        <v>86</v>
      </c>
      <c r="G17" s="31"/>
      <c r="H17" s="30" t="s">
        <v>47</v>
      </c>
      <c r="I17" s="31"/>
      <c r="J17" s="30" t="s">
        <v>47</v>
      </c>
    </row>
    <row r="18">
      <c r="A18" s="157">
        <v>2412666.0</v>
      </c>
      <c r="B18" s="158">
        <v>44183.0</v>
      </c>
      <c r="C18" s="159" t="s">
        <v>37</v>
      </c>
      <c r="D18" s="159" t="s">
        <v>2466</v>
      </c>
      <c r="E18" s="30" t="s">
        <v>101</v>
      </c>
      <c r="F18" s="30" t="s">
        <v>102</v>
      </c>
      <c r="G18" s="31">
        <v>2131244.0</v>
      </c>
      <c r="H18" s="30" t="s">
        <v>1669</v>
      </c>
      <c r="I18" s="31">
        <v>802576.0</v>
      </c>
      <c r="J18" s="30" t="s">
        <v>2467</v>
      </c>
    </row>
    <row r="19">
      <c r="A19" s="157">
        <v>2385028.0</v>
      </c>
      <c r="B19" s="158">
        <v>44183.0</v>
      </c>
      <c r="C19" s="159" t="s">
        <v>142</v>
      </c>
      <c r="D19" s="159" t="s">
        <v>2468</v>
      </c>
      <c r="E19" s="30" t="s">
        <v>96</v>
      </c>
      <c r="F19" s="30" t="s">
        <v>109</v>
      </c>
      <c r="G19" s="31">
        <v>1427034.0</v>
      </c>
      <c r="H19" s="30" t="s">
        <v>2469</v>
      </c>
      <c r="I19" s="31"/>
      <c r="J19" s="30" t="s">
        <v>47</v>
      </c>
    </row>
    <row r="20">
      <c r="A20" s="157">
        <v>1468234.0</v>
      </c>
      <c r="B20" s="158">
        <v>44183.0</v>
      </c>
      <c r="C20" s="159" t="s">
        <v>37</v>
      </c>
      <c r="D20" s="159" t="s">
        <v>2470</v>
      </c>
      <c r="E20" s="30" t="s">
        <v>39</v>
      </c>
      <c r="F20" s="30" t="s">
        <v>54</v>
      </c>
      <c r="G20" s="31">
        <v>1026276.0</v>
      </c>
      <c r="H20" s="30" t="s">
        <v>2471</v>
      </c>
      <c r="I20" s="31"/>
      <c r="J20" s="30" t="s">
        <v>47</v>
      </c>
    </row>
    <row r="21">
      <c r="A21" s="157">
        <v>1697824.0</v>
      </c>
      <c r="B21" s="158">
        <v>44183.0</v>
      </c>
      <c r="C21" s="159" t="s">
        <v>37</v>
      </c>
      <c r="D21" s="159" t="s">
        <v>2472</v>
      </c>
      <c r="E21" s="30" t="s">
        <v>39</v>
      </c>
      <c r="F21" s="30" t="s">
        <v>50</v>
      </c>
      <c r="G21" s="31">
        <v>1691424.0</v>
      </c>
      <c r="H21" s="30" t="s">
        <v>51</v>
      </c>
      <c r="I21" s="31"/>
      <c r="J21" s="30" t="s">
        <v>47</v>
      </c>
    </row>
    <row r="22">
      <c r="A22" s="157">
        <v>30481.0</v>
      </c>
      <c r="B22" s="158">
        <v>44183.0</v>
      </c>
      <c r="C22" s="159" t="s">
        <v>37</v>
      </c>
      <c r="D22" s="159" t="s">
        <v>2473</v>
      </c>
      <c r="E22" s="30" t="s">
        <v>58</v>
      </c>
      <c r="F22" s="30" t="s">
        <v>167</v>
      </c>
      <c r="G22" s="31"/>
      <c r="H22" s="30" t="s">
        <v>47</v>
      </c>
      <c r="I22" s="31"/>
      <c r="J22" s="30" t="s">
        <v>47</v>
      </c>
    </row>
    <row r="23">
      <c r="A23" s="157">
        <v>269064.0</v>
      </c>
      <c r="B23" s="158">
        <v>44183.0</v>
      </c>
      <c r="C23" s="159" t="s">
        <v>37</v>
      </c>
      <c r="D23" s="159" t="s">
        <v>2474</v>
      </c>
      <c r="E23" s="30" t="s">
        <v>39</v>
      </c>
      <c r="F23" s="30" t="s">
        <v>54</v>
      </c>
      <c r="G23" s="31">
        <v>20365.0</v>
      </c>
      <c r="H23" s="30" t="s">
        <v>857</v>
      </c>
      <c r="I23" s="31">
        <v>86390.0</v>
      </c>
      <c r="J23" s="30" t="s">
        <v>2475</v>
      </c>
    </row>
    <row r="24">
      <c r="A24" s="157">
        <v>1278320.0</v>
      </c>
      <c r="B24" s="158">
        <v>44183.0</v>
      </c>
      <c r="C24" s="159" t="s">
        <v>43</v>
      </c>
      <c r="D24" s="159" t="s">
        <v>2476</v>
      </c>
      <c r="E24" s="30" t="s">
        <v>83</v>
      </c>
      <c r="F24" s="30" t="s">
        <v>153</v>
      </c>
      <c r="G24" s="31"/>
      <c r="H24" s="30" t="s">
        <v>47</v>
      </c>
      <c r="I24" s="31"/>
      <c r="J24" s="30" t="s">
        <v>47</v>
      </c>
    </row>
    <row r="25">
      <c r="A25" s="157">
        <v>2367514.0</v>
      </c>
      <c r="B25" s="158">
        <v>44183.0</v>
      </c>
      <c r="C25" s="159" t="s">
        <v>142</v>
      </c>
      <c r="D25" s="159" t="s">
        <v>2477</v>
      </c>
      <c r="E25" s="30" t="s">
        <v>63</v>
      </c>
      <c r="F25" s="30" t="s">
        <v>64</v>
      </c>
      <c r="G25" s="31"/>
      <c r="H25" s="30" t="s">
        <v>47</v>
      </c>
      <c r="I25" s="31"/>
      <c r="J25" s="30" t="s">
        <v>47</v>
      </c>
    </row>
    <row r="26">
      <c r="A26" s="157">
        <v>1458964.0</v>
      </c>
      <c r="B26" s="158">
        <v>44183.0</v>
      </c>
      <c r="C26" s="159" t="s">
        <v>37</v>
      </c>
      <c r="D26" s="159" t="s">
        <v>2478</v>
      </c>
      <c r="E26" s="30" t="s">
        <v>39</v>
      </c>
      <c r="F26" s="30" t="s">
        <v>54</v>
      </c>
      <c r="G26" s="31">
        <v>1213952.0</v>
      </c>
      <c r="H26" s="30" t="s">
        <v>2479</v>
      </c>
      <c r="I26" s="31"/>
      <c r="J26" s="30" t="s">
        <v>47</v>
      </c>
    </row>
    <row r="27">
      <c r="A27" s="157">
        <v>1580400.0</v>
      </c>
      <c r="B27" s="158">
        <v>44183.0</v>
      </c>
      <c r="C27" s="159" t="s">
        <v>37</v>
      </c>
      <c r="D27" s="159" t="s">
        <v>2480</v>
      </c>
      <c r="E27" s="30" t="s">
        <v>45</v>
      </c>
      <c r="F27" s="30" t="s">
        <v>46</v>
      </c>
      <c r="G27" s="31"/>
      <c r="H27" s="30" t="s">
        <v>47</v>
      </c>
      <c r="I27" s="31"/>
      <c r="J27" s="30" t="s">
        <v>47</v>
      </c>
    </row>
    <row r="28">
      <c r="A28" s="157">
        <v>1361898.0</v>
      </c>
      <c r="B28" s="158">
        <v>44183.0</v>
      </c>
      <c r="C28" s="159" t="s">
        <v>142</v>
      </c>
      <c r="D28" s="159" t="s">
        <v>2481</v>
      </c>
      <c r="E28" s="30" t="s">
        <v>39</v>
      </c>
      <c r="F28" s="30" t="s">
        <v>140</v>
      </c>
      <c r="G28" s="31">
        <v>1317696.0</v>
      </c>
      <c r="H28" s="30" t="s">
        <v>1849</v>
      </c>
      <c r="I28" s="31"/>
      <c r="J28" s="30" t="s">
        <v>47</v>
      </c>
    </row>
    <row r="29">
      <c r="A29" s="157">
        <v>1344266.0</v>
      </c>
      <c r="B29" s="158">
        <v>44183.0</v>
      </c>
      <c r="C29" s="159" t="s">
        <v>37</v>
      </c>
      <c r="D29" s="159" t="s">
        <v>2482</v>
      </c>
      <c r="E29" s="30" t="s">
        <v>39</v>
      </c>
      <c r="F29" s="30" t="s">
        <v>54</v>
      </c>
      <c r="G29" s="31">
        <v>2319848.0</v>
      </c>
      <c r="H29" s="30" t="s">
        <v>2483</v>
      </c>
      <c r="I29" s="31"/>
      <c r="J29" s="30" t="s">
        <v>47</v>
      </c>
    </row>
    <row r="30">
      <c r="A30" s="157">
        <v>1248330.0</v>
      </c>
      <c r="B30" s="158">
        <v>44183.0</v>
      </c>
      <c r="C30" s="159" t="s">
        <v>37</v>
      </c>
      <c r="D30" s="159" t="s">
        <v>2484</v>
      </c>
      <c r="E30" s="30" t="s">
        <v>63</v>
      </c>
      <c r="F30" s="30" t="s">
        <v>64</v>
      </c>
      <c r="G30" s="31">
        <v>567828.0</v>
      </c>
      <c r="H30" s="30" t="s">
        <v>1530</v>
      </c>
      <c r="I30" s="31"/>
      <c r="J30" s="30" t="s">
        <v>47</v>
      </c>
    </row>
    <row r="31">
      <c r="A31" s="157">
        <v>1112138.0</v>
      </c>
      <c r="B31" s="158">
        <v>44183.0</v>
      </c>
      <c r="C31" s="159" t="s">
        <v>37</v>
      </c>
      <c r="D31" s="159" t="s">
        <v>2485</v>
      </c>
      <c r="E31" s="30" t="s">
        <v>39</v>
      </c>
      <c r="F31" s="30" t="s">
        <v>140</v>
      </c>
      <c r="G31" s="31">
        <v>1664030.0</v>
      </c>
      <c r="H31" s="30" t="s">
        <v>2486</v>
      </c>
      <c r="I31" s="31"/>
      <c r="J31" s="30" t="s">
        <v>47</v>
      </c>
    </row>
    <row r="32">
      <c r="A32" s="157">
        <v>1220404.0</v>
      </c>
      <c r="B32" s="158">
        <v>44183.0</v>
      </c>
      <c r="C32" s="159" t="s">
        <v>37</v>
      </c>
      <c r="D32" s="159" t="s">
        <v>2487</v>
      </c>
      <c r="E32" s="30" t="s">
        <v>45</v>
      </c>
      <c r="F32" s="30" t="s">
        <v>172</v>
      </c>
      <c r="G32" s="31">
        <v>1209412.0</v>
      </c>
      <c r="H32" s="30" t="s">
        <v>2488</v>
      </c>
      <c r="I32" s="31"/>
      <c r="J32" s="30" t="s">
        <v>47</v>
      </c>
    </row>
    <row r="33">
      <c r="A33" s="157">
        <v>1071142.0</v>
      </c>
      <c r="B33" s="158">
        <v>44183.0</v>
      </c>
      <c r="C33" s="159" t="s">
        <v>37</v>
      </c>
      <c r="D33" s="159" t="s">
        <v>2489</v>
      </c>
      <c r="E33" s="30" t="s">
        <v>39</v>
      </c>
      <c r="F33" s="30" t="s">
        <v>241</v>
      </c>
      <c r="G33" s="31">
        <v>660600.0</v>
      </c>
      <c r="H33" s="30" t="s">
        <v>2490</v>
      </c>
      <c r="I33" s="31"/>
      <c r="J33" s="30" t="s">
        <v>47</v>
      </c>
    </row>
    <row r="34">
      <c r="A34" s="157">
        <v>1586760.0</v>
      </c>
      <c r="B34" s="158">
        <v>44183.0</v>
      </c>
      <c r="C34" s="159" t="s">
        <v>43</v>
      </c>
      <c r="D34" s="159" t="s">
        <v>2491</v>
      </c>
      <c r="E34" s="30" t="s">
        <v>83</v>
      </c>
      <c r="F34" s="30" t="s">
        <v>153</v>
      </c>
      <c r="G34" s="31">
        <v>2835898.0</v>
      </c>
      <c r="H34" s="30" t="s">
        <v>2492</v>
      </c>
      <c r="I34" s="31"/>
      <c r="J34" s="30" t="s">
        <v>47</v>
      </c>
    </row>
    <row r="35">
      <c r="A35" s="157">
        <v>1117584.0</v>
      </c>
      <c r="B35" s="158">
        <v>44183.0</v>
      </c>
      <c r="C35" s="159" t="s">
        <v>37</v>
      </c>
      <c r="D35" s="159" t="s">
        <v>2493</v>
      </c>
      <c r="E35" s="30" t="s">
        <v>39</v>
      </c>
      <c r="F35" s="30" t="s">
        <v>54</v>
      </c>
      <c r="G35" s="31">
        <v>405282.0</v>
      </c>
      <c r="H35" s="30" t="s">
        <v>866</v>
      </c>
      <c r="I35" s="31"/>
      <c r="J35" s="30" t="s">
        <v>47</v>
      </c>
    </row>
    <row r="36">
      <c r="A36" s="157">
        <v>1034402.0</v>
      </c>
      <c r="B36" s="158">
        <v>44183.0</v>
      </c>
      <c r="C36" s="159" t="s">
        <v>37</v>
      </c>
      <c r="D36" s="159" t="s">
        <v>2494</v>
      </c>
      <c r="E36" s="30" t="s">
        <v>39</v>
      </c>
      <c r="F36" s="30" t="s">
        <v>50</v>
      </c>
      <c r="G36" s="31">
        <v>1691424.0</v>
      </c>
      <c r="H36" s="30" t="s">
        <v>51</v>
      </c>
      <c r="I36" s="31"/>
      <c r="J36" s="30" t="s">
        <v>47</v>
      </c>
    </row>
    <row r="37">
      <c r="A37" s="157">
        <v>2044196.0</v>
      </c>
      <c r="B37" s="158">
        <v>44183.0</v>
      </c>
      <c r="C37" s="159" t="s">
        <v>37</v>
      </c>
      <c r="D37" s="159" t="s">
        <v>2495</v>
      </c>
      <c r="E37" s="30" t="s">
        <v>45</v>
      </c>
      <c r="F37" s="30" t="s">
        <v>172</v>
      </c>
      <c r="G37" s="31"/>
      <c r="H37" s="30" t="s">
        <v>47</v>
      </c>
      <c r="I37" s="31"/>
      <c r="J37" s="30" t="s">
        <v>47</v>
      </c>
    </row>
    <row r="38">
      <c r="A38" s="157">
        <v>1113516.0</v>
      </c>
      <c r="B38" s="158">
        <v>44183.0</v>
      </c>
      <c r="C38" s="159" t="s">
        <v>37</v>
      </c>
      <c r="D38" s="159" t="s">
        <v>2496</v>
      </c>
      <c r="E38" s="30" t="s">
        <v>45</v>
      </c>
      <c r="F38" s="30" t="s">
        <v>90</v>
      </c>
      <c r="G38" s="31">
        <v>2351336.0</v>
      </c>
      <c r="H38" s="30" t="s">
        <v>1911</v>
      </c>
      <c r="I38" s="31"/>
      <c r="J38" s="30" t="s">
        <v>47</v>
      </c>
    </row>
    <row r="39">
      <c r="A39" s="157">
        <v>1799724.0</v>
      </c>
      <c r="B39" s="158">
        <v>44183.0</v>
      </c>
      <c r="C39" s="159" t="s">
        <v>37</v>
      </c>
      <c r="D39" s="159" t="s">
        <v>2497</v>
      </c>
      <c r="E39" s="30" t="s">
        <v>45</v>
      </c>
      <c r="F39" s="30" t="s">
        <v>46</v>
      </c>
      <c r="G39" s="31"/>
      <c r="H39" s="30" t="s">
        <v>47</v>
      </c>
      <c r="I39" s="31"/>
      <c r="J39" s="30" t="s">
        <v>47</v>
      </c>
    </row>
    <row r="40">
      <c r="A40" s="157">
        <v>2137382.0</v>
      </c>
      <c r="B40" s="158">
        <v>44183.0</v>
      </c>
      <c r="C40" s="159" t="s">
        <v>37</v>
      </c>
      <c r="D40" s="159" t="s">
        <v>2498</v>
      </c>
      <c r="E40" s="30" t="s">
        <v>105</v>
      </c>
      <c r="F40" s="30" t="s">
        <v>778</v>
      </c>
      <c r="G40" s="31">
        <v>1123198.0</v>
      </c>
      <c r="H40" s="30" t="s">
        <v>2499</v>
      </c>
      <c r="I40" s="31"/>
      <c r="J40" s="30" t="s">
        <v>47</v>
      </c>
    </row>
    <row r="41">
      <c r="A41" s="157">
        <v>1547118.0</v>
      </c>
      <c r="B41" s="158">
        <v>44183.0</v>
      </c>
      <c r="C41" s="159" t="s">
        <v>37</v>
      </c>
      <c r="D41" s="159" t="s">
        <v>2500</v>
      </c>
      <c r="E41" s="30" t="s">
        <v>45</v>
      </c>
      <c r="F41" s="30" t="s">
        <v>172</v>
      </c>
      <c r="G41" s="31">
        <v>2337452.0</v>
      </c>
      <c r="H41" s="30" t="s">
        <v>2459</v>
      </c>
      <c r="I41" s="31"/>
      <c r="J41" s="30" t="s">
        <v>47</v>
      </c>
    </row>
    <row r="42">
      <c r="A42" s="157">
        <v>2258674.0</v>
      </c>
      <c r="B42" s="158">
        <v>44183.0</v>
      </c>
      <c r="C42" s="159" t="s">
        <v>37</v>
      </c>
      <c r="D42" s="159" t="s">
        <v>2501</v>
      </c>
      <c r="E42" s="30" t="s">
        <v>63</v>
      </c>
      <c r="F42" s="30" t="s">
        <v>115</v>
      </c>
      <c r="G42" s="31">
        <v>1906852.0</v>
      </c>
      <c r="H42" s="30" t="s">
        <v>2502</v>
      </c>
      <c r="I42" s="31"/>
      <c r="J42" s="30" t="s">
        <v>47</v>
      </c>
    </row>
    <row r="43">
      <c r="A43" s="157">
        <v>1423038.0</v>
      </c>
      <c r="B43" s="158">
        <v>44183.0</v>
      </c>
      <c r="C43" s="159" t="s">
        <v>37</v>
      </c>
      <c r="D43" s="159" t="s">
        <v>2503</v>
      </c>
      <c r="E43" s="30" t="s">
        <v>39</v>
      </c>
      <c r="F43" s="30" t="s">
        <v>297</v>
      </c>
      <c r="G43" s="31">
        <v>1403814.0</v>
      </c>
      <c r="H43" s="30" t="s">
        <v>2504</v>
      </c>
      <c r="I43" s="31"/>
      <c r="J43" s="30" t="s">
        <v>47</v>
      </c>
    </row>
    <row r="44">
      <c r="A44" s="157">
        <v>1172324.0</v>
      </c>
      <c r="B44" s="158">
        <v>44183.0</v>
      </c>
      <c r="C44" s="159" t="s">
        <v>37</v>
      </c>
      <c r="D44" s="159" t="s">
        <v>2505</v>
      </c>
      <c r="E44" s="30" t="s">
        <v>45</v>
      </c>
      <c r="F44" s="30" t="s">
        <v>172</v>
      </c>
      <c r="G44" s="31">
        <v>1061212.0</v>
      </c>
      <c r="H44" s="30" t="s">
        <v>2506</v>
      </c>
      <c r="I44" s="31"/>
      <c r="J44" s="30" t="s">
        <v>47</v>
      </c>
    </row>
    <row r="45">
      <c r="A45" s="157">
        <v>1848680.0</v>
      </c>
      <c r="B45" s="158">
        <v>44183.0</v>
      </c>
      <c r="C45" s="159" t="s">
        <v>37</v>
      </c>
      <c r="D45" s="159" t="s">
        <v>2507</v>
      </c>
      <c r="E45" s="30" t="s">
        <v>45</v>
      </c>
      <c r="F45" s="30" t="s">
        <v>90</v>
      </c>
      <c r="G45" s="31">
        <v>2813427.0</v>
      </c>
      <c r="H45" s="30" t="s">
        <v>2508</v>
      </c>
      <c r="I45" s="31"/>
      <c r="J45" s="30" t="s">
        <v>47</v>
      </c>
    </row>
    <row r="46">
      <c r="A46" s="157">
        <v>1237694.0</v>
      </c>
      <c r="B46" s="158">
        <v>44183.0</v>
      </c>
      <c r="C46" s="159" t="s">
        <v>37</v>
      </c>
      <c r="D46" s="159" t="s">
        <v>2509</v>
      </c>
      <c r="E46" s="30" t="s">
        <v>101</v>
      </c>
      <c r="F46" s="30" t="s">
        <v>203</v>
      </c>
      <c r="G46" s="31">
        <v>1076804.0</v>
      </c>
      <c r="H46" s="30" t="s">
        <v>2510</v>
      </c>
      <c r="I46" s="31"/>
      <c r="J46" s="30" t="s">
        <v>47</v>
      </c>
    </row>
    <row r="47">
      <c r="A47" s="157">
        <v>2159532.0</v>
      </c>
      <c r="B47" s="158">
        <v>44183.0</v>
      </c>
      <c r="C47" s="159" t="s">
        <v>37</v>
      </c>
      <c r="D47" s="159" t="s">
        <v>2511</v>
      </c>
      <c r="E47" s="30" t="s">
        <v>39</v>
      </c>
      <c r="F47" s="30" t="s">
        <v>54</v>
      </c>
      <c r="G47" s="31">
        <v>624252.0</v>
      </c>
      <c r="H47" s="30" t="s">
        <v>2512</v>
      </c>
      <c r="I47" s="31"/>
      <c r="J47" s="30" t="s">
        <v>47</v>
      </c>
    </row>
    <row r="48">
      <c r="A48" s="157">
        <v>2207758.0</v>
      </c>
      <c r="B48" s="158">
        <v>44183.0</v>
      </c>
      <c r="C48" s="159" t="s">
        <v>37</v>
      </c>
      <c r="D48" s="159" t="s">
        <v>2513</v>
      </c>
      <c r="E48" s="30" t="s">
        <v>105</v>
      </c>
      <c r="F48" s="30" t="s">
        <v>778</v>
      </c>
      <c r="G48" s="31">
        <v>526534.0</v>
      </c>
      <c r="H48" s="30" t="s">
        <v>249</v>
      </c>
      <c r="I48" s="31"/>
      <c r="J48" s="30" t="s">
        <v>47</v>
      </c>
    </row>
    <row r="49">
      <c r="A49" s="157">
        <v>1839270.0</v>
      </c>
      <c r="B49" s="158">
        <v>44183.0</v>
      </c>
      <c r="C49" s="159" t="s">
        <v>37</v>
      </c>
      <c r="D49" s="159" t="s">
        <v>2514</v>
      </c>
      <c r="E49" s="30" t="s">
        <v>79</v>
      </c>
      <c r="F49" s="30" t="s">
        <v>80</v>
      </c>
      <c r="G49" s="31">
        <v>850600.0</v>
      </c>
      <c r="H49" s="30" t="s">
        <v>2515</v>
      </c>
      <c r="I49" s="31"/>
      <c r="J49" s="30" t="s">
        <v>47</v>
      </c>
    </row>
    <row r="50">
      <c r="A50" s="157">
        <v>1290564.0</v>
      </c>
      <c r="B50" s="158">
        <v>44183.0</v>
      </c>
      <c r="C50" s="159" t="s">
        <v>37</v>
      </c>
      <c r="D50" s="159" t="s">
        <v>2516</v>
      </c>
      <c r="E50" s="30" t="s">
        <v>39</v>
      </c>
      <c r="F50" s="30" t="s">
        <v>54</v>
      </c>
      <c r="G50" s="31">
        <v>1403814.0</v>
      </c>
      <c r="H50" s="30" t="s">
        <v>2504</v>
      </c>
      <c r="I50" s="31"/>
      <c r="J50" s="30" t="s">
        <v>47</v>
      </c>
    </row>
    <row r="51">
      <c r="A51" s="157">
        <v>911356.0</v>
      </c>
      <c r="B51" s="158">
        <v>44183.0</v>
      </c>
      <c r="C51" s="159" t="s">
        <v>70</v>
      </c>
      <c r="D51" s="159" t="s">
        <v>2517</v>
      </c>
      <c r="E51" s="30" t="s">
        <v>219</v>
      </c>
      <c r="F51" s="30" t="s">
        <v>220</v>
      </c>
      <c r="G51" s="31"/>
      <c r="H51" s="30" t="s">
        <v>47</v>
      </c>
      <c r="I51" s="31"/>
      <c r="J51" s="30" t="s">
        <v>47</v>
      </c>
    </row>
    <row r="52">
      <c r="A52" s="157">
        <v>1008888.0</v>
      </c>
      <c r="B52" s="158">
        <v>44183.0</v>
      </c>
      <c r="C52" s="159" t="s">
        <v>37</v>
      </c>
      <c r="D52" s="159" t="s">
        <v>2518</v>
      </c>
      <c r="E52" s="30" t="s">
        <v>45</v>
      </c>
      <c r="F52" s="30" t="s">
        <v>172</v>
      </c>
      <c r="G52" s="31">
        <v>1225172.0</v>
      </c>
      <c r="H52" s="30" t="s">
        <v>2454</v>
      </c>
      <c r="I52" s="31"/>
      <c r="J52" s="30" t="s">
        <v>47</v>
      </c>
    </row>
    <row r="53">
      <c r="A53" s="157">
        <v>2793098.0</v>
      </c>
      <c r="B53" s="158">
        <v>44183.0</v>
      </c>
      <c r="C53" s="159" t="s">
        <v>37</v>
      </c>
      <c r="D53" s="159" t="s">
        <v>2519</v>
      </c>
      <c r="E53" s="30" t="s">
        <v>39</v>
      </c>
      <c r="F53" s="30" t="s">
        <v>140</v>
      </c>
      <c r="G53" s="31">
        <v>758582.0</v>
      </c>
      <c r="H53" s="30" t="s">
        <v>1228</v>
      </c>
      <c r="I53" s="31"/>
      <c r="J53" s="30" t="s">
        <v>47</v>
      </c>
    </row>
    <row r="54">
      <c r="A54" s="157">
        <v>368062.0</v>
      </c>
      <c r="B54" s="158">
        <v>44183.0</v>
      </c>
      <c r="C54" s="159" t="s">
        <v>37</v>
      </c>
      <c r="D54" s="159" t="s">
        <v>2520</v>
      </c>
      <c r="E54" s="30" t="s">
        <v>45</v>
      </c>
      <c r="F54" s="30" t="s">
        <v>172</v>
      </c>
      <c r="G54" s="31"/>
      <c r="H54" s="30" t="s">
        <v>47</v>
      </c>
      <c r="I54" s="31"/>
      <c r="J54" s="30" t="s">
        <v>47</v>
      </c>
    </row>
    <row r="55">
      <c r="A55" s="157">
        <v>1457700.0</v>
      </c>
      <c r="B55" s="158">
        <v>44183.0</v>
      </c>
      <c r="C55" s="159" t="s">
        <v>37</v>
      </c>
      <c r="D55" s="159" t="s">
        <v>2521</v>
      </c>
      <c r="E55" s="30" t="s">
        <v>45</v>
      </c>
      <c r="F55" s="30" t="s">
        <v>172</v>
      </c>
      <c r="G55" s="31">
        <v>2213960.0</v>
      </c>
      <c r="H55" s="30" t="s">
        <v>2522</v>
      </c>
      <c r="I55" s="31"/>
      <c r="J55" s="30" t="s">
        <v>47</v>
      </c>
    </row>
    <row r="56">
      <c r="A56" s="157">
        <v>1281650.0</v>
      </c>
      <c r="B56" s="158">
        <v>44183.0</v>
      </c>
      <c r="C56" s="159" t="s">
        <v>37</v>
      </c>
      <c r="D56" s="159" t="s">
        <v>2523</v>
      </c>
      <c r="E56" s="30" t="s">
        <v>105</v>
      </c>
      <c r="F56" s="30" t="s">
        <v>212</v>
      </c>
      <c r="G56" s="31">
        <v>1194910.0</v>
      </c>
      <c r="H56" s="30" t="s">
        <v>47</v>
      </c>
      <c r="I56" s="31"/>
      <c r="J56" s="30" t="s">
        <v>47</v>
      </c>
    </row>
    <row r="57">
      <c r="A57" s="157">
        <v>1510930.0</v>
      </c>
      <c r="B57" s="158">
        <v>44183.0</v>
      </c>
      <c r="C57" s="159" t="s">
        <v>43</v>
      </c>
      <c r="D57" s="159" t="s">
        <v>2524</v>
      </c>
      <c r="E57" s="30" t="s">
        <v>83</v>
      </c>
      <c r="F57" s="30" t="s">
        <v>153</v>
      </c>
      <c r="G57" s="31"/>
      <c r="H57" s="30" t="s">
        <v>47</v>
      </c>
      <c r="I57" s="31"/>
      <c r="J57" s="30" t="s">
        <v>47</v>
      </c>
    </row>
    <row r="58">
      <c r="A58" s="157">
        <v>1112362.0</v>
      </c>
      <c r="B58" s="158">
        <v>44183.0</v>
      </c>
      <c r="C58" s="159" t="s">
        <v>37</v>
      </c>
      <c r="D58" s="159" t="s">
        <v>2525</v>
      </c>
      <c r="E58" s="30" t="s">
        <v>45</v>
      </c>
      <c r="F58" s="30" t="s">
        <v>90</v>
      </c>
      <c r="G58" s="31">
        <v>2351336.0</v>
      </c>
      <c r="H58" s="30" t="s">
        <v>1911</v>
      </c>
      <c r="I58" s="31"/>
      <c r="J58" s="30" t="s">
        <v>47</v>
      </c>
    </row>
    <row r="59">
      <c r="A59" s="157">
        <v>2460442.0</v>
      </c>
      <c r="B59" s="158">
        <v>44183.0</v>
      </c>
      <c r="C59" s="159" t="s">
        <v>37</v>
      </c>
      <c r="D59" s="159" t="s">
        <v>2526</v>
      </c>
      <c r="E59" s="30" t="s">
        <v>39</v>
      </c>
      <c r="F59" s="30" t="s">
        <v>214</v>
      </c>
      <c r="G59" s="31">
        <v>1778502.0</v>
      </c>
      <c r="H59" s="30" t="s">
        <v>2527</v>
      </c>
      <c r="I59" s="31"/>
      <c r="J59" s="30" t="s">
        <v>47</v>
      </c>
    </row>
    <row r="60">
      <c r="A60" s="157">
        <v>286076.0</v>
      </c>
      <c r="B60" s="158">
        <v>44183.0</v>
      </c>
      <c r="C60" s="159" t="s">
        <v>37</v>
      </c>
      <c r="D60" s="159" t="s">
        <v>2528</v>
      </c>
      <c r="E60" s="30" t="s">
        <v>63</v>
      </c>
      <c r="F60" s="30" t="s">
        <v>294</v>
      </c>
      <c r="G60" s="31">
        <v>977438.0</v>
      </c>
      <c r="H60" s="30" t="s">
        <v>2529</v>
      </c>
      <c r="I60" s="31">
        <v>793796.0</v>
      </c>
      <c r="J60" s="30" t="s">
        <v>863</v>
      </c>
    </row>
    <row r="61">
      <c r="A61" s="157">
        <v>1604852.0</v>
      </c>
      <c r="B61" s="158">
        <v>44183.0</v>
      </c>
      <c r="C61" s="159" t="s">
        <v>37</v>
      </c>
      <c r="D61" s="159" t="s">
        <v>2530</v>
      </c>
      <c r="E61" s="30" t="s">
        <v>39</v>
      </c>
      <c r="F61" s="30" t="s">
        <v>54</v>
      </c>
      <c r="G61" s="31"/>
      <c r="H61" s="30" t="s">
        <v>47</v>
      </c>
      <c r="I61" s="31"/>
      <c r="J61" s="30" t="s">
        <v>47</v>
      </c>
    </row>
    <row r="62">
      <c r="A62" s="157">
        <v>1248588.0</v>
      </c>
      <c r="B62" s="158">
        <v>44183.0</v>
      </c>
      <c r="C62" s="159" t="s">
        <v>37</v>
      </c>
      <c r="D62" s="159" t="s">
        <v>2531</v>
      </c>
      <c r="E62" s="30" t="s">
        <v>63</v>
      </c>
      <c r="F62" s="30" t="s">
        <v>64</v>
      </c>
      <c r="G62" s="31">
        <v>2887450.0</v>
      </c>
      <c r="H62" s="30" t="s">
        <v>2532</v>
      </c>
      <c r="I62" s="31"/>
      <c r="J62" s="30" t="s">
        <v>47</v>
      </c>
    </row>
    <row r="63">
      <c r="A63" s="157">
        <v>513786.0</v>
      </c>
      <c r="B63" s="158">
        <v>44183.0</v>
      </c>
      <c r="C63" s="159" t="s">
        <v>37</v>
      </c>
      <c r="D63" s="159" t="s">
        <v>2533</v>
      </c>
      <c r="E63" s="30" t="s">
        <v>45</v>
      </c>
      <c r="F63" s="30" t="s">
        <v>172</v>
      </c>
      <c r="G63" s="31">
        <v>1662906.0</v>
      </c>
      <c r="H63" s="30" t="s">
        <v>2534</v>
      </c>
      <c r="I63" s="31">
        <v>744606.0</v>
      </c>
      <c r="J63" s="30" t="s">
        <v>468</v>
      </c>
    </row>
    <row r="64">
      <c r="A64" s="157">
        <v>906630.0</v>
      </c>
      <c r="B64" s="158">
        <v>44183.0</v>
      </c>
      <c r="C64" s="159" t="s">
        <v>37</v>
      </c>
      <c r="D64" s="159" t="s">
        <v>2535</v>
      </c>
      <c r="E64" s="30" t="s">
        <v>39</v>
      </c>
      <c r="F64" s="30" t="s">
        <v>140</v>
      </c>
      <c r="G64" s="31">
        <v>1247828.0</v>
      </c>
      <c r="H64" s="30" t="s">
        <v>2536</v>
      </c>
      <c r="I64" s="31"/>
      <c r="J64" s="30" t="s">
        <v>47</v>
      </c>
    </row>
    <row r="65">
      <c r="A65" s="157">
        <v>2460450.0</v>
      </c>
      <c r="B65" s="158">
        <v>44183.0</v>
      </c>
      <c r="C65" s="159" t="s">
        <v>37</v>
      </c>
      <c r="D65" s="159" t="s">
        <v>2537</v>
      </c>
      <c r="E65" s="30" t="s">
        <v>39</v>
      </c>
      <c r="F65" s="30" t="s">
        <v>214</v>
      </c>
      <c r="G65" s="31">
        <v>1778502.0</v>
      </c>
      <c r="H65" s="30" t="s">
        <v>2527</v>
      </c>
      <c r="I65" s="31"/>
      <c r="J65" s="30" t="s">
        <v>47</v>
      </c>
    </row>
    <row r="66">
      <c r="A66" s="157">
        <v>2025178.0</v>
      </c>
      <c r="B66" s="158">
        <v>44183.0</v>
      </c>
      <c r="C66" s="159" t="s">
        <v>37</v>
      </c>
      <c r="D66" s="159" t="s">
        <v>2538</v>
      </c>
      <c r="E66" s="30" t="s">
        <v>189</v>
      </c>
      <c r="F66" s="30" t="s">
        <v>337</v>
      </c>
      <c r="G66" s="31">
        <v>1120038.0</v>
      </c>
      <c r="H66" s="30" t="s">
        <v>2539</v>
      </c>
      <c r="I66" s="31"/>
      <c r="J66" s="30" t="s">
        <v>47</v>
      </c>
    </row>
    <row r="67">
      <c r="A67" s="157">
        <v>1219056.0</v>
      </c>
      <c r="B67" s="158">
        <v>44183.0</v>
      </c>
      <c r="C67" s="159" t="s">
        <v>37</v>
      </c>
      <c r="D67" s="159" t="s">
        <v>2540</v>
      </c>
      <c r="E67" s="30" t="s">
        <v>45</v>
      </c>
      <c r="F67" s="30" t="s">
        <v>172</v>
      </c>
      <c r="G67" s="31">
        <v>1194706.0</v>
      </c>
      <c r="H67" s="30" t="s">
        <v>2541</v>
      </c>
      <c r="I67" s="31"/>
      <c r="J67" s="30" t="s">
        <v>47</v>
      </c>
    </row>
    <row r="68">
      <c r="A68" s="157">
        <v>1542886.0</v>
      </c>
      <c r="B68" s="158">
        <v>44183.0</v>
      </c>
      <c r="C68" s="159" t="s">
        <v>37</v>
      </c>
      <c r="D68" s="159" t="s">
        <v>2542</v>
      </c>
      <c r="E68" s="30" t="s">
        <v>39</v>
      </c>
      <c r="F68" s="30" t="s">
        <v>50</v>
      </c>
      <c r="G68" s="31">
        <v>1209412.0</v>
      </c>
      <c r="H68" s="30" t="s">
        <v>2488</v>
      </c>
      <c r="I68" s="31"/>
      <c r="J68" s="30" t="s">
        <v>47</v>
      </c>
    </row>
    <row r="69">
      <c r="A69" s="157">
        <v>1507666.0</v>
      </c>
      <c r="B69" s="158">
        <v>44183.0</v>
      </c>
      <c r="C69" s="159" t="s">
        <v>37</v>
      </c>
      <c r="D69" s="159" t="s">
        <v>2543</v>
      </c>
      <c r="E69" s="30" t="s">
        <v>189</v>
      </c>
      <c r="F69" s="30" t="s">
        <v>337</v>
      </c>
      <c r="G69" s="31">
        <v>1380500.0</v>
      </c>
      <c r="H69" s="30" t="s">
        <v>2544</v>
      </c>
      <c r="I69" s="31"/>
      <c r="J69" s="30" t="s">
        <v>47</v>
      </c>
    </row>
    <row r="70">
      <c r="A70" s="157">
        <v>952454.0</v>
      </c>
      <c r="B70" s="158">
        <v>44183.0</v>
      </c>
      <c r="C70" s="159" t="s">
        <v>37</v>
      </c>
      <c r="D70" s="159" t="s">
        <v>2545</v>
      </c>
      <c r="E70" s="30" t="s">
        <v>45</v>
      </c>
      <c r="F70" s="30" t="s">
        <v>90</v>
      </c>
      <c r="G70" s="31">
        <v>989516.0</v>
      </c>
      <c r="H70" s="30" t="s">
        <v>2546</v>
      </c>
      <c r="I70" s="31"/>
      <c r="J70" s="30" t="s">
        <v>47</v>
      </c>
    </row>
    <row r="71">
      <c r="A71" s="157">
        <v>2561758.0</v>
      </c>
      <c r="B71" s="158">
        <v>44183.0</v>
      </c>
      <c r="C71" s="159" t="s">
        <v>170</v>
      </c>
      <c r="D71" s="159" t="s">
        <v>2547</v>
      </c>
      <c r="E71" s="30" t="s">
        <v>63</v>
      </c>
      <c r="F71" s="30" t="s">
        <v>294</v>
      </c>
      <c r="G71" s="31"/>
      <c r="H71" s="30" t="s">
        <v>47</v>
      </c>
      <c r="I71" s="31"/>
      <c r="J71" s="30" t="s">
        <v>47</v>
      </c>
    </row>
    <row r="72">
      <c r="A72" s="157">
        <v>2759464.0</v>
      </c>
      <c r="B72" s="158">
        <v>44183.0</v>
      </c>
      <c r="C72" s="159" t="s">
        <v>37</v>
      </c>
      <c r="D72" s="159" t="s">
        <v>2548</v>
      </c>
      <c r="E72" s="30" t="s">
        <v>39</v>
      </c>
      <c r="F72" s="30" t="s">
        <v>50</v>
      </c>
      <c r="G72" s="31">
        <v>1467808.0</v>
      </c>
      <c r="H72" s="30" t="s">
        <v>2549</v>
      </c>
      <c r="I72" s="31"/>
      <c r="J72" s="30" t="s">
        <v>47</v>
      </c>
    </row>
    <row r="73">
      <c r="A73" s="157">
        <v>1425372.0</v>
      </c>
      <c r="B73" s="158">
        <v>44183.0</v>
      </c>
      <c r="C73" s="159" t="s">
        <v>37</v>
      </c>
      <c r="D73" s="159" t="s">
        <v>2550</v>
      </c>
      <c r="E73" s="30" t="s">
        <v>101</v>
      </c>
      <c r="F73" s="30" t="s">
        <v>203</v>
      </c>
      <c r="G73" s="31">
        <v>1346052.0</v>
      </c>
      <c r="H73" s="30" t="s">
        <v>1954</v>
      </c>
      <c r="I73" s="31"/>
      <c r="J73" s="30" t="s">
        <v>47</v>
      </c>
    </row>
    <row r="74">
      <c r="A74" s="157">
        <v>1175244.0</v>
      </c>
      <c r="B74" s="158">
        <v>44183.0</v>
      </c>
      <c r="C74" s="159" t="s">
        <v>37</v>
      </c>
      <c r="D74" s="159" t="s">
        <v>2551</v>
      </c>
      <c r="E74" s="30" t="s">
        <v>45</v>
      </c>
      <c r="F74" s="30" t="s">
        <v>90</v>
      </c>
      <c r="G74" s="31">
        <v>1220404.0</v>
      </c>
      <c r="H74" s="30" t="s">
        <v>47</v>
      </c>
      <c r="I74" s="31"/>
      <c r="J74" s="30" t="s">
        <v>47</v>
      </c>
    </row>
    <row r="75">
      <c r="A75" s="157">
        <v>1545948.0</v>
      </c>
      <c r="B75" s="158">
        <v>44183.0</v>
      </c>
      <c r="C75" s="159" t="s">
        <v>43</v>
      </c>
      <c r="D75" s="159" t="s">
        <v>2552</v>
      </c>
      <c r="E75" s="30" t="s">
        <v>83</v>
      </c>
      <c r="F75" s="30" t="s">
        <v>153</v>
      </c>
      <c r="G75" s="31"/>
      <c r="H75" s="30" t="s">
        <v>47</v>
      </c>
      <c r="I75" s="31"/>
      <c r="J75" s="30" t="s">
        <v>47</v>
      </c>
    </row>
    <row r="76">
      <c r="A76" s="157">
        <v>157542.0</v>
      </c>
      <c r="B76" s="158">
        <v>44183.0</v>
      </c>
      <c r="C76" s="159" t="s">
        <v>37</v>
      </c>
      <c r="D76" s="159" t="s">
        <v>2553</v>
      </c>
      <c r="E76" s="30" t="s">
        <v>189</v>
      </c>
      <c r="F76" s="30" t="s">
        <v>448</v>
      </c>
      <c r="G76" s="31">
        <v>2619774.0</v>
      </c>
      <c r="H76" s="30" t="s">
        <v>2554</v>
      </c>
      <c r="I76" s="31"/>
      <c r="J76" s="30" t="s">
        <v>47</v>
      </c>
    </row>
    <row r="77">
      <c r="A77" s="157">
        <v>2207514.0</v>
      </c>
      <c r="B77" s="158">
        <v>44183.0</v>
      </c>
      <c r="C77" s="159" t="s">
        <v>43</v>
      </c>
      <c r="D77" s="159" t="s">
        <v>2555</v>
      </c>
      <c r="E77" s="30" t="s">
        <v>58</v>
      </c>
      <c r="F77" s="30" t="s">
        <v>944</v>
      </c>
      <c r="G77" s="31"/>
      <c r="H77" s="30" t="s">
        <v>47</v>
      </c>
      <c r="I77" s="31"/>
      <c r="J77" s="30" t="s">
        <v>47</v>
      </c>
    </row>
    <row r="78">
      <c r="A78" s="157">
        <v>1796540.0</v>
      </c>
      <c r="B78" s="158">
        <v>44183.0</v>
      </c>
      <c r="C78" s="159" t="s">
        <v>37</v>
      </c>
      <c r="D78" s="159" t="s">
        <v>2556</v>
      </c>
      <c r="E78" s="30" t="s">
        <v>45</v>
      </c>
      <c r="F78" s="30" t="s">
        <v>46</v>
      </c>
      <c r="G78" s="31"/>
      <c r="H78" s="30" t="s">
        <v>47</v>
      </c>
      <c r="I78" s="31"/>
      <c r="J78" s="30" t="s">
        <v>47</v>
      </c>
    </row>
    <row r="79">
      <c r="A79" s="157">
        <v>2397186.0</v>
      </c>
      <c r="B79" s="158">
        <v>44183.0</v>
      </c>
      <c r="C79" s="159" t="s">
        <v>37</v>
      </c>
      <c r="D79" s="159" t="s">
        <v>2557</v>
      </c>
      <c r="E79" s="30" t="s">
        <v>45</v>
      </c>
      <c r="F79" s="30" t="s">
        <v>90</v>
      </c>
      <c r="G79" s="31"/>
      <c r="H79" s="30" t="s">
        <v>47</v>
      </c>
      <c r="I79" s="31"/>
      <c r="J79" s="30" t="s">
        <v>47</v>
      </c>
    </row>
    <row r="80">
      <c r="A80" s="157">
        <v>572592.0</v>
      </c>
      <c r="B80" s="158">
        <v>44183.0</v>
      </c>
      <c r="C80" s="159" t="s">
        <v>37</v>
      </c>
      <c r="D80" s="159" t="s">
        <v>2558</v>
      </c>
      <c r="E80" s="30" t="s">
        <v>219</v>
      </c>
      <c r="F80" s="30" t="s">
        <v>220</v>
      </c>
      <c r="G80" s="31">
        <v>1449746.0</v>
      </c>
      <c r="H80" s="30" t="s">
        <v>1697</v>
      </c>
      <c r="I80" s="31"/>
      <c r="J80" s="30" t="s">
        <v>47</v>
      </c>
    </row>
    <row r="81">
      <c r="A81" s="157">
        <v>896858.0</v>
      </c>
      <c r="B81" s="158">
        <v>44183.0</v>
      </c>
      <c r="C81" s="159" t="s">
        <v>37</v>
      </c>
      <c r="D81" s="159" t="s">
        <v>2559</v>
      </c>
      <c r="E81" s="30" t="s">
        <v>39</v>
      </c>
      <c r="F81" s="30" t="s">
        <v>140</v>
      </c>
      <c r="G81" s="31">
        <v>1178762.0</v>
      </c>
      <c r="H81" s="30" t="s">
        <v>2560</v>
      </c>
      <c r="I81" s="31">
        <v>1498332.0</v>
      </c>
      <c r="J81" s="30" t="s">
        <v>2561</v>
      </c>
    </row>
    <row r="82">
      <c r="A82" s="157">
        <v>1900608.0</v>
      </c>
      <c r="B82" s="158">
        <v>44183.0</v>
      </c>
      <c r="C82" s="159" t="s">
        <v>37</v>
      </c>
      <c r="D82" s="159" t="s">
        <v>2562</v>
      </c>
      <c r="E82" s="30" t="s">
        <v>45</v>
      </c>
      <c r="F82" s="30" t="s">
        <v>172</v>
      </c>
      <c r="G82" s="31">
        <v>735204.0</v>
      </c>
      <c r="H82" s="30" t="s">
        <v>2563</v>
      </c>
      <c r="I82" s="31"/>
      <c r="J82" s="30" t="s">
        <v>47</v>
      </c>
    </row>
    <row r="83">
      <c r="A83" s="157">
        <v>2126948.0</v>
      </c>
      <c r="B83" s="158">
        <v>44183.0</v>
      </c>
      <c r="C83" s="159" t="s">
        <v>37</v>
      </c>
      <c r="D83" s="159" t="s">
        <v>411</v>
      </c>
      <c r="E83" s="30" t="s">
        <v>39</v>
      </c>
      <c r="F83" s="30" t="s">
        <v>214</v>
      </c>
      <c r="G83" s="31"/>
      <c r="H83" s="30" t="s">
        <v>47</v>
      </c>
      <c r="I83" s="31"/>
      <c r="J83" s="30" t="s">
        <v>47</v>
      </c>
    </row>
    <row r="84">
      <c r="A84" s="157">
        <v>1607442.0</v>
      </c>
      <c r="B84" s="158">
        <v>44183.0</v>
      </c>
      <c r="C84" s="159" t="s">
        <v>37</v>
      </c>
      <c r="D84" s="159" t="s">
        <v>2564</v>
      </c>
      <c r="E84" s="30" t="s">
        <v>45</v>
      </c>
      <c r="F84" s="30" t="s">
        <v>90</v>
      </c>
      <c r="G84" s="31">
        <v>1228390.0</v>
      </c>
      <c r="H84" s="30" t="s">
        <v>2565</v>
      </c>
      <c r="I84" s="31"/>
      <c r="J84" s="30" t="s">
        <v>47</v>
      </c>
    </row>
    <row r="85">
      <c r="A85" s="157">
        <v>1532638.0</v>
      </c>
      <c r="B85" s="158">
        <v>44183.0</v>
      </c>
      <c r="C85" s="159" t="s">
        <v>142</v>
      </c>
      <c r="D85" s="159" t="s">
        <v>2566</v>
      </c>
      <c r="E85" s="30" t="s">
        <v>189</v>
      </c>
      <c r="F85" s="30" t="s">
        <v>300</v>
      </c>
      <c r="G85" s="31">
        <v>1580318.0</v>
      </c>
      <c r="H85" s="30" t="s">
        <v>2567</v>
      </c>
      <c r="I85" s="31"/>
      <c r="J85" s="30" t="s">
        <v>47</v>
      </c>
    </row>
    <row r="86">
      <c r="A86" s="157">
        <v>2552715.0</v>
      </c>
      <c r="B86" s="158">
        <v>44183.0</v>
      </c>
      <c r="C86" s="159" t="s">
        <v>37</v>
      </c>
      <c r="D86" s="159" t="s">
        <v>2568</v>
      </c>
      <c r="E86" s="30" t="s">
        <v>39</v>
      </c>
      <c r="F86" s="30" t="s">
        <v>54</v>
      </c>
      <c r="G86" s="31">
        <v>3160664.0</v>
      </c>
      <c r="H86" s="30" t="s">
        <v>2569</v>
      </c>
      <c r="I86" s="31"/>
      <c r="J86" s="30" t="s">
        <v>47</v>
      </c>
    </row>
    <row r="87">
      <c r="A87" s="157">
        <v>1313548.0</v>
      </c>
      <c r="B87" s="158">
        <v>44183.0</v>
      </c>
      <c r="C87" s="159" t="s">
        <v>70</v>
      </c>
      <c r="D87" s="159" t="s">
        <v>2570</v>
      </c>
      <c r="E87" s="30" t="s">
        <v>96</v>
      </c>
      <c r="F87" s="30" t="s">
        <v>109</v>
      </c>
      <c r="G87" s="31">
        <v>1909300.0</v>
      </c>
      <c r="H87" s="30" t="s">
        <v>2571</v>
      </c>
      <c r="I87" s="31"/>
      <c r="J87" s="30" t="s">
        <v>47</v>
      </c>
    </row>
    <row r="88">
      <c r="A88" s="157">
        <v>2577178.0</v>
      </c>
      <c r="B88" s="158">
        <v>44183.0</v>
      </c>
      <c r="C88" s="159" t="s">
        <v>37</v>
      </c>
      <c r="D88" s="159" t="s">
        <v>991</v>
      </c>
      <c r="E88" s="30" t="s">
        <v>122</v>
      </c>
      <c r="F88" s="30" t="s">
        <v>271</v>
      </c>
      <c r="G88" s="31">
        <v>2830804.0</v>
      </c>
      <c r="H88" s="30" t="s">
        <v>2572</v>
      </c>
      <c r="I88" s="31"/>
      <c r="J88" s="30" t="s">
        <v>47</v>
      </c>
    </row>
    <row r="89">
      <c r="A89" s="157">
        <v>1019912.0</v>
      </c>
      <c r="B89" s="158">
        <v>44183.0</v>
      </c>
      <c r="C89" s="159" t="s">
        <v>37</v>
      </c>
      <c r="D89" s="159" t="s">
        <v>2573</v>
      </c>
      <c r="E89" s="30" t="s">
        <v>39</v>
      </c>
      <c r="F89" s="30" t="s">
        <v>140</v>
      </c>
      <c r="G89" s="31">
        <v>1340862.0</v>
      </c>
      <c r="H89" s="30" t="s">
        <v>2574</v>
      </c>
      <c r="I89" s="31">
        <v>1215660.0</v>
      </c>
      <c r="J89" s="30" t="s">
        <v>2575</v>
      </c>
    </row>
    <row r="90">
      <c r="A90" s="157">
        <v>2997692.0</v>
      </c>
      <c r="B90" s="158">
        <v>44183.0</v>
      </c>
      <c r="C90" s="159" t="s">
        <v>37</v>
      </c>
      <c r="D90" s="159" t="s">
        <v>383</v>
      </c>
      <c r="E90" s="30" t="s">
        <v>101</v>
      </c>
      <c r="F90" s="30" t="s">
        <v>203</v>
      </c>
      <c r="G90" s="31"/>
      <c r="H90" s="30" t="s">
        <v>47</v>
      </c>
      <c r="I90" s="31"/>
      <c r="J90" s="30" t="s">
        <v>47</v>
      </c>
    </row>
    <row r="91">
      <c r="A91" s="157">
        <v>2053219.0</v>
      </c>
      <c r="B91" s="158">
        <v>44183.0</v>
      </c>
      <c r="C91" s="159" t="s">
        <v>37</v>
      </c>
      <c r="D91" s="159" t="s">
        <v>384</v>
      </c>
      <c r="E91" s="30" t="s">
        <v>39</v>
      </c>
      <c r="F91" s="30" t="s">
        <v>140</v>
      </c>
      <c r="G91" s="31"/>
      <c r="H91" s="30" t="s">
        <v>47</v>
      </c>
      <c r="I91" s="31"/>
      <c r="J91" s="30" t="s">
        <v>47</v>
      </c>
    </row>
    <row r="92">
      <c r="A92" s="157">
        <v>53908.0</v>
      </c>
      <c r="B92" s="158">
        <v>44183.0</v>
      </c>
      <c r="C92" s="159" t="s">
        <v>37</v>
      </c>
      <c r="D92" s="159" t="s">
        <v>2576</v>
      </c>
      <c r="E92" s="30" t="s">
        <v>45</v>
      </c>
      <c r="F92" s="30" t="s">
        <v>75</v>
      </c>
      <c r="G92" s="31">
        <v>359100.0</v>
      </c>
      <c r="H92" s="30" t="s">
        <v>2577</v>
      </c>
      <c r="I92" s="31">
        <v>1311648.0</v>
      </c>
      <c r="J92" s="30" t="s">
        <v>1559</v>
      </c>
    </row>
    <row r="93">
      <c r="A93" s="157">
        <v>1621194.0</v>
      </c>
      <c r="B93" s="158">
        <v>44183.0</v>
      </c>
      <c r="C93" s="159" t="s">
        <v>37</v>
      </c>
      <c r="D93" s="159" t="s">
        <v>2578</v>
      </c>
      <c r="E93" s="30" t="s">
        <v>39</v>
      </c>
      <c r="F93" s="30" t="s">
        <v>50</v>
      </c>
      <c r="G93" s="31">
        <v>1240964.0</v>
      </c>
      <c r="H93" s="30" t="s">
        <v>2579</v>
      </c>
      <c r="I93" s="31"/>
      <c r="J93" s="30" t="s">
        <v>47</v>
      </c>
    </row>
    <row r="94">
      <c r="A94" s="157">
        <v>1081670.0</v>
      </c>
      <c r="B94" s="158">
        <v>44183.0</v>
      </c>
      <c r="C94" s="159" t="s">
        <v>37</v>
      </c>
      <c r="D94" s="159" t="s">
        <v>2580</v>
      </c>
      <c r="E94" s="30" t="s">
        <v>45</v>
      </c>
      <c r="F94" s="30" t="s">
        <v>46</v>
      </c>
      <c r="G94" s="31"/>
      <c r="H94" s="30" t="s">
        <v>47</v>
      </c>
      <c r="I94" s="31"/>
      <c r="J94" s="30" t="s">
        <v>47</v>
      </c>
    </row>
    <row r="95">
      <c r="A95" s="157">
        <v>1173134.0</v>
      </c>
      <c r="B95" s="158">
        <v>44165.0</v>
      </c>
      <c r="C95" s="159" t="s">
        <v>893</v>
      </c>
      <c r="D95" s="159" t="s">
        <v>1107</v>
      </c>
      <c r="E95" s="30" t="s">
        <v>105</v>
      </c>
      <c r="F95" s="30" t="s">
        <v>212</v>
      </c>
      <c r="G95" s="31">
        <v>1613102.0</v>
      </c>
      <c r="H95" s="30" t="s">
        <v>2581</v>
      </c>
      <c r="I95" s="31"/>
      <c r="J95" s="30" t="s">
        <v>47</v>
      </c>
    </row>
    <row r="96">
      <c r="A96" s="157">
        <v>119262.0</v>
      </c>
      <c r="B96" s="158">
        <v>44165.0</v>
      </c>
      <c r="C96" s="159" t="s">
        <v>893</v>
      </c>
      <c r="D96" s="159" t="s">
        <v>1101</v>
      </c>
      <c r="E96" s="30" t="s">
        <v>105</v>
      </c>
      <c r="F96" s="30" t="s">
        <v>212</v>
      </c>
      <c r="G96" s="31">
        <v>519442.0</v>
      </c>
      <c r="H96" s="30" t="s">
        <v>1102</v>
      </c>
      <c r="I96" s="31"/>
      <c r="J96" s="30" t="s">
        <v>47</v>
      </c>
    </row>
    <row r="97">
      <c r="A97" s="157">
        <v>1340966.0</v>
      </c>
      <c r="B97" s="158">
        <v>44165.0</v>
      </c>
      <c r="C97" s="159" t="s">
        <v>893</v>
      </c>
      <c r="D97" s="159" t="s">
        <v>1109</v>
      </c>
      <c r="E97" s="30" t="s">
        <v>45</v>
      </c>
      <c r="F97" s="30" t="s">
        <v>75</v>
      </c>
      <c r="G97" s="31"/>
      <c r="H97" s="30" t="s">
        <v>47</v>
      </c>
      <c r="I97" s="31"/>
      <c r="J97" s="30" t="s">
        <v>47</v>
      </c>
    </row>
    <row r="98">
      <c r="A98" s="157">
        <v>1464666.0</v>
      </c>
      <c r="B98" s="158">
        <v>44165.0</v>
      </c>
      <c r="C98" s="159" t="s">
        <v>893</v>
      </c>
      <c r="D98" s="159" t="s">
        <v>2582</v>
      </c>
      <c r="E98" s="30" t="s">
        <v>39</v>
      </c>
      <c r="F98" s="30" t="s">
        <v>50</v>
      </c>
      <c r="G98" s="31"/>
      <c r="H98" s="30" t="s">
        <v>47</v>
      </c>
      <c r="I98" s="31"/>
      <c r="J98" s="30" t="s">
        <v>47</v>
      </c>
    </row>
    <row r="99">
      <c r="A99" s="157">
        <v>1334144.0</v>
      </c>
      <c r="B99" s="158">
        <v>44165.0</v>
      </c>
      <c r="C99" s="159" t="s">
        <v>893</v>
      </c>
      <c r="D99" s="159" t="s">
        <v>1104</v>
      </c>
      <c r="E99" s="30" t="s">
        <v>122</v>
      </c>
      <c r="F99" s="30" t="s">
        <v>271</v>
      </c>
      <c r="G99" s="31">
        <v>2170852.0</v>
      </c>
      <c r="H99" s="30" t="s">
        <v>1106</v>
      </c>
      <c r="I99" s="31"/>
      <c r="J99" s="30" t="s">
        <v>47</v>
      </c>
    </row>
    <row r="100">
      <c r="A100" s="157">
        <v>826202.0</v>
      </c>
      <c r="B100" s="158">
        <v>44165.0</v>
      </c>
      <c r="C100" s="159" t="s">
        <v>893</v>
      </c>
      <c r="D100" s="159" t="s">
        <v>2583</v>
      </c>
      <c r="E100" s="30" t="s">
        <v>39</v>
      </c>
      <c r="F100" s="30" t="s">
        <v>140</v>
      </c>
      <c r="G100" s="31">
        <v>1189136.0</v>
      </c>
      <c r="H100" s="30" t="s">
        <v>2584</v>
      </c>
      <c r="I100" s="31"/>
      <c r="J100" s="30" t="s">
        <v>47</v>
      </c>
    </row>
    <row r="101">
      <c r="A101" s="157">
        <v>2432038.0</v>
      </c>
      <c r="B101" s="158">
        <v>44165.0</v>
      </c>
      <c r="C101" s="159" t="s">
        <v>893</v>
      </c>
      <c r="D101" s="159" t="s">
        <v>1103</v>
      </c>
      <c r="E101" s="30"/>
      <c r="F101" s="30"/>
      <c r="G101" s="31"/>
      <c r="H101" s="30" t="s">
        <v>47</v>
      </c>
      <c r="I101" s="31"/>
      <c r="J101" s="30" t="s">
        <v>47</v>
      </c>
    </row>
    <row r="102">
      <c r="A102" s="157">
        <v>1955644.0</v>
      </c>
      <c r="B102" s="158">
        <v>44165.0</v>
      </c>
      <c r="C102" s="159" t="s">
        <v>893</v>
      </c>
      <c r="D102" s="159" t="s">
        <v>2585</v>
      </c>
      <c r="E102" s="30" t="s">
        <v>39</v>
      </c>
      <c r="F102" s="30" t="s">
        <v>54</v>
      </c>
      <c r="G102" s="31">
        <v>1332572.0</v>
      </c>
      <c r="H102" s="30" t="s">
        <v>1199</v>
      </c>
      <c r="I102" s="31"/>
      <c r="J102" s="30" t="s">
        <v>47</v>
      </c>
    </row>
    <row r="103">
      <c r="A103" s="157">
        <v>633466.0</v>
      </c>
      <c r="B103" s="158">
        <v>44165.0</v>
      </c>
      <c r="C103" s="159" t="s">
        <v>893</v>
      </c>
      <c r="D103" s="159" t="s">
        <v>2586</v>
      </c>
      <c r="E103" s="30" t="s">
        <v>45</v>
      </c>
      <c r="F103" s="30" t="s">
        <v>75</v>
      </c>
      <c r="G103" s="31">
        <v>1358570.0</v>
      </c>
      <c r="H103" s="30" t="s">
        <v>2587</v>
      </c>
      <c r="I103" s="31"/>
      <c r="J103" s="30" t="s">
        <v>47</v>
      </c>
    </row>
    <row r="104">
      <c r="A104" s="157">
        <v>2353322.0</v>
      </c>
      <c r="B104" s="158">
        <v>44165.0</v>
      </c>
      <c r="C104" s="159" t="s">
        <v>893</v>
      </c>
      <c r="D104" s="159" t="s">
        <v>2588</v>
      </c>
      <c r="E104" s="30" t="s">
        <v>39</v>
      </c>
      <c r="F104" s="30" t="s">
        <v>214</v>
      </c>
      <c r="G104" s="31">
        <v>1347834.0</v>
      </c>
      <c r="H104" s="30" t="s">
        <v>2589</v>
      </c>
      <c r="I104" s="31"/>
      <c r="J104" s="30" t="s">
        <v>47</v>
      </c>
    </row>
    <row r="105">
      <c r="A105" s="157">
        <v>1123752.0</v>
      </c>
      <c r="B105" s="158">
        <v>44165.0</v>
      </c>
      <c r="C105" s="159" t="s">
        <v>893</v>
      </c>
      <c r="D105" s="159" t="s">
        <v>2590</v>
      </c>
      <c r="E105" s="30" t="s">
        <v>45</v>
      </c>
      <c r="F105" s="30" t="s">
        <v>172</v>
      </c>
      <c r="G105" s="31"/>
      <c r="H105" s="30" t="s">
        <v>47</v>
      </c>
      <c r="I105" s="31"/>
      <c r="J105" s="30" t="s">
        <v>47</v>
      </c>
    </row>
    <row r="106">
      <c r="A106" s="157">
        <v>2861944.0</v>
      </c>
      <c r="B106" s="158">
        <v>44165.0</v>
      </c>
      <c r="C106" s="159" t="s">
        <v>893</v>
      </c>
      <c r="D106" s="159" t="s">
        <v>2591</v>
      </c>
      <c r="E106" s="30" t="s">
        <v>189</v>
      </c>
      <c r="F106" s="30" t="s">
        <v>448</v>
      </c>
      <c r="G106" s="31">
        <v>2689300.0</v>
      </c>
      <c r="H106" s="30" t="s">
        <v>2592</v>
      </c>
      <c r="I106" s="31"/>
      <c r="J106" s="30" t="s">
        <v>47</v>
      </c>
    </row>
    <row r="107">
      <c r="A107" s="157">
        <v>1250542.0</v>
      </c>
      <c r="B107" s="158">
        <v>44165.0</v>
      </c>
      <c r="C107" s="159" t="s">
        <v>893</v>
      </c>
      <c r="D107" s="159" t="s">
        <v>2593</v>
      </c>
      <c r="E107" s="30" t="s">
        <v>45</v>
      </c>
      <c r="F107" s="30" t="s">
        <v>46</v>
      </c>
      <c r="G107" s="31"/>
      <c r="H107" s="30" t="s">
        <v>47</v>
      </c>
      <c r="I107" s="31"/>
      <c r="J107" s="30" t="s">
        <v>47</v>
      </c>
    </row>
    <row r="108">
      <c r="A108" s="157">
        <v>1015186.0</v>
      </c>
      <c r="B108" s="158">
        <v>44165.0</v>
      </c>
      <c r="C108" s="159" t="s">
        <v>893</v>
      </c>
      <c r="D108" s="159" t="s">
        <v>2594</v>
      </c>
      <c r="E108" s="30" t="s">
        <v>39</v>
      </c>
      <c r="F108" s="30" t="s">
        <v>54</v>
      </c>
      <c r="G108" s="31"/>
      <c r="H108" s="30" t="s">
        <v>47</v>
      </c>
      <c r="I108" s="31"/>
      <c r="J108" s="30" t="s">
        <v>47</v>
      </c>
    </row>
    <row r="109">
      <c r="A109" s="157">
        <v>1283856.0</v>
      </c>
      <c r="B109" s="158">
        <v>44165.0</v>
      </c>
      <c r="C109" s="159" t="s">
        <v>893</v>
      </c>
      <c r="D109" s="159" t="s">
        <v>2595</v>
      </c>
      <c r="E109" s="30" t="s">
        <v>105</v>
      </c>
      <c r="F109" s="30" t="s">
        <v>106</v>
      </c>
      <c r="G109" s="31"/>
      <c r="H109" s="30" t="s">
        <v>47</v>
      </c>
      <c r="I109" s="31"/>
      <c r="J109" s="30" t="s">
        <v>47</v>
      </c>
    </row>
    <row r="110">
      <c r="A110" s="157">
        <v>2672428.0</v>
      </c>
      <c r="B110" s="158">
        <v>44165.0</v>
      </c>
      <c r="C110" s="159" t="s">
        <v>893</v>
      </c>
      <c r="D110" s="159" t="s">
        <v>2596</v>
      </c>
      <c r="E110" s="30" t="s">
        <v>83</v>
      </c>
      <c r="F110" s="30" t="s">
        <v>876</v>
      </c>
      <c r="G110" s="31"/>
      <c r="H110" s="30" t="s">
        <v>47</v>
      </c>
      <c r="I110" s="31"/>
      <c r="J110" s="30" t="s">
        <v>47</v>
      </c>
    </row>
    <row r="111">
      <c r="A111" s="157">
        <v>1957644.0</v>
      </c>
      <c r="B111" s="158">
        <v>44165.0</v>
      </c>
      <c r="C111" s="159" t="s">
        <v>893</v>
      </c>
      <c r="D111" s="159" t="s">
        <v>2597</v>
      </c>
      <c r="E111" s="30" t="s">
        <v>39</v>
      </c>
      <c r="F111" s="30" t="s">
        <v>140</v>
      </c>
      <c r="G111" s="31"/>
      <c r="H111" s="30" t="s">
        <v>47</v>
      </c>
      <c r="I111" s="31"/>
      <c r="J111" s="30" t="s">
        <v>47</v>
      </c>
    </row>
    <row r="112">
      <c r="A112" s="157">
        <v>2107052.0</v>
      </c>
      <c r="B112" s="158">
        <v>44165.0</v>
      </c>
      <c r="C112" s="159" t="s">
        <v>893</v>
      </c>
      <c r="D112" s="159" t="s">
        <v>2598</v>
      </c>
      <c r="E112" s="30" t="s">
        <v>39</v>
      </c>
      <c r="F112" s="30" t="s">
        <v>140</v>
      </c>
      <c r="G112" s="31"/>
      <c r="H112" s="30" t="s">
        <v>47</v>
      </c>
      <c r="I112" s="31"/>
      <c r="J112" s="30" t="s">
        <v>47</v>
      </c>
    </row>
    <row r="113">
      <c r="A113" s="157">
        <v>1137208.0</v>
      </c>
      <c r="B113" s="158">
        <v>44165.0</v>
      </c>
      <c r="C113" s="159" t="s">
        <v>893</v>
      </c>
      <c r="D113" s="159" t="s">
        <v>2599</v>
      </c>
      <c r="E113" s="30"/>
      <c r="F113" s="30"/>
      <c r="G113" s="31"/>
      <c r="H113" s="30" t="s">
        <v>47</v>
      </c>
      <c r="I113" s="31"/>
      <c r="J113" s="30" t="s">
        <v>47</v>
      </c>
    </row>
    <row r="114">
      <c r="A114" s="157">
        <v>1326772.0</v>
      </c>
      <c r="B114" s="158">
        <v>44165.0</v>
      </c>
      <c r="C114" s="159" t="s">
        <v>893</v>
      </c>
      <c r="D114" s="159" t="s">
        <v>2600</v>
      </c>
      <c r="E114" s="30" t="s">
        <v>39</v>
      </c>
      <c r="F114" s="30" t="s">
        <v>54</v>
      </c>
      <c r="G114" s="31">
        <v>336450.0</v>
      </c>
      <c r="H114" s="30" t="s">
        <v>2601</v>
      </c>
      <c r="I114" s="31"/>
      <c r="J114" s="30" t="s">
        <v>47</v>
      </c>
    </row>
    <row r="115">
      <c r="A115" s="157">
        <v>1927274.0</v>
      </c>
      <c r="B115" s="158">
        <v>44165.0</v>
      </c>
      <c r="C115" s="159" t="s">
        <v>893</v>
      </c>
      <c r="D115" s="159" t="s">
        <v>2602</v>
      </c>
      <c r="E115" s="30" t="s">
        <v>39</v>
      </c>
      <c r="F115" s="30" t="s">
        <v>140</v>
      </c>
      <c r="G115" s="31"/>
      <c r="H115" s="30" t="s">
        <v>47</v>
      </c>
      <c r="I115" s="31"/>
      <c r="J115" s="30" t="s">
        <v>47</v>
      </c>
    </row>
    <row r="116">
      <c r="A116" s="157">
        <v>1361276.0</v>
      </c>
      <c r="B116" s="158">
        <v>44165.0</v>
      </c>
      <c r="C116" s="159" t="s">
        <v>893</v>
      </c>
      <c r="D116" s="159" t="s">
        <v>2603</v>
      </c>
      <c r="E116" s="30" t="s">
        <v>63</v>
      </c>
      <c r="F116" s="30" t="s">
        <v>256</v>
      </c>
      <c r="G116" s="31">
        <v>1426364.0</v>
      </c>
      <c r="H116" s="30" t="s">
        <v>1698</v>
      </c>
      <c r="I116" s="31"/>
      <c r="J116" s="30" t="s">
        <v>47</v>
      </c>
    </row>
    <row r="117">
      <c r="A117" s="157">
        <v>1315784.0</v>
      </c>
      <c r="B117" s="158">
        <v>44165.0</v>
      </c>
      <c r="C117" s="159" t="s">
        <v>893</v>
      </c>
      <c r="D117" s="159" t="s">
        <v>2604</v>
      </c>
      <c r="E117" s="30" t="s">
        <v>39</v>
      </c>
      <c r="F117" s="30" t="s">
        <v>54</v>
      </c>
      <c r="G117" s="31">
        <v>1426364.0</v>
      </c>
      <c r="H117" s="30" t="s">
        <v>1698</v>
      </c>
      <c r="I117" s="31"/>
      <c r="J117" s="30" t="s">
        <v>47</v>
      </c>
    </row>
    <row r="118">
      <c r="A118" s="157">
        <v>520302.0</v>
      </c>
      <c r="B118" s="158">
        <v>44165.0</v>
      </c>
      <c r="C118" s="159" t="s">
        <v>893</v>
      </c>
      <c r="D118" s="159" t="s">
        <v>2605</v>
      </c>
      <c r="E118" s="30" t="s">
        <v>105</v>
      </c>
      <c r="F118" s="30" t="s">
        <v>198</v>
      </c>
      <c r="G118" s="31"/>
      <c r="H118" s="30" t="s">
        <v>47</v>
      </c>
      <c r="I118" s="31"/>
      <c r="J118" s="30" t="s">
        <v>47</v>
      </c>
    </row>
    <row r="119">
      <c r="A119" s="157">
        <v>2313630.0</v>
      </c>
      <c r="B119" s="158">
        <v>44165.0</v>
      </c>
      <c r="C119" s="159" t="s">
        <v>2606</v>
      </c>
      <c r="D119" s="159" t="s">
        <v>1108</v>
      </c>
      <c r="E119" s="30" t="s">
        <v>39</v>
      </c>
      <c r="F119" s="30" t="s">
        <v>140</v>
      </c>
      <c r="G119" s="31"/>
      <c r="H119" s="30" t="s">
        <v>47</v>
      </c>
      <c r="I119" s="31"/>
      <c r="J119" s="30" t="s">
        <v>47</v>
      </c>
    </row>
    <row r="120">
      <c r="A120" s="157">
        <v>902674.0</v>
      </c>
      <c r="B120" s="158">
        <v>44165.0</v>
      </c>
      <c r="C120" s="159" t="s">
        <v>2606</v>
      </c>
      <c r="D120" s="159" t="s">
        <v>1099</v>
      </c>
      <c r="E120" s="30" t="s">
        <v>105</v>
      </c>
      <c r="F120" s="30" t="s">
        <v>316</v>
      </c>
      <c r="G120" s="31">
        <v>983670.0</v>
      </c>
      <c r="H120" s="30" t="s">
        <v>1100</v>
      </c>
      <c r="I120" s="31"/>
      <c r="J120" s="30" t="s">
        <v>47</v>
      </c>
    </row>
    <row r="121">
      <c r="A121" s="157">
        <v>1321874.0</v>
      </c>
      <c r="B121" s="158">
        <v>44165.0</v>
      </c>
      <c r="C121" s="159" t="s">
        <v>2362</v>
      </c>
      <c r="D121" s="159" t="s">
        <v>2607</v>
      </c>
      <c r="E121" s="30" t="s">
        <v>39</v>
      </c>
      <c r="F121" s="30" t="s">
        <v>297</v>
      </c>
      <c r="G121" s="31">
        <v>1505418.0</v>
      </c>
      <c r="H121" s="30" t="s">
        <v>2608</v>
      </c>
      <c r="I121" s="31"/>
      <c r="J121" s="30" t="s">
        <v>47</v>
      </c>
    </row>
    <row r="122">
      <c r="A122" s="157">
        <v>1755064.0</v>
      </c>
      <c r="B122" s="158">
        <v>44165.0</v>
      </c>
      <c r="C122" s="159" t="s">
        <v>2606</v>
      </c>
      <c r="D122" s="159" t="s">
        <v>2609</v>
      </c>
      <c r="E122" s="30" t="s">
        <v>122</v>
      </c>
      <c r="F122" s="30" t="s">
        <v>538</v>
      </c>
      <c r="G122" s="31"/>
      <c r="H122" s="30" t="s">
        <v>47</v>
      </c>
      <c r="I122" s="31"/>
      <c r="J122" s="30" t="s">
        <v>47</v>
      </c>
    </row>
    <row r="123">
      <c r="A123" s="157">
        <v>1356238.0</v>
      </c>
      <c r="B123" s="158">
        <v>44165.0</v>
      </c>
      <c r="C123" s="159" t="s">
        <v>2610</v>
      </c>
      <c r="D123" s="159" t="s">
        <v>2611</v>
      </c>
      <c r="E123" s="30" t="s">
        <v>45</v>
      </c>
      <c r="F123" s="30" t="s">
        <v>75</v>
      </c>
      <c r="G123" s="31"/>
      <c r="H123" s="30" t="s">
        <v>47</v>
      </c>
      <c r="I123" s="31"/>
      <c r="J123" s="30" t="s">
        <v>47</v>
      </c>
    </row>
    <row r="124">
      <c r="A124" s="157">
        <v>1440260.0</v>
      </c>
      <c r="B124" s="158">
        <v>44165.0</v>
      </c>
      <c r="C124" s="159" t="s">
        <v>2606</v>
      </c>
      <c r="D124" s="159" t="s">
        <v>2612</v>
      </c>
      <c r="E124" s="30" t="s">
        <v>79</v>
      </c>
      <c r="F124" s="30" t="s">
        <v>184</v>
      </c>
      <c r="G124" s="31"/>
      <c r="H124" s="30" t="s">
        <v>47</v>
      </c>
      <c r="I124" s="31"/>
      <c r="J124" s="30" t="s">
        <v>47</v>
      </c>
    </row>
    <row r="125">
      <c r="A125" s="157">
        <v>1567348.0</v>
      </c>
      <c r="B125" s="158">
        <v>44165.0</v>
      </c>
      <c r="C125" s="159" t="s">
        <v>2613</v>
      </c>
      <c r="D125" s="159" t="s">
        <v>2614</v>
      </c>
      <c r="E125" s="30" t="s">
        <v>122</v>
      </c>
      <c r="F125" s="30" t="s">
        <v>123</v>
      </c>
      <c r="G125" s="31">
        <v>3380600.0</v>
      </c>
      <c r="H125" s="30" t="s">
        <v>2615</v>
      </c>
      <c r="I125" s="31"/>
      <c r="J125" s="30" t="s">
        <v>47</v>
      </c>
    </row>
    <row r="126">
      <c r="A126" s="157">
        <v>2669034.0</v>
      </c>
      <c r="B126" s="158">
        <v>44153.0</v>
      </c>
      <c r="C126" s="159" t="s">
        <v>893</v>
      </c>
      <c r="D126" s="159" t="s">
        <v>2616</v>
      </c>
      <c r="E126" s="30" t="s">
        <v>79</v>
      </c>
      <c r="F126" s="30" t="s">
        <v>261</v>
      </c>
      <c r="G126" s="31"/>
      <c r="H126" s="30" t="s">
        <v>47</v>
      </c>
      <c r="I126" s="31"/>
      <c r="J126" s="30" t="s">
        <v>47</v>
      </c>
    </row>
    <row r="127">
      <c r="A127" s="157">
        <v>1279958.0</v>
      </c>
      <c r="B127" s="158">
        <v>44153.0</v>
      </c>
      <c r="C127" s="159" t="s">
        <v>893</v>
      </c>
      <c r="D127" s="159" t="s">
        <v>2617</v>
      </c>
      <c r="E127" s="30" t="s">
        <v>122</v>
      </c>
      <c r="F127" s="30" t="s">
        <v>123</v>
      </c>
      <c r="G127" s="31"/>
      <c r="H127" s="30" t="s">
        <v>47</v>
      </c>
      <c r="I127" s="31"/>
      <c r="J127" s="30" t="s">
        <v>47</v>
      </c>
    </row>
    <row r="128">
      <c r="A128" s="157">
        <v>1384448.0</v>
      </c>
      <c r="B128" s="158">
        <v>44141.0</v>
      </c>
      <c r="C128" s="159" t="s">
        <v>893</v>
      </c>
      <c r="D128" s="159" t="s">
        <v>2618</v>
      </c>
      <c r="E128" s="30" t="s">
        <v>63</v>
      </c>
      <c r="F128" s="30" t="s">
        <v>64</v>
      </c>
      <c r="G128" s="31">
        <v>1208634.0</v>
      </c>
      <c r="H128" s="30" t="s">
        <v>2619</v>
      </c>
      <c r="I128" s="31">
        <v>1570206.0</v>
      </c>
      <c r="J128" s="30" t="s">
        <v>2620</v>
      </c>
    </row>
    <row r="129">
      <c r="A129" s="157">
        <v>2606644.0</v>
      </c>
      <c r="B129" s="158">
        <v>44141.0</v>
      </c>
      <c r="C129" s="159" t="s">
        <v>893</v>
      </c>
      <c r="D129" s="159" t="s">
        <v>2621</v>
      </c>
      <c r="E129" s="30" t="s">
        <v>63</v>
      </c>
      <c r="F129" s="30" t="s">
        <v>64</v>
      </c>
      <c r="G129" s="31">
        <v>1686164.0</v>
      </c>
      <c r="H129" s="30" t="s">
        <v>2622</v>
      </c>
      <c r="I129" s="31">
        <v>3123256.0</v>
      </c>
      <c r="J129" s="30" t="s">
        <v>2623</v>
      </c>
    </row>
    <row r="130">
      <c r="A130" s="157">
        <v>1420274.0</v>
      </c>
      <c r="B130" s="158">
        <v>44141.0</v>
      </c>
      <c r="C130" s="159" t="s">
        <v>893</v>
      </c>
      <c r="D130" s="159" t="s">
        <v>2624</v>
      </c>
      <c r="E130" s="30" t="s">
        <v>63</v>
      </c>
      <c r="F130" s="30" t="s">
        <v>64</v>
      </c>
      <c r="G130" s="31">
        <v>1007240.0</v>
      </c>
      <c r="H130" s="30" t="s">
        <v>2625</v>
      </c>
      <c r="I130" s="31">
        <v>468172.0</v>
      </c>
      <c r="J130" s="30" t="s">
        <v>2626</v>
      </c>
    </row>
    <row r="131">
      <c r="A131" s="157">
        <v>1813020.0</v>
      </c>
      <c r="B131" s="158">
        <v>44141.0</v>
      </c>
      <c r="C131" s="159" t="s">
        <v>893</v>
      </c>
      <c r="D131" s="159" t="s">
        <v>2627</v>
      </c>
      <c r="E131" s="30" t="s">
        <v>63</v>
      </c>
      <c r="F131" s="30" t="s">
        <v>64</v>
      </c>
      <c r="G131" s="31">
        <v>468172.0</v>
      </c>
      <c r="H131" s="30" t="s">
        <v>2626</v>
      </c>
      <c r="I131" s="31">
        <v>1007240.0</v>
      </c>
      <c r="J131" s="30" t="s">
        <v>2625</v>
      </c>
    </row>
    <row r="132">
      <c r="A132" s="157">
        <v>2045342.0</v>
      </c>
      <c r="B132" s="158">
        <v>44141.0</v>
      </c>
      <c r="C132" s="159" t="s">
        <v>2628</v>
      </c>
      <c r="D132" s="159" t="s">
        <v>2629</v>
      </c>
      <c r="E132" s="30" t="s">
        <v>63</v>
      </c>
      <c r="F132" s="30" t="s">
        <v>64</v>
      </c>
      <c r="G132" s="31">
        <v>2872370.0</v>
      </c>
      <c r="H132" s="30" t="s">
        <v>2630</v>
      </c>
      <c r="I132" s="31"/>
      <c r="J132" s="30" t="s">
        <v>47</v>
      </c>
    </row>
    <row r="133">
      <c r="A133" s="157">
        <v>2249880.0</v>
      </c>
      <c r="B133" s="158">
        <v>44141.0</v>
      </c>
      <c r="C133" s="159" t="s">
        <v>2628</v>
      </c>
      <c r="D133" s="159" t="s">
        <v>2631</v>
      </c>
      <c r="E133" s="30" t="s">
        <v>63</v>
      </c>
      <c r="F133" s="30" t="s">
        <v>64</v>
      </c>
      <c r="G133" s="31">
        <v>2872370.0</v>
      </c>
      <c r="H133" s="30" t="s">
        <v>2630</v>
      </c>
      <c r="I133" s="31"/>
      <c r="J133" s="30" t="s">
        <v>47</v>
      </c>
    </row>
    <row r="134">
      <c r="A134" s="157">
        <v>1964086.0</v>
      </c>
      <c r="B134" s="158">
        <v>44141.0</v>
      </c>
      <c r="C134" s="159" t="s">
        <v>2628</v>
      </c>
      <c r="D134" s="159" t="s">
        <v>2632</v>
      </c>
      <c r="E134" s="30" t="s">
        <v>63</v>
      </c>
      <c r="F134" s="30" t="s">
        <v>64</v>
      </c>
      <c r="G134" s="31">
        <v>2872370.0</v>
      </c>
      <c r="H134" s="30" t="s">
        <v>2630</v>
      </c>
      <c r="I134" s="31"/>
      <c r="J134" s="30" t="s">
        <v>47</v>
      </c>
    </row>
    <row r="135">
      <c r="A135" s="157">
        <v>1964086.0</v>
      </c>
      <c r="B135" s="158">
        <v>44141.0</v>
      </c>
      <c r="C135" s="159" t="s">
        <v>2628</v>
      </c>
      <c r="D135" s="159" t="s">
        <v>2632</v>
      </c>
      <c r="E135" s="30" t="s">
        <v>63</v>
      </c>
      <c r="F135" s="30" t="s">
        <v>64</v>
      </c>
      <c r="G135" s="31">
        <v>2872370.0</v>
      </c>
      <c r="H135" s="30" t="s">
        <v>2630</v>
      </c>
      <c r="I135" s="31"/>
      <c r="J135" s="30" t="s">
        <v>47</v>
      </c>
    </row>
    <row r="136">
      <c r="A136" s="157">
        <v>2854328.0</v>
      </c>
      <c r="B136" s="158">
        <v>44139.0</v>
      </c>
      <c r="C136" s="159" t="s">
        <v>893</v>
      </c>
      <c r="D136" s="159" t="s">
        <v>2633</v>
      </c>
      <c r="E136" s="30" t="s">
        <v>101</v>
      </c>
      <c r="F136" s="30" t="s">
        <v>102</v>
      </c>
      <c r="G136" s="31">
        <v>2514204.0</v>
      </c>
      <c r="H136" s="30" t="s">
        <v>582</v>
      </c>
      <c r="I136" s="31">
        <v>3325392.0</v>
      </c>
      <c r="J136" s="30" t="s">
        <v>2000</v>
      </c>
    </row>
    <row r="137">
      <c r="A137" s="157">
        <v>3174210.0</v>
      </c>
      <c r="B137" s="158">
        <v>44139.0</v>
      </c>
      <c r="C137" s="159" t="s">
        <v>893</v>
      </c>
      <c r="D137" s="159" t="s">
        <v>2634</v>
      </c>
      <c r="E137" s="30" t="s">
        <v>45</v>
      </c>
      <c r="F137" s="30" t="s">
        <v>75</v>
      </c>
      <c r="G137" s="31">
        <v>2779654.0</v>
      </c>
      <c r="H137" s="30" t="s">
        <v>1668</v>
      </c>
      <c r="I137" s="31"/>
      <c r="J137" s="30" t="s">
        <v>47</v>
      </c>
    </row>
    <row r="138">
      <c r="A138" s="157">
        <v>2004034.0</v>
      </c>
      <c r="B138" s="158">
        <v>44134.0</v>
      </c>
      <c r="C138" s="159" t="s">
        <v>893</v>
      </c>
      <c r="D138" s="159" t="s">
        <v>2635</v>
      </c>
      <c r="E138" s="30" t="s">
        <v>45</v>
      </c>
      <c r="F138" s="30" t="s">
        <v>90</v>
      </c>
      <c r="G138" s="31"/>
      <c r="H138" s="30" t="s">
        <v>47</v>
      </c>
      <c r="I138" s="31"/>
      <c r="J138" s="30" t="s">
        <v>47</v>
      </c>
    </row>
    <row r="139">
      <c r="A139" s="157">
        <v>881094.0</v>
      </c>
      <c r="B139" s="158">
        <v>44134.0</v>
      </c>
      <c r="C139" s="159" t="s">
        <v>893</v>
      </c>
      <c r="D139" s="159" t="s">
        <v>2636</v>
      </c>
      <c r="E139" s="30" t="s">
        <v>83</v>
      </c>
      <c r="F139" s="30" t="s">
        <v>94</v>
      </c>
      <c r="G139" s="31">
        <v>1575836.0</v>
      </c>
      <c r="H139" s="30" t="s">
        <v>1512</v>
      </c>
      <c r="I139" s="31"/>
      <c r="J139" s="30" t="s">
        <v>47</v>
      </c>
    </row>
    <row r="140">
      <c r="A140" s="157">
        <v>1904538.0</v>
      </c>
      <c r="B140" s="158">
        <v>44134.0</v>
      </c>
      <c r="C140" s="159" t="s">
        <v>2610</v>
      </c>
      <c r="D140" s="159" t="s">
        <v>2637</v>
      </c>
      <c r="E140" s="30" t="s">
        <v>58</v>
      </c>
      <c r="F140" s="30" t="s">
        <v>86</v>
      </c>
      <c r="G140" s="31">
        <v>481060.0</v>
      </c>
      <c r="H140" s="30" t="s">
        <v>47</v>
      </c>
      <c r="I140" s="31">
        <v>1597448.0</v>
      </c>
      <c r="J140" s="30" t="s">
        <v>1336</v>
      </c>
    </row>
    <row r="141">
      <c r="A141" s="157">
        <v>1123740.0</v>
      </c>
      <c r="B141" s="158">
        <v>44134.0</v>
      </c>
      <c r="C141" s="159" t="s">
        <v>893</v>
      </c>
      <c r="D141" s="159" t="s">
        <v>2638</v>
      </c>
      <c r="E141" s="30" t="s">
        <v>45</v>
      </c>
      <c r="F141" s="30" t="s">
        <v>46</v>
      </c>
      <c r="G141" s="31"/>
      <c r="H141" s="30" t="s">
        <v>47</v>
      </c>
      <c r="I141" s="31"/>
      <c r="J141" s="30" t="s">
        <v>47</v>
      </c>
    </row>
    <row r="142">
      <c r="A142" s="157">
        <v>1360384.0</v>
      </c>
      <c r="B142" s="158">
        <v>44134.0</v>
      </c>
      <c r="C142" s="159" t="s">
        <v>893</v>
      </c>
      <c r="D142" s="159" t="s">
        <v>2639</v>
      </c>
      <c r="E142" s="30" t="s">
        <v>39</v>
      </c>
      <c r="F142" s="30" t="s">
        <v>54</v>
      </c>
      <c r="G142" s="31">
        <v>980798.0</v>
      </c>
      <c r="H142" s="30" t="s">
        <v>2640</v>
      </c>
      <c r="I142" s="31"/>
      <c r="J142" s="30" t="s">
        <v>47</v>
      </c>
    </row>
    <row r="143">
      <c r="A143" s="157">
        <v>713784.0</v>
      </c>
      <c r="B143" s="158">
        <v>44134.0</v>
      </c>
      <c r="C143" s="159" t="s">
        <v>893</v>
      </c>
      <c r="D143" s="159" t="s">
        <v>2641</v>
      </c>
      <c r="E143" s="30" t="s">
        <v>101</v>
      </c>
      <c r="F143" s="30" t="s">
        <v>203</v>
      </c>
      <c r="G143" s="31"/>
      <c r="H143" s="30" t="s">
        <v>47</v>
      </c>
      <c r="I143" s="31"/>
      <c r="J143" s="30" t="s">
        <v>47</v>
      </c>
    </row>
    <row r="144">
      <c r="A144" s="157">
        <v>760210.0</v>
      </c>
      <c r="B144" s="158">
        <v>44134.0</v>
      </c>
      <c r="C144" s="159" t="s">
        <v>893</v>
      </c>
      <c r="D144" s="159" t="s">
        <v>2642</v>
      </c>
      <c r="E144" s="30" t="s">
        <v>45</v>
      </c>
      <c r="F144" s="30" t="s">
        <v>90</v>
      </c>
      <c r="G144" s="31"/>
      <c r="H144" s="30" t="s">
        <v>47</v>
      </c>
      <c r="I144" s="31"/>
      <c r="J144" s="30" t="s">
        <v>47</v>
      </c>
    </row>
    <row r="145">
      <c r="A145" s="157">
        <v>810196.0</v>
      </c>
      <c r="B145" s="158">
        <v>44134.0</v>
      </c>
      <c r="C145" s="159" t="s">
        <v>893</v>
      </c>
      <c r="D145" s="159" t="s">
        <v>2643</v>
      </c>
      <c r="E145" s="30" t="s">
        <v>83</v>
      </c>
      <c r="F145" s="30" t="s">
        <v>94</v>
      </c>
      <c r="G145" s="31"/>
      <c r="H145" s="30" t="s">
        <v>47</v>
      </c>
      <c r="I145" s="31"/>
      <c r="J145" s="30" t="s">
        <v>47</v>
      </c>
    </row>
    <row r="146">
      <c r="A146" s="157">
        <v>1629428.0</v>
      </c>
      <c r="B146" s="158">
        <v>44134.0</v>
      </c>
      <c r="C146" s="159" t="s">
        <v>893</v>
      </c>
      <c r="D146" s="159" t="s">
        <v>2644</v>
      </c>
      <c r="E146" s="30" t="s">
        <v>83</v>
      </c>
      <c r="F146" s="30" t="s">
        <v>147</v>
      </c>
      <c r="G146" s="31"/>
      <c r="H146" s="30" t="s">
        <v>47</v>
      </c>
      <c r="I146" s="31"/>
      <c r="J146" s="30" t="s">
        <v>47</v>
      </c>
    </row>
    <row r="147">
      <c r="A147" s="157">
        <v>632154.0</v>
      </c>
      <c r="B147" s="158">
        <v>44134.0</v>
      </c>
      <c r="C147" s="159" t="s">
        <v>893</v>
      </c>
      <c r="D147" s="159" t="s">
        <v>2645</v>
      </c>
      <c r="E147" s="30" t="s">
        <v>39</v>
      </c>
      <c r="F147" s="30" t="s">
        <v>54</v>
      </c>
      <c r="G147" s="31"/>
      <c r="H147" s="30" t="s">
        <v>47</v>
      </c>
      <c r="I147" s="31"/>
      <c r="J147" s="30" t="s">
        <v>47</v>
      </c>
    </row>
    <row r="148">
      <c r="A148" s="157">
        <v>1514120.0</v>
      </c>
      <c r="B148" s="158">
        <v>44134.0</v>
      </c>
      <c r="C148" s="159" t="s">
        <v>893</v>
      </c>
      <c r="D148" s="159" t="s">
        <v>2646</v>
      </c>
      <c r="E148" s="30" t="s">
        <v>45</v>
      </c>
      <c r="F148" s="30" t="s">
        <v>75</v>
      </c>
      <c r="G148" s="31">
        <v>2834322.0</v>
      </c>
      <c r="H148" s="30" t="s">
        <v>2647</v>
      </c>
      <c r="I148" s="31"/>
      <c r="J148" s="30" t="s">
        <v>47</v>
      </c>
    </row>
    <row r="149">
      <c r="A149" s="157">
        <v>2069569.0</v>
      </c>
      <c r="B149" s="158">
        <v>44134.0</v>
      </c>
      <c r="C149" s="159" t="s">
        <v>893</v>
      </c>
      <c r="D149" s="159" t="s">
        <v>2648</v>
      </c>
      <c r="E149" s="30" t="s">
        <v>58</v>
      </c>
      <c r="F149" s="30" t="s">
        <v>161</v>
      </c>
      <c r="G149" s="31">
        <v>881980.0</v>
      </c>
      <c r="H149" s="30" t="s">
        <v>2649</v>
      </c>
      <c r="I149" s="31"/>
      <c r="J149" s="30" t="s">
        <v>47</v>
      </c>
    </row>
    <row r="150">
      <c r="A150" s="157">
        <v>1785170.0</v>
      </c>
      <c r="B150" s="158">
        <v>44134.0</v>
      </c>
      <c r="C150" s="159" t="s">
        <v>893</v>
      </c>
      <c r="D150" s="159" t="s">
        <v>2650</v>
      </c>
      <c r="E150" s="30" t="s">
        <v>39</v>
      </c>
      <c r="F150" s="30" t="s">
        <v>54</v>
      </c>
      <c r="G150" s="31">
        <v>1309202.0</v>
      </c>
      <c r="H150" s="30" t="s">
        <v>1869</v>
      </c>
      <c r="I150" s="31"/>
      <c r="J150" s="30" t="s">
        <v>47</v>
      </c>
    </row>
    <row r="151">
      <c r="A151" s="157">
        <v>1315568.0</v>
      </c>
      <c r="B151" s="158">
        <v>44134.0</v>
      </c>
      <c r="C151" s="159" t="s">
        <v>893</v>
      </c>
      <c r="D151" s="159" t="s">
        <v>2651</v>
      </c>
      <c r="E151" s="30" t="s">
        <v>39</v>
      </c>
      <c r="F151" s="30" t="s">
        <v>214</v>
      </c>
      <c r="G151" s="31">
        <v>919872.0</v>
      </c>
      <c r="H151" s="30" t="s">
        <v>1503</v>
      </c>
      <c r="I151" s="31"/>
      <c r="J151" s="30" t="s">
        <v>47</v>
      </c>
    </row>
    <row r="152">
      <c r="A152" s="157">
        <v>518410.0</v>
      </c>
      <c r="B152" s="158">
        <v>44134.0</v>
      </c>
      <c r="C152" s="159" t="s">
        <v>893</v>
      </c>
      <c r="D152" s="159" t="s">
        <v>2652</v>
      </c>
      <c r="E152" s="30" t="s">
        <v>45</v>
      </c>
      <c r="F152" s="30" t="s">
        <v>46</v>
      </c>
      <c r="G152" s="31"/>
      <c r="H152" s="30" t="s">
        <v>47</v>
      </c>
      <c r="I152" s="31"/>
      <c r="J152" s="30" t="s">
        <v>47</v>
      </c>
    </row>
    <row r="153">
      <c r="A153" s="157">
        <v>2856880.0</v>
      </c>
      <c r="B153" s="158">
        <v>44134.0</v>
      </c>
      <c r="C153" s="159" t="s">
        <v>2610</v>
      </c>
      <c r="D153" s="159" t="s">
        <v>2653</v>
      </c>
      <c r="E153" s="30" t="s">
        <v>39</v>
      </c>
      <c r="F153" s="30" t="s">
        <v>50</v>
      </c>
      <c r="G153" s="31"/>
      <c r="H153" s="30" t="s">
        <v>47</v>
      </c>
      <c r="I153" s="31"/>
      <c r="J153" s="30" t="s">
        <v>47</v>
      </c>
    </row>
    <row r="154">
      <c r="A154" s="157">
        <v>872210.0</v>
      </c>
      <c r="B154" s="158">
        <v>44134.0</v>
      </c>
      <c r="C154" s="159" t="s">
        <v>893</v>
      </c>
      <c r="D154" s="159" t="s">
        <v>2654</v>
      </c>
      <c r="E154" s="30" t="s">
        <v>83</v>
      </c>
      <c r="F154" s="30" t="s">
        <v>94</v>
      </c>
      <c r="G154" s="31">
        <v>736456.0</v>
      </c>
      <c r="H154" s="30" t="s">
        <v>2655</v>
      </c>
      <c r="I154" s="31"/>
      <c r="J154" s="30" t="s">
        <v>47</v>
      </c>
    </row>
    <row r="155">
      <c r="A155" s="157">
        <v>2374674.0</v>
      </c>
      <c r="B155" s="158">
        <v>44134.0</v>
      </c>
      <c r="C155" s="159" t="s">
        <v>2628</v>
      </c>
      <c r="D155" s="159" t="s">
        <v>2656</v>
      </c>
      <c r="E155" s="30" t="s">
        <v>39</v>
      </c>
      <c r="F155" s="30" t="s">
        <v>54</v>
      </c>
      <c r="G155" s="31">
        <v>1603358.0</v>
      </c>
      <c r="H155" s="30" t="s">
        <v>2657</v>
      </c>
      <c r="I155" s="31"/>
      <c r="J155" s="30" t="s">
        <v>47</v>
      </c>
    </row>
    <row r="156">
      <c r="A156" s="157">
        <v>2095610.0</v>
      </c>
      <c r="B156" s="158">
        <v>44134.0</v>
      </c>
      <c r="C156" s="159" t="s">
        <v>893</v>
      </c>
      <c r="D156" s="159" t="s">
        <v>2658</v>
      </c>
      <c r="E156" s="30" t="s">
        <v>45</v>
      </c>
      <c r="F156" s="30" t="s">
        <v>46</v>
      </c>
      <c r="G156" s="31"/>
      <c r="H156" s="30" t="s">
        <v>47</v>
      </c>
      <c r="I156" s="31"/>
      <c r="J156" s="30" t="s">
        <v>47</v>
      </c>
    </row>
    <row r="157">
      <c r="A157" s="157">
        <v>1324950.0</v>
      </c>
      <c r="B157" s="158">
        <v>44134.0</v>
      </c>
      <c r="C157" s="159" t="s">
        <v>893</v>
      </c>
      <c r="D157" s="159" t="s">
        <v>2659</v>
      </c>
      <c r="E157" s="30" t="s">
        <v>39</v>
      </c>
      <c r="F157" s="30" t="s">
        <v>297</v>
      </c>
      <c r="G157" s="31"/>
      <c r="H157" s="30" t="s">
        <v>47</v>
      </c>
      <c r="I157" s="31"/>
      <c r="J157" s="30" t="s">
        <v>47</v>
      </c>
    </row>
    <row r="158">
      <c r="A158" s="157">
        <v>848226.0</v>
      </c>
      <c r="B158" s="158">
        <v>44134.0</v>
      </c>
      <c r="C158" s="159" t="s">
        <v>893</v>
      </c>
      <c r="D158" s="159" t="s">
        <v>2660</v>
      </c>
      <c r="E158" s="30" t="s">
        <v>83</v>
      </c>
      <c r="F158" s="30" t="s">
        <v>876</v>
      </c>
      <c r="G158" s="31">
        <v>325666.0</v>
      </c>
      <c r="H158" s="30" t="s">
        <v>2661</v>
      </c>
      <c r="I158" s="31"/>
      <c r="J158" s="30" t="s">
        <v>47</v>
      </c>
    </row>
    <row r="159">
      <c r="A159" s="157">
        <v>1647296.0</v>
      </c>
      <c r="B159" s="158">
        <v>44134.0</v>
      </c>
      <c r="C159" s="159" t="s">
        <v>893</v>
      </c>
      <c r="D159" s="159" t="s">
        <v>2662</v>
      </c>
      <c r="E159" s="30" t="s">
        <v>39</v>
      </c>
      <c r="F159" s="30" t="s">
        <v>241</v>
      </c>
      <c r="G159" s="31"/>
      <c r="H159" s="30" t="s">
        <v>47</v>
      </c>
      <c r="I159" s="31"/>
      <c r="J159" s="30" t="s">
        <v>47</v>
      </c>
    </row>
    <row r="160">
      <c r="A160" s="157">
        <v>1939364.0</v>
      </c>
      <c r="B160" s="158">
        <v>44134.0</v>
      </c>
      <c r="C160" s="159" t="s">
        <v>893</v>
      </c>
      <c r="D160" s="159" t="s">
        <v>2663</v>
      </c>
      <c r="E160" s="30" t="s">
        <v>45</v>
      </c>
      <c r="F160" s="30" t="s">
        <v>46</v>
      </c>
      <c r="G160" s="31"/>
      <c r="H160" s="30" t="s">
        <v>47</v>
      </c>
      <c r="I160" s="31"/>
      <c r="J160" s="30" t="s">
        <v>47</v>
      </c>
    </row>
    <row r="161">
      <c r="A161" s="157">
        <v>2109522.0</v>
      </c>
      <c r="B161" s="158">
        <v>44134.0</v>
      </c>
      <c r="C161" s="159" t="s">
        <v>893</v>
      </c>
      <c r="D161" s="159" t="s">
        <v>2664</v>
      </c>
      <c r="E161" s="30" t="s">
        <v>39</v>
      </c>
      <c r="F161" s="30" t="s">
        <v>40</v>
      </c>
      <c r="G161" s="31"/>
      <c r="H161" s="30" t="s">
        <v>47</v>
      </c>
      <c r="I161" s="31"/>
      <c r="J161" s="30" t="s">
        <v>47</v>
      </c>
    </row>
    <row r="162">
      <c r="A162" s="157">
        <v>2355482.0</v>
      </c>
      <c r="B162" s="158">
        <v>44134.0</v>
      </c>
      <c r="C162" s="159" t="s">
        <v>893</v>
      </c>
      <c r="D162" s="159" t="s">
        <v>2665</v>
      </c>
      <c r="E162" s="30" t="s">
        <v>122</v>
      </c>
      <c r="F162" s="30" t="s">
        <v>123</v>
      </c>
      <c r="G162" s="31">
        <v>613808.0</v>
      </c>
      <c r="H162" s="30" t="s">
        <v>1591</v>
      </c>
      <c r="I162" s="31"/>
      <c r="J162" s="30" t="s">
        <v>47</v>
      </c>
    </row>
    <row r="163">
      <c r="A163" s="157">
        <v>2430284.0</v>
      </c>
      <c r="B163" s="158">
        <v>44134.0</v>
      </c>
      <c r="C163" s="159" t="s">
        <v>893</v>
      </c>
      <c r="D163" s="159" t="s">
        <v>2666</v>
      </c>
      <c r="E163" s="30" t="s">
        <v>39</v>
      </c>
      <c r="F163" s="30" t="s">
        <v>40</v>
      </c>
      <c r="G163" s="31"/>
      <c r="H163" s="30" t="s">
        <v>47</v>
      </c>
      <c r="I163" s="31"/>
      <c r="J163" s="30" t="s">
        <v>47</v>
      </c>
    </row>
    <row r="164">
      <c r="A164" s="157">
        <v>520308.0</v>
      </c>
      <c r="B164" s="158">
        <v>44134.0</v>
      </c>
      <c r="C164" s="159" t="s">
        <v>893</v>
      </c>
      <c r="D164" s="159" t="s">
        <v>2667</v>
      </c>
      <c r="E164" s="30" t="s">
        <v>39</v>
      </c>
      <c r="F164" s="30" t="s">
        <v>140</v>
      </c>
      <c r="G164" s="31"/>
      <c r="H164" s="30" t="s">
        <v>47</v>
      </c>
      <c r="I164" s="31"/>
      <c r="J164" s="30" t="s">
        <v>47</v>
      </c>
    </row>
    <row r="165">
      <c r="A165" s="157">
        <v>3197956.0</v>
      </c>
      <c r="B165" s="158">
        <v>44119.0</v>
      </c>
      <c r="C165" s="159" t="s">
        <v>893</v>
      </c>
      <c r="D165" s="159" t="s">
        <v>2668</v>
      </c>
      <c r="E165" s="30" t="s">
        <v>63</v>
      </c>
      <c r="F165" s="30" t="s">
        <v>64</v>
      </c>
      <c r="G165" s="31"/>
      <c r="H165" s="30" t="s">
        <v>47</v>
      </c>
      <c r="I165" s="31"/>
      <c r="J165" s="30" t="s">
        <v>47</v>
      </c>
    </row>
    <row r="166">
      <c r="A166" s="157">
        <v>3314694.0</v>
      </c>
      <c r="B166" s="158">
        <v>44119.0</v>
      </c>
      <c r="C166" s="159" t="s">
        <v>893</v>
      </c>
      <c r="D166" s="159" t="s">
        <v>2669</v>
      </c>
      <c r="E166" s="30" t="s">
        <v>45</v>
      </c>
      <c r="F166" s="30" t="s">
        <v>75</v>
      </c>
      <c r="G166" s="31"/>
      <c r="H166" s="30" t="s">
        <v>47</v>
      </c>
      <c r="I166" s="31"/>
      <c r="J166" s="30" t="s">
        <v>47</v>
      </c>
    </row>
    <row r="167">
      <c r="A167" s="157">
        <v>1640438.0</v>
      </c>
      <c r="B167" s="158">
        <v>44111.0</v>
      </c>
      <c r="C167" s="159" t="s">
        <v>2628</v>
      </c>
      <c r="D167" s="159" t="s">
        <v>2670</v>
      </c>
      <c r="E167" s="30" t="s">
        <v>105</v>
      </c>
      <c r="F167" s="30" t="s">
        <v>198</v>
      </c>
      <c r="G167" s="31"/>
      <c r="H167" s="30" t="s">
        <v>47</v>
      </c>
      <c r="I167" s="31"/>
      <c r="J167" s="30" t="s">
        <v>47</v>
      </c>
    </row>
    <row r="168">
      <c r="A168" s="157">
        <v>1619072.0</v>
      </c>
      <c r="B168" s="158">
        <v>44111.0</v>
      </c>
      <c r="C168" s="159" t="s">
        <v>2362</v>
      </c>
      <c r="D168" s="159" t="s">
        <v>2671</v>
      </c>
      <c r="E168" s="30" t="s">
        <v>58</v>
      </c>
      <c r="F168" s="30" t="s">
        <v>86</v>
      </c>
      <c r="G168" s="31"/>
      <c r="H168" s="30" t="s">
        <v>47</v>
      </c>
      <c r="I168" s="31"/>
      <c r="J168" s="30" t="s">
        <v>47</v>
      </c>
    </row>
    <row r="169">
      <c r="A169" s="157">
        <v>1426556.0</v>
      </c>
      <c r="B169" s="158">
        <v>44111.0</v>
      </c>
      <c r="C169" s="159" t="s">
        <v>2362</v>
      </c>
      <c r="D169" s="159" t="s">
        <v>2672</v>
      </c>
      <c r="E169" s="30" t="s">
        <v>58</v>
      </c>
      <c r="F169" s="30" t="s">
        <v>86</v>
      </c>
      <c r="G169" s="31"/>
      <c r="H169" s="30" t="s">
        <v>47</v>
      </c>
      <c r="I169" s="31"/>
      <c r="J169" s="30" t="s">
        <v>47</v>
      </c>
    </row>
    <row r="170">
      <c r="A170" s="157">
        <v>1298186.0</v>
      </c>
      <c r="B170" s="158">
        <v>44111.0</v>
      </c>
      <c r="C170" s="159" t="s">
        <v>2606</v>
      </c>
      <c r="D170" s="159" t="s">
        <v>2673</v>
      </c>
      <c r="E170" s="30" t="s">
        <v>122</v>
      </c>
      <c r="F170" s="30" t="s">
        <v>271</v>
      </c>
      <c r="G170" s="31"/>
      <c r="H170" s="30" t="s">
        <v>47</v>
      </c>
      <c r="I170" s="31"/>
      <c r="J170" s="30" t="s">
        <v>47</v>
      </c>
    </row>
    <row r="171">
      <c r="A171" s="157">
        <v>2124660.0</v>
      </c>
      <c r="B171" s="158">
        <v>44104.0</v>
      </c>
      <c r="C171" s="159" t="s">
        <v>893</v>
      </c>
      <c r="D171" s="159" t="s">
        <v>2674</v>
      </c>
      <c r="E171" s="30" t="s">
        <v>45</v>
      </c>
      <c r="F171" s="30" t="s">
        <v>46</v>
      </c>
      <c r="G171" s="31">
        <v>1067344.0</v>
      </c>
      <c r="H171" s="30" t="s">
        <v>2675</v>
      </c>
      <c r="I171" s="31"/>
      <c r="J171" s="30" t="s">
        <v>47</v>
      </c>
    </row>
    <row r="172">
      <c r="A172" s="157">
        <v>1608596.0</v>
      </c>
      <c r="B172" s="158">
        <v>44104.0</v>
      </c>
      <c r="C172" s="159" t="s">
        <v>893</v>
      </c>
      <c r="D172" s="159" t="s">
        <v>2676</v>
      </c>
      <c r="E172" s="30" t="s">
        <v>45</v>
      </c>
      <c r="F172" s="30" t="s">
        <v>75</v>
      </c>
      <c r="G172" s="31"/>
      <c r="H172" s="30" t="s">
        <v>47</v>
      </c>
      <c r="I172" s="31"/>
      <c r="J172" s="30" t="s">
        <v>47</v>
      </c>
    </row>
    <row r="173">
      <c r="A173" s="157">
        <v>1222590.0</v>
      </c>
      <c r="B173" s="158">
        <v>44104.0</v>
      </c>
      <c r="C173" s="159" t="s">
        <v>893</v>
      </c>
      <c r="D173" s="159" t="s">
        <v>2677</v>
      </c>
      <c r="E173" s="30" t="s">
        <v>105</v>
      </c>
      <c r="F173" s="30" t="s">
        <v>106</v>
      </c>
      <c r="G173" s="31">
        <v>1855830.0</v>
      </c>
      <c r="H173" s="30" t="s">
        <v>2335</v>
      </c>
      <c r="I173" s="31"/>
      <c r="J173" s="30" t="s">
        <v>47</v>
      </c>
    </row>
    <row r="174">
      <c r="A174" s="157">
        <v>1696326.0</v>
      </c>
      <c r="B174" s="158">
        <v>44104.0</v>
      </c>
      <c r="C174" s="159" t="s">
        <v>893</v>
      </c>
      <c r="D174" s="159" t="s">
        <v>2678</v>
      </c>
      <c r="E174" s="30" t="s">
        <v>39</v>
      </c>
      <c r="F174" s="30" t="s">
        <v>140</v>
      </c>
      <c r="G174" s="31"/>
      <c r="H174" s="30" t="s">
        <v>47</v>
      </c>
      <c r="I174" s="31"/>
      <c r="J174" s="30" t="s">
        <v>47</v>
      </c>
    </row>
    <row r="175">
      <c r="A175" s="157">
        <v>14978.0</v>
      </c>
      <c r="B175" s="158">
        <v>44104.0</v>
      </c>
      <c r="C175" s="159" t="s">
        <v>893</v>
      </c>
      <c r="D175" s="159" t="s">
        <v>2679</v>
      </c>
      <c r="E175" s="30" t="s">
        <v>122</v>
      </c>
      <c r="F175" s="30" t="s">
        <v>127</v>
      </c>
      <c r="G175" s="31">
        <v>823902.0</v>
      </c>
      <c r="H175" s="30" t="s">
        <v>2680</v>
      </c>
      <c r="I175" s="31">
        <v>1154754.0</v>
      </c>
      <c r="J175" s="30" t="s">
        <v>2681</v>
      </c>
    </row>
    <row r="176">
      <c r="A176" s="157">
        <v>2245416.0</v>
      </c>
      <c r="B176" s="158">
        <v>44104.0</v>
      </c>
      <c r="C176" s="159" t="s">
        <v>893</v>
      </c>
      <c r="D176" s="159" t="s">
        <v>2682</v>
      </c>
      <c r="E176" s="30" t="s">
        <v>39</v>
      </c>
      <c r="F176" s="30" t="s">
        <v>50</v>
      </c>
      <c r="G176" s="31">
        <v>1933116.0</v>
      </c>
      <c r="H176" s="30" t="s">
        <v>2683</v>
      </c>
      <c r="I176" s="31"/>
      <c r="J176" s="30" t="s">
        <v>47</v>
      </c>
    </row>
    <row r="177">
      <c r="A177" s="157">
        <v>1643774.0</v>
      </c>
      <c r="B177" s="158">
        <v>44104.0</v>
      </c>
      <c r="C177" s="159" t="s">
        <v>893</v>
      </c>
      <c r="D177" s="159" t="s">
        <v>2684</v>
      </c>
      <c r="E177" s="30" t="s">
        <v>39</v>
      </c>
      <c r="F177" s="30" t="s">
        <v>50</v>
      </c>
      <c r="G177" s="31">
        <v>2537858.0</v>
      </c>
      <c r="H177" s="30" t="s">
        <v>2069</v>
      </c>
      <c r="I177" s="31"/>
      <c r="J177" s="30" t="s">
        <v>47</v>
      </c>
    </row>
    <row r="178">
      <c r="A178" s="157">
        <v>2566564.0</v>
      </c>
      <c r="B178" s="158">
        <v>44104.0</v>
      </c>
      <c r="C178" s="159" t="s">
        <v>893</v>
      </c>
      <c r="D178" s="159" t="s">
        <v>181</v>
      </c>
      <c r="E178" s="30" t="s">
        <v>39</v>
      </c>
      <c r="F178" s="30" t="s">
        <v>140</v>
      </c>
      <c r="G178" s="31"/>
      <c r="H178" s="30" t="s">
        <v>47</v>
      </c>
      <c r="I178" s="31"/>
      <c r="J178" s="30" t="s">
        <v>47</v>
      </c>
    </row>
    <row r="179">
      <c r="A179" s="157">
        <v>1005062.0</v>
      </c>
      <c r="B179" s="158">
        <v>44104.0</v>
      </c>
      <c r="C179" s="159" t="s">
        <v>893</v>
      </c>
      <c r="D179" s="159" t="s">
        <v>2685</v>
      </c>
      <c r="E179" s="30" t="s">
        <v>58</v>
      </c>
      <c r="F179" s="30" t="s">
        <v>86</v>
      </c>
      <c r="G179" s="31"/>
      <c r="H179" s="30" t="s">
        <v>47</v>
      </c>
      <c r="I179" s="31"/>
      <c r="J179" s="30" t="s">
        <v>47</v>
      </c>
    </row>
    <row r="180">
      <c r="A180" s="157">
        <v>1269108.0</v>
      </c>
      <c r="B180" s="158">
        <v>44104.0</v>
      </c>
      <c r="C180" s="159" t="s">
        <v>893</v>
      </c>
      <c r="D180" s="159" t="s">
        <v>2686</v>
      </c>
      <c r="E180" s="30" t="s">
        <v>39</v>
      </c>
      <c r="F180" s="30" t="s">
        <v>140</v>
      </c>
      <c r="G180" s="31">
        <v>1699476.0</v>
      </c>
      <c r="H180" s="30" t="s">
        <v>2687</v>
      </c>
      <c r="I180" s="31"/>
      <c r="J180" s="30" t="s">
        <v>47</v>
      </c>
    </row>
    <row r="181">
      <c r="A181" s="157">
        <v>2424040.0</v>
      </c>
      <c r="B181" s="158">
        <v>44104.0</v>
      </c>
      <c r="C181" s="159" t="s">
        <v>893</v>
      </c>
      <c r="D181" s="159" t="s">
        <v>2688</v>
      </c>
      <c r="E181" s="30" t="s">
        <v>219</v>
      </c>
      <c r="F181" s="30" t="s">
        <v>220</v>
      </c>
      <c r="G181" s="31"/>
      <c r="H181" s="30" t="s">
        <v>47</v>
      </c>
      <c r="I181" s="31"/>
      <c r="J181" s="30" t="s">
        <v>47</v>
      </c>
    </row>
    <row r="182">
      <c r="A182" s="157">
        <v>1886016.0</v>
      </c>
      <c r="B182" s="158">
        <v>44104.0</v>
      </c>
      <c r="C182" s="159" t="s">
        <v>893</v>
      </c>
      <c r="D182" s="159" t="s">
        <v>2689</v>
      </c>
      <c r="E182" s="30" t="s">
        <v>45</v>
      </c>
      <c r="F182" s="30" t="s">
        <v>90</v>
      </c>
      <c r="G182" s="31"/>
      <c r="H182" s="30" t="s">
        <v>47</v>
      </c>
      <c r="I182" s="31"/>
      <c r="J182" s="30" t="s">
        <v>47</v>
      </c>
    </row>
    <row r="183">
      <c r="A183" s="157">
        <v>689338.0</v>
      </c>
      <c r="B183" s="158">
        <v>44104.0</v>
      </c>
      <c r="C183" s="159" t="s">
        <v>893</v>
      </c>
      <c r="D183" s="159" t="s">
        <v>2690</v>
      </c>
      <c r="E183" s="30" t="s">
        <v>45</v>
      </c>
      <c r="F183" s="30" t="s">
        <v>90</v>
      </c>
      <c r="G183" s="31"/>
      <c r="H183" s="30" t="s">
        <v>47</v>
      </c>
      <c r="I183" s="31"/>
      <c r="J183" s="30" t="s">
        <v>47</v>
      </c>
    </row>
    <row r="184">
      <c r="A184" s="157">
        <v>1478894.0</v>
      </c>
      <c r="B184" s="158">
        <v>44104.0</v>
      </c>
      <c r="C184" s="159" t="s">
        <v>893</v>
      </c>
      <c r="D184" s="159" t="s">
        <v>2691</v>
      </c>
      <c r="E184" s="30" t="s">
        <v>63</v>
      </c>
      <c r="F184" s="30" t="s">
        <v>115</v>
      </c>
      <c r="G184" s="31">
        <v>2365836.0</v>
      </c>
      <c r="H184" s="30" t="s">
        <v>2692</v>
      </c>
      <c r="I184" s="31"/>
      <c r="J184" s="30" t="s">
        <v>47</v>
      </c>
    </row>
    <row r="185">
      <c r="A185" s="157">
        <v>2729224.0</v>
      </c>
      <c r="B185" s="158">
        <v>44104.0</v>
      </c>
      <c r="C185" s="159" t="s">
        <v>893</v>
      </c>
      <c r="D185" s="159" t="s">
        <v>2693</v>
      </c>
      <c r="E185" s="30" t="s">
        <v>39</v>
      </c>
      <c r="F185" s="30" t="s">
        <v>140</v>
      </c>
      <c r="G185" s="31"/>
      <c r="H185" s="30" t="s">
        <v>47</v>
      </c>
      <c r="I185" s="31"/>
      <c r="J185" s="30" t="s">
        <v>47</v>
      </c>
    </row>
    <row r="186">
      <c r="A186" s="157">
        <v>1186064.0</v>
      </c>
      <c r="B186" s="158">
        <v>44104.0</v>
      </c>
      <c r="C186" s="159" t="s">
        <v>893</v>
      </c>
      <c r="D186" s="159" t="s">
        <v>2694</v>
      </c>
      <c r="E186" s="30" t="s">
        <v>45</v>
      </c>
      <c r="F186" s="30" t="s">
        <v>90</v>
      </c>
      <c r="G186" s="31"/>
      <c r="H186" s="30" t="s">
        <v>47</v>
      </c>
      <c r="I186" s="31"/>
      <c r="J186" s="30" t="s">
        <v>47</v>
      </c>
    </row>
    <row r="187">
      <c r="A187" s="157">
        <v>2085548.0</v>
      </c>
      <c r="B187" s="158">
        <v>44104.0</v>
      </c>
      <c r="C187" s="159" t="s">
        <v>893</v>
      </c>
      <c r="D187" s="159" t="s">
        <v>2695</v>
      </c>
      <c r="E187" s="30" t="s">
        <v>96</v>
      </c>
      <c r="F187" s="30" t="s">
        <v>109</v>
      </c>
      <c r="G187" s="31">
        <v>1587644.0</v>
      </c>
      <c r="H187" s="30" t="s">
        <v>2696</v>
      </c>
      <c r="I187" s="31">
        <v>1255136.0</v>
      </c>
      <c r="J187" s="30" t="s">
        <v>1660</v>
      </c>
    </row>
    <row r="188">
      <c r="A188" s="157">
        <v>965162.0</v>
      </c>
      <c r="B188" s="158">
        <v>44104.0</v>
      </c>
      <c r="C188" s="159" t="s">
        <v>893</v>
      </c>
      <c r="D188" s="159" t="s">
        <v>2697</v>
      </c>
      <c r="E188" s="30" t="s">
        <v>39</v>
      </c>
      <c r="F188" s="30" t="s">
        <v>54</v>
      </c>
      <c r="G188" s="31">
        <v>1117584.0</v>
      </c>
      <c r="H188" s="30" t="s">
        <v>47</v>
      </c>
      <c r="I188" s="31"/>
      <c r="J188" s="30" t="s">
        <v>47</v>
      </c>
    </row>
    <row r="189">
      <c r="A189" s="157">
        <v>1014442.0</v>
      </c>
      <c r="B189" s="158">
        <v>44104.0</v>
      </c>
      <c r="C189" s="159" t="s">
        <v>893</v>
      </c>
      <c r="D189" s="159" t="s">
        <v>2698</v>
      </c>
      <c r="E189" s="30" t="s">
        <v>39</v>
      </c>
      <c r="F189" s="30" t="s">
        <v>214</v>
      </c>
      <c r="G189" s="31">
        <v>2241936.0</v>
      </c>
      <c r="H189" s="30" t="s">
        <v>2699</v>
      </c>
      <c r="I189" s="31"/>
      <c r="J189" s="30" t="s">
        <v>47</v>
      </c>
    </row>
    <row r="190">
      <c r="A190" s="157">
        <v>1044708.0</v>
      </c>
      <c r="B190" s="158">
        <v>44104.0</v>
      </c>
      <c r="C190" s="159" t="s">
        <v>893</v>
      </c>
      <c r="D190" s="159" t="s">
        <v>2700</v>
      </c>
      <c r="E190" s="30" t="s">
        <v>96</v>
      </c>
      <c r="F190" s="30" t="s">
        <v>97</v>
      </c>
      <c r="G190" s="31">
        <v>128082.0</v>
      </c>
      <c r="H190" s="30" t="s">
        <v>47</v>
      </c>
      <c r="I190" s="31"/>
      <c r="J190" s="30" t="s">
        <v>47</v>
      </c>
    </row>
    <row r="191">
      <c r="A191" s="157">
        <v>1022582.0</v>
      </c>
      <c r="B191" s="158">
        <v>44104.0</v>
      </c>
      <c r="C191" s="159" t="s">
        <v>893</v>
      </c>
      <c r="D191" s="159" t="s">
        <v>2701</v>
      </c>
      <c r="E191" s="30" t="s">
        <v>39</v>
      </c>
      <c r="F191" s="30" t="s">
        <v>140</v>
      </c>
      <c r="G191" s="31">
        <v>995016.0</v>
      </c>
      <c r="H191" s="30" t="s">
        <v>2702</v>
      </c>
      <c r="I191" s="31"/>
      <c r="J191" s="30" t="s">
        <v>47</v>
      </c>
    </row>
    <row r="192">
      <c r="A192" s="157">
        <v>1080408.0</v>
      </c>
      <c r="B192" s="158">
        <v>44104.0</v>
      </c>
      <c r="C192" s="159" t="s">
        <v>893</v>
      </c>
      <c r="D192" s="159" t="s">
        <v>2703</v>
      </c>
      <c r="E192" s="30" t="s">
        <v>63</v>
      </c>
      <c r="F192" s="30" t="s">
        <v>115</v>
      </c>
      <c r="G192" s="31">
        <v>671576.0</v>
      </c>
      <c r="H192" s="30" t="s">
        <v>1418</v>
      </c>
      <c r="I192" s="31"/>
      <c r="J192" s="30" t="s">
        <v>47</v>
      </c>
    </row>
    <row r="193">
      <c r="A193" s="157">
        <v>956038.0</v>
      </c>
      <c r="B193" s="158">
        <v>44104.0</v>
      </c>
      <c r="C193" s="159" t="s">
        <v>893</v>
      </c>
      <c r="D193" s="159" t="s">
        <v>2704</v>
      </c>
      <c r="E193" s="30" t="s">
        <v>39</v>
      </c>
      <c r="F193" s="30" t="s">
        <v>50</v>
      </c>
      <c r="G193" s="31"/>
      <c r="H193" s="30" t="s">
        <v>47</v>
      </c>
      <c r="I193" s="31"/>
      <c r="J193" s="30" t="s">
        <v>47</v>
      </c>
    </row>
    <row r="194">
      <c r="A194" s="157">
        <v>1758260.0</v>
      </c>
      <c r="B194" s="158">
        <v>44104.0</v>
      </c>
      <c r="C194" s="159" t="s">
        <v>893</v>
      </c>
      <c r="D194" s="159" t="s">
        <v>2705</v>
      </c>
      <c r="E194" s="30" t="s">
        <v>63</v>
      </c>
      <c r="F194" s="30" t="s">
        <v>258</v>
      </c>
      <c r="G194" s="31">
        <v>1758260.0</v>
      </c>
      <c r="H194" s="30" t="s">
        <v>47</v>
      </c>
      <c r="I194" s="31">
        <v>2511476.0</v>
      </c>
      <c r="J194" s="30" t="s">
        <v>1625</v>
      </c>
    </row>
    <row r="195">
      <c r="A195" s="157">
        <v>957388.0</v>
      </c>
      <c r="B195" s="158">
        <v>44104.0</v>
      </c>
      <c r="C195" s="159" t="s">
        <v>893</v>
      </c>
      <c r="D195" s="159" t="s">
        <v>2706</v>
      </c>
      <c r="E195" s="30" t="s">
        <v>79</v>
      </c>
      <c r="F195" s="30" t="s">
        <v>184</v>
      </c>
      <c r="G195" s="31">
        <v>1713366.0</v>
      </c>
      <c r="H195" s="30" t="s">
        <v>47</v>
      </c>
      <c r="I195" s="31"/>
      <c r="J195" s="30" t="s">
        <v>47</v>
      </c>
    </row>
    <row r="196">
      <c r="A196" s="157">
        <v>1153742.0</v>
      </c>
      <c r="B196" s="158">
        <v>44104.0</v>
      </c>
      <c r="C196" s="159" t="s">
        <v>893</v>
      </c>
      <c r="D196" s="159" t="s">
        <v>2707</v>
      </c>
      <c r="E196" s="30" t="s">
        <v>63</v>
      </c>
      <c r="F196" s="30" t="s">
        <v>115</v>
      </c>
      <c r="G196" s="31">
        <v>671576.0</v>
      </c>
      <c r="H196" s="30" t="s">
        <v>1418</v>
      </c>
      <c r="I196" s="31"/>
      <c r="J196" s="30" t="s">
        <v>47</v>
      </c>
    </row>
    <row r="197">
      <c r="A197" s="157">
        <v>1304990.0</v>
      </c>
      <c r="B197" s="158">
        <v>44104.0</v>
      </c>
      <c r="C197" s="159" t="s">
        <v>893</v>
      </c>
      <c r="D197" s="159" t="s">
        <v>2708</v>
      </c>
      <c r="E197" s="30" t="s">
        <v>45</v>
      </c>
      <c r="F197" s="30" t="s">
        <v>90</v>
      </c>
      <c r="G197" s="31"/>
      <c r="H197" s="30" t="s">
        <v>47</v>
      </c>
      <c r="I197" s="31"/>
      <c r="J197" s="30" t="s">
        <v>47</v>
      </c>
    </row>
    <row r="198">
      <c r="A198" s="157">
        <v>1064214.0</v>
      </c>
      <c r="B198" s="158">
        <v>44104.0</v>
      </c>
      <c r="C198" s="159" t="s">
        <v>893</v>
      </c>
      <c r="D198" s="159" t="s">
        <v>2709</v>
      </c>
      <c r="E198" s="30" t="s">
        <v>45</v>
      </c>
      <c r="F198" s="30" t="s">
        <v>90</v>
      </c>
      <c r="G198" s="31"/>
      <c r="H198" s="30" t="s">
        <v>47</v>
      </c>
      <c r="I198" s="31"/>
      <c r="J198" s="30" t="s">
        <v>47</v>
      </c>
    </row>
    <row r="199">
      <c r="A199" s="157">
        <v>770744.0</v>
      </c>
      <c r="B199" s="158">
        <v>44104.0</v>
      </c>
      <c r="C199" s="159" t="s">
        <v>893</v>
      </c>
      <c r="D199" s="159" t="s">
        <v>2710</v>
      </c>
      <c r="E199" s="30" t="s">
        <v>58</v>
      </c>
      <c r="F199" s="30" t="s">
        <v>161</v>
      </c>
      <c r="G199" s="31"/>
      <c r="H199" s="30" t="s">
        <v>47</v>
      </c>
      <c r="I199" s="31"/>
      <c r="J199" s="30" t="s">
        <v>47</v>
      </c>
    </row>
    <row r="200">
      <c r="A200" s="157">
        <v>2276371.0</v>
      </c>
      <c r="B200" s="158">
        <v>44095.0</v>
      </c>
      <c r="C200" s="159" t="s">
        <v>893</v>
      </c>
      <c r="D200" s="159" t="s">
        <v>2711</v>
      </c>
      <c r="E200" s="30" t="s">
        <v>45</v>
      </c>
      <c r="F200" s="30" t="s">
        <v>90</v>
      </c>
      <c r="G200" s="31"/>
      <c r="H200" s="30" t="s">
        <v>47</v>
      </c>
      <c r="I200" s="31"/>
      <c r="J200" s="30" t="s">
        <v>47</v>
      </c>
    </row>
    <row r="201">
      <c r="A201" s="157">
        <v>2773144.0</v>
      </c>
      <c r="B201" s="158">
        <v>44082.0</v>
      </c>
      <c r="C201" s="159" t="s">
        <v>893</v>
      </c>
      <c r="D201" s="159" t="s">
        <v>2712</v>
      </c>
      <c r="E201" s="30" t="s">
        <v>39</v>
      </c>
      <c r="F201" s="30" t="s">
        <v>54</v>
      </c>
      <c r="G201" s="31"/>
      <c r="H201" s="30" t="s">
        <v>47</v>
      </c>
      <c r="I201" s="31"/>
      <c r="J201" s="30" t="s">
        <v>47</v>
      </c>
    </row>
    <row r="202">
      <c r="A202" s="157">
        <v>2609452.0</v>
      </c>
      <c r="B202" s="158">
        <v>44075.0</v>
      </c>
      <c r="C202" s="159" t="s">
        <v>893</v>
      </c>
      <c r="D202" s="159" t="s">
        <v>2713</v>
      </c>
      <c r="E202" s="30" t="s">
        <v>79</v>
      </c>
      <c r="F202" s="30" t="s">
        <v>184</v>
      </c>
      <c r="G202" s="31"/>
      <c r="H202" s="30" t="s">
        <v>47</v>
      </c>
      <c r="I202" s="31"/>
      <c r="J202" s="30" t="s">
        <v>47</v>
      </c>
    </row>
    <row r="203">
      <c r="A203" s="157">
        <v>2300654.0</v>
      </c>
      <c r="B203" s="158">
        <v>44074.0</v>
      </c>
      <c r="C203" s="159" t="s">
        <v>2628</v>
      </c>
      <c r="D203" s="159" t="s">
        <v>2714</v>
      </c>
      <c r="E203" s="30" t="s">
        <v>63</v>
      </c>
      <c r="F203" s="30" t="s">
        <v>115</v>
      </c>
      <c r="G203" s="31"/>
      <c r="H203" s="30" t="s">
        <v>47</v>
      </c>
      <c r="I203" s="31"/>
      <c r="J203" s="30" t="s">
        <v>47</v>
      </c>
    </row>
    <row r="204">
      <c r="A204" s="157">
        <v>1586632.0</v>
      </c>
      <c r="B204" s="158">
        <v>44074.0</v>
      </c>
      <c r="C204" s="159" t="s">
        <v>2628</v>
      </c>
      <c r="D204" s="159" t="s">
        <v>2715</v>
      </c>
      <c r="E204" s="30" t="s">
        <v>45</v>
      </c>
      <c r="F204" s="30" t="s">
        <v>75</v>
      </c>
      <c r="G204" s="31"/>
      <c r="H204" s="30" t="s">
        <v>47</v>
      </c>
      <c r="I204" s="31"/>
      <c r="J204" s="30" t="s">
        <v>47</v>
      </c>
    </row>
    <row r="205">
      <c r="A205" s="157">
        <v>1947082.0</v>
      </c>
      <c r="B205" s="158">
        <v>44074.0</v>
      </c>
      <c r="C205" s="159" t="s">
        <v>2628</v>
      </c>
      <c r="D205" s="159" t="s">
        <v>2716</v>
      </c>
      <c r="E205" s="30" t="s">
        <v>39</v>
      </c>
      <c r="F205" s="30" t="s">
        <v>54</v>
      </c>
      <c r="G205" s="31"/>
      <c r="H205" s="30" t="s">
        <v>47</v>
      </c>
      <c r="I205" s="31"/>
      <c r="J205" s="30" t="s">
        <v>47</v>
      </c>
    </row>
    <row r="206">
      <c r="A206" s="157">
        <v>1811140.0</v>
      </c>
      <c r="B206" s="158">
        <v>44074.0</v>
      </c>
      <c r="C206" s="159" t="s">
        <v>2628</v>
      </c>
      <c r="D206" s="159" t="s">
        <v>2717</v>
      </c>
      <c r="E206" s="30" t="s">
        <v>39</v>
      </c>
      <c r="F206" s="30" t="s">
        <v>50</v>
      </c>
      <c r="G206" s="31"/>
      <c r="H206" s="30" t="s">
        <v>47</v>
      </c>
      <c r="I206" s="31"/>
      <c r="J206" s="30" t="s">
        <v>47</v>
      </c>
    </row>
    <row r="207">
      <c r="A207" s="157">
        <v>1302834.0</v>
      </c>
      <c r="B207" s="158">
        <v>44074.0</v>
      </c>
      <c r="C207" s="159" t="s">
        <v>2628</v>
      </c>
      <c r="D207" s="159" t="s">
        <v>2718</v>
      </c>
      <c r="E207" s="30" t="s">
        <v>45</v>
      </c>
      <c r="F207" s="30" t="s">
        <v>172</v>
      </c>
      <c r="G207" s="31">
        <v>777208.0</v>
      </c>
      <c r="H207" s="30" t="s">
        <v>2719</v>
      </c>
      <c r="I207" s="31"/>
      <c r="J207" s="30" t="s">
        <v>47</v>
      </c>
    </row>
    <row r="208">
      <c r="A208" s="157">
        <v>746278.0</v>
      </c>
      <c r="B208" s="158">
        <v>44074.0</v>
      </c>
      <c r="C208" s="159" t="s">
        <v>2628</v>
      </c>
      <c r="D208" s="159" t="s">
        <v>2720</v>
      </c>
      <c r="E208" s="30" t="s">
        <v>39</v>
      </c>
      <c r="F208" s="30" t="s">
        <v>140</v>
      </c>
      <c r="G208" s="31"/>
      <c r="H208" s="30" t="s">
        <v>47</v>
      </c>
      <c r="I208" s="31"/>
      <c r="J208" s="30" t="s">
        <v>47</v>
      </c>
    </row>
    <row r="209">
      <c r="A209" s="157">
        <v>2141542.0</v>
      </c>
      <c r="B209" s="158">
        <v>44074.0</v>
      </c>
      <c r="C209" s="159" t="s">
        <v>2628</v>
      </c>
      <c r="D209" s="159" t="s">
        <v>2721</v>
      </c>
      <c r="E209" s="30" t="s">
        <v>45</v>
      </c>
      <c r="F209" s="30" t="s">
        <v>90</v>
      </c>
      <c r="G209" s="31">
        <v>1360976.0</v>
      </c>
      <c r="H209" s="30" t="s">
        <v>2722</v>
      </c>
      <c r="I209" s="31"/>
      <c r="J209" s="30" t="s">
        <v>47</v>
      </c>
    </row>
    <row r="210">
      <c r="A210" s="157">
        <v>1887946.0</v>
      </c>
      <c r="B210" s="158">
        <v>44074.0</v>
      </c>
      <c r="C210" s="159" t="s">
        <v>2628</v>
      </c>
      <c r="D210" s="159" t="s">
        <v>2723</v>
      </c>
      <c r="E210" s="30" t="s">
        <v>189</v>
      </c>
      <c r="F210" s="30" t="s">
        <v>289</v>
      </c>
      <c r="G210" s="31">
        <v>777208.0</v>
      </c>
      <c r="H210" s="30" t="s">
        <v>2719</v>
      </c>
      <c r="I210" s="31"/>
      <c r="J210" s="30" t="s">
        <v>47</v>
      </c>
    </row>
    <row r="211">
      <c r="A211" s="157">
        <v>1729276.0</v>
      </c>
      <c r="B211" s="158">
        <v>44074.0</v>
      </c>
      <c r="C211" s="159" t="s">
        <v>893</v>
      </c>
      <c r="D211" s="159" t="s">
        <v>2724</v>
      </c>
      <c r="E211" s="30" t="s">
        <v>83</v>
      </c>
      <c r="F211" s="30" t="s">
        <v>806</v>
      </c>
      <c r="G211" s="31">
        <v>703140.0</v>
      </c>
      <c r="H211" s="30" t="s">
        <v>2725</v>
      </c>
      <c r="I211" s="31"/>
      <c r="J211" s="30" t="s">
        <v>47</v>
      </c>
    </row>
    <row r="212">
      <c r="A212" s="157">
        <v>283640.0</v>
      </c>
      <c r="B212" s="158">
        <v>44074.0</v>
      </c>
      <c r="C212" s="159" t="s">
        <v>893</v>
      </c>
      <c r="D212" s="159" t="s">
        <v>2726</v>
      </c>
      <c r="E212" s="30" t="s">
        <v>63</v>
      </c>
      <c r="F212" s="30" t="s">
        <v>64</v>
      </c>
      <c r="G212" s="31">
        <v>1542818.0</v>
      </c>
      <c r="H212" s="30" t="s">
        <v>2727</v>
      </c>
      <c r="I212" s="31"/>
      <c r="J212" s="30" t="s">
        <v>47</v>
      </c>
    </row>
    <row r="213">
      <c r="A213" s="157">
        <v>1251736.0</v>
      </c>
      <c r="B213" s="158">
        <v>44074.0</v>
      </c>
      <c r="C213" s="159" t="s">
        <v>893</v>
      </c>
      <c r="D213" s="159" t="s">
        <v>2728</v>
      </c>
      <c r="E213" s="30" t="s">
        <v>79</v>
      </c>
      <c r="F213" s="30" t="s">
        <v>998</v>
      </c>
      <c r="G213" s="31">
        <v>946742.0</v>
      </c>
      <c r="H213" s="30" t="s">
        <v>2729</v>
      </c>
      <c r="I213" s="31"/>
      <c r="J213" s="30" t="s">
        <v>47</v>
      </c>
    </row>
    <row r="214">
      <c r="A214" s="157">
        <v>2442012.0</v>
      </c>
      <c r="B214" s="158">
        <v>44074.0</v>
      </c>
      <c r="C214" s="159" t="s">
        <v>893</v>
      </c>
      <c r="D214" s="159" t="s">
        <v>2730</v>
      </c>
      <c r="E214" s="30" t="s">
        <v>45</v>
      </c>
      <c r="F214" s="30" t="s">
        <v>75</v>
      </c>
      <c r="G214" s="31"/>
      <c r="H214" s="30" t="s">
        <v>47</v>
      </c>
      <c r="I214" s="31"/>
      <c r="J214" s="30" t="s">
        <v>47</v>
      </c>
    </row>
    <row r="215">
      <c r="A215" s="157">
        <v>1870670.0</v>
      </c>
      <c r="B215" s="158">
        <v>44074.0</v>
      </c>
      <c r="C215" s="159" t="s">
        <v>893</v>
      </c>
      <c r="D215" s="159" t="s">
        <v>590</v>
      </c>
      <c r="E215" s="30" t="s">
        <v>45</v>
      </c>
      <c r="F215" s="30" t="s">
        <v>75</v>
      </c>
      <c r="G215" s="31">
        <v>1135330.0</v>
      </c>
      <c r="H215" s="30" t="s">
        <v>2731</v>
      </c>
      <c r="I215" s="31">
        <v>1198532.0</v>
      </c>
      <c r="J215" s="30" t="s">
        <v>2732</v>
      </c>
    </row>
    <row r="216">
      <c r="A216" s="157">
        <v>2086224.0</v>
      </c>
      <c r="B216" s="158">
        <v>44074.0</v>
      </c>
      <c r="C216" s="159" t="s">
        <v>893</v>
      </c>
      <c r="D216" s="159" t="s">
        <v>2733</v>
      </c>
      <c r="E216" s="30" t="s">
        <v>39</v>
      </c>
      <c r="F216" s="30" t="s">
        <v>50</v>
      </c>
      <c r="G216" s="31">
        <v>1403814.0</v>
      </c>
      <c r="H216" s="30" t="s">
        <v>2504</v>
      </c>
      <c r="I216" s="31"/>
      <c r="J216" s="30" t="s">
        <v>47</v>
      </c>
    </row>
    <row r="217">
      <c r="A217" s="157">
        <v>2191358.0</v>
      </c>
      <c r="B217" s="158">
        <v>44074.0</v>
      </c>
      <c r="C217" s="159" t="s">
        <v>893</v>
      </c>
      <c r="D217" s="159" t="s">
        <v>2734</v>
      </c>
      <c r="E217" s="30" t="s">
        <v>39</v>
      </c>
      <c r="F217" s="30" t="s">
        <v>50</v>
      </c>
      <c r="G217" s="31">
        <v>1933116.0</v>
      </c>
      <c r="H217" s="30" t="s">
        <v>2683</v>
      </c>
      <c r="I217" s="31"/>
      <c r="J217" s="30" t="s">
        <v>47</v>
      </c>
    </row>
    <row r="218">
      <c r="A218" s="157">
        <v>1082996.0</v>
      </c>
      <c r="B218" s="158">
        <v>44074.0</v>
      </c>
      <c r="C218" s="159" t="s">
        <v>893</v>
      </c>
      <c r="D218" s="159" t="s">
        <v>2735</v>
      </c>
      <c r="E218" s="30" t="s">
        <v>39</v>
      </c>
      <c r="F218" s="30" t="s">
        <v>140</v>
      </c>
      <c r="G218" s="31"/>
      <c r="H218" s="30" t="s">
        <v>47</v>
      </c>
      <c r="I218" s="31"/>
      <c r="J218" s="30" t="s">
        <v>47</v>
      </c>
    </row>
    <row r="219">
      <c r="A219" s="157">
        <v>1474634.0</v>
      </c>
      <c r="B219" s="158">
        <v>44074.0</v>
      </c>
      <c r="C219" s="159" t="s">
        <v>893</v>
      </c>
      <c r="D219" s="159" t="s">
        <v>2736</v>
      </c>
      <c r="E219" s="30" t="s">
        <v>45</v>
      </c>
      <c r="F219" s="30" t="s">
        <v>46</v>
      </c>
      <c r="G219" s="31">
        <v>1145520.0</v>
      </c>
      <c r="H219" s="30" t="s">
        <v>2737</v>
      </c>
      <c r="I219" s="31"/>
      <c r="J219" s="30" t="s">
        <v>47</v>
      </c>
    </row>
    <row r="220">
      <c r="A220" s="157">
        <v>2117824.0</v>
      </c>
      <c r="B220" s="158">
        <v>44074.0</v>
      </c>
      <c r="C220" s="159" t="s">
        <v>893</v>
      </c>
      <c r="D220" s="159" t="s">
        <v>2738</v>
      </c>
      <c r="E220" s="30" t="s">
        <v>105</v>
      </c>
      <c r="F220" s="30" t="s">
        <v>778</v>
      </c>
      <c r="G220" s="31">
        <v>1977936.0</v>
      </c>
      <c r="H220" s="30" t="s">
        <v>2739</v>
      </c>
      <c r="I220" s="31">
        <v>1472960.0</v>
      </c>
      <c r="J220" s="30" t="s">
        <v>47</v>
      </c>
    </row>
    <row r="221">
      <c r="A221" s="157">
        <v>2206088.0</v>
      </c>
      <c r="B221" s="158">
        <v>44074.0</v>
      </c>
      <c r="C221" s="159" t="s">
        <v>893</v>
      </c>
      <c r="D221" s="159" t="s">
        <v>2740</v>
      </c>
      <c r="E221" s="30" t="s">
        <v>39</v>
      </c>
      <c r="F221" s="30" t="s">
        <v>40</v>
      </c>
      <c r="G221" s="31">
        <v>354176.0</v>
      </c>
      <c r="H221" s="30" t="s">
        <v>2741</v>
      </c>
      <c r="I221" s="31"/>
      <c r="J221" s="30" t="s">
        <v>47</v>
      </c>
    </row>
    <row r="222">
      <c r="A222" s="157">
        <v>876870.0</v>
      </c>
      <c r="B222" s="158">
        <v>44074.0</v>
      </c>
      <c r="C222" s="159" t="s">
        <v>893</v>
      </c>
      <c r="D222" s="159" t="s">
        <v>2742</v>
      </c>
      <c r="E222" s="30" t="s">
        <v>39</v>
      </c>
      <c r="F222" s="30" t="s">
        <v>297</v>
      </c>
      <c r="G222" s="31">
        <v>1030486.0</v>
      </c>
      <c r="H222" s="30" t="s">
        <v>2743</v>
      </c>
      <c r="I222" s="31"/>
      <c r="J222" s="30" t="s">
        <v>47</v>
      </c>
    </row>
    <row r="223">
      <c r="A223" s="157">
        <v>2046188.0</v>
      </c>
      <c r="B223" s="158">
        <v>44074.0</v>
      </c>
      <c r="C223" s="159" t="s">
        <v>893</v>
      </c>
      <c r="D223" s="159" t="s">
        <v>2744</v>
      </c>
      <c r="E223" s="30" t="s">
        <v>63</v>
      </c>
      <c r="F223" s="30" t="s">
        <v>64</v>
      </c>
      <c r="G223" s="31">
        <v>2299046.0</v>
      </c>
      <c r="H223" s="30" t="s">
        <v>2745</v>
      </c>
      <c r="I223" s="31"/>
      <c r="J223" s="30" t="s">
        <v>47</v>
      </c>
    </row>
    <row r="224">
      <c r="A224" s="157">
        <v>1389480.0</v>
      </c>
      <c r="B224" s="158">
        <v>44074.0</v>
      </c>
      <c r="C224" s="159" t="s">
        <v>893</v>
      </c>
      <c r="D224" s="159" t="s">
        <v>2746</v>
      </c>
      <c r="E224" s="30" t="s">
        <v>189</v>
      </c>
      <c r="F224" s="30" t="s">
        <v>448</v>
      </c>
      <c r="G224" s="31">
        <v>109602.0</v>
      </c>
      <c r="H224" s="30" t="s">
        <v>2747</v>
      </c>
      <c r="I224" s="31"/>
      <c r="J224" s="30" t="s">
        <v>47</v>
      </c>
    </row>
    <row r="225">
      <c r="A225" s="157">
        <v>649690.0</v>
      </c>
      <c r="B225" s="158">
        <v>44074.0</v>
      </c>
      <c r="C225" s="159" t="s">
        <v>893</v>
      </c>
      <c r="D225" s="159" t="s">
        <v>2748</v>
      </c>
      <c r="E225" s="30" t="s">
        <v>39</v>
      </c>
      <c r="F225" s="30" t="s">
        <v>297</v>
      </c>
      <c r="G225" s="31"/>
      <c r="H225" s="30" t="s">
        <v>47</v>
      </c>
      <c r="I225" s="31"/>
      <c r="J225" s="30" t="s">
        <v>47</v>
      </c>
    </row>
    <row r="226">
      <c r="A226" s="157">
        <v>2476602.0</v>
      </c>
      <c r="B226" s="158">
        <v>44074.0</v>
      </c>
      <c r="C226" s="159" t="s">
        <v>893</v>
      </c>
      <c r="D226" s="159" t="s">
        <v>2749</v>
      </c>
      <c r="E226" s="30" t="s">
        <v>45</v>
      </c>
      <c r="F226" s="30" t="s">
        <v>90</v>
      </c>
      <c r="G226" s="31"/>
      <c r="H226" s="30" t="s">
        <v>47</v>
      </c>
      <c r="I226" s="31"/>
      <c r="J226" s="30" t="s">
        <v>47</v>
      </c>
    </row>
    <row r="227">
      <c r="A227" s="157">
        <v>1342868.0</v>
      </c>
      <c r="B227" s="158">
        <v>44074.0</v>
      </c>
      <c r="C227" s="159" t="s">
        <v>893</v>
      </c>
      <c r="D227" s="159" t="s">
        <v>2750</v>
      </c>
      <c r="E227" s="30" t="s">
        <v>45</v>
      </c>
      <c r="F227" s="30" t="s">
        <v>46</v>
      </c>
      <c r="G227" s="31">
        <v>1145520.0</v>
      </c>
      <c r="H227" s="30" t="s">
        <v>2737</v>
      </c>
      <c r="I227" s="31"/>
      <c r="J227" s="30" t="s">
        <v>47</v>
      </c>
    </row>
    <row r="228">
      <c r="A228" s="157">
        <v>2039164.0</v>
      </c>
      <c r="B228" s="158">
        <v>44074.0</v>
      </c>
      <c r="C228" s="159" t="s">
        <v>893</v>
      </c>
      <c r="D228" s="159" t="s">
        <v>2751</v>
      </c>
      <c r="E228" s="30" t="s">
        <v>63</v>
      </c>
      <c r="F228" s="30" t="s">
        <v>258</v>
      </c>
      <c r="G228" s="31">
        <v>891774.0</v>
      </c>
      <c r="H228" s="30" t="s">
        <v>47</v>
      </c>
      <c r="I228" s="31"/>
      <c r="J228" s="30" t="s">
        <v>47</v>
      </c>
    </row>
    <row r="229">
      <c r="A229" s="157">
        <v>2430492.0</v>
      </c>
      <c r="B229" s="158">
        <v>44074.0</v>
      </c>
      <c r="C229" s="159" t="s">
        <v>893</v>
      </c>
      <c r="D229" s="159" t="s">
        <v>2752</v>
      </c>
      <c r="E229" s="30" t="s">
        <v>63</v>
      </c>
      <c r="F229" s="30" t="s">
        <v>258</v>
      </c>
      <c r="G229" s="31">
        <v>2373842.0</v>
      </c>
      <c r="H229" s="30" t="s">
        <v>2753</v>
      </c>
      <c r="I229" s="31"/>
      <c r="J229" s="30" t="s">
        <v>47</v>
      </c>
    </row>
    <row r="230">
      <c r="A230" s="157">
        <v>2060897.0</v>
      </c>
      <c r="B230" s="158">
        <v>44074.0</v>
      </c>
      <c r="C230" s="159" t="s">
        <v>893</v>
      </c>
      <c r="D230" s="159" t="s">
        <v>2754</v>
      </c>
      <c r="E230" s="30" t="s">
        <v>58</v>
      </c>
      <c r="F230" s="30" t="s">
        <v>59</v>
      </c>
      <c r="G230" s="31">
        <v>266590.0</v>
      </c>
      <c r="H230" s="30" t="s">
        <v>2755</v>
      </c>
      <c r="I230" s="31"/>
      <c r="J230" s="30" t="s">
        <v>47</v>
      </c>
    </row>
    <row r="231">
      <c r="A231" s="157">
        <v>2021266.0</v>
      </c>
      <c r="B231" s="158">
        <v>44074.0</v>
      </c>
      <c r="C231" s="159" t="s">
        <v>893</v>
      </c>
      <c r="D231" s="159" t="s">
        <v>2756</v>
      </c>
      <c r="E231" s="30" t="s">
        <v>39</v>
      </c>
      <c r="F231" s="30" t="s">
        <v>140</v>
      </c>
      <c r="G231" s="31">
        <v>1968412.0</v>
      </c>
      <c r="H231" s="30" t="s">
        <v>880</v>
      </c>
      <c r="I231" s="31">
        <v>1313502.0</v>
      </c>
      <c r="J231" s="30" t="s">
        <v>879</v>
      </c>
    </row>
    <row r="232">
      <c r="A232" s="157">
        <v>1835718.0</v>
      </c>
      <c r="B232" s="158">
        <v>44074.0</v>
      </c>
      <c r="C232" s="159" t="s">
        <v>893</v>
      </c>
      <c r="D232" s="159" t="s">
        <v>2757</v>
      </c>
      <c r="E232" s="30" t="s">
        <v>105</v>
      </c>
      <c r="F232" s="30" t="s">
        <v>778</v>
      </c>
      <c r="G232" s="31">
        <v>1528508.0</v>
      </c>
      <c r="H232" s="30" t="s">
        <v>1794</v>
      </c>
      <c r="I232" s="31"/>
      <c r="J232" s="30" t="s">
        <v>47</v>
      </c>
    </row>
    <row r="233">
      <c r="A233" s="157">
        <v>2441328.0</v>
      </c>
      <c r="B233" s="158">
        <v>44074.0</v>
      </c>
      <c r="C233" s="159" t="s">
        <v>893</v>
      </c>
      <c r="D233" s="159" t="s">
        <v>2758</v>
      </c>
      <c r="E233" s="30" t="s">
        <v>39</v>
      </c>
      <c r="F233" s="30" t="s">
        <v>140</v>
      </c>
      <c r="G233" s="31">
        <v>1014442.0</v>
      </c>
      <c r="H233" s="30" t="s">
        <v>47</v>
      </c>
      <c r="I233" s="31">
        <v>587144.0</v>
      </c>
      <c r="J233" s="30" t="s">
        <v>2759</v>
      </c>
    </row>
    <row r="234">
      <c r="A234" s="157">
        <v>2441106.0</v>
      </c>
      <c r="B234" s="158">
        <v>44074.0</v>
      </c>
      <c r="C234" s="159" t="s">
        <v>2610</v>
      </c>
      <c r="D234" s="159" t="s">
        <v>2760</v>
      </c>
      <c r="E234" s="30" t="s">
        <v>144</v>
      </c>
      <c r="F234" s="30" t="s">
        <v>311</v>
      </c>
      <c r="G234" s="31"/>
      <c r="H234" s="30" t="s">
        <v>47</v>
      </c>
      <c r="I234" s="31"/>
      <c r="J234" s="30" t="s">
        <v>47</v>
      </c>
    </row>
    <row r="235">
      <c r="A235" s="157">
        <v>1418918.0</v>
      </c>
      <c r="B235" s="158">
        <v>44074.0</v>
      </c>
      <c r="C235" s="159" t="s">
        <v>2606</v>
      </c>
      <c r="D235" s="159" t="s">
        <v>2761</v>
      </c>
      <c r="E235" s="30" t="s">
        <v>105</v>
      </c>
      <c r="F235" s="30" t="s">
        <v>212</v>
      </c>
      <c r="G235" s="31">
        <v>1390244.0</v>
      </c>
      <c r="H235" s="30" t="s">
        <v>2762</v>
      </c>
      <c r="I235" s="31"/>
      <c r="J235" s="30" t="s">
        <v>47</v>
      </c>
    </row>
    <row r="236">
      <c r="A236" s="157">
        <v>1887746.0</v>
      </c>
      <c r="B236" s="158">
        <v>44074.0</v>
      </c>
      <c r="C236" s="159" t="s">
        <v>2606</v>
      </c>
      <c r="D236" s="159" t="s">
        <v>2763</v>
      </c>
      <c r="E236" s="30" t="s">
        <v>105</v>
      </c>
      <c r="F236" s="30" t="s">
        <v>198</v>
      </c>
      <c r="G236" s="31"/>
      <c r="H236" s="30" t="s">
        <v>47</v>
      </c>
      <c r="I236" s="31"/>
      <c r="J236" s="30" t="s">
        <v>47</v>
      </c>
    </row>
    <row r="237">
      <c r="A237" s="157">
        <v>2015078.0</v>
      </c>
      <c r="B237" s="158">
        <v>44071.0</v>
      </c>
      <c r="C237" s="159" t="s">
        <v>893</v>
      </c>
      <c r="D237" s="159" t="s">
        <v>2764</v>
      </c>
      <c r="E237" s="30" t="s">
        <v>45</v>
      </c>
      <c r="F237" s="30" t="s">
        <v>75</v>
      </c>
      <c r="G237" s="31"/>
      <c r="H237" s="30" t="s">
        <v>47</v>
      </c>
      <c r="I237" s="31"/>
      <c r="J237" s="30" t="s">
        <v>47</v>
      </c>
    </row>
    <row r="238">
      <c r="A238" s="157">
        <v>1349686.0</v>
      </c>
      <c r="B238" s="158">
        <v>44071.0</v>
      </c>
      <c r="C238" s="159" t="s">
        <v>893</v>
      </c>
      <c r="D238" s="159" t="s">
        <v>2765</v>
      </c>
      <c r="E238" s="30" t="s">
        <v>45</v>
      </c>
      <c r="F238" s="30" t="s">
        <v>75</v>
      </c>
      <c r="G238" s="31"/>
      <c r="H238" s="30" t="s">
        <v>47</v>
      </c>
      <c r="I238" s="31"/>
      <c r="J238" s="30" t="s">
        <v>47</v>
      </c>
    </row>
    <row r="239">
      <c r="A239" s="157">
        <v>3019942.0</v>
      </c>
      <c r="B239" s="158">
        <v>44070.0</v>
      </c>
      <c r="C239" s="159" t="s">
        <v>893</v>
      </c>
      <c r="D239" s="159" t="s">
        <v>2766</v>
      </c>
      <c r="E239" s="30" t="s">
        <v>45</v>
      </c>
      <c r="F239" s="30" t="s">
        <v>75</v>
      </c>
      <c r="G239" s="31"/>
      <c r="H239" s="30" t="s">
        <v>47</v>
      </c>
      <c r="I239" s="31"/>
      <c r="J239" s="30" t="s">
        <v>47</v>
      </c>
    </row>
    <row r="240">
      <c r="A240" s="157">
        <v>2961426.0</v>
      </c>
      <c r="B240" s="158">
        <v>44070.0</v>
      </c>
      <c r="C240" s="159" t="s">
        <v>893</v>
      </c>
      <c r="D240" s="159" t="s">
        <v>2767</v>
      </c>
      <c r="E240" s="30" t="s">
        <v>45</v>
      </c>
      <c r="F240" s="30" t="s">
        <v>75</v>
      </c>
      <c r="G240" s="31"/>
      <c r="H240" s="30" t="s">
        <v>47</v>
      </c>
      <c r="I240" s="31"/>
      <c r="J240" s="30" t="s">
        <v>47</v>
      </c>
    </row>
    <row r="241">
      <c r="A241" s="157">
        <v>3081480.0</v>
      </c>
      <c r="B241" s="158">
        <v>44070.0</v>
      </c>
      <c r="C241" s="159" t="s">
        <v>893</v>
      </c>
      <c r="D241" s="159" t="s">
        <v>2768</v>
      </c>
      <c r="E241" s="30" t="s">
        <v>45</v>
      </c>
      <c r="F241" s="30" t="s">
        <v>75</v>
      </c>
      <c r="G241" s="31"/>
      <c r="H241" s="30" t="s">
        <v>47</v>
      </c>
      <c r="I241" s="31"/>
      <c r="J241" s="30" t="s">
        <v>47</v>
      </c>
    </row>
    <row r="242">
      <c r="A242" s="157">
        <v>2615816.0</v>
      </c>
      <c r="B242" s="158">
        <v>44070.0</v>
      </c>
      <c r="C242" s="159" t="s">
        <v>893</v>
      </c>
      <c r="D242" s="159" t="s">
        <v>2769</v>
      </c>
      <c r="E242" s="30" t="s">
        <v>45</v>
      </c>
      <c r="F242" s="30" t="s">
        <v>75</v>
      </c>
      <c r="G242" s="31">
        <v>3065398.0</v>
      </c>
      <c r="H242" s="30" t="s">
        <v>2005</v>
      </c>
      <c r="I242" s="31"/>
      <c r="J242" s="30" t="s">
        <v>47</v>
      </c>
    </row>
    <row r="243">
      <c r="A243" s="157">
        <v>3069844.0</v>
      </c>
      <c r="B243" s="158">
        <v>44070.0</v>
      </c>
      <c r="C243" s="159" t="s">
        <v>893</v>
      </c>
      <c r="D243" s="159" t="s">
        <v>2770</v>
      </c>
      <c r="E243" s="30" t="s">
        <v>45</v>
      </c>
      <c r="F243" s="30" t="s">
        <v>75</v>
      </c>
      <c r="G243" s="31"/>
      <c r="H243" s="30" t="s">
        <v>47</v>
      </c>
      <c r="I243" s="31"/>
      <c r="J243" s="30" t="s">
        <v>47</v>
      </c>
    </row>
    <row r="244">
      <c r="A244" s="157">
        <v>3047326.0</v>
      </c>
      <c r="B244" s="158">
        <v>44070.0</v>
      </c>
      <c r="C244" s="159" t="s">
        <v>893</v>
      </c>
      <c r="D244" s="159" t="s">
        <v>2771</v>
      </c>
      <c r="E244" s="30" t="s">
        <v>45</v>
      </c>
      <c r="F244" s="30" t="s">
        <v>75</v>
      </c>
      <c r="G244" s="31"/>
      <c r="H244" s="30" t="s">
        <v>47</v>
      </c>
      <c r="I244" s="31"/>
      <c r="J244" s="30" t="s">
        <v>47</v>
      </c>
    </row>
    <row r="245">
      <c r="A245" s="157">
        <v>1024854.0</v>
      </c>
      <c r="B245" s="158">
        <v>44049.0</v>
      </c>
      <c r="C245" s="159" t="s">
        <v>893</v>
      </c>
      <c r="D245" s="159" t="s">
        <v>2772</v>
      </c>
      <c r="E245" s="30" t="s">
        <v>79</v>
      </c>
      <c r="F245" s="30" t="s">
        <v>261</v>
      </c>
      <c r="G245" s="31">
        <v>1411586.0</v>
      </c>
      <c r="H245" s="30" t="s">
        <v>1135</v>
      </c>
      <c r="I245" s="31"/>
      <c r="J245" s="30" t="s">
        <v>47</v>
      </c>
    </row>
    <row r="246">
      <c r="A246" s="157">
        <v>979552.0</v>
      </c>
      <c r="B246" s="158">
        <v>44049.0</v>
      </c>
      <c r="C246" s="159" t="s">
        <v>893</v>
      </c>
      <c r="D246" s="159" t="s">
        <v>2773</v>
      </c>
      <c r="E246" s="30" t="s">
        <v>79</v>
      </c>
      <c r="F246" s="30" t="s">
        <v>261</v>
      </c>
      <c r="G246" s="31">
        <v>1361790.0</v>
      </c>
      <c r="H246" s="30" t="s">
        <v>1065</v>
      </c>
      <c r="I246" s="31"/>
      <c r="J246" s="30" t="s">
        <v>47</v>
      </c>
    </row>
    <row r="247">
      <c r="A247" s="157">
        <v>1075796.0</v>
      </c>
      <c r="B247" s="158">
        <v>44046.0</v>
      </c>
      <c r="C247" s="159" t="s">
        <v>893</v>
      </c>
      <c r="D247" s="159" t="s">
        <v>2774</v>
      </c>
      <c r="E247" s="30" t="s">
        <v>63</v>
      </c>
      <c r="F247" s="30" t="s">
        <v>115</v>
      </c>
      <c r="G247" s="31"/>
      <c r="H247" s="30" t="s">
        <v>47</v>
      </c>
      <c r="I247" s="31"/>
      <c r="J247" s="30" t="s">
        <v>47</v>
      </c>
    </row>
    <row r="248">
      <c r="A248" s="157">
        <v>1387970.0</v>
      </c>
      <c r="B248" s="158">
        <v>44046.0</v>
      </c>
      <c r="C248" s="159" t="s">
        <v>893</v>
      </c>
      <c r="D248" s="159" t="s">
        <v>2775</v>
      </c>
      <c r="E248" s="30" t="s">
        <v>189</v>
      </c>
      <c r="F248" s="30" t="s">
        <v>190</v>
      </c>
      <c r="G248" s="31">
        <v>1918248.0</v>
      </c>
      <c r="H248" s="30" t="s">
        <v>2776</v>
      </c>
      <c r="I248" s="31"/>
      <c r="J248" s="30" t="s">
        <v>47</v>
      </c>
    </row>
    <row r="249">
      <c r="A249" s="157">
        <v>1432432.0</v>
      </c>
      <c r="B249" s="158">
        <v>44046.0</v>
      </c>
      <c r="C249" s="159" t="s">
        <v>893</v>
      </c>
      <c r="D249" s="159" t="s">
        <v>2777</v>
      </c>
      <c r="E249" s="30" t="s">
        <v>79</v>
      </c>
      <c r="F249" s="30" t="s">
        <v>998</v>
      </c>
      <c r="G249" s="31">
        <v>1802404.0</v>
      </c>
      <c r="H249" s="30" t="s">
        <v>2778</v>
      </c>
      <c r="I249" s="31"/>
      <c r="J249" s="30" t="s">
        <v>47</v>
      </c>
    </row>
    <row r="250">
      <c r="A250" s="157">
        <v>1134580.0</v>
      </c>
      <c r="B250" s="158">
        <v>44046.0</v>
      </c>
      <c r="C250" s="159" t="s">
        <v>893</v>
      </c>
      <c r="D250" s="159" t="s">
        <v>2779</v>
      </c>
      <c r="E250" s="30" t="s">
        <v>63</v>
      </c>
      <c r="F250" s="30" t="s">
        <v>256</v>
      </c>
      <c r="G250" s="31">
        <v>693188.0</v>
      </c>
      <c r="H250" s="30" t="s">
        <v>1975</v>
      </c>
      <c r="I250" s="31"/>
      <c r="J250" s="30" t="s">
        <v>47</v>
      </c>
    </row>
    <row r="251">
      <c r="A251" s="157">
        <v>166070.0</v>
      </c>
      <c r="B251" s="158">
        <v>44046.0</v>
      </c>
      <c r="C251" s="159" t="s">
        <v>893</v>
      </c>
      <c r="D251" s="159" t="s">
        <v>2780</v>
      </c>
      <c r="E251" s="30" t="s">
        <v>83</v>
      </c>
      <c r="F251" s="30" t="s">
        <v>876</v>
      </c>
      <c r="G251" s="31">
        <v>1600628.0</v>
      </c>
      <c r="H251" s="30" t="s">
        <v>2781</v>
      </c>
      <c r="I251" s="31"/>
      <c r="J251" s="30" t="s">
        <v>47</v>
      </c>
    </row>
    <row r="252">
      <c r="A252" s="157">
        <v>1536746.0</v>
      </c>
      <c r="B252" s="158">
        <v>44046.0</v>
      </c>
      <c r="C252" s="159" t="s">
        <v>893</v>
      </c>
      <c r="D252" s="159" t="s">
        <v>2782</v>
      </c>
      <c r="E252" s="30" t="s">
        <v>83</v>
      </c>
      <c r="F252" s="30" t="s">
        <v>153</v>
      </c>
      <c r="G252" s="31">
        <v>703140.0</v>
      </c>
      <c r="H252" s="30" t="s">
        <v>2725</v>
      </c>
      <c r="I252" s="31"/>
      <c r="J252" s="30" t="s">
        <v>47</v>
      </c>
    </row>
    <row r="253">
      <c r="A253" s="157">
        <v>1447172.0</v>
      </c>
      <c r="B253" s="158">
        <v>44046.0</v>
      </c>
      <c r="C253" s="159" t="s">
        <v>893</v>
      </c>
      <c r="D253" s="159" t="s">
        <v>2783</v>
      </c>
      <c r="E253" s="30" t="s">
        <v>39</v>
      </c>
      <c r="F253" s="30" t="s">
        <v>50</v>
      </c>
      <c r="G253" s="31">
        <v>446736.0</v>
      </c>
      <c r="H253" s="30" t="s">
        <v>2784</v>
      </c>
      <c r="I253" s="31"/>
      <c r="J253" s="30" t="s">
        <v>47</v>
      </c>
    </row>
    <row r="254">
      <c r="A254" s="157">
        <v>1561726.0</v>
      </c>
      <c r="B254" s="158">
        <v>44046.0</v>
      </c>
      <c r="C254" s="159" t="s">
        <v>2628</v>
      </c>
      <c r="D254" s="159" t="s">
        <v>2785</v>
      </c>
      <c r="E254" s="30" t="s">
        <v>105</v>
      </c>
      <c r="F254" s="30" t="s">
        <v>253</v>
      </c>
      <c r="G254" s="31"/>
      <c r="H254" s="30" t="s">
        <v>47</v>
      </c>
      <c r="I254" s="31"/>
      <c r="J254" s="30" t="s">
        <v>47</v>
      </c>
    </row>
    <row r="255">
      <c r="A255" s="157">
        <v>2215444.0</v>
      </c>
      <c r="B255" s="158">
        <v>44046.0</v>
      </c>
      <c r="C255" s="159" t="s">
        <v>893</v>
      </c>
      <c r="D255" s="159" t="s">
        <v>2786</v>
      </c>
      <c r="E255" s="30" t="s">
        <v>45</v>
      </c>
      <c r="F255" s="30" t="s">
        <v>75</v>
      </c>
      <c r="G255" s="31">
        <v>1206148.0</v>
      </c>
      <c r="H255" s="30" t="s">
        <v>799</v>
      </c>
      <c r="I255" s="31"/>
      <c r="J255" s="30" t="s">
        <v>47</v>
      </c>
    </row>
    <row r="256">
      <c r="A256" s="157">
        <v>2228688.0</v>
      </c>
      <c r="B256" s="158">
        <v>44046.0</v>
      </c>
      <c r="C256" s="159" t="s">
        <v>893</v>
      </c>
      <c r="D256" s="159" t="s">
        <v>2787</v>
      </c>
      <c r="E256" s="30" t="s">
        <v>45</v>
      </c>
      <c r="F256" s="30" t="s">
        <v>75</v>
      </c>
      <c r="G256" s="31">
        <v>2311262.0</v>
      </c>
      <c r="H256" s="30" t="s">
        <v>1858</v>
      </c>
      <c r="I256" s="31"/>
      <c r="J256" s="30" t="s">
        <v>47</v>
      </c>
    </row>
    <row r="257">
      <c r="A257" s="157">
        <v>1155592.0</v>
      </c>
      <c r="B257" s="158">
        <v>44046.0</v>
      </c>
      <c r="C257" s="159" t="s">
        <v>893</v>
      </c>
      <c r="D257" s="159" t="s">
        <v>2788</v>
      </c>
      <c r="E257" s="30" t="s">
        <v>63</v>
      </c>
      <c r="F257" s="30" t="s">
        <v>256</v>
      </c>
      <c r="G257" s="31">
        <v>1245870.0</v>
      </c>
      <c r="H257" s="30" t="s">
        <v>2789</v>
      </c>
      <c r="I257" s="31"/>
      <c r="J257" s="30" t="s">
        <v>47</v>
      </c>
    </row>
    <row r="258">
      <c r="A258" s="157">
        <v>977080.0</v>
      </c>
      <c r="B258" s="158">
        <v>44046.0</v>
      </c>
      <c r="C258" s="159" t="s">
        <v>2362</v>
      </c>
      <c r="D258" s="159" t="s">
        <v>2790</v>
      </c>
      <c r="E258" s="30" t="s">
        <v>122</v>
      </c>
      <c r="F258" s="30" t="s">
        <v>271</v>
      </c>
      <c r="G258" s="31">
        <v>1744780.0</v>
      </c>
      <c r="H258" s="30" t="s">
        <v>2791</v>
      </c>
      <c r="I258" s="31"/>
      <c r="J258" s="30" t="s">
        <v>47</v>
      </c>
    </row>
    <row r="259">
      <c r="A259" s="157">
        <v>635120.0</v>
      </c>
      <c r="B259" s="158">
        <v>44046.0</v>
      </c>
      <c r="C259" s="159" t="s">
        <v>893</v>
      </c>
      <c r="D259" s="159" t="s">
        <v>2792</v>
      </c>
      <c r="E259" s="30" t="s">
        <v>39</v>
      </c>
      <c r="F259" s="30" t="s">
        <v>50</v>
      </c>
      <c r="G259" s="31">
        <v>1180626.0</v>
      </c>
      <c r="H259" s="30" t="s">
        <v>2793</v>
      </c>
      <c r="I259" s="31"/>
      <c r="J259" s="30" t="s">
        <v>47</v>
      </c>
    </row>
    <row r="260">
      <c r="A260" s="157">
        <v>783682.0</v>
      </c>
      <c r="B260" s="158">
        <v>44046.0</v>
      </c>
      <c r="C260" s="159" t="s">
        <v>893</v>
      </c>
      <c r="D260" s="159" t="s">
        <v>2794</v>
      </c>
      <c r="E260" s="30" t="s">
        <v>63</v>
      </c>
      <c r="F260" s="30" t="s">
        <v>115</v>
      </c>
      <c r="G260" s="31">
        <v>1899124.0</v>
      </c>
      <c r="H260" s="30" t="s">
        <v>2795</v>
      </c>
      <c r="I260" s="31"/>
      <c r="J260" s="30" t="s">
        <v>47</v>
      </c>
    </row>
    <row r="261">
      <c r="A261" s="157">
        <v>2207154.0</v>
      </c>
      <c r="B261" s="158">
        <v>44046.0</v>
      </c>
      <c r="C261" s="159" t="s">
        <v>893</v>
      </c>
      <c r="D261" s="159" t="s">
        <v>2796</v>
      </c>
      <c r="E261" s="30" t="s">
        <v>45</v>
      </c>
      <c r="F261" s="30" t="s">
        <v>75</v>
      </c>
      <c r="G261" s="31">
        <v>1343678.0</v>
      </c>
      <c r="H261" s="30" t="s">
        <v>2797</v>
      </c>
      <c r="I261" s="31"/>
      <c r="J261" s="30" t="s">
        <v>47</v>
      </c>
    </row>
    <row r="262">
      <c r="A262" s="157">
        <v>1474682.0</v>
      </c>
      <c r="B262" s="158">
        <v>44046.0</v>
      </c>
      <c r="C262" s="159" t="s">
        <v>893</v>
      </c>
      <c r="D262" s="159" t="s">
        <v>2798</v>
      </c>
      <c r="E262" s="30" t="s">
        <v>63</v>
      </c>
      <c r="F262" s="30" t="s">
        <v>258</v>
      </c>
      <c r="G262" s="31">
        <v>1299656.0</v>
      </c>
      <c r="H262" s="30" t="s">
        <v>1684</v>
      </c>
      <c r="I262" s="31"/>
      <c r="J262" s="30" t="s">
        <v>47</v>
      </c>
    </row>
    <row r="263">
      <c r="A263" s="157">
        <v>357334.0</v>
      </c>
      <c r="B263" s="158">
        <v>44046.0</v>
      </c>
      <c r="C263" s="159" t="s">
        <v>893</v>
      </c>
      <c r="D263" s="159" t="s">
        <v>2799</v>
      </c>
      <c r="E263" s="30" t="s">
        <v>122</v>
      </c>
      <c r="F263" s="30" t="s">
        <v>123</v>
      </c>
      <c r="G263" s="31">
        <v>613808.0</v>
      </c>
      <c r="H263" s="30" t="s">
        <v>1591</v>
      </c>
      <c r="I263" s="31"/>
      <c r="J263" s="30" t="s">
        <v>47</v>
      </c>
    </row>
    <row r="264">
      <c r="A264" s="157">
        <v>1924360.0</v>
      </c>
      <c r="B264" s="158">
        <v>44042.0</v>
      </c>
      <c r="C264" s="159" t="s">
        <v>2610</v>
      </c>
      <c r="D264" s="159" t="s">
        <v>2800</v>
      </c>
      <c r="E264" s="30" t="s">
        <v>63</v>
      </c>
      <c r="F264" s="30" t="s">
        <v>258</v>
      </c>
      <c r="G264" s="31"/>
      <c r="H264" s="30" t="s">
        <v>47</v>
      </c>
      <c r="I264" s="31"/>
      <c r="J264" s="30" t="s">
        <v>47</v>
      </c>
    </row>
    <row r="265">
      <c r="A265" s="157">
        <v>1686330.0</v>
      </c>
      <c r="B265" s="158">
        <v>44046.0</v>
      </c>
      <c r="C265" s="159" t="s">
        <v>2606</v>
      </c>
      <c r="D265" s="159" t="s">
        <v>2801</v>
      </c>
      <c r="E265" s="30" t="s">
        <v>39</v>
      </c>
      <c r="F265" s="30" t="s">
        <v>140</v>
      </c>
      <c r="G265" s="31"/>
      <c r="H265" s="30" t="s">
        <v>47</v>
      </c>
      <c r="I265" s="31"/>
      <c r="J265" s="30" t="s">
        <v>47</v>
      </c>
    </row>
    <row r="266">
      <c r="A266" s="157">
        <v>2031222.0</v>
      </c>
      <c r="B266" s="158">
        <v>44046.0</v>
      </c>
      <c r="C266" s="159" t="s">
        <v>2802</v>
      </c>
      <c r="D266" s="159" t="s">
        <v>2803</v>
      </c>
      <c r="E266" s="30" t="s">
        <v>144</v>
      </c>
      <c r="F266" s="30" t="s">
        <v>339</v>
      </c>
      <c r="G266" s="31"/>
      <c r="H266" s="30" t="s">
        <v>47</v>
      </c>
      <c r="I266" s="31"/>
      <c r="J266" s="30" t="s">
        <v>47</v>
      </c>
    </row>
    <row r="267">
      <c r="A267" s="157">
        <v>1816740.0</v>
      </c>
      <c r="B267" s="158">
        <v>44046.0</v>
      </c>
      <c r="C267" s="159" t="s">
        <v>2606</v>
      </c>
      <c r="D267" s="159" t="s">
        <v>2804</v>
      </c>
      <c r="E267" s="30" t="s">
        <v>79</v>
      </c>
      <c r="F267" s="30" t="s">
        <v>150</v>
      </c>
      <c r="G267" s="31">
        <v>1030206.0</v>
      </c>
      <c r="H267" s="30" t="s">
        <v>1649</v>
      </c>
      <c r="I267" s="31"/>
      <c r="J267" s="30" t="s">
        <v>47</v>
      </c>
    </row>
    <row r="268">
      <c r="A268" s="157">
        <v>1402794.0</v>
      </c>
      <c r="B268" s="158">
        <v>44046.0</v>
      </c>
      <c r="C268" s="159" t="s">
        <v>2628</v>
      </c>
      <c r="D268" s="159" t="s">
        <v>2805</v>
      </c>
      <c r="E268" s="30" t="s">
        <v>39</v>
      </c>
      <c r="F268" s="30" t="s">
        <v>50</v>
      </c>
      <c r="G268" s="31"/>
      <c r="H268" s="30" t="s">
        <v>47</v>
      </c>
      <c r="I268" s="31"/>
      <c r="J268" s="30" t="s">
        <v>47</v>
      </c>
    </row>
    <row r="269">
      <c r="A269" s="157">
        <v>944136.0</v>
      </c>
      <c r="B269" s="158">
        <v>44046.0</v>
      </c>
      <c r="C269" s="159" t="s">
        <v>2628</v>
      </c>
      <c r="D269" s="159" t="s">
        <v>2806</v>
      </c>
      <c r="E269" s="30" t="s">
        <v>122</v>
      </c>
      <c r="F269" s="30" t="s">
        <v>127</v>
      </c>
      <c r="G269" s="31"/>
      <c r="H269" s="30" t="s">
        <v>47</v>
      </c>
      <c r="I269" s="31"/>
      <c r="J269" s="30" t="s">
        <v>47</v>
      </c>
    </row>
    <row r="270">
      <c r="A270" s="157">
        <v>1472580.0</v>
      </c>
      <c r="B270" s="158">
        <v>44046.0</v>
      </c>
      <c r="C270" s="159" t="s">
        <v>893</v>
      </c>
      <c r="D270" s="159" t="s">
        <v>2807</v>
      </c>
      <c r="E270" s="30" t="s">
        <v>96</v>
      </c>
      <c r="F270" s="30" t="s">
        <v>131</v>
      </c>
      <c r="G270" s="31"/>
      <c r="H270" s="30" t="s">
        <v>47</v>
      </c>
      <c r="I270" s="31"/>
      <c r="J270" s="30" t="s">
        <v>47</v>
      </c>
    </row>
    <row r="271">
      <c r="A271" s="157">
        <v>447362.0</v>
      </c>
      <c r="B271" s="158">
        <v>44046.0</v>
      </c>
      <c r="C271" s="159" t="s">
        <v>893</v>
      </c>
      <c r="D271" s="159" t="s">
        <v>2808</v>
      </c>
      <c r="E271" s="30" t="s">
        <v>96</v>
      </c>
      <c r="F271" s="30" t="s">
        <v>109</v>
      </c>
      <c r="G271" s="31">
        <v>1587644.0</v>
      </c>
      <c r="H271" s="30" t="s">
        <v>2696</v>
      </c>
      <c r="I271" s="31"/>
      <c r="J271" s="30" t="s">
        <v>47</v>
      </c>
    </row>
    <row r="272">
      <c r="A272" s="157">
        <v>551930.0</v>
      </c>
      <c r="B272" s="158">
        <v>44046.0</v>
      </c>
      <c r="C272" s="159" t="s">
        <v>893</v>
      </c>
      <c r="D272" s="159" t="s">
        <v>2809</v>
      </c>
      <c r="E272" s="30" t="s">
        <v>105</v>
      </c>
      <c r="F272" s="30" t="s">
        <v>212</v>
      </c>
      <c r="G272" s="31"/>
      <c r="H272" s="30" t="s">
        <v>47</v>
      </c>
      <c r="I272" s="31"/>
      <c r="J272" s="30" t="s">
        <v>47</v>
      </c>
    </row>
    <row r="273">
      <c r="A273" s="160">
        <v>1166592.0</v>
      </c>
      <c r="B273" s="158">
        <v>44046.0</v>
      </c>
      <c r="C273" s="159" t="s">
        <v>893</v>
      </c>
      <c r="D273" s="159" t="s">
        <v>2810</v>
      </c>
      <c r="E273" s="30" t="s">
        <v>105</v>
      </c>
      <c r="F273" s="30" t="s">
        <v>106</v>
      </c>
      <c r="G273" s="31"/>
      <c r="H273" s="30" t="s">
        <v>47</v>
      </c>
      <c r="I273" s="31"/>
      <c r="J273" s="30" t="s">
        <v>47</v>
      </c>
    </row>
    <row r="274">
      <c r="A274" s="160">
        <v>1489540.0</v>
      </c>
      <c r="B274" s="158">
        <v>44046.0</v>
      </c>
      <c r="C274" s="159" t="s">
        <v>893</v>
      </c>
      <c r="D274" s="159" t="s">
        <v>2811</v>
      </c>
      <c r="E274" s="30" t="s">
        <v>105</v>
      </c>
      <c r="F274" s="30" t="s">
        <v>106</v>
      </c>
      <c r="G274" s="31"/>
      <c r="H274" s="30" t="s">
        <v>47</v>
      </c>
      <c r="I274" s="31"/>
      <c r="J274" s="30" t="s">
        <v>47</v>
      </c>
    </row>
    <row r="275">
      <c r="A275" s="160">
        <v>472114.0</v>
      </c>
      <c r="B275" s="158">
        <v>44046.0</v>
      </c>
      <c r="C275" s="159" t="s">
        <v>893</v>
      </c>
      <c r="D275" s="159" t="s">
        <v>2812</v>
      </c>
      <c r="E275" s="30" t="s">
        <v>105</v>
      </c>
      <c r="F275" s="30" t="s">
        <v>198</v>
      </c>
      <c r="G275" s="31">
        <v>1514258.0</v>
      </c>
      <c r="H275" s="30" t="s">
        <v>2813</v>
      </c>
      <c r="I275" s="31"/>
      <c r="J275" s="30" t="s">
        <v>47</v>
      </c>
    </row>
    <row r="276">
      <c r="A276" s="160">
        <v>570716.0</v>
      </c>
      <c r="B276" s="158">
        <v>44046.0</v>
      </c>
      <c r="C276" s="159" t="s">
        <v>893</v>
      </c>
      <c r="D276" s="159" t="s">
        <v>2814</v>
      </c>
      <c r="E276" s="30" t="s">
        <v>58</v>
      </c>
      <c r="F276" s="30" t="s">
        <v>161</v>
      </c>
      <c r="G276" s="31"/>
      <c r="H276" s="30" t="s">
        <v>47</v>
      </c>
      <c r="I276" s="31"/>
      <c r="J276" s="30" t="s">
        <v>47</v>
      </c>
    </row>
    <row r="277">
      <c r="A277" s="160">
        <v>1241148.0</v>
      </c>
      <c r="B277" s="158">
        <v>44046.0</v>
      </c>
      <c r="C277" s="159" t="s">
        <v>893</v>
      </c>
      <c r="D277" s="159" t="s">
        <v>2815</v>
      </c>
      <c r="E277" s="30" t="s">
        <v>63</v>
      </c>
      <c r="F277" s="30" t="s">
        <v>115</v>
      </c>
      <c r="G277" s="31"/>
      <c r="H277" s="30" t="s">
        <v>47</v>
      </c>
      <c r="I277" s="31"/>
      <c r="J277" s="30" t="s">
        <v>47</v>
      </c>
    </row>
    <row r="278">
      <c r="A278" s="160">
        <v>1702848.0</v>
      </c>
      <c r="B278" s="158">
        <v>44046.0</v>
      </c>
      <c r="C278" s="159" t="s">
        <v>893</v>
      </c>
      <c r="D278" s="159" t="s">
        <v>2816</v>
      </c>
      <c r="E278" s="30" t="s">
        <v>45</v>
      </c>
      <c r="F278" s="30" t="s">
        <v>75</v>
      </c>
      <c r="G278" s="31"/>
      <c r="H278" s="30" t="s">
        <v>47</v>
      </c>
      <c r="I278" s="31"/>
      <c r="J278" s="30" t="s">
        <v>47</v>
      </c>
    </row>
    <row r="279">
      <c r="A279" s="160">
        <v>1934944.0</v>
      </c>
      <c r="B279" s="158">
        <v>44046.0</v>
      </c>
      <c r="C279" s="159" t="s">
        <v>893</v>
      </c>
      <c r="D279" s="159" t="s">
        <v>2817</v>
      </c>
      <c r="E279" s="30" t="s">
        <v>105</v>
      </c>
      <c r="F279" s="30" t="s">
        <v>778</v>
      </c>
      <c r="G279" s="31">
        <v>1458304.0</v>
      </c>
      <c r="H279" s="30" t="s">
        <v>196</v>
      </c>
      <c r="I279" s="31"/>
      <c r="J279" s="30" t="s">
        <v>47</v>
      </c>
    </row>
    <row r="280">
      <c r="A280" s="160">
        <v>725564.0</v>
      </c>
      <c r="B280" s="158">
        <v>44046.0</v>
      </c>
      <c r="C280" s="159" t="s">
        <v>2628</v>
      </c>
      <c r="D280" s="159" t="s">
        <v>2818</v>
      </c>
      <c r="E280" s="30" t="s">
        <v>79</v>
      </c>
      <c r="F280" s="30" t="s">
        <v>998</v>
      </c>
      <c r="G280" s="31"/>
      <c r="H280" s="30" t="s">
        <v>47</v>
      </c>
      <c r="I280" s="31"/>
      <c r="J280" s="30" t="s">
        <v>47</v>
      </c>
    </row>
    <row r="281">
      <c r="A281" s="160">
        <v>973770.0</v>
      </c>
      <c r="B281" s="158">
        <v>44046.0</v>
      </c>
      <c r="C281" s="159" t="s">
        <v>2628</v>
      </c>
      <c r="D281" s="159" t="s">
        <v>2819</v>
      </c>
      <c r="E281" s="30" t="s">
        <v>58</v>
      </c>
      <c r="F281" s="30" t="s">
        <v>161</v>
      </c>
      <c r="G281" s="31"/>
      <c r="H281" s="30" t="s">
        <v>47</v>
      </c>
      <c r="I281" s="31"/>
      <c r="J281" s="30" t="s">
        <v>47</v>
      </c>
    </row>
    <row r="282">
      <c r="A282" s="160">
        <v>1818150.0</v>
      </c>
      <c r="B282" s="158">
        <v>44046.0</v>
      </c>
      <c r="C282" s="159" t="s">
        <v>2606</v>
      </c>
      <c r="D282" s="159" t="s">
        <v>2820</v>
      </c>
      <c r="E282" s="30" t="s">
        <v>45</v>
      </c>
      <c r="F282" s="30" t="s">
        <v>75</v>
      </c>
      <c r="G282" s="31"/>
      <c r="H282" s="30" t="s">
        <v>47</v>
      </c>
      <c r="I282" s="31"/>
      <c r="J282" s="30" t="s">
        <v>47</v>
      </c>
    </row>
    <row r="283">
      <c r="A283" s="160">
        <v>1948506.0</v>
      </c>
      <c r="B283" s="158">
        <v>44046.0</v>
      </c>
      <c r="C283" s="159" t="s">
        <v>2606</v>
      </c>
      <c r="D283" s="159" t="s">
        <v>2821</v>
      </c>
      <c r="E283" s="30" t="s">
        <v>45</v>
      </c>
      <c r="F283" s="30" t="s">
        <v>75</v>
      </c>
      <c r="G283" s="31"/>
      <c r="H283" s="30" t="s">
        <v>47</v>
      </c>
      <c r="I283" s="31"/>
      <c r="J283" s="30" t="s">
        <v>47</v>
      </c>
    </row>
    <row r="284">
      <c r="A284" s="160">
        <v>2036318.0</v>
      </c>
      <c r="B284" s="158">
        <v>44046.0</v>
      </c>
      <c r="C284" s="159" t="s">
        <v>2606</v>
      </c>
      <c r="D284" s="159" t="s">
        <v>2822</v>
      </c>
      <c r="E284" s="30" t="s">
        <v>45</v>
      </c>
      <c r="F284" s="30" t="s">
        <v>75</v>
      </c>
      <c r="G284" s="31"/>
      <c r="H284" s="30" t="s">
        <v>47</v>
      </c>
      <c r="I284" s="31"/>
      <c r="J284" s="30" t="s">
        <v>47</v>
      </c>
    </row>
    <row r="285">
      <c r="A285" s="160">
        <v>2242558.0</v>
      </c>
      <c r="B285" s="158">
        <v>44046.0</v>
      </c>
      <c r="C285" s="159" t="s">
        <v>2606</v>
      </c>
      <c r="D285" s="159" t="s">
        <v>2823</v>
      </c>
      <c r="E285" s="30" t="s">
        <v>45</v>
      </c>
      <c r="F285" s="30" t="s">
        <v>75</v>
      </c>
      <c r="G285" s="31"/>
      <c r="H285" s="30" t="s">
        <v>47</v>
      </c>
      <c r="I285" s="31"/>
      <c r="J285" s="30" t="s">
        <v>47</v>
      </c>
    </row>
    <row r="286">
      <c r="A286" s="160">
        <v>2280042.0</v>
      </c>
      <c r="B286" s="158">
        <v>44046.0</v>
      </c>
      <c r="C286" s="159" t="s">
        <v>893</v>
      </c>
      <c r="D286" s="159" t="s">
        <v>2824</v>
      </c>
      <c r="E286" s="30" t="s">
        <v>39</v>
      </c>
      <c r="F286" s="30" t="s">
        <v>140</v>
      </c>
      <c r="G286" s="31">
        <v>1217894.0</v>
      </c>
      <c r="H286" s="30" t="s">
        <v>2825</v>
      </c>
      <c r="I286" s="31"/>
      <c r="J286" s="30" t="s">
        <v>47</v>
      </c>
    </row>
    <row r="287">
      <c r="A287" s="160">
        <v>1068594.0</v>
      </c>
      <c r="B287" s="158">
        <v>44046.0</v>
      </c>
      <c r="C287" s="159" t="s">
        <v>2628</v>
      </c>
      <c r="D287" s="159" t="s">
        <v>2826</v>
      </c>
      <c r="E287" s="30" t="s">
        <v>39</v>
      </c>
      <c r="F287" s="30" t="s">
        <v>140</v>
      </c>
      <c r="G287" s="31">
        <v>1590552.0</v>
      </c>
      <c r="H287" s="30" t="s">
        <v>2827</v>
      </c>
      <c r="I287" s="31"/>
      <c r="J287" s="30" t="s">
        <v>47</v>
      </c>
    </row>
    <row r="288">
      <c r="A288" s="160">
        <v>1223416.0</v>
      </c>
      <c r="B288" s="158">
        <v>44046.0</v>
      </c>
      <c r="C288" s="159" t="s">
        <v>2628</v>
      </c>
      <c r="D288" s="159" t="s">
        <v>2828</v>
      </c>
      <c r="E288" s="30" t="s">
        <v>83</v>
      </c>
      <c r="F288" s="30" t="s">
        <v>94</v>
      </c>
      <c r="G288" s="31">
        <v>1496004.0</v>
      </c>
      <c r="H288" s="30" t="s">
        <v>2829</v>
      </c>
      <c r="I288" s="31"/>
      <c r="J288" s="30" t="s">
        <v>47</v>
      </c>
    </row>
    <row r="289">
      <c r="A289" s="160">
        <v>1258806.0</v>
      </c>
      <c r="B289" s="158">
        <v>44046.0</v>
      </c>
      <c r="C289" s="159" t="s">
        <v>2628</v>
      </c>
      <c r="D289" s="159" t="s">
        <v>2830</v>
      </c>
      <c r="E289" s="30" t="s">
        <v>83</v>
      </c>
      <c r="F289" s="30" t="s">
        <v>153</v>
      </c>
      <c r="G289" s="31">
        <v>1757704.0</v>
      </c>
      <c r="H289" s="30" t="s">
        <v>2831</v>
      </c>
      <c r="I289" s="31"/>
      <c r="J289" s="30" t="s">
        <v>47</v>
      </c>
    </row>
    <row r="290">
      <c r="A290" s="160">
        <v>1357048.0</v>
      </c>
      <c r="B290" s="158">
        <v>44046.0</v>
      </c>
      <c r="C290" s="159" t="s">
        <v>2628</v>
      </c>
      <c r="D290" s="159" t="s">
        <v>2832</v>
      </c>
      <c r="E290" s="30" t="s">
        <v>83</v>
      </c>
      <c r="F290" s="30" t="s">
        <v>153</v>
      </c>
      <c r="G290" s="31">
        <v>1757704.0</v>
      </c>
      <c r="H290" s="30" t="s">
        <v>2831</v>
      </c>
      <c r="I290" s="31"/>
      <c r="J290" s="30" t="s">
        <v>47</v>
      </c>
    </row>
    <row r="291">
      <c r="A291" s="160">
        <v>1357316.0</v>
      </c>
      <c r="B291" s="158">
        <v>44046.0</v>
      </c>
      <c r="C291" s="159" t="s">
        <v>2628</v>
      </c>
      <c r="D291" s="159" t="s">
        <v>2833</v>
      </c>
      <c r="E291" s="30" t="s">
        <v>83</v>
      </c>
      <c r="F291" s="30" t="s">
        <v>147</v>
      </c>
      <c r="G291" s="31"/>
      <c r="H291" s="30" t="s">
        <v>47</v>
      </c>
      <c r="I291" s="31"/>
      <c r="J291" s="30" t="s">
        <v>47</v>
      </c>
    </row>
    <row r="292">
      <c r="A292" s="160">
        <v>1858718.0</v>
      </c>
      <c r="B292" s="158">
        <v>44046.0</v>
      </c>
      <c r="C292" s="159" t="s">
        <v>2628</v>
      </c>
      <c r="D292" s="159" t="s">
        <v>2834</v>
      </c>
      <c r="E292" s="30" t="s">
        <v>83</v>
      </c>
      <c r="F292" s="30" t="s">
        <v>330</v>
      </c>
      <c r="G292" s="31">
        <v>1472750.0</v>
      </c>
      <c r="H292" s="30" t="s">
        <v>2347</v>
      </c>
      <c r="I292" s="31"/>
      <c r="J292" s="30" t="s">
        <v>47</v>
      </c>
    </row>
    <row r="293">
      <c r="A293" s="160">
        <v>2071913.0</v>
      </c>
      <c r="B293" s="158">
        <v>44046.0</v>
      </c>
      <c r="C293" s="159" t="s">
        <v>2628</v>
      </c>
      <c r="D293" s="161" t="s">
        <v>2835</v>
      </c>
      <c r="E293" s="30" t="s">
        <v>83</v>
      </c>
      <c r="F293" s="30" t="s">
        <v>153</v>
      </c>
      <c r="G293" s="31">
        <v>1757704.0</v>
      </c>
      <c r="H293" s="30" t="s">
        <v>2831</v>
      </c>
      <c r="I293" s="31"/>
      <c r="J293" s="30" t="s">
        <v>47</v>
      </c>
    </row>
    <row r="294">
      <c r="A294" s="160">
        <v>2180636.0</v>
      </c>
      <c r="B294" s="158">
        <v>44046.0</v>
      </c>
      <c r="C294" s="159" t="s">
        <v>2628</v>
      </c>
      <c r="D294" s="161" t="s">
        <v>2836</v>
      </c>
      <c r="E294" s="30" t="s">
        <v>83</v>
      </c>
      <c r="F294" s="30" t="s">
        <v>153</v>
      </c>
      <c r="G294" s="31"/>
      <c r="H294" s="30" t="s">
        <v>47</v>
      </c>
      <c r="I294" s="31"/>
      <c r="J294" s="30" t="s">
        <v>47</v>
      </c>
    </row>
    <row r="295">
      <c r="A295" s="160">
        <v>2210814.0</v>
      </c>
      <c r="B295" s="158">
        <v>44046.0</v>
      </c>
      <c r="C295" s="159" t="s">
        <v>2628</v>
      </c>
      <c r="D295" s="161" t="s">
        <v>2837</v>
      </c>
      <c r="E295" s="30" t="s">
        <v>39</v>
      </c>
      <c r="F295" s="30" t="s">
        <v>140</v>
      </c>
      <c r="G295" s="31">
        <v>1012816.0</v>
      </c>
      <c r="H295" s="30" t="s">
        <v>1652</v>
      </c>
      <c r="I295" s="31"/>
      <c r="J295" s="30" t="s">
        <v>47</v>
      </c>
    </row>
    <row r="296">
      <c r="A296" s="160">
        <v>904324.0</v>
      </c>
      <c r="B296" s="158">
        <v>44046.0</v>
      </c>
      <c r="C296" s="159" t="s">
        <v>893</v>
      </c>
      <c r="D296" s="159" t="s">
        <v>2838</v>
      </c>
      <c r="E296" s="30" t="s">
        <v>189</v>
      </c>
      <c r="F296" s="30" t="s">
        <v>300</v>
      </c>
      <c r="G296" s="31">
        <v>1788412.0</v>
      </c>
      <c r="H296" s="30" t="s">
        <v>2839</v>
      </c>
      <c r="I296" s="31"/>
      <c r="J296" s="30" t="s">
        <v>47</v>
      </c>
    </row>
    <row r="297">
      <c r="A297" s="160">
        <v>204106.0</v>
      </c>
      <c r="B297" s="158">
        <v>44046.0</v>
      </c>
      <c r="C297" s="159" t="s">
        <v>893</v>
      </c>
      <c r="D297" s="159" t="s">
        <v>2840</v>
      </c>
      <c r="E297" s="30" t="s">
        <v>122</v>
      </c>
      <c r="F297" s="30" t="s">
        <v>123</v>
      </c>
      <c r="G297" s="31">
        <v>1904280.0</v>
      </c>
      <c r="H297" s="30" t="s">
        <v>2841</v>
      </c>
      <c r="I297" s="31"/>
      <c r="J297" s="30" t="s">
        <v>47</v>
      </c>
    </row>
    <row r="298">
      <c r="A298" s="160">
        <v>1952928.0</v>
      </c>
      <c r="B298" s="158">
        <v>44046.0</v>
      </c>
      <c r="C298" s="159" t="s">
        <v>893</v>
      </c>
      <c r="D298" s="159" t="s">
        <v>2842</v>
      </c>
      <c r="E298" s="30" t="s">
        <v>39</v>
      </c>
      <c r="F298" s="30" t="s">
        <v>50</v>
      </c>
      <c r="G298" s="31"/>
      <c r="H298" s="30" t="s">
        <v>47</v>
      </c>
      <c r="I298" s="31"/>
      <c r="J298" s="30" t="s">
        <v>47</v>
      </c>
    </row>
    <row r="299">
      <c r="A299" s="160">
        <v>377716.0</v>
      </c>
      <c r="B299" s="158">
        <v>44046.0</v>
      </c>
      <c r="C299" s="159" t="s">
        <v>893</v>
      </c>
      <c r="D299" s="159" t="s">
        <v>2843</v>
      </c>
      <c r="E299" s="30" t="s">
        <v>45</v>
      </c>
      <c r="F299" s="30" t="s">
        <v>90</v>
      </c>
      <c r="G299" s="31">
        <v>1228390.0</v>
      </c>
      <c r="H299" s="30" t="s">
        <v>2565</v>
      </c>
      <c r="I299" s="31"/>
      <c r="J299" s="30" t="s">
        <v>47</v>
      </c>
    </row>
    <row r="300">
      <c r="A300" s="160">
        <v>465334.0</v>
      </c>
      <c r="B300" s="158">
        <v>44046.0</v>
      </c>
      <c r="C300" s="159" t="s">
        <v>893</v>
      </c>
      <c r="D300" s="159" t="s">
        <v>2844</v>
      </c>
      <c r="E300" s="30" t="s">
        <v>58</v>
      </c>
      <c r="F300" s="30" t="s">
        <v>169</v>
      </c>
      <c r="G300" s="31"/>
      <c r="H300" s="30" t="s">
        <v>47</v>
      </c>
      <c r="I300" s="31"/>
      <c r="J300" s="30" t="s">
        <v>47</v>
      </c>
    </row>
    <row r="301">
      <c r="A301" s="160">
        <v>2496036.0</v>
      </c>
      <c r="B301" s="158">
        <v>44021.0</v>
      </c>
      <c r="C301" s="159" t="s">
        <v>893</v>
      </c>
      <c r="D301" s="159" t="s">
        <v>2845</v>
      </c>
      <c r="E301" s="30" t="s">
        <v>39</v>
      </c>
      <c r="F301" s="30" t="s">
        <v>50</v>
      </c>
      <c r="G301" s="31"/>
      <c r="H301" s="30" t="s">
        <v>47</v>
      </c>
      <c r="I301" s="31"/>
      <c r="J301" s="30" t="s">
        <v>47</v>
      </c>
    </row>
    <row r="302">
      <c r="A302" s="157">
        <v>2669700.0</v>
      </c>
      <c r="B302" s="158">
        <v>44019.0</v>
      </c>
      <c r="C302" s="159" t="s">
        <v>893</v>
      </c>
      <c r="D302" s="159" t="s">
        <v>2846</v>
      </c>
      <c r="E302" s="30" t="s">
        <v>45</v>
      </c>
      <c r="F302" s="30" t="s">
        <v>75</v>
      </c>
      <c r="G302" s="31"/>
      <c r="H302" s="30" t="s">
        <v>47</v>
      </c>
      <c r="I302" s="31"/>
      <c r="J302" s="30" t="s">
        <v>47</v>
      </c>
    </row>
    <row r="303">
      <c r="A303" s="157">
        <v>56966.0</v>
      </c>
      <c r="B303" s="158">
        <v>44012.0</v>
      </c>
      <c r="C303" s="159" t="s">
        <v>893</v>
      </c>
      <c r="D303" s="159" t="s">
        <v>2847</v>
      </c>
      <c r="E303" s="30" t="s">
        <v>144</v>
      </c>
      <c r="F303" s="30" t="s">
        <v>145</v>
      </c>
      <c r="G303" s="31">
        <v>864146.0</v>
      </c>
      <c r="H303" s="30" t="s">
        <v>2848</v>
      </c>
      <c r="I303" s="31"/>
      <c r="J303" s="30" t="s">
        <v>47</v>
      </c>
    </row>
    <row r="304">
      <c r="A304" s="157">
        <v>150714.0</v>
      </c>
      <c r="B304" s="158">
        <v>44012.0</v>
      </c>
      <c r="C304" s="159" t="s">
        <v>893</v>
      </c>
      <c r="D304" s="159" t="s">
        <v>2849</v>
      </c>
      <c r="E304" s="30" t="s">
        <v>63</v>
      </c>
      <c r="F304" s="30" t="s">
        <v>64</v>
      </c>
      <c r="G304" s="31"/>
      <c r="H304" s="30" t="s">
        <v>47</v>
      </c>
      <c r="I304" s="31"/>
      <c r="J304" s="30" t="s">
        <v>47</v>
      </c>
    </row>
    <row r="305">
      <c r="A305" s="157">
        <v>241608.0</v>
      </c>
      <c r="B305" s="158">
        <v>44012.0</v>
      </c>
      <c r="C305" s="159" t="s">
        <v>893</v>
      </c>
      <c r="D305" s="159" t="s">
        <v>2850</v>
      </c>
      <c r="E305" s="30" t="s">
        <v>79</v>
      </c>
      <c r="F305" s="30" t="s">
        <v>80</v>
      </c>
      <c r="G305" s="31">
        <v>113312.0</v>
      </c>
      <c r="H305" s="30" t="s">
        <v>881</v>
      </c>
      <c r="I305" s="31"/>
      <c r="J305" s="30" t="s">
        <v>47</v>
      </c>
    </row>
    <row r="306">
      <c r="A306" s="157">
        <v>761166.0</v>
      </c>
      <c r="B306" s="158">
        <v>44012.0</v>
      </c>
      <c r="C306" s="159" t="s">
        <v>893</v>
      </c>
      <c r="D306" s="159" t="s">
        <v>2851</v>
      </c>
      <c r="E306" s="30" t="s">
        <v>79</v>
      </c>
      <c r="F306" s="30" t="s">
        <v>261</v>
      </c>
      <c r="G306" s="31">
        <v>1338022.0</v>
      </c>
      <c r="H306" s="30" t="s">
        <v>2852</v>
      </c>
      <c r="I306" s="31"/>
      <c r="J306" s="30" t="s">
        <v>47</v>
      </c>
    </row>
    <row r="307">
      <c r="A307" s="157">
        <v>770028.0</v>
      </c>
      <c r="B307" s="158">
        <v>44012.0</v>
      </c>
      <c r="C307" s="159" t="s">
        <v>893</v>
      </c>
      <c r="D307" s="159" t="s">
        <v>2853</v>
      </c>
      <c r="E307" s="30" t="s">
        <v>79</v>
      </c>
      <c r="F307" s="30" t="s">
        <v>184</v>
      </c>
      <c r="G307" s="31"/>
      <c r="H307" s="30" t="s">
        <v>47</v>
      </c>
      <c r="I307" s="31"/>
      <c r="J307" s="30" t="s">
        <v>47</v>
      </c>
    </row>
    <row r="308">
      <c r="A308" s="157">
        <v>870018.0</v>
      </c>
      <c r="B308" s="158">
        <v>44012.0</v>
      </c>
      <c r="C308" s="159" t="s">
        <v>893</v>
      </c>
      <c r="D308" s="161" t="s">
        <v>2854</v>
      </c>
      <c r="E308" s="30" t="s">
        <v>39</v>
      </c>
      <c r="F308" s="30" t="s">
        <v>140</v>
      </c>
      <c r="G308" s="31"/>
      <c r="H308" s="30" t="s">
        <v>47</v>
      </c>
      <c r="I308" s="31"/>
      <c r="J308" s="30" t="s">
        <v>47</v>
      </c>
    </row>
    <row r="309">
      <c r="A309" s="157">
        <v>956780.0</v>
      </c>
      <c r="B309" s="158">
        <v>44012.0</v>
      </c>
      <c r="C309" s="159" t="s">
        <v>893</v>
      </c>
      <c r="D309" s="161" t="s">
        <v>2855</v>
      </c>
      <c r="E309" s="30" t="s">
        <v>45</v>
      </c>
      <c r="F309" s="30" t="s">
        <v>90</v>
      </c>
      <c r="G309" s="31">
        <v>1014014.0</v>
      </c>
      <c r="H309" s="30" t="s">
        <v>2856</v>
      </c>
      <c r="I309" s="31"/>
      <c r="J309" s="30" t="s">
        <v>47</v>
      </c>
    </row>
    <row r="310">
      <c r="A310" s="157">
        <v>1082488.0</v>
      </c>
      <c r="B310" s="158">
        <v>44012.0</v>
      </c>
      <c r="C310" s="159" t="s">
        <v>893</v>
      </c>
      <c r="D310" s="161" t="s">
        <v>2857</v>
      </c>
      <c r="E310" s="30" t="s">
        <v>58</v>
      </c>
      <c r="F310" s="30" t="s">
        <v>59</v>
      </c>
      <c r="G310" s="31">
        <v>836842.0</v>
      </c>
      <c r="H310" s="30" t="s">
        <v>2858</v>
      </c>
      <c r="I310" s="31"/>
      <c r="J310" s="30" t="s">
        <v>47</v>
      </c>
    </row>
    <row r="311">
      <c r="A311" s="157">
        <v>1218734.0</v>
      </c>
      <c r="B311" s="158">
        <v>44012.0</v>
      </c>
      <c r="C311" s="159" t="s">
        <v>893</v>
      </c>
      <c r="D311" s="161" t="s">
        <v>2859</v>
      </c>
      <c r="E311" s="30" t="s">
        <v>101</v>
      </c>
      <c r="F311" s="30" t="s">
        <v>102</v>
      </c>
      <c r="G311" s="31"/>
      <c r="H311" s="30" t="s">
        <v>47</v>
      </c>
      <c r="I311" s="31"/>
      <c r="J311" s="30" t="s">
        <v>47</v>
      </c>
    </row>
    <row r="312">
      <c r="A312" s="160">
        <v>1352400.0</v>
      </c>
      <c r="B312" s="158">
        <v>44012.0</v>
      </c>
      <c r="C312" s="159" t="s">
        <v>893</v>
      </c>
      <c r="D312" s="161" t="s">
        <v>2860</v>
      </c>
      <c r="E312" s="30" t="s">
        <v>189</v>
      </c>
      <c r="F312" s="30" t="s">
        <v>222</v>
      </c>
      <c r="G312" s="31">
        <v>659464.0</v>
      </c>
      <c r="H312" s="30" t="s">
        <v>2861</v>
      </c>
      <c r="I312" s="31"/>
      <c r="J312" s="30" t="s">
        <v>47</v>
      </c>
    </row>
    <row r="313">
      <c r="A313" s="160">
        <v>1506758.0</v>
      </c>
      <c r="B313" s="158">
        <v>44012.0</v>
      </c>
      <c r="C313" s="159" t="s">
        <v>893</v>
      </c>
      <c r="D313" s="161" t="s">
        <v>2862</v>
      </c>
      <c r="E313" s="30" t="s">
        <v>39</v>
      </c>
      <c r="F313" s="30" t="s">
        <v>241</v>
      </c>
      <c r="G313" s="31">
        <v>1466612.0</v>
      </c>
      <c r="H313" s="30" t="s">
        <v>2863</v>
      </c>
      <c r="I313" s="31"/>
      <c r="J313" s="30" t="s">
        <v>47</v>
      </c>
    </row>
    <row r="314">
      <c r="A314" s="160">
        <v>1643786.0</v>
      </c>
      <c r="B314" s="158">
        <v>44012.0</v>
      </c>
      <c r="C314" s="159" t="s">
        <v>893</v>
      </c>
      <c r="D314" s="161" t="s">
        <v>2864</v>
      </c>
      <c r="E314" s="30" t="s">
        <v>45</v>
      </c>
      <c r="F314" s="30" t="s">
        <v>90</v>
      </c>
      <c r="G314" s="31"/>
      <c r="H314" s="30" t="s">
        <v>47</v>
      </c>
      <c r="I314" s="31"/>
      <c r="J314" s="30" t="s">
        <v>47</v>
      </c>
    </row>
    <row r="315">
      <c r="A315" s="160">
        <v>1917582.0</v>
      </c>
      <c r="B315" s="158">
        <v>44012.0</v>
      </c>
      <c r="C315" s="159" t="s">
        <v>893</v>
      </c>
      <c r="D315" s="161" t="s">
        <v>2865</v>
      </c>
      <c r="E315" s="30" t="s">
        <v>39</v>
      </c>
      <c r="F315" s="30" t="s">
        <v>54</v>
      </c>
      <c r="G315" s="31">
        <v>2473048.0</v>
      </c>
      <c r="H315" s="30" t="s">
        <v>2866</v>
      </c>
      <c r="I315" s="31"/>
      <c r="J315" s="30" t="s">
        <v>47</v>
      </c>
    </row>
    <row r="316">
      <c r="A316" s="160">
        <v>1928442.0</v>
      </c>
      <c r="B316" s="158">
        <v>44012.0</v>
      </c>
      <c r="C316" s="159" t="s">
        <v>893</v>
      </c>
      <c r="D316" s="161" t="s">
        <v>2867</v>
      </c>
      <c r="E316" s="30" t="s">
        <v>45</v>
      </c>
      <c r="F316" s="30" t="s">
        <v>90</v>
      </c>
      <c r="G316" s="31">
        <v>2232520.0</v>
      </c>
      <c r="H316" s="30" t="s">
        <v>2868</v>
      </c>
      <c r="I316" s="31"/>
      <c r="J316" s="30" t="s">
        <v>47</v>
      </c>
    </row>
    <row r="317">
      <c r="A317" s="160">
        <v>1992276.0</v>
      </c>
      <c r="B317" s="158">
        <v>44012.0</v>
      </c>
      <c r="C317" s="159" t="s">
        <v>2628</v>
      </c>
      <c r="D317" s="161" t="s">
        <v>2869</v>
      </c>
      <c r="E317" s="30" t="s">
        <v>122</v>
      </c>
      <c r="F317" s="30" t="s">
        <v>127</v>
      </c>
      <c r="G317" s="31"/>
      <c r="H317" s="30" t="s">
        <v>47</v>
      </c>
      <c r="I317" s="31"/>
      <c r="J317" s="30" t="s">
        <v>47</v>
      </c>
    </row>
    <row r="318">
      <c r="A318" s="160">
        <v>2826929.0</v>
      </c>
      <c r="B318" s="158">
        <v>44011.0</v>
      </c>
      <c r="C318" s="159" t="s">
        <v>893</v>
      </c>
      <c r="D318" s="161" t="s">
        <v>2870</v>
      </c>
      <c r="E318" s="30" t="s">
        <v>144</v>
      </c>
      <c r="F318" s="30" t="s">
        <v>339</v>
      </c>
      <c r="G318" s="31"/>
      <c r="H318" s="30" t="s">
        <v>47</v>
      </c>
      <c r="I318" s="31"/>
      <c r="J318" s="30" t="s">
        <v>47</v>
      </c>
    </row>
    <row r="319">
      <c r="A319" s="160">
        <v>2661056.0</v>
      </c>
      <c r="B319" s="158">
        <v>44011.0</v>
      </c>
      <c r="C319" s="159" t="s">
        <v>893</v>
      </c>
      <c r="D319" s="161" t="s">
        <v>2871</v>
      </c>
      <c r="E319" s="30" t="s">
        <v>144</v>
      </c>
      <c r="F319" s="30" t="s">
        <v>339</v>
      </c>
      <c r="G319" s="31"/>
      <c r="H319" s="30" t="s">
        <v>47</v>
      </c>
      <c r="I319" s="31"/>
      <c r="J319" s="30" t="s">
        <v>47</v>
      </c>
    </row>
    <row r="320">
      <c r="A320" s="160">
        <v>2580870.0</v>
      </c>
      <c r="B320" s="158">
        <v>43985.0</v>
      </c>
      <c r="C320" s="159" t="s">
        <v>893</v>
      </c>
      <c r="D320" s="161" t="s">
        <v>2669</v>
      </c>
      <c r="E320" s="30" t="s">
        <v>79</v>
      </c>
      <c r="F320" s="30" t="s">
        <v>150</v>
      </c>
      <c r="G320" s="31">
        <v>1955188.0</v>
      </c>
      <c r="H320" s="30" t="s">
        <v>2872</v>
      </c>
      <c r="I320" s="31">
        <v>1703390.0</v>
      </c>
      <c r="J320" s="30" t="s">
        <v>745</v>
      </c>
    </row>
    <row r="321">
      <c r="A321" s="160">
        <v>1908196.0</v>
      </c>
      <c r="B321" s="158">
        <v>43984.0</v>
      </c>
      <c r="C321" s="159" t="s">
        <v>893</v>
      </c>
      <c r="D321" s="161" t="s">
        <v>2873</v>
      </c>
      <c r="E321" s="30" t="s">
        <v>105</v>
      </c>
      <c r="F321" s="30" t="s">
        <v>212</v>
      </c>
      <c r="G321" s="31">
        <v>1026604.0</v>
      </c>
      <c r="H321" s="30" t="s">
        <v>2874</v>
      </c>
      <c r="I321" s="31">
        <v>939962.0</v>
      </c>
      <c r="J321" s="30" t="s">
        <v>1832</v>
      </c>
    </row>
    <row r="322">
      <c r="A322" s="160">
        <v>1388250.0</v>
      </c>
      <c r="B322" s="158">
        <v>43980.0</v>
      </c>
      <c r="C322" s="159" t="s">
        <v>2362</v>
      </c>
      <c r="D322" s="161" t="s">
        <v>2875</v>
      </c>
      <c r="E322" s="30" t="s">
        <v>39</v>
      </c>
      <c r="F322" s="30" t="s">
        <v>140</v>
      </c>
      <c r="G322" s="31"/>
      <c r="H322" s="30" t="s">
        <v>47</v>
      </c>
      <c r="I322" s="31"/>
      <c r="J322" s="30" t="s">
        <v>47</v>
      </c>
    </row>
    <row r="323">
      <c r="A323" s="160">
        <v>1637906.0</v>
      </c>
      <c r="B323" s="158">
        <v>43980.0</v>
      </c>
      <c r="C323" s="159" t="s">
        <v>2362</v>
      </c>
      <c r="D323" s="161" t="s">
        <v>2876</v>
      </c>
      <c r="E323" s="30" t="s">
        <v>189</v>
      </c>
      <c r="F323" s="30" t="s">
        <v>300</v>
      </c>
      <c r="G323" s="31"/>
      <c r="H323" s="30" t="s">
        <v>47</v>
      </c>
      <c r="I323" s="31"/>
      <c r="J323" s="30" t="s">
        <v>47</v>
      </c>
    </row>
    <row r="324">
      <c r="A324" s="160">
        <v>2376688.0</v>
      </c>
      <c r="B324" s="158">
        <v>43980.0</v>
      </c>
      <c r="C324" s="159" t="s">
        <v>2362</v>
      </c>
      <c r="D324" s="161" t="s">
        <v>2877</v>
      </c>
      <c r="E324" s="30" t="s">
        <v>101</v>
      </c>
      <c r="F324" s="30" t="s">
        <v>203</v>
      </c>
      <c r="G324" s="31">
        <v>1182814.0</v>
      </c>
      <c r="H324" s="30" t="s">
        <v>2878</v>
      </c>
      <c r="I324" s="31"/>
      <c r="J324" s="30" t="s">
        <v>47</v>
      </c>
    </row>
    <row r="325">
      <c r="A325" s="160">
        <v>1930746.0</v>
      </c>
      <c r="B325" s="158">
        <v>43980.0</v>
      </c>
      <c r="C325" s="159" t="s">
        <v>2362</v>
      </c>
      <c r="D325" s="161" t="s">
        <v>2879</v>
      </c>
      <c r="E325" s="30" t="s">
        <v>58</v>
      </c>
      <c r="F325" s="30" t="s">
        <v>86</v>
      </c>
      <c r="G325" s="31"/>
      <c r="H325" s="30" t="s">
        <v>47</v>
      </c>
      <c r="I325" s="31"/>
      <c r="J325" s="30" t="s">
        <v>47</v>
      </c>
    </row>
    <row r="326">
      <c r="A326" s="160">
        <v>1945360.0</v>
      </c>
      <c r="B326" s="158">
        <v>43980.0</v>
      </c>
      <c r="C326" s="159" t="s">
        <v>2362</v>
      </c>
      <c r="D326" s="161" t="s">
        <v>2880</v>
      </c>
      <c r="E326" s="30" t="s">
        <v>45</v>
      </c>
      <c r="F326" s="30" t="s">
        <v>172</v>
      </c>
      <c r="G326" s="31"/>
      <c r="H326" s="30" t="s">
        <v>47</v>
      </c>
      <c r="I326" s="31"/>
      <c r="J326" s="30" t="s">
        <v>47</v>
      </c>
    </row>
    <row r="327">
      <c r="A327" s="160">
        <v>1998810.0</v>
      </c>
      <c r="B327" s="158">
        <v>43980.0</v>
      </c>
      <c r="C327" s="159" t="s">
        <v>2362</v>
      </c>
      <c r="D327" s="161" t="s">
        <v>2881</v>
      </c>
      <c r="E327" s="30" t="s">
        <v>45</v>
      </c>
      <c r="F327" s="30" t="s">
        <v>90</v>
      </c>
      <c r="G327" s="31"/>
      <c r="H327" s="30" t="s">
        <v>47</v>
      </c>
      <c r="I327" s="31"/>
      <c r="J327" s="30" t="s">
        <v>47</v>
      </c>
    </row>
    <row r="328">
      <c r="A328" s="160">
        <v>637444.0</v>
      </c>
      <c r="B328" s="158">
        <v>43980.0</v>
      </c>
      <c r="C328" s="159" t="s">
        <v>2362</v>
      </c>
      <c r="D328" s="161" t="s">
        <v>2882</v>
      </c>
      <c r="E328" s="30" t="s">
        <v>58</v>
      </c>
      <c r="F328" s="30" t="s">
        <v>86</v>
      </c>
      <c r="G328" s="31"/>
      <c r="H328" s="30" t="s">
        <v>47</v>
      </c>
      <c r="I328" s="31"/>
      <c r="J328" s="30" t="s">
        <v>47</v>
      </c>
    </row>
    <row r="329">
      <c r="A329" s="160">
        <v>1858482.0</v>
      </c>
      <c r="B329" s="158">
        <v>43980.0</v>
      </c>
      <c r="C329" s="159" t="s">
        <v>2613</v>
      </c>
      <c r="D329" s="161" t="s">
        <v>2883</v>
      </c>
      <c r="E329" s="30" t="s">
        <v>58</v>
      </c>
      <c r="F329" s="30" t="s">
        <v>161</v>
      </c>
      <c r="G329" s="31"/>
      <c r="H329" s="30" t="s">
        <v>47</v>
      </c>
      <c r="I329" s="31"/>
      <c r="J329" s="30" t="s">
        <v>47</v>
      </c>
    </row>
    <row r="330">
      <c r="A330" s="160">
        <v>1762754.0</v>
      </c>
      <c r="B330" s="158">
        <v>43980.0</v>
      </c>
      <c r="C330" s="159" t="s">
        <v>2606</v>
      </c>
      <c r="D330" s="161" t="s">
        <v>2884</v>
      </c>
      <c r="E330" s="30" t="s">
        <v>105</v>
      </c>
      <c r="F330" s="30" t="s">
        <v>106</v>
      </c>
      <c r="G330" s="31"/>
      <c r="H330" s="30" t="s">
        <v>47</v>
      </c>
      <c r="I330" s="31"/>
      <c r="J330" s="30" t="s">
        <v>47</v>
      </c>
    </row>
    <row r="331">
      <c r="A331" s="160">
        <v>1198316.0</v>
      </c>
      <c r="B331" s="158">
        <v>43980.0</v>
      </c>
      <c r="C331" s="159" t="s">
        <v>2606</v>
      </c>
      <c r="D331" s="161" t="s">
        <v>2885</v>
      </c>
      <c r="E331" s="30" t="s">
        <v>105</v>
      </c>
      <c r="F331" s="30" t="s">
        <v>212</v>
      </c>
      <c r="G331" s="31"/>
      <c r="H331" s="30" t="s">
        <v>47</v>
      </c>
      <c r="I331" s="31"/>
      <c r="J331" s="30" t="s">
        <v>47</v>
      </c>
    </row>
    <row r="332">
      <c r="A332" s="160">
        <v>718206.0</v>
      </c>
      <c r="B332" s="158">
        <v>43980.0</v>
      </c>
      <c r="C332" s="159" t="s">
        <v>2628</v>
      </c>
      <c r="D332" s="161" t="s">
        <v>2886</v>
      </c>
      <c r="E332" s="30" t="s">
        <v>79</v>
      </c>
      <c r="F332" s="30" t="s">
        <v>150</v>
      </c>
      <c r="G332" s="31"/>
      <c r="H332" s="30" t="s">
        <v>47</v>
      </c>
      <c r="I332" s="31"/>
      <c r="J332" s="30" t="s">
        <v>47</v>
      </c>
    </row>
    <row r="333">
      <c r="A333" s="160">
        <v>1540180.0</v>
      </c>
      <c r="B333" s="158">
        <v>43980.0</v>
      </c>
      <c r="C333" s="159" t="s">
        <v>2628</v>
      </c>
      <c r="D333" s="161" t="s">
        <v>2887</v>
      </c>
      <c r="E333" s="30" t="s">
        <v>79</v>
      </c>
      <c r="F333" s="30" t="s">
        <v>150</v>
      </c>
      <c r="G333" s="31"/>
      <c r="H333" s="30" t="s">
        <v>47</v>
      </c>
      <c r="I333" s="31"/>
      <c r="J333" s="30" t="s">
        <v>47</v>
      </c>
    </row>
    <row r="334">
      <c r="A334" s="160">
        <v>1568690.0</v>
      </c>
      <c r="B334" s="158">
        <v>43980.0</v>
      </c>
      <c r="C334" s="159" t="s">
        <v>2628</v>
      </c>
      <c r="D334" s="161" t="s">
        <v>2888</v>
      </c>
      <c r="E334" s="30" t="s">
        <v>39</v>
      </c>
      <c r="F334" s="30" t="s">
        <v>214</v>
      </c>
      <c r="G334" s="31"/>
      <c r="H334" s="30" t="s">
        <v>47</v>
      </c>
      <c r="I334" s="31"/>
      <c r="J334" s="30" t="s">
        <v>47</v>
      </c>
    </row>
    <row r="335">
      <c r="A335" s="160">
        <v>1646058.0</v>
      </c>
      <c r="B335" s="158">
        <v>43980.0</v>
      </c>
      <c r="C335" s="159" t="s">
        <v>2628</v>
      </c>
      <c r="D335" s="161" t="s">
        <v>2889</v>
      </c>
      <c r="E335" s="30" t="s">
        <v>79</v>
      </c>
      <c r="F335" s="30" t="s">
        <v>150</v>
      </c>
      <c r="G335" s="31"/>
      <c r="H335" s="30" t="s">
        <v>47</v>
      </c>
      <c r="I335" s="31"/>
      <c r="J335" s="30" t="s">
        <v>47</v>
      </c>
    </row>
    <row r="336">
      <c r="A336" s="160">
        <v>1885138.0</v>
      </c>
      <c r="B336" s="158">
        <v>43980.0</v>
      </c>
      <c r="C336" s="159" t="s">
        <v>2628</v>
      </c>
      <c r="D336" s="161" t="s">
        <v>2890</v>
      </c>
      <c r="E336" s="30" t="s">
        <v>39</v>
      </c>
      <c r="F336" s="30" t="s">
        <v>54</v>
      </c>
      <c r="G336" s="31"/>
      <c r="H336" s="30" t="s">
        <v>47</v>
      </c>
      <c r="I336" s="31"/>
      <c r="J336" s="30" t="s">
        <v>47</v>
      </c>
    </row>
    <row r="337">
      <c r="A337" s="160">
        <v>2154682.0</v>
      </c>
      <c r="B337" s="158">
        <v>43980.0</v>
      </c>
      <c r="C337" s="159" t="s">
        <v>2628</v>
      </c>
      <c r="D337" s="161" t="s">
        <v>2891</v>
      </c>
      <c r="E337" s="30" t="s">
        <v>83</v>
      </c>
      <c r="F337" s="30" t="s">
        <v>153</v>
      </c>
      <c r="G337" s="31"/>
      <c r="H337" s="30" t="s">
        <v>47</v>
      </c>
      <c r="I337" s="31"/>
      <c r="J337" s="30" t="s">
        <v>47</v>
      </c>
    </row>
    <row r="338">
      <c r="A338" s="160">
        <v>1563516.0</v>
      </c>
      <c r="B338" s="158">
        <v>43980.0</v>
      </c>
      <c r="C338" s="159" t="s">
        <v>893</v>
      </c>
      <c r="D338" s="161" t="s">
        <v>2892</v>
      </c>
      <c r="E338" s="30" t="s">
        <v>122</v>
      </c>
      <c r="F338" s="30" t="s">
        <v>123</v>
      </c>
      <c r="G338" s="31">
        <v>613808.0</v>
      </c>
      <c r="H338" s="30" t="s">
        <v>1591</v>
      </c>
      <c r="I338" s="31">
        <v>988524.0</v>
      </c>
      <c r="J338" s="30" t="s">
        <v>2893</v>
      </c>
    </row>
    <row r="339">
      <c r="A339" s="157">
        <v>523082.0</v>
      </c>
      <c r="B339" s="158">
        <v>43980.0</v>
      </c>
      <c r="C339" s="159" t="s">
        <v>893</v>
      </c>
      <c r="D339" s="161" t="s">
        <v>2894</v>
      </c>
      <c r="E339" s="30" t="s">
        <v>83</v>
      </c>
      <c r="F339" s="30" t="s">
        <v>147</v>
      </c>
      <c r="G339" s="31"/>
      <c r="H339" s="30" t="s">
        <v>47</v>
      </c>
      <c r="I339" s="31"/>
      <c r="J339" s="30" t="s">
        <v>47</v>
      </c>
    </row>
    <row r="340">
      <c r="A340" s="160">
        <v>1123098.0</v>
      </c>
      <c r="B340" s="158">
        <v>43980.0</v>
      </c>
      <c r="C340" s="159" t="s">
        <v>893</v>
      </c>
      <c r="D340" s="161" t="s">
        <v>2895</v>
      </c>
      <c r="E340" s="30" t="s">
        <v>39</v>
      </c>
      <c r="F340" s="30" t="s">
        <v>140</v>
      </c>
      <c r="G340" s="31"/>
      <c r="H340" s="30" t="s">
        <v>47</v>
      </c>
      <c r="I340" s="31"/>
      <c r="J340" s="30" t="s">
        <v>47</v>
      </c>
    </row>
    <row r="341">
      <c r="A341" s="160">
        <v>1776342.0</v>
      </c>
      <c r="B341" s="158">
        <v>43980.0</v>
      </c>
      <c r="C341" s="159" t="s">
        <v>893</v>
      </c>
      <c r="D341" s="161" t="s">
        <v>2896</v>
      </c>
      <c r="E341" s="30" t="s">
        <v>39</v>
      </c>
      <c r="F341" s="30" t="s">
        <v>140</v>
      </c>
      <c r="G341" s="31">
        <v>1420562.0</v>
      </c>
      <c r="H341" s="30" t="s">
        <v>2897</v>
      </c>
      <c r="I341" s="31"/>
      <c r="J341" s="30" t="s">
        <v>47</v>
      </c>
    </row>
    <row r="342">
      <c r="A342" s="160">
        <v>1726420.0</v>
      </c>
      <c r="B342" s="158">
        <v>43980.0</v>
      </c>
      <c r="C342" s="159" t="s">
        <v>893</v>
      </c>
      <c r="D342" s="161" t="s">
        <v>2898</v>
      </c>
      <c r="E342" s="30" t="s">
        <v>39</v>
      </c>
      <c r="F342" s="30" t="s">
        <v>140</v>
      </c>
      <c r="G342" s="31"/>
      <c r="H342" s="30" t="s">
        <v>47</v>
      </c>
      <c r="I342" s="31"/>
      <c r="J342" s="30" t="s">
        <v>47</v>
      </c>
    </row>
    <row r="343">
      <c r="A343" s="160">
        <v>1472960.0</v>
      </c>
      <c r="B343" s="158">
        <v>43980.0</v>
      </c>
      <c r="C343" s="159" t="s">
        <v>893</v>
      </c>
      <c r="D343" s="161" t="s">
        <v>2899</v>
      </c>
      <c r="E343" s="30" t="s">
        <v>105</v>
      </c>
      <c r="F343" s="30" t="s">
        <v>212</v>
      </c>
      <c r="G343" s="31">
        <v>2117824.0</v>
      </c>
      <c r="H343" s="30" t="s">
        <v>47</v>
      </c>
      <c r="I343" s="31"/>
      <c r="J343" s="30" t="s">
        <v>47</v>
      </c>
    </row>
    <row r="344">
      <c r="A344" s="160">
        <v>1673770.0</v>
      </c>
      <c r="B344" s="158">
        <v>43980.0</v>
      </c>
      <c r="C344" s="159" t="s">
        <v>893</v>
      </c>
      <c r="D344" s="161" t="s">
        <v>2900</v>
      </c>
      <c r="E344" s="30" t="s">
        <v>39</v>
      </c>
      <c r="F344" s="30" t="s">
        <v>140</v>
      </c>
      <c r="G344" s="31"/>
      <c r="H344" s="30" t="s">
        <v>47</v>
      </c>
      <c r="I344" s="31"/>
      <c r="J344" s="30" t="s">
        <v>47</v>
      </c>
    </row>
    <row r="345">
      <c r="A345" s="160">
        <v>1023566.0</v>
      </c>
      <c r="B345" s="158">
        <v>43998.0</v>
      </c>
      <c r="C345" s="159" t="s">
        <v>893</v>
      </c>
      <c r="D345" s="161" t="s">
        <v>2901</v>
      </c>
      <c r="E345" s="30" t="s">
        <v>45</v>
      </c>
      <c r="F345" s="30" t="s">
        <v>90</v>
      </c>
      <c r="G345" s="31"/>
      <c r="H345" s="30" t="s">
        <v>47</v>
      </c>
      <c r="I345" s="31"/>
      <c r="J345" s="30" t="s">
        <v>47</v>
      </c>
    </row>
    <row r="346">
      <c r="A346" s="160">
        <v>1706442.0</v>
      </c>
      <c r="B346" s="158">
        <v>43998.0</v>
      </c>
      <c r="C346" s="159" t="s">
        <v>893</v>
      </c>
      <c r="D346" s="161" t="s">
        <v>2902</v>
      </c>
      <c r="E346" s="30" t="s">
        <v>45</v>
      </c>
      <c r="F346" s="30" t="s">
        <v>75</v>
      </c>
      <c r="G346" s="31"/>
      <c r="H346" s="30" t="s">
        <v>47</v>
      </c>
      <c r="I346" s="31"/>
      <c r="J346" s="30" t="s">
        <v>47</v>
      </c>
    </row>
    <row r="347">
      <c r="A347" s="160">
        <v>1885262.0</v>
      </c>
      <c r="B347" s="158">
        <v>43980.0</v>
      </c>
      <c r="C347" s="159" t="s">
        <v>893</v>
      </c>
      <c r="D347" s="161" t="s">
        <v>2903</v>
      </c>
      <c r="E347" s="30" t="s">
        <v>39</v>
      </c>
      <c r="F347" s="30" t="s">
        <v>140</v>
      </c>
      <c r="G347" s="31"/>
      <c r="H347" s="30" t="s">
        <v>47</v>
      </c>
      <c r="I347" s="31"/>
      <c r="J347" s="30" t="s">
        <v>47</v>
      </c>
    </row>
    <row r="348">
      <c r="A348" s="160">
        <v>2448476.0</v>
      </c>
      <c r="B348" s="158">
        <v>43980.0</v>
      </c>
      <c r="C348" s="159" t="s">
        <v>893</v>
      </c>
      <c r="D348" s="161" t="s">
        <v>2904</v>
      </c>
      <c r="E348" s="30" t="s">
        <v>122</v>
      </c>
      <c r="F348" s="30" t="s">
        <v>271</v>
      </c>
      <c r="G348" s="31"/>
      <c r="H348" s="30" t="s">
        <v>47</v>
      </c>
      <c r="I348" s="31"/>
      <c r="J348" s="30" t="s">
        <v>47</v>
      </c>
    </row>
    <row r="349">
      <c r="A349" s="160">
        <v>739942.0</v>
      </c>
      <c r="B349" s="158">
        <v>43980.0</v>
      </c>
      <c r="C349" s="159" t="s">
        <v>893</v>
      </c>
      <c r="D349" s="161" t="s">
        <v>2905</v>
      </c>
      <c r="E349" s="30" t="s">
        <v>189</v>
      </c>
      <c r="F349" s="30" t="s">
        <v>190</v>
      </c>
      <c r="G349" s="31">
        <v>793796.0</v>
      </c>
      <c r="H349" s="30" t="s">
        <v>863</v>
      </c>
      <c r="I349" s="31">
        <v>948866.0</v>
      </c>
      <c r="J349" s="30" t="s">
        <v>2906</v>
      </c>
    </row>
    <row r="350">
      <c r="A350" s="160">
        <v>1204590.0</v>
      </c>
      <c r="B350" s="158">
        <v>43980.0</v>
      </c>
      <c r="C350" s="159" t="s">
        <v>893</v>
      </c>
      <c r="D350" s="161" t="s">
        <v>2907</v>
      </c>
      <c r="E350" s="30" t="s">
        <v>39</v>
      </c>
      <c r="F350" s="30" t="s">
        <v>140</v>
      </c>
      <c r="G350" s="31">
        <v>756150.0</v>
      </c>
      <c r="H350" s="30" t="s">
        <v>2908</v>
      </c>
      <c r="I350" s="31"/>
      <c r="J350" s="30" t="s">
        <v>47</v>
      </c>
    </row>
    <row r="351">
      <c r="A351" s="160">
        <v>1302770.0</v>
      </c>
      <c r="B351" s="158">
        <v>43980.0</v>
      </c>
      <c r="C351" s="159" t="s">
        <v>893</v>
      </c>
      <c r="D351" s="161" t="s">
        <v>2909</v>
      </c>
      <c r="E351" s="30" t="s">
        <v>39</v>
      </c>
      <c r="F351" s="30" t="s">
        <v>140</v>
      </c>
      <c r="G351" s="31"/>
      <c r="H351" s="30" t="s">
        <v>47</v>
      </c>
      <c r="I351" s="31"/>
      <c r="J351" s="30" t="s">
        <v>47</v>
      </c>
    </row>
    <row r="352">
      <c r="A352" s="160">
        <v>128082.0</v>
      </c>
      <c r="B352" s="158">
        <v>43980.0</v>
      </c>
      <c r="C352" s="159" t="s">
        <v>893</v>
      </c>
      <c r="D352" s="161" t="s">
        <v>2910</v>
      </c>
      <c r="E352" s="30" t="s">
        <v>96</v>
      </c>
      <c r="F352" s="30" t="s">
        <v>97</v>
      </c>
      <c r="G352" s="31">
        <v>1044708.0</v>
      </c>
      <c r="H352" s="30" t="s">
        <v>47</v>
      </c>
      <c r="I352" s="31">
        <v>627760.0</v>
      </c>
      <c r="J352" s="30" t="s">
        <v>1809</v>
      </c>
    </row>
    <row r="353">
      <c r="A353" s="160">
        <v>1037426.0</v>
      </c>
      <c r="B353" s="158">
        <v>43980.0</v>
      </c>
      <c r="C353" s="159" t="s">
        <v>893</v>
      </c>
      <c r="D353" s="161" t="s">
        <v>2911</v>
      </c>
      <c r="E353" s="30" t="s">
        <v>39</v>
      </c>
      <c r="F353" s="30" t="s">
        <v>140</v>
      </c>
      <c r="G353" s="31"/>
      <c r="H353" s="30" t="s">
        <v>47</v>
      </c>
      <c r="I353" s="31"/>
      <c r="J353" s="30" t="s">
        <v>47</v>
      </c>
    </row>
    <row r="354">
      <c r="A354" s="160">
        <v>579158.0</v>
      </c>
      <c r="B354" s="158">
        <v>43980.0</v>
      </c>
      <c r="C354" s="159" t="s">
        <v>893</v>
      </c>
      <c r="D354" s="161" t="s">
        <v>2912</v>
      </c>
      <c r="E354" s="30" t="s">
        <v>79</v>
      </c>
      <c r="F354" s="30" t="s">
        <v>261</v>
      </c>
      <c r="G354" s="31">
        <v>2890668.0</v>
      </c>
      <c r="H354" s="30" t="s">
        <v>2913</v>
      </c>
      <c r="I354" s="31"/>
      <c r="J354" s="30" t="s">
        <v>47</v>
      </c>
    </row>
    <row r="355">
      <c r="A355" s="160">
        <v>986406.0</v>
      </c>
      <c r="B355" s="158">
        <v>43980.0</v>
      </c>
      <c r="C355" s="159" t="s">
        <v>893</v>
      </c>
      <c r="D355" s="161" t="s">
        <v>2914</v>
      </c>
      <c r="E355" s="30" t="s">
        <v>39</v>
      </c>
      <c r="F355" s="30" t="s">
        <v>140</v>
      </c>
      <c r="G355" s="31">
        <v>947098.0</v>
      </c>
      <c r="H355" s="30" t="s">
        <v>2915</v>
      </c>
      <c r="I355" s="31"/>
      <c r="J355" s="30" t="s">
        <v>47</v>
      </c>
    </row>
    <row r="356">
      <c r="A356" s="160">
        <v>1803394.0</v>
      </c>
      <c r="B356" s="158">
        <v>43980.0</v>
      </c>
      <c r="C356" s="159" t="s">
        <v>893</v>
      </c>
      <c r="D356" s="161" t="s">
        <v>2916</v>
      </c>
      <c r="E356" s="30" t="s">
        <v>83</v>
      </c>
      <c r="F356" s="30" t="s">
        <v>147</v>
      </c>
      <c r="G356" s="31">
        <v>1271308.0</v>
      </c>
      <c r="H356" s="30" t="s">
        <v>2917</v>
      </c>
      <c r="I356" s="31"/>
      <c r="J356" s="30" t="s">
        <v>47</v>
      </c>
    </row>
    <row r="357">
      <c r="A357" s="160">
        <v>502924.0</v>
      </c>
      <c r="B357" s="158">
        <v>43980.0</v>
      </c>
      <c r="C357" s="159" t="s">
        <v>893</v>
      </c>
      <c r="D357" s="161" t="s">
        <v>2918</v>
      </c>
      <c r="E357" s="30" t="s">
        <v>45</v>
      </c>
      <c r="F357" s="30" t="s">
        <v>172</v>
      </c>
      <c r="G357" s="31"/>
      <c r="H357" s="30" t="s">
        <v>47</v>
      </c>
      <c r="I357" s="31"/>
      <c r="J357" s="30" t="s">
        <v>47</v>
      </c>
    </row>
    <row r="358">
      <c r="A358" s="160">
        <v>799718.0</v>
      </c>
      <c r="B358" s="158">
        <v>43980.0</v>
      </c>
      <c r="C358" s="159" t="s">
        <v>893</v>
      </c>
      <c r="D358" s="161" t="s">
        <v>2919</v>
      </c>
      <c r="E358" s="30" t="s">
        <v>83</v>
      </c>
      <c r="F358" s="30" t="s">
        <v>94</v>
      </c>
      <c r="G358" s="31">
        <v>914296.0</v>
      </c>
      <c r="H358" s="30" t="s">
        <v>1977</v>
      </c>
      <c r="I358" s="31">
        <v>1270870.0</v>
      </c>
      <c r="J358" s="30" t="s">
        <v>2920</v>
      </c>
    </row>
    <row r="359">
      <c r="A359" s="160">
        <v>1502658.0</v>
      </c>
      <c r="B359" s="158">
        <v>43980.0</v>
      </c>
      <c r="C359" s="159" t="s">
        <v>893</v>
      </c>
      <c r="D359" s="161" t="s">
        <v>2921</v>
      </c>
      <c r="E359" s="30" t="s">
        <v>45</v>
      </c>
      <c r="F359" s="30" t="s">
        <v>324</v>
      </c>
      <c r="G359" s="31"/>
      <c r="H359" s="30" t="s">
        <v>47</v>
      </c>
      <c r="I359" s="31"/>
      <c r="J359" s="30" t="s">
        <v>47</v>
      </c>
    </row>
    <row r="360">
      <c r="A360" s="160">
        <v>372108.0</v>
      </c>
      <c r="B360" s="158">
        <v>43980.0</v>
      </c>
      <c r="C360" s="159" t="s">
        <v>893</v>
      </c>
      <c r="D360" s="161" t="s">
        <v>2922</v>
      </c>
      <c r="E360" s="30" t="s">
        <v>83</v>
      </c>
      <c r="F360" s="30" t="s">
        <v>147</v>
      </c>
      <c r="G360" s="31"/>
      <c r="H360" s="30" t="s">
        <v>47</v>
      </c>
      <c r="I360" s="31"/>
      <c r="J360" s="30" t="s">
        <v>47</v>
      </c>
    </row>
    <row r="361">
      <c r="A361" s="160">
        <v>1208420.0</v>
      </c>
      <c r="B361" s="158">
        <v>43980.0</v>
      </c>
      <c r="C361" s="159" t="s">
        <v>893</v>
      </c>
      <c r="D361" s="161" t="s">
        <v>2923</v>
      </c>
      <c r="E361" s="30" t="s">
        <v>83</v>
      </c>
      <c r="F361" s="30" t="s">
        <v>330</v>
      </c>
      <c r="G361" s="31"/>
      <c r="H361" s="30" t="s">
        <v>47</v>
      </c>
      <c r="I361" s="31"/>
      <c r="J361" s="30" t="s">
        <v>47</v>
      </c>
    </row>
    <row r="362">
      <c r="A362" s="160">
        <v>1456942.0</v>
      </c>
      <c r="B362" s="158">
        <v>43980.0</v>
      </c>
      <c r="C362" s="159" t="s">
        <v>893</v>
      </c>
      <c r="D362" s="161" t="s">
        <v>2924</v>
      </c>
      <c r="E362" s="30" t="s">
        <v>63</v>
      </c>
      <c r="F362" s="30" t="s">
        <v>64</v>
      </c>
      <c r="G362" s="31">
        <v>1495884.0</v>
      </c>
      <c r="H362" s="30" t="s">
        <v>2925</v>
      </c>
      <c r="I362" s="31"/>
      <c r="J362" s="30" t="s">
        <v>47</v>
      </c>
    </row>
    <row r="363">
      <c r="A363" s="160">
        <v>797952.0</v>
      </c>
      <c r="B363" s="158">
        <v>43980.0</v>
      </c>
      <c r="C363" s="159" t="s">
        <v>893</v>
      </c>
      <c r="D363" s="161" t="s">
        <v>2926</v>
      </c>
      <c r="E363" s="30" t="s">
        <v>105</v>
      </c>
      <c r="F363" s="30" t="s">
        <v>106</v>
      </c>
      <c r="G363" s="31"/>
      <c r="H363" s="30" t="s">
        <v>47</v>
      </c>
      <c r="I363" s="31"/>
      <c r="J363" s="30" t="s">
        <v>47</v>
      </c>
    </row>
    <row r="364">
      <c r="A364" s="160">
        <v>324744.0</v>
      </c>
      <c r="B364" s="158">
        <v>43970.0</v>
      </c>
      <c r="C364" s="159" t="s">
        <v>893</v>
      </c>
      <c r="D364" s="161" t="s">
        <v>2927</v>
      </c>
      <c r="E364" s="30" t="s">
        <v>45</v>
      </c>
      <c r="F364" s="30" t="s">
        <v>90</v>
      </c>
      <c r="G364" s="31"/>
      <c r="H364" s="30" t="s">
        <v>47</v>
      </c>
      <c r="I364" s="31"/>
      <c r="J364" s="30" t="s">
        <v>47</v>
      </c>
    </row>
    <row r="365">
      <c r="A365" s="160">
        <v>642210.0</v>
      </c>
      <c r="B365" s="158">
        <v>43951.0</v>
      </c>
      <c r="C365" s="159" t="s">
        <v>2362</v>
      </c>
      <c r="D365" s="161" t="s">
        <v>2928</v>
      </c>
      <c r="E365" s="30" t="s">
        <v>79</v>
      </c>
      <c r="F365" s="30" t="s">
        <v>184</v>
      </c>
      <c r="G365" s="31">
        <v>1182814.0</v>
      </c>
      <c r="H365" s="30" t="s">
        <v>2878</v>
      </c>
      <c r="I365" s="31"/>
      <c r="J365" s="30" t="s">
        <v>47</v>
      </c>
    </row>
    <row r="366">
      <c r="A366" s="160">
        <v>2001852.0</v>
      </c>
      <c r="B366" s="158">
        <v>43951.0</v>
      </c>
      <c r="C366" s="159" t="s">
        <v>2362</v>
      </c>
      <c r="D366" s="161" t="s">
        <v>2929</v>
      </c>
      <c r="E366" s="30" t="s">
        <v>83</v>
      </c>
      <c r="F366" s="30" t="s">
        <v>84</v>
      </c>
      <c r="G366" s="31"/>
      <c r="H366" s="30" t="s">
        <v>47</v>
      </c>
      <c r="I366" s="31"/>
      <c r="J366" s="30" t="s">
        <v>47</v>
      </c>
    </row>
    <row r="367">
      <c r="A367" s="160">
        <v>2305792.0</v>
      </c>
      <c r="B367" s="158">
        <v>43951.0</v>
      </c>
      <c r="C367" s="159" t="s">
        <v>2606</v>
      </c>
      <c r="D367" s="161" t="s">
        <v>2930</v>
      </c>
      <c r="E367" s="30" t="s">
        <v>39</v>
      </c>
      <c r="F367" s="30" t="s">
        <v>214</v>
      </c>
      <c r="G367" s="31"/>
      <c r="H367" s="30" t="s">
        <v>47</v>
      </c>
      <c r="I367" s="31"/>
      <c r="J367" s="30" t="s">
        <v>47</v>
      </c>
    </row>
    <row r="368">
      <c r="A368" s="160">
        <v>1946862.0</v>
      </c>
      <c r="B368" s="158">
        <v>43951.0</v>
      </c>
      <c r="C368" s="159" t="s">
        <v>2606</v>
      </c>
      <c r="D368" s="161" t="s">
        <v>2931</v>
      </c>
      <c r="E368" s="30" t="s">
        <v>39</v>
      </c>
      <c r="F368" s="30" t="s">
        <v>140</v>
      </c>
      <c r="G368" s="31"/>
      <c r="H368" s="30" t="s">
        <v>47</v>
      </c>
      <c r="I368" s="31"/>
      <c r="J368" s="30" t="s">
        <v>47</v>
      </c>
    </row>
    <row r="369">
      <c r="A369" s="160">
        <v>292966.0</v>
      </c>
      <c r="B369" s="158">
        <v>43951.0</v>
      </c>
      <c r="C369" s="159" t="s">
        <v>893</v>
      </c>
      <c r="D369" s="161" t="s">
        <v>2932</v>
      </c>
      <c r="E369" s="30" t="s">
        <v>105</v>
      </c>
      <c r="F369" s="30" t="s">
        <v>212</v>
      </c>
      <c r="G369" s="31">
        <v>958668.0</v>
      </c>
      <c r="H369" s="30" t="s">
        <v>2933</v>
      </c>
      <c r="I369" s="31"/>
      <c r="J369" s="30" t="s">
        <v>47</v>
      </c>
    </row>
    <row r="370">
      <c r="A370" s="160">
        <v>2289251.0</v>
      </c>
      <c r="B370" s="158">
        <v>43951.0</v>
      </c>
      <c r="C370" s="159" t="s">
        <v>893</v>
      </c>
      <c r="D370" s="161" t="s">
        <v>2934</v>
      </c>
      <c r="E370" s="30" t="s">
        <v>63</v>
      </c>
      <c r="F370" s="30" t="s">
        <v>258</v>
      </c>
      <c r="G370" s="31">
        <v>1560148.0</v>
      </c>
      <c r="H370" s="30" t="s">
        <v>2935</v>
      </c>
      <c r="I370" s="31"/>
      <c r="J370" s="30" t="s">
        <v>47</v>
      </c>
    </row>
    <row r="371">
      <c r="A371" s="160">
        <v>2364722.0</v>
      </c>
      <c r="B371" s="158">
        <v>43951.0</v>
      </c>
      <c r="C371" s="159" t="s">
        <v>893</v>
      </c>
      <c r="D371" s="161" t="s">
        <v>2936</v>
      </c>
      <c r="E371" s="30" t="s">
        <v>122</v>
      </c>
      <c r="F371" s="30" t="s">
        <v>127</v>
      </c>
      <c r="G371" s="31"/>
      <c r="H371" s="30" t="s">
        <v>47</v>
      </c>
      <c r="I371" s="31"/>
      <c r="J371" s="30" t="s">
        <v>47</v>
      </c>
    </row>
    <row r="372">
      <c r="A372" s="160">
        <v>1197030.0</v>
      </c>
      <c r="B372" s="158">
        <v>43951.0</v>
      </c>
      <c r="C372" s="159" t="s">
        <v>893</v>
      </c>
      <c r="D372" s="161" t="s">
        <v>2937</v>
      </c>
      <c r="E372" s="30" t="s">
        <v>105</v>
      </c>
      <c r="F372" s="30" t="s">
        <v>212</v>
      </c>
      <c r="G372" s="31">
        <v>438522.0</v>
      </c>
      <c r="H372" s="30" t="s">
        <v>1012</v>
      </c>
      <c r="I372" s="31"/>
      <c r="J372" s="30" t="s">
        <v>47</v>
      </c>
    </row>
    <row r="373">
      <c r="A373" s="160">
        <v>1208944.0</v>
      </c>
      <c r="B373" s="158">
        <v>43951.0</v>
      </c>
      <c r="C373" s="159" t="s">
        <v>893</v>
      </c>
      <c r="D373" s="161" t="s">
        <v>2938</v>
      </c>
      <c r="E373" s="30" t="s">
        <v>105</v>
      </c>
      <c r="F373" s="30" t="s">
        <v>778</v>
      </c>
      <c r="G373" s="31">
        <v>438522.0</v>
      </c>
      <c r="H373" s="30" t="s">
        <v>1012</v>
      </c>
      <c r="I373" s="31"/>
      <c r="J373" s="30" t="s">
        <v>47</v>
      </c>
    </row>
    <row r="374">
      <c r="A374" s="160">
        <v>1209930.0</v>
      </c>
      <c r="B374" s="158">
        <v>43951.0</v>
      </c>
      <c r="C374" s="159" t="s">
        <v>893</v>
      </c>
      <c r="D374" s="161" t="s">
        <v>2939</v>
      </c>
      <c r="E374" s="30" t="s">
        <v>105</v>
      </c>
      <c r="F374" s="30" t="s">
        <v>778</v>
      </c>
      <c r="G374" s="31">
        <v>683198.0</v>
      </c>
      <c r="H374" s="30" t="s">
        <v>2940</v>
      </c>
      <c r="I374" s="31"/>
      <c r="J374" s="30" t="s">
        <v>47</v>
      </c>
    </row>
    <row r="375">
      <c r="A375" s="160">
        <v>556954.0</v>
      </c>
      <c r="B375" s="158">
        <v>43951.0</v>
      </c>
      <c r="C375" s="159" t="s">
        <v>893</v>
      </c>
      <c r="D375" s="161" t="s">
        <v>2941</v>
      </c>
      <c r="E375" s="30" t="s">
        <v>63</v>
      </c>
      <c r="F375" s="30" t="s">
        <v>258</v>
      </c>
      <c r="G375" s="31">
        <v>903744.0</v>
      </c>
      <c r="H375" s="30" t="s">
        <v>1415</v>
      </c>
      <c r="I375" s="31">
        <v>950390.0</v>
      </c>
      <c r="J375" s="30" t="s">
        <v>1416</v>
      </c>
    </row>
    <row r="376">
      <c r="A376" s="160">
        <v>659368.0</v>
      </c>
      <c r="B376" s="158">
        <v>43951.0</v>
      </c>
      <c r="C376" s="159" t="s">
        <v>893</v>
      </c>
      <c r="D376" s="161" t="s">
        <v>2942</v>
      </c>
      <c r="E376" s="30" t="s">
        <v>63</v>
      </c>
      <c r="F376" s="30" t="s">
        <v>258</v>
      </c>
      <c r="G376" s="31">
        <v>903744.0</v>
      </c>
      <c r="H376" s="30" t="s">
        <v>1415</v>
      </c>
      <c r="I376" s="31">
        <v>950390.0</v>
      </c>
      <c r="J376" s="30" t="s">
        <v>1416</v>
      </c>
    </row>
    <row r="377">
      <c r="A377" s="160">
        <v>713104.0</v>
      </c>
      <c r="B377" s="158">
        <v>43951.0</v>
      </c>
      <c r="C377" s="159" t="s">
        <v>893</v>
      </c>
      <c r="D377" s="161" t="s">
        <v>2943</v>
      </c>
      <c r="E377" s="30" t="s">
        <v>63</v>
      </c>
      <c r="F377" s="30" t="s">
        <v>258</v>
      </c>
      <c r="G377" s="31">
        <v>671576.0</v>
      </c>
      <c r="H377" s="30" t="s">
        <v>1418</v>
      </c>
      <c r="I377" s="31">
        <v>1140660.0</v>
      </c>
      <c r="J377" s="30" t="s">
        <v>1218</v>
      </c>
    </row>
    <row r="378">
      <c r="A378" s="160">
        <v>753140.0</v>
      </c>
      <c r="B378" s="158">
        <v>43951.0</v>
      </c>
      <c r="C378" s="159" t="s">
        <v>893</v>
      </c>
      <c r="D378" s="161" t="s">
        <v>2944</v>
      </c>
      <c r="E378" s="30" t="s">
        <v>63</v>
      </c>
      <c r="F378" s="30" t="s">
        <v>258</v>
      </c>
      <c r="G378" s="31">
        <v>918390.0</v>
      </c>
      <c r="H378" s="30" t="s">
        <v>47</v>
      </c>
      <c r="I378" s="31">
        <v>1647976.0</v>
      </c>
      <c r="J378" s="30" t="s">
        <v>2945</v>
      </c>
    </row>
    <row r="379">
      <c r="A379" s="160">
        <v>794306.0</v>
      </c>
      <c r="B379" s="158">
        <v>43951.0</v>
      </c>
      <c r="C379" s="159" t="s">
        <v>893</v>
      </c>
      <c r="D379" s="161" t="s">
        <v>2946</v>
      </c>
      <c r="E379" s="30" t="s">
        <v>63</v>
      </c>
      <c r="F379" s="30" t="s">
        <v>64</v>
      </c>
      <c r="G379" s="31">
        <v>762616.0</v>
      </c>
      <c r="H379" s="30" t="s">
        <v>2279</v>
      </c>
      <c r="I379" s="31">
        <v>203556.0</v>
      </c>
      <c r="J379" s="30" t="s">
        <v>2947</v>
      </c>
    </row>
    <row r="380">
      <c r="A380" s="160">
        <v>877582.0</v>
      </c>
      <c r="B380" s="158">
        <v>43951.0</v>
      </c>
      <c r="C380" s="159" t="s">
        <v>893</v>
      </c>
      <c r="D380" s="161" t="s">
        <v>2948</v>
      </c>
      <c r="E380" s="30" t="s">
        <v>39</v>
      </c>
      <c r="F380" s="30" t="s">
        <v>50</v>
      </c>
      <c r="G380" s="31">
        <v>1560542.0</v>
      </c>
      <c r="H380" s="30" t="s">
        <v>2949</v>
      </c>
      <c r="I380" s="31">
        <v>1343662.0</v>
      </c>
      <c r="J380" s="30" t="s">
        <v>2950</v>
      </c>
    </row>
    <row r="381">
      <c r="A381" s="160">
        <v>468698.0</v>
      </c>
      <c r="B381" s="158">
        <v>43951.0</v>
      </c>
      <c r="C381" s="159" t="s">
        <v>893</v>
      </c>
      <c r="D381" s="161" t="s">
        <v>2951</v>
      </c>
      <c r="E381" s="30" t="s">
        <v>79</v>
      </c>
      <c r="F381" s="30" t="s">
        <v>998</v>
      </c>
      <c r="G381" s="31">
        <v>946742.0</v>
      </c>
      <c r="H381" s="30" t="s">
        <v>2729</v>
      </c>
      <c r="I381" s="31"/>
      <c r="J381" s="30" t="s">
        <v>47</v>
      </c>
    </row>
    <row r="382">
      <c r="A382" s="160">
        <v>82332.0</v>
      </c>
      <c r="B382" s="158">
        <v>43951.0</v>
      </c>
      <c r="C382" s="159" t="s">
        <v>893</v>
      </c>
      <c r="D382" s="161" t="s">
        <v>2952</v>
      </c>
      <c r="E382" s="30" t="s">
        <v>39</v>
      </c>
      <c r="F382" s="30" t="s">
        <v>54</v>
      </c>
      <c r="G382" s="31"/>
      <c r="H382" s="30" t="s">
        <v>47</v>
      </c>
      <c r="I382" s="31"/>
      <c r="J382" s="30" t="s">
        <v>47</v>
      </c>
    </row>
    <row r="383">
      <c r="A383" s="160">
        <v>70636.0</v>
      </c>
      <c r="B383" s="158">
        <v>43951.0</v>
      </c>
      <c r="C383" s="159" t="s">
        <v>893</v>
      </c>
      <c r="D383" s="161" t="s">
        <v>2953</v>
      </c>
      <c r="E383" s="30" t="s">
        <v>39</v>
      </c>
      <c r="F383" s="30" t="s">
        <v>54</v>
      </c>
      <c r="G383" s="31">
        <v>567828.0</v>
      </c>
      <c r="H383" s="30" t="s">
        <v>1530</v>
      </c>
      <c r="I383" s="31"/>
      <c r="J383" s="30" t="s">
        <v>47</v>
      </c>
    </row>
    <row r="384">
      <c r="A384" s="160">
        <v>299710.0</v>
      </c>
      <c r="B384" s="158">
        <v>43951.0</v>
      </c>
      <c r="C384" s="159" t="s">
        <v>893</v>
      </c>
      <c r="D384" s="161" t="s">
        <v>2954</v>
      </c>
      <c r="E384" s="30" t="s">
        <v>83</v>
      </c>
      <c r="F384" s="30" t="s">
        <v>285</v>
      </c>
      <c r="G384" s="31">
        <v>2037952.0</v>
      </c>
      <c r="H384" s="30" t="s">
        <v>1248</v>
      </c>
      <c r="I384" s="31">
        <v>2222324.0</v>
      </c>
      <c r="J384" s="30" t="s">
        <v>2955</v>
      </c>
    </row>
    <row r="385">
      <c r="A385" s="160">
        <v>789692.0</v>
      </c>
      <c r="B385" s="158">
        <v>43951.0</v>
      </c>
      <c r="C385" s="159" t="s">
        <v>893</v>
      </c>
      <c r="D385" s="161" t="s">
        <v>2956</v>
      </c>
      <c r="E385" s="30" t="s">
        <v>39</v>
      </c>
      <c r="F385" s="30" t="s">
        <v>214</v>
      </c>
      <c r="G385" s="31">
        <v>1419490.0</v>
      </c>
      <c r="H385" s="30" t="s">
        <v>1146</v>
      </c>
      <c r="I385" s="31">
        <v>951684.0</v>
      </c>
      <c r="J385" s="30" t="s">
        <v>1145</v>
      </c>
    </row>
    <row r="386">
      <c r="A386" s="160">
        <v>1638736.0</v>
      </c>
      <c r="B386" s="158">
        <v>43951.0</v>
      </c>
      <c r="C386" s="159" t="s">
        <v>893</v>
      </c>
      <c r="D386" s="161" t="s">
        <v>680</v>
      </c>
      <c r="E386" s="30" t="s">
        <v>45</v>
      </c>
      <c r="F386" s="30" t="s">
        <v>90</v>
      </c>
      <c r="G386" s="31">
        <v>869724.0</v>
      </c>
      <c r="H386" s="30" t="s">
        <v>2148</v>
      </c>
      <c r="I386" s="31"/>
      <c r="J386" s="30" t="s">
        <v>47</v>
      </c>
    </row>
    <row r="387">
      <c r="A387" s="160">
        <v>2638640.0</v>
      </c>
      <c r="B387" s="158">
        <v>43963.0</v>
      </c>
      <c r="C387" s="159" t="s">
        <v>893</v>
      </c>
      <c r="D387" s="161" t="s">
        <v>2957</v>
      </c>
      <c r="E387" s="30" t="s">
        <v>2958</v>
      </c>
      <c r="F387" s="30" t="s">
        <v>339</v>
      </c>
      <c r="G387" s="31">
        <v>125808.0</v>
      </c>
      <c r="H387" s="30" t="s">
        <v>2959</v>
      </c>
      <c r="I387" s="31">
        <v>821278.0</v>
      </c>
      <c r="J387" s="30" t="s">
        <v>2960</v>
      </c>
    </row>
    <row r="388">
      <c r="A388" s="160">
        <v>1429030.0</v>
      </c>
      <c r="B388" s="158">
        <v>43942.0</v>
      </c>
      <c r="C388" s="159" t="s">
        <v>893</v>
      </c>
      <c r="D388" s="161" t="s">
        <v>2961</v>
      </c>
      <c r="E388" s="30" t="s">
        <v>45</v>
      </c>
      <c r="F388" s="30" t="s">
        <v>172</v>
      </c>
      <c r="G388" s="31">
        <v>2464676.0</v>
      </c>
      <c r="H388" s="30" t="s">
        <v>2962</v>
      </c>
      <c r="I388" s="31"/>
      <c r="J388" s="30" t="s">
        <v>47</v>
      </c>
    </row>
    <row r="389">
      <c r="A389" s="160">
        <v>1330262.0</v>
      </c>
      <c r="B389" s="158">
        <v>43941.0</v>
      </c>
      <c r="C389" s="159" t="s">
        <v>893</v>
      </c>
      <c r="D389" s="161" t="s">
        <v>2963</v>
      </c>
      <c r="E389" s="30" t="s">
        <v>39</v>
      </c>
      <c r="F389" s="30" t="s">
        <v>54</v>
      </c>
      <c r="G389" s="31">
        <v>1419186.0</v>
      </c>
      <c r="H389" s="30" t="s">
        <v>2964</v>
      </c>
      <c r="I389" s="31">
        <v>798580.0</v>
      </c>
      <c r="J389" s="30" t="s">
        <v>2965</v>
      </c>
    </row>
    <row r="390">
      <c r="A390" s="160">
        <v>763320.0</v>
      </c>
      <c r="B390" s="158">
        <v>43931.0</v>
      </c>
      <c r="C390" s="159" t="s">
        <v>893</v>
      </c>
      <c r="D390" s="161" t="s">
        <v>2966</v>
      </c>
      <c r="E390" s="30" t="s">
        <v>83</v>
      </c>
      <c r="F390" s="30" t="s">
        <v>330</v>
      </c>
      <c r="G390" s="31">
        <v>657590.0</v>
      </c>
      <c r="H390" s="30" t="s">
        <v>2967</v>
      </c>
      <c r="I390" s="31">
        <v>521574.0</v>
      </c>
      <c r="J390" s="30" t="s">
        <v>2968</v>
      </c>
    </row>
    <row r="391">
      <c r="A391" s="160">
        <v>2298934.0</v>
      </c>
      <c r="B391" s="158">
        <v>43922.0</v>
      </c>
      <c r="C391" s="159" t="s">
        <v>893</v>
      </c>
      <c r="D391" s="161" t="s">
        <v>2969</v>
      </c>
      <c r="E391" s="30" t="s">
        <v>63</v>
      </c>
      <c r="F391" s="30" t="s">
        <v>64</v>
      </c>
      <c r="G391" s="31">
        <v>1111068.0</v>
      </c>
      <c r="H391" s="30" t="s">
        <v>2970</v>
      </c>
      <c r="I391" s="31"/>
      <c r="J391" s="30" t="s">
        <v>47</v>
      </c>
    </row>
    <row r="392">
      <c r="A392" s="160">
        <v>1115290.0</v>
      </c>
      <c r="B392" s="158">
        <v>43921.0</v>
      </c>
      <c r="C392" s="159" t="s">
        <v>2606</v>
      </c>
      <c r="D392" s="161" t="s">
        <v>382</v>
      </c>
      <c r="E392" s="30" t="s">
        <v>45</v>
      </c>
      <c r="F392" s="30" t="s">
        <v>75</v>
      </c>
      <c r="G392" s="31"/>
      <c r="H392" s="30" t="s">
        <v>47</v>
      </c>
      <c r="I392" s="31"/>
      <c r="J392" s="30" t="s">
        <v>47</v>
      </c>
    </row>
    <row r="393">
      <c r="A393" s="160">
        <v>1311650.0</v>
      </c>
      <c r="B393" s="158">
        <v>43921.0</v>
      </c>
      <c r="C393" s="159" t="s">
        <v>2628</v>
      </c>
      <c r="D393" s="161" t="s">
        <v>2971</v>
      </c>
      <c r="E393" s="30" t="s">
        <v>105</v>
      </c>
      <c r="F393" s="30" t="s">
        <v>106</v>
      </c>
      <c r="G393" s="31">
        <v>1918966.0</v>
      </c>
      <c r="H393" s="30" t="s">
        <v>2972</v>
      </c>
      <c r="I393" s="31">
        <v>1379740.0</v>
      </c>
      <c r="J393" s="30" t="s">
        <v>2973</v>
      </c>
    </row>
    <row r="394">
      <c r="A394" s="160">
        <v>537812.0</v>
      </c>
      <c r="B394" s="158">
        <v>43921.0</v>
      </c>
      <c r="C394" s="159" t="s">
        <v>2628</v>
      </c>
      <c r="D394" s="161" t="s">
        <v>2974</v>
      </c>
      <c r="E394" s="30" t="s">
        <v>39</v>
      </c>
      <c r="F394" s="30" t="s">
        <v>214</v>
      </c>
      <c r="G394" s="31"/>
      <c r="H394" s="30" t="s">
        <v>47</v>
      </c>
      <c r="I394" s="31"/>
      <c r="J394" s="30" t="s">
        <v>47</v>
      </c>
    </row>
    <row r="395">
      <c r="A395" s="160">
        <v>691584.0</v>
      </c>
      <c r="B395" s="158">
        <v>43921.0</v>
      </c>
      <c r="C395" s="159" t="s">
        <v>2362</v>
      </c>
      <c r="D395" s="161" t="s">
        <v>2975</v>
      </c>
      <c r="E395" s="30" t="s">
        <v>63</v>
      </c>
      <c r="F395" s="30" t="s">
        <v>64</v>
      </c>
      <c r="G395" s="31"/>
      <c r="H395" s="30" t="s">
        <v>47</v>
      </c>
      <c r="I395" s="31"/>
      <c r="J395" s="30" t="s">
        <v>47</v>
      </c>
    </row>
    <row r="396">
      <c r="A396" s="160">
        <v>522596.0</v>
      </c>
      <c r="B396" s="158">
        <v>43921.0</v>
      </c>
      <c r="C396" s="159" t="s">
        <v>893</v>
      </c>
      <c r="D396" s="161" t="s">
        <v>2976</v>
      </c>
      <c r="E396" s="30" t="s">
        <v>39</v>
      </c>
      <c r="F396" s="30" t="s">
        <v>214</v>
      </c>
      <c r="G396" s="31">
        <v>867204.0</v>
      </c>
      <c r="H396" s="30" t="s">
        <v>2977</v>
      </c>
      <c r="I396" s="31">
        <v>397936.0</v>
      </c>
      <c r="J396" s="30" t="s">
        <v>2978</v>
      </c>
    </row>
    <row r="397">
      <c r="A397" s="160">
        <v>1316068.0</v>
      </c>
      <c r="B397" s="158">
        <v>43921.0</v>
      </c>
      <c r="C397" s="159" t="s">
        <v>893</v>
      </c>
      <c r="D397" s="161" t="s">
        <v>2979</v>
      </c>
      <c r="E397" s="30" t="s">
        <v>45</v>
      </c>
      <c r="F397" s="30" t="s">
        <v>46</v>
      </c>
      <c r="G397" s="31">
        <v>1205478.0</v>
      </c>
      <c r="H397" s="30" t="s">
        <v>47</v>
      </c>
      <c r="I397" s="31"/>
      <c r="J397" s="30" t="s">
        <v>47</v>
      </c>
    </row>
    <row r="398">
      <c r="A398" s="160">
        <v>2374702.0</v>
      </c>
      <c r="B398" s="158">
        <v>43921.0</v>
      </c>
      <c r="C398" s="159" t="s">
        <v>893</v>
      </c>
      <c r="D398" s="161" t="s">
        <v>2980</v>
      </c>
      <c r="E398" s="30" t="s">
        <v>122</v>
      </c>
      <c r="F398" s="30" t="s">
        <v>271</v>
      </c>
      <c r="G398" s="31">
        <v>139166.0</v>
      </c>
      <c r="H398" s="30" t="s">
        <v>2981</v>
      </c>
      <c r="I398" s="31">
        <v>1802404.0</v>
      </c>
      <c r="J398" s="30" t="s">
        <v>2778</v>
      </c>
    </row>
    <row r="399">
      <c r="A399" s="160">
        <v>1314898.0</v>
      </c>
      <c r="B399" s="158">
        <v>43921.0</v>
      </c>
      <c r="C399" s="159" t="s">
        <v>893</v>
      </c>
      <c r="D399" s="161" t="s">
        <v>2982</v>
      </c>
      <c r="E399" s="30" t="s">
        <v>63</v>
      </c>
      <c r="F399" s="30" t="s">
        <v>294</v>
      </c>
      <c r="G399" s="31"/>
      <c r="H399" s="30" t="s">
        <v>47</v>
      </c>
      <c r="I399" s="31"/>
      <c r="J399" s="30" t="s">
        <v>47</v>
      </c>
    </row>
    <row r="400">
      <c r="A400" s="160">
        <v>1752628.0</v>
      </c>
      <c r="B400" s="158">
        <v>43921.0</v>
      </c>
      <c r="C400" s="159" t="s">
        <v>893</v>
      </c>
      <c r="D400" s="161" t="s">
        <v>2983</v>
      </c>
      <c r="E400" s="30" t="s">
        <v>39</v>
      </c>
      <c r="F400" s="30" t="s">
        <v>54</v>
      </c>
      <c r="G400" s="31">
        <v>944366.0</v>
      </c>
      <c r="H400" s="30" t="s">
        <v>2984</v>
      </c>
      <c r="I400" s="31"/>
      <c r="J400" s="30" t="s">
        <v>47</v>
      </c>
    </row>
    <row r="401">
      <c r="A401" s="160">
        <v>1189438.0</v>
      </c>
      <c r="B401" s="158">
        <v>43921.0</v>
      </c>
      <c r="C401" s="159" t="s">
        <v>893</v>
      </c>
      <c r="D401" s="161" t="s">
        <v>2985</v>
      </c>
      <c r="E401" s="30" t="s">
        <v>58</v>
      </c>
      <c r="F401" s="30" t="s">
        <v>234</v>
      </c>
      <c r="G401" s="31"/>
      <c r="H401" s="30" t="s">
        <v>47</v>
      </c>
      <c r="I401" s="31"/>
      <c r="J401" s="30" t="s">
        <v>47</v>
      </c>
    </row>
    <row r="402">
      <c r="A402" s="160">
        <v>1483912.0</v>
      </c>
      <c r="B402" s="158">
        <v>43921.0</v>
      </c>
      <c r="C402" s="159" t="s">
        <v>893</v>
      </c>
      <c r="D402" s="161" t="s">
        <v>2986</v>
      </c>
      <c r="E402" s="30" t="s">
        <v>39</v>
      </c>
      <c r="F402" s="30" t="s">
        <v>140</v>
      </c>
      <c r="G402" s="31"/>
      <c r="H402" s="30" t="s">
        <v>47</v>
      </c>
      <c r="I402" s="31"/>
      <c r="J402" s="30" t="s">
        <v>47</v>
      </c>
    </row>
    <row r="403">
      <c r="A403" s="160">
        <v>549328.0</v>
      </c>
      <c r="B403" s="158">
        <v>43921.0</v>
      </c>
      <c r="C403" s="159" t="s">
        <v>893</v>
      </c>
      <c r="D403" s="161" t="s">
        <v>2987</v>
      </c>
      <c r="E403" s="30" t="s">
        <v>63</v>
      </c>
      <c r="F403" s="30" t="s">
        <v>256</v>
      </c>
      <c r="G403" s="31">
        <v>1510692.0</v>
      </c>
      <c r="H403" s="30" t="s">
        <v>2988</v>
      </c>
      <c r="I403" s="31"/>
      <c r="J403" s="30" t="s">
        <v>47</v>
      </c>
    </row>
    <row r="404">
      <c r="A404" s="160">
        <v>247306.0</v>
      </c>
      <c r="B404" s="158">
        <v>43921.0</v>
      </c>
      <c r="C404" s="159" t="s">
        <v>893</v>
      </c>
      <c r="D404" s="161" t="s">
        <v>2989</v>
      </c>
      <c r="E404" s="30" t="s">
        <v>122</v>
      </c>
      <c r="F404" s="30" t="s">
        <v>271</v>
      </c>
      <c r="G404" s="31">
        <v>580876.0</v>
      </c>
      <c r="H404" s="30" t="s">
        <v>177</v>
      </c>
      <c r="I404" s="31"/>
      <c r="J404" s="30" t="s">
        <v>47</v>
      </c>
    </row>
    <row r="405">
      <c r="A405" s="160">
        <v>2205064.0</v>
      </c>
      <c r="B405" s="158">
        <v>43921.0</v>
      </c>
      <c r="C405" s="159" t="s">
        <v>893</v>
      </c>
      <c r="D405" s="161" t="s">
        <v>2990</v>
      </c>
      <c r="E405" s="30" t="s">
        <v>58</v>
      </c>
      <c r="F405" s="30" t="s">
        <v>86</v>
      </c>
      <c r="G405" s="31">
        <v>684272.0</v>
      </c>
      <c r="H405" s="30" t="s">
        <v>2991</v>
      </c>
      <c r="I405" s="31"/>
      <c r="J405" s="30" t="s">
        <v>47</v>
      </c>
    </row>
    <row r="406">
      <c r="A406" s="160">
        <v>909282.0</v>
      </c>
      <c r="B406" s="158">
        <v>43921.0</v>
      </c>
      <c r="C406" s="159" t="s">
        <v>893</v>
      </c>
      <c r="D406" s="161" t="s">
        <v>2992</v>
      </c>
      <c r="E406" s="30" t="s">
        <v>189</v>
      </c>
      <c r="F406" s="30" t="s">
        <v>448</v>
      </c>
      <c r="G406" s="31"/>
      <c r="H406" s="30" t="s">
        <v>47</v>
      </c>
      <c r="I406" s="31"/>
      <c r="J406" s="30" t="s">
        <v>47</v>
      </c>
    </row>
    <row r="407">
      <c r="A407" s="160">
        <v>1531914.0</v>
      </c>
      <c r="B407" s="158">
        <v>43921.0</v>
      </c>
      <c r="C407" s="159" t="s">
        <v>893</v>
      </c>
      <c r="D407" s="161" t="s">
        <v>2993</v>
      </c>
      <c r="E407" s="30" t="s">
        <v>39</v>
      </c>
      <c r="F407" s="30" t="s">
        <v>140</v>
      </c>
      <c r="G407" s="31">
        <v>2158174.0</v>
      </c>
      <c r="H407" s="30" t="s">
        <v>2994</v>
      </c>
      <c r="I407" s="31"/>
      <c r="J407" s="30" t="s">
        <v>47</v>
      </c>
    </row>
    <row r="408">
      <c r="A408" s="160">
        <v>830568.0</v>
      </c>
      <c r="B408" s="158">
        <v>43921.0</v>
      </c>
      <c r="C408" s="159" t="s">
        <v>893</v>
      </c>
      <c r="D408" s="161" t="s">
        <v>2995</v>
      </c>
      <c r="E408" s="30" t="s">
        <v>58</v>
      </c>
      <c r="F408" s="30" t="s">
        <v>161</v>
      </c>
      <c r="G408" s="31">
        <v>42271.0</v>
      </c>
      <c r="H408" s="30" t="s">
        <v>2182</v>
      </c>
      <c r="I408" s="31"/>
      <c r="J408" s="30" t="s">
        <v>47</v>
      </c>
    </row>
    <row r="409">
      <c r="A409" s="160">
        <v>1644472.0</v>
      </c>
      <c r="B409" s="158">
        <v>43921.0</v>
      </c>
      <c r="C409" s="159" t="s">
        <v>893</v>
      </c>
      <c r="D409" s="161" t="s">
        <v>2996</v>
      </c>
      <c r="E409" s="30" t="s">
        <v>63</v>
      </c>
      <c r="F409" s="30" t="s">
        <v>258</v>
      </c>
      <c r="G409" s="31"/>
      <c r="H409" s="30" t="s">
        <v>47</v>
      </c>
      <c r="I409" s="31"/>
      <c r="J409" s="30" t="s">
        <v>47</v>
      </c>
    </row>
    <row r="410">
      <c r="A410" s="160">
        <v>1001564.0</v>
      </c>
      <c r="B410" s="158">
        <v>43921.0</v>
      </c>
      <c r="C410" s="159" t="s">
        <v>893</v>
      </c>
      <c r="D410" s="161" t="s">
        <v>2997</v>
      </c>
      <c r="E410" s="30" t="s">
        <v>45</v>
      </c>
      <c r="F410" s="30" t="s">
        <v>90</v>
      </c>
      <c r="G410" s="31">
        <v>40017.0</v>
      </c>
      <c r="H410" s="30" t="s">
        <v>2998</v>
      </c>
      <c r="I410" s="31"/>
      <c r="J410" s="30" t="s">
        <v>47</v>
      </c>
    </row>
    <row r="411">
      <c r="A411" s="160">
        <v>11305.0</v>
      </c>
      <c r="B411" s="158">
        <v>43921.0</v>
      </c>
      <c r="C411" s="159" t="s">
        <v>893</v>
      </c>
      <c r="D411" s="161" t="s">
        <v>2999</v>
      </c>
      <c r="E411" s="30" t="s">
        <v>39</v>
      </c>
      <c r="F411" s="30" t="s">
        <v>140</v>
      </c>
      <c r="G411" s="31">
        <v>519442.0</v>
      </c>
      <c r="H411" s="30" t="s">
        <v>1102</v>
      </c>
      <c r="I411" s="31">
        <v>119262.0</v>
      </c>
      <c r="J411" s="30" t="s">
        <v>47</v>
      </c>
    </row>
    <row r="412">
      <c r="A412" s="160">
        <v>50073.0</v>
      </c>
      <c r="B412" s="158">
        <v>43921.0</v>
      </c>
      <c r="C412" s="159" t="s">
        <v>893</v>
      </c>
      <c r="D412" s="161" t="s">
        <v>3000</v>
      </c>
      <c r="E412" s="30" t="s">
        <v>189</v>
      </c>
      <c r="F412" s="30" t="s">
        <v>190</v>
      </c>
      <c r="G412" s="31">
        <v>107606.0</v>
      </c>
      <c r="H412" s="30" t="s">
        <v>3001</v>
      </c>
      <c r="I412" s="31">
        <v>32917.0</v>
      </c>
      <c r="J412" s="30" t="s">
        <v>47</v>
      </c>
    </row>
    <row r="413">
      <c r="A413" s="160">
        <v>2211104.0</v>
      </c>
      <c r="B413" s="158">
        <v>43921.0</v>
      </c>
      <c r="C413" s="159" t="s">
        <v>893</v>
      </c>
      <c r="D413" s="161" t="s">
        <v>3002</v>
      </c>
      <c r="E413" s="30" t="s">
        <v>79</v>
      </c>
      <c r="F413" s="30" t="s">
        <v>261</v>
      </c>
      <c r="G413" s="31">
        <v>1361790.0</v>
      </c>
      <c r="H413" s="30" t="s">
        <v>1065</v>
      </c>
      <c r="I413" s="31">
        <v>555696.0</v>
      </c>
      <c r="J413" s="30" t="s">
        <v>1066</v>
      </c>
    </row>
    <row r="414">
      <c r="A414" s="160">
        <v>1791340.0</v>
      </c>
      <c r="B414" s="158">
        <v>43920.0</v>
      </c>
      <c r="C414" s="159" t="s">
        <v>2628</v>
      </c>
      <c r="D414" s="161" t="s">
        <v>3003</v>
      </c>
      <c r="E414" s="30" t="s">
        <v>39</v>
      </c>
      <c r="F414" s="30" t="s">
        <v>140</v>
      </c>
      <c r="G414" s="31">
        <v>1320062.0</v>
      </c>
      <c r="H414" s="30" t="s">
        <v>801</v>
      </c>
      <c r="I414" s="31">
        <v>1583340.0</v>
      </c>
      <c r="J414" s="30" t="s">
        <v>47</v>
      </c>
    </row>
    <row r="415">
      <c r="A415" s="160">
        <v>321770.0</v>
      </c>
      <c r="B415" s="158">
        <v>43907.0</v>
      </c>
      <c r="C415" s="159" t="s">
        <v>893</v>
      </c>
      <c r="D415" s="161" t="s">
        <v>3004</v>
      </c>
      <c r="E415" s="30" t="s">
        <v>79</v>
      </c>
      <c r="F415" s="30" t="s">
        <v>150</v>
      </c>
      <c r="G415" s="31">
        <v>2867420.0</v>
      </c>
      <c r="H415" s="30" t="s">
        <v>3005</v>
      </c>
      <c r="I415" s="31">
        <v>2855848.0</v>
      </c>
      <c r="J415" s="30" t="s">
        <v>3006</v>
      </c>
    </row>
    <row r="416">
      <c r="A416" s="160">
        <v>104042.0</v>
      </c>
      <c r="B416" s="158">
        <v>43901.0</v>
      </c>
      <c r="C416" s="159" t="s">
        <v>2628</v>
      </c>
      <c r="D416" s="161" t="s">
        <v>3007</v>
      </c>
      <c r="E416" s="30" t="s">
        <v>58</v>
      </c>
      <c r="F416" s="30" t="s">
        <v>234</v>
      </c>
      <c r="G416" s="31"/>
      <c r="H416" s="30" t="s">
        <v>47</v>
      </c>
      <c r="I416" s="31"/>
      <c r="J416" s="30" t="s">
        <v>47</v>
      </c>
    </row>
    <row r="417">
      <c r="A417" s="160">
        <v>957350.0</v>
      </c>
      <c r="B417" s="158">
        <v>43893.0</v>
      </c>
      <c r="C417" s="159" t="s">
        <v>2362</v>
      </c>
      <c r="D417" s="161" t="s">
        <v>3008</v>
      </c>
      <c r="E417" s="30" t="s">
        <v>2958</v>
      </c>
      <c r="F417" s="30" t="s">
        <v>145</v>
      </c>
      <c r="G417" s="31"/>
      <c r="H417" s="30" t="s">
        <v>47</v>
      </c>
      <c r="I417" s="31"/>
      <c r="J417" s="30" t="s">
        <v>47</v>
      </c>
    </row>
    <row r="418">
      <c r="A418" s="160">
        <v>1282466.0</v>
      </c>
      <c r="B418" s="158">
        <v>43893.0</v>
      </c>
      <c r="C418" s="159" t="s">
        <v>2362</v>
      </c>
      <c r="D418" s="161" t="s">
        <v>3009</v>
      </c>
      <c r="E418" s="30" t="s">
        <v>39</v>
      </c>
      <c r="F418" s="30" t="s">
        <v>54</v>
      </c>
      <c r="G418" s="31">
        <v>728634.0</v>
      </c>
      <c r="H418" s="30" t="s">
        <v>3010</v>
      </c>
      <c r="I418" s="31"/>
      <c r="J418" s="30" t="s">
        <v>47</v>
      </c>
    </row>
    <row r="419">
      <c r="A419" s="160">
        <v>1119822.0</v>
      </c>
      <c r="B419" s="158">
        <v>43893.0</v>
      </c>
      <c r="C419" s="159" t="s">
        <v>2362</v>
      </c>
      <c r="D419" s="161" t="s">
        <v>3011</v>
      </c>
      <c r="E419" s="30" t="s">
        <v>105</v>
      </c>
      <c r="F419" s="30" t="s">
        <v>106</v>
      </c>
      <c r="G419" s="31"/>
      <c r="H419" s="30" t="s">
        <v>47</v>
      </c>
      <c r="I419" s="31"/>
      <c r="J419" s="30" t="s">
        <v>47</v>
      </c>
    </row>
    <row r="420">
      <c r="A420" s="160">
        <v>633198.0</v>
      </c>
      <c r="B420" s="158">
        <v>43893.0</v>
      </c>
      <c r="C420" s="159" t="s">
        <v>2362</v>
      </c>
      <c r="D420" s="161" t="s">
        <v>3012</v>
      </c>
      <c r="E420" s="30" t="s">
        <v>39</v>
      </c>
      <c r="F420" s="30" t="s">
        <v>54</v>
      </c>
      <c r="G420" s="31"/>
      <c r="H420" s="30" t="s">
        <v>47</v>
      </c>
      <c r="I420" s="31"/>
      <c r="J420" s="30" t="s">
        <v>47</v>
      </c>
    </row>
    <row r="421">
      <c r="A421" s="160">
        <v>1304148.0</v>
      </c>
      <c r="B421" s="158">
        <v>43893.0</v>
      </c>
      <c r="C421" s="159" t="s">
        <v>2362</v>
      </c>
      <c r="D421" s="161" t="s">
        <v>3013</v>
      </c>
      <c r="E421" s="30" t="s">
        <v>189</v>
      </c>
      <c r="F421" s="30" t="s">
        <v>300</v>
      </c>
      <c r="G421" s="31"/>
      <c r="H421" s="30" t="s">
        <v>47</v>
      </c>
      <c r="I421" s="31"/>
      <c r="J421" s="30" t="s">
        <v>47</v>
      </c>
    </row>
    <row r="422">
      <c r="A422" s="160">
        <v>1493048.0</v>
      </c>
      <c r="B422" s="158">
        <v>43893.0</v>
      </c>
      <c r="C422" s="159" t="s">
        <v>2362</v>
      </c>
      <c r="D422" s="161" t="s">
        <v>3014</v>
      </c>
      <c r="E422" s="30" t="s">
        <v>58</v>
      </c>
      <c r="F422" s="30" t="s">
        <v>86</v>
      </c>
      <c r="G422" s="31"/>
      <c r="H422" s="30" t="s">
        <v>47</v>
      </c>
      <c r="I422" s="31"/>
      <c r="J422" s="30" t="s">
        <v>47</v>
      </c>
    </row>
    <row r="423">
      <c r="A423" s="160">
        <v>2022094.0</v>
      </c>
      <c r="B423" s="158">
        <v>43893.0</v>
      </c>
      <c r="C423" s="159" t="s">
        <v>2628</v>
      </c>
      <c r="D423" s="161" t="s">
        <v>3015</v>
      </c>
      <c r="E423" s="30" t="s">
        <v>45</v>
      </c>
      <c r="F423" s="30" t="s">
        <v>75</v>
      </c>
      <c r="G423" s="31"/>
      <c r="H423" s="30" t="s">
        <v>47</v>
      </c>
      <c r="I423" s="31"/>
      <c r="J423" s="30" t="s">
        <v>47</v>
      </c>
    </row>
    <row r="424">
      <c r="A424" s="160">
        <v>2067097.0</v>
      </c>
      <c r="B424" s="158">
        <v>43893.0</v>
      </c>
      <c r="C424" s="159" t="s">
        <v>2628</v>
      </c>
      <c r="D424" s="161" t="s">
        <v>3016</v>
      </c>
      <c r="E424" s="30" t="s">
        <v>45</v>
      </c>
      <c r="F424" s="30" t="s">
        <v>75</v>
      </c>
      <c r="G424" s="31"/>
      <c r="H424" s="30" t="s">
        <v>47</v>
      </c>
      <c r="I424" s="31"/>
      <c r="J424" s="30" t="s">
        <v>47</v>
      </c>
    </row>
    <row r="425">
      <c r="A425" s="160">
        <v>2083112.0</v>
      </c>
      <c r="B425" s="158">
        <v>43893.0</v>
      </c>
      <c r="C425" s="159" t="s">
        <v>2628</v>
      </c>
      <c r="D425" s="161" t="s">
        <v>3017</v>
      </c>
      <c r="E425" s="30" t="s">
        <v>39</v>
      </c>
      <c r="F425" s="30" t="s">
        <v>50</v>
      </c>
      <c r="G425" s="31"/>
      <c r="H425" s="30" t="s">
        <v>47</v>
      </c>
      <c r="I425" s="31"/>
      <c r="J425" s="30" t="s">
        <v>47</v>
      </c>
    </row>
    <row r="426">
      <c r="A426" s="160">
        <v>779036.0</v>
      </c>
      <c r="B426" s="158">
        <v>43893.0</v>
      </c>
      <c r="C426" s="159" t="s">
        <v>2628</v>
      </c>
      <c r="D426" s="161" t="s">
        <v>3018</v>
      </c>
      <c r="E426" s="30" t="s">
        <v>39</v>
      </c>
      <c r="F426" s="30" t="s">
        <v>54</v>
      </c>
      <c r="G426" s="31"/>
      <c r="H426" s="30" t="s">
        <v>47</v>
      </c>
      <c r="I426" s="31"/>
      <c r="J426" s="30" t="s">
        <v>47</v>
      </c>
    </row>
    <row r="427">
      <c r="A427" s="160">
        <v>1170696.0</v>
      </c>
      <c r="B427" s="158">
        <v>43893.0</v>
      </c>
      <c r="C427" s="159" t="s">
        <v>2628</v>
      </c>
      <c r="D427" s="161" t="s">
        <v>3019</v>
      </c>
      <c r="E427" s="30" t="s">
        <v>39</v>
      </c>
      <c r="F427" s="30" t="s">
        <v>140</v>
      </c>
      <c r="G427" s="31">
        <v>1077838.0</v>
      </c>
      <c r="H427" s="30" t="s">
        <v>3020</v>
      </c>
      <c r="I427" s="31">
        <v>2402800.0</v>
      </c>
      <c r="J427" s="30" t="s">
        <v>3021</v>
      </c>
    </row>
    <row r="428">
      <c r="A428" s="160">
        <v>1310800.0</v>
      </c>
      <c r="B428" s="158">
        <v>43893.0</v>
      </c>
      <c r="C428" s="159" t="s">
        <v>2628</v>
      </c>
      <c r="D428" s="161" t="s">
        <v>3022</v>
      </c>
      <c r="E428" s="30" t="s">
        <v>39</v>
      </c>
      <c r="F428" s="30" t="s">
        <v>54</v>
      </c>
      <c r="G428" s="31">
        <v>922108.0</v>
      </c>
      <c r="H428" s="30" t="s">
        <v>3023</v>
      </c>
      <c r="I428" s="31">
        <v>1019810.0</v>
      </c>
      <c r="J428" s="30" t="s">
        <v>3024</v>
      </c>
    </row>
    <row r="429">
      <c r="A429" s="160">
        <v>1318976.0</v>
      </c>
      <c r="B429" s="158">
        <v>43893.0</v>
      </c>
      <c r="C429" s="159" t="s">
        <v>2628</v>
      </c>
      <c r="D429" s="161" t="s">
        <v>3025</v>
      </c>
      <c r="E429" s="30" t="s">
        <v>39</v>
      </c>
      <c r="F429" s="30" t="s">
        <v>140</v>
      </c>
      <c r="G429" s="31"/>
      <c r="H429" s="30" t="s">
        <v>47</v>
      </c>
      <c r="I429" s="31"/>
      <c r="J429" s="30" t="s">
        <v>47</v>
      </c>
    </row>
    <row r="430">
      <c r="A430" s="160">
        <v>1322544.0</v>
      </c>
      <c r="B430" s="158">
        <v>43893.0</v>
      </c>
      <c r="C430" s="159" t="s">
        <v>2628</v>
      </c>
      <c r="D430" s="161" t="s">
        <v>3026</v>
      </c>
      <c r="E430" s="30" t="s">
        <v>39</v>
      </c>
      <c r="F430" s="30" t="s">
        <v>54</v>
      </c>
      <c r="G430" s="31">
        <v>922108.0</v>
      </c>
      <c r="H430" s="30" t="s">
        <v>3023</v>
      </c>
      <c r="I430" s="31">
        <v>1019810.0</v>
      </c>
      <c r="J430" s="30" t="s">
        <v>3024</v>
      </c>
    </row>
    <row r="431">
      <c r="A431" s="160">
        <v>1349722.0</v>
      </c>
      <c r="B431" s="158">
        <v>43893.0</v>
      </c>
      <c r="C431" s="159" t="s">
        <v>2628</v>
      </c>
      <c r="D431" s="161" t="s">
        <v>3027</v>
      </c>
      <c r="E431" s="30" t="s">
        <v>39</v>
      </c>
      <c r="F431" s="30" t="s">
        <v>54</v>
      </c>
      <c r="G431" s="31">
        <v>1568690.0</v>
      </c>
      <c r="H431" s="30" t="s">
        <v>47</v>
      </c>
      <c r="I431" s="31"/>
      <c r="J431" s="30" t="s">
        <v>47</v>
      </c>
    </row>
    <row r="432">
      <c r="A432" s="160">
        <v>1572626.0</v>
      </c>
      <c r="B432" s="158">
        <v>43893.0</v>
      </c>
      <c r="C432" s="159" t="s">
        <v>2628</v>
      </c>
      <c r="D432" s="161" t="s">
        <v>3028</v>
      </c>
      <c r="E432" s="30" t="s">
        <v>39</v>
      </c>
      <c r="F432" s="30" t="s">
        <v>140</v>
      </c>
      <c r="G432" s="31"/>
      <c r="H432" s="30" t="s">
        <v>47</v>
      </c>
      <c r="I432" s="31"/>
      <c r="J432" s="30" t="s">
        <v>47</v>
      </c>
    </row>
    <row r="433">
      <c r="A433" s="160">
        <v>1182864.0</v>
      </c>
      <c r="B433" s="158">
        <v>43893.0</v>
      </c>
      <c r="C433" s="159" t="s">
        <v>2628</v>
      </c>
      <c r="D433" s="161" t="s">
        <v>287</v>
      </c>
      <c r="E433" s="30" t="s">
        <v>83</v>
      </c>
      <c r="F433" s="30" t="s">
        <v>153</v>
      </c>
      <c r="G433" s="31">
        <v>1258806.0</v>
      </c>
      <c r="H433" s="30" t="s">
        <v>47</v>
      </c>
      <c r="I433" s="31"/>
      <c r="J433" s="30" t="s">
        <v>47</v>
      </c>
    </row>
    <row r="434">
      <c r="A434" s="160">
        <v>716902.0</v>
      </c>
      <c r="B434" s="158">
        <v>43893.0</v>
      </c>
      <c r="C434" s="159" t="s">
        <v>2628</v>
      </c>
      <c r="D434" s="161" t="s">
        <v>3029</v>
      </c>
      <c r="E434" s="30" t="s">
        <v>122</v>
      </c>
      <c r="F434" s="30" t="s">
        <v>271</v>
      </c>
      <c r="G434" s="31"/>
      <c r="H434" s="30" t="s">
        <v>47</v>
      </c>
      <c r="I434" s="31"/>
      <c r="J434" s="30" t="s">
        <v>47</v>
      </c>
    </row>
    <row r="435">
      <c r="A435" s="160">
        <v>1612598.0</v>
      </c>
      <c r="B435" s="158">
        <v>43893.0</v>
      </c>
      <c r="C435" s="159" t="s">
        <v>2628</v>
      </c>
      <c r="D435" s="161" t="s">
        <v>3030</v>
      </c>
      <c r="E435" s="30" t="s">
        <v>219</v>
      </c>
      <c r="F435" s="30" t="s">
        <v>220</v>
      </c>
      <c r="G435" s="31"/>
      <c r="H435" s="30" t="s">
        <v>47</v>
      </c>
      <c r="I435" s="31"/>
      <c r="J435" s="30" t="s">
        <v>47</v>
      </c>
    </row>
    <row r="436">
      <c r="A436" s="160">
        <v>1201410.0</v>
      </c>
      <c r="B436" s="158">
        <v>43893.0</v>
      </c>
      <c r="C436" s="159" t="s">
        <v>2628</v>
      </c>
      <c r="D436" s="161" t="s">
        <v>3031</v>
      </c>
      <c r="E436" s="30" t="s">
        <v>189</v>
      </c>
      <c r="F436" s="30" t="s">
        <v>448</v>
      </c>
      <c r="G436" s="31">
        <v>692762.0</v>
      </c>
      <c r="H436" s="30" t="s">
        <v>47</v>
      </c>
      <c r="I436" s="31"/>
      <c r="J436" s="30" t="s">
        <v>47</v>
      </c>
    </row>
    <row r="437">
      <c r="A437" s="160">
        <v>1846232.0</v>
      </c>
      <c r="B437" s="158">
        <v>43893.0</v>
      </c>
      <c r="C437" s="159" t="s">
        <v>2628</v>
      </c>
      <c r="D437" s="161" t="s">
        <v>3032</v>
      </c>
      <c r="E437" s="30" t="s">
        <v>219</v>
      </c>
      <c r="F437" s="30" t="s">
        <v>220</v>
      </c>
      <c r="G437" s="31"/>
      <c r="H437" s="30" t="s">
        <v>47</v>
      </c>
      <c r="I437" s="31"/>
      <c r="J437" s="30" t="s">
        <v>47</v>
      </c>
    </row>
    <row r="438">
      <c r="A438" s="160">
        <v>1438834.0</v>
      </c>
      <c r="B438" s="158">
        <v>43892.0</v>
      </c>
      <c r="C438" s="159" t="s">
        <v>893</v>
      </c>
      <c r="D438" s="161" t="s">
        <v>3033</v>
      </c>
      <c r="E438" s="30" t="s">
        <v>45</v>
      </c>
      <c r="F438" s="30" t="s">
        <v>75</v>
      </c>
      <c r="G438" s="31">
        <v>889978.0</v>
      </c>
      <c r="H438" s="30" t="s">
        <v>47</v>
      </c>
      <c r="I438" s="31">
        <v>1016734.0</v>
      </c>
      <c r="J438" s="30" t="s">
        <v>3034</v>
      </c>
    </row>
    <row r="439">
      <c r="A439" s="160">
        <v>1438886.0</v>
      </c>
      <c r="B439" s="158">
        <v>43892.0</v>
      </c>
      <c r="C439" s="159" t="s">
        <v>893</v>
      </c>
      <c r="D439" s="161" t="s">
        <v>3035</v>
      </c>
      <c r="E439" s="30" t="s">
        <v>45</v>
      </c>
      <c r="F439" s="30" t="s">
        <v>75</v>
      </c>
      <c r="G439" s="31">
        <v>1016736.0</v>
      </c>
      <c r="H439" s="30" t="s">
        <v>3036</v>
      </c>
      <c r="I439" s="31"/>
      <c r="J439" s="30" t="s">
        <v>47</v>
      </c>
    </row>
    <row r="440">
      <c r="A440" s="160">
        <v>1059308.0</v>
      </c>
      <c r="B440" s="158">
        <v>43892.0</v>
      </c>
      <c r="C440" s="159" t="s">
        <v>893</v>
      </c>
      <c r="D440" s="161" t="s">
        <v>3037</v>
      </c>
      <c r="E440" s="30" t="s">
        <v>45</v>
      </c>
      <c r="F440" s="30" t="s">
        <v>75</v>
      </c>
      <c r="G440" s="31">
        <v>522258.0</v>
      </c>
      <c r="H440" s="30" t="s">
        <v>3038</v>
      </c>
      <c r="I440" s="31"/>
      <c r="J440" s="30" t="s">
        <v>47</v>
      </c>
    </row>
    <row r="441">
      <c r="A441" s="160">
        <v>1356380.0</v>
      </c>
      <c r="B441" s="158">
        <v>43892.0</v>
      </c>
      <c r="C441" s="159" t="s">
        <v>893</v>
      </c>
      <c r="D441" s="161" t="s">
        <v>3039</v>
      </c>
      <c r="E441" s="30" t="s">
        <v>45</v>
      </c>
      <c r="F441" s="30" t="s">
        <v>75</v>
      </c>
      <c r="G441" s="31">
        <v>1614078.0</v>
      </c>
      <c r="H441" s="30" t="s">
        <v>1481</v>
      </c>
      <c r="I441" s="31"/>
      <c r="J441" s="30" t="s">
        <v>47</v>
      </c>
    </row>
    <row r="442">
      <c r="A442" s="160">
        <v>10812.0</v>
      </c>
      <c r="B442" s="158">
        <v>43892.0</v>
      </c>
      <c r="C442" s="159" t="s">
        <v>893</v>
      </c>
      <c r="D442" s="161" t="s">
        <v>3040</v>
      </c>
      <c r="E442" s="30" t="s">
        <v>45</v>
      </c>
      <c r="F442" s="30" t="s">
        <v>75</v>
      </c>
      <c r="G442" s="31">
        <v>369742.0</v>
      </c>
      <c r="H442" s="30" t="s">
        <v>3041</v>
      </c>
      <c r="I442" s="31">
        <v>1203374.0</v>
      </c>
      <c r="J442" s="30" t="s">
        <v>3042</v>
      </c>
    </row>
    <row r="443">
      <c r="A443" s="160">
        <v>27970.0</v>
      </c>
      <c r="B443" s="158">
        <v>43892.0</v>
      </c>
      <c r="C443" s="159" t="s">
        <v>893</v>
      </c>
      <c r="D443" s="161" t="s">
        <v>3043</v>
      </c>
      <c r="E443" s="30" t="s">
        <v>45</v>
      </c>
      <c r="F443" s="30" t="s">
        <v>75</v>
      </c>
      <c r="G443" s="31">
        <v>522258.0</v>
      </c>
      <c r="H443" s="30" t="s">
        <v>3038</v>
      </c>
      <c r="I443" s="31"/>
      <c r="J443" s="30" t="s">
        <v>47</v>
      </c>
    </row>
    <row r="444">
      <c r="A444" s="160">
        <v>8420.0</v>
      </c>
      <c r="B444" s="158">
        <v>43892.0</v>
      </c>
      <c r="C444" s="159" t="s">
        <v>893</v>
      </c>
      <c r="D444" s="161" t="s">
        <v>3044</v>
      </c>
      <c r="E444" s="30" t="s">
        <v>45</v>
      </c>
      <c r="F444" s="30" t="s">
        <v>75</v>
      </c>
      <c r="G444" s="31">
        <v>461362.0</v>
      </c>
      <c r="H444" s="30" t="s">
        <v>47</v>
      </c>
      <c r="I444" s="31"/>
      <c r="J444" s="30" t="s">
        <v>47</v>
      </c>
    </row>
    <row r="445">
      <c r="A445" s="162">
        <v>16429.0</v>
      </c>
      <c r="B445" s="158">
        <v>43892.0</v>
      </c>
      <c r="C445" s="159" t="s">
        <v>893</v>
      </c>
      <c r="D445" s="161" t="s">
        <v>3045</v>
      </c>
      <c r="E445" s="30" t="s">
        <v>45</v>
      </c>
      <c r="F445" s="30" t="s">
        <v>75</v>
      </c>
      <c r="G445" s="31">
        <v>790516.0</v>
      </c>
      <c r="H445" s="30" t="s">
        <v>1558</v>
      </c>
      <c r="I445" s="31"/>
      <c r="J445" s="30" t="s">
        <v>47</v>
      </c>
    </row>
    <row r="446">
      <c r="A446" s="160">
        <v>9061.0</v>
      </c>
      <c r="B446" s="158">
        <v>43892.0</v>
      </c>
      <c r="C446" s="159" t="s">
        <v>893</v>
      </c>
      <c r="D446" s="161" t="s">
        <v>3046</v>
      </c>
      <c r="E446" s="30" t="s">
        <v>45</v>
      </c>
      <c r="F446" s="30" t="s">
        <v>75</v>
      </c>
      <c r="G446" s="31">
        <v>18573.0</v>
      </c>
      <c r="H446" s="30" t="s">
        <v>47</v>
      </c>
      <c r="I446" s="31"/>
      <c r="J446" s="30" t="s">
        <v>47</v>
      </c>
    </row>
    <row r="447">
      <c r="A447" s="162">
        <v>8746.0</v>
      </c>
      <c r="B447" s="158">
        <v>43892.0</v>
      </c>
      <c r="C447" s="159" t="s">
        <v>893</v>
      </c>
      <c r="D447" s="161" t="s">
        <v>3047</v>
      </c>
      <c r="E447" s="30" t="s">
        <v>45</v>
      </c>
      <c r="F447" s="30" t="s">
        <v>75</v>
      </c>
      <c r="G447" s="31">
        <v>315666.0</v>
      </c>
      <c r="H447" s="30" t="s">
        <v>47</v>
      </c>
      <c r="I447" s="31"/>
      <c r="J447" s="30" t="s">
        <v>47</v>
      </c>
    </row>
    <row r="448">
      <c r="A448" s="160">
        <v>8776.0</v>
      </c>
      <c r="B448" s="158">
        <v>43892.0</v>
      </c>
      <c r="C448" s="159" t="s">
        <v>893</v>
      </c>
      <c r="D448" s="161" t="s">
        <v>3048</v>
      </c>
      <c r="E448" s="30" t="s">
        <v>45</v>
      </c>
      <c r="F448" s="30" t="s">
        <v>75</v>
      </c>
      <c r="G448" s="31">
        <v>1715338.0</v>
      </c>
      <c r="H448" s="30" t="s">
        <v>47</v>
      </c>
      <c r="I448" s="31"/>
      <c r="J448" s="30" t="s">
        <v>47</v>
      </c>
    </row>
    <row r="449">
      <c r="A449" s="160">
        <v>412790.0</v>
      </c>
      <c r="B449" s="158">
        <v>43892.0</v>
      </c>
      <c r="C449" s="159" t="s">
        <v>893</v>
      </c>
      <c r="D449" s="161" t="s">
        <v>3049</v>
      </c>
      <c r="E449" s="30" t="s">
        <v>45</v>
      </c>
      <c r="F449" s="30" t="s">
        <v>75</v>
      </c>
      <c r="G449" s="31"/>
      <c r="H449" s="30" t="s">
        <v>47</v>
      </c>
      <c r="I449" s="31"/>
      <c r="J449" s="30" t="s">
        <v>47</v>
      </c>
    </row>
    <row r="450">
      <c r="A450" s="162">
        <v>869138.0</v>
      </c>
      <c r="B450" s="158">
        <v>43892.0</v>
      </c>
      <c r="C450" s="159" t="s">
        <v>893</v>
      </c>
      <c r="D450" s="161" t="s">
        <v>3050</v>
      </c>
      <c r="E450" s="30" t="s">
        <v>105</v>
      </c>
      <c r="F450" s="30" t="s">
        <v>198</v>
      </c>
      <c r="G450" s="31"/>
      <c r="H450" s="30" t="s">
        <v>47</v>
      </c>
      <c r="I450" s="31"/>
      <c r="J450" s="30" t="s">
        <v>47</v>
      </c>
    </row>
    <row r="451">
      <c r="A451" s="160">
        <v>1121676.0</v>
      </c>
      <c r="B451" s="158">
        <v>43892.0</v>
      </c>
      <c r="C451" s="159" t="s">
        <v>893</v>
      </c>
      <c r="D451" s="161" t="s">
        <v>3051</v>
      </c>
      <c r="E451" s="30" t="s">
        <v>105</v>
      </c>
      <c r="F451" s="30" t="s">
        <v>316</v>
      </c>
      <c r="G451" s="31"/>
      <c r="H451" s="30" t="s">
        <v>47</v>
      </c>
      <c r="I451" s="31"/>
      <c r="J451" s="30" t="s">
        <v>47</v>
      </c>
    </row>
    <row r="452">
      <c r="A452" s="160">
        <v>1420148.0</v>
      </c>
      <c r="B452" s="158">
        <v>43892.0</v>
      </c>
      <c r="C452" s="159" t="s">
        <v>893</v>
      </c>
      <c r="D452" s="161" t="s">
        <v>3052</v>
      </c>
      <c r="E452" s="30" t="s">
        <v>101</v>
      </c>
      <c r="F452" s="30" t="s">
        <v>203</v>
      </c>
      <c r="G452" s="31">
        <v>1241254.0</v>
      </c>
      <c r="H452" s="30" t="s">
        <v>3053</v>
      </c>
      <c r="I452" s="31"/>
      <c r="J452" s="30" t="s">
        <v>47</v>
      </c>
    </row>
    <row r="453">
      <c r="A453" s="160">
        <v>1263554.0</v>
      </c>
      <c r="B453" s="158">
        <v>43892.0</v>
      </c>
      <c r="C453" s="159" t="s">
        <v>893</v>
      </c>
      <c r="D453" s="161" t="s">
        <v>3054</v>
      </c>
      <c r="E453" s="30" t="s">
        <v>83</v>
      </c>
      <c r="F453" s="30" t="s">
        <v>153</v>
      </c>
      <c r="G453" s="31">
        <v>484606.0</v>
      </c>
      <c r="H453" s="30" t="s">
        <v>1855</v>
      </c>
      <c r="I453" s="31">
        <v>1580296.0</v>
      </c>
      <c r="J453" s="30" t="s">
        <v>1854</v>
      </c>
    </row>
    <row r="454">
      <c r="A454" s="160">
        <v>544634.0</v>
      </c>
      <c r="B454" s="158">
        <v>43892.0</v>
      </c>
      <c r="C454" s="159" t="s">
        <v>893</v>
      </c>
      <c r="D454" s="161" t="s">
        <v>3055</v>
      </c>
      <c r="E454" s="30" t="s">
        <v>2958</v>
      </c>
      <c r="F454" s="30" t="s">
        <v>145</v>
      </c>
      <c r="G454" s="31">
        <v>613808.0</v>
      </c>
      <c r="H454" s="30" t="s">
        <v>1591</v>
      </c>
      <c r="I454" s="31"/>
      <c r="J454" s="30" t="s">
        <v>47</v>
      </c>
    </row>
    <row r="455">
      <c r="A455" s="160">
        <v>490378.0</v>
      </c>
      <c r="B455" s="158">
        <v>43892.0</v>
      </c>
      <c r="C455" s="159" t="s">
        <v>893</v>
      </c>
      <c r="D455" s="161" t="s">
        <v>3056</v>
      </c>
      <c r="E455" s="30" t="s">
        <v>122</v>
      </c>
      <c r="F455" s="30" t="s">
        <v>538</v>
      </c>
      <c r="G455" s="31">
        <v>2050241.0</v>
      </c>
      <c r="H455" s="30" t="s">
        <v>3057</v>
      </c>
      <c r="I455" s="31"/>
      <c r="J455" s="30" t="s">
        <v>47</v>
      </c>
    </row>
    <row r="456">
      <c r="A456" s="162">
        <v>1464714.0</v>
      </c>
      <c r="B456" s="158">
        <v>43892.0</v>
      </c>
      <c r="C456" s="159" t="s">
        <v>893</v>
      </c>
      <c r="D456" s="161" t="s">
        <v>3058</v>
      </c>
      <c r="E456" s="30" t="s">
        <v>58</v>
      </c>
      <c r="F456" s="30" t="s">
        <v>59</v>
      </c>
      <c r="G456" s="31">
        <v>117490.0</v>
      </c>
      <c r="H456" s="30" t="s">
        <v>3059</v>
      </c>
      <c r="I456" s="31"/>
      <c r="J456" s="30" t="s">
        <v>47</v>
      </c>
    </row>
    <row r="457">
      <c r="A457" s="160">
        <v>891774.0</v>
      </c>
      <c r="B457" s="158">
        <v>43892.0</v>
      </c>
      <c r="C457" s="159" t="s">
        <v>893</v>
      </c>
      <c r="D457" s="161" t="s">
        <v>3060</v>
      </c>
      <c r="E457" s="30" t="s">
        <v>63</v>
      </c>
      <c r="F457" s="30" t="s">
        <v>258</v>
      </c>
      <c r="G457" s="31">
        <v>2039164.0</v>
      </c>
      <c r="H457" s="30" t="s">
        <v>47</v>
      </c>
      <c r="I457" s="31"/>
      <c r="J457" s="30" t="s">
        <v>47</v>
      </c>
    </row>
    <row r="458">
      <c r="A458" s="160">
        <v>817440.0</v>
      </c>
      <c r="B458" s="158">
        <v>43861.0</v>
      </c>
      <c r="C458" s="159" t="s">
        <v>893</v>
      </c>
      <c r="D458" s="161" t="s">
        <v>3061</v>
      </c>
      <c r="E458" s="30" t="s">
        <v>39</v>
      </c>
      <c r="F458" s="30" t="s">
        <v>50</v>
      </c>
      <c r="G458" s="31">
        <v>1488132.0</v>
      </c>
      <c r="H458" s="30" t="s">
        <v>1917</v>
      </c>
      <c r="I458" s="31"/>
      <c r="J458" s="30" t="s">
        <v>47</v>
      </c>
    </row>
    <row r="459">
      <c r="A459" s="160">
        <v>1734224.0</v>
      </c>
      <c r="B459" s="158">
        <v>43861.0</v>
      </c>
      <c r="C459" s="159" t="s">
        <v>2628</v>
      </c>
      <c r="D459" s="161" t="s">
        <v>3062</v>
      </c>
      <c r="E459" s="30" t="s">
        <v>45</v>
      </c>
      <c r="F459" s="30" t="s">
        <v>90</v>
      </c>
      <c r="G459" s="31"/>
      <c r="H459" s="30" t="s">
        <v>47</v>
      </c>
      <c r="I459" s="31"/>
      <c r="J459" s="30" t="s">
        <v>47</v>
      </c>
    </row>
    <row r="460">
      <c r="A460" s="160">
        <v>1536116.0</v>
      </c>
      <c r="B460" s="158">
        <v>43861.0</v>
      </c>
      <c r="C460" s="159" t="s">
        <v>893</v>
      </c>
      <c r="D460" s="161" t="s">
        <v>3063</v>
      </c>
      <c r="E460" s="30" t="s">
        <v>58</v>
      </c>
      <c r="F460" s="30" t="s">
        <v>234</v>
      </c>
      <c r="G460" s="31">
        <v>329346.0</v>
      </c>
      <c r="H460" s="30" t="s">
        <v>1231</v>
      </c>
      <c r="I460" s="31"/>
      <c r="J460" s="30" t="s">
        <v>47</v>
      </c>
    </row>
    <row r="461">
      <c r="A461" s="160">
        <v>448836.0</v>
      </c>
      <c r="B461" s="158">
        <v>43861.0</v>
      </c>
      <c r="C461" s="159" t="s">
        <v>893</v>
      </c>
      <c r="D461" s="161" t="s">
        <v>3064</v>
      </c>
      <c r="E461" s="30" t="s">
        <v>189</v>
      </c>
      <c r="F461" s="30" t="s">
        <v>190</v>
      </c>
      <c r="G461" s="31">
        <v>739942.0</v>
      </c>
      <c r="H461" s="30" t="s">
        <v>2905</v>
      </c>
      <c r="I461" s="31"/>
      <c r="J461" s="30" t="s">
        <v>47</v>
      </c>
    </row>
    <row r="462">
      <c r="A462" s="160">
        <v>46682.0</v>
      </c>
      <c r="B462" s="158">
        <v>43861.0</v>
      </c>
      <c r="C462" s="159" t="s">
        <v>893</v>
      </c>
      <c r="D462" s="161" t="s">
        <v>3065</v>
      </c>
      <c r="E462" s="30" t="s">
        <v>189</v>
      </c>
      <c r="F462" s="30" t="s">
        <v>190</v>
      </c>
      <c r="G462" s="31">
        <v>793796.0</v>
      </c>
      <c r="H462" s="30" t="s">
        <v>863</v>
      </c>
      <c r="I462" s="31"/>
      <c r="J462" s="30" t="s">
        <v>47</v>
      </c>
    </row>
    <row r="463">
      <c r="A463" s="160">
        <v>1231406.0</v>
      </c>
      <c r="B463" s="158">
        <v>43861.0</v>
      </c>
      <c r="C463" s="159" t="s">
        <v>893</v>
      </c>
      <c r="D463" s="161" t="s">
        <v>3066</v>
      </c>
      <c r="E463" s="30" t="s">
        <v>63</v>
      </c>
      <c r="F463" s="30" t="s">
        <v>256</v>
      </c>
      <c r="G463" s="31">
        <v>1248588.0</v>
      </c>
      <c r="H463" s="30" t="s">
        <v>47</v>
      </c>
      <c r="I463" s="31"/>
      <c r="J463" s="30" t="s">
        <v>47</v>
      </c>
    </row>
    <row r="464">
      <c r="A464" s="20">
        <v>1525190.0</v>
      </c>
      <c r="B464" s="158">
        <v>43861.0</v>
      </c>
      <c r="C464" s="159" t="s">
        <v>893</v>
      </c>
      <c r="D464" s="161" t="s">
        <v>3067</v>
      </c>
      <c r="E464" s="30" t="s">
        <v>45</v>
      </c>
      <c r="F464" s="30" t="s">
        <v>172</v>
      </c>
      <c r="G464" s="31"/>
      <c r="H464" s="30" t="s">
        <v>47</v>
      </c>
      <c r="I464" s="31"/>
      <c r="J464" s="30" t="s">
        <v>47</v>
      </c>
    </row>
    <row r="465">
      <c r="A465" s="20">
        <v>1318774.0</v>
      </c>
      <c r="B465" s="158">
        <v>43861.0</v>
      </c>
      <c r="C465" s="159" t="s">
        <v>893</v>
      </c>
      <c r="D465" s="161" t="s">
        <v>3068</v>
      </c>
      <c r="E465" s="30" t="s">
        <v>2958</v>
      </c>
      <c r="F465" s="30" t="s">
        <v>467</v>
      </c>
      <c r="G465" s="31"/>
      <c r="H465" s="30" t="s">
        <v>47</v>
      </c>
      <c r="I465" s="31"/>
      <c r="J465" s="30" t="s">
        <v>47</v>
      </c>
    </row>
    <row r="466">
      <c r="A466" s="20">
        <v>1836230.0</v>
      </c>
      <c r="B466" s="158">
        <v>43861.0</v>
      </c>
      <c r="C466" s="159" t="s">
        <v>893</v>
      </c>
      <c r="D466" s="161" t="s">
        <v>3069</v>
      </c>
      <c r="E466" s="30" t="s">
        <v>45</v>
      </c>
      <c r="F466" s="30" t="s">
        <v>172</v>
      </c>
      <c r="G466" s="31">
        <v>924090.0</v>
      </c>
      <c r="H466" s="30" t="s">
        <v>3070</v>
      </c>
      <c r="I466" s="31"/>
      <c r="J466" s="30" t="s">
        <v>47</v>
      </c>
    </row>
    <row r="467">
      <c r="A467" s="20">
        <v>640944.0</v>
      </c>
      <c r="B467" s="158">
        <v>43861.0</v>
      </c>
      <c r="C467" s="159" t="s">
        <v>893</v>
      </c>
      <c r="D467" s="161" t="s">
        <v>3071</v>
      </c>
      <c r="E467" s="30" t="s">
        <v>219</v>
      </c>
      <c r="F467" s="30" t="s">
        <v>975</v>
      </c>
      <c r="G467" s="31"/>
      <c r="H467" s="30" t="s">
        <v>47</v>
      </c>
      <c r="I467" s="31"/>
      <c r="J467" s="30" t="s">
        <v>47</v>
      </c>
    </row>
    <row r="468">
      <c r="A468" s="20">
        <v>1456124.0</v>
      </c>
      <c r="B468" s="158">
        <v>43861.0</v>
      </c>
      <c r="C468" s="159" t="s">
        <v>893</v>
      </c>
      <c r="D468" s="161" t="s">
        <v>3072</v>
      </c>
      <c r="E468" s="30" t="s">
        <v>39</v>
      </c>
      <c r="F468" s="30" t="s">
        <v>140</v>
      </c>
      <c r="G468" s="31"/>
      <c r="H468" s="30" t="s">
        <v>47</v>
      </c>
      <c r="I468" s="31"/>
      <c r="J468" s="30" t="s">
        <v>47</v>
      </c>
    </row>
    <row r="469">
      <c r="A469" s="20">
        <v>2123564.0</v>
      </c>
      <c r="B469" s="158">
        <v>43861.0</v>
      </c>
      <c r="C469" s="159" t="s">
        <v>893</v>
      </c>
      <c r="D469" s="161" t="s">
        <v>3073</v>
      </c>
      <c r="E469" s="30" t="s">
        <v>101</v>
      </c>
      <c r="F469" s="30" t="s">
        <v>754</v>
      </c>
      <c r="G469" s="31"/>
      <c r="H469" s="30" t="s">
        <v>47</v>
      </c>
      <c r="I469" s="31"/>
      <c r="J469" s="30" t="s">
        <v>47</v>
      </c>
    </row>
    <row r="470">
      <c r="A470" s="20">
        <v>1485842.0</v>
      </c>
      <c r="B470" s="158">
        <v>43861.0</v>
      </c>
      <c r="C470" s="159" t="s">
        <v>893</v>
      </c>
      <c r="D470" s="161" t="s">
        <v>3074</v>
      </c>
      <c r="E470" s="30" t="s">
        <v>39</v>
      </c>
      <c r="F470" s="30" t="s">
        <v>40</v>
      </c>
      <c r="G470" s="31">
        <v>1343662.0</v>
      </c>
      <c r="H470" s="30" t="s">
        <v>2950</v>
      </c>
      <c r="I470" s="31"/>
      <c r="J470" s="30" t="s">
        <v>47</v>
      </c>
    </row>
    <row r="471">
      <c r="A471" s="20">
        <v>636112.0</v>
      </c>
      <c r="B471" s="158">
        <v>43861.0</v>
      </c>
      <c r="C471" s="159" t="s">
        <v>893</v>
      </c>
      <c r="D471" s="161" t="s">
        <v>3075</v>
      </c>
      <c r="E471" s="30" t="s">
        <v>105</v>
      </c>
      <c r="F471" s="30" t="s">
        <v>106</v>
      </c>
      <c r="G471" s="31">
        <v>927360.0</v>
      </c>
      <c r="H471" s="30" t="s">
        <v>3076</v>
      </c>
      <c r="I471" s="31"/>
      <c r="J471" s="30" t="s">
        <v>47</v>
      </c>
    </row>
    <row r="472">
      <c r="A472" s="20">
        <v>402684.0</v>
      </c>
      <c r="B472" s="158">
        <v>43861.0</v>
      </c>
      <c r="C472" s="159" t="s">
        <v>893</v>
      </c>
      <c r="D472" s="161" t="s">
        <v>3077</v>
      </c>
      <c r="E472" s="30" t="s">
        <v>219</v>
      </c>
      <c r="F472" s="30" t="s">
        <v>220</v>
      </c>
      <c r="G472" s="31">
        <v>563478.0</v>
      </c>
      <c r="H472" s="30" t="s">
        <v>1445</v>
      </c>
      <c r="I472" s="31"/>
      <c r="J472" s="30" t="s">
        <v>47</v>
      </c>
    </row>
    <row r="473">
      <c r="A473" s="20">
        <v>400440.0</v>
      </c>
      <c r="B473" s="158">
        <v>43861.0</v>
      </c>
      <c r="C473" s="159" t="s">
        <v>893</v>
      </c>
      <c r="D473" s="161" t="s">
        <v>3078</v>
      </c>
      <c r="E473" s="30" t="s">
        <v>189</v>
      </c>
      <c r="F473" s="30" t="s">
        <v>448</v>
      </c>
      <c r="G473" s="31">
        <v>565120.0</v>
      </c>
      <c r="H473" s="30" t="s">
        <v>1154</v>
      </c>
      <c r="I473" s="31"/>
      <c r="J473" s="30" t="s">
        <v>47</v>
      </c>
    </row>
    <row r="474">
      <c r="A474" s="20">
        <v>808378.0</v>
      </c>
      <c r="B474" s="158">
        <v>43861.0</v>
      </c>
      <c r="C474" s="159" t="s">
        <v>893</v>
      </c>
      <c r="D474" s="161" t="s">
        <v>3079</v>
      </c>
      <c r="E474" s="30" t="s">
        <v>2958</v>
      </c>
      <c r="F474" s="30" t="s">
        <v>339</v>
      </c>
      <c r="G474" s="31">
        <v>697346.0</v>
      </c>
      <c r="H474" s="30" t="s">
        <v>3080</v>
      </c>
      <c r="I474" s="31"/>
      <c r="J474" s="30" t="s">
        <v>47</v>
      </c>
    </row>
    <row r="475">
      <c r="A475" s="20">
        <v>835824.0</v>
      </c>
      <c r="B475" s="158">
        <v>43861.0</v>
      </c>
      <c r="C475" s="159" t="s">
        <v>893</v>
      </c>
      <c r="D475" s="161" t="s">
        <v>3081</v>
      </c>
      <c r="E475" s="30" t="s">
        <v>45</v>
      </c>
      <c r="F475" s="30" t="s">
        <v>172</v>
      </c>
      <c r="G475" s="31">
        <v>1662906.0</v>
      </c>
      <c r="H475" s="30" t="s">
        <v>2534</v>
      </c>
      <c r="I475" s="31"/>
      <c r="J475" s="30" t="s">
        <v>47</v>
      </c>
    </row>
    <row r="476">
      <c r="A476" s="20">
        <v>893698.0</v>
      </c>
      <c r="B476" s="158">
        <v>43861.0</v>
      </c>
      <c r="C476" s="159" t="s">
        <v>893</v>
      </c>
      <c r="D476" s="161" t="s">
        <v>3082</v>
      </c>
      <c r="E476" s="30" t="s">
        <v>189</v>
      </c>
      <c r="F476" s="30" t="s">
        <v>448</v>
      </c>
      <c r="G476" s="31">
        <v>113316.0</v>
      </c>
      <c r="H476" s="30" t="s">
        <v>3083</v>
      </c>
      <c r="I476" s="31"/>
      <c r="J476" s="30" t="s">
        <v>47</v>
      </c>
    </row>
    <row r="477">
      <c r="A477" s="20">
        <v>1347016.0</v>
      </c>
      <c r="B477" s="158">
        <v>43861.0</v>
      </c>
      <c r="C477" s="159" t="s">
        <v>893</v>
      </c>
      <c r="D477" s="161" t="s">
        <v>3084</v>
      </c>
      <c r="E477" s="30" t="s">
        <v>2958</v>
      </c>
      <c r="F477" s="30" t="s">
        <v>339</v>
      </c>
      <c r="G477" s="31">
        <v>166240.0</v>
      </c>
      <c r="H477" s="30" t="s">
        <v>3085</v>
      </c>
      <c r="I477" s="31"/>
      <c r="J477" s="30" t="s">
        <v>47</v>
      </c>
    </row>
    <row r="478">
      <c r="A478" s="20">
        <v>1279140.0</v>
      </c>
      <c r="B478" s="158">
        <v>43861.0</v>
      </c>
      <c r="C478" s="159" t="s">
        <v>893</v>
      </c>
      <c r="D478" s="161" t="s">
        <v>3086</v>
      </c>
      <c r="E478" s="30" t="s">
        <v>122</v>
      </c>
      <c r="F478" s="30" t="s">
        <v>271</v>
      </c>
      <c r="G478" s="31">
        <v>1379522.0</v>
      </c>
      <c r="H478" s="30" t="s">
        <v>874</v>
      </c>
      <c r="I478" s="31"/>
      <c r="J478" s="30" t="s">
        <v>47</v>
      </c>
    </row>
    <row r="479">
      <c r="A479" s="20">
        <v>50421.0</v>
      </c>
      <c r="B479" s="158">
        <v>43861.0</v>
      </c>
      <c r="C479" s="159" t="s">
        <v>893</v>
      </c>
      <c r="D479" s="161" t="s">
        <v>3087</v>
      </c>
      <c r="E479" s="30" t="s">
        <v>189</v>
      </c>
      <c r="F479" s="30" t="s">
        <v>337</v>
      </c>
      <c r="G479" s="31"/>
      <c r="H479" s="30" t="s">
        <v>47</v>
      </c>
      <c r="I479" s="31"/>
      <c r="J479" s="30" t="s">
        <v>47</v>
      </c>
    </row>
    <row r="480">
      <c r="A480" s="20">
        <v>2123112.0</v>
      </c>
      <c r="B480" s="158">
        <v>43861.0</v>
      </c>
      <c r="C480" s="159" t="s">
        <v>893</v>
      </c>
      <c r="D480" s="161" t="s">
        <v>3088</v>
      </c>
      <c r="E480" s="30" t="s">
        <v>45</v>
      </c>
      <c r="F480" s="30" t="s">
        <v>75</v>
      </c>
      <c r="G480" s="31">
        <v>1704776.0</v>
      </c>
      <c r="H480" s="30" t="s">
        <v>3089</v>
      </c>
      <c r="I480" s="31"/>
      <c r="J480" s="30" t="s">
        <v>47</v>
      </c>
    </row>
    <row r="481">
      <c r="A481" s="20">
        <v>1185024.0</v>
      </c>
      <c r="B481" s="158">
        <v>43861.0</v>
      </c>
      <c r="C481" s="159" t="s">
        <v>893</v>
      </c>
      <c r="D481" s="161" t="s">
        <v>3090</v>
      </c>
      <c r="E481" s="30" t="s">
        <v>122</v>
      </c>
      <c r="F481" s="30" t="s">
        <v>271</v>
      </c>
      <c r="G481" s="31">
        <v>1279140.0</v>
      </c>
      <c r="H481" s="30" t="s">
        <v>47</v>
      </c>
      <c r="I481" s="31">
        <v>1379522.0</v>
      </c>
      <c r="J481" s="30" t="s">
        <v>874</v>
      </c>
    </row>
    <row r="482">
      <c r="A482" s="20">
        <v>1264366.0</v>
      </c>
      <c r="B482" s="158">
        <v>43861.0</v>
      </c>
      <c r="C482" s="159" t="s">
        <v>893</v>
      </c>
      <c r="D482" s="161" t="s">
        <v>3091</v>
      </c>
      <c r="E482" s="30" t="s">
        <v>39</v>
      </c>
      <c r="F482" s="30" t="s">
        <v>54</v>
      </c>
      <c r="G482" s="31">
        <v>491274.0</v>
      </c>
      <c r="H482" s="30" t="s">
        <v>3092</v>
      </c>
      <c r="I482" s="31"/>
      <c r="J482" s="30" t="s">
        <v>47</v>
      </c>
    </row>
    <row r="483">
      <c r="A483" s="20">
        <v>785388.0</v>
      </c>
      <c r="B483" s="158">
        <v>43861.0</v>
      </c>
      <c r="C483" s="159" t="s">
        <v>893</v>
      </c>
      <c r="D483" s="161" t="s">
        <v>3093</v>
      </c>
      <c r="E483" s="30" t="s">
        <v>101</v>
      </c>
      <c r="F483" s="30" t="s">
        <v>203</v>
      </c>
      <c r="G483" s="31"/>
      <c r="H483" s="30" t="s">
        <v>47</v>
      </c>
      <c r="I483" s="31"/>
      <c r="J483" s="30" t="s">
        <v>47</v>
      </c>
    </row>
    <row r="484">
      <c r="A484" s="20">
        <v>1066218.0</v>
      </c>
      <c r="B484" s="158">
        <v>43861.0</v>
      </c>
      <c r="C484" s="159" t="s">
        <v>893</v>
      </c>
      <c r="D484" s="161" t="s">
        <v>3094</v>
      </c>
      <c r="E484" s="30" t="s">
        <v>189</v>
      </c>
      <c r="F484" s="30" t="s">
        <v>337</v>
      </c>
      <c r="G484" s="31"/>
      <c r="H484" s="30" t="s">
        <v>47</v>
      </c>
      <c r="I484" s="31"/>
      <c r="J484" s="30" t="s">
        <v>47</v>
      </c>
    </row>
    <row r="485">
      <c r="A485" s="20">
        <v>986716.0</v>
      </c>
      <c r="B485" s="158">
        <v>43861.0</v>
      </c>
      <c r="C485" s="159" t="s">
        <v>893</v>
      </c>
      <c r="D485" s="161" t="s">
        <v>3095</v>
      </c>
      <c r="E485" s="30" t="s">
        <v>101</v>
      </c>
      <c r="F485" s="30" t="s">
        <v>203</v>
      </c>
      <c r="G485" s="31"/>
      <c r="H485" s="30" t="s">
        <v>47</v>
      </c>
      <c r="I485" s="31"/>
      <c r="J485" s="30" t="s">
        <v>47</v>
      </c>
    </row>
    <row r="486">
      <c r="A486" s="20">
        <v>897834.0</v>
      </c>
      <c r="B486" s="158">
        <v>43861.0</v>
      </c>
      <c r="C486" s="159" t="s">
        <v>893</v>
      </c>
      <c r="D486" s="161" t="s">
        <v>3096</v>
      </c>
      <c r="E486" s="30" t="s">
        <v>45</v>
      </c>
      <c r="F486" s="30" t="s">
        <v>172</v>
      </c>
      <c r="G486" s="31"/>
      <c r="H486" s="30" t="s">
        <v>47</v>
      </c>
      <c r="I486" s="31"/>
      <c r="J486" s="30" t="s">
        <v>47</v>
      </c>
    </row>
    <row r="487">
      <c r="A487" s="20">
        <v>965044.0</v>
      </c>
      <c r="B487" s="158">
        <v>43861.0</v>
      </c>
      <c r="C487" s="159" t="s">
        <v>893</v>
      </c>
      <c r="D487" s="161" t="s">
        <v>3097</v>
      </c>
      <c r="E487" s="30" t="s">
        <v>2958</v>
      </c>
      <c r="F487" s="30" t="s">
        <v>467</v>
      </c>
      <c r="G487" s="31">
        <v>909996.0</v>
      </c>
      <c r="H487" s="30" t="s">
        <v>3098</v>
      </c>
      <c r="I487" s="31">
        <v>911024.0</v>
      </c>
      <c r="J487" s="30" t="s">
        <v>3099</v>
      </c>
    </row>
    <row r="488">
      <c r="A488" s="20">
        <v>899680.0</v>
      </c>
      <c r="B488" s="158">
        <v>43861.0</v>
      </c>
      <c r="C488" s="159" t="s">
        <v>893</v>
      </c>
      <c r="D488" s="161" t="s">
        <v>3100</v>
      </c>
      <c r="E488" s="30" t="s">
        <v>2958</v>
      </c>
      <c r="F488" s="30" t="s">
        <v>467</v>
      </c>
      <c r="G488" s="31">
        <v>491274.0</v>
      </c>
      <c r="H488" s="30" t="s">
        <v>3092</v>
      </c>
      <c r="I488" s="31"/>
      <c r="J488" s="30" t="s">
        <v>47</v>
      </c>
    </row>
    <row r="489">
      <c r="A489" s="20">
        <v>896798.0</v>
      </c>
      <c r="B489" s="158">
        <v>43861.0</v>
      </c>
      <c r="C489" s="159" t="s">
        <v>893</v>
      </c>
      <c r="D489" s="161" t="s">
        <v>3101</v>
      </c>
      <c r="E489" s="30" t="s">
        <v>189</v>
      </c>
      <c r="F489" s="30" t="s">
        <v>337</v>
      </c>
      <c r="G489" s="31"/>
      <c r="H489" s="30" t="s">
        <v>47</v>
      </c>
      <c r="I489" s="31"/>
      <c r="J489" s="30" t="s">
        <v>47</v>
      </c>
    </row>
    <row r="490">
      <c r="A490" s="20">
        <v>2206170.0</v>
      </c>
      <c r="B490" s="158">
        <v>43861.0</v>
      </c>
      <c r="C490" s="159" t="s">
        <v>893</v>
      </c>
      <c r="D490" s="161" t="s">
        <v>3102</v>
      </c>
      <c r="E490" s="30" t="s">
        <v>45</v>
      </c>
      <c r="F490" s="30" t="s">
        <v>75</v>
      </c>
      <c r="G490" s="31">
        <v>1704776.0</v>
      </c>
      <c r="H490" s="30" t="s">
        <v>3089</v>
      </c>
      <c r="I490" s="31"/>
      <c r="J490" s="30" t="s">
        <v>47</v>
      </c>
    </row>
    <row r="491">
      <c r="A491" s="20">
        <v>1347022.0</v>
      </c>
      <c r="B491" s="158">
        <v>43861.0</v>
      </c>
      <c r="C491" s="159" t="s">
        <v>893</v>
      </c>
      <c r="D491" s="161" t="s">
        <v>3103</v>
      </c>
      <c r="E491" s="30" t="s">
        <v>122</v>
      </c>
      <c r="F491" s="30" t="s">
        <v>123</v>
      </c>
      <c r="G491" s="31">
        <v>1211916.0</v>
      </c>
      <c r="H491" s="30" t="s">
        <v>1847</v>
      </c>
      <c r="I491" s="31"/>
      <c r="J491" s="30" t="s">
        <v>47</v>
      </c>
    </row>
    <row r="492">
      <c r="A492" s="20">
        <v>890496.0</v>
      </c>
      <c r="B492" s="158">
        <v>43861.0</v>
      </c>
      <c r="C492" s="159" t="s">
        <v>893</v>
      </c>
      <c r="D492" s="161" t="s">
        <v>3104</v>
      </c>
      <c r="E492" s="30" t="s">
        <v>45</v>
      </c>
      <c r="F492" s="30" t="s">
        <v>324</v>
      </c>
      <c r="G492" s="31">
        <v>99750.0</v>
      </c>
      <c r="H492" s="30" t="s">
        <v>3105</v>
      </c>
      <c r="I492" s="31"/>
      <c r="J492" s="30" t="s">
        <v>47</v>
      </c>
    </row>
    <row r="493">
      <c r="A493" s="20">
        <v>1714532.0</v>
      </c>
      <c r="B493" s="158">
        <v>43861.0</v>
      </c>
      <c r="C493" s="159" t="s">
        <v>893</v>
      </c>
      <c r="D493" s="161" t="s">
        <v>3106</v>
      </c>
      <c r="E493" s="30" t="s">
        <v>45</v>
      </c>
      <c r="F493" s="30" t="s">
        <v>75</v>
      </c>
      <c r="G493" s="31">
        <v>2022160.0</v>
      </c>
      <c r="H493" s="30" t="s">
        <v>47</v>
      </c>
      <c r="I493" s="31"/>
      <c r="J493" s="30" t="s">
        <v>47</v>
      </c>
    </row>
    <row r="494">
      <c r="A494" s="20">
        <v>317408.0</v>
      </c>
      <c r="B494" s="158">
        <v>43861.0</v>
      </c>
      <c r="C494" s="159" t="s">
        <v>893</v>
      </c>
      <c r="D494" s="161" t="s">
        <v>3107</v>
      </c>
      <c r="E494" s="30" t="s">
        <v>189</v>
      </c>
      <c r="F494" s="30" t="s">
        <v>190</v>
      </c>
      <c r="G494" s="31">
        <v>1916470.0</v>
      </c>
      <c r="H494" s="30" t="s">
        <v>3108</v>
      </c>
      <c r="I494" s="31">
        <v>295503.0</v>
      </c>
      <c r="J494" s="30" t="s">
        <v>3109</v>
      </c>
    </row>
    <row r="495">
      <c r="A495" s="20">
        <v>893696.0</v>
      </c>
      <c r="B495" s="158">
        <v>43861.0</v>
      </c>
      <c r="C495" s="159" t="s">
        <v>893</v>
      </c>
      <c r="D495" s="161" t="s">
        <v>3110</v>
      </c>
      <c r="E495" s="30" t="s">
        <v>189</v>
      </c>
      <c r="F495" s="30" t="s">
        <v>448</v>
      </c>
      <c r="G495" s="31">
        <v>384496.0</v>
      </c>
      <c r="H495" s="30" t="s">
        <v>2156</v>
      </c>
      <c r="I495" s="31"/>
      <c r="J495" s="30" t="s">
        <v>47</v>
      </c>
    </row>
    <row r="496">
      <c r="A496" s="20">
        <v>994160.0</v>
      </c>
      <c r="B496" s="158">
        <v>43861.0</v>
      </c>
      <c r="C496" s="159" t="s">
        <v>893</v>
      </c>
      <c r="D496" s="161" t="s">
        <v>3111</v>
      </c>
      <c r="E496" s="30" t="s">
        <v>45</v>
      </c>
      <c r="F496" s="30" t="s">
        <v>172</v>
      </c>
      <c r="G496" s="31"/>
      <c r="H496" s="30" t="s">
        <v>47</v>
      </c>
      <c r="I496" s="31"/>
      <c r="J496" s="30" t="s">
        <v>47</v>
      </c>
    </row>
    <row r="497">
      <c r="A497" s="20">
        <v>2102492.0</v>
      </c>
      <c r="B497" s="158">
        <v>43861.0</v>
      </c>
      <c r="C497" s="159" t="s">
        <v>893</v>
      </c>
      <c r="D497" s="161" t="s">
        <v>3112</v>
      </c>
      <c r="E497" s="30" t="s">
        <v>45</v>
      </c>
      <c r="F497" s="30" t="s">
        <v>75</v>
      </c>
      <c r="G497" s="31">
        <v>1704776.0</v>
      </c>
      <c r="H497" s="30" t="s">
        <v>3089</v>
      </c>
      <c r="I497" s="31"/>
      <c r="J497" s="30" t="s">
        <v>47</v>
      </c>
    </row>
    <row r="498">
      <c r="A498" s="20">
        <v>943116.0</v>
      </c>
      <c r="B498" s="158">
        <v>43861.0</v>
      </c>
      <c r="C498" s="159" t="s">
        <v>893</v>
      </c>
      <c r="D498" s="161" t="s">
        <v>3113</v>
      </c>
      <c r="E498" s="30" t="s">
        <v>189</v>
      </c>
      <c r="F498" s="30" t="s">
        <v>300</v>
      </c>
      <c r="G498" s="31">
        <v>435078.0</v>
      </c>
      <c r="H498" s="30" t="s">
        <v>3114</v>
      </c>
      <c r="I498" s="31"/>
      <c r="J498" s="30" t="s">
        <v>47</v>
      </c>
    </row>
    <row r="499">
      <c r="A499" s="20">
        <v>890864.0</v>
      </c>
      <c r="B499" s="158">
        <v>43861.0</v>
      </c>
      <c r="C499" s="159" t="s">
        <v>893</v>
      </c>
      <c r="D499" s="161" t="s">
        <v>3115</v>
      </c>
      <c r="E499" s="30" t="s">
        <v>189</v>
      </c>
      <c r="F499" s="30" t="s">
        <v>190</v>
      </c>
      <c r="G499" s="31">
        <v>793796.0</v>
      </c>
      <c r="H499" s="30" t="s">
        <v>863</v>
      </c>
      <c r="I499" s="31"/>
      <c r="J499" s="30" t="s">
        <v>47</v>
      </c>
    </row>
    <row r="500">
      <c r="A500" s="20">
        <v>51295.0</v>
      </c>
      <c r="B500" s="158">
        <v>43861.0</v>
      </c>
      <c r="C500" s="159" t="s">
        <v>893</v>
      </c>
      <c r="D500" s="161" t="s">
        <v>3116</v>
      </c>
      <c r="E500" s="30" t="s">
        <v>189</v>
      </c>
      <c r="F500" s="30" t="s">
        <v>448</v>
      </c>
      <c r="G500" s="31"/>
      <c r="H500" s="30" t="s">
        <v>47</v>
      </c>
      <c r="I500" s="31"/>
      <c r="J500" s="30" t="s">
        <v>47</v>
      </c>
    </row>
    <row r="501">
      <c r="A501" s="20">
        <v>1355906.0</v>
      </c>
      <c r="B501" s="158">
        <v>43861.0</v>
      </c>
      <c r="C501" s="159" t="s">
        <v>893</v>
      </c>
      <c r="D501" s="161" t="s">
        <v>3117</v>
      </c>
      <c r="E501" s="30" t="s">
        <v>2958</v>
      </c>
      <c r="F501" s="30" t="s">
        <v>467</v>
      </c>
      <c r="G501" s="31">
        <v>1210442.0</v>
      </c>
      <c r="H501" s="30" t="s">
        <v>3118</v>
      </c>
      <c r="I501" s="31"/>
      <c r="J501" s="30" t="s">
        <v>47</v>
      </c>
    </row>
    <row r="502">
      <c r="A502" s="20">
        <v>1420984.0</v>
      </c>
      <c r="B502" s="158">
        <v>43861.0</v>
      </c>
      <c r="C502" s="159" t="s">
        <v>2628</v>
      </c>
      <c r="D502" s="161" t="s">
        <v>3119</v>
      </c>
      <c r="E502" s="30" t="s">
        <v>189</v>
      </c>
      <c r="F502" s="30" t="s">
        <v>448</v>
      </c>
      <c r="G502" s="31">
        <v>2288577.0</v>
      </c>
      <c r="H502" s="30" t="s">
        <v>2231</v>
      </c>
      <c r="I502" s="31"/>
      <c r="J502" s="30" t="s">
        <v>47</v>
      </c>
    </row>
    <row r="503">
      <c r="A503" s="20">
        <v>2228886.0</v>
      </c>
      <c r="B503" s="158">
        <v>43861.0</v>
      </c>
      <c r="C503" s="159" t="s">
        <v>2628</v>
      </c>
      <c r="D503" s="161" t="s">
        <v>3120</v>
      </c>
      <c r="E503" s="30" t="s">
        <v>189</v>
      </c>
      <c r="F503" s="30" t="s">
        <v>300</v>
      </c>
      <c r="G503" s="31"/>
      <c r="H503" s="30" t="s">
        <v>47</v>
      </c>
      <c r="I503" s="31"/>
      <c r="J503" s="30" t="s">
        <v>47</v>
      </c>
    </row>
    <row r="504">
      <c r="A504" s="20">
        <v>937764.0</v>
      </c>
      <c r="B504" s="158">
        <v>43861.0</v>
      </c>
      <c r="C504" s="159" t="s">
        <v>893</v>
      </c>
      <c r="D504" s="161" t="s">
        <v>3121</v>
      </c>
      <c r="E504" s="30" t="s">
        <v>189</v>
      </c>
      <c r="F504" s="30" t="s">
        <v>448</v>
      </c>
      <c r="G504" s="31">
        <v>157542.0</v>
      </c>
      <c r="H504" s="30" t="s">
        <v>47</v>
      </c>
      <c r="I504" s="31"/>
      <c r="J504" s="30" t="s">
        <v>47</v>
      </c>
    </row>
    <row r="505">
      <c r="A505" s="20">
        <v>1214772.0</v>
      </c>
      <c r="B505" s="158">
        <v>43861.0</v>
      </c>
      <c r="C505" s="159" t="s">
        <v>2628</v>
      </c>
      <c r="D505" s="161" t="s">
        <v>3122</v>
      </c>
      <c r="E505" s="30" t="s">
        <v>39</v>
      </c>
      <c r="F505" s="30" t="s">
        <v>54</v>
      </c>
      <c r="G505" s="31">
        <v>1603358.0</v>
      </c>
      <c r="H505" s="30" t="s">
        <v>2657</v>
      </c>
      <c r="I505" s="31"/>
      <c r="J505" s="30" t="s">
        <v>47</v>
      </c>
    </row>
    <row r="506">
      <c r="A506" s="20">
        <v>675072.0</v>
      </c>
      <c r="B506" s="158">
        <v>43861.0</v>
      </c>
      <c r="C506" s="159" t="s">
        <v>893</v>
      </c>
      <c r="D506" s="161" t="s">
        <v>3123</v>
      </c>
      <c r="E506" s="30" t="s">
        <v>45</v>
      </c>
      <c r="F506" s="30" t="s">
        <v>46</v>
      </c>
      <c r="G506" s="31">
        <v>1215970.0</v>
      </c>
      <c r="H506" s="30" t="s">
        <v>850</v>
      </c>
      <c r="I506" s="31"/>
      <c r="J506" s="30" t="s">
        <v>47</v>
      </c>
    </row>
    <row r="507">
      <c r="A507" s="20">
        <v>1364240.0</v>
      </c>
      <c r="B507" s="158">
        <v>43861.0</v>
      </c>
      <c r="C507" s="159" t="s">
        <v>893</v>
      </c>
      <c r="D507" s="161" t="s">
        <v>3124</v>
      </c>
      <c r="E507" s="30" t="s">
        <v>101</v>
      </c>
      <c r="F507" s="30" t="s">
        <v>754</v>
      </c>
      <c r="G507" s="31"/>
      <c r="H507" s="30" t="s">
        <v>47</v>
      </c>
      <c r="I507" s="31"/>
      <c r="J507" s="30" t="s">
        <v>47</v>
      </c>
    </row>
    <row r="508">
      <c r="A508" s="20">
        <v>1123688.0</v>
      </c>
      <c r="B508" s="158">
        <v>43861.0</v>
      </c>
      <c r="C508" s="159" t="s">
        <v>893</v>
      </c>
      <c r="D508" s="161" t="s">
        <v>3125</v>
      </c>
      <c r="E508" s="30" t="s">
        <v>122</v>
      </c>
      <c r="F508" s="30" t="s">
        <v>271</v>
      </c>
      <c r="G508" s="31">
        <v>1173030.0</v>
      </c>
      <c r="H508" s="30" t="s">
        <v>3126</v>
      </c>
      <c r="I508" s="31"/>
      <c r="J508" s="30" t="s">
        <v>47</v>
      </c>
    </row>
    <row r="509">
      <c r="A509" s="20">
        <v>940738.0</v>
      </c>
      <c r="B509" s="158">
        <v>43861.0</v>
      </c>
      <c r="C509" s="159" t="s">
        <v>893</v>
      </c>
      <c r="D509" s="161" t="s">
        <v>3127</v>
      </c>
      <c r="E509" s="30" t="s">
        <v>122</v>
      </c>
      <c r="F509" s="30" t="s">
        <v>123</v>
      </c>
      <c r="G509" s="31">
        <v>1211916.0</v>
      </c>
      <c r="H509" s="30" t="s">
        <v>1847</v>
      </c>
      <c r="I509" s="31"/>
      <c r="J509" s="30" t="s">
        <v>47</v>
      </c>
    </row>
    <row r="510">
      <c r="A510" s="20">
        <v>1261160.0</v>
      </c>
      <c r="B510" s="158">
        <v>43861.0</v>
      </c>
      <c r="C510" s="159" t="s">
        <v>893</v>
      </c>
      <c r="D510" s="161" t="s">
        <v>3128</v>
      </c>
      <c r="E510" s="30" t="s">
        <v>189</v>
      </c>
      <c r="F510" s="30" t="s">
        <v>289</v>
      </c>
      <c r="G510" s="31"/>
      <c r="H510" s="30" t="s">
        <v>47</v>
      </c>
      <c r="I510" s="31"/>
      <c r="J510" s="30" t="s">
        <v>47</v>
      </c>
    </row>
    <row r="511">
      <c r="A511" s="20">
        <v>1347004.0</v>
      </c>
      <c r="B511" s="158">
        <v>43861.0</v>
      </c>
      <c r="C511" s="159" t="s">
        <v>893</v>
      </c>
      <c r="D511" s="161" t="s">
        <v>3129</v>
      </c>
      <c r="E511" s="30" t="s">
        <v>122</v>
      </c>
      <c r="F511" s="30" t="s">
        <v>123</v>
      </c>
      <c r="G511" s="31">
        <v>2246852.0</v>
      </c>
      <c r="H511" s="30" t="s">
        <v>1979</v>
      </c>
      <c r="I511" s="31"/>
      <c r="J511" s="30" t="s">
        <v>47</v>
      </c>
    </row>
    <row r="512">
      <c r="A512" s="20">
        <v>51133.0</v>
      </c>
      <c r="B512" s="158">
        <v>43861.0</v>
      </c>
      <c r="C512" s="159" t="s">
        <v>893</v>
      </c>
      <c r="D512" s="161" t="s">
        <v>3130</v>
      </c>
      <c r="E512" s="30" t="s">
        <v>39</v>
      </c>
      <c r="F512" s="30" t="s">
        <v>297</v>
      </c>
      <c r="G512" s="31">
        <v>299398.0</v>
      </c>
      <c r="H512" s="30" t="s">
        <v>3131</v>
      </c>
      <c r="I512" s="31"/>
      <c r="J512" s="30" t="s">
        <v>47</v>
      </c>
    </row>
    <row r="513">
      <c r="A513" s="20">
        <v>1238114.0</v>
      </c>
      <c r="B513" s="158">
        <v>43861.0</v>
      </c>
      <c r="C513" s="159" t="s">
        <v>893</v>
      </c>
      <c r="D513" s="161" t="s">
        <v>3132</v>
      </c>
      <c r="E513" s="30" t="s">
        <v>58</v>
      </c>
      <c r="F513" s="30" t="s">
        <v>944</v>
      </c>
      <c r="G513" s="31">
        <v>1872954.0</v>
      </c>
      <c r="H513" s="30" t="s">
        <v>3133</v>
      </c>
      <c r="I513" s="31"/>
      <c r="J513" s="30" t="s">
        <v>47</v>
      </c>
    </row>
    <row r="514">
      <c r="A514" s="20">
        <v>1112948.0</v>
      </c>
      <c r="B514" s="158">
        <v>43861.0</v>
      </c>
      <c r="C514" s="159" t="s">
        <v>893</v>
      </c>
      <c r="D514" s="161" t="s">
        <v>3134</v>
      </c>
      <c r="E514" s="30" t="s">
        <v>189</v>
      </c>
      <c r="F514" s="30" t="s">
        <v>337</v>
      </c>
      <c r="G514" s="31">
        <v>1507666.0</v>
      </c>
      <c r="H514" s="30" t="s">
        <v>47</v>
      </c>
      <c r="I514" s="31"/>
      <c r="J514" s="30" t="s">
        <v>47</v>
      </c>
    </row>
    <row r="515">
      <c r="A515" s="20">
        <v>469454.0</v>
      </c>
      <c r="B515" s="158">
        <v>43861.0</v>
      </c>
      <c r="C515" s="159" t="s">
        <v>893</v>
      </c>
      <c r="D515" s="161" t="s">
        <v>3135</v>
      </c>
      <c r="E515" s="30" t="s">
        <v>2958</v>
      </c>
      <c r="F515" s="30" t="s">
        <v>339</v>
      </c>
      <c r="G515" s="31">
        <v>1322260.0</v>
      </c>
      <c r="H515" s="30" t="s">
        <v>3136</v>
      </c>
      <c r="I515" s="31"/>
      <c r="J515" s="30" t="s">
        <v>47</v>
      </c>
    </row>
    <row r="516">
      <c r="A516" s="20">
        <v>46864.0</v>
      </c>
      <c r="B516" s="158">
        <v>43861.0</v>
      </c>
      <c r="C516" s="159" t="s">
        <v>893</v>
      </c>
      <c r="D516" s="161" t="s">
        <v>3137</v>
      </c>
      <c r="E516" s="30" t="s">
        <v>189</v>
      </c>
      <c r="F516" s="30" t="s">
        <v>190</v>
      </c>
      <c r="G516" s="31">
        <v>793796.0</v>
      </c>
      <c r="H516" s="30" t="s">
        <v>863</v>
      </c>
      <c r="I516" s="31"/>
      <c r="J516" s="30" t="s">
        <v>47</v>
      </c>
    </row>
    <row r="517">
      <c r="A517" s="20">
        <v>1347426.0</v>
      </c>
      <c r="B517" s="158">
        <v>43861.0</v>
      </c>
      <c r="C517" s="159" t="s">
        <v>893</v>
      </c>
      <c r="D517" s="161" t="s">
        <v>3138</v>
      </c>
      <c r="E517" s="30" t="s">
        <v>122</v>
      </c>
      <c r="F517" s="30" t="s">
        <v>271</v>
      </c>
      <c r="G517" s="31">
        <v>1355610.0</v>
      </c>
      <c r="H517" s="30" t="s">
        <v>3139</v>
      </c>
      <c r="I517" s="31">
        <v>2390192.0</v>
      </c>
      <c r="J517" s="30" t="s">
        <v>926</v>
      </c>
    </row>
    <row r="518">
      <c r="A518" s="20">
        <v>1347028.0</v>
      </c>
      <c r="B518" s="158">
        <v>43861.0</v>
      </c>
      <c r="C518" s="159" t="s">
        <v>893</v>
      </c>
      <c r="D518" s="161" t="s">
        <v>3140</v>
      </c>
      <c r="E518" s="30" t="s">
        <v>122</v>
      </c>
      <c r="F518" s="30" t="s">
        <v>123</v>
      </c>
      <c r="G518" s="31">
        <v>1295848.0</v>
      </c>
      <c r="H518" s="30" t="s">
        <v>3141</v>
      </c>
      <c r="I518" s="31"/>
      <c r="J518" s="30" t="s">
        <v>47</v>
      </c>
    </row>
    <row r="519">
      <c r="A519" s="20">
        <v>50213.0</v>
      </c>
      <c r="B519" s="158">
        <v>43861.0</v>
      </c>
      <c r="C519" s="159" t="s">
        <v>893</v>
      </c>
      <c r="D519" s="161" t="s">
        <v>3142</v>
      </c>
      <c r="E519" s="30" t="s">
        <v>189</v>
      </c>
      <c r="F519" s="30" t="s">
        <v>190</v>
      </c>
      <c r="G519" s="31">
        <v>736090.0</v>
      </c>
      <c r="H519" s="30" t="s">
        <v>3143</v>
      </c>
      <c r="I519" s="31"/>
      <c r="J519" s="30" t="s">
        <v>47</v>
      </c>
    </row>
    <row r="520">
      <c r="A520" s="20">
        <v>890484.0</v>
      </c>
      <c r="B520" s="158">
        <v>43861.0</v>
      </c>
      <c r="C520" s="159" t="s">
        <v>893</v>
      </c>
      <c r="D520" s="161" t="s">
        <v>3144</v>
      </c>
      <c r="E520" s="30" t="s">
        <v>45</v>
      </c>
      <c r="F520" s="30" t="s">
        <v>324</v>
      </c>
      <c r="G520" s="31">
        <v>43677.0</v>
      </c>
      <c r="H520" s="30" t="s">
        <v>3145</v>
      </c>
      <c r="I520" s="31"/>
      <c r="J520" s="30" t="s">
        <v>47</v>
      </c>
    </row>
    <row r="521">
      <c r="A521" s="20">
        <v>926426.0</v>
      </c>
      <c r="B521" s="158">
        <v>43861.0</v>
      </c>
      <c r="C521" s="159" t="s">
        <v>893</v>
      </c>
      <c r="D521" s="161" t="s">
        <v>3146</v>
      </c>
      <c r="E521" s="30" t="s">
        <v>189</v>
      </c>
      <c r="F521" s="30" t="s">
        <v>300</v>
      </c>
      <c r="G521" s="31">
        <v>969148.0</v>
      </c>
      <c r="H521" s="30" t="s">
        <v>1514</v>
      </c>
      <c r="I521" s="31">
        <v>434390.0</v>
      </c>
      <c r="J521" s="30" t="s">
        <v>3147</v>
      </c>
    </row>
    <row r="522">
      <c r="A522" s="20">
        <v>1129858.0</v>
      </c>
      <c r="B522" s="158">
        <v>43861.0</v>
      </c>
      <c r="C522" s="159" t="s">
        <v>893</v>
      </c>
      <c r="D522" s="161" t="s">
        <v>3148</v>
      </c>
      <c r="E522" s="30" t="s">
        <v>122</v>
      </c>
      <c r="F522" s="30" t="s">
        <v>271</v>
      </c>
      <c r="G522" s="31">
        <v>1802404.0</v>
      </c>
      <c r="H522" s="30" t="s">
        <v>2778</v>
      </c>
      <c r="I522" s="31"/>
      <c r="J522" s="30" t="s">
        <v>47</v>
      </c>
    </row>
    <row r="523">
      <c r="A523" s="20">
        <v>891882.0</v>
      </c>
      <c r="B523" s="158">
        <v>43861.0</v>
      </c>
      <c r="C523" s="159" t="s">
        <v>893</v>
      </c>
      <c r="D523" s="161" t="s">
        <v>3149</v>
      </c>
      <c r="E523" s="30" t="s">
        <v>189</v>
      </c>
      <c r="F523" s="30" t="s">
        <v>337</v>
      </c>
      <c r="G523" s="31">
        <v>51284.0</v>
      </c>
      <c r="H523" s="30" t="s">
        <v>47</v>
      </c>
      <c r="I523" s="31"/>
      <c r="J523" s="30" t="s">
        <v>47</v>
      </c>
    </row>
    <row r="524">
      <c r="A524" s="20">
        <v>986824.0</v>
      </c>
      <c r="B524" s="158">
        <v>43861.0</v>
      </c>
      <c r="C524" s="159" t="s">
        <v>893</v>
      </c>
      <c r="D524" s="161" t="s">
        <v>3150</v>
      </c>
      <c r="E524" s="30" t="s">
        <v>58</v>
      </c>
      <c r="F524" s="30" t="s">
        <v>944</v>
      </c>
      <c r="G524" s="31">
        <v>633976.0</v>
      </c>
      <c r="H524" s="30" t="s">
        <v>3151</v>
      </c>
      <c r="I524" s="31">
        <v>613214.0</v>
      </c>
      <c r="J524" s="30" t="s">
        <v>1525</v>
      </c>
    </row>
    <row r="525">
      <c r="A525" s="20">
        <v>856526.0</v>
      </c>
      <c r="B525" s="158">
        <v>43861.0</v>
      </c>
      <c r="C525" s="159" t="s">
        <v>893</v>
      </c>
      <c r="D525" s="161" t="s">
        <v>3152</v>
      </c>
      <c r="E525" s="30" t="s">
        <v>39</v>
      </c>
      <c r="F525" s="30" t="s">
        <v>140</v>
      </c>
      <c r="G525" s="31"/>
      <c r="H525" s="30" t="s">
        <v>47</v>
      </c>
      <c r="I525" s="31"/>
      <c r="J525" s="30" t="s">
        <v>47</v>
      </c>
    </row>
    <row r="526">
      <c r="A526" s="20">
        <v>1613094.0</v>
      </c>
      <c r="B526" s="158">
        <v>43861.0</v>
      </c>
      <c r="C526" s="159" t="s">
        <v>893</v>
      </c>
      <c r="D526" s="161" t="s">
        <v>3153</v>
      </c>
      <c r="E526" s="30" t="s">
        <v>189</v>
      </c>
      <c r="F526" s="30" t="s">
        <v>190</v>
      </c>
      <c r="G526" s="31">
        <v>1208634.0</v>
      </c>
      <c r="H526" s="30" t="s">
        <v>2619</v>
      </c>
      <c r="I526" s="31"/>
      <c r="J526" s="30" t="s">
        <v>47</v>
      </c>
    </row>
    <row r="527">
      <c r="A527" s="20">
        <v>54557.0</v>
      </c>
      <c r="B527" s="158">
        <v>43861.0</v>
      </c>
      <c r="C527" s="159" t="s">
        <v>893</v>
      </c>
      <c r="D527" s="161" t="s">
        <v>3154</v>
      </c>
      <c r="E527" s="30" t="s">
        <v>45</v>
      </c>
      <c r="F527" s="30" t="s">
        <v>324</v>
      </c>
      <c r="G527" s="31">
        <v>470406.0</v>
      </c>
      <c r="H527" s="30" t="s">
        <v>3155</v>
      </c>
      <c r="I527" s="31">
        <v>1312466.0</v>
      </c>
      <c r="J527" s="30" t="s">
        <v>3156</v>
      </c>
    </row>
    <row r="528">
      <c r="A528" s="20">
        <v>51444.0</v>
      </c>
      <c r="B528" s="158">
        <v>43861.0</v>
      </c>
      <c r="C528" s="159" t="s">
        <v>893</v>
      </c>
      <c r="D528" s="161" t="s">
        <v>3157</v>
      </c>
      <c r="E528" s="30" t="s">
        <v>45</v>
      </c>
      <c r="F528" s="30" t="s">
        <v>172</v>
      </c>
      <c r="G528" s="31"/>
      <c r="H528" s="30" t="s">
        <v>47</v>
      </c>
      <c r="I528" s="31"/>
      <c r="J528" s="30" t="s">
        <v>47</v>
      </c>
    </row>
    <row r="529">
      <c r="A529" s="20">
        <v>890584.0</v>
      </c>
      <c r="B529" s="158">
        <v>43861.0</v>
      </c>
      <c r="C529" s="159" t="s">
        <v>893</v>
      </c>
      <c r="D529" s="161" t="s">
        <v>3158</v>
      </c>
      <c r="E529" s="30" t="s">
        <v>189</v>
      </c>
      <c r="F529" s="30" t="s">
        <v>337</v>
      </c>
      <c r="G529" s="31"/>
      <c r="H529" s="30" t="s">
        <v>47</v>
      </c>
      <c r="I529" s="31"/>
      <c r="J529" s="30" t="s">
        <v>47</v>
      </c>
    </row>
    <row r="530">
      <c r="A530" s="20">
        <v>959258.0</v>
      </c>
      <c r="B530" s="158">
        <v>43861.0</v>
      </c>
      <c r="C530" s="159" t="s">
        <v>893</v>
      </c>
      <c r="D530" s="161" t="s">
        <v>3159</v>
      </c>
      <c r="E530" s="30" t="s">
        <v>45</v>
      </c>
      <c r="F530" s="30" t="s">
        <v>324</v>
      </c>
      <c r="G530" s="31">
        <v>845284.0</v>
      </c>
      <c r="H530" s="30" t="s">
        <v>3160</v>
      </c>
      <c r="I530" s="31"/>
      <c r="J530" s="30" t="s">
        <v>47</v>
      </c>
    </row>
    <row r="531">
      <c r="A531" s="20">
        <v>1110366.0</v>
      </c>
      <c r="B531" s="158">
        <v>43861.0</v>
      </c>
      <c r="C531" s="159" t="s">
        <v>893</v>
      </c>
      <c r="D531" s="161" t="s">
        <v>3161</v>
      </c>
      <c r="E531" s="30" t="s">
        <v>39</v>
      </c>
      <c r="F531" s="30" t="s">
        <v>140</v>
      </c>
      <c r="G531" s="31">
        <v>1757906.0</v>
      </c>
      <c r="H531" s="30" t="s">
        <v>3162</v>
      </c>
      <c r="I531" s="31"/>
      <c r="J531" s="30" t="s">
        <v>47</v>
      </c>
    </row>
    <row r="532">
      <c r="A532" s="20">
        <v>1211572.0</v>
      </c>
      <c r="B532" s="158">
        <v>43861.0</v>
      </c>
      <c r="C532" s="159" t="s">
        <v>893</v>
      </c>
      <c r="D532" s="161" t="s">
        <v>3163</v>
      </c>
      <c r="E532" s="30" t="s">
        <v>122</v>
      </c>
      <c r="F532" s="30" t="s">
        <v>538</v>
      </c>
      <c r="G532" s="31">
        <v>279292.0</v>
      </c>
      <c r="H532" s="30" t="s">
        <v>3164</v>
      </c>
      <c r="I532" s="31"/>
      <c r="J532" s="30" t="s">
        <v>47</v>
      </c>
    </row>
    <row r="533">
      <c r="A533" s="20">
        <v>891914.0</v>
      </c>
      <c r="B533" s="158">
        <v>43861.0</v>
      </c>
      <c r="C533" s="159" t="s">
        <v>893</v>
      </c>
      <c r="D533" s="161" t="s">
        <v>3165</v>
      </c>
      <c r="E533" s="30" t="s">
        <v>189</v>
      </c>
      <c r="F533" s="30" t="s">
        <v>337</v>
      </c>
      <c r="G533" s="31"/>
      <c r="H533" s="30" t="s">
        <v>47</v>
      </c>
      <c r="I533" s="31"/>
      <c r="J533" s="30" t="s">
        <v>47</v>
      </c>
    </row>
    <row r="534">
      <c r="A534" s="20">
        <v>897973.0</v>
      </c>
      <c r="B534" s="158">
        <v>43861.0</v>
      </c>
      <c r="C534" s="159" t="s">
        <v>893</v>
      </c>
      <c r="D534" s="161" t="s">
        <v>3166</v>
      </c>
      <c r="E534" s="30" t="s">
        <v>189</v>
      </c>
      <c r="F534" s="30" t="s">
        <v>337</v>
      </c>
      <c r="G534" s="31">
        <v>904324.0</v>
      </c>
      <c r="H534" s="30" t="s">
        <v>47</v>
      </c>
      <c r="I534" s="31"/>
      <c r="J534" s="30" t="s">
        <v>47</v>
      </c>
    </row>
    <row r="535">
      <c r="A535" s="20">
        <v>897748.0</v>
      </c>
      <c r="B535" s="158">
        <v>43861.0</v>
      </c>
      <c r="C535" s="159" t="s">
        <v>893</v>
      </c>
      <c r="D535" s="161" t="s">
        <v>3167</v>
      </c>
      <c r="E535" s="30" t="s">
        <v>45</v>
      </c>
      <c r="F535" s="30" t="s">
        <v>172</v>
      </c>
      <c r="G535" s="31">
        <v>1140314.0</v>
      </c>
      <c r="H535" s="30" t="s">
        <v>3168</v>
      </c>
      <c r="I535" s="31"/>
      <c r="J535" s="30" t="s">
        <v>47</v>
      </c>
    </row>
    <row r="536">
      <c r="A536" s="20">
        <v>1281076.0</v>
      </c>
      <c r="B536" s="158">
        <v>43861.0</v>
      </c>
      <c r="C536" s="159" t="s">
        <v>893</v>
      </c>
      <c r="D536" s="161" t="s">
        <v>3169</v>
      </c>
      <c r="E536" s="30" t="s">
        <v>39</v>
      </c>
      <c r="F536" s="30" t="s">
        <v>140</v>
      </c>
      <c r="G536" s="31">
        <v>1445848.0</v>
      </c>
      <c r="H536" s="30" t="s">
        <v>479</v>
      </c>
      <c r="I536" s="31"/>
      <c r="J536" s="30" t="s">
        <v>47</v>
      </c>
    </row>
    <row r="537">
      <c r="A537" s="20">
        <v>1319358.0</v>
      </c>
      <c r="B537" s="158">
        <v>43861.0</v>
      </c>
      <c r="C537" s="159" t="s">
        <v>893</v>
      </c>
      <c r="D537" s="161" t="s">
        <v>3170</v>
      </c>
      <c r="E537" s="30" t="s">
        <v>45</v>
      </c>
      <c r="F537" s="30" t="s">
        <v>46</v>
      </c>
      <c r="G537" s="31"/>
      <c r="H537" s="30" t="s">
        <v>47</v>
      </c>
      <c r="I537" s="31"/>
      <c r="J537" s="30" t="s">
        <v>47</v>
      </c>
    </row>
    <row r="538">
      <c r="A538" s="20">
        <v>61782.0</v>
      </c>
      <c r="B538" s="158">
        <v>43861.0</v>
      </c>
      <c r="C538" s="159" t="s">
        <v>893</v>
      </c>
      <c r="D538" s="161" t="s">
        <v>3171</v>
      </c>
      <c r="E538" s="30" t="s">
        <v>39</v>
      </c>
      <c r="F538" s="30" t="s">
        <v>54</v>
      </c>
      <c r="G538" s="31">
        <v>82328.0</v>
      </c>
      <c r="H538" s="30" t="s">
        <v>3172</v>
      </c>
      <c r="I538" s="31"/>
      <c r="J538" s="30" t="s">
        <v>47</v>
      </c>
    </row>
    <row r="539">
      <c r="A539" s="20">
        <v>50541.0</v>
      </c>
      <c r="B539" s="158">
        <v>43861.0</v>
      </c>
      <c r="C539" s="159" t="s">
        <v>893</v>
      </c>
      <c r="D539" s="161" t="s">
        <v>3173</v>
      </c>
      <c r="E539" s="30" t="s">
        <v>189</v>
      </c>
      <c r="F539" s="30" t="s">
        <v>300</v>
      </c>
      <c r="G539" s="31">
        <v>51797.0</v>
      </c>
      <c r="H539" s="30" t="s">
        <v>3174</v>
      </c>
      <c r="I539" s="31"/>
      <c r="J539" s="30" t="s">
        <v>47</v>
      </c>
    </row>
    <row r="540">
      <c r="A540" s="20">
        <v>51304.0</v>
      </c>
      <c r="B540" s="158">
        <v>43861.0</v>
      </c>
      <c r="C540" s="159" t="s">
        <v>893</v>
      </c>
      <c r="D540" s="161" t="s">
        <v>3175</v>
      </c>
      <c r="E540" s="30" t="s">
        <v>189</v>
      </c>
      <c r="F540" s="30" t="s">
        <v>448</v>
      </c>
      <c r="G540" s="31"/>
      <c r="H540" s="30" t="s">
        <v>47</v>
      </c>
      <c r="I540" s="31"/>
      <c r="J540" s="30" t="s">
        <v>47</v>
      </c>
    </row>
    <row r="541">
      <c r="A541" s="20">
        <v>1081026.0</v>
      </c>
      <c r="B541" s="158">
        <v>43861.0</v>
      </c>
      <c r="C541" s="159" t="s">
        <v>893</v>
      </c>
      <c r="D541" s="161" t="s">
        <v>3176</v>
      </c>
      <c r="E541" s="30" t="s">
        <v>122</v>
      </c>
      <c r="F541" s="30" t="s">
        <v>123</v>
      </c>
      <c r="G541" s="31">
        <v>429062.0</v>
      </c>
      <c r="H541" s="30" t="s">
        <v>2429</v>
      </c>
      <c r="I541" s="31"/>
      <c r="J541" s="30" t="s">
        <v>47</v>
      </c>
    </row>
    <row r="542">
      <c r="A542" s="20">
        <v>325074.0</v>
      </c>
      <c r="B542" s="158">
        <v>43861.0</v>
      </c>
      <c r="C542" s="159" t="s">
        <v>893</v>
      </c>
      <c r="D542" s="161" t="s">
        <v>3177</v>
      </c>
      <c r="E542" s="30" t="s">
        <v>189</v>
      </c>
      <c r="F542" s="30" t="s">
        <v>222</v>
      </c>
      <c r="G542" s="31">
        <v>587890.0</v>
      </c>
      <c r="H542" s="30" t="s">
        <v>2437</v>
      </c>
      <c r="I542" s="31"/>
      <c r="J542" s="30" t="s">
        <v>47</v>
      </c>
    </row>
    <row r="543">
      <c r="A543" s="20">
        <v>885344.0</v>
      </c>
      <c r="B543" s="158">
        <v>43861.0</v>
      </c>
      <c r="C543" s="159" t="s">
        <v>893</v>
      </c>
      <c r="D543" s="161" t="s">
        <v>3178</v>
      </c>
      <c r="E543" s="30" t="s">
        <v>45</v>
      </c>
      <c r="F543" s="30" t="s">
        <v>324</v>
      </c>
      <c r="G543" s="31">
        <v>1178310.0</v>
      </c>
      <c r="H543" s="30" t="s">
        <v>3179</v>
      </c>
      <c r="I543" s="31"/>
      <c r="J543" s="30" t="s">
        <v>47</v>
      </c>
    </row>
    <row r="544">
      <c r="A544" s="20">
        <v>1481082.0</v>
      </c>
      <c r="B544" s="158">
        <v>43861.0</v>
      </c>
      <c r="C544" s="159" t="s">
        <v>2628</v>
      </c>
      <c r="D544" s="161" t="s">
        <v>3180</v>
      </c>
      <c r="E544" s="30" t="s">
        <v>39</v>
      </c>
      <c r="F544" s="30" t="s">
        <v>54</v>
      </c>
      <c r="G544" s="31">
        <v>1603358.0</v>
      </c>
      <c r="H544" s="30" t="s">
        <v>2657</v>
      </c>
      <c r="I544" s="31"/>
      <c r="J544" s="30" t="s">
        <v>47</v>
      </c>
    </row>
    <row r="545">
      <c r="A545" s="20">
        <v>1341384.0</v>
      </c>
      <c r="B545" s="158">
        <v>43861.0</v>
      </c>
      <c r="C545" s="159" t="s">
        <v>893</v>
      </c>
      <c r="D545" s="161" t="s">
        <v>3181</v>
      </c>
      <c r="E545" s="30" t="s">
        <v>122</v>
      </c>
      <c r="F545" s="30" t="s">
        <v>127</v>
      </c>
      <c r="G545" s="31">
        <v>671208.0</v>
      </c>
      <c r="H545" s="30" t="s">
        <v>3182</v>
      </c>
      <c r="I545" s="31"/>
      <c r="J545" s="30" t="s">
        <v>47</v>
      </c>
    </row>
    <row r="546">
      <c r="A546" s="20">
        <v>679990.0</v>
      </c>
      <c r="B546" s="158">
        <v>43861.0</v>
      </c>
      <c r="C546" s="159" t="s">
        <v>893</v>
      </c>
      <c r="D546" s="161" t="s">
        <v>3183</v>
      </c>
      <c r="E546" s="30" t="s">
        <v>83</v>
      </c>
      <c r="F546" s="30" t="s">
        <v>285</v>
      </c>
      <c r="G546" s="31">
        <v>673654.0</v>
      </c>
      <c r="H546" s="30" t="s">
        <v>736</v>
      </c>
      <c r="I546" s="31"/>
      <c r="J546" s="30" t="s">
        <v>47</v>
      </c>
    </row>
    <row r="547">
      <c r="A547" s="20">
        <v>890824.0</v>
      </c>
      <c r="B547" s="158">
        <v>43861.0</v>
      </c>
      <c r="C547" s="159" t="s">
        <v>893</v>
      </c>
      <c r="D547" s="161" t="s">
        <v>3184</v>
      </c>
      <c r="E547" s="30" t="s">
        <v>189</v>
      </c>
      <c r="F547" s="30" t="s">
        <v>190</v>
      </c>
      <c r="G547" s="31">
        <v>659464.0</v>
      </c>
      <c r="H547" s="30" t="s">
        <v>2861</v>
      </c>
      <c r="I547" s="31"/>
      <c r="J547" s="30" t="s">
        <v>47</v>
      </c>
    </row>
    <row r="548">
      <c r="A548" s="20">
        <v>1546712.0</v>
      </c>
      <c r="B548" s="158">
        <v>43861.0</v>
      </c>
      <c r="C548" s="159" t="s">
        <v>893</v>
      </c>
      <c r="D548" s="161" t="s">
        <v>3185</v>
      </c>
      <c r="E548" s="30" t="s">
        <v>45</v>
      </c>
      <c r="F548" s="30" t="s">
        <v>46</v>
      </c>
      <c r="G548" s="31">
        <v>1166450.0</v>
      </c>
      <c r="H548" s="30" t="s">
        <v>3186</v>
      </c>
      <c r="I548" s="31"/>
      <c r="J548" s="30" t="s">
        <v>47</v>
      </c>
    </row>
    <row r="549">
      <c r="A549" s="20">
        <v>62606.0</v>
      </c>
      <c r="B549" s="158">
        <v>43861.0</v>
      </c>
      <c r="C549" s="159" t="s">
        <v>893</v>
      </c>
      <c r="D549" s="161" t="s">
        <v>3187</v>
      </c>
      <c r="E549" s="30" t="s">
        <v>58</v>
      </c>
      <c r="F549" s="30" t="s">
        <v>86</v>
      </c>
      <c r="G549" s="31">
        <v>315816.0</v>
      </c>
      <c r="H549" s="30" t="s">
        <v>3188</v>
      </c>
      <c r="I549" s="31"/>
      <c r="J549" s="30" t="s">
        <v>47</v>
      </c>
    </row>
    <row r="550">
      <c r="A550" s="20">
        <v>128786.0</v>
      </c>
      <c r="B550" s="158">
        <v>43861.0</v>
      </c>
      <c r="C550" s="159" t="s">
        <v>893</v>
      </c>
      <c r="D550" s="161" t="s">
        <v>3189</v>
      </c>
      <c r="E550" s="30" t="s">
        <v>45</v>
      </c>
      <c r="F550" s="30" t="s">
        <v>324</v>
      </c>
      <c r="G550" s="31">
        <v>1312466.0</v>
      </c>
      <c r="H550" s="30" t="s">
        <v>3156</v>
      </c>
      <c r="I550" s="31"/>
      <c r="J550" s="30" t="s">
        <v>47</v>
      </c>
    </row>
    <row r="551">
      <c r="A551" s="20">
        <v>1420964.0</v>
      </c>
      <c r="B551" s="158">
        <v>43861.0</v>
      </c>
      <c r="C551" s="159" t="s">
        <v>2628</v>
      </c>
      <c r="D551" s="161" t="s">
        <v>3190</v>
      </c>
      <c r="E551" s="30" t="s">
        <v>189</v>
      </c>
      <c r="F551" s="30" t="s">
        <v>448</v>
      </c>
      <c r="G551" s="31">
        <v>692762.0</v>
      </c>
      <c r="H551" s="30" t="s">
        <v>47</v>
      </c>
      <c r="I551" s="31"/>
      <c r="J551" s="30" t="s">
        <v>47</v>
      </c>
    </row>
    <row r="552">
      <c r="A552" s="20">
        <v>1712920.0</v>
      </c>
      <c r="B552" s="158">
        <v>43861.0</v>
      </c>
      <c r="C552" s="159" t="s">
        <v>893</v>
      </c>
      <c r="D552" s="161" t="s">
        <v>3191</v>
      </c>
      <c r="E552" s="30" t="s">
        <v>63</v>
      </c>
      <c r="F552" s="30" t="s">
        <v>64</v>
      </c>
      <c r="G552" s="31">
        <v>1248866.0</v>
      </c>
      <c r="H552" s="30" t="s">
        <v>3192</v>
      </c>
      <c r="I552" s="31"/>
      <c r="J552" s="30" t="s">
        <v>47</v>
      </c>
    </row>
    <row r="553">
      <c r="A553" s="20">
        <v>51284.0</v>
      </c>
      <c r="B553" s="158">
        <v>43861.0</v>
      </c>
      <c r="C553" s="159" t="s">
        <v>893</v>
      </c>
      <c r="D553" s="161" t="s">
        <v>3193</v>
      </c>
      <c r="E553" s="30" t="s">
        <v>189</v>
      </c>
      <c r="F553" s="30" t="s">
        <v>337</v>
      </c>
      <c r="G553" s="31">
        <v>114564.0</v>
      </c>
      <c r="H553" s="30" t="s">
        <v>47</v>
      </c>
      <c r="I553" s="31"/>
      <c r="J553" s="30" t="s">
        <v>47</v>
      </c>
    </row>
    <row r="554">
      <c r="A554" s="20">
        <v>1159866.0</v>
      </c>
      <c r="B554" s="158">
        <v>43861.0</v>
      </c>
      <c r="C554" s="159" t="s">
        <v>893</v>
      </c>
      <c r="D554" s="161" t="s">
        <v>3194</v>
      </c>
      <c r="E554" s="30" t="s">
        <v>58</v>
      </c>
      <c r="F554" s="30" t="s">
        <v>944</v>
      </c>
      <c r="G554" s="31">
        <v>517102.0</v>
      </c>
      <c r="H554" s="30" t="s">
        <v>3195</v>
      </c>
      <c r="I554" s="31">
        <v>1253772.0</v>
      </c>
      <c r="J554" s="30" t="s">
        <v>3196</v>
      </c>
    </row>
    <row r="555">
      <c r="A555" s="20">
        <v>50563.0</v>
      </c>
      <c r="B555" s="158">
        <v>43861.0</v>
      </c>
      <c r="C555" s="159" t="s">
        <v>893</v>
      </c>
      <c r="D555" s="161" t="s">
        <v>3197</v>
      </c>
      <c r="E555" s="30" t="s">
        <v>189</v>
      </c>
      <c r="F555" s="30" t="s">
        <v>222</v>
      </c>
      <c r="G555" s="31">
        <v>109518.0</v>
      </c>
      <c r="H555" s="30" t="s">
        <v>3198</v>
      </c>
      <c r="I555" s="31"/>
      <c r="J555" s="30" t="s">
        <v>47</v>
      </c>
    </row>
    <row r="556">
      <c r="A556" s="20">
        <v>1166454.0</v>
      </c>
      <c r="B556" s="158">
        <v>43861.0</v>
      </c>
      <c r="C556" s="159" t="s">
        <v>893</v>
      </c>
      <c r="D556" s="161" t="s">
        <v>3199</v>
      </c>
      <c r="E556" s="30" t="s">
        <v>45</v>
      </c>
      <c r="F556" s="30" t="s">
        <v>46</v>
      </c>
      <c r="G556" s="31"/>
      <c r="H556" s="30" t="s">
        <v>47</v>
      </c>
      <c r="I556" s="31"/>
      <c r="J556" s="30" t="s">
        <v>47</v>
      </c>
    </row>
    <row r="557">
      <c r="A557" s="20">
        <v>1421160.0</v>
      </c>
      <c r="B557" s="158">
        <v>43861.0</v>
      </c>
      <c r="C557" s="159" t="s">
        <v>2628</v>
      </c>
      <c r="D557" s="161" t="s">
        <v>3200</v>
      </c>
      <c r="E557" s="30" t="s">
        <v>63</v>
      </c>
      <c r="F557" s="30" t="s">
        <v>64</v>
      </c>
      <c r="G557" s="31"/>
      <c r="H557" s="30" t="s">
        <v>47</v>
      </c>
      <c r="I557" s="31"/>
      <c r="J557" s="30" t="s">
        <v>47</v>
      </c>
    </row>
    <row r="558">
      <c r="A558" s="20">
        <v>342122.0</v>
      </c>
      <c r="B558" s="158">
        <v>43861.0</v>
      </c>
      <c r="C558" s="159" t="s">
        <v>893</v>
      </c>
      <c r="D558" s="161" t="s">
        <v>3201</v>
      </c>
      <c r="E558" s="30" t="s">
        <v>45</v>
      </c>
      <c r="F558" s="30" t="s">
        <v>46</v>
      </c>
      <c r="G558" s="31"/>
      <c r="H558" s="30" t="s">
        <v>47</v>
      </c>
      <c r="I558" s="31"/>
      <c r="J558" s="30" t="s">
        <v>47</v>
      </c>
    </row>
    <row r="559">
      <c r="A559" s="20">
        <v>890528.0</v>
      </c>
      <c r="B559" s="158">
        <v>43861.0</v>
      </c>
      <c r="C559" s="159" t="s">
        <v>893</v>
      </c>
      <c r="D559" s="161" t="s">
        <v>3202</v>
      </c>
      <c r="E559" s="30" t="s">
        <v>45</v>
      </c>
      <c r="F559" s="30" t="s">
        <v>324</v>
      </c>
      <c r="G559" s="31">
        <v>845284.0</v>
      </c>
      <c r="H559" s="30" t="s">
        <v>3160</v>
      </c>
      <c r="I559" s="31"/>
      <c r="J559" s="30" t="s">
        <v>47</v>
      </c>
    </row>
    <row r="560">
      <c r="A560" s="20">
        <v>2079406.0</v>
      </c>
      <c r="B560" s="158">
        <v>43861.0</v>
      </c>
      <c r="C560" s="159" t="s">
        <v>893</v>
      </c>
      <c r="D560" s="161" t="s">
        <v>3203</v>
      </c>
      <c r="E560" s="30" t="s">
        <v>45</v>
      </c>
      <c r="F560" s="30" t="s">
        <v>46</v>
      </c>
      <c r="G560" s="31"/>
      <c r="H560" s="30" t="s">
        <v>47</v>
      </c>
      <c r="I560" s="31"/>
      <c r="J560" s="30" t="s">
        <v>47</v>
      </c>
    </row>
    <row r="561">
      <c r="A561" s="20">
        <v>126134.0</v>
      </c>
      <c r="B561" s="158">
        <v>43861.0</v>
      </c>
      <c r="C561" s="159" t="s">
        <v>893</v>
      </c>
      <c r="D561" s="161" t="s">
        <v>3204</v>
      </c>
      <c r="E561" s="30" t="s">
        <v>45</v>
      </c>
      <c r="F561" s="30" t="s">
        <v>324</v>
      </c>
      <c r="G561" s="31">
        <v>1312466.0</v>
      </c>
      <c r="H561" s="30" t="s">
        <v>3156</v>
      </c>
      <c r="I561" s="31">
        <v>470406.0</v>
      </c>
      <c r="J561" s="30" t="s">
        <v>3155</v>
      </c>
    </row>
    <row r="562">
      <c r="A562" s="20">
        <v>799240.0</v>
      </c>
      <c r="B562" s="158">
        <v>43861.0</v>
      </c>
      <c r="C562" s="159" t="s">
        <v>893</v>
      </c>
      <c r="D562" s="161" t="s">
        <v>3205</v>
      </c>
      <c r="E562" s="30" t="s">
        <v>45</v>
      </c>
      <c r="F562" s="30" t="s">
        <v>46</v>
      </c>
      <c r="G562" s="31"/>
      <c r="H562" s="30" t="s">
        <v>47</v>
      </c>
      <c r="I562" s="31"/>
      <c r="J562" s="30" t="s">
        <v>47</v>
      </c>
    </row>
    <row r="563">
      <c r="A563" s="20">
        <v>945826.0</v>
      </c>
      <c r="B563" s="158">
        <v>43861.0</v>
      </c>
      <c r="C563" s="159" t="s">
        <v>893</v>
      </c>
      <c r="D563" s="161" t="s">
        <v>3206</v>
      </c>
      <c r="E563" s="30" t="s">
        <v>45</v>
      </c>
      <c r="F563" s="30" t="s">
        <v>46</v>
      </c>
      <c r="G563" s="31">
        <v>1646098.0</v>
      </c>
      <c r="H563" s="30" t="s">
        <v>3207</v>
      </c>
      <c r="I563" s="31"/>
      <c r="J563" s="30" t="s">
        <v>47</v>
      </c>
    </row>
    <row r="564">
      <c r="A564" s="20">
        <v>982708.0</v>
      </c>
      <c r="B564" s="158">
        <v>43861.0</v>
      </c>
      <c r="C564" s="159" t="s">
        <v>893</v>
      </c>
      <c r="D564" s="161" t="s">
        <v>3208</v>
      </c>
      <c r="E564" s="30" t="s">
        <v>45</v>
      </c>
      <c r="F564" s="30" t="s">
        <v>46</v>
      </c>
      <c r="G564" s="31">
        <v>1646098.0</v>
      </c>
      <c r="H564" s="30" t="s">
        <v>3207</v>
      </c>
      <c r="I564" s="31"/>
      <c r="J564" s="30" t="s">
        <v>47</v>
      </c>
    </row>
    <row r="565">
      <c r="A565" s="20">
        <v>657932.0</v>
      </c>
      <c r="B565" s="158">
        <v>43861.0</v>
      </c>
      <c r="C565" s="159" t="s">
        <v>893</v>
      </c>
      <c r="D565" s="161" t="s">
        <v>3209</v>
      </c>
      <c r="E565" s="30" t="s">
        <v>39</v>
      </c>
      <c r="F565" s="30" t="s">
        <v>241</v>
      </c>
      <c r="G565" s="31">
        <v>1035484.0</v>
      </c>
      <c r="H565" s="30" t="s">
        <v>3210</v>
      </c>
      <c r="I565" s="31"/>
      <c r="J565" s="30" t="s">
        <v>47</v>
      </c>
    </row>
    <row r="566">
      <c r="A566" s="20">
        <v>51158.0</v>
      </c>
      <c r="B566" s="158">
        <v>43861.0</v>
      </c>
      <c r="C566" s="159" t="s">
        <v>893</v>
      </c>
      <c r="D566" s="161" t="s">
        <v>3211</v>
      </c>
      <c r="E566" s="30" t="s">
        <v>189</v>
      </c>
      <c r="F566" s="30" t="s">
        <v>222</v>
      </c>
      <c r="G566" s="31"/>
      <c r="H566" s="30" t="s">
        <v>47</v>
      </c>
      <c r="I566" s="31"/>
      <c r="J566" s="30" t="s">
        <v>47</v>
      </c>
    </row>
    <row r="567">
      <c r="A567" s="20">
        <v>1178124.0</v>
      </c>
      <c r="B567" s="158">
        <v>43861.0</v>
      </c>
      <c r="C567" s="159" t="s">
        <v>893</v>
      </c>
      <c r="D567" s="161" t="s">
        <v>3212</v>
      </c>
      <c r="E567" s="30" t="s">
        <v>39</v>
      </c>
      <c r="F567" s="30" t="s">
        <v>241</v>
      </c>
      <c r="G567" s="31">
        <v>1328572.0</v>
      </c>
      <c r="H567" s="30" t="s">
        <v>1837</v>
      </c>
      <c r="I567" s="31"/>
      <c r="J567" s="30" t="s">
        <v>47</v>
      </c>
    </row>
    <row r="568">
      <c r="A568" s="20">
        <v>438522.0</v>
      </c>
      <c r="B568" s="158">
        <v>43861.0</v>
      </c>
      <c r="C568" s="159" t="s">
        <v>893</v>
      </c>
      <c r="D568" s="161" t="s">
        <v>1012</v>
      </c>
      <c r="E568" s="30" t="s">
        <v>105</v>
      </c>
      <c r="F568" s="30" t="s">
        <v>106</v>
      </c>
      <c r="G568" s="31">
        <v>683198.0</v>
      </c>
      <c r="H568" s="30" t="s">
        <v>2940</v>
      </c>
      <c r="I568" s="31"/>
      <c r="J568" s="30" t="s">
        <v>47</v>
      </c>
    </row>
    <row r="569">
      <c r="A569" s="20">
        <v>1354240.0</v>
      </c>
      <c r="B569" s="158">
        <v>43861.0</v>
      </c>
      <c r="C569" s="159" t="s">
        <v>893</v>
      </c>
      <c r="D569" s="161" t="s">
        <v>3213</v>
      </c>
      <c r="E569" s="30" t="s">
        <v>189</v>
      </c>
      <c r="F569" s="30" t="s">
        <v>337</v>
      </c>
      <c r="G569" s="31"/>
      <c r="H569" s="30" t="s">
        <v>47</v>
      </c>
      <c r="I569" s="31"/>
      <c r="J569" s="30" t="s">
        <v>47</v>
      </c>
    </row>
    <row r="570">
      <c r="A570" s="20">
        <v>1946104.0</v>
      </c>
      <c r="B570" s="158">
        <v>43861.0</v>
      </c>
      <c r="C570" s="159" t="s">
        <v>893</v>
      </c>
      <c r="D570" s="161" t="s">
        <v>3214</v>
      </c>
      <c r="E570" s="30" t="s">
        <v>39</v>
      </c>
      <c r="F570" s="30" t="s">
        <v>241</v>
      </c>
      <c r="G570" s="31">
        <v>2006624.0</v>
      </c>
      <c r="H570" s="30" t="s">
        <v>3215</v>
      </c>
      <c r="I570" s="31"/>
      <c r="J570" s="30" t="s">
        <v>47</v>
      </c>
    </row>
    <row r="571">
      <c r="A571" s="20">
        <v>599024.0</v>
      </c>
      <c r="B571" s="158">
        <v>43861.0</v>
      </c>
      <c r="C571" s="159" t="s">
        <v>893</v>
      </c>
      <c r="D571" s="161" t="s">
        <v>3216</v>
      </c>
      <c r="E571" s="30" t="s">
        <v>45</v>
      </c>
      <c r="F571" s="30" t="s">
        <v>46</v>
      </c>
      <c r="G571" s="31"/>
      <c r="H571" s="30" t="s">
        <v>47</v>
      </c>
      <c r="I571" s="31"/>
      <c r="J571" s="30" t="s">
        <v>47</v>
      </c>
    </row>
    <row r="572">
      <c r="A572" s="20">
        <v>1014682.0</v>
      </c>
      <c r="B572" s="158">
        <v>43861.0</v>
      </c>
      <c r="C572" s="159" t="s">
        <v>893</v>
      </c>
      <c r="D572" s="161" t="s">
        <v>3217</v>
      </c>
      <c r="E572" s="30" t="s">
        <v>58</v>
      </c>
      <c r="F572" s="30" t="s">
        <v>944</v>
      </c>
      <c r="G572" s="31">
        <v>2378232.0</v>
      </c>
      <c r="H572" s="30" t="s">
        <v>3218</v>
      </c>
      <c r="I572" s="31"/>
      <c r="J572" s="30" t="s">
        <v>47</v>
      </c>
    </row>
    <row r="573">
      <c r="A573" s="20">
        <v>890572.0</v>
      </c>
      <c r="B573" s="158">
        <v>43861.0</v>
      </c>
      <c r="C573" s="159" t="s">
        <v>893</v>
      </c>
      <c r="D573" s="161" t="s">
        <v>3219</v>
      </c>
      <c r="E573" s="30" t="s">
        <v>45</v>
      </c>
      <c r="F573" s="30" t="s">
        <v>324</v>
      </c>
      <c r="G573" s="31">
        <v>845284.0</v>
      </c>
      <c r="H573" s="30" t="s">
        <v>3160</v>
      </c>
      <c r="I573" s="31"/>
      <c r="J573" s="30" t="s">
        <v>47</v>
      </c>
    </row>
    <row r="574">
      <c r="A574" s="20">
        <v>914336.0</v>
      </c>
      <c r="B574" s="158">
        <v>43861.0</v>
      </c>
      <c r="C574" s="159" t="s">
        <v>893</v>
      </c>
      <c r="D574" s="161" t="s">
        <v>3220</v>
      </c>
      <c r="E574" s="30" t="s">
        <v>189</v>
      </c>
      <c r="F574" s="30" t="s">
        <v>300</v>
      </c>
      <c r="G574" s="31">
        <v>969148.0</v>
      </c>
      <c r="H574" s="30" t="s">
        <v>1514</v>
      </c>
      <c r="I574" s="31"/>
      <c r="J574" s="30" t="s">
        <v>47</v>
      </c>
    </row>
    <row r="575">
      <c r="A575" s="20">
        <v>1096902.0</v>
      </c>
      <c r="B575" s="158">
        <v>43861.0</v>
      </c>
      <c r="C575" s="159" t="s">
        <v>893</v>
      </c>
      <c r="D575" s="161" t="s">
        <v>3221</v>
      </c>
      <c r="E575" s="30" t="s">
        <v>45</v>
      </c>
      <c r="F575" s="30" t="s">
        <v>46</v>
      </c>
      <c r="G575" s="31"/>
      <c r="H575" s="30" t="s">
        <v>47</v>
      </c>
      <c r="I575" s="31"/>
      <c r="J575" s="30" t="s">
        <v>47</v>
      </c>
    </row>
    <row r="576">
      <c r="A576" s="20">
        <v>1110626.0</v>
      </c>
      <c r="B576" s="158">
        <v>43861.0</v>
      </c>
      <c r="C576" s="159" t="s">
        <v>893</v>
      </c>
      <c r="D576" s="161" t="s">
        <v>3222</v>
      </c>
      <c r="E576" s="30" t="s">
        <v>39</v>
      </c>
      <c r="F576" s="30" t="s">
        <v>241</v>
      </c>
      <c r="G576" s="31">
        <v>1974404.0</v>
      </c>
      <c r="H576" s="30" t="s">
        <v>3223</v>
      </c>
      <c r="I576" s="31"/>
      <c r="J576" s="30" t="s">
        <v>47</v>
      </c>
    </row>
    <row r="577">
      <c r="A577" s="20">
        <v>1789462.0</v>
      </c>
      <c r="B577" s="158">
        <v>43861.0</v>
      </c>
      <c r="C577" s="159" t="s">
        <v>2628</v>
      </c>
      <c r="D577" s="161" t="s">
        <v>3224</v>
      </c>
      <c r="E577" s="30" t="s">
        <v>189</v>
      </c>
      <c r="F577" s="30" t="s">
        <v>300</v>
      </c>
      <c r="G577" s="31">
        <v>699850.0</v>
      </c>
      <c r="H577" s="30" t="s">
        <v>3225</v>
      </c>
      <c r="I577" s="31"/>
      <c r="J577" s="30" t="s">
        <v>47</v>
      </c>
    </row>
    <row r="578">
      <c r="A578" s="20">
        <v>1121560.0</v>
      </c>
      <c r="B578" s="158">
        <v>43861.0</v>
      </c>
      <c r="C578" s="159" t="s">
        <v>893</v>
      </c>
      <c r="D578" s="161" t="s">
        <v>3226</v>
      </c>
      <c r="E578" s="30" t="s">
        <v>45</v>
      </c>
      <c r="F578" s="30" t="s">
        <v>46</v>
      </c>
      <c r="G578" s="31">
        <v>1001214.0</v>
      </c>
      <c r="H578" s="30" t="s">
        <v>3227</v>
      </c>
      <c r="I578" s="31"/>
      <c r="J578" s="30" t="s">
        <v>47</v>
      </c>
    </row>
    <row r="579">
      <c r="A579" s="20">
        <v>494286.0</v>
      </c>
      <c r="B579" s="158">
        <v>43858.0</v>
      </c>
      <c r="C579" s="159" t="s">
        <v>893</v>
      </c>
      <c r="D579" s="161" t="s">
        <v>3228</v>
      </c>
      <c r="E579" s="30"/>
      <c r="F579" s="30"/>
      <c r="G579" s="31"/>
      <c r="H579" s="30" t="s">
        <v>47</v>
      </c>
      <c r="I579" s="31"/>
      <c r="J579" s="30" t="s">
        <v>47</v>
      </c>
    </row>
    <row r="580">
      <c r="A580" s="20">
        <v>1803746.0</v>
      </c>
      <c r="B580" s="158">
        <v>43854.0</v>
      </c>
      <c r="C580" s="159" t="s">
        <v>893</v>
      </c>
      <c r="D580" s="161" t="s">
        <v>3229</v>
      </c>
      <c r="E580" s="30" t="s">
        <v>45</v>
      </c>
      <c r="F580" s="30" t="s">
        <v>75</v>
      </c>
      <c r="G580" s="31">
        <v>1670116.0</v>
      </c>
      <c r="H580" s="30" t="s">
        <v>607</v>
      </c>
      <c r="I580" s="31">
        <v>2059853.0</v>
      </c>
      <c r="J580" s="30" t="s">
        <v>3230</v>
      </c>
    </row>
    <row r="581">
      <c r="A581" s="20">
        <v>1771078.0</v>
      </c>
      <c r="B581" s="158">
        <v>43854.0</v>
      </c>
      <c r="C581" s="159" t="s">
        <v>893</v>
      </c>
      <c r="D581" s="161" t="s">
        <v>3231</v>
      </c>
      <c r="E581" s="30" t="s">
        <v>45</v>
      </c>
      <c r="F581" s="30" t="s">
        <v>75</v>
      </c>
      <c r="G581" s="31">
        <v>1878624.0</v>
      </c>
      <c r="H581" s="30" t="s">
        <v>3232</v>
      </c>
      <c r="I581" s="31">
        <v>1162310.0</v>
      </c>
      <c r="J581" s="30" t="s">
        <v>3233</v>
      </c>
    </row>
    <row r="582">
      <c r="A582" s="20">
        <v>2422282.0</v>
      </c>
      <c r="B582" s="158">
        <v>43854.0</v>
      </c>
      <c r="C582" s="159" t="s">
        <v>893</v>
      </c>
      <c r="D582" s="161" t="s">
        <v>3234</v>
      </c>
      <c r="E582" s="30" t="s">
        <v>45</v>
      </c>
      <c r="F582" s="30" t="s">
        <v>75</v>
      </c>
      <c r="G582" s="31">
        <v>2253706.0</v>
      </c>
      <c r="H582" s="30" t="s">
        <v>569</v>
      </c>
      <c r="I582" s="31"/>
      <c r="J582" s="30" t="s">
        <v>47</v>
      </c>
    </row>
    <row r="583">
      <c r="A583" s="20">
        <v>2034074.0</v>
      </c>
      <c r="B583" s="158">
        <v>43838.0</v>
      </c>
      <c r="C583" s="159" t="s">
        <v>2362</v>
      </c>
      <c r="D583" s="161" t="s">
        <v>3235</v>
      </c>
      <c r="E583" s="30" t="s">
        <v>45</v>
      </c>
      <c r="F583" s="30" t="s">
        <v>90</v>
      </c>
      <c r="G583" s="31"/>
      <c r="H583" s="30" t="s">
        <v>47</v>
      </c>
      <c r="I583" s="31"/>
      <c r="J583" s="30" t="s">
        <v>47</v>
      </c>
    </row>
  </sheetData>
  <autoFilter ref="$A$3:$J$583">
    <sortState ref="A3:J583">
      <sortCondition descending="1" ref="B3:B583"/>
    </sortState>
  </autoFilter>
  <mergeCells count="3">
    <mergeCell ref="B1:B2"/>
    <mergeCell ref="C1:H1"/>
    <mergeCell ref="C2:H2"/>
  </mergeCells>
  <conditionalFormatting sqref="A3 B3:J3">
    <cfRule type="expression" dxfId="0" priority="1">
      <formula>countif(A:A,A3)&gt;1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2" width="14.43"/>
    <col customWidth="1" min="3" max="3" width="9.57"/>
    <col customWidth="1" min="4" max="4" width="31.71"/>
    <col customWidth="1" min="5" max="5" width="24.43"/>
    <col customWidth="1" min="6" max="6" width="20.71"/>
    <col customWidth="1" min="7" max="7" width="27.57"/>
    <col customWidth="1" min="8" max="8" width="20.14"/>
    <col customWidth="1" min="9" max="10" width="42.86"/>
  </cols>
  <sheetData>
    <row r="1" ht="19.5" customHeight="1">
      <c r="A1" s="146"/>
      <c r="B1" s="147"/>
      <c r="C1" s="163" t="s">
        <v>706</v>
      </c>
      <c r="G1" s="74"/>
      <c r="H1" s="74"/>
      <c r="I1" s="74"/>
      <c r="J1" s="74"/>
    </row>
    <row r="2" ht="47.25" customHeight="1">
      <c r="A2" s="146"/>
      <c r="C2" s="75" t="s">
        <v>3236</v>
      </c>
      <c r="G2" s="156"/>
      <c r="H2" s="156"/>
      <c r="I2" s="156"/>
      <c r="J2" s="156"/>
    </row>
    <row r="3">
      <c r="A3" s="25" t="s">
        <v>27</v>
      </c>
      <c r="B3" s="25" t="s">
        <v>28</v>
      </c>
      <c r="C3" s="25" t="s">
        <v>29</v>
      </c>
      <c r="D3" s="25" t="s">
        <v>30</v>
      </c>
      <c r="E3" s="25" t="s">
        <v>31</v>
      </c>
      <c r="F3" s="25" t="s">
        <v>32</v>
      </c>
      <c r="G3" s="25" t="s">
        <v>33</v>
      </c>
      <c r="H3" s="25" t="s">
        <v>34</v>
      </c>
      <c r="I3" s="25" t="s">
        <v>35</v>
      </c>
      <c r="J3" s="25" t="s">
        <v>36</v>
      </c>
    </row>
    <row r="4">
      <c r="A4" s="83">
        <v>1232296.0</v>
      </c>
      <c r="B4" s="164">
        <v>43819.0</v>
      </c>
      <c r="C4" s="165" t="s">
        <v>893</v>
      </c>
      <c r="D4" s="165" t="s">
        <v>3237</v>
      </c>
      <c r="E4" s="165" t="s">
        <v>39</v>
      </c>
      <c r="F4" s="166" t="s">
        <v>54</v>
      </c>
      <c r="G4" s="167">
        <v>1249164.0</v>
      </c>
      <c r="H4" s="168" t="s">
        <v>3238</v>
      </c>
      <c r="I4" s="166"/>
      <c r="J4" s="166" t="s">
        <v>47</v>
      </c>
    </row>
    <row r="5">
      <c r="A5" s="83">
        <v>1328226.0</v>
      </c>
      <c r="B5" s="164">
        <v>43819.0</v>
      </c>
      <c r="C5" s="165" t="s">
        <v>893</v>
      </c>
      <c r="D5" s="165" t="s">
        <v>3239</v>
      </c>
      <c r="E5" s="165" t="s">
        <v>39</v>
      </c>
      <c r="F5" s="166" t="s">
        <v>54</v>
      </c>
      <c r="G5" s="167">
        <v>1046104.0</v>
      </c>
      <c r="H5" s="168" t="s">
        <v>3240</v>
      </c>
      <c r="I5" s="166"/>
      <c r="J5" s="166" t="s">
        <v>47</v>
      </c>
    </row>
    <row r="6">
      <c r="A6" s="83">
        <v>1230950.0</v>
      </c>
      <c r="B6" s="164">
        <v>43819.0</v>
      </c>
      <c r="C6" s="165" t="s">
        <v>893</v>
      </c>
      <c r="D6" s="165" t="s">
        <v>3241</v>
      </c>
      <c r="E6" s="165" t="s">
        <v>96</v>
      </c>
      <c r="F6" s="166" t="s">
        <v>263</v>
      </c>
      <c r="G6" s="166"/>
      <c r="H6" s="166" t="s">
        <v>47</v>
      </c>
      <c r="I6" s="166"/>
      <c r="J6" s="166" t="s">
        <v>47</v>
      </c>
    </row>
    <row r="7">
      <c r="A7" s="83">
        <v>1231188.0</v>
      </c>
      <c r="B7" s="164">
        <v>43819.0</v>
      </c>
      <c r="C7" s="165" t="s">
        <v>893</v>
      </c>
      <c r="D7" s="165" t="s">
        <v>3242</v>
      </c>
      <c r="E7" s="165" t="s">
        <v>122</v>
      </c>
      <c r="F7" s="166" t="s">
        <v>271</v>
      </c>
      <c r="G7" s="167">
        <v>1361318.0</v>
      </c>
      <c r="H7" s="166" t="s">
        <v>3243</v>
      </c>
      <c r="I7" s="167">
        <v>1689362.0</v>
      </c>
      <c r="J7" s="168" t="s">
        <v>3244</v>
      </c>
    </row>
    <row r="8">
      <c r="A8" s="83">
        <v>1231330.0</v>
      </c>
      <c r="B8" s="164">
        <v>43819.0</v>
      </c>
      <c r="C8" s="165" t="s">
        <v>893</v>
      </c>
      <c r="D8" s="165" t="s">
        <v>3245</v>
      </c>
      <c r="E8" s="165" t="s">
        <v>122</v>
      </c>
      <c r="F8" s="166" t="s">
        <v>123</v>
      </c>
      <c r="G8" s="167">
        <v>988524.0</v>
      </c>
      <c r="H8" s="168" t="s">
        <v>2893</v>
      </c>
      <c r="I8" s="166"/>
      <c r="J8" s="166" t="s">
        <v>47</v>
      </c>
    </row>
    <row r="9">
      <c r="A9" s="83">
        <v>1231958.0</v>
      </c>
      <c r="B9" s="164">
        <v>43819.0</v>
      </c>
      <c r="C9" s="165" t="s">
        <v>893</v>
      </c>
      <c r="D9" s="165" t="s">
        <v>3246</v>
      </c>
      <c r="E9" s="165" t="s">
        <v>96</v>
      </c>
      <c r="F9" s="166" t="s">
        <v>263</v>
      </c>
      <c r="G9" s="167">
        <v>640100.0</v>
      </c>
      <c r="H9" s="168" t="s">
        <v>860</v>
      </c>
      <c r="I9" s="166"/>
      <c r="J9" s="166" t="s">
        <v>47</v>
      </c>
    </row>
    <row r="10">
      <c r="A10" s="83">
        <v>1232312.0</v>
      </c>
      <c r="B10" s="164">
        <v>43819.0</v>
      </c>
      <c r="C10" s="165" t="s">
        <v>893</v>
      </c>
      <c r="D10" s="165" t="s">
        <v>3247</v>
      </c>
      <c r="E10" s="165" t="s">
        <v>96</v>
      </c>
      <c r="F10" s="166" t="s">
        <v>263</v>
      </c>
      <c r="G10" s="167">
        <v>648826.0</v>
      </c>
      <c r="H10" s="168" t="s">
        <v>1842</v>
      </c>
      <c r="I10" s="166"/>
      <c r="J10" s="166" t="s">
        <v>47</v>
      </c>
    </row>
    <row r="11">
      <c r="A11" s="83">
        <v>1232390.0</v>
      </c>
      <c r="B11" s="164">
        <v>43819.0</v>
      </c>
      <c r="C11" s="165" t="s">
        <v>893</v>
      </c>
      <c r="D11" s="165" t="s">
        <v>3248</v>
      </c>
      <c r="E11" s="165" t="s">
        <v>2958</v>
      </c>
      <c r="F11" s="166" t="s">
        <v>467</v>
      </c>
      <c r="G11" s="166"/>
      <c r="H11" s="166" t="s">
        <v>47</v>
      </c>
      <c r="I11" s="166"/>
      <c r="J11" s="166" t="s">
        <v>47</v>
      </c>
    </row>
    <row r="12">
      <c r="A12" s="83">
        <v>1233302.0</v>
      </c>
      <c r="B12" s="164">
        <v>43819.0</v>
      </c>
      <c r="C12" s="165" t="s">
        <v>893</v>
      </c>
      <c r="D12" s="165" t="s">
        <v>3249</v>
      </c>
      <c r="E12" s="165" t="s">
        <v>96</v>
      </c>
      <c r="F12" s="166" t="s">
        <v>263</v>
      </c>
      <c r="G12" s="167">
        <v>640100.0</v>
      </c>
      <c r="H12" s="168" t="s">
        <v>860</v>
      </c>
      <c r="I12" s="166"/>
      <c r="J12" s="166" t="s">
        <v>47</v>
      </c>
    </row>
    <row r="13">
      <c r="A13" s="83">
        <v>1233314.0</v>
      </c>
      <c r="B13" s="164">
        <v>43819.0</v>
      </c>
      <c r="C13" s="165" t="s">
        <v>893</v>
      </c>
      <c r="D13" s="165" t="s">
        <v>3250</v>
      </c>
      <c r="E13" s="165" t="s">
        <v>122</v>
      </c>
      <c r="F13" s="166" t="s">
        <v>127</v>
      </c>
      <c r="G13" s="167">
        <v>1102182.0</v>
      </c>
      <c r="H13" s="166" t="s">
        <v>47</v>
      </c>
      <c r="I13" s="166"/>
      <c r="J13" s="166" t="s">
        <v>47</v>
      </c>
    </row>
    <row r="14">
      <c r="A14" s="83">
        <v>1245472.0</v>
      </c>
      <c r="B14" s="164">
        <v>43819.0</v>
      </c>
      <c r="C14" s="165" t="s">
        <v>893</v>
      </c>
      <c r="D14" s="165" t="s">
        <v>3251</v>
      </c>
      <c r="E14" s="165" t="s">
        <v>2958</v>
      </c>
      <c r="F14" s="166" t="s">
        <v>467</v>
      </c>
      <c r="G14" s="166"/>
      <c r="H14" s="166" t="s">
        <v>47</v>
      </c>
      <c r="I14" s="166"/>
      <c r="J14" s="166" t="s">
        <v>47</v>
      </c>
    </row>
    <row r="15">
      <c r="A15" s="83">
        <v>1245502.0</v>
      </c>
      <c r="B15" s="164">
        <v>43819.0</v>
      </c>
      <c r="C15" s="165" t="s">
        <v>893</v>
      </c>
      <c r="D15" s="165" t="s">
        <v>3252</v>
      </c>
      <c r="E15" s="165" t="s">
        <v>122</v>
      </c>
      <c r="F15" s="166" t="s">
        <v>123</v>
      </c>
      <c r="G15" s="167">
        <v>440332.0</v>
      </c>
      <c r="H15" s="168" t="s">
        <v>3253</v>
      </c>
      <c r="I15" s="166"/>
      <c r="J15" s="166" t="s">
        <v>47</v>
      </c>
    </row>
    <row r="16">
      <c r="A16" s="83">
        <v>1245542.0</v>
      </c>
      <c r="B16" s="164">
        <v>43819.0</v>
      </c>
      <c r="C16" s="165" t="s">
        <v>893</v>
      </c>
      <c r="D16" s="165" t="s">
        <v>3254</v>
      </c>
      <c r="E16" s="165" t="s">
        <v>122</v>
      </c>
      <c r="F16" s="166" t="s">
        <v>123</v>
      </c>
      <c r="G16" s="167">
        <v>344418.0</v>
      </c>
      <c r="H16" s="168" t="s">
        <v>3255</v>
      </c>
      <c r="I16" s="166"/>
      <c r="J16" s="166" t="s">
        <v>47</v>
      </c>
    </row>
    <row r="17">
      <c r="A17" s="83">
        <v>1248864.0</v>
      </c>
      <c r="B17" s="164">
        <v>43819.0</v>
      </c>
      <c r="C17" s="165" t="s">
        <v>893</v>
      </c>
      <c r="D17" s="165" t="s">
        <v>3256</v>
      </c>
      <c r="E17" s="165" t="s">
        <v>2958</v>
      </c>
      <c r="F17" s="168" t="s">
        <v>339</v>
      </c>
      <c r="G17" s="166"/>
      <c r="H17" s="166" t="s">
        <v>47</v>
      </c>
      <c r="I17" s="166"/>
      <c r="J17" s="166" t="s">
        <v>47</v>
      </c>
    </row>
    <row r="18">
      <c r="A18" s="83">
        <v>1249146.0</v>
      </c>
      <c r="B18" s="164">
        <v>43819.0</v>
      </c>
      <c r="C18" s="165" t="s">
        <v>893</v>
      </c>
      <c r="D18" s="165" t="s">
        <v>3257</v>
      </c>
      <c r="E18" s="165" t="s">
        <v>96</v>
      </c>
      <c r="F18" s="166" t="s">
        <v>263</v>
      </c>
      <c r="G18" s="167">
        <v>1258666.0</v>
      </c>
      <c r="H18" s="166" t="s">
        <v>47</v>
      </c>
      <c r="I18" s="166"/>
      <c r="J18" s="166" t="s">
        <v>47</v>
      </c>
    </row>
    <row r="19">
      <c r="A19" s="83">
        <v>1249164.0</v>
      </c>
      <c r="B19" s="164">
        <v>43819.0</v>
      </c>
      <c r="C19" s="165" t="s">
        <v>893</v>
      </c>
      <c r="D19" s="165" t="s">
        <v>3238</v>
      </c>
      <c r="E19" s="165" t="s">
        <v>96</v>
      </c>
      <c r="F19" s="166" t="s">
        <v>263</v>
      </c>
      <c r="G19" s="166"/>
      <c r="H19" s="166" t="s">
        <v>47</v>
      </c>
      <c r="I19" s="166"/>
      <c r="J19" s="166" t="s">
        <v>47</v>
      </c>
    </row>
    <row r="20">
      <c r="A20" s="83">
        <v>1251642.0</v>
      </c>
      <c r="B20" s="164">
        <v>43819.0</v>
      </c>
      <c r="C20" s="165" t="s">
        <v>893</v>
      </c>
      <c r="D20" s="165" t="s">
        <v>3258</v>
      </c>
      <c r="E20" s="165" t="s">
        <v>122</v>
      </c>
      <c r="F20" s="166" t="s">
        <v>123</v>
      </c>
      <c r="G20" s="167">
        <v>344418.0</v>
      </c>
      <c r="H20" s="168" t="s">
        <v>3255</v>
      </c>
      <c r="I20" s="166"/>
      <c r="J20" s="166" t="s">
        <v>47</v>
      </c>
    </row>
    <row r="21">
      <c r="A21" s="83">
        <v>1251756.0</v>
      </c>
      <c r="B21" s="164">
        <v>43819.0</v>
      </c>
      <c r="C21" s="165" t="s">
        <v>893</v>
      </c>
      <c r="D21" s="165" t="s">
        <v>3259</v>
      </c>
      <c r="E21" s="165" t="s">
        <v>189</v>
      </c>
      <c r="F21" s="168" t="s">
        <v>300</v>
      </c>
      <c r="G21" s="166"/>
      <c r="H21" s="166" t="s">
        <v>47</v>
      </c>
      <c r="I21" s="166"/>
      <c r="J21" s="166" t="s">
        <v>47</v>
      </c>
    </row>
    <row r="22">
      <c r="A22" s="83">
        <v>1258666.0</v>
      </c>
      <c r="B22" s="164">
        <v>43819.0</v>
      </c>
      <c r="C22" s="165" t="s">
        <v>893</v>
      </c>
      <c r="D22" s="165" t="s">
        <v>3260</v>
      </c>
      <c r="E22" s="165" t="s">
        <v>96</v>
      </c>
      <c r="F22" s="166" t="s">
        <v>263</v>
      </c>
      <c r="G22" s="166"/>
      <c r="H22" s="166" t="s">
        <v>47</v>
      </c>
      <c r="I22" s="166"/>
      <c r="J22" s="166" t="s">
        <v>47</v>
      </c>
    </row>
    <row r="23">
      <c r="A23" s="83">
        <v>1260300.0</v>
      </c>
      <c r="B23" s="164">
        <v>43819.0</v>
      </c>
      <c r="C23" s="165" t="s">
        <v>893</v>
      </c>
      <c r="D23" s="165" t="s">
        <v>3261</v>
      </c>
      <c r="E23" s="165" t="s">
        <v>122</v>
      </c>
      <c r="F23" s="166" t="s">
        <v>123</v>
      </c>
      <c r="G23" s="167">
        <v>1266526.0</v>
      </c>
      <c r="H23" s="168" t="s">
        <v>1068</v>
      </c>
      <c r="I23" s="166"/>
      <c r="J23" s="166" t="s">
        <v>47</v>
      </c>
    </row>
    <row r="24">
      <c r="A24" s="83">
        <v>1260426.0</v>
      </c>
      <c r="B24" s="164">
        <v>43819.0</v>
      </c>
      <c r="C24" s="165" t="s">
        <v>893</v>
      </c>
      <c r="D24" s="165" t="s">
        <v>3262</v>
      </c>
      <c r="E24" s="165" t="s">
        <v>58</v>
      </c>
      <c r="F24" s="166" t="s">
        <v>59</v>
      </c>
      <c r="G24" s="167">
        <v>698200.0</v>
      </c>
      <c r="H24" s="168" t="s">
        <v>3263</v>
      </c>
      <c r="I24" s="166"/>
      <c r="J24" s="166" t="s">
        <v>47</v>
      </c>
    </row>
    <row r="25">
      <c r="A25" s="83">
        <v>1261644.0</v>
      </c>
      <c r="B25" s="164">
        <v>43819.0</v>
      </c>
      <c r="C25" s="165" t="s">
        <v>893</v>
      </c>
      <c r="D25" s="165" t="s">
        <v>3264</v>
      </c>
      <c r="E25" s="165" t="s">
        <v>2958</v>
      </c>
      <c r="F25" s="166" t="s">
        <v>467</v>
      </c>
      <c r="G25" s="166"/>
      <c r="H25" s="166" t="s">
        <v>47</v>
      </c>
      <c r="I25" s="166"/>
      <c r="J25" s="166" t="s">
        <v>47</v>
      </c>
    </row>
    <row r="26">
      <c r="A26" s="83">
        <v>1261762.0</v>
      </c>
      <c r="B26" s="164">
        <v>43819.0</v>
      </c>
      <c r="C26" s="165" t="s">
        <v>893</v>
      </c>
      <c r="D26" s="165" t="s">
        <v>3265</v>
      </c>
      <c r="E26" s="165" t="s">
        <v>96</v>
      </c>
      <c r="F26" s="166" t="s">
        <v>263</v>
      </c>
      <c r="G26" s="167">
        <v>530608.0</v>
      </c>
      <c r="H26" s="168" t="s">
        <v>3266</v>
      </c>
      <c r="I26" s="166"/>
      <c r="J26" s="166" t="s">
        <v>47</v>
      </c>
    </row>
    <row r="27">
      <c r="A27" s="83">
        <v>1263000.0</v>
      </c>
      <c r="B27" s="164">
        <v>43819.0</v>
      </c>
      <c r="C27" s="165" t="s">
        <v>893</v>
      </c>
      <c r="D27" s="165" t="s">
        <v>3267</v>
      </c>
      <c r="E27" s="165" t="s">
        <v>2958</v>
      </c>
      <c r="F27" s="166" t="s">
        <v>311</v>
      </c>
      <c r="G27" s="167">
        <v>379374.0</v>
      </c>
      <c r="H27" s="168" t="s">
        <v>1680</v>
      </c>
      <c r="I27" s="166"/>
      <c r="J27" s="166" t="s">
        <v>47</v>
      </c>
    </row>
    <row r="28">
      <c r="A28" s="83">
        <v>1264998.0</v>
      </c>
      <c r="B28" s="164">
        <v>43819.0</v>
      </c>
      <c r="C28" s="165" t="s">
        <v>893</v>
      </c>
      <c r="D28" s="165" t="s">
        <v>3268</v>
      </c>
      <c r="E28" s="165" t="s">
        <v>219</v>
      </c>
      <c r="F28" s="166" t="s">
        <v>220</v>
      </c>
      <c r="G28" s="167">
        <v>563478.0</v>
      </c>
      <c r="H28" s="166" t="s">
        <v>1445</v>
      </c>
      <c r="I28" s="167">
        <v>619692.0</v>
      </c>
      <c r="J28" s="168" t="s">
        <v>3269</v>
      </c>
    </row>
    <row r="29">
      <c r="A29" s="83">
        <v>1265040.0</v>
      </c>
      <c r="B29" s="164">
        <v>43819.0</v>
      </c>
      <c r="C29" s="165" t="s">
        <v>893</v>
      </c>
      <c r="D29" s="165" t="s">
        <v>3270</v>
      </c>
      <c r="E29" s="165" t="s">
        <v>122</v>
      </c>
      <c r="F29" s="166" t="s">
        <v>127</v>
      </c>
      <c r="G29" s="167">
        <v>1612806.0</v>
      </c>
      <c r="H29" s="168" t="s">
        <v>1819</v>
      </c>
      <c r="I29" s="166"/>
      <c r="J29" s="166" t="s">
        <v>47</v>
      </c>
    </row>
    <row r="30">
      <c r="A30" s="83">
        <v>1267498.0</v>
      </c>
      <c r="B30" s="164">
        <v>43819.0</v>
      </c>
      <c r="C30" s="165" t="s">
        <v>893</v>
      </c>
      <c r="D30" s="165" t="s">
        <v>3271</v>
      </c>
      <c r="E30" s="165" t="s">
        <v>122</v>
      </c>
      <c r="F30" s="166" t="s">
        <v>123</v>
      </c>
      <c r="G30" s="167">
        <v>613808.0</v>
      </c>
      <c r="H30" s="168" t="s">
        <v>1591</v>
      </c>
      <c r="I30" s="166"/>
      <c r="J30" s="166" t="s">
        <v>47</v>
      </c>
    </row>
    <row r="31">
      <c r="A31" s="83">
        <v>1267514.0</v>
      </c>
      <c r="B31" s="164">
        <v>43819.0</v>
      </c>
      <c r="C31" s="165" t="s">
        <v>893</v>
      </c>
      <c r="D31" s="165" t="s">
        <v>3272</v>
      </c>
      <c r="E31" s="165" t="s">
        <v>83</v>
      </c>
      <c r="F31" s="166" t="s">
        <v>285</v>
      </c>
      <c r="G31" s="167">
        <v>1467664.0</v>
      </c>
      <c r="H31" s="168" t="s">
        <v>3273</v>
      </c>
      <c r="I31" s="166"/>
      <c r="J31" s="166" t="s">
        <v>47</v>
      </c>
    </row>
    <row r="32">
      <c r="A32" s="83">
        <v>1267566.0</v>
      </c>
      <c r="B32" s="164">
        <v>43819.0</v>
      </c>
      <c r="C32" s="165" t="s">
        <v>893</v>
      </c>
      <c r="D32" s="165" t="s">
        <v>3274</v>
      </c>
      <c r="E32" s="165" t="s">
        <v>219</v>
      </c>
      <c r="F32" s="168" t="s">
        <v>220</v>
      </c>
      <c r="G32" s="166"/>
      <c r="H32" s="166" t="s">
        <v>47</v>
      </c>
      <c r="I32" s="166"/>
      <c r="J32" s="166" t="s">
        <v>47</v>
      </c>
    </row>
    <row r="33">
      <c r="A33" s="83">
        <v>1273952.0</v>
      </c>
      <c r="B33" s="164">
        <v>43819.0</v>
      </c>
      <c r="C33" s="165" t="s">
        <v>893</v>
      </c>
      <c r="D33" s="165" t="s">
        <v>3275</v>
      </c>
      <c r="E33" s="165" t="s">
        <v>122</v>
      </c>
      <c r="F33" s="166" t="s">
        <v>127</v>
      </c>
      <c r="G33" s="167">
        <v>1612806.0</v>
      </c>
      <c r="H33" s="168" t="s">
        <v>1819</v>
      </c>
      <c r="I33" s="166"/>
      <c r="J33" s="166" t="s">
        <v>47</v>
      </c>
    </row>
    <row r="34">
      <c r="A34" s="83">
        <v>1301804.0</v>
      </c>
      <c r="B34" s="164">
        <v>43819.0</v>
      </c>
      <c r="C34" s="165" t="s">
        <v>893</v>
      </c>
      <c r="D34" s="165" t="s">
        <v>3276</v>
      </c>
      <c r="E34" s="165" t="s">
        <v>122</v>
      </c>
      <c r="F34" s="166" t="s">
        <v>123</v>
      </c>
      <c r="G34" s="167">
        <v>1211572.0</v>
      </c>
      <c r="H34" s="166" t="s">
        <v>47</v>
      </c>
      <c r="I34" s="167">
        <v>852606.0</v>
      </c>
      <c r="J34" s="168" t="s">
        <v>3277</v>
      </c>
    </row>
    <row r="35">
      <c r="A35" s="83">
        <v>1306754.0</v>
      </c>
      <c r="B35" s="164">
        <v>43819.0</v>
      </c>
      <c r="C35" s="165" t="s">
        <v>893</v>
      </c>
      <c r="D35" s="165" t="s">
        <v>3278</v>
      </c>
      <c r="E35" s="165" t="s">
        <v>122</v>
      </c>
      <c r="F35" s="166" t="s">
        <v>538</v>
      </c>
      <c r="G35" s="166"/>
      <c r="H35" s="166" t="s">
        <v>47</v>
      </c>
      <c r="I35" s="166"/>
      <c r="J35" s="166" t="s">
        <v>47</v>
      </c>
    </row>
    <row r="36">
      <c r="A36" s="83">
        <v>1321574.0</v>
      </c>
      <c r="B36" s="164">
        <v>43819.0</v>
      </c>
      <c r="C36" s="165" t="s">
        <v>893</v>
      </c>
      <c r="D36" s="165" t="s">
        <v>3279</v>
      </c>
      <c r="E36" s="165" t="s">
        <v>122</v>
      </c>
      <c r="F36" s="166" t="s">
        <v>127</v>
      </c>
      <c r="G36" s="167">
        <v>697346.0</v>
      </c>
      <c r="H36" s="168" t="s">
        <v>3080</v>
      </c>
      <c r="I36" s="166"/>
      <c r="J36" s="166" t="s">
        <v>47</v>
      </c>
    </row>
    <row r="37">
      <c r="A37" s="83">
        <v>1321606.0</v>
      </c>
      <c r="B37" s="164">
        <v>43819.0</v>
      </c>
      <c r="C37" s="165" t="s">
        <v>893</v>
      </c>
      <c r="D37" s="165" t="s">
        <v>3280</v>
      </c>
      <c r="E37" s="165" t="s">
        <v>122</v>
      </c>
      <c r="F37" s="166" t="s">
        <v>127</v>
      </c>
      <c r="G37" s="167">
        <v>1612806.0</v>
      </c>
      <c r="H37" s="168" t="s">
        <v>1819</v>
      </c>
      <c r="I37" s="166"/>
      <c r="J37" s="166" t="s">
        <v>47</v>
      </c>
    </row>
    <row r="38">
      <c r="A38" s="83">
        <v>1251654.0</v>
      </c>
      <c r="B38" s="164">
        <v>43819.0</v>
      </c>
      <c r="C38" s="165" t="s">
        <v>893</v>
      </c>
      <c r="D38" s="165" t="s">
        <v>3281</v>
      </c>
      <c r="E38" s="165" t="s">
        <v>96</v>
      </c>
      <c r="F38" s="166" t="s">
        <v>352</v>
      </c>
      <c r="G38" s="167">
        <v>888716.0</v>
      </c>
      <c r="H38" s="168" t="s">
        <v>3282</v>
      </c>
      <c r="I38" s="166"/>
      <c r="J38" s="166" t="s">
        <v>47</v>
      </c>
    </row>
    <row r="39">
      <c r="A39" s="83">
        <v>1326992.0</v>
      </c>
      <c r="B39" s="164">
        <v>43819.0</v>
      </c>
      <c r="C39" s="165" t="s">
        <v>893</v>
      </c>
      <c r="D39" s="165" t="s">
        <v>3283</v>
      </c>
      <c r="E39" s="165" t="s">
        <v>122</v>
      </c>
      <c r="F39" s="166" t="s">
        <v>127</v>
      </c>
      <c r="G39" s="167">
        <v>613808.0</v>
      </c>
      <c r="H39" s="168" t="s">
        <v>1591</v>
      </c>
      <c r="I39" s="166"/>
      <c r="J39" s="166" t="s">
        <v>47</v>
      </c>
    </row>
    <row r="40">
      <c r="A40" s="83">
        <v>1231156.0</v>
      </c>
      <c r="B40" s="164">
        <v>43819.0</v>
      </c>
      <c r="C40" s="165" t="s">
        <v>893</v>
      </c>
      <c r="D40" s="165" t="s">
        <v>3284</v>
      </c>
      <c r="E40" s="165" t="s">
        <v>189</v>
      </c>
      <c r="F40" s="166" t="s">
        <v>190</v>
      </c>
      <c r="G40" s="167">
        <v>1506888.0</v>
      </c>
      <c r="H40" s="166" t="s">
        <v>3285</v>
      </c>
      <c r="I40" s="167">
        <v>690066.0</v>
      </c>
      <c r="J40" s="168" t="s">
        <v>3286</v>
      </c>
    </row>
    <row r="41">
      <c r="A41" s="83">
        <v>1234564.0</v>
      </c>
      <c r="B41" s="164">
        <v>43819.0</v>
      </c>
      <c r="C41" s="165" t="s">
        <v>893</v>
      </c>
      <c r="D41" s="165" t="s">
        <v>3287</v>
      </c>
      <c r="E41" s="165" t="s">
        <v>122</v>
      </c>
      <c r="F41" s="166" t="s">
        <v>123</v>
      </c>
      <c r="G41" s="167">
        <v>613808.0</v>
      </c>
      <c r="H41" s="168" t="s">
        <v>1591</v>
      </c>
      <c r="I41" s="166"/>
      <c r="J41" s="166" t="s">
        <v>47</v>
      </c>
    </row>
    <row r="42">
      <c r="A42" s="83">
        <v>1541238.0</v>
      </c>
      <c r="B42" s="164">
        <v>43819.0</v>
      </c>
      <c r="C42" s="165" t="s">
        <v>893</v>
      </c>
      <c r="D42" s="165" t="s">
        <v>3288</v>
      </c>
      <c r="E42" s="165" t="s">
        <v>39</v>
      </c>
      <c r="F42" s="168" t="s">
        <v>140</v>
      </c>
      <c r="G42" s="166"/>
      <c r="H42" s="166" t="s">
        <v>47</v>
      </c>
      <c r="I42" s="166"/>
      <c r="J42" s="166" t="s">
        <v>47</v>
      </c>
    </row>
    <row r="43">
      <c r="A43" s="83">
        <v>339900.0</v>
      </c>
      <c r="B43" s="164">
        <v>43819.0</v>
      </c>
      <c r="C43" s="165" t="s">
        <v>893</v>
      </c>
      <c r="D43" s="165" t="s">
        <v>3289</v>
      </c>
      <c r="E43" s="165" t="s">
        <v>189</v>
      </c>
      <c r="F43" s="166" t="s">
        <v>300</v>
      </c>
      <c r="G43" s="167">
        <v>399334.0</v>
      </c>
      <c r="H43" s="166" t="s">
        <v>47</v>
      </c>
      <c r="I43" s="166"/>
      <c r="J43" s="166" t="s">
        <v>47</v>
      </c>
    </row>
    <row r="44">
      <c r="A44" s="83">
        <v>1063430.0</v>
      </c>
      <c r="B44" s="164">
        <v>43819.0</v>
      </c>
      <c r="C44" s="165" t="s">
        <v>893</v>
      </c>
      <c r="D44" s="165" t="s">
        <v>3290</v>
      </c>
      <c r="E44" s="165" t="s">
        <v>39</v>
      </c>
      <c r="F44" s="166" t="s">
        <v>140</v>
      </c>
      <c r="G44" s="167">
        <v>896858.0</v>
      </c>
      <c r="H44" s="166" t="s">
        <v>47</v>
      </c>
      <c r="I44" s="166"/>
      <c r="J44" s="166" t="s">
        <v>47</v>
      </c>
    </row>
    <row r="45">
      <c r="A45" s="83">
        <v>1919090.0</v>
      </c>
      <c r="B45" s="164">
        <v>43819.0</v>
      </c>
      <c r="C45" s="165" t="s">
        <v>893</v>
      </c>
      <c r="D45" s="165" t="s">
        <v>3291</v>
      </c>
      <c r="E45" s="165" t="s">
        <v>45</v>
      </c>
      <c r="F45" s="166" t="s">
        <v>46</v>
      </c>
      <c r="G45" s="166"/>
      <c r="H45" s="166" t="s">
        <v>47</v>
      </c>
      <c r="I45" s="166"/>
      <c r="J45" s="166" t="s">
        <v>47</v>
      </c>
    </row>
    <row r="46">
      <c r="A46" s="83">
        <v>2038206.0</v>
      </c>
      <c r="B46" s="164">
        <v>43819.0</v>
      </c>
      <c r="C46" s="165" t="s">
        <v>893</v>
      </c>
      <c r="D46" s="165" t="s">
        <v>3292</v>
      </c>
      <c r="E46" s="165" t="s">
        <v>122</v>
      </c>
      <c r="F46" s="166" t="s">
        <v>271</v>
      </c>
      <c r="G46" s="167">
        <v>1684752.0</v>
      </c>
      <c r="H46" s="168" t="s">
        <v>3293</v>
      </c>
      <c r="I46" s="166"/>
      <c r="J46" s="166" t="s">
        <v>47</v>
      </c>
    </row>
    <row r="47">
      <c r="A47" s="83">
        <v>2201816.0</v>
      </c>
      <c r="B47" s="164">
        <v>43819.0</v>
      </c>
      <c r="C47" s="165" t="s">
        <v>893</v>
      </c>
      <c r="D47" s="165" t="s">
        <v>3294</v>
      </c>
      <c r="E47" s="165" t="s">
        <v>58</v>
      </c>
      <c r="F47" s="166" t="s">
        <v>59</v>
      </c>
      <c r="G47" s="167">
        <v>991578.0</v>
      </c>
      <c r="H47" s="168" t="s">
        <v>3295</v>
      </c>
      <c r="I47" s="166"/>
      <c r="J47" s="166" t="s">
        <v>47</v>
      </c>
    </row>
    <row r="48">
      <c r="A48" s="83">
        <v>1435554.0</v>
      </c>
      <c r="B48" s="164">
        <v>43819.0</v>
      </c>
      <c r="C48" s="165" t="s">
        <v>893</v>
      </c>
      <c r="D48" s="165" t="s">
        <v>3296</v>
      </c>
      <c r="E48" s="165" t="s">
        <v>39</v>
      </c>
      <c r="F48" s="166" t="s">
        <v>50</v>
      </c>
      <c r="G48" s="167">
        <v>1725034.0</v>
      </c>
      <c r="H48" s="168" t="s">
        <v>3297</v>
      </c>
      <c r="I48" s="166"/>
      <c r="J48" s="166" t="s">
        <v>47</v>
      </c>
    </row>
    <row r="49">
      <c r="A49" s="83">
        <v>1247992.0</v>
      </c>
      <c r="B49" s="164">
        <v>43819.0</v>
      </c>
      <c r="C49" s="165" t="s">
        <v>893</v>
      </c>
      <c r="D49" s="165" t="s">
        <v>3298</v>
      </c>
      <c r="E49" s="165" t="s">
        <v>79</v>
      </c>
      <c r="F49" s="168" t="s">
        <v>998</v>
      </c>
      <c r="G49" s="166"/>
      <c r="H49" s="166" t="s">
        <v>47</v>
      </c>
      <c r="I49" s="166"/>
      <c r="J49" s="166" t="s">
        <v>47</v>
      </c>
    </row>
    <row r="50">
      <c r="A50" s="83">
        <v>491934.0</v>
      </c>
      <c r="B50" s="164">
        <v>43819.0</v>
      </c>
      <c r="C50" s="165" t="s">
        <v>893</v>
      </c>
      <c r="D50" s="165" t="s">
        <v>3299</v>
      </c>
      <c r="E50" s="165" t="s">
        <v>2958</v>
      </c>
      <c r="F50" s="166" t="s">
        <v>339</v>
      </c>
      <c r="G50" s="167">
        <v>469454.0</v>
      </c>
      <c r="H50" s="166" t="s">
        <v>47</v>
      </c>
      <c r="I50" s="166"/>
      <c r="J50" s="166" t="s">
        <v>47</v>
      </c>
    </row>
    <row r="51">
      <c r="A51" s="83">
        <v>690392.0</v>
      </c>
      <c r="B51" s="164">
        <v>43819.0</v>
      </c>
      <c r="C51" s="165" t="s">
        <v>893</v>
      </c>
      <c r="D51" s="165" t="s">
        <v>3300</v>
      </c>
      <c r="E51" s="165" t="s">
        <v>45</v>
      </c>
      <c r="F51" s="166" t="s">
        <v>46</v>
      </c>
      <c r="G51" s="167">
        <v>425522.0</v>
      </c>
      <c r="H51" s="168" t="s">
        <v>1803</v>
      </c>
      <c r="I51" s="166"/>
      <c r="J51" s="166" t="s">
        <v>47</v>
      </c>
    </row>
    <row r="52">
      <c r="A52" s="83">
        <v>1102182.0</v>
      </c>
      <c r="B52" s="164">
        <v>43819.0</v>
      </c>
      <c r="C52" s="165" t="s">
        <v>893</v>
      </c>
      <c r="D52" s="165" t="s">
        <v>3301</v>
      </c>
      <c r="E52" s="165" t="s">
        <v>122</v>
      </c>
      <c r="F52" s="166" t="s">
        <v>123</v>
      </c>
      <c r="G52" s="167">
        <v>1233314.0</v>
      </c>
      <c r="H52" s="166" t="s">
        <v>47</v>
      </c>
      <c r="I52" s="166"/>
      <c r="J52" s="166" t="s">
        <v>47</v>
      </c>
    </row>
    <row r="53">
      <c r="A53" s="83">
        <v>1069336.0</v>
      </c>
      <c r="B53" s="164">
        <v>43819.0</v>
      </c>
      <c r="C53" s="165" t="s">
        <v>893</v>
      </c>
      <c r="D53" s="165" t="s">
        <v>3302</v>
      </c>
      <c r="E53" s="165" t="s">
        <v>39</v>
      </c>
      <c r="F53" s="168" t="s">
        <v>54</v>
      </c>
      <c r="G53" s="166"/>
      <c r="H53" s="166" t="s">
        <v>47</v>
      </c>
      <c r="I53" s="166"/>
      <c r="J53" s="166" t="s">
        <v>47</v>
      </c>
    </row>
    <row r="54">
      <c r="A54" s="83">
        <v>1266286.0</v>
      </c>
      <c r="B54" s="164">
        <v>43819.0</v>
      </c>
      <c r="C54" s="165" t="s">
        <v>893</v>
      </c>
      <c r="D54" s="165" t="s">
        <v>3303</v>
      </c>
      <c r="E54" s="165" t="s">
        <v>63</v>
      </c>
      <c r="F54" s="166" t="s">
        <v>115</v>
      </c>
      <c r="G54" s="167">
        <v>825684.0</v>
      </c>
      <c r="H54" s="166" t="s">
        <v>47</v>
      </c>
      <c r="I54" s="166"/>
      <c r="J54" s="166" t="s">
        <v>47</v>
      </c>
    </row>
    <row r="55">
      <c r="A55" s="83">
        <v>982860.0</v>
      </c>
      <c r="B55" s="164">
        <v>43819.0</v>
      </c>
      <c r="C55" s="165" t="s">
        <v>893</v>
      </c>
      <c r="D55" s="165" t="s">
        <v>3304</v>
      </c>
      <c r="E55" s="165" t="s">
        <v>39</v>
      </c>
      <c r="F55" s="168" t="s">
        <v>140</v>
      </c>
      <c r="G55" s="166"/>
      <c r="H55" s="166" t="s">
        <v>47</v>
      </c>
      <c r="I55" s="166"/>
      <c r="J55" s="166" t="s">
        <v>47</v>
      </c>
    </row>
    <row r="56">
      <c r="A56" s="83">
        <v>274222.0</v>
      </c>
      <c r="B56" s="164">
        <v>43819.0</v>
      </c>
      <c r="C56" s="165" t="s">
        <v>893</v>
      </c>
      <c r="D56" s="165" t="s">
        <v>3305</v>
      </c>
      <c r="E56" s="165" t="s">
        <v>122</v>
      </c>
      <c r="F56" s="166" t="s">
        <v>271</v>
      </c>
      <c r="G56" s="166"/>
      <c r="H56" s="166" t="s">
        <v>47</v>
      </c>
      <c r="I56" s="166"/>
      <c r="J56" s="166" t="s">
        <v>47</v>
      </c>
    </row>
    <row r="57">
      <c r="A57" s="83">
        <v>953614.0</v>
      </c>
      <c r="B57" s="164">
        <v>43819.0</v>
      </c>
      <c r="C57" s="165" t="s">
        <v>893</v>
      </c>
      <c r="D57" s="165" t="s">
        <v>3306</v>
      </c>
      <c r="E57" s="165" t="s">
        <v>83</v>
      </c>
      <c r="F57" s="166" t="s">
        <v>147</v>
      </c>
      <c r="G57" s="167">
        <v>1639320.0</v>
      </c>
      <c r="H57" s="168" t="s">
        <v>3307</v>
      </c>
      <c r="I57" s="166"/>
      <c r="J57" s="166" t="s">
        <v>47</v>
      </c>
    </row>
    <row r="58">
      <c r="A58" s="83">
        <v>1262190.0</v>
      </c>
      <c r="B58" s="164">
        <v>43819.0</v>
      </c>
      <c r="C58" s="165" t="s">
        <v>893</v>
      </c>
      <c r="D58" s="165" t="s">
        <v>3308</v>
      </c>
      <c r="E58" s="165" t="s">
        <v>122</v>
      </c>
      <c r="F58" s="166" t="s">
        <v>123</v>
      </c>
      <c r="G58" s="167">
        <v>1331304.0</v>
      </c>
      <c r="H58" s="166" t="s">
        <v>3309</v>
      </c>
      <c r="I58" s="167">
        <v>1361814.0</v>
      </c>
      <c r="J58" s="168" t="s">
        <v>3310</v>
      </c>
    </row>
    <row r="59">
      <c r="A59" s="83">
        <v>376782.0</v>
      </c>
      <c r="B59" s="164">
        <v>43819.0</v>
      </c>
      <c r="C59" s="165" t="s">
        <v>893</v>
      </c>
      <c r="D59" s="165" t="s">
        <v>3311</v>
      </c>
      <c r="E59" s="165" t="s">
        <v>63</v>
      </c>
      <c r="F59" s="166" t="s">
        <v>64</v>
      </c>
      <c r="G59" s="166"/>
      <c r="H59" s="166" t="s">
        <v>47</v>
      </c>
      <c r="I59" s="166"/>
      <c r="J59" s="166" t="s">
        <v>47</v>
      </c>
    </row>
    <row r="60">
      <c r="A60" s="83">
        <v>553832.0</v>
      </c>
      <c r="B60" s="164">
        <v>43819.0</v>
      </c>
      <c r="C60" s="165" t="s">
        <v>893</v>
      </c>
      <c r="D60" s="165" t="s">
        <v>3312</v>
      </c>
      <c r="E60" s="165" t="s">
        <v>105</v>
      </c>
      <c r="F60" s="166" t="s">
        <v>198</v>
      </c>
      <c r="G60" s="167">
        <v>655208.0</v>
      </c>
      <c r="H60" s="168" t="s">
        <v>3313</v>
      </c>
      <c r="I60" s="166"/>
      <c r="J60" s="166" t="s">
        <v>47</v>
      </c>
    </row>
    <row r="61">
      <c r="A61" s="83">
        <v>42321.0</v>
      </c>
      <c r="B61" s="164">
        <v>43819.0</v>
      </c>
      <c r="C61" s="165" t="s">
        <v>893</v>
      </c>
      <c r="D61" s="165" t="s">
        <v>3314</v>
      </c>
      <c r="E61" s="165" t="s">
        <v>189</v>
      </c>
      <c r="F61" s="166" t="s">
        <v>300</v>
      </c>
      <c r="G61" s="167">
        <v>726230.0</v>
      </c>
      <c r="H61" s="166" t="s">
        <v>2328</v>
      </c>
      <c r="I61" s="167">
        <v>49779.0</v>
      </c>
      <c r="J61" s="168" t="s">
        <v>2327</v>
      </c>
    </row>
    <row r="62">
      <c r="A62" s="83">
        <v>690506.0</v>
      </c>
      <c r="B62" s="164">
        <v>43819.0</v>
      </c>
      <c r="C62" s="165" t="s">
        <v>893</v>
      </c>
      <c r="D62" s="165" t="s">
        <v>3315</v>
      </c>
      <c r="E62" s="165" t="s">
        <v>105</v>
      </c>
      <c r="F62" s="166" t="s">
        <v>106</v>
      </c>
      <c r="G62" s="167">
        <v>780118.0</v>
      </c>
      <c r="H62" s="168" t="s">
        <v>3316</v>
      </c>
      <c r="I62" s="166"/>
      <c r="J62" s="166" t="s">
        <v>47</v>
      </c>
    </row>
    <row r="63">
      <c r="A63" s="83">
        <v>1261830.0</v>
      </c>
      <c r="B63" s="164">
        <v>43819.0</v>
      </c>
      <c r="C63" s="165" t="s">
        <v>893</v>
      </c>
      <c r="D63" s="165" t="s">
        <v>3317</v>
      </c>
      <c r="E63" s="165" t="s">
        <v>39</v>
      </c>
      <c r="F63" s="166" t="s">
        <v>214</v>
      </c>
      <c r="G63" s="167">
        <v>1289478.0</v>
      </c>
      <c r="H63" s="166" t="s">
        <v>47</v>
      </c>
      <c r="I63" s="166"/>
      <c r="J63" s="166" t="s">
        <v>47</v>
      </c>
    </row>
    <row r="64">
      <c r="A64" s="83">
        <v>1264880.0</v>
      </c>
      <c r="B64" s="164">
        <v>43819.0</v>
      </c>
      <c r="C64" s="165" t="s">
        <v>893</v>
      </c>
      <c r="D64" s="165" t="s">
        <v>3318</v>
      </c>
      <c r="E64" s="165" t="s">
        <v>39</v>
      </c>
      <c r="F64" s="166" t="s">
        <v>214</v>
      </c>
      <c r="G64" s="167">
        <v>1289478.0</v>
      </c>
      <c r="H64" s="166" t="s">
        <v>47</v>
      </c>
      <c r="I64" s="166"/>
      <c r="J64" s="166" t="s">
        <v>47</v>
      </c>
    </row>
    <row r="65">
      <c r="A65" s="83">
        <v>1253188.0</v>
      </c>
      <c r="B65" s="164">
        <v>43819.0</v>
      </c>
      <c r="C65" s="165" t="s">
        <v>893</v>
      </c>
      <c r="D65" s="165" t="s">
        <v>3319</v>
      </c>
      <c r="E65" s="165" t="s">
        <v>39</v>
      </c>
      <c r="F65" s="166" t="s">
        <v>214</v>
      </c>
      <c r="G65" s="167">
        <v>1626812.0</v>
      </c>
      <c r="H65" s="168" t="s">
        <v>3320</v>
      </c>
      <c r="I65" s="166"/>
      <c r="J65" s="166" t="s">
        <v>47</v>
      </c>
    </row>
    <row r="66">
      <c r="A66" s="83">
        <v>1140238.0</v>
      </c>
      <c r="B66" s="164">
        <v>43819.0</v>
      </c>
      <c r="C66" s="165" t="s">
        <v>2362</v>
      </c>
      <c r="D66" s="165" t="s">
        <v>3321</v>
      </c>
      <c r="E66" s="165" t="s">
        <v>63</v>
      </c>
      <c r="F66" s="166" t="s">
        <v>258</v>
      </c>
      <c r="G66" s="167">
        <v>2241862.0</v>
      </c>
      <c r="H66" s="168" t="s">
        <v>3322</v>
      </c>
      <c r="I66" s="166"/>
      <c r="J66" s="166" t="s">
        <v>47</v>
      </c>
    </row>
    <row r="67">
      <c r="A67" s="83">
        <v>169638.0</v>
      </c>
      <c r="B67" s="164">
        <v>43819.0</v>
      </c>
      <c r="C67" s="165" t="s">
        <v>2362</v>
      </c>
      <c r="D67" s="165" t="s">
        <v>3323</v>
      </c>
      <c r="E67" s="165" t="s">
        <v>39</v>
      </c>
      <c r="F67" s="168" t="s">
        <v>54</v>
      </c>
      <c r="G67" s="166"/>
      <c r="H67" s="166" t="s">
        <v>47</v>
      </c>
      <c r="I67" s="166"/>
      <c r="J67" s="166" t="s">
        <v>47</v>
      </c>
    </row>
    <row r="68">
      <c r="A68" s="83">
        <v>657674.0</v>
      </c>
      <c r="B68" s="164">
        <v>43819.0</v>
      </c>
      <c r="C68" s="165" t="s">
        <v>2628</v>
      </c>
      <c r="D68" s="165" t="s">
        <v>3324</v>
      </c>
      <c r="E68" s="165" t="s">
        <v>39</v>
      </c>
      <c r="F68" s="168" t="s">
        <v>54</v>
      </c>
      <c r="G68" s="166"/>
      <c r="H68" s="166" t="s">
        <v>47</v>
      </c>
      <c r="I68" s="166"/>
      <c r="J68" s="166" t="s">
        <v>47</v>
      </c>
    </row>
    <row r="69">
      <c r="A69" s="83">
        <v>1692472.0</v>
      </c>
      <c r="B69" s="164">
        <v>43808.0</v>
      </c>
      <c r="C69" s="165" t="s">
        <v>893</v>
      </c>
      <c r="D69" s="165" t="s">
        <v>3325</v>
      </c>
      <c r="E69" s="165" t="s">
        <v>39</v>
      </c>
      <c r="F69" s="166" t="s">
        <v>54</v>
      </c>
      <c r="G69" s="167">
        <v>491352.0</v>
      </c>
      <c r="H69" s="168" t="s">
        <v>3326</v>
      </c>
      <c r="I69" s="166"/>
      <c r="J69" s="166" t="s">
        <v>47</v>
      </c>
    </row>
    <row r="70">
      <c r="A70" s="83">
        <v>1242504.0</v>
      </c>
      <c r="B70" s="164">
        <v>43802.0</v>
      </c>
      <c r="C70" s="165" t="s">
        <v>893</v>
      </c>
      <c r="D70" s="165" t="s">
        <v>3327</v>
      </c>
      <c r="E70" s="165" t="s">
        <v>39</v>
      </c>
      <c r="F70" s="166" t="s">
        <v>214</v>
      </c>
      <c r="G70" s="167">
        <v>1778502.0</v>
      </c>
      <c r="H70" s="168" t="s">
        <v>2527</v>
      </c>
      <c r="I70" s="166"/>
      <c r="J70" s="166" t="s">
        <v>47</v>
      </c>
    </row>
    <row r="71">
      <c r="A71" s="83">
        <v>1673570.0</v>
      </c>
      <c r="B71" s="164">
        <v>43801.0</v>
      </c>
      <c r="C71" s="165" t="s">
        <v>893</v>
      </c>
      <c r="D71" s="165" t="s">
        <v>3328</v>
      </c>
      <c r="E71" s="165" t="s">
        <v>63</v>
      </c>
      <c r="F71" s="166" t="s">
        <v>258</v>
      </c>
      <c r="G71" s="167">
        <v>950390.0</v>
      </c>
      <c r="H71" s="166" t="s">
        <v>1416</v>
      </c>
      <c r="I71" s="167">
        <v>903744.0</v>
      </c>
      <c r="J71" s="168" t="s">
        <v>1415</v>
      </c>
    </row>
    <row r="72">
      <c r="A72" s="83">
        <v>1204360.0</v>
      </c>
      <c r="B72" s="164">
        <v>43801.0</v>
      </c>
      <c r="C72" s="165" t="s">
        <v>893</v>
      </c>
      <c r="D72" s="165" t="s">
        <v>3329</v>
      </c>
      <c r="E72" s="165" t="s">
        <v>122</v>
      </c>
      <c r="F72" s="166" t="s">
        <v>538</v>
      </c>
      <c r="G72" s="167">
        <v>1937150.0</v>
      </c>
      <c r="H72" s="168" t="s">
        <v>3330</v>
      </c>
      <c r="I72" s="166"/>
      <c r="J72" s="166" t="s">
        <v>47</v>
      </c>
    </row>
    <row r="73">
      <c r="A73" s="83">
        <v>1009254.0</v>
      </c>
      <c r="B73" s="164">
        <v>43801.0</v>
      </c>
      <c r="C73" s="165" t="s">
        <v>893</v>
      </c>
      <c r="D73" s="165" t="s">
        <v>3331</v>
      </c>
      <c r="E73" s="165" t="s">
        <v>39</v>
      </c>
      <c r="F73" s="166" t="s">
        <v>140</v>
      </c>
      <c r="G73" s="167">
        <v>1879018.0</v>
      </c>
      <c r="H73" s="168" t="s">
        <v>2283</v>
      </c>
      <c r="I73" s="166"/>
      <c r="J73" s="166" t="s">
        <v>47</v>
      </c>
    </row>
    <row r="74">
      <c r="A74" s="83">
        <v>212388.0</v>
      </c>
      <c r="B74" s="164">
        <v>43801.0</v>
      </c>
      <c r="C74" s="165" t="s">
        <v>893</v>
      </c>
      <c r="D74" s="165" t="s">
        <v>3332</v>
      </c>
      <c r="E74" s="165" t="s">
        <v>39</v>
      </c>
      <c r="F74" s="166" t="s">
        <v>140</v>
      </c>
      <c r="G74" s="167">
        <v>721884.0</v>
      </c>
      <c r="H74" s="166" t="s">
        <v>3333</v>
      </c>
      <c r="I74" s="167">
        <v>1496348.0</v>
      </c>
      <c r="J74" s="168" t="s">
        <v>3334</v>
      </c>
    </row>
    <row r="75">
      <c r="A75" s="83">
        <v>1614452.0</v>
      </c>
      <c r="B75" s="164">
        <v>43801.0</v>
      </c>
      <c r="C75" s="165" t="s">
        <v>893</v>
      </c>
      <c r="D75" s="165" t="s">
        <v>3335</v>
      </c>
      <c r="E75" s="165" t="s">
        <v>39</v>
      </c>
      <c r="F75" s="166" t="s">
        <v>297</v>
      </c>
      <c r="G75" s="167">
        <v>1108858.0</v>
      </c>
      <c r="H75" s="166" t="s">
        <v>1634</v>
      </c>
      <c r="I75" s="166"/>
      <c r="J75" s="166" t="s">
        <v>47</v>
      </c>
    </row>
    <row r="76">
      <c r="A76" s="83">
        <v>835316.0</v>
      </c>
      <c r="B76" s="164">
        <v>43801.0</v>
      </c>
      <c r="C76" s="165" t="s">
        <v>893</v>
      </c>
      <c r="D76" s="165" t="s">
        <v>3336</v>
      </c>
      <c r="E76" s="165" t="s">
        <v>83</v>
      </c>
      <c r="F76" s="166" t="s">
        <v>285</v>
      </c>
      <c r="G76" s="167">
        <v>1048360.0</v>
      </c>
      <c r="H76" s="166" t="s">
        <v>3337</v>
      </c>
      <c r="I76" s="167">
        <v>953614.0</v>
      </c>
      <c r="J76" s="166" t="s">
        <v>47</v>
      </c>
    </row>
    <row r="77">
      <c r="A77" s="83">
        <v>1263184.0</v>
      </c>
      <c r="B77" s="164">
        <v>43801.0</v>
      </c>
      <c r="C77" s="165" t="s">
        <v>893</v>
      </c>
      <c r="D77" s="165" t="s">
        <v>3338</v>
      </c>
      <c r="E77" s="165" t="s">
        <v>122</v>
      </c>
      <c r="F77" s="166" t="s">
        <v>123</v>
      </c>
      <c r="G77" s="167">
        <v>1459818.0</v>
      </c>
      <c r="H77" s="166" t="s">
        <v>3339</v>
      </c>
      <c r="I77" s="167">
        <v>481148.0</v>
      </c>
      <c r="J77" s="168" t="s">
        <v>3340</v>
      </c>
    </row>
    <row r="78">
      <c r="A78" s="83">
        <v>2235738.0</v>
      </c>
      <c r="B78" s="164">
        <v>43801.0</v>
      </c>
      <c r="C78" s="165" t="s">
        <v>893</v>
      </c>
      <c r="D78" s="165" t="s">
        <v>3341</v>
      </c>
      <c r="E78" s="165" t="s">
        <v>45</v>
      </c>
      <c r="F78" s="166" t="s">
        <v>75</v>
      </c>
      <c r="G78" s="167">
        <v>2253706.0</v>
      </c>
      <c r="H78" s="168" t="s">
        <v>569</v>
      </c>
      <c r="I78" s="166"/>
      <c r="J78" s="166" t="s">
        <v>47</v>
      </c>
    </row>
    <row r="79">
      <c r="A79" s="83">
        <v>1752368.0</v>
      </c>
      <c r="B79" s="164">
        <v>43801.0</v>
      </c>
      <c r="C79" s="165" t="s">
        <v>893</v>
      </c>
      <c r="D79" s="165" t="s">
        <v>3342</v>
      </c>
      <c r="E79" s="165" t="s">
        <v>39</v>
      </c>
      <c r="F79" s="168" t="s">
        <v>54</v>
      </c>
      <c r="G79" s="166"/>
      <c r="H79" s="166" t="s">
        <v>47</v>
      </c>
      <c r="I79" s="166"/>
      <c r="J79" s="166" t="s">
        <v>47</v>
      </c>
    </row>
    <row r="80">
      <c r="A80" s="83">
        <v>1086514.0</v>
      </c>
      <c r="B80" s="164">
        <v>43801.0</v>
      </c>
      <c r="C80" s="165" t="s">
        <v>893</v>
      </c>
      <c r="D80" s="165" t="s">
        <v>3343</v>
      </c>
      <c r="E80" s="165" t="s">
        <v>122</v>
      </c>
      <c r="F80" s="166" t="s">
        <v>538</v>
      </c>
      <c r="G80" s="167">
        <v>671208.0</v>
      </c>
      <c r="H80" s="168" t="s">
        <v>3182</v>
      </c>
      <c r="I80" s="166"/>
      <c r="J80" s="166" t="s">
        <v>47</v>
      </c>
    </row>
    <row r="81">
      <c r="A81" s="83">
        <v>1506534.0</v>
      </c>
      <c r="B81" s="164">
        <v>43801.0</v>
      </c>
      <c r="C81" s="165" t="s">
        <v>893</v>
      </c>
      <c r="D81" s="165" t="s">
        <v>3344</v>
      </c>
      <c r="E81" s="165" t="s">
        <v>45</v>
      </c>
      <c r="F81" s="166" t="s">
        <v>46</v>
      </c>
      <c r="G81" s="167">
        <v>643206.0</v>
      </c>
      <c r="H81" s="168" t="s">
        <v>3345</v>
      </c>
      <c r="I81" s="166"/>
      <c r="J81" s="166" t="s">
        <v>47</v>
      </c>
    </row>
    <row r="82">
      <c r="A82" s="83">
        <v>1528708.0</v>
      </c>
      <c r="B82" s="164">
        <v>43801.0</v>
      </c>
      <c r="C82" s="165" t="s">
        <v>893</v>
      </c>
      <c r="D82" s="165" t="s">
        <v>3346</v>
      </c>
      <c r="E82" s="165" t="s">
        <v>58</v>
      </c>
      <c r="F82" s="166" t="s">
        <v>161</v>
      </c>
      <c r="G82" s="167">
        <v>1260482.0</v>
      </c>
      <c r="H82" s="168" t="s">
        <v>3347</v>
      </c>
      <c r="I82" s="166"/>
      <c r="J82" s="166" t="s">
        <v>47</v>
      </c>
    </row>
    <row r="83">
      <c r="A83" s="83">
        <v>1577450.0</v>
      </c>
      <c r="B83" s="164">
        <v>43801.0</v>
      </c>
      <c r="C83" s="165" t="s">
        <v>893</v>
      </c>
      <c r="D83" s="165" t="s">
        <v>3348</v>
      </c>
      <c r="E83" s="165" t="s">
        <v>45</v>
      </c>
      <c r="F83" s="166" t="s">
        <v>90</v>
      </c>
      <c r="G83" s="167">
        <v>1236568.0</v>
      </c>
      <c r="H83" s="168" t="s">
        <v>3349</v>
      </c>
      <c r="I83" s="166"/>
      <c r="J83" s="166" t="s">
        <v>47</v>
      </c>
    </row>
    <row r="84">
      <c r="A84" s="83">
        <v>1776342.0</v>
      </c>
      <c r="B84" s="164">
        <v>43801.0</v>
      </c>
      <c r="C84" s="165" t="s">
        <v>893</v>
      </c>
      <c r="D84" s="165" t="s">
        <v>3350</v>
      </c>
      <c r="E84" s="165" t="s">
        <v>39</v>
      </c>
      <c r="F84" s="166" t="s">
        <v>140</v>
      </c>
      <c r="G84" s="167">
        <v>1420562.0</v>
      </c>
      <c r="H84" s="168" t="s">
        <v>2897</v>
      </c>
      <c r="I84" s="166"/>
      <c r="J84" s="166" t="s">
        <v>47</v>
      </c>
    </row>
    <row r="85">
      <c r="A85" s="83">
        <v>1014776.0</v>
      </c>
      <c r="B85" s="164">
        <v>43801.0</v>
      </c>
      <c r="C85" s="165" t="s">
        <v>893</v>
      </c>
      <c r="D85" s="165" t="s">
        <v>3351</v>
      </c>
      <c r="E85" s="165" t="s">
        <v>39</v>
      </c>
      <c r="F85" s="166" t="s">
        <v>140</v>
      </c>
      <c r="G85" s="167">
        <v>1646980.0</v>
      </c>
      <c r="H85" s="168" t="s">
        <v>3352</v>
      </c>
      <c r="I85" s="166"/>
      <c r="J85" s="166" t="s">
        <v>47</v>
      </c>
    </row>
    <row r="86">
      <c r="A86" s="83">
        <v>284076.0</v>
      </c>
      <c r="B86" s="164">
        <v>43801.0</v>
      </c>
      <c r="C86" s="165" t="s">
        <v>893</v>
      </c>
      <c r="D86" s="165" t="s">
        <v>3353</v>
      </c>
      <c r="E86" s="165" t="s">
        <v>39</v>
      </c>
      <c r="F86" s="168" t="s">
        <v>140</v>
      </c>
      <c r="G86" s="166"/>
      <c r="H86" s="166" t="s">
        <v>47</v>
      </c>
      <c r="I86" s="166"/>
      <c r="J86" s="166" t="s">
        <v>47</v>
      </c>
    </row>
    <row r="87">
      <c r="A87" s="83">
        <v>843854.0</v>
      </c>
      <c r="B87" s="164">
        <v>43801.0</v>
      </c>
      <c r="C87" s="165" t="s">
        <v>893</v>
      </c>
      <c r="D87" s="165" t="s">
        <v>3354</v>
      </c>
      <c r="E87" s="165" t="s">
        <v>96</v>
      </c>
      <c r="F87" s="168" t="s">
        <v>109</v>
      </c>
      <c r="G87" s="166"/>
      <c r="H87" s="166" t="s">
        <v>47</v>
      </c>
      <c r="I87" s="166"/>
      <c r="J87" s="166" t="s">
        <v>47</v>
      </c>
    </row>
    <row r="88">
      <c r="A88" s="83">
        <v>1563350.0</v>
      </c>
      <c r="B88" s="164">
        <v>43801.0</v>
      </c>
      <c r="C88" s="165" t="s">
        <v>2362</v>
      </c>
      <c r="D88" s="165" t="s">
        <v>3355</v>
      </c>
      <c r="E88" s="165" t="s">
        <v>39</v>
      </c>
      <c r="F88" s="168" t="s">
        <v>214</v>
      </c>
      <c r="G88" s="166"/>
      <c r="H88" s="166" t="s">
        <v>47</v>
      </c>
      <c r="I88" s="166"/>
      <c r="J88" s="166" t="s">
        <v>47</v>
      </c>
    </row>
    <row r="89">
      <c r="A89" s="83">
        <v>1407694.0</v>
      </c>
      <c r="B89" s="164">
        <v>43801.0</v>
      </c>
      <c r="C89" s="165" t="s">
        <v>2362</v>
      </c>
      <c r="D89" s="165" t="s">
        <v>3356</v>
      </c>
      <c r="E89" s="165" t="s">
        <v>83</v>
      </c>
      <c r="F89" s="166" t="s">
        <v>94</v>
      </c>
      <c r="G89" s="167">
        <v>1362058.0</v>
      </c>
      <c r="H89" s="168" t="s">
        <v>137</v>
      </c>
      <c r="I89" s="166"/>
      <c r="J89" s="166" t="s">
        <v>47</v>
      </c>
    </row>
    <row r="90">
      <c r="A90" s="97">
        <v>1359030.0</v>
      </c>
      <c r="B90" s="164">
        <v>43801.0</v>
      </c>
      <c r="C90" s="165" t="s">
        <v>2628</v>
      </c>
      <c r="D90" s="165" t="s">
        <v>3357</v>
      </c>
      <c r="E90" s="165" t="s">
        <v>39</v>
      </c>
      <c r="F90" s="166" t="s">
        <v>50</v>
      </c>
      <c r="G90" s="167">
        <v>2388100.0</v>
      </c>
      <c r="H90" s="168" t="s">
        <v>3358</v>
      </c>
      <c r="I90" s="166"/>
      <c r="J90" s="166" t="s">
        <v>47</v>
      </c>
    </row>
    <row r="91">
      <c r="A91" s="83">
        <v>573524.0</v>
      </c>
      <c r="B91" s="164">
        <v>43780.0</v>
      </c>
      <c r="C91" s="165" t="s">
        <v>893</v>
      </c>
      <c r="D91" s="165" t="s">
        <v>3359</v>
      </c>
      <c r="E91" s="165" t="s">
        <v>2958</v>
      </c>
      <c r="F91" s="168" t="s">
        <v>145</v>
      </c>
      <c r="G91" s="166"/>
      <c r="H91" s="166" t="s">
        <v>47</v>
      </c>
      <c r="I91" s="166"/>
      <c r="J91" s="166" t="s">
        <v>47</v>
      </c>
    </row>
    <row r="92">
      <c r="A92" s="83">
        <v>1412638.0</v>
      </c>
      <c r="B92" s="164">
        <v>43776.0</v>
      </c>
      <c r="C92" s="165" t="s">
        <v>2606</v>
      </c>
      <c r="D92" s="165" t="s">
        <v>3360</v>
      </c>
      <c r="E92" s="165" t="s">
        <v>83</v>
      </c>
      <c r="F92" s="168" t="s">
        <v>147</v>
      </c>
      <c r="G92" s="166"/>
      <c r="H92" s="166"/>
      <c r="I92" s="166"/>
      <c r="J92" s="166"/>
    </row>
    <row r="93">
      <c r="A93" s="83">
        <v>1076296.0</v>
      </c>
      <c r="B93" s="164">
        <v>43769.0</v>
      </c>
      <c r="C93" s="165" t="s">
        <v>893</v>
      </c>
      <c r="D93" s="165" t="s">
        <v>3361</v>
      </c>
      <c r="E93" s="165" t="s">
        <v>45</v>
      </c>
      <c r="F93" s="166" t="s">
        <v>75</v>
      </c>
      <c r="G93" s="166"/>
      <c r="H93" s="166" t="s">
        <v>47</v>
      </c>
      <c r="I93" s="166"/>
      <c r="J93" s="166" t="s">
        <v>47</v>
      </c>
    </row>
    <row r="94">
      <c r="A94" s="83">
        <v>1264966.0</v>
      </c>
      <c r="B94" s="164">
        <v>43769.0</v>
      </c>
      <c r="C94" s="165" t="s">
        <v>893</v>
      </c>
      <c r="D94" s="165" t="s">
        <v>3362</v>
      </c>
      <c r="E94" s="165" t="s">
        <v>45</v>
      </c>
      <c r="F94" s="166" t="s">
        <v>75</v>
      </c>
      <c r="G94" s="166"/>
      <c r="H94" s="166" t="s">
        <v>47</v>
      </c>
      <c r="I94" s="166"/>
      <c r="J94" s="166" t="s">
        <v>47</v>
      </c>
    </row>
    <row r="95">
      <c r="A95" s="83">
        <v>2065369.0</v>
      </c>
      <c r="B95" s="164">
        <v>43769.0</v>
      </c>
      <c r="C95" s="165" t="s">
        <v>893</v>
      </c>
      <c r="D95" s="165" t="s">
        <v>3363</v>
      </c>
      <c r="E95" s="165" t="s">
        <v>45</v>
      </c>
      <c r="F95" s="166" t="s">
        <v>75</v>
      </c>
      <c r="G95" s="166"/>
      <c r="H95" s="166" t="s">
        <v>47</v>
      </c>
      <c r="I95" s="166"/>
      <c r="J95" s="166" t="s">
        <v>47</v>
      </c>
    </row>
    <row r="96">
      <c r="A96" s="83">
        <v>2193814.0</v>
      </c>
      <c r="B96" s="164">
        <v>43769.0</v>
      </c>
      <c r="C96" s="165" t="s">
        <v>893</v>
      </c>
      <c r="D96" s="165" t="s">
        <v>3364</v>
      </c>
      <c r="E96" s="165" t="s">
        <v>45</v>
      </c>
      <c r="F96" s="166" t="s">
        <v>75</v>
      </c>
      <c r="G96" s="166"/>
      <c r="H96" s="166" t="s">
        <v>47</v>
      </c>
      <c r="I96" s="166"/>
      <c r="J96" s="166" t="s">
        <v>47</v>
      </c>
    </row>
    <row r="97">
      <c r="A97" s="83">
        <v>1683464.0</v>
      </c>
      <c r="B97" s="164">
        <v>43769.0</v>
      </c>
      <c r="C97" s="165" t="s">
        <v>893</v>
      </c>
      <c r="D97" s="165" t="s">
        <v>3365</v>
      </c>
      <c r="E97" s="165" t="s">
        <v>45</v>
      </c>
      <c r="F97" s="166" t="s">
        <v>75</v>
      </c>
      <c r="G97" s="166"/>
      <c r="H97" s="166" t="s">
        <v>47</v>
      </c>
      <c r="I97" s="166"/>
      <c r="J97" s="166" t="s">
        <v>47</v>
      </c>
    </row>
    <row r="98">
      <c r="A98" s="83">
        <v>1956974.0</v>
      </c>
      <c r="B98" s="164">
        <v>43769.0</v>
      </c>
      <c r="C98" s="165" t="s">
        <v>893</v>
      </c>
      <c r="D98" s="165" t="s">
        <v>3366</v>
      </c>
      <c r="E98" s="165" t="s">
        <v>45</v>
      </c>
      <c r="F98" s="166" t="s">
        <v>75</v>
      </c>
      <c r="G98" s="166"/>
      <c r="H98" s="166" t="s">
        <v>47</v>
      </c>
      <c r="I98" s="166"/>
      <c r="J98" s="166" t="s">
        <v>47</v>
      </c>
    </row>
    <row r="99">
      <c r="A99" s="83">
        <v>1491820.0</v>
      </c>
      <c r="B99" s="164">
        <v>43769.0</v>
      </c>
      <c r="C99" s="165" t="s">
        <v>893</v>
      </c>
      <c r="D99" s="165" t="s">
        <v>3367</v>
      </c>
      <c r="E99" s="165" t="s">
        <v>45</v>
      </c>
      <c r="F99" s="166" t="s">
        <v>75</v>
      </c>
      <c r="G99" s="166"/>
      <c r="H99" s="166" t="s">
        <v>47</v>
      </c>
      <c r="I99" s="166"/>
      <c r="J99" s="166" t="s">
        <v>47</v>
      </c>
    </row>
    <row r="100">
      <c r="A100" s="83">
        <v>2292483.0</v>
      </c>
      <c r="B100" s="164">
        <v>43769.0</v>
      </c>
      <c r="C100" s="165" t="s">
        <v>2606</v>
      </c>
      <c r="D100" s="165" t="s">
        <v>3368</v>
      </c>
      <c r="E100" s="165" t="s">
        <v>45</v>
      </c>
      <c r="F100" s="166" t="s">
        <v>75</v>
      </c>
      <c r="G100" s="166"/>
      <c r="H100" s="166" t="s">
        <v>47</v>
      </c>
      <c r="I100" s="166"/>
      <c r="J100" s="166" t="s">
        <v>47</v>
      </c>
    </row>
    <row r="101">
      <c r="A101" s="83">
        <v>92308.0</v>
      </c>
      <c r="B101" s="164">
        <v>43769.0</v>
      </c>
      <c r="C101" s="165" t="s">
        <v>893</v>
      </c>
      <c r="D101" s="165" t="s">
        <v>1556</v>
      </c>
      <c r="E101" s="165" t="s">
        <v>45</v>
      </c>
      <c r="F101" s="166" t="s">
        <v>75</v>
      </c>
      <c r="G101" s="167">
        <v>52700.0</v>
      </c>
      <c r="H101" s="166" t="s">
        <v>47</v>
      </c>
      <c r="I101" s="167">
        <v>236710.0</v>
      </c>
      <c r="J101" s="166" t="s">
        <v>47</v>
      </c>
    </row>
    <row r="102">
      <c r="A102" s="83">
        <v>439898.0</v>
      </c>
      <c r="B102" s="164">
        <v>43769.0</v>
      </c>
      <c r="C102" s="165" t="s">
        <v>893</v>
      </c>
      <c r="D102" s="165" t="s">
        <v>3369</v>
      </c>
      <c r="E102" s="165" t="s">
        <v>2958</v>
      </c>
      <c r="F102" s="166" t="s">
        <v>339</v>
      </c>
      <c r="G102" s="167">
        <v>312042.0</v>
      </c>
      <c r="H102" s="166" t="s">
        <v>1673</v>
      </c>
      <c r="I102" s="167">
        <v>1434700.0</v>
      </c>
      <c r="J102" s="168" t="s">
        <v>1672</v>
      </c>
    </row>
    <row r="103">
      <c r="A103" s="83">
        <v>487154.0</v>
      </c>
      <c r="B103" s="164">
        <v>43769.0</v>
      </c>
      <c r="C103" s="165" t="s">
        <v>893</v>
      </c>
      <c r="D103" s="165" t="s">
        <v>3370</v>
      </c>
      <c r="E103" s="165" t="s">
        <v>39</v>
      </c>
      <c r="F103" s="166" t="s">
        <v>40</v>
      </c>
      <c r="G103" s="167">
        <v>354176.0</v>
      </c>
      <c r="H103" s="166" t="s">
        <v>2741</v>
      </c>
      <c r="I103" s="167">
        <v>53670.0</v>
      </c>
      <c r="J103" s="168" t="s">
        <v>3371</v>
      </c>
    </row>
    <row r="104">
      <c r="A104" s="83">
        <v>543766.0</v>
      </c>
      <c r="B104" s="164">
        <v>43769.0</v>
      </c>
      <c r="C104" s="165" t="s">
        <v>893</v>
      </c>
      <c r="D104" s="165" t="s">
        <v>3372</v>
      </c>
      <c r="E104" s="165" t="s">
        <v>45</v>
      </c>
      <c r="F104" s="166" t="s">
        <v>324</v>
      </c>
      <c r="G104" s="167">
        <v>1091494.0</v>
      </c>
      <c r="H104" s="166" t="s">
        <v>2206</v>
      </c>
      <c r="I104" s="167">
        <v>1343814.0</v>
      </c>
      <c r="J104" s="168" t="s">
        <v>3373</v>
      </c>
    </row>
    <row r="105">
      <c r="A105" s="83">
        <v>302306.0</v>
      </c>
      <c r="B105" s="164">
        <v>43769.0</v>
      </c>
      <c r="C105" s="165" t="s">
        <v>893</v>
      </c>
      <c r="D105" s="165" t="s">
        <v>3374</v>
      </c>
      <c r="E105" s="165" t="s">
        <v>105</v>
      </c>
      <c r="F105" s="166" t="s">
        <v>501</v>
      </c>
      <c r="G105" s="167">
        <v>1184844.0</v>
      </c>
      <c r="H105" s="166" t="s">
        <v>3375</v>
      </c>
      <c r="I105" s="167">
        <v>1033446.0</v>
      </c>
      <c r="J105" s="168" t="s">
        <v>3376</v>
      </c>
    </row>
    <row r="106">
      <c r="A106" s="83">
        <v>1432176.0</v>
      </c>
      <c r="B106" s="164">
        <v>43769.0</v>
      </c>
      <c r="C106" s="165" t="s">
        <v>893</v>
      </c>
      <c r="D106" s="165" t="s">
        <v>3377</v>
      </c>
      <c r="E106" s="165" t="s">
        <v>101</v>
      </c>
      <c r="F106" s="166" t="s">
        <v>203</v>
      </c>
      <c r="G106" s="167">
        <v>1241254.0</v>
      </c>
      <c r="H106" s="166" t="s">
        <v>3053</v>
      </c>
      <c r="I106" s="167">
        <v>1241098.0</v>
      </c>
      <c r="J106" s="168" t="s">
        <v>3378</v>
      </c>
    </row>
    <row r="107">
      <c r="A107" s="83">
        <v>354910.0</v>
      </c>
      <c r="B107" s="164">
        <v>43769.0</v>
      </c>
      <c r="C107" s="165" t="s">
        <v>893</v>
      </c>
      <c r="D107" s="165" t="s">
        <v>3379</v>
      </c>
      <c r="E107" s="165" t="s">
        <v>189</v>
      </c>
      <c r="F107" s="166" t="s">
        <v>222</v>
      </c>
      <c r="G107" s="167">
        <v>1250114.0</v>
      </c>
      <c r="H107" s="166" t="s">
        <v>3380</v>
      </c>
      <c r="I107" s="167">
        <v>1235430.0</v>
      </c>
      <c r="J107" s="168" t="s">
        <v>3381</v>
      </c>
    </row>
    <row r="108">
      <c r="A108" s="83">
        <v>1205478.0</v>
      </c>
      <c r="B108" s="164">
        <v>43769.0</v>
      </c>
      <c r="C108" s="165" t="s">
        <v>893</v>
      </c>
      <c r="D108" s="165" t="s">
        <v>3382</v>
      </c>
      <c r="E108" s="165" t="s">
        <v>39</v>
      </c>
      <c r="F108" s="166" t="s">
        <v>50</v>
      </c>
      <c r="G108" s="167">
        <v>1316068.0</v>
      </c>
      <c r="H108" s="166" t="s">
        <v>47</v>
      </c>
      <c r="I108" s="167">
        <v>1483106.0</v>
      </c>
      <c r="J108" s="168" t="s">
        <v>3383</v>
      </c>
    </row>
    <row r="109">
      <c r="A109" s="83">
        <v>49651.0</v>
      </c>
      <c r="B109" s="164">
        <v>43769.0</v>
      </c>
      <c r="C109" s="165" t="s">
        <v>893</v>
      </c>
      <c r="D109" s="165" t="s">
        <v>3384</v>
      </c>
      <c r="E109" s="165" t="s">
        <v>189</v>
      </c>
      <c r="F109" s="166" t="s">
        <v>190</v>
      </c>
      <c r="G109" s="167">
        <v>793796.0</v>
      </c>
      <c r="H109" s="166" t="s">
        <v>863</v>
      </c>
      <c r="I109" s="167">
        <v>472214.0</v>
      </c>
      <c r="J109" s="168" t="s">
        <v>3385</v>
      </c>
    </row>
    <row r="110">
      <c r="A110" s="83">
        <v>1334924.0</v>
      </c>
      <c r="B110" s="164">
        <v>43769.0</v>
      </c>
      <c r="C110" s="165" t="s">
        <v>893</v>
      </c>
      <c r="D110" s="165" t="s">
        <v>3386</v>
      </c>
      <c r="E110" s="165" t="s">
        <v>45</v>
      </c>
      <c r="F110" s="166" t="s">
        <v>75</v>
      </c>
      <c r="G110" s="167">
        <v>1348924.0</v>
      </c>
      <c r="H110" s="166" t="s">
        <v>1839</v>
      </c>
      <c r="I110" s="167">
        <v>1420626.0</v>
      </c>
      <c r="J110" s="168" t="s">
        <v>3387</v>
      </c>
    </row>
    <row r="111">
      <c r="A111" s="83">
        <v>1382436.0</v>
      </c>
      <c r="B111" s="164">
        <v>43769.0</v>
      </c>
      <c r="C111" s="165" t="s">
        <v>893</v>
      </c>
      <c r="D111" s="165" t="s">
        <v>3117</v>
      </c>
      <c r="E111" s="165" t="s">
        <v>2958</v>
      </c>
      <c r="F111" s="166" t="s">
        <v>467</v>
      </c>
      <c r="G111" s="167">
        <v>1355906.0</v>
      </c>
      <c r="H111" s="166" t="s">
        <v>47</v>
      </c>
      <c r="I111" s="167">
        <v>1210442.0</v>
      </c>
      <c r="J111" s="168" t="s">
        <v>3118</v>
      </c>
    </row>
    <row r="112">
      <c r="A112" s="83">
        <v>1263258.0</v>
      </c>
      <c r="B112" s="164">
        <v>43769.0</v>
      </c>
      <c r="C112" s="165" t="s">
        <v>893</v>
      </c>
      <c r="D112" s="165" t="s">
        <v>3388</v>
      </c>
      <c r="E112" s="165" t="s">
        <v>122</v>
      </c>
      <c r="F112" s="166" t="s">
        <v>123</v>
      </c>
      <c r="G112" s="167">
        <v>1362218.0</v>
      </c>
      <c r="H112" s="166" t="s">
        <v>3389</v>
      </c>
      <c r="I112" s="167">
        <v>1415934.0</v>
      </c>
      <c r="J112" s="168" t="s">
        <v>3390</v>
      </c>
    </row>
    <row r="113">
      <c r="A113" s="83">
        <v>590962.0</v>
      </c>
      <c r="B113" s="164">
        <v>43769.0</v>
      </c>
      <c r="C113" s="165" t="s">
        <v>893</v>
      </c>
      <c r="D113" s="165" t="s">
        <v>3391</v>
      </c>
      <c r="E113" s="165" t="s">
        <v>63</v>
      </c>
      <c r="F113" s="166" t="s">
        <v>115</v>
      </c>
      <c r="G113" s="167">
        <v>1413580.0</v>
      </c>
      <c r="H113" s="166" t="s">
        <v>3392</v>
      </c>
      <c r="I113" s="167">
        <v>257414.0</v>
      </c>
      <c r="J113" s="168" t="s">
        <v>3393</v>
      </c>
    </row>
    <row r="114">
      <c r="A114" s="83">
        <v>1016856.0</v>
      </c>
      <c r="B114" s="164">
        <v>43769.0</v>
      </c>
      <c r="C114" s="165" t="s">
        <v>893</v>
      </c>
      <c r="D114" s="165" t="s">
        <v>3394</v>
      </c>
      <c r="E114" s="165" t="s">
        <v>39</v>
      </c>
      <c r="F114" s="166" t="s">
        <v>140</v>
      </c>
      <c r="G114" s="167">
        <v>1455016.0</v>
      </c>
      <c r="H114" s="166" t="s">
        <v>1426</v>
      </c>
      <c r="I114" s="167">
        <v>2120618.0</v>
      </c>
      <c r="J114" s="168" t="s">
        <v>3395</v>
      </c>
    </row>
    <row r="115">
      <c r="A115" s="83">
        <v>1578354.0</v>
      </c>
      <c r="B115" s="164">
        <v>43769.0</v>
      </c>
      <c r="C115" s="165" t="s">
        <v>893</v>
      </c>
      <c r="D115" s="165" t="s">
        <v>3396</v>
      </c>
      <c r="E115" s="165" t="s">
        <v>45</v>
      </c>
      <c r="F115" s="166" t="s">
        <v>75</v>
      </c>
      <c r="G115" s="167">
        <v>1480108.0</v>
      </c>
      <c r="H115" s="166" t="s">
        <v>559</v>
      </c>
      <c r="I115" s="167">
        <v>1417656.0</v>
      </c>
      <c r="J115" s="168" t="s">
        <v>3397</v>
      </c>
    </row>
    <row r="116">
      <c r="A116" s="83">
        <v>1240326.0</v>
      </c>
      <c r="B116" s="164">
        <v>43769.0</v>
      </c>
      <c r="C116" s="165" t="s">
        <v>893</v>
      </c>
      <c r="D116" s="165" t="s">
        <v>3398</v>
      </c>
      <c r="E116" s="165" t="s">
        <v>122</v>
      </c>
      <c r="F116" s="166" t="s">
        <v>538</v>
      </c>
      <c r="G116" s="167">
        <v>1546424.0</v>
      </c>
      <c r="H116" s="166" t="s">
        <v>3399</v>
      </c>
      <c r="I116" s="167">
        <v>1802404.0</v>
      </c>
      <c r="J116" s="168" t="s">
        <v>2778</v>
      </c>
    </row>
    <row r="117">
      <c r="A117" s="83">
        <v>1361838.0</v>
      </c>
      <c r="B117" s="164">
        <v>43769.0</v>
      </c>
      <c r="C117" s="165" t="s">
        <v>893</v>
      </c>
      <c r="D117" s="165" t="s">
        <v>3400</v>
      </c>
      <c r="E117" s="165" t="s">
        <v>122</v>
      </c>
      <c r="F117" s="166" t="s">
        <v>123</v>
      </c>
      <c r="G117" s="167">
        <v>613808.0</v>
      </c>
      <c r="H117" s="166" t="s">
        <v>1591</v>
      </c>
      <c r="I117" s="167">
        <v>1362218.0</v>
      </c>
      <c r="J117" s="168" t="s">
        <v>3389</v>
      </c>
    </row>
    <row r="118">
      <c r="A118" s="83">
        <v>212396.0</v>
      </c>
      <c r="B118" s="164">
        <v>43769.0</v>
      </c>
      <c r="C118" s="165" t="s">
        <v>893</v>
      </c>
      <c r="D118" s="165" t="s">
        <v>3401</v>
      </c>
      <c r="E118" s="165" t="s">
        <v>39</v>
      </c>
      <c r="F118" s="166" t="s">
        <v>297</v>
      </c>
      <c r="G118" s="167">
        <v>1906852.0</v>
      </c>
      <c r="H118" s="166" t="s">
        <v>2502</v>
      </c>
      <c r="I118" s="167">
        <v>1000574.0</v>
      </c>
      <c r="J118" s="168" t="s">
        <v>3402</v>
      </c>
    </row>
    <row r="119">
      <c r="A119" s="83">
        <v>738198.0</v>
      </c>
      <c r="B119" s="164">
        <v>43769.0</v>
      </c>
      <c r="C119" s="165" t="s">
        <v>893</v>
      </c>
      <c r="D119" s="165" t="s">
        <v>3403</v>
      </c>
      <c r="E119" s="165" t="s">
        <v>105</v>
      </c>
      <c r="F119" s="166" t="s">
        <v>198</v>
      </c>
      <c r="G119" s="167">
        <v>1197206.0</v>
      </c>
      <c r="H119" s="168" t="s">
        <v>1288</v>
      </c>
      <c r="I119" s="166"/>
      <c r="J119" s="166" t="s">
        <v>47</v>
      </c>
    </row>
    <row r="120">
      <c r="A120" s="83">
        <v>1460900.0</v>
      </c>
      <c r="B120" s="164">
        <v>43769.0</v>
      </c>
      <c r="C120" s="165" t="s">
        <v>893</v>
      </c>
      <c r="D120" s="165" t="s">
        <v>3404</v>
      </c>
      <c r="E120" s="165" t="s">
        <v>39</v>
      </c>
      <c r="F120" s="166" t="s">
        <v>214</v>
      </c>
      <c r="G120" s="167">
        <v>1934462.0</v>
      </c>
      <c r="H120" s="166" t="s">
        <v>3405</v>
      </c>
      <c r="I120" s="167">
        <v>1338454.0</v>
      </c>
      <c r="J120" s="168" t="s">
        <v>3406</v>
      </c>
    </row>
    <row r="121">
      <c r="A121" s="83">
        <v>1024862.0</v>
      </c>
      <c r="B121" s="164">
        <v>43769.0</v>
      </c>
      <c r="C121" s="165" t="s">
        <v>893</v>
      </c>
      <c r="D121" s="165" t="s">
        <v>3407</v>
      </c>
      <c r="E121" s="165" t="s">
        <v>96</v>
      </c>
      <c r="F121" s="166" t="s">
        <v>263</v>
      </c>
      <c r="G121" s="167">
        <v>945336.0</v>
      </c>
      <c r="H121" s="168" t="s">
        <v>3408</v>
      </c>
      <c r="I121" s="166"/>
      <c r="J121" s="166" t="s">
        <v>47</v>
      </c>
    </row>
    <row r="122">
      <c r="A122" s="83">
        <v>449050.0</v>
      </c>
      <c r="B122" s="164">
        <v>43769.0</v>
      </c>
      <c r="C122" s="165" t="s">
        <v>893</v>
      </c>
      <c r="D122" s="165" t="s">
        <v>3409</v>
      </c>
      <c r="E122" s="165" t="s">
        <v>79</v>
      </c>
      <c r="F122" s="166" t="s">
        <v>184</v>
      </c>
      <c r="G122" s="167">
        <v>314744.0</v>
      </c>
      <c r="H122" s="166" t="s">
        <v>3410</v>
      </c>
      <c r="I122" s="167">
        <v>1495884.0</v>
      </c>
      <c r="J122" s="168" t="s">
        <v>2925</v>
      </c>
    </row>
    <row r="123">
      <c r="A123" s="83">
        <v>1831260.0</v>
      </c>
      <c r="B123" s="164">
        <v>43769.0</v>
      </c>
      <c r="C123" s="165" t="s">
        <v>893</v>
      </c>
      <c r="D123" s="165" t="s">
        <v>3411</v>
      </c>
      <c r="E123" s="165" t="s">
        <v>105</v>
      </c>
      <c r="F123" s="166" t="s">
        <v>501</v>
      </c>
      <c r="G123" s="167">
        <v>1452908.0</v>
      </c>
      <c r="H123" s="166" t="s">
        <v>3412</v>
      </c>
      <c r="I123" s="167">
        <v>58207.0</v>
      </c>
      <c r="J123" s="168" t="s">
        <v>3413</v>
      </c>
    </row>
    <row r="124">
      <c r="A124" s="83">
        <v>1033058.0</v>
      </c>
      <c r="B124" s="164">
        <v>43769.0</v>
      </c>
      <c r="C124" s="165" t="s">
        <v>893</v>
      </c>
      <c r="D124" s="165" t="s">
        <v>3414</v>
      </c>
      <c r="E124" s="165" t="s">
        <v>45</v>
      </c>
      <c r="F124" s="166" t="s">
        <v>90</v>
      </c>
      <c r="G124" s="167">
        <v>1663160.0</v>
      </c>
      <c r="H124" s="166" t="s">
        <v>3415</v>
      </c>
      <c r="I124" s="167">
        <v>2209122.0</v>
      </c>
      <c r="J124" s="168" t="s">
        <v>3416</v>
      </c>
    </row>
    <row r="125">
      <c r="A125" s="83">
        <v>1231866.0</v>
      </c>
      <c r="B125" s="164">
        <v>43769.0</v>
      </c>
      <c r="C125" s="165" t="s">
        <v>893</v>
      </c>
      <c r="D125" s="165" t="s">
        <v>3417</v>
      </c>
      <c r="E125" s="165" t="s">
        <v>45</v>
      </c>
      <c r="F125" s="168" t="s">
        <v>90</v>
      </c>
      <c r="G125" s="166"/>
      <c r="H125" s="166" t="s">
        <v>47</v>
      </c>
      <c r="I125" s="166"/>
      <c r="J125" s="166" t="s">
        <v>47</v>
      </c>
    </row>
    <row r="126">
      <c r="A126" s="83">
        <v>1356460.0</v>
      </c>
      <c r="B126" s="164">
        <v>43769.0</v>
      </c>
      <c r="C126" s="165" t="s">
        <v>893</v>
      </c>
      <c r="D126" s="165" t="s">
        <v>3418</v>
      </c>
      <c r="E126" s="165" t="s">
        <v>45</v>
      </c>
      <c r="F126" s="168" t="s">
        <v>90</v>
      </c>
      <c r="G126" s="166"/>
      <c r="H126" s="166" t="s">
        <v>47</v>
      </c>
      <c r="I126" s="166"/>
      <c r="J126" s="166" t="s">
        <v>47</v>
      </c>
    </row>
    <row r="127">
      <c r="A127" s="83">
        <v>1483206.0</v>
      </c>
      <c r="B127" s="164">
        <v>43769.0</v>
      </c>
      <c r="C127" s="165" t="s">
        <v>893</v>
      </c>
      <c r="D127" s="165" t="s">
        <v>3419</v>
      </c>
      <c r="E127" s="165" t="s">
        <v>45</v>
      </c>
      <c r="F127" s="166" t="s">
        <v>75</v>
      </c>
      <c r="G127" s="166"/>
      <c r="H127" s="166" t="s">
        <v>47</v>
      </c>
      <c r="I127" s="166"/>
      <c r="J127" s="166" t="s">
        <v>47</v>
      </c>
    </row>
    <row r="128">
      <c r="A128" s="83">
        <v>662038.0</v>
      </c>
      <c r="B128" s="164">
        <v>43769.0</v>
      </c>
      <c r="C128" s="165" t="s">
        <v>893</v>
      </c>
      <c r="D128" s="165" t="s">
        <v>3420</v>
      </c>
      <c r="E128" s="165" t="s">
        <v>58</v>
      </c>
      <c r="F128" s="166" t="s">
        <v>86</v>
      </c>
      <c r="G128" s="167">
        <v>647980.0</v>
      </c>
      <c r="H128" s="166" t="s">
        <v>3421</v>
      </c>
      <c r="I128" s="167">
        <v>1037886.0</v>
      </c>
      <c r="J128" s="168" t="s">
        <v>3422</v>
      </c>
    </row>
    <row r="129">
      <c r="A129" s="83">
        <v>982416.0</v>
      </c>
      <c r="B129" s="164">
        <v>43769.0</v>
      </c>
      <c r="C129" s="165" t="s">
        <v>893</v>
      </c>
      <c r="D129" s="165" t="s">
        <v>3423</v>
      </c>
      <c r="E129" s="165" t="s">
        <v>219</v>
      </c>
      <c r="F129" s="166" t="s">
        <v>975</v>
      </c>
      <c r="G129" s="167">
        <v>1436164.0</v>
      </c>
      <c r="H129" s="166" t="s">
        <v>3424</v>
      </c>
      <c r="I129" s="167">
        <v>672290.0</v>
      </c>
      <c r="J129" s="168" t="s">
        <v>3425</v>
      </c>
    </row>
    <row r="130">
      <c r="A130" s="83">
        <v>1281528.0</v>
      </c>
      <c r="B130" s="164">
        <v>43769.0</v>
      </c>
      <c r="C130" s="165" t="s">
        <v>893</v>
      </c>
      <c r="D130" s="165" t="s">
        <v>3426</v>
      </c>
      <c r="E130" s="165" t="s">
        <v>219</v>
      </c>
      <c r="F130" s="166" t="s">
        <v>220</v>
      </c>
      <c r="G130" s="167">
        <v>1315784.0</v>
      </c>
      <c r="H130" s="166" t="s">
        <v>47</v>
      </c>
      <c r="I130" s="166"/>
      <c r="J130" s="166" t="s">
        <v>47</v>
      </c>
    </row>
    <row r="131">
      <c r="A131" s="83">
        <v>545206.0</v>
      </c>
      <c r="B131" s="164">
        <v>43769.0</v>
      </c>
      <c r="C131" s="165" t="s">
        <v>893</v>
      </c>
      <c r="D131" s="165" t="s">
        <v>3427</v>
      </c>
      <c r="E131" s="165" t="s">
        <v>219</v>
      </c>
      <c r="F131" s="166" t="s">
        <v>220</v>
      </c>
      <c r="G131" s="167">
        <v>1426364.0</v>
      </c>
      <c r="H131" s="166" t="s">
        <v>1698</v>
      </c>
      <c r="I131" s="167">
        <v>563478.0</v>
      </c>
      <c r="J131" s="168" t="s">
        <v>1445</v>
      </c>
    </row>
    <row r="132">
      <c r="A132" s="83">
        <v>189940.0</v>
      </c>
      <c r="B132" s="164">
        <v>43769.0</v>
      </c>
      <c r="C132" s="165" t="s">
        <v>893</v>
      </c>
      <c r="D132" s="165" t="s">
        <v>3428</v>
      </c>
      <c r="E132" s="165" t="s">
        <v>219</v>
      </c>
      <c r="F132" s="166" t="s">
        <v>220</v>
      </c>
      <c r="G132" s="167">
        <v>1449746.0</v>
      </c>
      <c r="H132" s="168" t="s">
        <v>1697</v>
      </c>
      <c r="I132" s="166"/>
      <c r="J132" s="166" t="s">
        <v>47</v>
      </c>
    </row>
    <row r="133">
      <c r="A133" s="83">
        <v>415758.0</v>
      </c>
      <c r="B133" s="164">
        <v>43769.0</v>
      </c>
      <c r="C133" s="165" t="s">
        <v>893</v>
      </c>
      <c r="D133" s="165" t="s">
        <v>3429</v>
      </c>
      <c r="E133" s="165" t="s">
        <v>219</v>
      </c>
      <c r="F133" s="166" t="s">
        <v>220</v>
      </c>
      <c r="G133" s="167">
        <v>563478.0</v>
      </c>
      <c r="H133" s="166" t="s">
        <v>1445</v>
      </c>
      <c r="I133" s="167">
        <v>619692.0</v>
      </c>
      <c r="J133" s="168" t="s">
        <v>3269</v>
      </c>
    </row>
    <row r="134">
      <c r="A134" s="83">
        <v>1439058.0</v>
      </c>
      <c r="B134" s="164">
        <v>43769.0</v>
      </c>
      <c r="C134" s="165" t="s">
        <v>893</v>
      </c>
      <c r="D134" s="165" t="s">
        <v>3430</v>
      </c>
      <c r="E134" s="165" t="s">
        <v>39</v>
      </c>
      <c r="F134" s="166" t="s">
        <v>297</v>
      </c>
      <c r="G134" s="167">
        <v>1404946.0</v>
      </c>
      <c r="H134" s="168" t="s">
        <v>3431</v>
      </c>
      <c r="I134" s="166"/>
      <c r="J134" s="166" t="s">
        <v>47</v>
      </c>
    </row>
    <row r="135">
      <c r="A135" s="83">
        <v>352150.0</v>
      </c>
      <c r="B135" s="164">
        <v>43769.0</v>
      </c>
      <c r="C135" s="165" t="s">
        <v>893</v>
      </c>
      <c r="D135" s="165" t="s">
        <v>3432</v>
      </c>
      <c r="E135" s="165" t="s">
        <v>96</v>
      </c>
      <c r="F135" s="166" t="s">
        <v>109</v>
      </c>
      <c r="G135" s="167">
        <v>765562.0</v>
      </c>
      <c r="H135" s="166" t="s">
        <v>3433</v>
      </c>
      <c r="I135" s="167">
        <v>1587644.0</v>
      </c>
      <c r="J135" s="168" t="s">
        <v>2696</v>
      </c>
    </row>
    <row r="136">
      <c r="A136" s="83">
        <v>294292.0</v>
      </c>
      <c r="B136" s="164">
        <v>43769.0</v>
      </c>
      <c r="C136" s="165" t="s">
        <v>893</v>
      </c>
      <c r="D136" s="165" t="s">
        <v>3434</v>
      </c>
      <c r="E136" s="165" t="s">
        <v>96</v>
      </c>
      <c r="F136" s="166" t="s">
        <v>109</v>
      </c>
      <c r="G136" s="167">
        <v>765562.0</v>
      </c>
      <c r="H136" s="166" t="s">
        <v>3433</v>
      </c>
      <c r="I136" s="167">
        <v>848664.0</v>
      </c>
      <c r="J136" s="168" t="s">
        <v>3435</v>
      </c>
    </row>
    <row r="137">
      <c r="A137" s="83">
        <v>1358300.0</v>
      </c>
      <c r="B137" s="164">
        <v>43763.0</v>
      </c>
      <c r="C137" s="165" t="s">
        <v>893</v>
      </c>
      <c r="D137" s="165" t="s">
        <v>3436</v>
      </c>
      <c r="E137" s="165" t="s">
        <v>39</v>
      </c>
      <c r="F137" s="166" t="s">
        <v>140</v>
      </c>
      <c r="G137" s="167">
        <v>2609434.0</v>
      </c>
      <c r="H137" s="168" t="s">
        <v>3437</v>
      </c>
      <c r="I137" s="166"/>
      <c r="J137" s="166" t="s">
        <v>47</v>
      </c>
    </row>
    <row r="138">
      <c r="A138" s="83">
        <v>1461592.0</v>
      </c>
      <c r="B138" s="164">
        <v>43752.0</v>
      </c>
      <c r="C138" s="165" t="s">
        <v>893</v>
      </c>
      <c r="D138" s="165" t="s">
        <v>3438</v>
      </c>
      <c r="E138" s="165" t="s">
        <v>45</v>
      </c>
      <c r="F138" s="166" t="s">
        <v>75</v>
      </c>
      <c r="G138" s="167">
        <v>2369182.0</v>
      </c>
      <c r="H138" s="168" t="s">
        <v>3439</v>
      </c>
      <c r="I138" s="166"/>
      <c r="J138" s="166" t="s">
        <v>47</v>
      </c>
    </row>
    <row r="139">
      <c r="A139" s="83">
        <v>1289478.0</v>
      </c>
      <c r="B139" s="164">
        <v>43738.0</v>
      </c>
      <c r="C139" s="165" t="s">
        <v>893</v>
      </c>
      <c r="D139" s="165" t="s">
        <v>3440</v>
      </c>
      <c r="E139" s="165" t="s">
        <v>39</v>
      </c>
      <c r="F139" s="166" t="s">
        <v>214</v>
      </c>
      <c r="G139" s="167">
        <v>1778502.0</v>
      </c>
      <c r="H139" s="168" t="s">
        <v>2527</v>
      </c>
      <c r="I139" s="166"/>
      <c r="J139" s="166" t="s">
        <v>47</v>
      </c>
    </row>
    <row r="140">
      <c r="A140" s="83">
        <v>1311068.0</v>
      </c>
      <c r="B140" s="164">
        <v>43738.0</v>
      </c>
      <c r="C140" s="165" t="s">
        <v>893</v>
      </c>
      <c r="D140" s="165" t="s">
        <v>3441</v>
      </c>
      <c r="E140" s="165" t="s">
        <v>45</v>
      </c>
      <c r="F140" s="166" t="s">
        <v>75</v>
      </c>
      <c r="G140" s="167">
        <v>502924.0</v>
      </c>
      <c r="H140" s="166" t="s">
        <v>47</v>
      </c>
      <c r="I140" s="167">
        <v>1431270.0</v>
      </c>
      <c r="J140" s="168" t="s">
        <v>3442</v>
      </c>
    </row>
    <row r="141">
      <c r="A141" s="83">
        <v>751602.0</v>
      </c>
      <c r="B141" s="164">
        <v>43738.0</v>
      </c>
      <c r="C141" s="165" t="s">
        <v>893</v>
      </c>
      <c r="D141" s="165" t="s">
        <v>3443</v>
      </c>
      <c r="E141" s="165" t="s">
        <v>122</v>
      </c>
      <c r="F141" s="166" t="s">
        <v>123</v>
      </c>
      <c r="G141" s="167">
        <v>2092642.0</v>
      </c>
      <c r="H141" s="166" t="s">
        <v>3444</v>
      </c>
      <c r="I141" s="167">
        <v>613808.0</v>
      </c>
      <c r="J141" s="168" t="s">
        <v>1591</v>
      </c>
    </row>
    <row r="142">
      <c r="A142" s="83">
        <v>852192.0</v>
      </c>
      <c r="B142" s="164">
        <v>43738.0</v>
      </c>
      <c r="C142" s="165" t="s">
        <v>893</v>
      </c>
      <c r="D142" s="165" t="s">
        <v>3445</v>
      </c>
      <c r="E142" s="165" t="s">
        <v>122</v>
      </c>
      <c r="F142" s="166" t="s">
        <v>271</v>
      </c>
      <c r="G142" s="167">
        <v>1448556.0</v>
      </c>
      <c r="H142" s="166" t="s">
        <v>3446</v>
      </c>
      <c r="I142" s="167">
        <v>139200.0</v>
      </c>
      <c r="J142" s="168" t="s">
        <v>3447</v>
      </c>
    </row>
    <row r="143">
      <c r="A143" s="83">
        <v>939206.0</v>
      </c>
      <c r="B143" s="164">
        <v>43738.0</v>
      </c>
      <c r="C143" s="165" t="s">
        <v>893</v>
      </c>
      <c r="D143" s="165" t="s">
        <v>3448</v>
      </c>
      <c r="E143" s="165" t="s">
        <v>83</v>
      </c>
      <c r="F143" s="166" t="s">
        <v>285</v>
      </c>
      <c r="G143" s="167">
        <v>672290.0</v>
      </c>
      <c r="H143" s="168" t="s">
        <v>3425</v>
      </c>
      <c r="I143" s="166"/>
      <c r="J143" s="166" t="s">
        <v>47</v>
      </c>
    </row>
    <row r="144">
      <c r="A144" s="83">
        <v>1969694.0</v>
      </c>
      <c r="B144" s="164">
        <v>43738.0</v>
      </c>
      <c r="C144" s="165" t="s">
        <v>893</v>
      </c>
      <c r="D144" s="165" t="s">
        <v>3449</v>
      </c>
      <c r="E144" s="165" t="s">
        <v>83</v>
      </c>
      <c r="F144" s="166" t="s">
        <v>876</v>
      </c>
      <c r="G144" s="167">
        <v>403314.0</v>
      </c>
      <c r="H144" s="166" t="s">
        <v>1537</v>
      </c>
      <c r="I144" s="167">
        <v>987428.0</v>
      </c>
      <c r="J144" s="168" t="s">
        <v>1538</v>
      </c>
    </row>
    <row r="145">
      <c r="A145" s="83">
        <v>1428724.0</v>
      </c>
      <c r="B145" s="164">
        <v>43738.0</v>
      </c>
      <c r="C145" s="165" t="s">
        <v>893</v>
      </c>
      <c r="D145" s="165" t="s">
        <v>3450</v>
      </c>
      <c r="E145" s="165" t="s">
        <v>122</v>
      </c>
      <c r="F145" s="166" t="s">
        <v>271</v>
      </c>
      <c r="G145" s="167">
        <v>526000.0</v>
      </c>
      <c r="H145" s="166" t="s">
        <v>3451</v>
      </c>
      <c r="I145" s="167">
        <v>430604.0</v>
      </c>
      <c r="J145" s="168" t="s">
        <v>3452</v>
      </c>
    </row>
    <row r="146">
      <c r="A146" s="83">
        <v>806626.0</v>
      </c>
      <c r="B146" s="164">
        <v>43738.0</v>
      </c>
      <c r="C146" s="165" t="s">
        <v>893</v>
      </c>
      <c r="D146" s="165" t="s">
        <v>3453</v>
      </c>
      <c r="E146" s="165" t="s">
        <v>58</v>
      </c>
      <c r="F146" s="166" t="s">
        <v>161</v>
      </c>
      <c r="G146" s="167">
        <v>1355158.0</v>
      </c>
      <c r="H146" s="166" t="s">
        <v>3454</v>
      </c>
      <c r="I146" s="167">
        <v>1119698.0</v>
      </c>
      <c r="J146" s="168" t="s">
        <v>3455</v>
      </c>
    </row>
    <row r="147">
      <c r="A147" s="83">
        <v>1188870.0</v>
      </c>
      <c r="B147" s="164">
        <v>43738.0</v>
      </c>
      <c r="C147" s="165" t="s">
        <v>893</v>
      </c>
      <c r="D147" s="165" t="s">
        <v>3456</v>
      </c>
      <c r="E147" s="165" t="s">
        <v>58</v>
      </c>
      <c r="F147" s="166" t="s">
        <v>59</v>
      </c>
      <c r="G147" s="167">
        <v>963970.0</v>
      </c>
      <c r="H147" s="166" t="s">
        <v>3457</v>
      </c>
      <c r="I147" s="166"/>
      <c r="J147" s="166" t="s">
        <v>47</v>
      </c>
    </row>
    <row r="148">
      <c r="A148" s="83">
        <v>323448.0</v>
      </c>
      <c r="B148" s="164">
        <v>43738.0</v>
      </c>
      <c r="C148" s="165" t="s">
        <v>893</v>
      </c>
      <c r="D148" s="165" t="s">
        <v>3458</v>
      </c>
      <c r="E148" s="165" t="s">
        <v>122</v>
      </c>
      <c r="F148" s="166" t="s">
        <v>271</v>
      </c>
      <c r="G148" s="167">
        <v>1802404.0</v>
      </c>
      <c r="H148" s="168" t="s">
        <v>2778</v>
      </c>
      <c r="I148" s="166"/>
      <c r="J148" s="166" t="s">
        <v>47</v>
      </c>
    </row>
    <row r="149">
      <c r="A149" s="83">
        <v>1122854.0</v>
      </c>
      <c r="B149" s="164">
        <v>43738.0</v>
      </c>
      <c r="C149" s="165" t="s">
        <v>893</v>
      </c>
      <c r="D149" s="165" t="s">
        <v>3459</v>
      </c>
      <c r="E149" s="165" t="s">
        <v>122</v>
      </c>
      <c r="F149" s="166" t="s">
        <v>127</v>
      </c>
      <c r="G149" s="167">
        <v>1389870.0</v>
      </c>
      <c r="H149" s="168" t="s">
        <v>3460</v>
      </c>
      <c r="I149" s="166"/>
      <c r="J149" s="166" t="s">
        <v>47</v>
      </c>
    </row>
    <row r="150">
      <c r="A150" s="83">
        <v>1333522.0</v>
      </c>
      <c r="B150" s="164">
        <v>43738.0</v>
      </c>
      <c r="C150" s="165" t="s">
        <v>893</v>
      </c>
      <c r="D150" s="165" t="s">
        <v>3461</v>
      </c>
      <c r="E150" s="165" t="s">
        <v>45</v>
      </c>
      <c r="F150" s="168" t="s">
        <v>90</v>
      </c>
      <c r="G150" s="166"/>
      <c r="H150" s="166" t="s">
        <v>47</v>
      </c>
      <c r="I150" s="166"/>
      <c r="J150" s="166" t="s">
        <v>47</v>
      </c>
    </row>
    <row r="151">
      <c r="A151" s="83">
        <v>897895.0</v>
      </c>
      <c r="B151" s="164">
        <v>43738.0</v>
      </c>
      <c r="C151" s="165" t="s">
        <v>893</v>
      </c>
      <c r="D151" s="165" t="s">
        <v>3462</v>
      </c>
      <c r="E151" s="165" t="s">
        <v>45</v>
      </c>
      <c r="F151" s="166" t="s">
        <v>172</v>
      </c>
      <c r="G151" s="167">
        <v>1704776.0</v>
      </c>
      <c r="H151" s="168" t="s">
        <v>3089</v>
      </c>
      <c r="I151" s="166"/>
      <c r="J151" s="166" t="s">
        <v>47</v>
      </c>
    </row>
    <row r="152">
      <c r="A152" s="83">
        <v>1613360.0</v>
      </c>
      <c r="B152" s="164">
        <v>43738.0</v>
      </c>
      <c r="C152" s="165" t="s">
        <v>893</v>
      </c>
      <c r="D152" s="165" t="s">
        <v>3463</v>
      </c>
      <c r="E152" s="165" t="s">
        <v>105</v>
      </c>
      <c r="F152" s="166" t="s">
        <v>106</v>
      </c>
      <c r="G152" s="166"/>
      <c r="H152" s="166" t="s">
        <v>47</v>
      </c>
      <c r="I152" s="166"/>
      <c r="J152" s="166" t="s">
        <v>47</v>
      </c>
    </row>
    <row r="153">
      <c r="A153" s="83">
        <v>1314572.0</v>
      </c>
      <c r="B153" s="164">
        <v>43738.0</v>
      </c>
      <c r="C153" s="165" t="s">
        <v>893</v>
      </c>
      <c r="D153" s="165" t="s">
        <v>3464</v>
      </c>
      <c r="E153" s="165" t="s">
        <v>45</v>
      </c>
      <c r="F153" s="166" t="s">
        <v>75</v>
      </c>
      <c r="G153" s="167">
        <v>1007632.0</v>
      </c>
      <c r="H153" s="168" t="s">
        <v>2180</v>
      </c>
      <c r="I153" s="166"/>
      <c r="J153" s="166" t="s">
        <v>47</v>
      </c>
    </row>
    <row r="154">
      <c r="A154" s="83">
        <v>1196416.0</v>
      </c>
      <c r="B154" s="164">
        <v>43738.0</v>
      </c>
      <c r="C154" s="165" t="s">
        <v>893</v>
      </c>
      <c r="D154" s="165" t="s">
        <v>3465</v>
      </c>
      <c r="E154" s="165" t="s">
        <v>39</v>
      </c>
      <c r="F154" s="166" t="s">
        <v>214</v>
      </c>
      <c r="G154" s="167">
        <v>1862678.0</v>
      </c>
      <c r="H154" s="168" t="s">
        <v>3466</v>
      </c>
      <c r="I154" s="166"/>
      <c r="J154" s="166" t="s">
        <v>47</v>
      </c>
    </row>
    <row r="155">
      <c r="A155" s="83">
        <v>1840354.0</v>
      </c>
      <c r="B155" s="164">
        <v>43738.0</v>
      </c>
      <c r="C155" s="165" t="s">
        <v>893</v>
      </c>
      <c r="D155" s="165" t="s">
        <v>3467</v>
      </c>
      <c r="E155" s="165" t="s">
        <v>122</v>
      </c>
      <c r="F155" s="166" t="s">
        <v>271</v>
      </c>
      <c r="G155" s="167">
        <v>1337206.0</v>
      </c>
      <c r="H155" s="166" t="s">
        <v>3468</v>
      </c>
      <c r="I155" s="167">
        <v>1333184.0</v>
      </c>
      <c r="J155" s="168" t="s">
        <v>1235</v>
      </c>
    </row>
    <row r="156">
      <c r="A156" s="83">
        <v>1192456.0</v>
      </c>
      <c r="B156" s="164">
        <v>43738.0</v>
      </c>
      <c r="C156" s="165" t="s">
        <v>893</v>
      </c>
      <c r="D156" s="165" t="s">
        <v>3469</v>
      </c>
      <c r="E156" s="165" t="s">
        <v>45</v>
      </c>
      <c r="F156" s="168" t="s">
        <v>90</v>
      </c>
      <c r="G156" s="166"/>
      <c r="H156" s="166" t="s">
        <v>47</v>
      </c>
      <c r="I156" s="166"/>
      <c r="J156" s="166" t="s">
        <v>47</v>
      </c>
    </row>
    <row r="157">
      <c r="A157" s="83">
        <v>635970.0</v>
      </c>
      <c r="B157" s="164">
        <v>43738.0</v>
      </c>
      <c r="C157" s="165" t="s">
        <v>893</v>
      </c>
      <c r="D157" s="165" t="s">
        <v>3470</v>
      </c>
      <c r="E157" s="165" t="s">
        <v>45</v>
      </c>
      <c r="F157" s="166" t="s">
        <v>75</v>
      </c>
      <c r="G157" s="167">
        <v>751094.0</v>
      </c>
      <c r="H157" s="168" t="s">
        <v>176</v>
      </c>
      <c r="I157" s="166"/>
      <c r="J157" s="166" t="s">
        <v>47</v>
      </c>
    </row>
    <row r="158">
      <c r="A158" s="83">
        <v>814168.0</v>
      </c>
      <c r="B158" s="164">
        <v>43738.0</v>
      </c>
      <c r="C158" s="165" t="s">
        <v>893</v>
      </c>
      <c r="D158" s="165" t="s">
        <v>3471</v>
      </c>
      <c r="E158" s="165" t="s">
        <v>58</v>
      </c>
      <c r="F158" s="166" t="s">
        <v>59</v>
      </c>
      <c r="G158" s="167">
        <v>1563628.0</v>
      </c>
      <c r="H158" s="166" t="s">
        <v>3472</v>
      </c>
      <c r="I158" s="167">
        <v>1299614.0</v>
      </c>
      <c r="J158" s="168" t="s">
        <v>3473</v>
      </c>
    </row>
    <row r="159">
      <c r="A159" s="83">
        <v>1347836.0</v>
      </c>
      <c r="B159" s="164">
        <v>43738.0</v>
      </c>
      <c r="C159" s="165" t="s">
        <v>893</v>
      </c>
      <c r="D159" s="165" t="s">
        <v>3474</v>
      </c>
      <c r="E159" s="165" t="s">
        <v>219</v>
      </c>
      <c r="F159" s="166" t="s">
        <v>220</v>
      </c>
      <c r="G159" s="167">
        <v>619692.0</v>
      </c>
      <c r="H159" s="168" t="s">
        <v>3269</v>
      </c>
      <c r="I159" s="166"/>
      <c r="J159" s="166" t="s">
        <v>47</v>
      </c>
    </row>
    <row r="160">
      <c r="A160" s="83">
        <v>1598404.0</v>
      </c>
      <c r="B160" s="164">
        <v>43738.0</v>
      </c>
      <c r="C160" s="165" t="s">
        <v>893</v>
      </c>
      <c r="D160" s="165" t="s">
        <v>3475</v>
      </c>
      <c r="E160" s="165" t="s">
        <v>96</v>
      </c>
      <c r="F160" s="166" t="s">
        <v>131</v>
      </c>
      <c r="G160" s="167">
        <v>595258.0</v>
      </c>
      <c r="H160" s="168" t="s">
        <v>3476</v>
      </c>
      <c r="I160" s="166"/>
      <c r="J160" s="166" t="s">
        <v>47</v>
      </c>
    </row>
    <row r="161">
      <c r="A161" s="83">
        <v>1670456.0</v>
      </c>
      <c r="B161" s="164">
        <v>43738.0</v>
      </c>
      <c r="C161" s="165" t="s">
        <v>893</v>
      </c>
      <c r="D161" s="165" t="s">
        <v>3477</v>
      </c>
      <c r="E161" s="165" t="s">
        <v>58</v>
      </c>
      <c r="F161" s="166" t="s">
        <v>59</v>
      </c>
      <c r="G161" s="167">
        <v>1608640.0</v>
      </c>
      <c r="H161" s="168" t="s">
        <v>3478</v>
      </c>
      <c r="I161" s="166"/>
      <c r="J161" s="166" t="s">
        <v>47</v>
      </c>
    </row>
    <row r="162">
      <c r="A162" s="83">
        <v>42640.0</v>
      </c>
      <c r="B162" s="164">
        <v>43738.0</v>
      </c>
      <c r="C162" s="165" t="s">
        <v>893</v>
      </c>
      <c r="D162" s="165" t="s">
        <v>3479</v>
      </c>
      <c r="E162" s="165" t="s">
        <v>96</v>
      </c>
      <c r="F162" s="166" t="s">
        <v>109</v>
      </c>
      <c r="G162" s="167">
        <v>1263966.0</v>
      </c>
      <c r="H162" s="166" t="s">
        <v>3480</v>
      </c>
      <c r="I162" s="167">
        <v>1355782.0</v>
      </c>
      <c r="J162" s="168" t="s">
        <v>3481</v>
      </c>
    </row>
    <row r="163">
      <c r="A163" s="83">
        <v>1613366.0</v>
      </c>
      <c r="B163" s="164">
        <v>43738.0</v>
      </c>
      <c r="C163" s="165" t="s">
        <v>893</v>
      </c>
      <c r="D163" s="165" t="s">
        <v>3482</v>
      </c>
      <c r="E163" s="165" t="s">
        <v>105</v>
      </c>
      <c r="F163" s="166" t="s">
        <v>106</v>
      </c>
      <c r="G163" s="166"/>
      <c r="H163" s="166" t="s">
        <v>47</v>
      </c>
      <c r="I163" s="166"/>
      <c r="J163" s="166" t="s">
        <v>47</v>
      </c>
    </row>
    <row r="164">
      <c r="A164" s="83">
        <v>986612.0</v>
      </c>
      <c r="B164" s="164">
        <v>43738.0</v>
      </c>
      <c r="C164" s="165" t="s">
        <v>893</v>
      </c>
      <c r="D164" s="165" t="s">
        <v>3483</v>
      </c>
      <c r="E164" s="165" t="s">
        <v>45</v>
      </c>
      <c r="F164" s="166" t="s">
        <v>172</v>
      </c>
      <c r="G164" s="167">
        <v>1237876.0</v>
      </c>
      <c r="H164" s="166" t="s">
        <v>3484</v>
      </c>
      <c r="I164" s="167">
        <v>1305696.0</v>
      </c>
      <c r="J164" s="168" t="s">
        <v>3485</v>
      </c>
    </row>
    <row r="165">
      <c r="A165" s="83">
        <v>908996.0</v>
      </c>
      <c r="B165" s="164">
        <v>43738.0</v>
      </c>
      <c r="C165" s="165" t="s">
        <v>893</v>
      </c>
      <c r="D165" s="165" t="s">
        <v>3486</v>
      </c>
      <c r="E165" s="165" t="s">
        <v>39</v>
      </c>
      <c r="F165" s="166" t="s">
        <v>140</v>
      </c>
      <c r="G165" s="167">
        <v>986894.0</v>
      </c>
      <c r="H165" s="168" t="s">
        <v>3487</v>
      </c>
      <c r="I165" s="166"/>
      <c r="J165" s="166" t="s">
        <v>47</v>
      </c>
    </row>
    <row r="166">
      <c r="A166" s="83">
        <v>1619188.0</v>
      </c>
      <c r="B166" s="164">
        <v>43738.0</v>
      </c>
      <c r="C166" s="165" t="s">
        <v>893</v>
      </c>
      <c r="D166" s="165" t="s">
        <v>3488</v>
      </c>
      <c r="E166" s="165" t="s">
        <v>105</v>
      </c>
      <c r="F166" s="166" t="s">
        <v>106</v>
      </c>
      <c r="G166" s="166"/>
      <c r="H166" s="166" t="s">
        <v>47</v>
      </c>
      <c r="I166" s="166"/>
      <c r="J166" s="166" t="s">
        <v>47</v>
      </c>
    </row>
    <row r="167">
      <c r="A167" s="83">
        <v>1619230.0</v>
      </c>
      <c r="B167" s="164">
        <v>43738.0</v>
      </c>
      <c r="C167" s="165" t="s">
        <v>893</v>
      </c>
      <c r="D167" s="165" t="s">
        <v>3489</v>
      </c>
      <c r="E167" s="165" t="s">
        <v>105</v>
      </c>
      <c r="F167" s="166" t="s">
        <v>106</v>
      </c>
      <c r="G167" s="166"/>
      <c r="H167" s="166" t="s">
        <v>47</v>
      </c>
      <c r="I167" s="166"/>
      <c r="J167" s="166" t="s">
        <v>47</v>
      </c>
    </row>
    <row r="168">
      <c r="A168" s="83">
        <v>1614344.0</v>
      </c>
      <c r="B168" s="164">
        <v>43738.0</v>
      </c>
      <c r="C168" s="165" t="s">
        <v>893</v>
      </c>
      <c r="D168" s="165" t="s">
        <v>3490</v>
      </c>
      <c r="E168" s="165" t="s">
        <v>105</v>
      </c>
      <c r="F168" s="166" t="s">
        <v>106</v>
      </c>
      <c r="G168" s="166"/>
      <c r="H168" s="166" t="s">
        <v>47</v>
      </c>
      <c r="I168" s="166"/>
      <c r="J168" s="166" t="s">
        <v>47</v>
      </c>
    </row>
    <row r="169">
      <c r="A169" s="83">
        <v>1614016.0</v>
      </c>
      <c r="B169" s="164">
        <v>43738.0</v>
      </c>
      <c r="C169" s="165" t="s">
        <v>893</v>
      </c>
      <c r="D169" s="165" t="s">
        <v>3491</v>
      </c>
      <c r="E169" s="165" t="s">
        <v>105</v>
      </c>
      <c r="F169" s="166" t="s">
        <v>106</v>
      </c>
      <c r="G169" s="166"/>
      <c r="H169" s="166" t="s">
        <v>47</v>
      </c>
      <c r="I169" s="166"/>
      <c r="J169" s="166" t="s">
        <v>47</v>
      </c>
    </row>
    <row r="170">
      <c r="A170" s="83">
        <v>927326.0</v>
      </c>
      <c r="B170" s="164">
        <v>43738.0</v>
      </c>
      <c r="C170" s="165" t="s">
        <v>893</v>
      </c>
      <c r="D170" s="165" t="s">
        <v>3492</v>
      </c>
      <c r="E170" s="165" t="s">
        <v>122</v>
      </c>
      <c r="F170" s="166" t="s">
        <v>123</v>
      </c>
      <c r="G170" s="167">
        <v>613808.0</v>
      </c>
      <c r="H170" s="166" t="s">
        <v>1591</v>
      </c>
      <c r="I170" s="167">
        <v>1362218.0</v>
      </c>
      <c r="J170" s="168" t="s">
        <v>3389</v>
      </c>
    </row>
    <row r="171">
      <c r="A171" s="83">
        <v>928250.0</v>
      </c>
      <c r="B171" s="164">
        <v>43738.0</v>
      </c>
      <c r="C171" s="165" t="s">
        <v>893</v>
      </c>
      <c r="D171" s="165" t="s">
        <v>3493</v>
      </c>
      <c r="E171" s="165" t="s">
        <v>122</v>
      </c>
      <c r="F171" s="166" t="s">
        <v>123</v>
      </c>
      <c r="G171" s="167">
        <v>613808.0</v>
      </c>
      <c r="H171" s="166" t="s">
        <v>1591</v>
      </c>
      <c r="I171" s="167">
        <v>1362218.0</v>
      </c>
      <c r="J171" s="168" t="s">
        <v>3389</v>
      </c>
    </row>
    <row r="172">
      <c r="A172" s="83">
        <v>770678.0</v>
      </c>
      <c r="B172" s="164">
        <v>43738.0</v>
      </c>
      <c r="C172" s="165" t="s">
        <v>893</v>
      </c>
      <c r="D172" s="165" t="s">
        <v>3494</v>
      </c>
      <c r="E172" s="165" t="s">
        <v>122</v>
      </c>
      <c r="F172" s="166" t="s">
        <v>123</v>
      </c>
      <c r="G172" s="167">
        <v>836842.0</v>
      </c>
      <c r="H172" s="166" t="s">
        <v>2858</v>
      </c>
      <c r="I172" s="167">
        <v>1007674.0</v>
      </c>
      <c r="J172" s="168" t="s">
        <v>3495</v>
      </c>
    </row>
    <row r="173">
      <c r="A173" s="83">
        <v>1254568.0</v>
      </c>
      <c r="B173" s="164">
        <v>43738.0</v>
      </c>
      <c r="C173" s="165" t="s">
        <v>893</v>
      </c>
      <c r="D173" s="165" t="s">
        <v>3496</v>
      </c>
      <c r="E173" s="165" t="s">
        <v>58</v>
      </c>
      <c r="F173" s="166" t="s">
        <v>59</v>
      </c>
      <c r="G173" s="167">
        <v>1007674.0</v>
      </c>
      <c r="H173" s="168" t="s">
        <v>3495</v>
      </c>
      <c r="I173" s="166"/>
      <c r="J173" s="166" t="s">
        <v>47</v>
      </c>
    </row>
    <row r="174">
      <c r="A174" s="83">
        <v>1460118.0</v>
      </c>
      <c r="B174" s="164">
        <v>43738.0</v>
      </c>
      <c r="C174" s="165" t="s">
        <v>893</v>
      </c>
      <c r="D174" s="165" t="s">
        <v>3497</v>
      </c>
      <c r="E174" s="165" t="s">
        <v>2958</v>
      </c>
      <c r="F174" s="166" t="s">
        <v>467</v>
      </c>
      <c r="G174" s="167">
        <v>1210442.0</v>
      </c>
      <c r="H174" s="166" t="s">
        <v>3118</v>
      </c>
      <c r="I174" s="167">
        <v>1355906.0</v>
      </c>
      <c r="J174" s="166" t="s">
        <v>47</v>
      </c>
    </row>
    <row r="175">
      <c r="A175" s="83">
        <v>1796306.0</v>
      </c>
      <c r="B175" s="164">
        <v>43738.0</v>
      </c>
      <c r="C175" s="165" t="s">
        <v>893</v>
      </c>
      <c r="D175" s="165" t="s">
        <v>3498</v>
      </c>
      <c r="E175" s="165" t="s">
        <v>83</v>
      </c>
      <c r="F175" s="166" t="s">
        <v>285</v>
      </c>
      <c r="G175" s="167">
        <v>2037952.0</v>
      </c>
      <c r="H175" s="168" t="s">
        <v>1248</v>
      </c>
      <c r="I175" s="166"/>
      <c r="J175" s="166" t="s">
        <v>47</v>
      </c>
    </row>
    <row r="176">
      <c r="A176" s="83">
        <v>1966616.0</v>
      </c>
      <c r="B176" s="164">
        <v>43738.0</v>
      </c>
      <c r="C176" s="165" t="s">
        <v>893</v>
      </c>
      <c r="D176" s="165" t="s">
        <v>3499</v>
      </c>
      <c r="E176" s="165" t="s">
        <v>63</v>
      </c>
      <c r="F176" s="166" t="s">
        <v>64</v>
      </c>
      <c r="G176" s="166"/>
      <c r="H176" s="166" t="s">
        <v>47</v>
      </c>
      <c r="I176" s="166"/>
      <c r="J176" s="166" t="s">
        <v>47</v>
      </c>
    </row>
    <row r="177">
      <c r="A177" s="83">
        <v>1828766.0</v>
      </c>
      <c r="B177" s="164">
        <v>43738.0</v>
      </c>
      <c r="C177" s="165" t="s">
        <v>893</v>
      </c>
      <c r="D177" s="165" t="s">
        <v>3500</v>
      </c>
      <c r="E177" s="165" t="s">
        <v>63</v>
      </c>
      <c r="F177" s="166" t="s">
        <v>258</v>
      </c>
      <c r="G177" s="167">
        <v>1644472.0</v>
      </c>
      <c r="H177" s="166" t="s">
        <v>47</v>
      </c>
      <c r="I177" s="166"/>
      <c r="J177" s="166" t="s">
        <v>47</v>
      </c>
    </row>
    <row r="178">
      <c r="A178" s="83">
        <v>406820.0</v>
      </c>
      <c r="B178" s="164">
        <v>43738.0</v>
      </c>
      <c r="C178" s="165" t="s">
        <v>893</v>
      </c>
      <c r="D178" s="165" t="s">
        <v>3501</v>
      </c>
      <c r="E178" s="165" t="s">
        <v>39</v>
      </c>
      <c r="F178" s="168" t="s">
        <v>140</v>
      </c>
      <c r="G178" s="166"/>
      <c r="H178" s="166" t="s">
        <v>47</v>
      </c>
      <c r="I178" s="166"/>
      <c r="J178" s="166" t="s">
        <v>47</v>
      </c>
    </row>
    <row r="179">
      <c r="A179" s="83">
        <v>634634.0</v>
      </c>
      <c r="B179" s="164">
        <v>43738.0</v>
      </c>
      <c r="C179" s="165" t="s">
        <v>893</v>
      </c>
      <c r="D179" s="165" t="s">
        <v>3502</v>
      </c>
      <c r="E179" s="165" t="s">
        <v>83</v>
      </c>
      <c r="F179" s="166" t="s">
        <v>285</v>
      </c>
      <c r="G179" s="167">
        <v>563556.0</v>
      </c>
      <c r="H179" s="168" t="s">
        <v>3503</v>
      </c>
      <c r="I179" s="166"/>
      <c r="J179" s="166" t="s">
        <v>47</v>
      </c>
    </row>
    <row r="180">
      <c r="A180" s="83">
        <v>963600.0</v>
      </c>
      <c r="B180" s="164">
        <v>43738.0</v>
      </c>
      <c r="C180" s="165" t="s">
        <v>893</v>
      </c>
      <c r="D180" s="165" t="s">
        <v>3504</v>
      </c>
      <c r="E180" s="165" t="s">
        <v>83</v>
      </c>
      <c r="F180" s="166" t="s">
        <v>94</v>
      </c>
      <c r="G180" s="167">
        <v>196152.0</v>
      </c>
      <c r="H180" s="168" t="s">
        <v>3505</v>
      </c>
      <c r="I180" s="166"/>
      <c r="J180" s="166" t="s">
        <v>47</v>
      </c>
    </row>
    <row r="181">
      <c r="A181" s="83">
        <v>175802.0</v>
      </c>
      <c r="B181" s="164">
        <v>43738.0</v>
      </c>
      <c r="C181" s="165" t="s">
        <v>893</v>
      </c>
      <c r="D181" s="165" t="s">
        <v>3506</v>
      </c>
      <c r="E181" s="165" t="s">
        <v>189</v>
      </c>
      <c r="F181" s="166" t="s">
        <v>337</v>
      </c>
      <c r="G181" s="167">
        <v>827712.0</v>
      </c>
      <c r="H181" s="168" t="s">
        <v>3507</v>
      </c>
      <c r="I181" s="166"/>
      <c r="J181" s="166" t="s">
        <v>47</v>
      </c>
    </row>
    <row r="182">
      <c r="A182" s="83">
        <v>1040900.0</v>
      </c>
      <c r="B182" s="164">
        <v>43738.0</v>
      </c>
      <c r="C182" s="165" t="s">
        <v>893</v>
      </c>
      <c r="D182" s="165" t="s">
        <v>3508</v>
      </c>
      <c r="E182" s="165" t="s">
        <v>45</v>
      </c>
      <c r="F182" s="166" t="s">
        <v>46</v>
      </c>
      <c r="G182" s="167">
        <v>186420.0</v>
      </c>
      <c r="H182" s="166" t="s">
        <v>1804</v>
      </c>
      <c r="I182" s="167">
        <v>888660.0</v>
      </c>
      <c r="J182" s="166" t="s">
        <v>47</v>
      </c>
    </row>
    <row r="183">
      <c r="A183" s="83">
        <v>389244.0</v>
      </c>
      <c r="B183" s="164">
        <v>43738.0</v>
      </c>
      <c r="C183" s="165" t="s">
        <v>893</v>
      </c>
      <c r="D183" s="165" t="s">
        <v>3509</v>
      </c>
      <c r="E183" s="165" t="s">
        <v>219</v>
      </c>
      <c r="F183" s="166" t="s">
        <v>220</v>
      </c>
      <c r="G183" s="167">
        <v>573994.0</v>
      </c>
      <c r="H183" s="166" t="s">
        <v>3510</v>
      </c>
      <c r="I183" s="167">
        <v>1600628.0</v>
      </c>
      <c r="J183" s="168" t="s">
        <v>2781</v>
      </c>
    </row>
    <row r="184">
      <c r="A184" s="83">
        <v>1362834.0</v>
      </c>
      <c r="B184" s="164">
        <v>43738.0</v>
      </c>
      <c r="C184" s="165" t="s">
        <v>893</v>
      </c>
      <c r="D184" s="165" t="s">
        <v>3511</v>
      </c>
      <c r="E184" s="165" t="s">
        <v>83</v>
      </c>
      <c r="F184" s="168" t="s">
        <v>147</v>
      </c>
      <c r="G184" s="166"/>
      <c r="H184" s="166" t="s">
        <v>47</v>
      </c>
      <c r="I184" s="166"/>
      <c r="J184" s="166" t="s">
        <v>47</v>
      </c>
    </row>
    <row r="185">
      <c r="A185" s="83">
        <v>399334.0</v>
      </c>
      <c r="B185" s="164">
        <v>43738.0</v>
      </c>
      <c r="C185" s="165" t="s">
        <v>893</v>
      </c>
      <c r="D185" s="165" t="s">
        <v>3512</v>
      </c>
      <c r="E185" s="165" t="s">
        <v>189</v>
      </c>
      <c r="F185" s="166" t="s">
        <v>300</v>
      </c>
      <c r="G185" s="167">
        <v>339900.0</v>
      </c>
      <c r="H185" s="166" t="s">
        <v>47</v>
      </c>
      <c r="I185" s="166"/>
      <c r="J185" s="166" t="s">
        <v>47</v>
      </c>
    </row>
    <row r="186">
      <c r="A186" s="83">
        <v>362518.0</v>
      </c>
      <c r="B186" s="164">
        <v>43738.0</v>
      </c>
      <c r="C186" s="165" t="s">
        <v>893</v>
      </c>
      <c r="D186" s="165" t="s">
        <v>3513</v>
      </c>
      <c r="E186" s="165" t="s">
        <v>122</v>
      </c>
      <c r="F186" s="166" t="s">
        <v>271</v>
      </c>
      <c r="G186" s="167">
        <v>1576710.0</v>
      </c>
      <c r="H186" s="166" t="s">
        <v>3514</v>
      </c>
      <c r="I186" s="167">
        <v>1098006.0</v>
      </c>
      <c r="J186" s="168" t="s">
        <v>3515</v>
      </c>
    </row>
    <row r="187">
      <c r="A187" s="83">
        <v>2292199.0</v>
      </c>
      <c r="B187" s="164">
        <v>43731.0</v>
      </c>
      <c r="C187" s="165" t="s">
        <v>893</v>
      </c>
      <c r="D187" s="165" t="s">
        <v>3516</v>
      </c>
      <c r="E187" s="165" t="s">
        <v>105</v>
      </c>
      <c r="F187" s="166" t="s">
        <v>778</v>
      </c>
      <c r="G187" s="166"/>
      <c r="H187" s="166" t="s">
        <v>47</v>
      </c>
      <c r="I187" s="166"/>
      <c r="J187" s="166" t="s">
        <v>47</v>
      </c>
    </row>
    <row r="188">
      <c r="A188" s="83">
        <v>1511582.0</v>
      </c>
      <c r="B188" s="164">
        <v>43724.0</v>
      </c>
      <c r="C188" s="165" t="s">
        <v>893</v>
      </c>
      <c r="D188" s="165" t="s">
        <v>3517</v>
      </c>
      <c r="E188" s="165" t="s">
        <v>45</v>
      </c>
      <c r="F188" s="166" t="s">
        <v>75</v>
      </c>
      <c r="G188" s="167">
        <v>1076804.0</v>
      </c>
      <c r="H188" s="168" t="s">
        <v>2510</v>
      </c>
      <c r="I188" s="166"/>
      <c r="J188" s="166" t="s">
        <v>47</v>
      </c>
    </row>
    <row r="189">
      <c r="A189" s="97">
        <v>2434682.0</v>
      </c>
      <c r="B189" s="164">
        <v>43721.0</v>
      </c>
      <c r="C189" s="165" t="s">
        <v>893</v>
      </c>
      <c r="D189" s="169" t="s">
        <v>3518</v>
      </c>
      <c r="E189" s="165"/>
      <c r="F189" s="166"/>
      <c r="G189" s="166"/>
      <c r="H189" s="166" t="s">
        <v>47</v>
      </c>
      <c r="I189" s="166"/>
      <c r="J189" s="166" t="s">
        <v>47</v>
      </c>
    </row>
    <row r="190">
      <c r="A190" s="83">
        <v>579392.0</v>
      </c>
      <c r="B190" s="164">
        <v>43707.0</v>
      </c>
      <c r="C190" s="165" t="s">
        <v>893</v>
      </c>
      <c r="D190" s="165" t="s">
        <v>3519</v>
      </c>
      <c r="E190" s="165" t="s">
        <v>189</v>
      </c>
      <c r="F190" s="166" t="s">
        <v>300</v>
      </c>
      <c r="G190" s="167">
        <v>1321382.0</v>
      </c>
      <c r="H190" s="168" t="s">
        <v>3520</v>
      </c>
      <c r="I190" s="166"/>
      <c r="J190" s="166" t="s">
        <v>47</v>
      </c>
    </row>
    <row r="191">
      <c r="A191" s="83">
        <v>528192.0</v>
      </c>
      <c r="B191" s="164">
        <v>43707.0</v>
      </c>
      <c r="C191" s="165" t="s">
        <v>893</v>
      </c>
      <c r="D191" s="165" t="s">
        <v>3521</v>
      </c>
      <c r="E191" s="165" t="s">
        <v>122</v>
      </c>
      <c r="F191" s="166" t="s">
        <v>123</v>
      </c>
      <c r="G191" s="167">
        <v>613808.0</v>
      </c>
      <c r="H191" s="166" t="s">
        <v>1591</v>
      </c>
      <c r="I191" s="167">
        <v>1415934.0</v>
      </c>
      <c r="J191" s="168" t="s">
        <v>3390</v>
      </c>
    </row>
    <row r="192">
      <c r="A192" s="83">
        <v>1859168.0</v>
      </c>
      <c r="B192" s="164">
        <v>43707.0</v>
      </c>
      <c r="C192" s="165" t="s">
        <v>893</v>
      </c>
      <c r="D192" s="165" t="s">
        <v>3522</v>
      </c>
      <c r="E192" s="165" t="s">
        <v>122</v>
      </c>
      <c r="F192" s="166" t="s">
        <v>127</v>
      </c>
      <c r="G192" s="167">
        <v>1300254.0</v>
      </c>
      <c r="H192" s="168" t="s">
        <v>3523</v>
      </c>
      <c r="I192" s="166"/>
      <c r="J192" s="166" t="s">
        <v>47</v>
      </c>
    </row>
    <row r="193">
      <c r="A193" s="83">
        <v>1146324.0</v>
      </c>
      <c r="B193" s="164">
        <v>43707.0</v>
      </c>
      <c r="C193" s="165" t="s">
        <v>893</v>
      </c>
      <c r="D193" s="165" t="s">
        <v>3524</v>
      </c>
      <c r="E193" s="165" t="s">
        <v>79</v>
      </c>
      <c r="F193" s="166" t="s">
        <v>261</v>
      </c>
      <c r="G193" s="167">
        <v>555696.0</v>
      </c>
      <c r="H193" s="168" t="s">
        <v>1066</v>
      </c>
      <c r="I193" s="166"/>
      <c r="J193" s="166" t="s">
        <v>47</v>
      </c>
    </row>
    <row r="194">
      <c r="A194" s="83">
        <v>1919446.0</v>
      </c>
      <c r="B194" s="164">
        <v>43707.0</v>
      </c>
      <c r="C194" s="165" t="s">
        <v>893</v>
      </c>
      <c r="D194" s="165" t="s">
        <v>3525</v>
      </c>
      <c r="E194" s="165" t="s">
        <v>45</v>
      </c>
      <c r="F194" s="166" t="s">
        <v>75</v>
      </c>
      <c r="G194" s="166"/>
      <c r="H194" s="166" t="s">
        <v>47</v>
      </c>
      <c r="I194" s="166"/>
      <c r="J194" s="166" t="s">
        <v>47</v>
      </c>
    </row>
    <row r="195">
      <c r="A195" s="83">
        <v>1746290.0</v>
      </c>
      <c r="B195" s="164">
        <v>43707.0</v>
      </c>
      <c r="C195" s="165" t="s">
        <v>893</v>
      </c>
      <c r="D195" s="165" t="s">
        <v>3526</v>
      </c>
      <c r="E195" s="165" t="s">
        <v>45</v>
      </c>
      <c r="F195" s="166" t="s">
        <v>75</v>
      </c>
      <c r="G195" s="167">
        <v>1102458.0</v>
      </c>
      <c r="H195" s="168" t="s">
        <v>553</v>
      </c>
      <c r="I195" s="166"/>
      <c r="J195" s="166" t="s">
        <v>47</v>
      </c>
    </row>
    <row r="196">
      <c r="A196" s="83">
        <v>858156.0</v>
      </c>
      <c r="B196" s="164">
        <v>43707.0</v>
      </c>
      <c r="C196" s="165" t="s">
        <v>893</v>
      </c>
      <c r="D196" s="165" t="s">
        <v>3527</v>
      </c>
      <c r="E196" s="165" t="s">
        <v>122</v>
      </c>
      <c r="F196" s="166" t="s">
        <v>123</v>
      </c>
      <c r="G196" s="167">
        <v>946742.0</v>
      </c>
      <c r="H196" s="166" t="s">
        <v>2729</v>
      </c>
      <c r="I196" s="167">
        <v>988524.0</v>
      </c>
      <c r="J196" s="168" t="s">
        <v>2893</v>
      </c>
    </row>
    <row r="197">
      <c r="A197" s="83">
        <v>530088.0</v>
      </c>
      <c r="B197" s="164">
        <v>43707.0</v>
      </c>
      <c r="C197" s="165" t="s">
        <v>893</v>
      </c>
      <c r="D197" s="165" t="s">
        <v>3528</v>
      </c>
      <c r="E197" s="165" t="s">
        <v>45</v>
      </c>
      <c r="F197" s="166" t="s">
        <v>46</v>
      </c>
      <c r="G197" s="167">
        <v>1546712.0</v>
      </c>
      <c r="H197" s="166" t="s">
        <v>47</v>
      </c>
      <c r="I197" s="166"/>
      <c r="J197" s="166" t="s">
        <v>47</v>
      </c>
    </row>
    <row r="198">
      <c r="A198" s="83">
        <v>635248.0</v>
      </c>
      <c r="B198" s="164">
        <v>43707.0</v>
      </c>
      <c r="C198" s="165" t="s">
        <v>893</v>
      </c>
      <c r="D198" s="165" t="s">
        <v>3529</v>
      </c>
      <c r="E198" s="165" t="s">
        <v>39</v>
      </c>
      <c r="F198" s="168" t="s">
        <v>140</v>
      </c>
      <c r="G198" s="166"/>
      <c r="H198" s="166" t="s">
        <v>47</v>
      </c>
      <c r="I198" s="166"/>
      <c r="J198" s="166" t="s">
        <v>47</v>
      </c>
    </row>
    <row r="199">
      <c r="A199" s="83">
        <v>838418.0</v>
      </c>
      <c r="B199" s="164">
        <v>43707.0</v>
      </c>
      <c r="C199" s="165" t="s">
        <v>893</v>
      </c>
      <c r="D199" s="165" t="s">
        <v>3530</v>
      </c>
      <c r="E199" s="165" t="s">
        <v>39</v>
      </c>
      <c r="F199" s="166" t="s">
        <v>140</v>
      </c>
      <c r="G199" s="167">
        <v>405282.0</v>
      </c>
      <c r="H199" s="166" t="s">
        <v>866</v>
      </c>
      <c r="I199" s="167">
        <v>130064.0</v>
      </c>
      <c r="J199" s="168" t="s">
        <v>3531</v>
      </c>
    </row>
    <row r="200">
      <c r="A200" s="83">
        <v>1809466.0</v>
      </c>
      <c r="B200" s="164">
        <v>43707.0</v>
      </c>
      <c r="C200" s="165" t="s">
        <v>893</v>
      </c>
      <c r="D200" s="165" t="s">
        <v>3532</v>
      </c>
      <c r="E200" s="165" t="s">
        <v>45</v>
      </c>
      <c r="F200" s="166" t="s">
        <v>75</v>
      </c>
      <c r="G200" s="166"/>
      <c r="H200" s="166" t="s">
        <v>47</v>
      </c>
      <c r="I200" s="166"/>
      <c r="J200" s="166" t="s">
        <v>47</v>
      </c>
    </row>
    <row r="201">
      <c r="A201" s="83">
        <v>395140.0</v>
      </c>
      <c r="B201" s="164">
        <v>43707.0</v>
      </c>
      <c r="C201" s="165" t="s">
        <v>893</v>
      </c>
      <c r="D201" s="165" t="s">
        <v>3533</v>
      </c>
      <c r="E201" s="165" t="s">
        <v>105</v>
      </c>
      <c r="F201" s="166" t="s">
        <v>198</v>
      </c>
      <c r="G201" s="166"/>
      <c r="H201" s="166" t="s">
        <v>47</v>
      </c>
      <c r="I201" s="166"/>
      <c r="J201" s="166" t="s">
        <v>47</v>
      </c>
    </row>
    <row r="202">
      <c r="A202" s="83">
        <v>950758.0</v>
      </c>
      <c r="B202" s="164">
        <v>43707.0</v>
      </c>
      <c r="C202" s="165" t="s">
        <v>893</v>
      </c>
      <c r="D202" s="165" t="s">
        <v>3534</v>
      </c>
      <c r="E202" s="165" t="s">
        <v>39</v>
      </c>
      <c r="F202" s="166" t="s">
        <v>214</v>
      </c>
      <c r="G202" s="167">
        <v>1862802.0</v>
      </c>
      <c r="H202" s="166" t="s">
        <v>3535</v>
      </c>
      <c r="I202" s="167">
        <v>1778502.0</v>
      </c>
      <c r="J202" s="168" t="s">
        <v>2527</v>
      </c>
    </row>
    <row r="203">
      <c r="A203" s="83">
        <v>1919442.0</v>
      </c>
      <c r="B203" s="164">
        <v>43707.0</v>
      </c>
      <c r="C203" s="165" t="s">
        <v>893</v>
      </c>
      <c r="D203" s="165" t="s">
        <v>3536</v>
      </c>
      <c r="E203" s="165" t="s">
        <v>45</v>
      </c>
      <c r="F203" s="166" t="s">
        <v>75</v>
      </c>
      <c r="G203" s="166"/>
      <c r="H203" s="166" t="s">
        <v>47</v>
      </c>
      <c r="I203" s="166"/>
      <c r="J203" s="166" t="s">
        <v>47</v>
      </c>
    </row>
    <row r="204">
      <c r="A204" s="83">
        <v>1868210.0</v>
      </c>
      <c r="B204" s="164">
        <v>43707.0</v>
      </c>
      <c r="C204" s="165" t="s">
        <v>893</v>
      </c>
      <c r="D204" s="165" t="s">
        <v>3537</v>
      </c>
      <c r="E204" s="165" t="s">
        <v>45</v>
      </c>
      <c r="F204" s="166" t="s">
        <v>75</v>
      </c>
      <c r="G204" s="166"/>
      <c r="H204" s="166" t="s">
        <v>47</v>
      </c>
      <c r="I204" s="166"/>
      <c r="J204" s="166" t="s">
        <v>47</v>
      </c>
    </row>
    <row r="205">
      <c r="A205" s="83">
        <v>1919444.0</v>
      </c>
      <c r="B205" s="164">
        <v>43707.0</v>
      </c>
      <c r="C205" s="165" t="s">
        <v>893</v>
      </c>
      <c r="D205" s="165" t="s">
        <v>3538</v>
      </c>
      <c r="E205" s="165" t="s">
        <v>45</v>
      </c>
      <c r="F205" s="166" t="s">
        <v>75</v>
      </c>
      <c r="G205" s="166"/>
      <c r="H205" s="166" t="s">
        <v>47</v>
      </c>
      <c r="I205" s="166"/>
      <c r="J205" s="166" t="s">
        <v>47</v>
      </c>
    </row>
    <row r="206">
      <c r="A206" s="83">
        <v>824796.0</v>
      </c>
      <c r="B206" s="164">
        <v>43707.0</v>
      </c>
      <c r="C206" s="165" t="s">
        <v>893</v>
      </c>
      <c r="D206" s="165" t="s">
        <v>3539</v>
      </c>
      <c r="E206" s="165" t="s">
        <v>79</v>
      </c>
      <c r="F206" s="168" t="s">
        <v>184</v>
      </c>
      <c r="G206" s="166"/>
      <c r="H206" s="166" t="s">
        <v>47</v>
      </c>
      <c r="I206" s="166"/>
      <c r="J206" s="166" t="s">
        <v>47</v>
      </c>
    </row>
    <row r="207">
      <c r="A207" s="83">
        <v>908916.0</v>
      </c>
      <c r="B207" s="164">
        <v>43707.0</v>
      </c>
      <c r="C207" s="165" t="s">
        <v>893</v>
      </c>
      <c r="D207" s="165" t="s">
        <v>3540</v>
      </c>
      <c r="E207" s="165" t="s">
        <v>189</v>
      </c>
      <c r="F207" s="166" t="s">
        <v>448</v>
      </c>
      <c r="G207" s="167">
        <v>799638.0</v>
      </c>
      <c r="H207" s="168" t="s">
        <v>3541</v>
      </c>
      <c r="I207" s="166"/>
      <c r="J207" s="166" t="s">
        <v>47</v>
      </c>
    </row>
    <row r="208">
      <c r="A208" s="83">
        <v>1765060.0</v>
      </c>
      <c r="B208" s="164">
        <v>43707.0</v>
      </c>
      <c r="C208" s="165" t="s">
        <v>893</v>
      </c>
      <c r="D208" s="165" t="s">
        <v>3542</v>
      </c>
      <c r="E208" s="165" t="s">
        <v>122</v>
      </c>
      <c r="F208" s="166" t="s">
        <v>123</v>
      </c>
      <c r="G208" s="167">
        <v>585072.0</v>
      </c>
      <c r="H208" s="166" t="s">
        <v>3543</v>
      </c>
      <c r="I208" s="167">
        <v>684890.0</v>
      </c>
      <c r="J208" s="168" t="s">
        <v>3544</v>
      </c>
    </row>
    <row r="209">
      <c r="A209" s="83">
        <v>371206.0</v>
      </c>
      <c r="B209" s="164">
        <v>43707.0</v>
      </c>
      <c r="C209" s="165" t="s">
        <v>893</v>
      </c>
      <c r="D209" s="165" t="s">
        <v>3545</v>
      </c>
      <c r="E209" s="165" t="s">
        <v>39</v>
      </c>
      <c r="F209" s="166" t="s">
        <v>54</v>
      </c>
      <c r="G209" s="167">
        <v>956404.0</v>
      </c>
      <c r="H209" s="166" t="s">
        <v>3546</v>
      </c>
      <c r="I209" s="167">
        <v>848714.0</v>
      </c>
      <c r="J209" s="168" t="s">
        <v>3547</v>
      </c>
    </row>
    <row r="210">
      <c r="A210" s="83">
        <v>1919450.0</v>
      </c>
      <c r="B210" s="164">
        <v>43707.0</v>
      </c>
      <c r="C210" s="165" t="s">
        <v>893</v>
      </c>
      <c r="D210" s="165" t="s">
        <v>3548</v>
      </c>
      <c r="E210" s="165" t="s">
        <v>45</v>
      </c>
      <c r="F210" s="166" t="s">
        <v>75</v>
      </c>
      <c r="G210" s="166"/>
      <c r="H210" s="166" t="s">
        <v>47</v>
      </c>
      <c r="I210" s="166"/>
      <c r="J210" s="166" t="s">
        <v>47</v>
      </c>
    </row>
    <row r="211">
      <c r="A211" s="83">
        <v>531846.0</v>
      </c>
      <c r="B211" s="164">
        <v>43707.0</v>
      </c>
      <c r="C211" s="165" t="s">
        <v>893</v>
      </c>
      <c r="D211" s="165" t="s">
        <v>3549</v>
      </c>
      <c r="E211" s="165" t="s">
        <v>39</v>
      </c>
      <c r="F211" s="166" t="s">
        <v>50</v>
      </c>
      <c r="G211" s="167">
        <v>221674.0</v>
      </c>
      <c r="H211" s="166" t="s">
        <v>3550</v>
      </c>
      <c r="I211" s="167">
        <v>221696.0</v>
      </c>
      <c r="J211" s="168" t="s">
        <v>3551</v>
      </c>
    </row>
    <row r="212">
      <c r="A212" s="83">
        <v>1341638.0</v>
      </c>
      <c r="B212" s="164">
        <v>43707.0</v>
      </c>
      <c r="C212" s="165" t="s">
        <v>2362</v>
      </c>
      <c r="D212" s="165" t="s">
        <v>3552</v>
      </c>
      <c r="E212" s="165" t="s">
        <v>105</v>
      </c>
      <c r="F212" s="166" t="s">
        <v>106</v>
      </c>
      <c r="G212" s="167">
        <v>1117281.0</v>
      </c>
      <c r="H212" s="168" t="s">
        <v>3553</v>
      </c>
      <c r="I212" s="166"/>
      <c r="J212" s="166" t="s">
        <v>47</v>
      </c>
    </row>
    <row r="213">
      <c r="A213" s="83">
        <v>1325746.0</v>
      </c>
      <c r="B213" s="164">
        <v>43707.0</v>
      </c>
      <c r="C213" s="165" t="s">
        <v>893</v>
      </c>
      <c r="D213" s="165" t="s">
        <v>3554</v>
      </c>
      <c r="E213" s="165" t="s">
        <v>122</v>
      </c>
      <c r="F213" s="166" t="s">
        <v>271</v>
      </c>
      <c r="G213" s="167">
        <v>196152.0</v>
      </c>
      <c r="H213" s="168" t="s">
        <v>3505</v>
      </c>
      <c r="I213" s="166"/>
      <c r="J213" s="166" t="s">
        <v>47</v>
      </c>
    </row>
    <row r="214">
      <c r="A214" s="83">
        <v>1556300.0</v>
      </c>
      <c r="B214" s="164">
        <v>43707.0</v>
      </c>
      <c r="C214" s="165" t="s">
        <v>2362</v>
      </c>
      <c r="D214" s="165" t="s">
        <v>3555</v>
      </c>
      <c r="E214" s="165" t="s">
        <v>105</v>
      </c>
      <c r="F214" s="166" t="s">
        <v>106</v>
      </c>
      <c r="G214" s="166"/>
      <c r="H214" s="166" t="s">
        <v>47</v>
      </c>
      <c r="I214" s="166"/>
      <c r="J214" s="166" t="s">
        <v>47</v>
      </c>
    </row>
    <row r="215">
      <c r="A215" s="83">
        <v>574332.0</v>
      </c>
      <c r="B215" s="164">
        <v>43677.0</v>
      </c>
      <c r="C215" s="165" t="s">
        <v>893</v>
      </c>
      <c r="D215" s="165" t="s">
        <v>3556</v>
      </c>
      <c r="E215" s="165" t="s">
        <v>45</v>
      </c>
      <c r="F215" s="168" t="s">
        <v>90</v>
      </c>
      <c r="G215" s="166"/>
      <c r="H215" s="166" t="s">
        <v>47</v>
      </c>
      <c r="I215" s="166"/>
      <c r="J215" s="166" t="s">
        <v>47</v>
      </c>
    </row>
    <row r="216">
      <c r="A216" s="83">
        <v>1400386.0</v>
      </c>
      <c r="B216" s="164">
        <v>43677.0</v>
      </c>
      <c r="C216" s="165" t="s">
        <v>893</v>
      </c>
      <c r="D216" s="165" t="s">
        <v>3557</v>
      </c>
      <c r="E216" s="165" t="s">
        <v>96</v>
      </c>
      <c r="F216" s="166" t="s">
        <v>109</v>
      </c>
      <c r="G216" s="167">
        <v>1329878.0</v>
      </c>
      <c r="H216" s="166" t="s">
        <v>3558</v>
      </c>
      <c r="I216" s="167">
        <v>1464932.0</v>
      </c>
      <c r="J216" s="168" t="s">
        <v>3559</v>
      </c>
    </row>
    <row r="217">
      <c r="A217" s="83">
        <v>1412986.0</v>
      </c>
      <c r="B217" s="164">
        <v>43677.0</v>
      </c>
      <c r="C217" s="165" t="s">
        <v>893</v>
      </c>
      <c r="D217" s="165" t="s">
        <v>3560</v>
      </c>
      <c r="E217" s="165" t="s">
        <v>39</v>
      </c>
      <c r="F217" s="166" t="s">
        <v>54</v>
      </c>
      <c r="G217" s="167">
        <v>1423634.0</v>
      </c>
      <c r="H217" s="168" t="s">
        <v>2193</v>
      </c>
      <c r="I217" s="166"/>
      <c r="J217" s="166" t="s">
        <v>47</v>
      </c>
    </row>
    <row r="218">
      <c r="A218" s="83">
        <v>1333668.0</v>
      </c>
      <c r="B218" s="164">
        <v>43677.0</v>
      </c>
      <c r="C218" s="165" t="s">
        <v>893</v>
      </c>
      <c r="D218" s="165" t="s">
        <v>3561</v>
      </c>
      <c r="E218" s="165" t="s">
        <v>45</v>
      </c>
      <c r="F218" s="166" t="s">
        <v>90</v>
      </c>
      <c r="G218" s="167">
        <v>1333522.0</v>
      </c>
      <c r="H218" s="166" t="s">
        <v>47</v>
      </c>
      <c r="I218" s="166"/>
      <c r="J218" s="166" t="s">
        <v>47</v>
      </c>
    </row>
    <row r="219">
      <c r="A219" s="83">
        <v>1739596.0</v>
      </c>
      <c r="B219" s="164">
        <v>43677.0</v>
      </c>
      <c r="C219" s="165" t="s">
        <v>893</v>
      </c>
      <c r="D219" s="165" t="s">
        <v>3562</v>
      </c>
      <c r="E219" s="165" t="s">
        <v>39</v>
      </c>
      <c r="F219" s="168" t="s">
        <v>50</v>
      </c>
      <c r="G219" s="166"/>
      <c r="H219" s="166" t="s">
        <v>47</v>
      </c>
      <c r="I219" s="166"/>
      <c r="J219" s="166" t="s">
        <v>47</v>
      </c>
    </row>
    <row r="220">
      <c r="A220" s="83">
        <v>1855330.0</v>
      </c>
      <c r="B220" s="164">
        <v>43677.0</v>
      </c>
      <c r="C220" s="165" t="s">
        <v>893</v>
      </c>
      <c r="D220" s="165" t="s">
        <v>3563</v>
      </c>
      <c r="E220" s="165" t="s">
        <v>63</v>
      </c>
      <c r="F220" s="166" t="s">
        <v>64</v>
      </c>
      <c r="G220" s="166"/>
      <c r="H220" s="166" t="s">
        <v>47</v>
      </c>
      <c r="I220" s="166"/>
      <c r="J220" s="166" t="s">
        <v>47</v>
      </c>
    </row>
    <row r="221">
      <c r="A221" s="83">
        <v>1401596.0</v>
      </c>
      <c r="B221" s="164">
        <v>43677.0</v>
      </c>
      <c r="C221" s="165" t="s">
        <v>893</v>
      </c>
      <c r="D221" s="165" t="s">
        <v>3564</v>
      </c>
      <c r="E221" s="165" t="s">
        <v>39</v>
      </c>
      <c r="F221" s="166" t="s">
        <v>140</v>
      </c>
      <c r="G221" s="167">
        <v>875194.0</v>
      </c>
      <c r="H221" s="168" t="s">
        <v>3565</v>
      </c>
      <c r="I221" s="166"/>
      <c r="J221" s="166" t="s">
        <v>47</v>
      </c>
    </row>
    <row r="222">
      <c r="A222" s="83">
        <v>1251784.0</v>
      </c>
      <c r="B222" s="164">
        <v>43677.0</v>
      </c>
      <c r="C222" s="165" t="s">
        <v>893</v>
      </c>
      <c r="D222" s="165" t="s">
        <v>3566</v>
      </c>
      <c r="E222" s="165" t="s">
        <v>96</v>
      </c>
      <c r="F222" s="166" t="s">
        <v>263</v>
      </c>
      <c r="G222" s="167">
        <v>354324.0</v>
      </c>
      <c r="H222" s="168" t="s">
        <v>3567</v>
      </c>
      <c r="I222" s="166"/>
      <c r="J222" s="166" t="s">
        <v>47</v>
      </c>
    </row>
    <row r="223">
      <c r="A223" s="83">
        <v>23881.0</v>
      </c>
      <c r="B223" s="164">
        <v>43677.0</v>
      </c>
      <c r="C223" s="165" t="s">
        <v>893</v>
      </c>
      <c r="D223" s="165" t="s">
        <v>3568</v>
      </c>
      <c r="E223" s="165" t="s">
        <v>219</v>
      </c>
      <c r="F223" s="166" t="s">
        <v>220</v>
      </c>
      <c r="G223" s="167">
        <v>285934.0</v>
      </c>
      <c r="H223" s="168" t="s">
        <v>3569</v>
      </c>
      <c r="I223" s="166"/>
      <c r="J223" s="166" t="s">
        <v>47</v>
      </c>
    </row>
    <row r="224">
      <c r="A224" s="83">
        <v>523328.0</v>
      </c>
      <c r="B224" s="164">
        <v>43677.0</v>
      </c>
      <c r="C224" s="165" t="s">
        <v>893</v>
      </c>
      <c r="D224" s="165" t="s">
        <v>3570</v>
      </c>
      <c r="E224" s="165" t="s">
        <v>58</v>
      </c>
      <c r="F224" s="166" t="s">
        <v>944</v>
      </c>
      <c r="G224" s="167">
        <v>613214.0</v>
      </c>
      <c r="H224" s="166" t="s">
        <v>1525</v>
      </c>
      <c r="I224" s="167">
        <v>1412618.0</v>
      </c>
      <c r="J224" s="168" t="s">
        <v>3571</v>
      </c>
    </row>
    <row r="225">
      <c r="A225" s="83">
        <v>9513.0</v>
      </c>
      <c r="B225" s="164">
        <v>43677.0</v>
      </c>
      <c r="C225" s="165" t="s">
        <v>893</v>
      </c>
      <c r="D225" s="165" t="s">
        <v>3572</v>
      </c>
      <c r="E225" s="165" t="s">
        <v>105</v>
      </c>
      <c r="F225" s="166" t="s">
        <v>106</v>
      </c>
      <c r="G225" s="167">
        <v>1271196.0</v>
      </c>
      <c r="H225" s="168" t="s">
        <v>1280</v>
      </c>
      <c r="I225" s="166"/>
      <c r="J225" s="166" t="s">
        <v>47</v>
      </c>
    </row>
    <row r="226">
      <c r="A226" s="83">
        <v>820582.0</v>
      </c>
      <c r="B226" s="164">
        <v>43677.0</v>
      </c>
      <c r="C226" s="165" t="s">
        <v>893</v>
      </c>
      <c r="D226" s="165" t="s">
        <v>3573</v>
      </c>
      <c r="E226" s="165" t="s">
        <v>83</v>
      </c>
      <c r="F226" s="166" t="s">
        <v>806</v>
      </c>
      <c r="G226" s="167">
        <v>690694.0</v>
      </c>
      <c r="H226" s="166" t="s">
        <v>3574</v>
      </c>
      <c r="I226" s="167">
        <v>934032.0</v>
      </c>
      <c r="J226" s="168" t="s">
        <v>3575</v>
      </c>
    </row>
    <row r="227">
      <c r="A227" s="83">
        <v>1078808.0</v>
      </c>
      <c r="B227" s="164">
        <v>43677.0</v>
      </c>
      <c r="C227" s="165" t="s">
        <v>893</v>
      </c>
      <c r="D227" s="165" t="s">
        <v>3576</v>
      </c>
      <c r="E227" s="165" t="s">
        <v>219</v>
      </c>
      <c r="F227" s="166" t="s">
        <v>220</v>
      </c>
      <c r="G227" s="167">
        <v>477888.0</v>
      </c>
      <c r="H227" s="166" t="s">
        <v>3577</v>
      </c>
      <c r="I227" s="167">
        <v>1364336.0</v>
      </c>
      <c r="J227" s="168" t="s">
        <v>3578</v>
      </c>
    </row>
    <row r="228">
      <c r="A228" s="83">
        <v>512922.0</v>
      </c>
      <c r="B228" s="164">
        <v>43677.0</v>
      </c>
      <c r="C228" s="165" t="s">
        <v>893</v>
      </c>
      <c r="D228" s="165" t="s">
        <v>3579</v>
      </c>
      <c r="E228" s="165" t="s">
        <v>39</v>
      </c>
      <c r="F228" s="168" t="s">
        <v>50</v>
      </c>
      <c r="G228" s="166"/>
      <c r="H228" s="166" t="s">
        <v>47</v>
      </c>
      <c r="I228" s="166"/>
      <c r="J228" s="166" t="s">
        <v>47</v>
      </c>
    </row>
    <row r="229">
      <c r="A229" s="83">
        <v>849592.0</v>
      </c>
      <c r="B229" s="164">
        <v>43677.0</v>
      </c>
      <c r="C229" s="165" t="s">
        <v>893</v>
      </c>
      <c r="D229" s="165" t="s">
        <v>3580</v>
      </c>
      <c r="E229" s="165" t="s">
        <v>39</v>
      </c>
      <c r="F229" s="168" t="s">
        <v>214</v>
      </c>
      <c r="G229" s="166"/>
      <c r="H229" s="166" t="s">
        <v>47</v>
      </c>
      <c r="I229" s="166"/>
      <c r="J229" s="166" t="s">
        <v>47</v>
      </c>
    </row>
    <row r="230">
      <c r="A230" s="83">
        <v>660870.0</v>
      </c>
      <c r="B230" s="164">
        <v>43677.0</v>
      </c>
      <c r="C230" s="165" t="s">
        <v>893</v>
      </c>
      <c r="D230" s="165" t="s">
        <v>3581</v>
      </c>
      <c r="E230" s="165" t="s">
        <v>39</v>
      </c>
      <c r="F230" s="168" t="s">
        <v>140</v>
      </c>
      <c r="G230" s="166"/>
      <c r="H230" s="166" t="s">
        <v>47</v>
      </c>
      <c r="I230" s="166"/>
      <c r="J230" s="166" t="s">
        <v>47</v>
      </c>
    </row>
    <row r="231">
      <c r="A231" s="83">
        <v>946788.0</v>
      </c>
      <c r="B231" s="164">
        <v>43677.0</v>
      </c>
      <c r="C231" s="165" t="s">
        <v>893</v>
      </c>
      <c r="D231" s="165" t="s">
        <v>3582</v>
      </c>
      <c r="E231" s="165" t="s">
        <v>122</v>
      </c>
      <c r="F231" s="166" t="s">
        <v>127</v>
      </c>
      <c r="G231" s="167">
        <v>671208.0</v>
      </c>
      <c r="H231" s="168" t="s">
        <v>3182</v>
      </c>
      <c r="I231" s="166"/>
      <c r="J231" s="166" t="s">
        <v>47</v>
      </c>
    </row>
    <row r="232">
      <c r="A232" s="83">
        <v>1343726.0</v>
      </c>
      <c r="B232" s="164">
        <v>43677.0</v>
      </c>
      <c r="C232" s="165" t="s">
        <v>893</v>
      </c>
      <c r="D232" s="165" t="s">
        <v>3583</v>
      </c>
      <c r="E232" s="165" t="s">
        <v>122</v>
      </c>
      <c r="F232" s="166" t="s">
        <v>123</v>
      </c>
      <c r="G232" s="167">
        <v>1337206.0</v>
      </c>
      <c r="H232" s="166" t="s">
        <v>3468</v>
      </c>
      <c r="I232" s="167">
        <v>1333184.0</v>
      </c>
      <c r="J232" s="168" t="s">
        <v>1235</v>
      </c>
    </row>
    <row r="233">
      <c r="A233" s="83">
        <v>1325686.0</v>
      </c>
      <c r="B233" s="164">
        <v>43677.0</v>
      </c>
      <c r="C233" s="165" t="s">
        <v>893</v>
      </c>
      <c r="D233" s="165" t="s">
        <v>3584</v>
      </c>
      <c r="E233" s="165" t="s">
        <v>39</v>
      </c>
      <c r="F233" s="166" t="s">
        <v>214</v>
      </c>
      <c r="G233" s="167">
        <v>146156.0</v>
      </c>
      <c r="H233" s="166" t="s">
        <v>47</v>
      </c>
      <c r="I233" s="167">
        <v>919872.0</v>
      </c>
      <c r="J233" s="168" t="s">
        <v>1503</v>
      </c>
    </row>
    <row r="234">
      <c r="A234" s="97">
        <v>984372.0</v>
      </c>
      <c r="B234" s="164">
        <v>43677.0</v>
      </c>
      <c r="C234" s="165" t="s">
        <v>2628</v>
      </c>
      <c r="D234" s="165" t="s">
        <v>3585</v>
      </c>
      <c r="E234" s="165" t="s">
        <v>39</v>
      </c>
      <c r="F234" s="166" t="s">
        <v>140</v>
      </c>
      <c r="G234" s="167">
        <v>1009096.0</v>
      </c>
      <c r="H234" s="168" t="s">
        <v>3586</v>
      </c>
      <c r="I234" s="166"/>
      <c r="J234" s="166" t="s">
        <v>47</v>
      </c>
    </row>
    <row r="235">
      <c r="A235" s="83">
        <v>1909698.0</v>
      </c>
      <c r="B235" s="164">
        <v>43677.0</v>
      </c>
      <c r="C235" s="165" t="s">
        <v>893</v>
      </c>
      <c r="D235" s="165" t="s">
        <v>3587</v>
      </c>
      <c r="E235" s="165" t="s">
        <v>45</v>
      </c>
      <c r="F235" s="168" t="s">
        <v>90</v>
      </c>
      <c r="G235" s="166"/>
      <c r="H235" s="166" t="s">
        <v>47</v>
      </c>
      <c r="I235" s="166"/>
      <c r="J235" s="166" t="s">
        <v>47</v>
      </c>
    </row>
    <row r="236">
      <c r="A236" s="83">
        <v>723790.0</v>
      </c>
      <c r="B236" s="164">
        <v>43677.0</v>
      </c>
      <c r="C236" s="165" t="s">
        <v>893</v>
      </c>
      <c r="D236" s="165" t="s">
        <v>3588</v>
      </c>
      <c r="E236" s="165" t="s">
        <v>39</v>
      </c>
      <c r="F236" s="166" t="s">
        <v>54</v>
      </c>
      <c r="G236" s="167">
        <v>405456.0</v>
      </c>
      <c r="H236" s="168" t="s">
        <v>3589</v>
      </c>
      <c r="I236" s="166"/>
      <c r="J236" s="166" t="s">
        <v>47</v>
      </c>
    </row>
    <row r="237">
      <c r="A237" s="83">
        <v>1440632.0</v>
      </c>
      <c r="B237" s="164">
        <v>43677.0</v>
      </c>
      <c r="C237" s="165" t="s">
        <v>893</v>
      </c>
      <c r="D237" s="165" t="s">
        <v>3590</v>
      </c>
      <c r="E237" s="165" t="s">
        <v>58</v>
      </c>
      <c r="F237" s="166" t="s">
        <v>86</v>
      </c>
      <c r="G237" s="167">
        <v>560408.0</v>
      </c>
      <c r="H237" s="168" t="s">
        <v>3591</v>
      </c>
      <c r="I237" s="166"/>
      <c r="J237" s="166" t="s">
        <v>47</v>
      </c>
    </row>
    <row r="238">
      <c r="A238" s="83">
        <v>988908.0</v>
      </c>
      <c r="B238" s="164">
        <v>43677.0</v>
      </c>
      <c r="C238" s="165" t="s">
        <v>893</v>
      </c>
      <c r="D238" s="165" t="s">
        <v>3592</v>
      </c>
      <c r="E238" s="165" t="s">
        <v>45</v>
      </c>
      <c r="F238" s="166" t="s">
        <v>75</v>
      </c>
      <c r="G238" s="167">
        <v>1470846.0</v>
      </c>
      <c r="H238" s="166" t="s">
        <v>47</v>
      </c>
      <c r="I238" s="166"/>
      <c r="J238" s="166" t="s">
        <v>47</v>
      </c>
    </row>
    <row r="239">
      <c r="A239" s="83">
        <v>877160.0</v>
      </c>
      <c r="B239" s="164">
        <v>43677.0</v>
      </c>
      <c r="C239" s="165" t="s">
        <v>893</v>
      </c>
      <c r="D239" s="165" t="s">
        <v>3593</v>
      </c>
      <c r="E239" s="165" t="s">
        <v>45</v>
      </c>
      <c r="F239" s="166" t="s">
        <v>75</v>
      </c>
      <c r="G239" s="167">
        <v>2359992.0</v>
      </c>
      <c r="H239" s="168" t="s">
        <v>3594</v>
      </c>
      <c r="I239" s="166"/>
      <c r="J239" s="166" t="s">
        <v>47</v>
      </c>
    </row>
    <row r="240">
      <c r="A240" s="83">
        <v>878110.0</v>
      </c>
      <c r="B240" s="164">
        <v>43677.0</v>
      </c>
      <c r="C240" s="165" t="s">
        <v>893</v>
      </c>
      <c r="D240" s="165" t="s">
        <v>3595</v>
      </c>
      <c r="E240" s="165" t="s">
        <v>45</v>
      </c>
      <c r="F240" s="166" t="s">
        <v>75</v>
      </c>
      <c r="G240" s="167">
        <v>2360064.0</v>
      </c>
      <c r="H240" s="168" t="s">
        <v>3596</v>
      </c>
      <c r="I240" s="166"/>
      <c r="J240" s="166" t="s">
        <v>47</v>
      </c>
    </row>
    <row r="241">
      <c r="A241" s="83">
        <v>1002324.0</v>
      </c>
      <c r="B241" s="164">
        <v>43677.0</v>
      </c>
      <c r="C241" s="165" t="s">
        <v>893</v>
      </c>
      <c r="D241" s="165" t="s">
        <v>3597</v>
      </c>
      <c r="E241" s="165" t="s">
        <v>45</v>
      </c>
      <c r="F241" s="166" t="s">
        <v>75</v>
      </c>
      <c r="G241" s="167">
        <v>2359992.0</v>
      </c>
      <c r="H241" s="168" t="s">
        <v>3594</v>
      </c>
      <c r="I241" s="166"/>
      <c r="J241" s="166" t="s">
        <v>47</v>
      </c>
    </row>
    <row r="242">
      <c r="A242" s="83">
        <v>1002336.0</v>
      </c>
      <c r="B242" s="164">
        <v>43677.0</v>
      </c>
      <c r="C242" s="165" t="s">
        <v>893</v>
      </c>
      <c r="D242" s="165" t="s">
        <v>3598</v>
      </c>
      <c r="E242" s="165" t="s">
        <v>45</v>
      </c>
      <c r="F242" s="166" t="s">
        <v>75</v>
      </c>
      <c r="G242" s="167">
        <v>2360064.0</v>
      </c>
      <c r="H242" s="168" t="s">
        <v>3596</v>
      </c>
      <c r="I242" s="166"/>
      <c r="J242" s="166" t="s">
        <v>47</v>
      </c>
    </row>
    <row r="243">
      <c r="A243" s="83">
        <v>57074.0</v>
      </c>
      <c r="B243" s="164">
        <v>43677.0</v>
      </c>
      <c r="C243" s="165" t="s">
        <v>893</v>
      </c>
      <c r="D243" s="165" t="s">
        <v>3599</v>
      </c>
      <c r="E243" s="165" t="s">
        <v>39</v>
      </c>
      <c r="F243" s="166" t="s">
        <v>75</v>
      </c>
      <c r="G243" s="166"/>
      <c r="H243" s="166" t="s">
        <v>47</v>
      </c>
      <c r="I243" s="166"/>
      <c r="J243" s="166" t="s">
        <v>47</v>
      </c>
    </row>
    <row r="244">
      <c r="A244" s="97">
        <v>2241936.0</v>
      </c>
      <c r="B244" s="164">
        <v>43675.0</v>
      </c>
      <c r="C244" s="165" t="s">
        <v>893</v>
      </c>
      <c r="D244" s="165" t="s">
        <v>2699</v>
      </c>
      <c r="E244" s="165" t="s">
        <v>39</v>
      </c>
      <c r="F244" s="166" t="s">
        <v>54</v>
      </c>
      <c r="G244" s="167">
        <v>1014442.0</v>
      </c>
      <c r="H244" s="166" t="s">
        <v>47</v>
      </c>
      <c r="I244" s="167">
        <v>1656228.0</v>
      </c>
      <c r="J244" s="168" t="s">
        <v>3600</v>
      </c>
    </row>
    <row r="245">
      <c r="A245" s="97">
        <v>1442460.0</v>
      </c>
      <c r="B245" s="164">
        <v>43665.0</v>
      </c>
      <c r="C245" s="165" t="s">
        <v>2606</v>
      </c>
      <c r="D245" s="165" t="s">
        <v>3601</v>
      </c>
      <c r="E245" s="165" t="s">
        <v>101</v>
      </c>
      <c r="F245" s="166" t="s">
        <v>754</v>
      </c>
      <c r="G245" s="167">
        <v>2269618.0</v>
      </c>
      <c r="H245" s="166" t="s">
        <v>3602</v>
      </c>
      <c r="I245" s="167">
        <v>1099324.0</v>
      </c>
      <c r="J245" s="168" t="s">
        <v>1709</v>
      </c>
    </row>
    <row r="246">
      <c r="A246" s="97">
        <v>2187504.0</v>
      </c>
      <c r="B246" s="164">
        <v>43665.0</v>
      </c>
      <c r="C246" s="165" t="s">
        <v>2606</v>
      </c>
      <c r="D246" s="165" t="s">
        <v>3603</v>
      </c>
      <c r="E246" s="165" t="s">
        <v>105</v>
      </c>
      <c r="F246" s="166" t="s">
        <v>106</v>
      </c>
      <c r="G246" s="167">
        <v>1480378.0</v>
      </c>
      <c r="H246" s="168" t="s">
        <v>2403</v>
      </c>
      <c r="I246" s="166"/>
      <c r="J246" s="166" t="s">
        <v>47</v>
      </c>
    </row>
    <row r="247">
      <c r="A247" s="97">
        <v>1405816.0</v>
      </c>
      <c r="B247" s="164">
        <v>43665.0</v>
      </c>
      <c r="C247" s="165" t="s">
        <v>2606</v>
      </c>
      <c r="D247" s="165" t="s">
        <v>3604</v>
      </c>
      <c r="E247" s="165" t="s">
        <v>96</v>
      </c>
      <c r="F247" s="166" t="s">
        <v>131</v>
      </c>
      <c r="G247" s="167">
        <v>2365840.0</v>
      </c>
      <c r="H247" s="168" t="s">
        <v>3605</v>
      </c>
      <c r="I247" s="166"/>
      <c r="J247" s="166" t="s">
        <v>47</v>
      </c>
    </row>
    <row r="248">
      <c r="A248" s="97">
        <v>588444.0</v>
      </c>
      <c r="B248" s="164">
        <v>43665.0</v>
      </c>
      <c r="C248" s="165" t="s">
        <v>2606</v>
      </c>
      <c r="D248" s="165" t="s">
        <v>3606</v>
      </c>
      <c r="E248" s="165" t="s">
        <v>45</v>
      </c>
      <c r="F248" s="166" t="s">
        <v>75</v>
      </c>
      <c r="G248" s="167">
        <v>1964340.0</v>
      </c>
      <c r="H248" s="168" t="s">
        <v>1344</v>
      </c>
      <c r="I248" s="166"/>
      <c r="J248" s="166" t="s">
        <v>47</v>
      </c>
    </row>
    <row r="249">
      <c r="A249" s="97">
        <v>1692898.0</v>
      </c>
      <c r="B249" s="164">
        <v>43665.0</v>
      </c>
      <c r="C249" s="165" t="s">
        <v>2606</v>
      </c>
      <c r="D249" s="165" t="s">
        <v>3607</v>
      </c>
      <c r="E249" s="165" t="s">
        <v>45</v>
      </c>
      <c r="F249" s="166" t="s">
        <v>75</v>
      </c>
      <c r="G249" s="166"/>
      <c r="H249" s="166" t="s">
        <v>47</v>
      </c>
      <c r="I249" s="166"/>
      <c r="J249" s="166" t="s">
        <v>47</v>
      </c>
    </row>
    <row r="250">
      <c r="A250" s="97">
        <v>680602.0</v>
      </c>
      <c r="B250" s="164">
        <v>43665.0</v>
      </c>
      <c r="C250" s="165" t="s">
        <v>2606</v>
      </c>
      <c r="D250" s="165" t="s">
        <v>3608</v>
      </c>
      <c r="E250" s="165" t="s">
        <v>189</v>
      </c>
      <c r="F250" s="166" t="s">
        <v>190</v>
      </c>
      <c r="G250" s="167">
        <v>566284.0</v>
      </c>
      <c r="H250" s="166" t="s">
        <v>3609</v>
      </c>
      <c r="I250" s="167">
        <v>2365840.0</v>
      </c>
      <c r="J250" s="168" t="s">
        <v>3605</v>
      </c>
    </row>
    <row r="251">
      <c r="A251" s="97">
        <v>1210488.0</v>
      </c>
      <c r="B251" s="164">
        <v>43665.0</v>
      </c>
      <c r="C251" s="165" t="s">
        <v>2606</v>
      </c>
      <c r="D251" s="165" t="s">
        <v>3610</v>
      </c>
      <c r="E251" s="165" t="s">
        <v>189</v>
      </c>
      <c r="F251" s="166" t="s">
        <v>190</v>
      </c>
      <c r="G251" s="167">
        <v>566284.0</v>
      </c>
      <c r="H251" s="166" t="s">
        <v>3609</v>
      </c>
      <c r="I251" s="167">
        <v>2365840.0</v>
      </c>
      <c r="J251" s="168" t="s">
        <v>3605</v>
      </c>
    </row>
    <row r="252">
      <c r="A252" s="97">
        <v>1272220.0</v>
      </c>
      <c r="B252" s="164">
        <v>43665.0</v>
      </c>
      <c r="C252" s="165" t="s">
        <v>2606</v>
      </c>
      <c r="D252" s="165" t="s">
        <v>3611</v>
      </c>
      <c r="E252" s="165" t="s">
        <v>189</v>
      </c>
      <c r="F252" s="166" t="s">
        <v>190</v>
      </c>
      <c r="G252" s="167">
        <v>2365840.0</v>
      </c>
      <c r="H252" s="168" t="s">
        <v>3605</v>
      </c>
      <c r="I252" s="166"/>
      <c r="J252" s="166" t="s">
        <v>47</v>
      </c>
    </row>
    <row r="253">
      <c r="A253" s="97">
        <v>1310208.0</v>
      </c>
      <c r="B253" s="164">
        <v>43665.0</v>
      </c>
      <c r="C253" s="165" t="s">
        <v>2606</v>
      </c>
      <c r="D253" s="165" t="s">
        <v>3612</v>
      </c>
      <c r="E253" s="165" t="s">
        <v>189</v>
      </c>
      <c r="F253" s="166" t="s">
        <v>190</v>
      </c>
      <c r="G253" s="167">
        <v>2365840.0</v>
      </c>
      <c r="H253" s="166" t="s">
        <v>3605</v>
      </c>
      <c r="I253" s="167">
        <v>1050618.0</v>
      </c>
      <c r="J253" s="168" t="s">
        <v>3613</v>
      </c>
    </row>
    <row r="254">
      <c r="A254" s="97">
        <v>1354424.0</v>
      </c>
      <c r="B254" s="164">
        <v>43665.0</v>
      </c>
      <c r="C254" s="165" t="s">
        <v>2606</v>
      </c>
      <c r="D254" s="165" t="s">
        <v>3614</v>
      </c>
      <c r="E254" s="165" t="s">
        <v>189</v>
      </c>
      <c r="F254" s="166" t="s">
        <v>190</v>
      </c>
      <c r="G254" s="167">
        <v>818104.0</v>
      </c>
      <c r="H254" s="166" t="s">
        <v>1963</v>
      </c>
      <c r="I254" s="167">
        <v>560700.0</v>
      </c>
      <c r="J254" s="168" t="s">
        <v>3615</v>
      </c>
    </row>
    <row r="255">
      <c r="A255" s="97">
        <v>2091356.0</v>
      </c>
      <c r="B255" s="164">
        <v>43665.0</v>
      </c>
      <c r="C255" s="165" t="s">
        <v>2606</v>
      </c>
      <c r="D255" s="165" t="s">
        <v>3616</v>
      </c>
      <c r="E255" s="165" t="s">
        <v>58</v>
      </c>
      <c r="F255" s="168" t="s">
        <v>86</v>
      </c>
      <c r="G255" s="166"/>
      <c r="H255" s="166" t="s">
        <v>47</v>
      </c>
      <c r="I255" s="166"/>
      <c r="J255" s="166" t="s">
        <v>47</v>
      </c>
    </row>
    <row r="256">
      <c r="A256" s="97">
        <v>2155078.0</v>
      </c>
      <c r="B256" s="164">
        <v>43665.0</v>
      </c>
      <c r="C256" s="165" t="s">
        <v>2606</v>
      </c>
      <c r="D256" s="165" t="s">
        <v>3617</v>
      </c>
      <c r="E256" s="165" t="s">
        <v>58</v>
      </c>
      <c r="F256" s="168" t="s">
        <v>86</v>
      </c>
      <c r="G256" s="166"/>
      <c r="H256" s="166" t="s">
        <v>47</v>
      </c>
      <c r="I256" s="166"/>
      <c r="J256" s="166" t="s">
        <v>47</v>
      </c>
    </row>
    <row r="257">
      <c r="A257" s="83">
        <v>2137184.0</v>
      </c>
      <c r="B257" s="164">
        <v>43663.0</v>
      </c>
      <c r="C257" s="165" t="s">
        <v>893</v>
      </c>
      <c r="D257" s="165" t="s">
        <v>3618</v>
      </c>
      <c r="E257" s="165" t="s">
        <v>79</v>
      </c>
      <c r="F257" s="166" t="s">
        <v>261</v>
      </c>
      <c r="G257" s="167">
        <v>1361790.0</v>
      </c>
      <c r="H257" s="166" t="s">
        <v>1065</v>
      </c>
      <c r="I257" s="167">
        <v>1279990.0</v>
      </c>
      <c r="J257" s="168" t="s">
        <v>3619</v>
      </c>
    </row>
    <row r="258">
      <c r="A258" s="83">
        <v>1914968.0</v>
      </c>
      <c r="B258" s="164">
        <v>43663.0</v>
      </c>
      <c r="C258" s="165" t="s">
        <v>893</v>
      </c>
      <c r="D258" s="165" t="s">
        <v>3620</v>
      </c>
      <c r="E258" s="165" t="s">
        <v>79</v>
      </c>
      <c r="F258" s="166" t="s">
        <v>184</v>
      </c>
      <c r="G258" s="167">
        <v>677348.0</v>
      </c>
      <c r="H258" s="166" t="s">
        <v>1071</v>
      </c>
      <c r="I258" s="167">
        <v>1288468.0</v>
      </c>
      <c r="J258" s="168" t="s">
        <v>3621</v>
      </c>
    </row>
    <row r="259">
      <c r="A259" s="83">
        <v>1956440.0</v>
      </c>
      <c r="B259" s="164">
        <v>43663.0</v>
      </c>
      <c r="C259" s="165" t="s">
        <v>893</v>
      </c>
      <c r="D259" s="165" t="s">
        <v>3622</v>
      </c>
      <c r="E259" s="165" t="s">
        <v>45</v>
      </c>
      <c r="F259" s="166" t="s">
        <v>75</v>
      </c>
      <c r="G259" s="166"/>
      <c r="H259" s="166" t="s">
        <v>47</v>
      </c>
      <c r="I259" s="166"/>
      <c r="J259" s="166" t="s">
        <v>47</v>
      </c>
    </row>
    <row r="260">
      <c r="A260" s="83">
        <v>1443418.0</v>
      </c>
      <c r="B260" s="164">
        <v>43647.0</v>
      </c>
      <c r="C260" s="165" t="s">
        <v>893</v>
      </c>
      <c r="D260" s="165" t="s">
        <v>3623</v>
      </c>
      <c r="E260" s="165" t="s">
        <v>101</v>
      </c>
      <c r="F260" s="168" t="s">
        <v>102</v>
      </c>
      <c r="G260" s="166"/>
      <c r="H260" s="166" t="s">
        <v>47</v>
      </c>
      <c r="I260" s="166"/>
      <c r="J260" s="166" t="s">
        <v>47</v>
      </c>
    </row>
    <row r="261">
      <c r="A261" s="83">
        <v>2020474.0</v>
      </c>
      <c r="B261" s="164">
        <v>43647.0</v>
      </c>
      <c r="C261" s="165" t="s">
        <v>893</v>
      </c>
      <c r="D261" s="165" t="s">
        <v>3624</v>
      </c>
      <c r="E261" s="165" t="s">
        <v>45</v>
      </c>
      <c r="F261" s="166" t="s">
        <v>75</v>
      </c>
      <c r="G261" s="167">
        <v>1927250.0</v>
      </c>
      <c r="H261" s="168" t="s">
        <v>1670</v>
      </c>
      <c r="I261" s="166"/>
      <c r="J261" s="166" t="s">
        <v>47</v>
      </c>
    </row>
    <row r="262">
      <c r="A262" s="83">
        <v>1986878.0</v>
      </c>
      <c r="B262" s="164">
        <v>43647.0</v>
      </c>
      <c r="C262" s="165" t="s">
        <v>893</v>
      </c>
      <c r="D262" s="165" t="s">
        <v>3625</v>
      </c>
      <c r="E262" s="165" t="s">
        <v>45</v>
      </c>
      <c r="F262" s="166" t="s">
        <v>75</v>
      </c>
      <c r="G262" s="167">
        <v>1927250.0</v>
      </c>
      <c r="H262" s="168" t="s">
        <v>1670</v>
      </c>
      <c r="I262" s="166"/>
      <c r="J262" s="166" t="s">
        <v>47</v>
      </c>
    </row>
    <row r="263">
      <c r="A263" s="83">
        <v>1849250.0</v>
      </c>
      <c r="B263" s="164">
        <v>43644.0</v>
      </c>
      <c r="C263" s="165" t="s">
        <v>893</v>
      </c>
      <c r="D263" s="165" t="s">
        <v>3626</v>
      </c>
      <c r="E263" s="165" t="s">
        <v>122</v>
      </c>
      <c r="F263" s="166" t="s">
        <v>127</v>
      </c>
      <c r="G263" s="167">
        <v>1476730.0</v>
      </c>
      <c r="H263" s="168" t="s">
        <v>3627</v>
      </c>
      <c r="I263" s="166"/>
      <c r="J263" s="166" t="s">
        <v>47</v>
      </c>
    </row>
    <row r="264">
      <c r="A264" s="83">
        <v>1349678.0</v>
      </c>
      <c r="B264" s="164">
        <v>43644.0</v>
      </c>
      <c r="C264" s="165" t="s">
        <v>893</v>
      </c>
      <c r="D264" s="165" t="s">
        <v>3628</v>
      </c>
      <c r="E264" s="165" t="s">
        <v>122</v>
      </c>
      <c r="F264" s="166" t="s">
        <v>123</v>
      </c>
      <c r="G264" s="167">
        <v>1361098.0</v>
      </c>
      <c r="H264" s="168" t="s">
        <v>3629</v>
      </c>
      <c r="I264" s="166"/>
      <c r="J264" s="166" t="s">
        <v>47</v>
      </c>
    </row>
    <row r="265">
      <c r="A265" s="83">
        <v>294530.0</v>
      </c>
      <c r="B265" s="164">
        <v>43644.0</v>
      </c>
      <c r="C265" s="165" t="s">
        <v>893</v>
      </c>
      <c r="D265" s="165" t="s">
        <v>3630</v>
      </c>
      <c r="E265" s="165" t="s">
        <v>122</v>
      </c>
      <c r="F265" s="166" t="s">
        <v>127</v>
      </c>
      <c r="G265" s="167">
        <v>1174274.0</v>
      </c>
      <c r="H265" s="168" t="s">
        <v>3631</v>
      </c>
      <c r="I265" s="166"/>
      <c r="J265" s="166" t="s">
        <v>47</v>
      </c>
    </row>
    <row r="266">
      <c r="A266" s="83">
        <v>41356.0</v>
      </c>
      <c r="B266" s="164">
        <v>43644.0</v>
      </c>
      <c r="C266" s="165" t="s">
        <v>893</v>
      </c>
      <c r="D266" s="165" t="s">
        <v>3632</v>
      </c>
      <c r="E266" s="165" t="s">
        <v>39</v>
      </c>
      <c r="F266" s="166" t="s">
        <v>140</v>
      </c>
      <c r="G266" s="167">
        <v>1010586.0</v>
      </c>
      <c r="H266" s="166" t="s">
        <v>3633</v>
      </c>
      <c r="I266" s="167">
        <v>355212.0</v>
      </c>
      <c r="J266" s="168" t="s">
        <v>3634</v>
      </c>
    </row>
    <row r="267">
      <c r="A267" s="83">
        <v>633466.0</v>
      </c>
      <c r="B267" s="164">
        <v>43644.0</v>
      </c>
      <c r="C267" s="165" t="s">
        <v>893</v>
      </c>
      <c r="D267" s="165" t="s">
        <v>2586</v>
      </c>
      <c r="E267" s="165" t="s">
        <v>39</v>
      </c>
      <c r="F267" s="166" t="s">
        <v>214</v>
      </c>
      <c r="G267" s="167">
        <v>1568344.0</v>
      </c>
      <c r="H267" s="166" t="s">
        <v>3635</v>
      </c>
      <c r="I267" s="167">
        <v>1358570.0</v>
      </c>
      <c r="J267" s="168" t="s">
        <v>2587</v>
      </c>
    </row>
    <row r="268">
      <c r="A268" s="83">
        <v>336400.0</v>
      </c>
      <c r="B268" s="164">
        <v>43644.0</v>
      </c>
      <c r="C268" s="165" t="s">
        <v>893</v>
      </c>
      <c r="D268" s="165" t="s">
        <v>3636</v>
      </c>
      <c r="E268" s="165" t="s">
        <v>122</v>
      </c>
      <c r="F268" s="166" t="s">
        <v>271</v>
      </c>
      <c r="G268" s="167">
        <v>137144.0</v>
      </c>
      <c r="H268" s="166" t="s">
        <v>3637</v>
      </c>
      <c r="I268" s="167">
        <v>1689362.0</v>
      </c>
      <c r="J268" s="168" t="s">
        <v>3244</v>
      </c>
    </row>
    <row r="269">
      <c r="A269" s="83">
        <v>1573144.0</v>
      </c>
      <c r="B269" s="164">
        <v>43644.0</v>
      </c>
      <c r="C269" s="165" t="s">
        <v>893</v>
      </c>
      <c r="D269" s="165" t="s">
        <v>3638</v>
      </c>
      <c r="E269" s="165" t="s">
        <v>83</v>
      </c>
      <c r="F269" s="166" t="s">
        <v>806</v>
      </c>
      <c r="G269" s="167">
        <v>690694.0</v>
      </c>
      <c r="H269" s="166" t="s">
        <v>3574</v>
      </c>
      <c r="I269" s="167">
        <v>934032.0</v>
      </c>
      <c r="J269" s="168" t="s">
        <v>3575</v>
      </c>
    </row>
    <row r="270">
      <c r="A270" s="83">
        <v>1567004.0</v>
      </c>
      <c r="B270" s="164">
        <v>43644.0</v>
      </c>
      <c r="C270" s="165" t="s">
        <v>893</v>
      </c>
      <c r="D270" s="165" t="s">
        <v>3639</v>
      </c>
      <c r="E270" s="165" t="s">
        <v>79</v>
      </c>
      <c r="F270" s="166" t="s">
        <v>261</v>
      </c>
      <c r="G270" s="167">
        <v>856992.0</v>
      </c>
      <c r="H270" s="168" t="s">
        <v>1074</v>
      </c>
      <c r="I270" s="166"/>
      <c r="J270" s="166" t="s">
        <v>47</v>
      </c>
    </row>
    <row r="271">
      <c r="A271" s="83">
        <v>1258434.0</v>
      </c>
      <c r="B271" s="164">
        <v>43644.0</v>
      </c>
      <c r="C271" s="165" t="s">
        <v>893</v>
      </c>
      <c r="D271" s="165" t="s">
        <v>3640</v>
      </c>
      <c r="E271" s="165" t="s">
        <v>58</v>
      </c>
      <c r="F271" s="166" t="s">
        <v>59</v>
      </c>
      <c r="G271" s="167">
        <v>1116388.0</v>
      </c>
      <c r="H271" s="168" t="s">
        <v>3641</v>
      </c>
      <c r="I271" s="166"/>
      <c r="J271" s="166" t="s">
        <v>47</v>
      </c>
    </row>
    <row r="272">
      <c r="A272" s="83">
        <v>317438.0</v>
      </c>
      <c r="B272" s="164">
        <v>43644.0</v>
      </c>
      <c r="C272" s="165" t="s">
        <v>893</v>
      </c>
      <c r="D272" s="165" t="s">
        <v>3642</v>
      </c>
      <c r="E272" s="165" t="s">
        <v>189</v>
      </c>
      <c r="F272" s="166" t="s">
        <v>448</v>
      </c>
      <c r="G272" s="167">
        <v>827712.0</v>
      </c>
      <c r="H272" s="166" t="s">
        <v>3507</v>
      </c>
      <c r="I272" s="167">
        <v>587890.0</v>
      </c>
      <c r="J272" s="168" t="s">
        <v>2437</v>
      </c>
    </row>
    <row r="273">
      <c r="A273" s="83">
        <v>1245426.0</v>
      </c>
      <c r="B273" s="164">
        <v>43644.0</v>
      </c>
      <c r="C273" s="165" t="s">
        <v>893</v>
      </c>
      <c r="D273" s="165" t="s">
        <v>3643</v>
      </c>
      <c r="E273" s="165" t="s">
        <v>122</v>
      </c>
      <c r="F273" s="166" t="s">
        <v>271</v>
      </c>
      <c r="G273" s="167">
        <v>1337450.0</v>
      </c>
      <c r="H273" s="166" t="s">
        <v>3644</v>
      </c>
      <c r="I273" s="167">
        <v>1389360.0</v>
      </c>
      <c r="J273" s="168" t="s">
        <v>3645</v>
      </c>
    </row>
    <row r="274">
      <c r="A274" s="83">
        <v>23918.0</v>
      </c>
      <c r="B274" s="164">
        <v>43644.0</v>
      </c>
      <c r="C274" s="165" t="s">
        <v>893</v>
      </c>
      <c r="D274" s="165" t="s">
        <v>3646</v>
      </c>
      <c r="E274" s="165" t="s">
        <v>219</v>
      </c>
      <c r="F274" s="166" t="s">
        <v>220</v>
      </c>
      <c r="G274" s="167">
        <v>563478.0</v>
      </c>
      <c r="H274" s="168" t="s">
        <v>1445</v>
      </c>
      <c r="I274" s="166"/>
      <c r="J274" s="166" t="s">
        <v>47</v>
      </c>
    </row>
    <row r="275">
      <c r="A275" s="83">
        <v>605670.0</v>
      </c>
      <c r="B275" s="164">
        <v>43644.0</v>
      </c>
      <c r="C275" s="165" t="s">
        <v>893</v>
      </c>
      <c r="D275" s="165" t="s">
        <v>3647</v>
      </c>
      <c r="E275" s="165" t="s">
        <v>2958</v>
      </c>
      <c r="F275" s="166" t="s">
        <v>467</v>
      </c>
      <c r="G275" s="167">
        <v>909996.0</v>
      </c>
      <c r="H275" s="166" t="s">
        <v>3098</v>
      </c>
      <c r="I275" s="167">
        <v>911024.0</v>
      </c>
      <c r="J275" s="168" t="s">
        <v>3099</v>
      </c>
    </row>
    <row r="276">
      <c r="A276" s="83">
        <v>57153.0</v>
      </c>
      <c r="B276" s="164">
        <v>43619.0</v>
      </c>
      <c r="C276" s="165" t="s">
        <v>893</v>
      </c>
      <c r="D276" s="165" t="s">
        <v>3648</v>
      </c>
      <c r="E276" s="165" t="s">
        <v>45</v>
      </c>
      <c r="F276" s="166" t="s">
        <v>75</v>
      </c>
      <c r="G276" s="166"/>
      <c r="H276" s="166" t="s">
        <v>47</v>
      </c>
      <c r="I276" s="166"/>
      <c r="J276" s="166" t="s">
        <v>47</v>
      </c>
    </row>
    <row r="277">
      <c r="A277" s="83">
        <v>267898.0</v>
      </c>
      <c r="B277" s="164">
        <v>43619.0</v>
      </c>
      <c r="C277" s="165" t="s">
        <v>893</v>
      </c>
      <c r="D277" s="165" t="s">
        <v>3649</v>
      </c>
      <c r="E277" s="165" t="s">
        <v>58</v>
      </c>
      <c r="F277" s="166" t="s">
        <v>161</v>
      </c>
      <c r="G277" s="166"/>
      <c r="H277" s="166" t="s">
        <v>47</v>
      </c>
      <c r="I277" s="166"/>
      <c r="J277" s="166" t="s">
        <v>47</v>
      </c>
    </row>
    <row r="278">
      <c r="A278" s="83">
        <v>1146984.0</v>
      </c>
      <c r="B278" s="164">
        <v>43619.0</v>
      </c>
      <c r="C278" s="165" t="s">
        <v>893</v>
      </c>
      <c r="D278" s="165" t="s">
        <v>3650</v>
      </c>
      <c r="E278" s="165" t="s">
        <v>79</v>
      </c>
      <c r="F278" s="168" t="s">
        <v>184</v>
      </c>
      <c r="G278" s="166"/>
      <c r="H278" s="166" t="s">
        <v>47</v>
      </c>
      <c r="I278" s="166"/>
      <c r="J278" s="166" t="s">
        <v>47</v>
      </c>
    </row>
    <row r="279">
      <c r="A279" s="83">
        <v>256488.0</v>
      </c>
      <c r="B279" s="164">
        <v>43619.0</v>
      </c>
      <c r="C279" s="165" t="s">
        <v>893</v>
      </c>
      <c r="D279" s="165" t="s">
        <v>3651</v>
      </c>
      <c r="E279" s="165" t="s">
        <v>189</v>
      </c>
      <c r="F279" s="166" t="s">
        <v>190</v>
      </c>
      <c r="G279" s="167">
        <v>1122362.0</v>
      </c>
      <c r="H279" s="166" t="s">
        <v>3652</v>
      </c>
      <c r="I279" s="167">
        <v>1698420.0</v>
      </c>
      <c r="J279" s="168" t="s">
        <v>3653</v>
      </c>
    </row>
    <row r="280">
      <c r="A280" s="83">
        <v>256490.0</v>
      </c>
      <c r="B280" s="164">
        <v>43619.0</v>
      </c>
      <c r="C280" s="165" t="s">
        <v>893</v>
      </c>
      <c r="D280" s="165" t="s">
        <v>3654</v>
      </c>
      <c r="E280" s="165" t="s">
        <v>63</v>
      </c>
      <c r="F280" s="166" t="s">
        <v>64</v>
      </c>
      <c r="G280" s="167">
        <v>1137048.0</v>
      </c>
      <c r="H280" s="166" t="s">
        <v>3655</v>
      </c>
      <c r="I280" s="167">
        <v>419404.0</v>
      </c>
      <c r="J280" s="168" t="s">
        <v>3656</v>
      </c>
    </row>
    <row r="281">
      <c r="A281" s="83">
        <v>256492.0</v>
      </c>
      <c r="B281" s="164">
        <v>43619.0</v>
      </c>
      <c r="C281" s="165" t="s">
        <v>893</v>
      </c>
      <c r="D281" s="165" t="s">
        <v>3657</v>
      </c>
      <c r="E281" s="165" t="s">
        <v>189</v>
      </c>
      <c r="F281" s="166" t="s">
        <v>190</v>
      </c>
      <c r="G281" s="167">
        <v>1122362.0</v>
      </c>
      <c r="H281" s="166" t="s">
        <v>3652</v>
      </c>
      <c r="I281" s="167">
        <v>1698420.0</v>
      </c>
      <c r="J281" s="168" t="s">
        <v>3653</v>
      </c>
    </row>
    <row r="282">
      <c r="A282" s="83">
        <v>468118.0</v>
      </c>
      <c r="B282" s="164">
        <v>43619.0</v>
      </c>
      <c r="C282" s="165" t="s">
        <v>893</v>
      </c>
      <c r="D282" s="165" t="s">
        <v>3658</v>
      </c>
      <c r="E282" s="165" t="s">
        <v>189</v>
      </c>
      <c r="F282" s="166" t="s">
        <v>190</v>
      </c>
      <c r="G282" s="167">
        <v>948866.0</v>
      </c>
      <c r="H282" s="166" t="s">
        <v>2906</v>
      </c>
      <c r="I282" s="167">
        <v>49250.0</v>
      </c>
      <c r="J282" s="168" t="s">
        <v>864</v>
      </c>
    </row>
    <row r="283">
      <c r="A283" s="83">
        <v>1281044.0</v>
      </c>
      <c r="B283" s="164">
        <v>43619.0</v>
      </c>
      <c r="C283" s="165" t="s">
        <v>893</v>
      </c>
      <c r="D283" s="165" t="s">
        <v>3659</v>
      </c>
      <c r="E283" s="165" t="s">
        <v>83</v>
      </c>
      <c r="F283" s="166" t="s">
        <v>153</v>
      </c>
      <c r="G283" s="167">
        <v>959128.0</v>
      </c>
      <c r="H283" s="166" t="s">
        <v>3660</v>
      </c>
      <c r="I283" s="167">
        <v>573984.0</v>
      </c>
      <c r="J283" s="168" t="s">
        <v>3661</v>
      </c>
    </row>
    <row r="284">
      <c r="A284" s="83">
        <v>1232282.0</v>
      </c>
      <c r="B284" s="164">
        <v>43619.0</v>
      </c>
      <c r="C284" s="165" t="s">
        <v>893</v>
      </c>
      <c r="D284" s="165" t="s">
        <v>3662</v>
      </c>
      <c r="E284" s="165" t="s">
        <v>96</v>
      </c>
      <c r="F284" s="166" t="s">
        <v>263</v>
      </c>
      <c r="G284" s="166"/>
      <c r="H284" s="166" t="s">
        <v>47</v>
      </c>
      <c r="I284" s="166"/>
      <c r="J284" s="166" t="s">
        <v>47</v>
      </c>
    </row>
    <row r="285">
      <c r="A285" s="83">
        <v>179824.0</v>
      </c>
      <c r="B285" s="164">
        <v>43619.0</v>
      </c>
      <c r="C285" s="165" t="s">
        <v>893</v>
      </c>
      <c r="D285" s="165" t="s">
        <v>3663</v>
      </c>
      <c r="E285" s="165" t="s">
        <v>96</v>
      </c>
      <c r="F285" s="166" t="s">
        <v>109</v>
      </c>
      <c r="G285" s="167">
        <v>30481.0</v>
      </c>
      <c r="H285" s="166" t="s">
        <v>47</v>
      </c>
      <c r="I285" s="166"/>
      <c r="J285" s="166" t="s">
        <v>47</v>
      </c>
    </row>
    <row r="286">
      <c r="A286" s="83">
        <v>395872.0</v>
      </c>
      <c r="B286" s="164">
        <v>43619.0</v>
      </c>
      <c r="C286" s="165" t="s">
        <v>893</v>
      </c>
      <c r="D286" s="165" t="s">
        <v>3664</v>
      </c>
      <c r="E286" s="165" t="s">
        <v>96</v>
      </c>
      <c r="F286" s="166" t="s">
        <v>109</v>
      </c>
      <c r="G286" s="167">
        <v>285638.0</v>
      </c>
      <c r="H286" s="168" t="s">
        <v>3665</v>
      </c>
      <c r="I286" s="166"/>
      <c r="J286" s="166" t="s">
        <v>47</v>
      </c>
    </row>
    <row r="287">
      <c r="A287" s="83">
        <v>824132.0</v>
      </c>
      <c r="B287" s="164">
        <v>43619.0</v>
      </c>
      <c r="C287" s="165" t="s">
        <v>893</v>
      </c>
      <c r="D287" s="165" t="s">
        <v>3666</v>
      </c>
      <c r="E287" s="165" t="s">
        <v>96</v>
      </c>
      <c r="F287" s="166" t="s">
        <v>109</v>
      </c>
      <c r="G287" s="167">
        <v>148902.0</v>
      </c>
      <c r="H287" s="166" t="s">
        <v>2158</v>
      </c>
      <c r="I287" s="167">
        <v>667880.0</v>
      </c>
      <c r="J287" s="168" t="s">
        <v>3667</v>
      </c>
    </row>
    <row r="288">
      <c r="A288" s="83">
        <v>1441172.0</v>
      </c>
      <c r="B288" s="164">
        <v>43619.0</v>
      </c>
      <c r="C288" s="165" t="s">
        <v>893</v>
      </c>
      <c r="D288" s="165" t="s">
        <v>3668</v>
      </c>
      <c r="E288" s="165" t="s">
        <v>39</v>
      </c>
      <c r="F288" s="166" t="s">
        <v>297</v>
      </c>
      <c r="G288" s="167">
        <v>852944.0</v>
      </c>
      <c r="H288" s="166" t="s">
        <v>47</v>
      </c>
      <c r="I288" s="166"/>
      <c r="J288" s="166" t="s">
        <v>47</v>
      </c>
    </row>
    <row r="289">
      <c r="A289" s="83">
        <v>861528.0</v>
      </c>
      <c r="B289" s="164">
        <v>43619.0</v>
      </c>
      <c r="C289" s="165" t="s">
        <v>893</v>
      </c>
      <c r="D289" s="165" t="s">
        <v>3669</v>
      </c>
      <c r="E289" s="165" t="s">
        <v>39</v>
      </c>
      <c r="F289" s="168" t="s">
        <v>140</v>
      </c>
      <c r="G289" s="166"/>
      <c r="H289" s="166" t="s">
        <v>47</v>
      </c>
      <c r="I289" s="166"/>
      <c r="J289" s="166" t="s">
        <v>47</v>
      </c>
    </row>
    <row r="290">
      <c r="A290" s="83">
        <v>807874.0</v>
      </c>
      <c r="B290" s="164">
        <v>43619.0</v>
      </c>
      <c r="C290" s="165" t="s">
        <v>893</v>
      </c>
      <c r="D290" s="165" t="s">
        <v>3670</v>
      </c>
      <c r="E290" s="165" t="s">
        <v>39</v>
      </c>
      <c r="F290" s="166" t="s">
        <v>140</v>
      </c>
      <c r="G290" s="167">
        <v>851712.0</v>
      </c>
      <c r="H290" s="168" t="s">
        <v>1534</v>
      </c>
      <c r="I290" s="166"/>
      <c r="J290" s="166" t="s">
        <v>47</v>
      </c>
    </row>
    <row r="291">
      <c r="A291" s="83">
        <v>523546.0</v>
      </c>
      <c r="B291" s="164">
        <v>43619.0</v>
      </c>
      <c r="C291" s="165" t="s">
        <v>893</v>
      </c>
      <c r="D291" s="165" t="s">
        <v>3671</v>
      </c>
      <c r="E291" s="165" t="s">
        <v>45</v>
      </c>
      <c r="F291" s="166" t="s">
        <v>324</v>
      </c>
      <c r="G291" s="167">
        <v>543766.0</v>
      </c>
      <c r="H291" s="166" t="s">
        <v>47</v>
      </c>
      <c r="I291" s="166"/>
      <c r="J291" s="166" t="s">
        <v>47</v>
      </c>
    </row>
    <row r="292">
      <c r="A292" s="83">
        <v>839634.0</v>
      </c>
      <c r="B292" s="164">
        <v>43619.0</v>
      </c>
      <c r="C292" s="165" t="s">
        <v>893</v>
      </c>
      <c r="D292" s="165" t="s">
        <v>3672</v>
      </c>
      <c r="E292" s="165" t="s">
        <v>45</v>
      </c>
      <c r="F292" s="166" t="s">
        <v>46</v>
      </c>
      <c r="G292" s="167">
        <v>761780.0</v>
      </c>
      <c r="H292" s="168" t="s">
        <v>1805</v>
      </c>
      <c r="I292" s="166"/>
      <c r="J292" s="166" t="s">
        <v>47</v>
      </c>
    </row>
    <row r="293">
      <c r="A293" s="83">
        <v>623152.0</v>
      </c>
      <c r="B293" s="164">
        <v>43619.0</v>
      </c>
      <c r="C293" s="165" t="s">
        <v>893</v>
      </c>
      <c r="D293" s="165" t="s">
        <v>3673</v>
      </c>
      <c r="E293" s="165" t="s">
        <v>58</v>
      </c>
      <c r="F293" s="166" t="s">
        <v>234</v>
      </c>
      <c r="G293" s="167">
        <v>329346.0</v>
      </c>
      <c r="H293" s="168" t="s">
        <v>1231</v>
      </c>
      <c r="I293" s="166"/>
      <c r="J293" s="166" t="s">
        <v>47</v>
      </c>
    </row>
    <row r="294">
      <c r="A294" s="83">
        <v>1642806.0</v>
      </c>
      <c r="B294" s="164">
        <v>43619.0</v>
      </c>
      <c r="C294" s="165" t="s">
        <v>893</v>
      </c>
      <c r="D294" s="165" t="s">
        <v>3674</v>
      </c>
      <c r="E294" s="165" t="s">
        <v>45</v>
      </c>
      <c r="F294" s="166" t="s">
        <v>46</v>
      </c>
      <c r="G294" s="167">
        <v>1205478.0</v>
      </c>
      <c r="H294" s="166" t="s">
        <v>47</v>
      </c>
      <c r="I294" s="166"/>
      <c r="J294" s="166" t="s">
        <v>47</v>
      </c>
    </row>
    <row r="295">
      <c r="A295" s="83">
        <v>1570408.0</v>
      </c>
      <c r="B295" s="164">
        <v>43619.0</v>
      </c>
      <c r="C295" s="165" t="s">
        <v>893</v>
      </c>
      <c r="D295" s="165" t="s">
        <v>3675</v>
      </c>
      <c r="E295" s="165" t="s">
        <v>39</v>
      </c>
      <c r="F295" s="168" t="s">
        <v>54</v>
      </c>
      <c r="G295" s="166"/>
      <c r="H295" s="166" t="s">
        <v>47</v>
      </c>
      <c r="I295" s="166"/>
      <c r="J295" s="166" t="s">
        <v>47</v>
      </c>
    </row>
    <row r="296">
      <c r="A296" s="83">
        <v>1267680.0</v>
      </c>
      <c r="B296" s="164">
        <v>43619.0</v>
      </c>
      <c r="C296" s="165" t="s">
        <v>893</v>
      </c>
      <c r="D296" s="165" t="s">
        <v>3676</v>
      </c>
      <c r="E296" s="165" t="s">
        <v>122</v>
      </c>
      <c r="F296" s="166" t="s">
        <v>123</v>
      </c>
      <c r="G296" s="167">
        <v>613808.0</v>
      </c>
      <c r="H296" s="168" t="s">
        <v>1591</v>
      </c>
      <c r="I296" s="166"/>
      <c r="J296" s="166" t="s">
        <v>47</v>
      </c>
    </row>
    <row r="297">
      <c r="A297" s="83">
        <v>1865304.0</v>
      </c>
      <c r="B297" s="164">
        <v>43619.0</v>
      </c>
      <c r="C297" s="165" t="s">
        <v>893</v>
      </c>
      <c r="D297" s="165" t="s">
        <v>3677</v>
      </c>
      <c r="E297" s="165" t="s">
        <v>39</v>
      </c>
      <c r="F297" s="166" t="s">
        <v>50</v>
      </c>
      <c r="G297" s="167">
        <v>1007250.0</v>
      </c>
      <c r="H297" s="168" t="s">
        <v>3678</v>
      </c>
      <c r="I297" s="166"/>
      <c r="J297" s="166" t="s">
        <v>47</v>
      </c>
    </row>
    <row r="298">
      <c r="A298" s="83">
        <v>1279612.0</v>
      </c>
      <c r="B298" s="164">
        <v>43619.0</v>
      </c>
      <c r="C298" s="165" t="s">
        <v>893</v>
      </c>
      <c r="D298" s="165" t="s">
        <v>3679</v>
      </c>
      <c r="E298" s="165" t="s">
        <v>39</v>
      </c>
      <c r="F298" s="166" t="s">
        <v>214</v>
      </c>
      <c r="G298" s="167">
        <v>1778502.0</v>
      </c>
      <c r="H298" s="168" t="s">
        <v>2527</v>
      </c>
      <c r="I298" s="166"/>
      <c r="J298" s="166" t="s">
        <v>47</v>
      </c>
    </row>
    <row r="299">
      <c r="A299" s="83">
        <v>57153.0</v>
      </c>
      <c r="B299" s="164">
        <v>43614.0</v>
      </c>
      <c r="C299" s="165" t="s">
        <v>893</v>
      </c>
      <c r="D299" s="165" t="s">
        <v>3648</v>
      </c>
      <c r="E299" s="165" t="s">
        <v>45</v>
      </c>
      <c r="F299" s="166" t="s">
        <v>75</v>
      </c>
      <c r="G299" s="167">
        <v>27970.0</v>
      </c>
      <c r="H299" s="166" t="s">
        <v>47</v>
      </c>
      <c r="I299" s="167">
        <v>522258.0</v>
      </c>
      <c r="J299" s="168" t="s">
        <v>3038</v>
      </c>
    </row>
    <row r="300">
      <c r="A300" s="83">
        <v>1749276.0</v>
      </c>
      <c r="B300" s="164">
        <v>43595.0</v>
      </c>
      <c r="C300" s="165" t="s">
        <v>893</v>
      </c>
      <c r="D300" s="165" t="s">
        <v>3680</v>
      </c>
      <c r="E300" s="165" t="s">
        <v>45</v>
      </c>
      <c r="F300" s="166" t="s">
        <v>75</v>
      </c>
      <c r="G300" s="167">
        <v>1927250.0</v>
      </c>
      <c r="H300" s="168" t="s">
        <v>1670</v>
      </c>
      <c r="I300" s="166"/>
      <c r="J300" s="166" t="s">
        <v>47</v>
      </c>
    </row>
    <row r="301">
      <c r="A301" s="83">
        <v>2007550.0</v>
      </c>
      <c r="B301" s="164">
        <v>43595.0</v>
      </c>
      <c r="C301" s="165" t="s">
        <v>893</v>
      </c>
      <c r="D301" s="165" t="s">
        <v>3681</v>
      </c>
      <c r="E301" s="165" t="s">
        <v>45</v>
      </c>
      <c r="F301" s="166" t="s">
        <v>75</v>
      </c>
      <c r="G301" s="167">
        <v>1927250.0</v>
      </c>
      <c r="H301" s="168" t="s">
        <v>1670</v>
      </c>
      <c r="I301" s="166"/>
      <c r="J301" s="166" t="s">
        <v>47</v>
      </c>
    </row>
    <row r="302">
      <c r="A302" s="83">
        <v>1088942.0</v>
      </c>
      <c r="B302" s="164">
        <v>43593.0</v>
      </c>
      <c r="C302" s="165" t="s">
        <v>2362</v>
      </c>
      <c r="D302" s="165" t="s">
        <v>3682</v>
      </c>
      <c r="E302" s="165" t="s">
        <v>101</v>
      </c>
      <c r="F302" s="168" t="s">
        <v>102</v>
      </c>
      <c r="G302" s="166"/>
      <c r="H302" s="166"/>
      <c r="I302" s="166"/>
      <c r="J302" s="166"/>
    </row>
    <row r="303">
      <c r="A303" s="83">
        <v>891644.0</v>
      </c>
      <c r="B303" s="164">
        <v>43587.0</v>
      </c>
      <c r="C303" s="165" t="s">
        <v>893</v>
      </c>
      <c r="D303" s="165" t="s">
        <v>3683</v>
      </c>
      <c r="E303" s="165" t="s">
        <v>45</v>
      </c>
      <c r="F303" s="166" t="s">
        <v>75</v>
      </c>
      <c r="G303" s="166"/>
      <c r="H303" s="166" t="s">
        <v>47</v>
      </c>
      <c r="I303" s="166"/>
      <c r="J303" s="166" t="s">
        <v>47</v>
      </c>
    </row>
    <row r="304">
      <c r="A304" s="83">
        <v>1473282.0</v>
      </c>
      <c r="B304" s="164">
        <v>43587.0</v>
      </c>
      <c r="C304" s="165" t="s">
        <v>893</v>
      </c>
      <c r="D304" s="165" t="s">
        <v>3684</v>
      </c>
      <c r="E304" s="165" t="s">
        <v>45</v>
      </c>
      <c r="F304" s="166" t="s">
        <v>75</v>
      </c>
      <c r="G304" s="166"/>
      <c r="H304" s="166" t="s">
        <v>47</v>
      </c>
      <c r="I304" s="166"/>
      <c r="J304" s="166" t="s">
        <v>47</v>
      </c>
    </row>
    <row r="305">
      <c r="A305" s="83">
        <v>1076296.0</v>
      </c>
      <c r="B305" s="164">
        <v>43587.0</v>
      </c>
      <c r="C305" s="165" t="s">
        <v>893</v>
      </c>
      <c r="D305" s="165" t="s">
        <v>3361</v>
      </c>
      <c r="E305" s="165" t="s">
        <v>45</v>
      </c>
      <c r="F305" s="166" t="s">
        <v>75</v>
      </c>
      <c r="G305" s="167">
        <v>2065369.0</v>
      </c>
      <c r="H305" s="166" t="s">
        <v>47</v>
      </c>
      <c r="I305" s="167">
        <v>2193814.0</v>
      </c>
      <c r="J305" s="168" t="s">
        <v>567</v>
      </c>
    </row>
    <row r="306">
      <c r="A306" s="83">
        <v>1253974.0</v>
      </c>
      <c r="B306" s="164">
        <v>43585.0</v>
      </c>
      <c r="C306" s="165" t="s">
        <v>893</v>
      </c>
      <c r="D306" s="165" t="s">
        <v>3685</v>
      </c>
      <c r="E306" s="165" t="s">
        <v>45</v>
      </c>
      <c r="F306" s="166" t="s">
        <v>75</v>
      </c>
      <c r="G306" s="167">
        <v>2065369.0</v>
      </c>
      <c r="H306" s="166" t="s">
        <v>47</v>
      </c>
      <c r="I306" s="166"/>
      <c r="J306" s="166" t="s">
        <v>47</v>
      </c>
    </row>
    <row r="307">
      <c r="A307" s="83">
        <v>1264966.0</v>
      </c>
      <c r="B307" s="164">
        <v>43585.0</v>
      </c>
      <c r="C307" s="165" t="s">
        <v>893</v>
      </c>
      <c r="D307" s="165" t="s">
        <v>3362</v>
      </c>
      <c r="E307" s="165" t="s">
        <v>45</v>
      </c>
      <c r="F307" s="166" t="s">
        <v>75</v>
      </c>
      <c r="G307" s="167">
        <v>2193814.0</v>
      </c>
      <c r="H307" s="168" t="s">
        <v>567</v>
      </c>
      <c r="I307" s="166"/>
      <c r="J307" s="166" t="s">
        <v>47</v>
      </c>
    </row>
    <row r="308">
      <c r="A308" s="83">
        <v>1273938.0</v>
      </c>
      <c r="B308" s="164">
        <v>43585.0</v>
      </c>
      <c r="C308" s="165" t="s">
        <v>893</v>
      </c>
      <c r="D308" s="165" t="s">
        <v>3686</v>
      </c>
      <c r="E308" s="165" t="s">
        <v>2958</v>
      </c>
      <c r="F308" s="168" t="s">
        <v>311</v>
      </c>
      <c r="G308" s="166"/>
      <c r="H308" s="166" t="s">
        <v>47</v>
      </c>
      <c r="I308" s="166"/>
      <c r="J308" s="166" t="s">
        <v>47</v>
      </c>
    </row>
    <row r="309">
      <c r="A309" s="83">
        <v>1304138.0</v>
      </c>
      <c r="B309" s="164">
        <v>43585.0</v>
      </c>
      <c r="C309" s="165" t="s">
        <v>893</v>
      </c>
      <c r="D309" s="165" t="s">
        <v>3687</v>
      </c>
      <c r="E309" s="165" t="s">
        <v>122</v>
      </c>
      <c r="F309" s="166" t="s">
        <v>127</v>
      </c>
      <c r="G309" s="167">
        <v>256464.0</v>
      </c>
      <c r="H309" s="168" t="s">
        <v>3688</v>
      </c>
      <c r="I309" s="166"/>
      <c r="J309" s="166" t="s">
        <v>47</v>
      </c>
    </row>
    <row r="310">
      <c r="A310" s="83">
        <v>852944.0</v>
      </c>
      <c r="B310" s="164">
        <v>43585.0</v>
      </c>
      <c r="C310" s="165" t="s">
        <v>893</v>
      </c>
      <c r="D310" s="165" t="s">
        <v>3689</v>
      </c>
      <c r="E310" s="165" t="s">
        <v>39</v>
      </c>
      <c r="F310" s="166" t="s">
        <v>50</v>
      </c>
      <c r="G310" s="167">
        <v>1693610.0</v>
      </c>
      <c r="H310" s="168" t="s">
        <v>3690</v>
      </c>
      <c r="I310" s="166"/>
      <c r="J310" s="166" t="s">
        <v>47</v>
      </c>
    </row>
    <row r="311">
      <c r="A311" s="83">
        <v>479046.0</v>
      </c>
      <c r="B311" s="164">
        <v>43585.0</v>
      </c>
      <c r="C311" s="165" t="s">
        <v>893</v>
      </c>
      <c r="D311" s="165" t="s">
        <v>3691</v>
      </c>
      <c r="E311" s="165" t="s">
        <v>219</v>
      </c>
      <c r="F311" s="166" t="s">
        <v>220</v>
      </c>
      <c r="G311" s="167">
        <v>1338126.0</v>
      </c>
      <c r="H311" s="168" t="s">
        <v>3692</v>
      </c>
      <c r="I311" s="166"/>
      <c r="J311" s="166" t="s">
        <v>47</v>
      </c>
    </row>
    <row r="312">
      <c r="A312" s="83">
        <v>537282.0</v>
      </c>
      <c r="B312" s="164">
        <v>43585.0</v>
      </c>
      <c r="C312" s="165" t="s">
        <v>893</v>
      </c>
      <c r="D312" s="165" t="s">
        <v>3693</v>
      </c>
      <c r="E312" s="165" t="s">
        <v>39</v>
      </c>
      <c r="F312" s="168" t="s">
        <v>140</v>
      </c>
      <c r="G312" s="166"/>
      <c r="H312" s="166" t="s">
        <v>47</v>
      </c>
      <c r="I312" s="166"/>
      <c r="J312" s="166" t="s">
        <v>47</v>
      </c>
    </row>
    <row r="313">
      <c r="A313" s="83">
        <v>358740.0</v>
      </c>
      <c r="B313" s="164">
        <v>43585.0</v>
      </c>
      <c r="C313" s="165" t="s">
        <v>893</v>
      </c>
      <c r="D313" s="165" t="s">
        <v>3694</v>
      </c>
      <c r="E313" s="165" t="s">
        <v>122</v>
      </c>
      <c r="F313" s="166" t="s">
        <v>123</v>
      </c>
      <c r="G313" s="167">
        <v>613808.0</v>
      </c>
      <c r="H313" s="166" t="s">
        <v>1591</v>
      </c>
      <c r="I313" s="167">
        <v>1415934.0</v>
      </c>
      <c r="J313" s="168" t="s">
        <v>3390</v>
      </c>
    </row>
    <row r="314">
      <c r="A314" s="83">
        <v>550198.0</v>
      </c>
      <c r="B314" s="164">
        <v>43585.0</v>
      </c>
      <c r="C314" s="165" t="s">
        <v>893</v>
      </c>
      <c r="D314" s="165" t="s">
        <v>3695</v>
      </c>
      <c r="E314" s="165" t="s">
        <v>83</v>
      </c>
      <c r="F314" s="166" t="s">
        <v>153</v>
      </c>
      <c r="G314" s="167">
        <v>959128.0</v>
      </c>
      <c r="H314" s="168" t="s">
        <v>3660</v>
      </c>
      <c r="I314" s="166"/>
      <c r="J314" s="166" t="s">
        <v>47</v>
      </c>
    </row>
    <row r="315">
      <c r="A315" s="83">
        <v>782192.0</v>
      </c>
      <c r="B315" s="164">
        <v>43585.0</v>
      </c>
      <c r="C315" s="165" t="s">
        <v>893</v>
      </c>
      <c r="D315" s="165" t="s">
        <v>3696</v>
      </c>
      <c r="E315" s="165" t="s">
        <v>39</v>
      </c>
      <c r="F315" s="168" t="s">
        <v>140</v>
      </c>
      <c r="G315" s="166"/>
      <c r="H315" s="166" t="s">
        <v>47</v>
      </c>
      <c r="I315" s="166"/>
      <c r="J315" s="166" t="s">
        <v>47</v>
      </c>
    </row>
    <row r="316">
      <c r="A316" s="83">
        <v>204650.0</v>
      </c>
      <c r="B316" s="164">
        <v>43585.0</v>
      </c>
      <c r="C316" s="165" t="s">
        <v>893</v>
      </c>
      <c r="D316" s="165" t="s">
        <v>3697</v>
      </c>
      <c r="E316" s="165" t="s">
        <v>122</v>
      </c>
      <c r="F316" s="166" t="s">
        <v>127</v>
      </c>
      <c r="G316" s="167">
        <v>1300254.0</v>
      </c>
      <c r="H316" s="166" t="s">
        <v>3523</v>
      </c>
      <c r="I316" s="167">
        <v>240450.0</v>
      </c>
      <c r="J316" s="168" t="s">
        <v>3698</v>
      </c>
    </row>
    <row r="317">
      <c r="A317" s="83">
        <v>780242.0</v>
      </c>
      <c r="B317" s="164">
        <v>43585.0</v>
      </c>
      <c r="C317" s="165" t="s">
        <v>893</v>
      </c>
      <c r="D317" s="165" t="s">
        <v>3699</v>
      </c>
      <c r="E317" s="165" t="s">
        <v>45</v>
      </c>
      <c r="F317" s="166" t="s">
        <v>46</v>
      </c>
      <c r="G317" s="167">
        <v>186420.0</v>
      </c>
      <c r="H317" s="166" t="s">
        <v>1804</v>
      </c>
      <c r="I317" s="167">
        <v>761780.0</v>
      </c>
      <c r="J317" s="168" t="s">
        <v>1805</v>
      </c>
    </row>
    <row r="318">
      <c r="A318" s="83">
        <v>190816.0</v>
      </c>
      <c r="B318" s="164">
        <v>43585.0</v>
      </c>
      <c r="C318" s="165" t="s">
        <v>893</v>
      </c>
      <c r="D318" s="165" t="s">
        <v>3700</v>
      </c>
      <c r="E318" s="165" t="s">
        <v>96</v>
      </c>
      <c r="F318" s="166" t="s">
        <v>263</v>
      </c>
      <c r="G318" s="166"/>
      <c r="H318" s="166" t="s">
        <v>47</v>
      </c>
      <c r="I318" s="166"/>
      <c r="J318" s="166" t="s">
        <v>47</v>
      </c>
    </row>
    <row r="319">
      <c r="A319" s="83">
        <v>579102.0</v>
      </c>
      <c r="B319" s="164">
        <v>43585.0</v>
      </c>
      <c r="C319" s="165" t="s">
        <v>893</v>
      </c>
      <c r="D319" s="165" t="s">
        <v>3701</v>
      </c>
      <c r="E319" s="165" t="s">
        <v>2958</v>
      </c>
      <c r="F319" s="166" t="s">
        <v>339</v>
      </c>
      <c r="G319" s="167">
        <v>988524.0</v>
      </c>
      <c r="H319" s="166" t="s">
        <v>2893</v>
      </c>
      <c r="I319" s="167">
        <v>1774414.0</v>
      </c>
      <c r="J319" s="168" t="s">
        <v>3702</v>
      </c>
    </row>
    <row r="320">
      <c r="A320" s="83">
        <v>915490.0</v>
      </c>
      <c r="B320" s="164">
        <v>43585.0</v>
      </c>
      <c r="C320" s="165" t="s">
        <v>893</v>
      </c>
      <c r="D320" s="165" t="s">
        <v>3703</v>
      </c>
      <c r="E320" s="165" t="s">
        <v>122</v>
      </c>
      <c r="F320" s="166" t="s">
        <v>123</v>
      </c>
      <c r="G320" s="167">
        <v>613808.0</v>
      </c>
      <c r="H320" s="168" t="s">
        <v>1591</v>
      </c>
      <c r="I320" s="166"/>
      <c r="J320" s="166" t="s">
        <v>47</v>
      </c>
    </row>
    <row r="321">
      <c r="A321" s="83">
        <v>1425612.0</v>
      </c>
      <c r="B321" s="164">
        <v>43577.0</v>
      </c>
      <c r="C321" s="165" t="s">
        <v>893</v>
      </c>
      <c r="D321" s="165" t="s">
        <v>3704</v>
      </c>
      <c r="E321" s="165" t="s">
        <v>79</v>
      </c>
      <c r="F321" s="166" t="s">
        <v>261</v>
      </c>
      <c r="G321" s="167">
        <v>2137184.0</v>
      </c>
      <c r="H321" s="166" t="s">
        <v>47</v>
      </c>
      <c r="I321" s="167">
        <v>1279990.0</v>
      </c>
      <c r="J321" s="168" t="s">
        <v>3619</v>
      </c>
    </row>
    <row r="322">
      <c r="A322" s="83">
        <v>1972358.0</v>
      </c>
      <c r="B322" s="164">
        <v>43566.0</v>
      </c>
      <c r="C322" s="165" t="s">
        <v>2362</v>
      </c>
      <c r="D322" s="165" t="s">
        <v>3705</v>
      </c>
      <c r="E322" s="165" t="s">
        <v>105</v>
      </c>
      <c r="F322" s="166" t="s">
        <v>501</v>
      </c>
      <c r="G322" s="167">
        <v>1754560.0</v>
      </c>
      <c r="H322" s="168" t="s">
        <v>3706</v>
      </c>
      <c r="I322" s="166"/>
      <c r="J322" s="166" t="s">
        <v>47</v>
      </c>
    </row>
    <row r="323">
      <c r="A323" s="83">
        <v>1559396.0</v>
      </c>
      <c r="B323" s="164">
        <v>43566.0</v>
      </c>
      <c r="C323" s="165" t="s">
        <v>2362</v>
      </c>
      <c r="D323" s="165" t="s">
        <v>3707</v>
      </c>
      <c r="E323" s="165" t="s">
        <v>105</v>
      </c>
      <c r="F323" s="166" t="s">
        <v>198</v>
      </c>
      <c r="G323" s="167">
        <v>1442180.0</v>
      </c>
      <c r="H323" s="168" t="s">
        <v>3708</v>
      </c>
      <c r="I323" s="166"/>
      <c r="J323" s="166" t="s">
        <v>47</v>
      </c>
    </row>
    <row r="324">
      <c r="A324" s="83">
        <v>1784656.0</v>
      </c>
      <c r="B324" s="164">
        <v>43566.0</v>
      </c>
      <c r="C324" s="165" t="s">
        <v>2362</v>
      </c>
      <c r="D324" s="165" t="s">
        <v>3709</v>
      </c>
      <c r="E324" s="165" t="s">
        <v>105</v>
      </c>
      <c r="F324" s="166" t="s">
        <v>106</v>
      </c>
      <c r="G324" s="167">
        <v>1426848.0</v>
      </c>
      <c r="H324" s="168" t="s">
        <v>1888</v>
      </c>
      <c r="I324" s="166"/>
      <c r="J324" s="166" t="s">
        <v>47</v>
      </c>
    </row>
    <row r="325">
      <c r="A325" s="83">
        <v>476300.0</v>
      </c>
      <c r="B325" s="164">
        <v>43559.0</v>
      </c>
      <c r="C325" s="165" t="s">
        <v>893</v>
      </c>
      <c r="D325" s="165" t="s">
        <v>3710</v>
      </c>
      <c r="E325" s="165" t="s">
        <v>45</v>
      </c>
      <c r="F325" s="168" t="s">
        <v>172</v>
      </c>
      <c r="G325" s="166"/>
      <c r="H325" s="166" t="s">
        <v>47</v>
      </c>
      <c r="I325" s="166"/>
      <c r="J325" s="166" t="s">
        <v>47</v>
      </c>
    </row>
    <row r="326">
      <c r="A326" s="83">
        <v>1427102.0</v>
      </c>
      <c r="B326" s="164">
        <v>43556.0</v>
      </c>
      <c r="C326" s="165" t="s">
        <v>893</v>
      </c>
      <c r="D326" s="165" t="s">
        <v>3711</v>
      </c>
      <c r="E326" s="165" t="s">
        <v>39</v>
      </c>
      <c r="F326" s="166" t="s">
        <v>140</v>
      </c>
      <c r="G326" s="167">
        <v>647428.0</v>
      </c>
      <c r="H326" s="166" t="s">
        <v>3712</v>
      </c>
      <c r="I326" s="167">
        <v>1078208.0</v>
      </c>
      <c r="J326" s="168" t="s">
        <v>3713</v>
      </c>
    </row>
    <row r="327">
      <c r="A327" s="83">
        <v>1427088.0</v>
      </c>
      <c r="B327" s="164">
        <v>43556.0</v>
      </c>
      <c r="C327" s="165" t="s">
        <v>893</v>
      </c>
      <c r="D327" s="165" t="s">
        <v>3714</v>
      </c>
      <c r="E327" s="165" t="s">
        <v>39</v>
      </c>
      <c r="F327" s="166" t="s">
        <v>140</v>
      </c>
      <c r="G327" s="167">
        <v>1217894.0</v>
      </c>
      <c r="H327" s="166" t="s">
        <v>2825</v>
      </c>
      <c r="I327" s="167">
        <v>684824.0</v>
      </c>
      <c r="J327" s="168" t="s">
        <v>2331</v>
      </c>
    </row>
    <row r="328">
      <c r="A328" s="83">
        <v>880418.0</v>
      </c>
      <c r="B328" s="164">
        <v>43553.0</v>
      </c>
      <c r="C328" s="165" t="s">
        <v>893</v>
      </c>
      <c r="D328" s="165" t="s">
        <v>3715</v>
      </c>
      <c r="E328" s="165" t="s">
        <v>83</v>
      </c>
      <c r="F328" s="166" t="s">
        <v>285</v>
      </c>
      <c r="G328" s="167">
        <v>1331661.0</v>
      </c>
      <c r="H328" s="166" t="s">
        <v>3716</v>
      </c>
      <c r="I328" s="167">
        <v>335610.0</v>
      </c>
      <c r="J328" s="168" t="s">
        <v>3717</v>
      </c>
    </row>
    <row r="329">
      <c r="A329" s="83">
        <v>1747516.0</v>
      </c>
      <c r="B329" s="164">
        <v>43553.0</v>
      </c>
      <c r="C329" s="165" t="s">
        <v>893</v>
      </c>
      <c r="D329" s="165" t="s">
        <v>746</v>
      </c>
      <c r="E329" s="165" t="s">
        <v>39</v>
      </c>
      <c r="F329" s="168" t="s">
        <v>54</v>
      </c>
      <c r="G329" s="166"/>
      <c r="H329" s="166" t="s">
        <v>47</v>
      </c>
      <c r="I329" s="166"/>
      <c r="J329" s="166" t="s">
        <v>47</v>
      </c>
    </row>
    <row r="330">
      <c r="A330" s="83">
        <v>1386194.0</v>
      </c>
      <c r="B330" s="164">
        <v>43553.0</v>
      </c>
      <c r="C330" s="165" t="s">
        <v>893</v>
      </c>
      <c r="D330" s="165" t="s">
        <v>3718</v>
      </c>
      <c r="E330" s="165" t="s">
        <v>45</v>
      </c>
      <c r="F330" s="166" t="s">
        <v>75</v>
      </c>
      <c r="G330" s="167">
        <v>551498.0</v>
      </c>
      <c r="H330" s="166" t="s">
        <v>3719</v>
      </c>
      <c r="I330" s="167">
        <v>459948.0</v>
      </c>
      <c r="J330" s="168" t="s">
        <v>3720</v>
      </c>
    </row>
    <row r="331">
      <c r="A331" s="83">
        <v>554318.0</v>
      </c>
      <c r="B331" s="164">
        <v>43553.0</v>
      </c>
      <c r="C331" s="165" t="s">
        <v>893</v>
      </c>
      <c r="D331" s="165" t="s">
        <v>3721</v>
      </c>
      <c r="E331" s="165" t="s">
        <v>39</v>
      </c>
      <c r="F331" s="166" t="s">
        <v>54</v>
      </c>
      <c r="G331" s="167">
        <v>258316.0</v>
      </c>
      <c r="H331" s="166" t="s">
        <v>1368</v>
      </c>
      <c r="I331" s="167">
        <v>382002.0</v>
      </c>
      <c r="J331" s="168" t="s">
        <v>3722</v>
      </c>
    </row>
    <row r="332">
      <c r="A332" s="83">
        <v>635616.0</v>
      </c>
      <c r="B332" s="164">
        <v>43553.0</v>
      </c>
      <c r="C332" s="165" t="s">
        <v>893</v>
      </c>
      <c r="D332" s="165" t="s">
        <v>3723</v>
      </c>
      <c r="E332" s="165" t="s">
        <v>45</v>
      </c>
      <c r="F332" s="166" t="s">
        <v>75</v>
      </c>
      <c r="G332" s="167">
        <v>10812.0</v>
      </c>
      <c r="H332" s="166" t="s">
        <v>47</v>
      </c>
      <c r="I332" s="166"/>
      <c r="J332" s="166" t="s">
        <v>47</v>
      </c>
    </row>
    <row r="333">
      <c r="A333" s="83">
        <v>1079370.0</v>
      </c>
      <c r="B333" s="164">
        <v>43553.0</v>
      </c>
      <c r="C333" s="165" t="s">
        <v>893</v>
      </c>
      <c r="D333" s="165" t="s">
        <v>3724</v>
      </c>
      <c r="E333" s="165" t="s">
        <v>39</v>
      </c>
      <c r="F333" s="168" t="s">
        <v>140</v>
      </c>
      <c r="G333" s="166"/>
      <c r="H333" s="166" t="s">
        <v>47</v>
      </c>
      <c r="I333" s="166"/>
      <c r="J333" s="166" t="s">
        <v>47</v>
      </c>
    </row>
    <row r="334">
      <c r="A334" s="83">
        <v>1042234.0</v>
      </c>
      <c r="B334" s="164">
        <v>43553.0</v>
      </c>
      <c r="C334" s="165" t="s">
        <v>893</v>
      </c>
      <c r="D334" s="165" t="s">
        <v>3725</v>
      </c>
      <c r="E334" s="165" t="s">
        <v>2958</v>
      </c>
      <c r="F334" s="166" t="s">
        <v>145</v>
      </c>
      <c r="G334" s="167">
        <v>1342360.0</v>
      </c>
      <c r="H334" s="168" t="s">
        <v>3726</v>
      </c>
      <c r="I334" s="166"/>
      <c r="J334" s="166" t="s">
        <v>47</v>
      </c>
    </row>
    <row r="335">
      <c r="A335" s="83">
        <v>1529558.0</v>
      </c>
      <c r="B335" s="164">
        <v>43550.0</v>
      </c>
      <c r="C335" s="165" t="s">
        <v>893</v>
      </c>
      <c r="D335" s="165" t="s">
        <v>3727</v>
      </c>
      <c r="E335" s="165" t="s">
        <v>45</v>
      </c>
      <c r="F335" s="166" t="s">
        <v>75</v>
      </c>
      <c r="G335" s="166"/>
      <c r="H335" s="166" t="s">
        <v>47</v>
      </c>
      <c r="I335" s="166"/>
      <c r="J335" s="166" t="s">
        <v>47</v>
      </c>
    </row>
    <row r="336">
      <c r="A336" s="83">
        <v>1034400.0</v>
      </c>
      <c r="B336" s="164">
        <v>43545.0</v>
      </c>
      <c r="C336" s="165" t="s">
        <v>893</v>
      </c>
      <c r="D336" s="165" t="s">
        <v>3728</v>
      </c>
      <c r="E336" s="165" t="s">
        <v>39</v>
      </c>
      <c r="F336" s="166" t="s">
        <v>50</v>
      </c>
      <c r="G336" s="167">
        <v>1087656.0</v>
      </c>
      <c r="H336" s="166" t="s">
        <v>3729</v>
      </c>
      <c r="I336" s="167">
        <v>694982.0</v>
      </c>
      <c r="J336" s="168" t="s">
        <v>3730</v>
      </c>
    </row>
    <row r="337">
      <c r="A337" s="83">
        <v>1036550.0</v>
      </c>
      <c r="B337" s="164">
        <v>43543.0</v>
      </c>
      <c r="C337" s="165" t="s">
        <v>893</v>
      </c>
      <c r="D337" s="165" t="s">
        <v>1634</v>
      </c>
      <c r="E337" s="165" t="s">
        <v>101</v>
      </c>
      <c r="F337" s="166" t="s">
        <v>754</v>
      </c>
      <c r="G337" s="167">
        <v>2231112.0</v>
      </c>
      <c r="H337" s="168" t="s">
        <v>1641</v>
      </c>
      <c r="I337" s="166"/>
      <c r="J337" s="166" t="s">
        <v>47</v>
      </c>
    </row>
    <row r="338">
      <c r="A338" s="83">
        <v>1635346.0</v>
      </c>
      <c r="B338" s="164">
        <v>43532.0</v>
      </c>
      <c r="C338" s="165" t="s">
        <v>893</v>
      </c>
      <c r="D338" s="165" t="s">
        <v>3731</v>
      </c>
      <c r="E338" s="165" t="s">
        <v>45</v>
      </c>
      <c r="F338" s="166" t="s">
        <v>75</v>
      </c>
      <c r="G338" s="167">
        <v>312662.0</v>
      </c>
      <c r="H338" s="166" t="s">
        <v>3732</v>
      </c>
      <c r="I338" s="167">
        <v>479440.0</v>
      </c>
      <c r="J338" s="168" t="s">
        <v>3733</v>
      </c>
    </row>
    <row r="339">
      <c r="A339" s="83">
        <v>1494160.0</v>
      </c>
      <c r="B339" s="164">
        <v>43528.0</v>
      </c>
      <c r="C339" s="165" t="s">
        <v>893</v>
      </c>
      <c r="D339" s="165" t="s">
        <v>3734</v>
      </c>
      <c r="E339" s="165" t="s">
        <v>79</v>
      </c>
      <c r="F339" s="166" t="s">
        <v>261</v>
      </c>
      <c r="G339" s="167">
        <v>1361790.0</v>
      </c>
      <c r="H339" s="166" t="s">
        <v>1065</v>
      </c>
      <c r="I339" s="167">
        <v>555696.0</v>
      </c>
      <c r="J339" s="168" t="s">
        <v>1066</v>
      </c>
    </row>
    <row r="340">
      <c r="A340" s="83">
        <v>762202.0</v>
      </c>
      <c r="B340" s="164">
        <v>43524.0</v>
      </c>
      <c r="C340" s="165" t="s">
        <v>893</v>
      </c>
      <c r="D340" s="165" t="s">
        <v>3735</v>
      </c>
      <c r="E340" s="165" t="s">
        <v>83</v>
      </c>
      <c r="F340" s="166" t="s">
        <v>876</v>
      </c>
      <c r="G340" s="167">
        <v>671544.0</v>
      </c>
      <c r="H340" s="166" t="s">
        <v>3736</v>
      </c>
      <c r="I340" s="167">
        <v>50735.0</v>
      </c>
      <c r="J340" s="168" t="s">
        <v>3737</v>
      </c>
    </row>
    <row r="341">
      <c r="A341" s="83">
        <v>672308.0</v>
      </c>
      <c r="B341" s="164">
        <v>43524.0</v>
      </c>
      <c r="C341" s="165" t="s">
        <v>893</v>
      </c>
      <c r="D341" s="165" t="s">
        <v>3738</v>
      </c>
      <c r="E341" s="165" t="s">
        <v>58</v>
      </c>
      <c r="F341" s="166" t="s">
        <v>59</v>
      </c>
      <c r="G341" s="167">
        <v>797156.0</v>
      </c>
      <c r="H341" s="166" t="s">
        <v>3739</v>
      </c>
      <c r="I341" s="167">
        <v>655608.0</v>
      </c>
      <c r="J341" s="168" t="s">
        <v>1498</v>
      </c>
    </row>
    <row r="342">
      <c r="A342" s="83">
        <v>671052.0</v>
      </c>
      <c r="B342" s="164">
        <v>43524.0</v>
      </c>
      <c r="C342" s="165" t="s">
        <v>893</v>
      </c>
      <c r="D342" s="165" t="s">
        <v>3740</v>
      </c>
      <c r="E342" s="165" t="s">
        <v>122</v>
      </c>
      <c r="F342" s="166" t="s">
        <v>123</v>
      </c>
      <c r="G342" s="167">
        <v>189116.0</v>
      </c>
      <c r="H342" s="166" t="s">
        <v>3741</v>
      </c>
      <c r="I342" s="167">
        <v>361272.0</v>
      </c>
      <c r="J342" s="168" t="s">
        <v>3742</v>
      </c>
    </row>
    <row r="343">
      <c r="A343" s="83">
        <v>30730.0</v>
      </c>
      <c r="B343" s="164">
        <v>43524.0</v>
      </c>
      <c r="C343" s="165" t="s">
        <v>893</v>
      </c>
      <c r="D343" s="165" t="s">
        <v>2876</v>
      </c>
      <c r="E343" s="165" t="s">
        <v>189</v>
      </c>
      <c r="F343" s="166" t="s">
        <v>222</v>
      </c>
      <c r="G343" s="167">
        <v>904324.0</v>
      </c>
      <c r="H343" s="166" t="s">
        <v>47</v>
      </c>
      <c r="I343" s="166"/>
      <c r="J343" s="166" t="s">
        <v>47</v>
      </c>
    </row>
    <row r="344">
      <c r="A344" s="83">
        <v>538132.0</v>
      </c>
      <c r="B344" s="164">
        <v>43524.0</v>
      </c>
      <c r="C344" s="165" t="s">
        <v>893</v>
      </c>
      <c r="D344" s="165" t="s">
        <v>3743</v>
      </c>
      <c r="E344" s="165" t="s">
        <v>39</v>
      </c>
      <c r="F344" s="166" t="s">
        <v>140</v>
      </c>
      <c r="G344" s="167">
        <v>1010586.0</v>
      </c>
      <c r="H344" s="166" t="s">
        <v>3633</v>
      </c>
      <c r="I344" s="167">
        <v>271228.0</v>
      </c>
      <c r="J344" s="168" t="s">
        <v>3744</v>
      </c>
    </row>
    <row r="345">
      <c r="A345" s="83">
        <v>1176282.0</v>
      </c>
      <c r="B345" s="164">
        <v>43524.0</v>
      </c>
      <c r="C345" s="165" t="s">
        <v>893</v>
      </c>
      <c r="D345" s="165" t="s">
        <v>3745</v>
      </c>
      <c r="E345" s="165" t="s">
        <v>79</v>
      </c>
      <c r="F345" s="168" t="s">
        <v>184</v>
      </c>
      <c r="G345" s="166"/>
      <c r="H345" s="166" t="s">
        <v>47</v>
      </c>
      <c r="I345" s="166"/>
      <c r="J345" s="166" t="s">
        <v>47</v>
      </c>
    </row>
    <row r="346">
      <c r="A346" s="83">
        <v>455804.0</v>
      </c>
      <c r="B346" s="164">
        <v>43524.0</v>
      </c>
      <c r="C346" s="165" t="s">
        <v>893</v>
      </c>
      <c r="D346" s="165" t="s">
        <v>3746</v>
      </c>
      <c r="E346" s="165" t="s">
        <v>2958</v>
      </c>
      <c r="F346" s="166" t="s">
        <v>467</v>
      </c>
      <c r="G346" s="166"/>
      <c r="H346" s="166" t="s">
        <v>47</v>
      </c>
      <c r="I346" s="166"/>
      <c r="J346" s="166" t="s">
        <v>47</v>
      </c>
    </row>
    <row r="347">
      <c r="A347" s="83">
        <v>946852.0</v>
      </c>
      <c r="B347" s="164">
        <v>43524.0</v>
      </c>
      <c r="C347" s="165" t="s">
        <v>893</v>
      </c>
      <c r="D347" s="165" t="s">
        <v>3747</v>
      </c>
      <c r="E347" s="165" t="s">
        <v>2958</v>
      </c>
      <c r="F347" s="166" t="s">
        <v>467</v>
      </c>
      <c r="G347" s="166"/>
      <c r="H347" s="166" t="s">
        <v>47</v>
      </c>
      <c r="I347" s="166"/>
      <c r="J347" s="166" t="s">
        <v>47</v>
      </c>
    </row>
    <row r="348">
      <c r="A348" s="83">
        <v>1209170.0</v>
      </c>
      <c r="B348" s="164">
        <v>43524.0</v>
      </c>
      <c r="C348" s="165" t="s">
        <v>893</v>
      </c>
      <c r="D348" s="165" t="s">
        <v>3748</v>
      </c>
      <c r="E348" s="165" t="s">
        <v>79</v>
      </c>
      <c r="F348" s="168" t="s">
        <v>184</v>
      </c>
      <c r="G348" s="166"/>
      <c r="H348" s="166" t="s">
        <v>47</v>
      </c>
      <c r="I348" s="166"/>
      <c r="J348" s="166" t="s">
        <v>47</v>
      </c>
    </row>
    <row r="349">
      <c r="A349" s="83">
        <v>1935186.0</v>
      </c>
      <c r="B349" s="164">
        <v>43508.0</v>
      </c>
      <c r="C349" s="165" t="s">
        <v>893</v>
      </c>
      <c r="D349" s="165" t="s">
        <v>3749</v>
      </c>
      <c r="E349" s="165" t="s">
        <v>39</v>
      </c>
      <c r="F349" s="168" t="s">
        <v>214</v>
      </c>
      <c r="G349" s="166"/>
      <c r="H349" s="166" t="s">
        <v>47</v>
      </c>
      <c r="I349" s="166"/>
      <c r="J349" s="166" t="s">
        <v>47</v>
      </c>
    </row>
    <row r="350">
      <c r="A350" s="83">
        <v>1247562.0</v>
      </c>
      <c r="B350" s="164">
        <v>43496.0</v>
      </c>
      <c r="C350" s="165" t="s">
        <v>893</v>
      </c>
      <c r="D350" s="165" t="s">
        <v>3750</v>
      </c>
      <c r="E350" s="165" t="s">
        <v>45</v>
      </c>
      <c r="F350" s="166" t="s">
        <v>75</v>
      </c>
      <c r="G350" s="167">
        <v>1596138.0</v>
      </c>
      <c r="H350" s="168" t="s">
        <v>733</v>
      </c>
      <c r="I350" s="166"/>
      <c r="J350" s="166" t="s">
        <v>47</v>
      </c>
    </row>
    <row r="351">
      <c r="A351" s="83">
        <v>437004.0</v>
      </c>
      <c r="B351" s="164">
        <v>43496.0</v>
      </c>
      <c r="C351" s="165" t="s">
        <v>893</v>
      </c>
      <c r="D351" s="165" t="s">
        <v>3751</v>
      </c>
      <c r="E351" s="165" t="s">
        <v>58</v>
      </c>
      <c r="F351" s="166" t="s">
        <v>944</v>
      </c>
      <c r="G351" s="167">
        <v>466736.0</v>
      </c>
      <c r="H351" s="166" t="s">
        <v>943</v>
      </c>
      <c r="I351" s="167">
        <v>1426094.0</v>
      </c>
      <c r="J351" s="168" t="s">
        <v>3752</v>
      </c>
    </row>
    <row r="352">
      <c r="A352" s="83">
        <v>538062.0</v>
      </c>
      <c r="B352" s="164">
        <v>43496.0</v>
      </c>
      <c r="C352" s="165" t="s">
        <v>893</v>
      </c>
      <c r="D352" s="165" t="s">
        <v>3753</v>
      </c>
      <c r="E352" s="165" t="s">
        <v>83</v>
      </c>
      <c r="F352" s="166" t="s">
        <v>94</v>
      </c>
      <c r="G352" s="167">
        <v>365176.0</v>
      </c>
      <c r="H352" s="168" t="s">
        <v>3754</v>
      </c>
      <c r="I352" s="166"/>
      <c r="J352" s="166" t="s">
        <v>47</v>
      </c>
    </row>
    <row r="353">
      <c r="A353" s="83">
        <v>1323362.0</v>
      </c>
      <c r="B353" s="164">
        <v>43496.0</v>
      </c>
      <c r="C353" s="165" t="s">
        <v>893</v>
      </c>
      <c r="D353" s="165" t="s">
        <v>3755</v>
      </c>
      <c r="E353" s="165" t="s">
        <v>39</v>
      </c>
      <c r="F353" s="166" t="s">
        <v>54</v>
      </c>
      <c r="G353" s="167">
        <v>1236992.0</v>
      </c>
      <c r="H353" s="168" t="s">
        <v>3756</v>
      </c>
      <c r="I353" s="166"/>
      <c r="J353" s="166" t="s">
        <v>47</v>
      </c>
    </row>
    <row r="354">
      <c r="A354" s="83">
        <v>342720.0</v>
      </c>
      <c r="B354" s="164">
        <v>43496.0</v>
      </c>
      <c r="C354" s="165" t="s">
        <v>893</v>
      </c>
      <c r="D354" s="165" t="s">
        <v>3757</v>
      </c>
      <c r="E354" s="165" t="s">
        <v>122</v>
      </c>
      <c r="F354" s="166" t="s">
        <v>271</v>
      </c>
      <c r="G354" s="167">
        <v>1802404.0</v>
      </c>
      <c r="H354" s="168" t="s">
        <v>2778</v>
      </c>
      <c r="I354" s="166"/>
      <c r="J354" s="166" t="s">
        <v>47</v>
      </c>
    </row>
    <row r="355">
      <c r="A355" s="83">
        <v>1606640.0</v>
      </c>
      <c r="B355" s="164">
        <v>43496.0</v>
      </c>
      <c r="C355" s="165" t="s">
        <v>893</v>
      </c>
      <c r="D355" s="165" t="s">
        <v>3758</v>
      </c>
      <c r="E355" s="165" t="s">
        <v>79</v>
      </c>
      <c r="F355" s="166" t="s">
        <v>261</v>
      </c>
      <c r="G355" s="167">
        <v>292612.0</v>
      </c>
      <c r="H355" s="168" t="s">
        <v>3759</v>
      </c>
      <c r="I355" s="166"/>
      <c r="J355" s="166" t="s">
        <v>47</v>
      </c>
    </row>
    <row r="356">
      <c r="A356" s="83">
        <v>1397654.0</v>
      </c>
      <c r="B356" s="164">
        <v>43496.0</v>
      </c>
      <c r="C356" s="165" t="s">
        <v>893</v>
      </c>
      <c r="D356" s="165" t="s">
        <v>3760</v>
      </c>
      <c r="E356" s="165" t="s">
        <v>39</v>
      </c>
      <c r="F356" s="168" t="s">
        <v>140</v>
      </c>
      <c r="G356" s="166"/>
      <c r="H356" s="166" t="s">
        <v>47</v>
      </c>
      <c r="I356" s="166"/>
      <c r="J356" s="166" t="s">
        <v>47</v>
      </c>
    </row>
    <row r="357">
      <c r="A357" s="83">
        <v>633444.0</v>
      </c>
      <c r="B357" s="164">
        <v>43496.0</v>
      </c>
      <c r="C357" s="165" t="s">
        <v>893</v>
      </c>
      <c r="D357" s="165" t="s">
        <v>3761</v>
      </c>
      <c r="E357" s="165" t="s">
        <v>2958</v>
      </c>
      <c r="F357" s="166" t="s">
        <v>145</v>
      </c>
      <c r="G357" s="167">
        <v>1342360.0</v>
      </c>
      <c r="H357" s="166" t="s">
        <v>3726</v>
      </c>
      <c r="I357" s="167">
        <v>832716.0</v>
      </c>
      <c r="J357" s="168" t="s">
        <v>1798</v>
      </c>
    </row>
    <row r="358">
      <c r="A358" s="83">
        <v>1231104.0</v>
      </c>
      <c r="B358" s="164">
        <v>43496.0</v>
      </c>
      <c r="C358" s="165" t="s">
        <v>893</v>
      </c>
      <c r="D358" s="165" t="s">
        <v>3762</v>
      </c>
      <c r="E358" s="165" t="s">
        <v>189</v>
      </c>
      <c r="F358" s="166" t="s">
        <v>190</v>
      </c>
      <c r="G358" s="167">
        <v>516446.0</v>
      </c>
      <c r="H358" s="166" t="s">
        <v>1488</v>
      </c>
      <c r="I358" s="167">
        <v>948866.0</v>
      </c>
      <c r="J358" s="168" t="s">
        <v>2906</v>
      </c>
    </row>
    <row r="359">
      <c r="A359" s="83">
        <v>1329304.0</v>
      </c>
      <c r="B359" s="164">
        <v>43496.0</v>
      </c>
      <c r="C359" s="165" t="s">
        <v>893</v>
      </c>
      <c r="D359" s="165" t="s">
        <v>3763</v>
      </c>
      <c r="E359" s="165" t="s">
        <v>96</v>
      </c>
      <c r="F359" s="166" t="s">
        <v>109</v>
      </c>
      <c r="G359" s="167">
        <v>1664822.0</v>
      </c>
      <c r="H359" s="168" t="s">
        <v>3764</v>
      </c>
      <c r="I359" s="166"/>
      <c r="J359" s="166" t="s">
        <v>47</v>
      </c>
    </row>
    <row r="360">
      <c r="A360" s="83">
        <v>937586.0</v>
      </c>
      <c r="B360" s="164">
        <v>43496.0</v>
      </c>
      <c r="C360" s="165" t="s">
        <v>893</v>
      </c>
      <c r="D360" s="165" t="s">
        <v>3765</v>
      </c>
      <c r="E360" s="165" t="s">
        <v>39</v>
      </c>
      <c r="F360" s="166" t="s">
        <v>140</v>
      </c>
      <c r="G360" s="167">
        <v>519442.0</v>
      </c>
      <c r="H360" s="168" t="s">
        <v>1102</v>
      </c>
      <c r="I360" s="166"/>
      <c r="J360" s="166" t="s">
        <v>47</v>
      </c>
    </row>
    <row r="361">
      <c r="A361" s="83">
        <v>178602.0</v>
      </c>
      <c r="B361" s="164">
        <v>43496.0</v>
      </c>
      <c r="C361" s="165" t="s">
        <v>893</v>
      </c>
      <c r="D361" s="165" t="s">
        <v>3766</v>
      </c>
      <c r="E361" s="165" t="s">
        <v>96</v>
      </c>
      <c r="F361" s="166" t="s">
        <v>109</v>
      </c>
      <c r="G361" s="167">
        <v>169662.0</v>
      </c>
      <c r="H361" s="168" t="s">
        <v>3767</v>
      </c>
      <c r="I361" s="166"/>
      <c r="J361" s="166" t="s">
        <v>47</v>
      </c>
    </row>
    <row r="362">
      <c r="A362" s="83">
        <v>1387970.0</v>
      </c>
      <c r="B362" s="164">
        <v>43496.0</v>
      </c>
      <c r="C362" s="165" t="s">
        <v>893</v>
      </c>
      <c r="D362" s="165" t="s">
        <v>3768</v>
      </c>
      <c r="E362" s="165" t="s">
        <v>189</v>
      </c>
      <c r="F362" s="166" t="s">
        <v>190</v>
      </c>
      <c r="G362" s="167">
        <v>636822.0</v>
      </c>
      <c r="H362" s="168" t="s">
        <v>3769</v>
      </c>
      <c r="I362" s="166"/>
      <c r="J362" s="166" t="s">
        <v>47</v>
      </c>
    </row>
    <row r="363">
      <c r="A363" s="83">
        <v>1564442.0</v>
      </c>
      <c r="B363" s="164">
        <v>43496.0</v>
      </c>
      <c r="C363" s="165" t="s">
        <v>893</v>
      </c>
      <c r="D363" s="165" t="s">
        <v>3770</v>
      </c>
      <c r="E363" s="165" t="s">
        <v>189</v>
      </c>
      <c r="F363" s="166" t="s">
        <v>300</v>
      </c>
      <c r="G363" s="167">
        <v>1209910.0</v>
      </c>
      <c r="H363" s="168" t="s">
        <v>2169</v>
      </c>
      <c r="I363" s="166"/>
      <c r="J363" s="166" t="s">
        <v>47</v>
      </c>
    </row>
    <row r="364">
      <c r="A364" s="83">
        <v>442474.0</v>
      </c>
      <c r="B364" s="164">
        <v>43496.0</v>
      </c>
      <c r="C364" s="165" t="s">
        <v>893</v>
      </c>
      <c r="D364" s="165" t="s">
        <v>3771</v>
      </c>
      <c r="E364" s="165" t="s">
        <v>189</v>
      </c>
      <c r="F364" s="166" t="s">
        <v>337</v>
      </c>
      <c r="G364" s="167">
        <v>775346.0</v>
      </c>
      <c r="H364" s="166" t="s">
        <v>3772</v>
      </c>
      <c r="I364" s="167">
        <v>505516.0</v>
      </c>
      <c r="J364" s="168" t="s">
        <v>3773</v>
      </c>
    </row>
    <row r="365">
      <c r="A365" s="83">
        <v>1091786.0</v>
      </c>
      <c r="B365" s="164">
        <v>43496.0</v>
      </c>
      <c r="C365" s="165" t="s">
        <v>893</v>
      </c>
      <c r="D365" s="165" t="s">
        <v>3774</v>
      </c>
      <c r="E365" s="165" t="s">
        <v>63</v>
      </c>
      <c r="F365" s="166" t="s">
        <v>64</v>
      </c>
      <c r="G365" s="166"/>
      <c r="H365" s="166" t="s">
        <v>47</v>
      </c>
      <c r="I365" s="166"/>
      <c r="J365" s="166" t="s">
        <v>47</v>
      </c>
    </row>
    <row r="366">
      <c r="A366" s="83">
        <v>386242.0</v>
      </c>
      <c r="B366" s="164">
        <v>43496.0</v>
      </c>
      <c r="C366" s="165" t="s">
        <v>893</v>
      </c>
      <c r="D366" s="165" t="s">
        <v>3775</v>
      </c>
      <c r="E366" s="165" t="s">
        <v>39</v>
      </c>
      <c r="F366" s="166" t="s">
        <v>40</v>
      </c>
      <c r="G366" s="167">
        <v>246392.0</v>
      </c>
      <c r="H366" s="168" t="s">
        <v>3776</v>
      </c>
      <c r="I366" s="166"/>
      <c r="J366" s="166" t="s">
        <v>47</v>
      </c>
    </row>
    <row r="367">
      <c r="A367" s="83">
        <v>540306.0</v>
      </c>
      <c r="B367" s="164">
        <v>43496.0</v>
      </c>
      <c r="C367" s="165" t="s">
        <v>893</v>
      </c>
      <c r="D367" s="165" t="s">
        <v>3777</v>
      </c>
      <c r="E367" s="165" t="s">
        <v>122</v>
      </c>
      <c r="F367" s="166" t="s">
        <v>127</v>
      </c>
      <c r="G367" s="167">
        <v>972044.0</v>
      </c>
      <c r="H367" s="168" t="s">
        <v>3778</v>
      </c>
      <c r="I367" s="166"/>
      <c r="J367" s="166" t="s">
        <v>47</v>
      </c>
    </row>
    <row r="368">
      <c r="A368" s="83">
        <v>714446.0</v>
      </c>
      <c r="B368" s="164">
        <v>43496.0</v>
      </c>
      <c r="C368" s="165" t="s">
        <v>893</v>
      </c>
      <c r="D368" s="165" t="s">
        <v>3779</v>
      </c>
      <c r="E368" s="165" t="s">
        <v>45</v>
      </c>
      <c r="F368" s="166" t="s">
        <v>324</v>
      </c>
      <c r="G368" s="167">
        <v>802578.0</v>
      </c>
      <c r="H368" s="168" t="s">
        <v>3780</v>
      </c>
      <c r="I368" s="166"/>
      <c r="J368" s="166" t="s">
        <v>47</v>
      </c>
    </row>
    <row r="369">
      <c r="A369" s="83">
        <v>946414.0</v>
      </c>
      <c r="B369" s="164">
        <v>43496.0</v>
      </c>
      <c r="C369" s="165" t="s">
        <v>893</v>
      </c>
      <c r="D369" s="165" t="s">
        <v>3781</v>
      </c>
      <c r="E369" s="165" t="s">
        <v>122</v>
      </c>
      <c r="F369" s="166" t="s">
        <v>123</v>
      </c>
      <c r="G369" s="167">
        <v>192004.0</v>
      </c>
      <c r="H369" s="166" t="s">
        <v>47</v>
      </c>
      <c r="I369" s="167">
        <v>1415562.0</v>
      </c>
      <c r="J369" s="168" t="s">
        <v>3782</v>
      </c>
    </row>
    <row r="370">
      <c r="A370" s="83">
        <v>292290.0</v>
      </c>
      <c r="B370" s="164">
        <v>43496.0</v>
      </c>
      <c r="C370" s="165" t="s">
        <v>893</v>
      </c>
      <c r="D370" s="165" t="s">
        <v>3783</v>
      </c>
      <c r="E370" s="165" t="s">
        <v>2958</v>
      </c>
      <c r="F370" s="166" t="s">
        <v>145</v>
      </c>
      <c r="G370" s="167">
        <v>591930.0</v>
      </c>
      <c r="H370" s="166" t="s">
        <v>60</v>
      </c>
      <c r="I370" s="167">
        <v>1330590.0</v>
      </c>
      <c r="J370" s="168" t="s">
        <v>3784</v>
      </c>
    </row>
    <row r="371">
      <c r="A371" s="83">
        <v>1101226.0</v>
      </c>
      <c r="B371" s="164">
        <v>43496.0</v>
      </c>
      <c r="C371" s="165" t="s">
        <v>893</v>
      </c>
      <c r="D371" s="165" t="s">
        <v>3785</v>
      </c>
      <c r="E371" s="165" t="s">
        <v>83</v>
      </c>
      <c r="F371" s="166" t="s">
        <v>806</v>
      </c>
      <c r="G371" s="167">
        <v>1427000.0</v>
      </c>
      <c r="H371" s="166" t="s">
        <v>47</v>
      </c>
      <c r="I371" s="167">
        <v>1185006.0</v>
      </c>
      <c r="J371" s="168" t="s">
        <v>3786</v>
      </c>
    </row>
    <row r="372">
      <c r="A372" s="83">
        <v>242574.0</v>
      </c>
      <c r="B372" s="164">
        <v>43496.0</v>
      </c>
      <c r="C372" s="165" t="s">
        <v>893</v>
      </c>
      <c r="D372" s="165" t="s">
        <v>3787</v>
      </c>
      <c r="E372" s="165" t="s">
        <v>39</v>
      </c>
      <c r="F372" s="166" t="s">
        <v>140</v>
      </c>
      <c r="G372" s="167">
        <v>473548.0</v>
      </c>
      <c r="H372" s="168" t="s">
        <v>3788</v>
      </c>
      <c r="I372" s="166"/>
      <c r="J372" s="166" t="s">
        <v>47</v>
      </c>
    </row>
    <row r="373">
      <c r="A373" s="83">
        <v>391342.0</v>
      </c>
      <c r="B373" s="164">
        <v>43496.0</v>
      </c>
      <c r="C373" s="165" t="s">
        <v>893</v>
      </c>
      <c r="D373" s="165" t="s">
        <v>3789</v>
      </c>
      <c r="E373" s="165" t="s">
        <v>2958</v>
      </c>
      <c r="F373" s="166" t="s">
        <v>339</v>
      </c>
      <c r="G373" s="167">
        <v>379374.0</v>
      </c>
      <c r="H373" s="166" t="s">
        <v>1680</v>
      </c>
      <c r="I373" s="167">
        <v>455794.0</v>
      </c>
      <c r="J373" s="168" t="s">
        <v>3790</v>
      </c>
    </row>
    <row r="374">
      <c r="A374" s="83">
        <v>1033944.0</v>
      </c>
      <c r="B374" s="164">
        <v>43496.0</v>
      </c>
      <c r="C374" s="165" t="s">
        <v>893</v>
      </c>
      <c r="D374" s="165" t="s">
        <v>3791</v>
      </c>
      <c r="E374" s="165" t="s">
        <v>101</v>
      </c>
      <c r="F374" s="166" t="s">
        <v>203</v>
      </c>
      <c r="G374" s="167">
        <v>964656.0</v>
      </c>
      <c r="H374" s="166" t="s">
        <v>1633</v>
      </c>
      <c r="I374" s="167">
        <v>1036550.0</v>
      </c>
      <c r="J374" s="166" t="s">
        <v>47</v>
      </c>
    </row>
    <row r="375">
      <c r="A375" s="83">
        <v>762504.0</v>
      </c>
      <c r="B375" s="164">
        <v>43496.0</v>
      </c>
      <c r="C375" s="165" t="s">
        <v>893</v>
      </c>
      <c r="D375" s="165" t="s">
        <v>3792</v>
      </c>
      <c r="E375" s="165" t="s">
        <v>45</v>
      </c>
      <c r="F375" s="166" t="s">
        <v>324</v>
      </c>
      <c r="G375" s="167">
        <v>551498.0</v>
      </c>
      <c r="H375" s="166" t="s">
        <v>3719</v>
      </c>
      <c r="I375" s="167">
        <v>459948.0</v>
      </c>
      <c r="J375" s="168" t="s">
        <v>3720</v>
      </c>
    </row>
    <row r="376">
      <c r="A376" s="83">
        <v>330900.0</v>
      </c>
      <c r="B376" s="164">
        <v>43496.0</v>
      </c>
      <c r="C376" s="165" t="s">
        <v>893</v>
      </c>
      <c r="D376" s="165" t="s">
        <v>3793</v>
      </c>
      <c r="E376" s="165" t="s">
        <v>39</v>
      </c>
      <c r="F376" s="168" t="s">
        <v>140</v>
      </c>
      <c r="G376" s="166"/>
      <c r="H376" s="166" t="s">
        <v>47</v>
      </c>
      <c r="I376" s="166"/>
      <c r="J376" s="166" t="s">
        <v>47</v>
      </c>
    </row>
    <row r="377">
      <c r="A377" s="83">
        <v>144154.0</v>
      </c>
      <c r="B377" s="164">
        <v>43496.0</v>
      </c>
      <c r="C377" s="165" t="s">
        <v>893</v>
      </c>
      <c r="D377" s="165" t="s">
        <v>3794</v>
      </c>
      <c r="E377" s="165" t="s">
        <v>122</v>
      </c>
      <c r="F377" s="166" t="s">
        <v>127</v>
      </c>
      <c r="G377" s="167">
        <v>1219332.0</v>
      </c>
      <c r="H377" s="166" t="s">
        <v>3795</v>
      </c>
      <c r="I377" s="167">
        <v>671576.0</v>
      </c>
      <c r="J377" s="168" t="s">
        <v>1418</v>
      </c>
    </row>
    <row r="378">
      <c r="A378" s="83">
        <v>559542.0</v>
      </c>
      <c r="B378" s="164">
        <v>43496.0</v>
      </c>
      <c r="C378" s="165" t="s">
        <v>893</v>
      </c>
      <c r="D378" s="165" t="s">
        <v>3796</v>
      </c>
      <c r="E378" s="165" t="s">
        <v>39</v>
      </c>
      <c r="F378" s="166" t="s">
        <v>297</v>
      </c>
      <c r="G378" s="167">
        <v>551498.0</v>
      </c>
      <c r="H378" s="166" t="s">
        <v>3719</v>
      </c>
      <c r="I378" s="167">
        <v>1036342.0</v>
      </c>
      <c r="J378" s="168" t="s">
        <v>3797</v>
      </c>
    </row>
    <row r="379">
      <c r="A379" s="83">
        <v>711482.0</v>
      </c>
      <c r="B379" s="164">
        <v>43496.0</v>
      </c>
      <c r="C379" s="165" t="s">
        <v>893</v>
      </c>
      <c r="D379" s="165" t="s">
        <v>3798</v>
      </c>
      <c r="E379" s="165" t="s">
        <v>39</v>
      </c>
      <c r="F379" s="166" t="s">
        <v>40</v>
      </c>
      <c r="G379" s="167">
        <v>526104.0</v>
      </c>
      <c r="H379" s="166" t="s">
        <v>3799</v>
      </c>
      <c r="I379" s="167">
        <v>1343662.0</v>
      </c>
      <c r="J379" s="168" t="s">
        <v>2950</v>
      </c>
    </row>
    <row r="380">
      <c r="A380" s="83">
        <v>730414.0</v>
      </c>
      <c r="B380" s="164">
        <v>43496.0</v>
      </c>
      <c r="C380" s="165" t="s">
        <v>893</v>
      </c>
      <c r="D380" s="165" t="s">
        <v>3800</v>
      </c>
      <c r="E380" s="165" t="s">
        <v>96</v>
      </c>
      <c r="F380" s="168" t="s">
        <v>131</v>
      </c>
      <c r="G380" s="166"/>
      <c r="H380" s="166" t="s">
        <v>47</v>
      </c>
      <c r="I380" s="166"/>
      <c r="J380" s="166" t="s">
        <v>47</v>
      </c>
    </row>
    <row r="381">
      <c r="A381" s="83">
        <v>1536540.0</v>
      </c>
      <c r="B381" s="164">
        <v>43496.0</v>
      </c>
      <c r="C381" s="165" t="s">
        <v>893</v>
      </c>
      <c r="D381" s="165" t="s">
        <v>3801</v>
      </c>
      <c r="E381" s="165" t="s">
        <v>63</v>
      </c>
      <c r="F381" s="166" t="s">
        <v>64</v>
      </c>
      <c r="G381" s="167">
        <v>943442.0</v>
      </c>
      <c r="H381" s="168" t="s">
        <v>1212</v>
      </c>
      <c r="I381" s="166"/>
      <c r="J381" s="166" t="s">
        <v>47</v>
      </c>
    </row>
    <row r="382">
      <c r="A382" s="83">
        <v>421536.0</v>
      </c>
      <c r="B382" s="164">
        <v>43496.0</v>
      </c>
      <c r="C382" s="165" t="s">
        <v>893</v>
      </c>
      <c r="D382" s="165" t="s">
        <v>3802</v>
      </c>
      <c r="E382" s="165" t="s">
        <v>58</v>
      </c>
      <c r="F382" s="166" t="s">
        <v>59</v>
      </c>
      <c r="G382" s="167">
        <v>405576.0</v>
      </c>
      <c r="H382" s="168" t="s">
        <v>3803</v>
      </c>
      <c r="I382" s="166"/>
      <c r="J382" s="166" t="s">
        <v>47</v>
      </c>
    </row>
    <row r="383">
      <c r="A383" s="83">
        <v>775920.0</v>
      </c>
      <c r="B383" s="164">
        <v>43496.0</v>
      </c>
      <c r="C383" s="165" t="s">
        <v>893</v>
      </c>
      <c r="D383" s="165" t="s">
        <v>3804</v>
      </c>
      <c r="E383" s="165" t="s">
        <v>39</v>
      </c>
      <c r="F383" s="168" t="s">
        <v>40</v>
      </c>
      <c r="G383" s="166"/>
      <c r="H383" s="166" t="s">
        <v>47</v>
      </c>
      <c r="I383" s="166"/>
      <c r="J383" s="166" t="s">
        <v>47</v>
      </c>
    </row>
    <row r="384">
      <c r="A384" s="83">
        <v>1251582.0</v>
      </c>
      <c r="B384" s="164">
        <v>43496.0</v>
      </c>
      <c r="C384" s="165" t="s">
        <v>893</v>
      </c>
      <c r="D384" s="165" t="s">
        <v>3805</v>
      </c>
      <c r="E384" s="165" t="s">
        <v>96</v>
      </c>
      <c r="F384" s="166" t="s">
        <v>263</v>
      </c>
      <c r="G384" s="166"/>
      <c r="H384" s="166" t="s">
        <v>47</v>
      </c>
      <c r="I384" s="166"/>
      <c r="J384" s="166" t="s">
        <v>47</v>
      </c>
    </row>
    <row r="385">
      <c r="A385" s="83">
        <v>665144.0</v>
      </c>
      <c r="B385" s="164">
        <v>43496.0</v>
      </c>
      <c r="C385" s="165" t="s">
        <v>893</v>
      </c>
      <c r="D385" s="165" t="s">
        <v>3806</v>
      </c>
      <c r="E385" s="165" t="s">
        <v>39</v>
      </c>
      <c r="F385" s="166" t="s">
        <v>297</v>
      </c>
      <c r="G385" s="167">
        <v>551498.0</v>
      </c>
      <c r="H385" s="168" t="s">
        <v>3719</v>
      </c>
      <c r="I385" s="166"/>
      <c r="J385" s="166" t="s">
        <v>47</v>
      </c>
    </row>
    <row r="386">
      <c r="A386" s="83">
        <v>653868.0</v>
      </c>
      <c r="B386" s="164">
        <v>43496.0</v>
      </c>
      <c r="C386" s="165" t="s">
        <v>893</v>
      </c>
      <c r="D386" s="165" t="s">
        <v>3807</v>
      </c>
      <c r="E386" s="165" t="s">
        <v>45</v>
      </c>
      <c r="F386" s="166" t="s">
        <v>172</v>
      </c>
      <c r="G386" s="167">
        <v>551498.0</v>
      </c>
      <c r="H386" s="168" t="s">
        <v>3719</v>
      </c>
      <c r="I386" s="166"/>
      <c r="J386" s="166" t="s">
        <v>47</v>
      </c>
    </row>
    <row r="387">
      <c r="A387" s="83">
        <v>375054.0</v>
      </c>
      <c r="B387" s="164">
        <v>43496.0</v>
      </c>
      <c r="C387" s="165" t="s">
        <v>893</v>
      </c>
      <c r="D387" s="165" t="s">
        <v>3808</v>
      </c>
      <c r="E387" s="165" t="s">
        <v>39</v>
      </c>
      <c r="F387" s="168" t="s">
        <v>50</v>
      </c>
      <c r="G387" s="166"/>
      <c r="H387" s="166" t="s">
        <v>47</v>
      </c>
      <c r="I387" s="166"/>
      <c r="J387" s="166" t="s">
        <v>47</v>
      </c>
    </row>
    <row r="388">
      <c r="A388" s="83">
        <v>513716.0</v>
      </c>
      <c r="B388" s="164">
        <v>43496.0</v>
      </c>
      <c r="C388" s="165" t="s">
        <v>893</v>
      </c>
      <c r="D388" s="165" t="s">
        <v>3809</v>
      </c>
      <c r="E388" s="165" t="s">
        <v>45</v>
      </c>
      <c r="F388" s="166" t="s">
        <v>172</v>
      </c>
      <c r="G388" s="167">
        <v>477944.0</v>
      </c>
      <c r="H388" s="166" t="s">
        <v>47</v>
      </c>
      <c r="I388" s="166"/>
      <c r="J388" s="166" t="s">
        <v>47</v>
      </c>
    </row>
    <row r="389">
      <c r="A389" s="83">
        <v>340764.0</v>
      </c>
      <c r="B389" s="164">
        <v>43496.0</v>
      </c>
      <c r="C389" s="165" t="s">
        <v>893</v>
      </c>
      <c r="D389" s="165" t="s">
        <v>3810</v>
      </c>
      <c r="E389" s="165" t="s">
        <v>2958</v>
      </c>
      <c r="F389" s="168" t="s">
        <v>339</v>
      </c>
      <c r="G389" s="166"/>
      <c r="H389" s="166" t="s">
        <v>47</v>
      </c>
      <c r="I389" s="166"/>
      <c r="J389" s="166" t="s">
        <v>47</v>
      </c>
    </row>
    <row r="390">
      <c r="A390" s="83">
        <v>1298076.0</v>
      </c>
      <c r="B390" s="164">
        <v>43496.0</v>
      </c>
      <c r="C390" s="165" t="s">
        <v>893</v>
      </c>
      <c r="D390" s="165" t="s">
        <v>3811</v>
      </c>
      <c r="E390" s="165" t="s">
        <v>2958</v>
      </c>
      <c r="F390" s="166" t="s">
        <v>339</v>
      </c>
      <c r="G390" s="167">
        <v>788980.0</v>
      </c>
      <c r="H390" s="166" t="s">
        <v>3812</v>
      </c>
      <c r="I390" s="167">
        <v>1423870.0</v>
      </c>
      <c r="J390" s="168" t="s">
        <v>3813</v>
      </c>
    </row>
    <row r="391">
      <c r="A391" s="83">
        <v>1542070.0</v>
      </c>
      <c r="B391" s="164">
        <v>43496.0</v>
      </c>
      <c r="C391" s="165" t="s">
        <v>893</v>
      </c>
      <c r="D391" s="165" t="s">
        <v>3814</v>
      </c>
      <c r="E391" s="165" t="s">
        <v>45</v>
      </c>
      <c r="F391" s="166" t="s">
        <v>90</v>
      </c>
      <c r="G391" s="167">
        <v>614772.0</v>
      </c>
      <c r="H391" s="166" t="s">
        <v>1436</v>
      </c>
      <c r="I391" s="167">
        <v>875974.0</v>
      </c>
      <c r="J391" s="168" t="s">
        <v>3815</v>
      </c>
    </row>
    <row r="392">
      <c r="A392" s="83">
        <v>1264798.0</v>
      </c>
      <c r="B392" s="164">
        <v>43496.0</v>
      </c>
      <c r="C392" s="165" t="s">
        <v>893</v>
      </c>
      <c r="D392" s="165" t="s">
        <v>3816</v>
      </c>
      <c r="E392" s="165" t="s">
        <v>2958</v>
      </c>
      <c r="F392" s="166" t="s">
        <v>467</v>
      </c>
      <c r="G392" s="167">
        <v>909996.0</v>
      </c>
      <c r="H392" s="166" t="s">
        <v>3098</v>
      </c>
      <c r="I392" s="167">
        <v>1210442.0</v>
      </c>
      <c r="J392" s="168" t="s">
        <v>3118</v>
      </c>
    </row>
    <row r="393">
      <c r="A393" s="83">
        <v>1255370.0</v>
      </c>
      <c r="B393" s="164">
        <v>43496.0</v>
      </c>
      <c r="C393" s="165" t="s">
        <v>893</v>
      </c>
      <c r="D393" s="165" t="s">
        <v>3817</v>
      </c>
      <c r="E393" s="165" t="s">
        <v>96</v>
      </c>
      <c r="F393" s="166" t="s">
        <v>263</v>
      </c>
      <c r="G393" s="167">
        <v>648826.0</v>
      </c>
      <c r="H393" s="168" t="s">
        <v>1842</v>
      </c>
      <c r="I393" s="166"/>
      <c r="J393" s="166" t="s">
        <v>47</v>
      </c>
    </row>
    <row r="394">
      <c r="A394" s="83">
        <v>950640.0</v>
      </c>
      <c r="B394" s="164">
        <v>43496.0</v>
      </c>
      <c r="C394" s="165" t="s">
        <v>893</v>
      </c>
      <c r="D394" s="165" t="s">
        <v>3818</v>
      </c>
      <c r="E394" s="165" t="s">
        <v>2958</v>
      </c>
      <c r="F394" s="166" t="s">
        <v>467</v>
      </c>
      <c r="G394" s="166"/>
      <c r="H394" s="166" t="s">
        <v>47</v>
      </c>
      <c r="I394" s="166"/>
      <c r="J394" s="166" t="s">
        <v>47</v>
      </c>
    </row>
    <row r="395">
      <c r="A395" s="83">
        <v>935288.0</v>
      </c>
      <c r="B395" s="164">
        <v>43496.0</v>
      </c>
      <c r="C395" s="165" t="s">
        <v>893</v>
      </c>
      <c r="D395" s="165" t="s">
        <v>1686</v>
      </c>
      <c r="E395" s="165" t="s">
        <v>58</v>
      </c>
      <c r="F395" s="166" t="s">
        <v>59</v>
      </c>
      <c r="G395" s="167">
        <v>655608.0</v>
      </c>
      <c r="H395" s="166" t="s">
        <v>1498</v>
      </c>
      <c r="I395" s="167">
        <v>1434492.0</v>
      </c>
      <c r="J395" s="168" t="s">
        <v>1083</v>
      </c>
    </row>
    <row r="396">
      <c r="A396" s="83">
        <v>1055444.0</v>
      </c>
      <c r="B396" s="164">
        <v>43496.0</v>
      </c>
      <c r="C396" s="165" t="s">
        <v>893</v>
      </c>
      <c r="D396" s="165" t="s">
        <v>3819</v>
      </c>
      <c r="E396" s="165" t="s">
        <v>2958</v>
      </c>
      <c r="F396" s="168" t="s">
        <v>339</v>
      </c>
      <c r="G396" s="166"/>
      <c r="H396" s="166" t="s">
        <v>47</v>
      </c>
      <c r="I396" s="166"/>
      <c r="J396" s="166" t="s">
        <v>47</v>
      </c>
    </row>
    <row r="397">
      <c r="A397" s="83">
        <v>1305121.0</v>
      </c>
      <c r="B397" s="164">
        <v>43496.0</v>
      </c>
      <c r="C397" s="165" t="s">
        <v>893</v>
      </c>
      <c r="D397" s="165" t="s">
        <v>3820</v>
      </c>
      <c r="E397" s="165" t="s">
        <v>2958</v>
      </c>
      <c r="F397" s="168" t="s">
        <v>339</v>
      </c>
      <c r="G397" s="166"/>
      <c r="H397" s="166" t="s">
        <v>47</v>
      </c>
      <c r="I397" s="166"/>
      <c r="J397" s="166" t="s">
        <v>47</v>
      </c>
    </row>
    <row r="398">
      <c r="A398" s="83">
        <v>646042.0</v>
      </c>
      <c r="B398" s="164">
        <v>43496.0</v>
      </c>
      <c r="C398" s="165" t="s">
        <v>893</v>
      </c>
      <c r="D398" s="165" t="s">
        <v>3821</v>
      </c>
      <c r="E398" s="165" t="s">
        <v>45</v>
      </c>
      <c r="F398" s="166" t="s">
        <v>172</v>
      </c>
      <c r="G398" s="167">
        <v>972974.0</v>
      </c>
      <c r="H398" s="166" t="s">
        <v>3822</v>
      </c>
      <c r="I398" s="167">
        <v>1522272.0</v>
      </c>
      <c r="J398" s="168" t="s">
        <v>3823</v>
      </c>
    </row>
    <row r="399">
      <c r="A399" s="83">
        <v>1267382.0</v>
      </c>
      <c r="B399" s="164">
        <v>43496.0</v>
      </c>
      <c r="C399" s="165" t="s">
        <v>893</v>
      </c>
      <c r="D399" s="165" t="s">
        <v>3824</v>
      </c>
      <c r="E399" s="165" t="s">
        <v>2958</v>
      </c>
      <c r="F399" s="168" t="s">
        <v>339</v>
      </c>
      <c r="G399" s="166"/>
      <c r="H399" s="166" t="s">
        <v>47</v>
      </c>
      <c r="I399" s="166"/>
      <c r="J399" s="166" t="s">
        <v>47</v>
      </c>
    </row>
    <row r="400">
      <c r="A400" s="83">
        <v>558676.0</v>
      </c>
      <c r="B400" s="164">
        <v>43496.0</v>
      </c>
      <c r="C400" s="165" t="s">
        <v>893</v>
      </c>
      <c r="D400" s="165" t="s">
        <v>3825</v>
      </c>
      <c r="E400" s="165" t="s">
        <v>189</v>
      </c>
      <c r="F400" s="166" t="s">
        <v>190</v>
      </c>
      <c r="G400" s="167">
        <v>948866.0</v>
      </c>
      <c r="H400" s="168" t="s">
        <v>2906</v>
      </c>
      <c r="I400" s="166"/>
      <c r="J400" s="166" t="s">
        <v>47</v>
      </c>
    </row>
    <row r="401">
      <c r="A401" s="83">
        <v>680144.0</v>
      </c>
      <c r="B401" s="164">
        <v>43496.0</v>
      </c>
      <c r="C401" s="165" t="s">
        <v>893</v>
      </c>
      <c r="D401" s="165" t="s">
        <v>3826</v>
      </c>
      <c r="E401" s="165" t="s">
        <v>219</v>
      </c>
      <c r="F401" s="166" t="s">
        <v>220</v>
      </c>
      <c r="G401" s="167">
        <v>1037646.0</v>
      </c>
      <c r="H401" s="168" t="s">
        <v>1082</v>
      </c>
      <c r="I401" s="166"/>
      <c r="J401" s="166" t="s">
        <v>47</v>
      </c>
    </row>
    <row r="402">
      <c r="A402" s="83">
        <v>293176.0</v>
      </c>
      <c r="B402" s="164">
        <v>43496.0</v>
      </c>
      <c r="C402" s="165" t="s">
        <v>893</v>
      </c>
      <c r="D402" s="165" t="s">
        <v>3827</v>
      </c>
      <c r="E402" s="165" t="s">
        <v>105</v>
      </c>
      <c r="F402" s="166" t="s">
        <v>212</v>
      </c>
      <c r="G402" s="167">
        <v>292966.0</v>
      </c>
      <c r="H402" s="166" t="s">
        <v>47</v>
      </c>
      <c r="I402" s="166"/>
      <c r="J402" s="166" t="s">
        <v>47</v>
      </c>
    </row>
    <row r="403">
      <c r="A403" s="83">
        <v>1090384.0</v>
      </c>
      <c r="B403" s="164">
        <v>43496.0</v>
      </c>
      <c r="C403" s="165" t="s">
        <v>893</v>
      </c>
      <c r="D403" s="165" t="s">
        <v>3828</v>
      </c>
      <c r="E403" s="165" t="s">
        <v>79</v>
      </c>
      <c r="F403" s="166" t="s">
        <v>998</v>
      </c>
      <c r="G403" s="167">
        <v>946742.0</v>
      </c>
      <c r="H403" s="166" t="s">
        <v>2729</v>
      </c>
      <c r="I403" s="167">
        <v>848496.0</v>
      </c>
      <c r="J403" s="168" t="s">
        <v>3829</v>
      </c>
    </row>
    <row r="404">
      <c r="A404" s="83">
        <v>1128050.0</v>
      </c>
      <c r="B404" s="164">
        <v>43496.0</v>
      </c>
      <c r="C404" s="165" t="s">
        <v>893</v>
      </c>
      <c r="D404" s="165" t="s">
        <v>3830</v>
      </c>
      <c r="E404" s="165" t="s">
        <v>39</v>
      </c>
      <c r="F404" s="168" t="s">
        <v>214</v>
      </c>
      <c r="G404" s="166"/>
      <c r="H404" s="166" t="s">
        <v>47</v>
      </c>
      <c r="I404" s="166"/>
      <c r="J404" s="166" t="s">
        <v>47</v>
      </c>
    </row>
    <row r="405">
      <c r="A405" s="83">
        <v>1304152.0</v>
      </c>
      <c r="B405" s="164">
        <v>43496.0</v>
      </c>
      <c r="C405" s="165" t="s">
        <v>893</v>
      </c>
      <c r="D405" s="165" t="s">
        <v>3831</v>
      </c>
      <c r="E405" s="165" t="s">
        <v>2958</v>
      </c>
      <c r="F405" s="166" t="s">
        <v>339</v>
      </c>
      <c r="G405" s="167">
        <v>1476730.0</v>
      </c>
      <c r="H405" s="166" t="s">
        <v>3627</v>
      </c>
      <c r="I405" s="167">
        <v>1597956.0</v>
      </c>
      <c r="J405" s="168" t="s">
        <v>3832</v>
      </c>
    </row>
    <row r="406">
      <c r="A406" s="83">
        <v>440602.0</v>
      </c>
      <c r="B406" s="164">
        <v>43496.0</v>
      </c>
      <c r="C406" s="165" t="s">
        <v>893</v>
      </c>
      <c r="D406" s="165" t="s">
        <v>3833</v>
      </c>
      <c r="E406" s="165" t="s">
        <v>122</v>
      </c>
      <c r="F406" s="166" t="s">
        <v>127</v>
      </c>
      <c r="G406" s="166"/>
      <c r="H406" s="166" t="s">
        <v>47</v>
      </c>
      <c r="I406" s="166"/>
      <c r="J406" s="166" t="s">
        <v>47</v>
      </c>
    </row>
    <row r="407">
      <c r="A407" s="83">
        <v>582772.0</v>
      </c>
      <c r="B407" s="164">
        <v>43496.0</v>
      </c>
      <c r="C407" s="165" t="s">
        <v>893</v>
      </c>
      <c r="D407" s="165" t="s">
        <v>3834</v>
      </c>
      <c r="E407" s="165" t="s">
        <v>122</v>
      </c>
      <c r="F407" s="166" t="s">
        <v>123</v>
      </c>
      <c r="G407" s="167">
        <v>1476730.0</v>
      </c>
      <c r="H407" s="166" t="s">
        <v>3627</v>
      </c>
      <c r="I407" s="167">
        <v>1476730.0</v>
      </c>
      <c r="J407" s="168" t="s">
        <v>3627</v>
      </c>
    </row>
    <row r="408">
      <c r="A408" s="83">
        <v>1169898.0</v>
      </c>
      <c r="B408" s="164">
        <v>43496.0</v>
      </c>
      <c r="C408" s="165" t="s">
        <v>893</v>
      </c>
      <c r="D408" s="165" t="s">
        <v>3835</v>
      </c>
      <c r="E408" s="165" t="s">
        <v>101</v>
      </c>
      <c r="F408" s="166" t="s">
        <v>203</v>
      </c>
      <c r="G408" s="167">
        <v>1076804.0</v>
      </c>
      <c r="H408" s="166" t="s">
        <v>2510</v>
      </c>
      <c r="I408" s="167">
        <v>1169898.0</v>
      </c>
      <c r="J408" s="166" t="s">
        <v>47</v>
      </c>
    </row>
    <row r="409">
      <c r="A409" s="83">
        <v>773212.0</v>
      </c>
      <c r="B409" s="164">
        <v>43496.0</v>
      </c>
      <c r="C409" s="165" t="s">
        <v>893</v>
      </c>
      <c r="D409" s="165" t="s">
        <v>3836</v>
      </c>
      <c r="E409" s="165" t="s">
        <v>189</v>
      </c>
      <c r="F409" s="166" t="s">
        <v>300</v>
      </c>
      <c r="G409" s="167">
        <v>969148.0</v>
      </c>
      <c r="H409" s="168" t="s">
        <v>1514</v>
      </c>
      <c r="I409" s="166"/>
      <c r="J409" s="166" t="s">
        <v>47</v>
      </c>
    </row>
    <row r="410">
      <c r="A410" s="83">
        <v>680378.0</v>
      </c>
      <c r="B410" s="164">
        <v>43496.0</v>
      </c>
      <c r="C410" s="165" t="s">
        <v>893</v>
      </c>
      <c r="D410" s="165" t="s">
        <v>3837</v>
      </c>
      <c r="E410" s="165" t="s">
        <v>189</v>
      </c>
      <c r="F410" s="166" t="s">
        <v>222</v>
      </c>
      <c r="G410" s="167">
        <v>1235430.0</v>
      </c>
      <c r="H410" s="166" t="s">
        <v>3381</v>
      </c>
      <c r="I410" s="167">
        <v>919934.0</v>
      </c>
      <c r="J410" s="168" t="s">
        <v>3838</v>
      </c>
    </row>
    <row r="411">
      <c r="A411" s="83">
        <v>1274118.0</v>
      </c>
      <c r="B411" s="164">
        <v>43496.0</v>
      </c>
      <c r="C411" s="165" t="s">
        <v>893</v>
      </c>
      <c r="D411" s="165" t="s">
        <v>3839</v>
      </c>
      <c r="E411" s="165" t="s">
        <v>2958</v>
      </c>
      <c r="F411" s="168" t="s">
        <v>339</v>
      </c>
      <c r="G411" s="166"/>
      <c r="H411" s="166" t="s">
        <v>47</v>
      </c>
      <c r="I411" s="166"/>
      <c r="J411" s="166" t="s">
        <v>47</v>
      </c>
    </row>
    <row r="412">
      <c r="A412" s="83">
        <v>1306766.0</v>
      </c>
      <c r="B412" s="164">
        <v>43496.0</v>
      </c>
      <c r="C412" s="165" t="s">
        <v>893</v>
      </c>
      <c r="D412" s="165" t="s">
        <v>3840</v>
      </c>
      <c r="E412" s="165" t="s">
        <v>122</v>
      </c>
      <c r="F412" s="166" t="s">
        <v>123</v>
      </c>
      <c r="G412" s="166"/>
      <c r="H412" s="166" t="s">
        <v>47</v>
      </c>
      <c r="I412" s="166"/>
      <c r="J412" s="166" t="s">
        <v>47</v>
      </c>
    </row>
    <row r="413">
      <c r="A413" s="83">
        <v>1245132.0</v>
      </c>
      <c r="B413" s="164">
        <v>43496.0</v>
      </c>
      <c r="C413" s="165" t="s">
        <v>893</v>
      </c>
      <c r="D413" s="165" t="s">
        <v>3841</v>
      </c>
      <c r="E413" s="165" t="s">
        <v>2958</v>
      </c>
      <c r="F413" s="166" t="s">
        <v>467</v>
      </c>
      <c r="G413" s="166"/>
      <c r="H413" s="166" t="s">
        <v>47</v>
      </c>
      <c r="I413" s="166"/>
      <c r="J413" s="166" t="s">
        <v>47</v>
      </c>
    </row>
    <row r="414">
      <c r="A414" s="83">
        <v>424692.0</v>
      </c>
      <c r="B414" s="164">
        <v>43496.0</v>
      </c>
      <c r="C414" s="165" t="s">
        <v>893</v>
      </c>
      <c r="D414" s="165" t="s">
        <v>3842</v>
      </c>
      <c r="E414" s="165" t="s">
        <v>39</v>
      </c>
      <c r="F414" s="168" t="s">
        <v>140</v>
      </c>
      <c r="G414" s="166"/>
      <c r="H414" s="166" t="s">
        <v>47</v>
      </c>
      <c r="I414" s="166"/>
      <c r="J414" s="166" t="s">
        <v>47</v>
      </c>
    </row>
    <row r="415">
      <c r="A415" s="83">
        <v>476062.0</v>
      </c>
      <c r="B415" s="164">
        <v>43496.0</v>
      </c>
      <c r="C415" s="165" t="s">
        <v>893</v>
      </c>
      <c r="D415" s="165" t="s">
        <v>3843</v>
      </c>
      <c r="E415" s="165" t="s">
        <v>105</v>
      </c>
      <c r="F415" s="166" t="s">
        <v>316</v>
      </c>
      <c r="G415" s="167">
        <v>1343998.0</v>
      </c>
      <c r="H415" s="166" t="s">
        <v>1182</v>
      </c>
      <c r="I415" s="167">
        <v>1002594.0</v>
      </c>
      <c r="J415" s="168" t="s">
        <v>1181</v>
      </c>
    </row>
    <row r="416">
      <c r="A416" s="83">
        <v>179978.0</v>
      </c>
      <c r="B416" s="164">
        <v>43496.0</v>
      </c>
      <c r="C416" s="165" t="s">
        <v>893</v>
      </c>
      <c r="D416" s="165" t="s">
        <v>3844</v>
      </c>
      <c r="E416" s="165" t="s">
        <v>96</v>
      </c>
      <c r="F416" s="166" t="s">
        <v>109</v>
      </c>
      <c r="G416" s="167">
        <v>169662.0</v>
      </c>
      <c r="H416" s="168" t="s">
        <v>3767</v>
      </c>
      <c r="I416" s="166"/>
      <c r="J416" s="166" t="s">
        <v>47</v>
      </c>
    </row>
    <row r="417">
      <c r="A417" s="83">
        <v>935942.0</v>
      </c>
      <c r="B417" s="164">
        <v>43496.0</v>
      </c>
      <c r="C417" s="165" t="s">
        <v>893</v>
      </c>
      <c r="D417" s="165" t="s">
        <v>3845</v>
      </c>
      <c r="E417" s="165" t="s">
        <v>122</v>
      </c>
      <c r="F417" s="166" t="s">
        <v>127</v>
      </c>
      <c r="G417" s="167">
        <v>1269254.0</v>
      </c>
      <c r="H417" s="166" t="s">
        <v>3846</v>
      </c>
      <c r="I417" s="167">
        <v>1300254.0</v>
      </c>
      <c r="J417" s="168" t="s">
        <v>3523</v>
      </c>
    </row>
    <row r="418">
      <c r="A418" s="83">
        <v>60528.0</v>
      </c>
      <c r="B418" s="164">
        <v>43496.0</v>
      </c>
      <c r="C418" s="165" t="s">
        <v>893</v>
      </c>
      <c r="D418" s="165" t="s">
        <v>3847</v>
      </c>
      <c r="E418" s="165" t="s">
        <v>189</v>
      </c>
      <c r="F418" s="166" t="s">
        <v>190</v>
      </c>
      <c r="G418" s="167">
        <v>321410.0</v>
      </c>
      <c r="H418" s="168" t="s">
        <v>3848</v>
      </c>
      <c r="I418" s="166"/>
      <c r="J418" s="166" t="s">
        <v>47</v>
      </c>
    </row>
    <row r="419">
      <c r="A419" s="83">
        <v>729356.0</v>
      </c>
      <c r="B419" s="164">
        <v>43496.0</v>
      </c>
      <c r="C419" s="165" t="s">
        <v>893</v>
      </c>
      <c r="D419" s="165" t="s">
        <v>3849</v>
      </c>
      <c r="E419" s="165" t="s">
        <v>39</v>
      </c>
      <c r="F419" s="166" t="s">
        <v>140</v>
      </c>
      <c r="G419" s="167">
        <v>924090.0</v>
      </c>
      <c r="H419" s="166" t="s">
        <v>3070</v>
      </c>
      <c r="I419" s="167">
        <v>256758.0</v>
      </c>
      <c r="J419" s="168" t="s">
        <v>3850</v>
      </c>
    </row>
    <row r="420">
      <c r="A420" s="83">
        <v>1273986.0</v>
      </c>
      <c r="B420" s="164">
        <v>43496.0</v>
      </c>
      <c r="C420" s="165" t="s">
        <v>893</v>
      </c>
      <c r="D420" s="165" t="s">
        <v>3851</v>
      </c>
      <c r="E420" s="165" t="s">
        <v>2958</v>
      </c>
      <c r="F420" s="168" t="s">
        <v>339</v>
      </c>
      <c r="G420" s="166"/>
      <c r="H420" s="166" t="s">
        <v>47</v>
      </c>
      <c r="I420" s="166"/>
      <c r="J420" s="166" t="s">
        <v>47</v>
      </c>
    </row>
    <row r="421">
      <c r="A421" s="83">
        <v>417820.0</v>
      </c>
      <c r="B421" s="164">
        <v>43496.0</v>
      </c>
      <c r="C421" s="165" t="s">
        <v>893</v>
      </c>
      <c r="D421" s="165" t="s">
        <v>3852</v>
      </c>
      <c r="E421" s="165" t="s">
        <v>83</v>
      </c>
      <c r="F421" s="166" t="s">
        <v>876</v>
      </c>
      <c r="G421" s="167">
        <v>466216.0</v>
      </c>
      <c r="H421" s="166" t="s">
        <v>3853</v>
      </c>
      <c r="I421" s="167">
        <v>311048.0</v>
      </c>
      <c r="J421" s="168" t="s">
        <v>3854</v>
      </c>
    </row>
    <row r="422">
      <c r="A422" s="83">
        <v>777390.0</v>
      </c>
      <c r="B422" s="164">
        <v>43496.0</v>
      </c>
      <c r="C422" s="165" t="s">
        <v>893</v>
      </c>
      <c r="D422" s="165" t="s">
        <v>3855</v>
      </c>
      <c r="E422" s="165" t="s">
        <v>83</v>
      </c>
      <c r="F422" s="168" t="s">
        <v>153</v>
      </c>
      <c r="G422" s="166"/>
      <c r="H422" s="166" t="s">
        <v>47</v>
      </c>
      <c r="I422" s="166"/>
      <c r="J422" s="166" t="s">
        <v>47</v>
      </c>
    </row>
    <row r="423">
      <c r="A423" s="83">
        <v>215736.0</v>
      </c>
      <c r="B423" s="164">
        <v>43496.0</v>
      </c>
      <c r="C423" s="165" t="s">
        <v>893</v>
      </c>
      <c r="D423" s="165" t="s">
        <v>3856</v>
      </c>
      <c r="E423" s="165" t="s">
        <v>105</v>
      </c>
      <c r="F423" s="166" t="s">
        <v>316</v>
      </c>
      <c r="G423" s="167">
        <v>1283676.0</v>
      </c>
      <c r="H423" s="166" t="s">
        <v>3857</v>
      </c>
      <c r="I423" s="167">
        <v>945826.0</v>
      </c>
      <c r="J423" s="166" t="s">
        <v>47</v>
      </c>
    </row>
    <row r="424">
      <c r="A424" s="83">
        <v>442016.0</v>
      </c>
      <c r="B424" s="164">
        <v>43496.0</v>
      </c>
      <c r="C424" s="165" t="s">
        <v>893</v>
      </c>
      <c r="D424" s="165" t="s">
        <v>3858</v>
      </c>
      <c r="E424" s="165" t="s">
        <v>45</v>
      </c>
      <c r="F424" s="166" t="s">
        <v>172</v>
      </c>
      <c r="G424" s="167">
        <v>959400.0</v>
      </c>
      <c r="H424" s="168" t="s">
        <v>3859</v>
      </c>
      <c r="I424" s="166"/>
      <c r="J424" s="166" t="s">
        <v>47</v>
      </c>
    </row>
    <row r="425">
      <c r="A425" s="83">
        <v>411376.0</v>
      </c>
      <c r="B425" s="164">
        <v>43496.0</v>
      </c>
      <c r="C425" s="165" t="s">
        <v>893</v>
      </c>
      <c r="D425" s="165" t="s">
        <v>3860</v>
      </c>
      <c r="E425" s="165" t="s">
        <v>122</v>
      </c>
      <c r="F425" s="166" t="s">
        <v>127</v>
      </c>
      <c r="G425" s="167">
        <v>240450.0</v>
      </c>
      <c r="H425" s="168" t="s">
        <v>3698</v>
      </c>
      <c r="I425" s="166"/>
      <c r="J425" s="166" t="s">
        <v>47</v>
      </c>
    </row>
    <row r="426">
      <c r="A426" s="83">
        <v>309896.0</v>
      </c>
      <c r="B426" s="164">
        <v>43496.0</v>
      </c>
      <c r="C426" s="165" t="s">
        <v>893</v>
      </c>
      <c r="D426" s="165" t="s">
        <v>3861</v>
      </c>
      <c r="E426" s="165" t="s">
        <v>39</v>
      </c>
      <c r="F426" s="168" t="s">
        <v>140</v>
      </c>
      <c r="G426" s="166"/>
      <c r="H426" s="166" t="s">
        <v>47</v>
      </c>
      <c r="I426" s="166"/>
      <c r="J426" s="166" t="s">
        <v>47</v>
      </c>
    </row>
    <row r="427">
      <c r="A427" s="83">
        <v>556296.0</v>
      </c>
      <c r="B427" s="164">
        <v>43496.0</v>
      </c>
      <c r="C427" s="165" t="s">
        <v>893</v>
      </c>
      <c r="D427" s="165" t="s">
        <v>3862</v>
      </c>
      <c r="E427" s="165" t="s">
        <v>39</v>
      </c>
      <c r="F427" s="168" t="s">
        <v>214</v>
      </c>
      <c r="G427" s="166"/>
      <c r="H427" s="166" t="s">
        <v>47</v>
      </c>
      <c r="I427" s="166"/>
      <c r="J427" s="166" t="s">
        <v>47</v>
      </c>
    </row>
    <row r="428">
      <c r="A428" s="83">
        <v>103176.0</v>
      </c>
      <c r="B428" s="164">
        <v>43496.0</v>
      </c>
      <c r="C428" s="165" t="s">
        <v>893</v>
      </c>
      <c r="D428" s="165" t="s">
        <v>3863</v>
      </c>
      <c r="E428" s="165" t="s">
        <v>2958</v>
      </c>
      <c r="F428" s="168" t="s">
        <v>145</v>
      </c>
      <c r="G428" s="166"/>
      <c r="H428" s="166" t="s">
        <v>47</v>
      </c>
      <c r="I428" s="166"/>
      <c r="J428" s="166" t="s">
        <v>47</v>
      </c>
    </row>
    <row r="429">
      <c r="A429" s="83">
        <v>26021.0</v>
      </c>
      <c r="B429" s="164">
        <v>43496.0</v>
      </c>
      <c r="C429" s="165" t="s">
        <v>893</v>
      </c>
      <c r="D429" s="165" t="s">
        <v>3864</v>
      </c>
      <c r="E429" s="165" t="s">
        <v>45</v>
      </c>
      <c r="F429" s="168" t="s">
        <v>172</v>
      </c>
      <c r="G429" s="166"/>
      <c r="H429" s="166" t="s">
        <v>47</v>
      </c>
      <c r="I429" s="166"/>
      <c r="J429" s="166" t="s">
        <v>47</v>
      </c>
    </row>
    <row r="430">
      <c r="A430" s="83">
        <v>821228.0</v>
      </c>
      <c r="B430" s="164">
        <v>43496.0</v>
      </c>
      <c r="C430" s="165" t="s">
        <v>893</v>
      </c>
      <c r="D430" s="165" t="s">
        <v>3865</v>
      </c>
      <c r="E430" s="165" t="s">
        <v>105</v>
      </c>
      <c r="F430" s="166" t="s">
        <v>198</v>
      </c>
      <c r="G430" s="166"/>
      <c r="H430" s="166" t="s">
        <v>47</v>
      </c>
      <c r="I430" s="166"/>
      <c r="J430" s="166" t="s">
        <v>47</v>
      </c>
    </row>
    <row r="431">
      <c r="A431" s="83">
        <v>350198.0</v>
      </c>
      <c r="B431" s="164">
        <v>43496.0</v>
      </c>
      <c r="C431" s="165" t="s">
        <v>893</v>
      </c>
      <c r="D431" s="165" t="s">
        <v>3866</v>
      </c>
      <c r="E431" s="165" t="s">
        <v>122</v>
      </c>
      <c r="F431" s="166" t="s">
        <v>271</v>
      </c>
      <c r="G431" s="167">
        <v>1417860.0</v>
      </c>
      <c r="H431" s="166" t="s">
        <v>3867</v>
      </c>
      <c r="I431" s="167">
        <v>433102.0</v>
      </c>
      <c r="J431" s="168" t="s">
        <v>3868</v>
      </c>
    </row>
    <row r="432">
      <c r="A432" s="83">
        <v>653310.0</v>
      </c>
      <c r="B432" s="164">
        <v>43496.0</v>
      </c>
      <c r="C432" s="165" t="s">
        <v>893</v>
      </c>
      <c r="D432" s="165" t="s">
        <v>3869</v>
      </c>
      <c r="E432" s="165" t="s">
        <v>2958</v>
      </c>
      <c r="F432" s="166" t="s">
        <v>467</v>
      </c>
      <c r="G432" s="167">
        <v>1449746.0</v>
      </c>
      <c r="H432" s="168" t="s">
        <v>1697</v>
      </c>
      <c r="I432" s="166"/>
      <c r="J432" s="166" t="s">
        <v>47</v>
      </c>
    </row>
    <row r="433">
      <c r="A433" s="83">
        <v>376498.0</v>
      </c>
      <c r="B433" s="164">
        <v>43496.0</v>
      </c>
      <c r="C433" s="165" t="s">
        <v>893</v>
      </c>
      <c r="D433" s="165" t="s">
        <v>3870</v>
      </c>
      <c r="E433" s="165" t="s">
        <v>189</v>
      </c>
      <c r="F433" s="166" t="s">
        <v>448</v>
      </c>
      <c r="G433" s="167">
        <v>395700.0</v>
      </c>
      <c r="H433" s="168" t="s">
        <v>3871</v>
      </c>
      <c r="I433" s="166"/>
      <c r="J433" s="166" t="s">
        <v>47</v>
      </c>
    </row>
    <row r="434">
      <c r="A434" s="83">
        <v>660940.0</v>
      </c>
      <c r="B434" s="164">
        <v>43496.0</v>
      </c>
      <c r="C434" s="165" t="s">
        <v>893</v>
      </c>
      <c r="D434" s="165" t="s">
        <v>3872</v>
      </c>
      <c r="E434" s="165" t="s">
        <v>39</v>
      </c>
      <c r="F434" s="168" t="s">
        <v>140</v>
      </c>
      <c r="G434" s="166"/>
      <c r="H434" s="166" t="s">
        <v>47</v>
      </c>
      <c r="I434" s="166"/>
      <c r="J434" s="166" t="s">
        <v>47</v>
      </c>
    </row>
    <row r="435">
      <c r="A435" s="83">
        <v>582578.0</v>
      </c>
      <c r="B435" s="164">
        <v>43496.0</v>
      </c>
      <c r="C435" s="165" t="s">
        <v>893</v>
      </c>
      <c r="D435" s="165" t="s">
        <v>3873</v>
      </c>
      <c r="E435" s="165" t="s">
        <v>122</v>
      </c>
      <c r="F435" s="166" t="s">
        <v>538</v>
      </c>
      <c r="G435" s="167">
        <v>1476730.0</v>
      </c>
      <c r="H435" s="166" t="s">
        <v>3627</v>
      </c>
      <c r="I435" s="167">
        <v>1597956.0</v>
      </c>
      <c r="J435" s="168" t="s">
        <v>3832</v>
      </c>
    </row>
    <row r="436">
      <c r="A436" s="83">
        <v>1343484.0</v>
      </c>
      <c r="B436" s="164">
        <v>43496.0</v>
      </c>
      <c r="C436" s="165" t="s">
        <v>893</v>
      </c>
      <c r="D436" s="165" t="s">
        <v>3874</v>
      </c>
      <c r="E436" s="165" t="s">
        <v>122</v>
      </c>
      <c r="F436" s="166" t="s">
        <v>271</v>
      </c>
      <c r="G436" s="167">
        <v>477888.0</v>
      </c>
      <c r="H436" s="168" t="s">
        <v>3577</v>
      </c>
      <c r="I436" s="166"/>
      <c r="J436" s="166" t="s">
        <v>47</v>
      </c>
    </row>
    <row r="437">
      <c r="A437" s="83">
        <v>1249838.0</v>
      </c>
      <c r="B437" s="164">
        <v>43496.0</v>
      </c>
      <c r="C437" s="165" t="s">
        <v>893</v>
      </c>
      <c r="D437" s="165" t="s">
        <v>3875</v>
      </c>
      <c r="E437" s="165" t="s">
        <v>2958</v>
      </c>
      <c r="F437" s="166" t="s">
        <v>339</v>
      </c>
      <c r="G437" s="167">
        <v>1476730.0</v>
      </c>
      <c r="H437" s="166" t="s">
        <v>3627</v>
      </c>
      <c r="I437" s="167">
        <v>1415934.0</v>
      </c>
      <c r="J437" s="168" t="s">
        <v>3390</v>
      </c>
    </row>
    <row r="438">
      <c r="A438" s="83">
        <v>523604.0</v>
      </c>
      <c r="B438" s="164">
        <v>43496.0</v>
      </c>
      <c r="C438" s="165" t="s">
        <v>893</v>
      </c>
      <c r="D438" s="165" t="s">
        <v>3876</v>
      </c>
      <c r="E438" s="165" t="s">
        <v>219</v>
      </c>
      <c r="F438" s="166" t="s">
        <v>220</v>
      </c>
      <c r="G438" s="167">
        <v>631534.0</v>
      </c>
      <c r="H438" s="166" t="s">
        <v>3877</v>
      </c>
      <c r="I438" s="167">
        <v>619692.0</v>
      </c>
      <c r="J438" s="168" t="s">
        <v>3269</v>
      </c>
    </row>
    <row r="439">
      <c r="A439" s="83">
        <v>1274078.0</v>
      </c>
      <c r="B439" s="164">
        <v>43496.0</v>
      </c>
      <c r="C439" s="165" t="s">
        <v>893</v>
      </c>
      <c r="D439" s="165" t="s">
        <v>3878</v>
      </c>
      <c r="E439" s="165" t="s">
        <v>2958</v>
      </c>
      <c r="F439" s="168" t="s">
        <v>145</v>
      </c>
      <c r="G439" s="166"/>
      <c r="H439" s="166" t="s">
        <v>47</v>
      </c>
      <c r="I439" s="166"/>
      <c r="J439" s="166" t="s">
        <v>47</v>
      </c>
    </row>
    <row r="440">
      <c r="A440" s="83">
        <v>537356.0</v>
      </c>
      <c r="B440" s="164">
        <v>43496.0</v>
      </c>
      <c r="C440" s="165" t="s">
        <v>893</v>
      </c>
      <c r="D440" s="165" t="s">
        <v>3879</v>
      </c>
      <c r="E440" s="165" t="s">
        <v>122</v>
      </c>
      <c r="F440" s="166" t="s">
        <v>127</v>
      </c>
      <c r="G440" s="167">
        <v>1016996.0</v>
      </c>
      <c r="H440" s="166" t="s">
        <v>3880</v>
      </c>
      <c r="I440" s="167">
        <v>1466336.0</v>
      </c>
      <c r="J440" s="168" t="s">
        <v>3881</v>
      </c>
    </row>
    <row r="441">
      <c r="A441" s="83">
        <v>548926.0</v>
      </c>
      <c r="B441" s="164">
        <v>43496.0</v>
      </c>
      <c r="C441" s="165" t="s">
        <v>893</v>
      </c>
      <c r="D441" s="165" t="s">
        <v>3882</v>
      </c>
      <c r="E441" s="165" t="s">
        <v>105</v>
      </c>
      <c r="F441" s="166" t="s">
        <v>106</v>
      </c>
      <c r="G441" s="166"/>
      <c r="H441" s="166" t="s">
        <v>47</v>
      </c>
      <c r="I441" s="166"/>
      <c r="J441" s="166" t="s">
        <v>47</v>
      </c>
    </row>
    <row r="442">
      <c r="A442" s="83">
        <v>721156.0</v>
      </c>
      <c r="B442" s="164">
        <v>43496.0</v>
      </c>
      <c r="C442" s="165" t="s">
        <v>893</v>
      </c>
      <c r="D442" s="165" t="s">
        <v>3883</v>
      </c>
      <c r="E442" s="165" t="s">
        <v>189</v>
      </c>
      <c r="F442" s="166" t="s">
        <v>190</v>
      </c>
      <c r="G442" s="167">
        <v>516446.0</v>
      </c>
      <c r="H442" s="166" t="s">
        <v>1488</v>
      </c>
      <c r="I442" s="167">
        <v>948866.0</v>
      </c>
      <c r="J442" s="168" t="s">
        <v>2906</v>
      </c>
    </row>
    <row r="443">
      <c r="A443" s="83">
        <v>780284.0</v>
      </c>
      <c r="B443" s="164">
        <v>43496.0</v>
      </c>
      <c r="C443" s="165" t="s">
        <v>893</v>
      </c>
      <c r="D443" s="165" t="s">
        <v>3884</v>
      </c>
      <c r="E443" s="165" t="s">
        <v>189</v>
      </c>
      <c r="F443" s="166" t="s">
        <v>300</v>
      </c>
      <c r="G443" s="167">
        <v>969148.0</v>
      </c>
      <c r="H443" s="166" t="s">
        <v>1514</v>
      </c>
      <c r="I443" s="167">
        <v>914336.0</v>
      </c>
      <c r="J443" s="166" t="s">
        <v>47</v>
      </c>
    </row>
    <row r="444">
      <c r="A444" s="83">
        <v>350222.0</v>
      </c>
      <c r="B444" s="164">
        <v>43496.0</v>
      </c>
      <c r="C444" s="165" t="s">
        <v>893</v>
      </c>
      <c r="D444" s="165" t="s">
        <v>3885</v>
      </c>
      <c r="E444" s="165" t="s">
        <v>2958</v>
      </c>
      <c r="F444" s="166" t="s">
        <v>339</v>
      </c>
      <c r="G444" s="167">
        <v>1434700.0</v>
      </c>
      <c r="H444" s="168" t="s">
        <v>1672</v>
      </c>
      <c r="I444" s="166"/>
      <c r="J444" s="166" t="s">
        <v>47</v>
      </c>
    </row>
    <row r="445">
      <c r="A445" s="83">
        <v>1233894.0</v>
      </c>
      <c r="B445" s="164">
        <v>43496.0</v>
      </c>
      <c r="C445" s="165" t="s">
        <v>893</v>
      </c>
      <c r="D445" s="165" t="s">
        <v>3886</v>
      </c>
      <c r="E445" s="165" t="s">
        <v>96</v>
      </c>
      <c r="F445" s="166" t="s">
        <v>263</v>
      </c>
      <c r="G445" s="167">
        <v>640100.0</v>
      </c>
      <c r="H445" s="166" t="s">
        <v>860</v>
      </c>
      <c r="I445" s="167">
        <v>1051430.0</v>
      </c>
      <c r="J445" s="168" t="s">
        <v>3887</v>
      </c>
    </row>
    <row r="446">
      <c r="A446" s="83">
        <v>636120.0</v>
      </c>
      <c r="B446" s="164">
        <v>43496.0</v>
      </c>
      <c r="C446" s="165" t="s">
        <v>893</v>
      </c>
      <c r="D446" s="165" t="s">
        <v>3888</v>
      </c>
      <c r="E446" s="165" t="s">
        <v>39</v>
      </c>
      <c r="F446" s="168" t="s">
        <v>214</v>
      </c>
      <c r="G446" s="166"/>
      <c r="H446" s="166" t="s">
        <v>47</v>
      </c>
      <c r="I446" s="166"/>
      <c r="J446" s="166" t="s">
        <v>47</v>
      </c>
    </row>
    <row r="447">
      <c r="A447" s="83">
        <v>1306764.0</v>
      </c>
      <c r="B447" s="164">
        <v>43488.0</v>
      </c>
      <c r="C447" s="165" t="s">
        <v>893</v>
      </c>
      <c r="D447" s="165" t="s">
        <v>3889</v>
      </c>
      <c r="E447" s="165" t="s">
        <v>105</v>
      </c>
      <c r="F447" s="166" t="s">
        <v>106</v>
      </c>
      <c r="G447" s="166"/>
      <c r="H447" s="166" t="s">
        <v>47</v>
      </c>
      <c r="I447" s="170" t="e">
        <v>#N/A</v>
      </c>
      <c r="J447" s="166" t="s">
        <v>47</v>
      </c>
    </row>
    <row r="448">
      <c r="A448" s="83">
        <v>1427000.0</v>
      </c>
      <c r="B448" s="164">
        <v>43483.0</v>
      </c>
      <c r="C448" s="165" t="s">
        <v>893</v>
      </c>
      <c r="D448" s="165" t="s">
        <v>3890</v>
      </c>
      <c r="E448" s="165" t="s">
        <v>83</v>
      </c>
      <c r="F448" s="166" t="s">
        <v>147</v>
      </c>
      <c r="G448" s="167">
        <v>1270870.0</v>
      </c>
      <c r="H448" s="166" t="s">
        <v>2920</v>
      </c>
      <c r="I448" s="167">
        <v>1465486.0</v>
      </c>
      <c r="J448" s="168" t="s">
        <v>3891</v>
      </c>
    </row>
    <row r="449">
      <c r="A449" s="83">
        <v>1444946.0</v>
      </c>
      <c r="B449" s="164">
        <v>43468.0</v>
      </c>
      <c r="C449" s="165" t="s">
        <v>893</v>
      </c>
      <c r="D449" s="165" t="s">
        <v>3892</v>
      </c>
      <c r="E449" s="165" t="s">
        <v>122</v>
      </c>
      <c r="F449" s="166" t="s">
        <v>127</v>
      </c>
      <c r="G449" s="167">
        <v>437860.0</v>
      </c>
      <c r="H449" s="166" t="s">
        <v>2433</v>
      </c>
      <c r="I449" s="167">
        <v>483692.0</v>
      </c>
      <c r="J449" s="168" t="s">
        <v>3893</v>
      </c>
    </row>
    <row r="450">
      <c r="A450" s="83">
        <v>1442430.0</v>
      </c>
      <c r="B450" s="164">
        <v>43468.0</v>
      </c>
      <c r="C450" s="165" t="s">
        <v>893</v>
      </c>
      <c r="D450" s="165" t="s">
        <v>3894</v>
      </c>
      <c r="E450" s="165" t="s">
        <v>39</v>
      </c>
      <c r="F450" s="166" t="s">
        <v>50</v>
      </c>
      <c r="G450" s="167">
        <v>1035000.0</v>
      </c>
      <c r="H450" s="166" t="s">
        <v>3895</v>
      </c>
      <c r="I450" s="167">
        <v>1407900.0</v>
      </c>
      <c r="J450" s="168" t="s">
        <v>3896</v>
      </c>
    </row>
    <row r="451">
      <c r="A451" s="83">
        <v>748852.0</v>
      </c>
      <c r="B451" s="164">
        <v>43468.0</v>
      </c>
      <c r="C451" s="165" t="s">
        <v>893</v>
      </c>
      <c r="D451" s="165" t="s">
        <v>3897</v>
      </c>
      <c r="E451" s="165" t="s">
        <v>45</v>
      </c>
      <c r="F451" s="166" t="s">
        <v>172</v>
      </c>
      <c r="G451" s="167">
        <v>1457700.0</v>
      </c>
      <c r="H451" s="166" t="s">
        <v>47</v>
      </c>
      <c r="I451" s="166"/>
      <c r="J451" s="166" t="s">
        <v>47</v>
      </c>
    </row>
    <row r="452">
      <c r="A452" s="83">
        <v>1090766.0</v>
      </c>
      <c r="B452" s="164">
        <v>43468.0</v>
      </c>
      <c r="C452" s="165" t="s">
        <v>893</v>
      </c>
      <c r="D452" s="165" t="s">
        <v>3898</v>
      </c>
      <c r="E452" s="165" t="s">
        <v>39</v>
      </c>
      <c r="F452" s="166" t="s">
        <v>297</v>
      </c>
      <c r="G452" s="167">
        <v>425086.0</v>
      </c>
      <c r="H452" s="166" t="s">
        <v>3899</v>
      </c>
      <c r="I452" s="167">
        <v>1855330.0</v>
      </c>
      <c r="J452" s="166" t="s">
        <v>47</v>
      </c>
    </row>
    <row r="453">
      <c r="A453" s="83">
        <v>573982.0</v>
      </c>
      <c r="B453" s="164">
        <v>43468.0</v>
      </c>
      <c r="C453" s="165" t="s">
        <v>893</v>
      </c>
      <c r="D453" s="165" t="s">
        <v>3900</v>
      </c>
      <c r="E453" s="165" t="s">
        <v>45</v>
      </c>
      <c r="F453" s="166" t="s">
        <v>172</v>
      </c>
      <c r="G453" s="167">
        <v>1457700.0</v>
      </c>
      <c r="H453" s="166" t="s">
        <v>47</v>
      </c>
      <c r="I453" s="166"/>
      <c r="J453" s="166" t="s">
        <v>47</v>
      </c>
    </row>
    <row r="454">
      <c r="A454" s="83">
        <v>1511756.0</v>
      </c>
      <c r="B454" s="164">
        <v>43467.0</v>
      </c>
      <c r="C454" s="165" t="s">
        <v>893</v>
      </c>
      <c r="D454" s="165" t="s">
        <v>3901</v>
      </c>
      <c r="E454" s="165" t="s">
        <v>219</v>
      </c>
      <c r="F454" s="166" t="s">
        <v>220</v>
      </c>
      <c r="G454" s="167">
        <v>1504268.0</v>
      </c>
      <c r="H454" s="168" t="s">
        <v>3902</v>
      </c>
      <c r="I454" s="166"/>
      <c r="J454" s="166" t="s">
        <v>47</v>
      </c>
    </row>
    <row r="455">
      <c r="A455" s="83">
        <v>1496304.0</v>
      </c>
      <c r="B455" s="164">
        <v>43467.0</v>
      </c>
      <c r="C455" s="165" t="s">
        <v>893</v>
      </c>
      <c r="D455" s="165" t="s">
        <v>3903</v>
      </c>
      <c r="E455" s="165" t="s">
        <v>219</v>
      </c>
      <c r="F455" s="168" t="s">
        <v>220</v>
      </c>
      <c r="G455" s="166"/>
      <c r="H455" s="166" t="s">
        <v>47</v>
      </c>
      <c r="I455" s="166"/>
      <c r="J455" s="166" t="s">
        <v>47</v>
      </c>
    </row>
  </sheetData>
  <mergeCells count="3">
    <mergeCell ref="B1:B2"/>
    <mergeCell ref="C1:F1"/>
    <mergeCell ref="C2:F2"/>
  </mergeCells>
  <conditionalFormatting sqref="A3 B3:J3">
    <cfRule type="expression" dxfId="0" priority="1">
      <formula>countif(A:A,A3)&gt;1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9.71"/>
    <col customWidth="1" min="2" max="2" width="14.43"/>
    <col customWidth="1" min="3" max="3" width="43.0"/>
    <col customWidth="1" min="4" max="5" width="24.43"/>
    <col customWidth="1" min="6" max="6" width="41.57"/>
    <col customWidth="1" min="7" max="7" width="42.86"/>
  </cols>
  <sheetData>
    <row r="1" ht="19.5" customHeight="1">
      <c r="A1" s="71"/>
      <c r="B1" s="147"/>
      <c r="C1" s="163" t="s">
        <v>706</v>
      </c>
      <c r="G1" s="22"/>
    </row>
    <row r="2" ht="47.25" customHeight="1">
      <c r="A2" s="71"/>
      <c r="C2" s="171" t="s">
        <v>3236</v>
      </c>
      <c r="G2" s="76"/>
    </row>
    <row r="3">
      <c r="A3" s="172" t="s">
        <v>27</v>
      </c>
      <c r="B3" s="173" t="s">
        <v>3904</v>
      </c>
      <c r="C3" s="172" t="s">
        <v>3905</v>
      </c>
      <c r="D3" s="172" t="s">
        <v>3906</v>
      </c>
      <c r="E3" s="172" t="s">
        <v>3907</v>
      </c>
      <c r="F3" s="174" t="s">
        <v>34</v>
      </c>
      <c r="G3" s="174" t="s">
        <v>36</v>
      </c>
    </row>
    <row r="4">
      <c r="A4" s="175">
        <v>1331472.0</v>
      </c>
      <c r="B4" s="176">
        <v>43463.0</v>
      </c>
      <c r="C4" s="159" t="str">
        <f t="array" ref="C4:G4">VLOOKUP(A4,'Tracker- Removed 2018'!B:Q,{2,5,6,8,10},false)</f>
        <v>Web Application Security for Absolute Beginners (no coding!)</v>
      </c>
      <c r="D4" s="30" t="s">
        <v>45</v>
      </c>
      <c r="E4" s="30" t="s">
        <v>90</v>
      </c>
      <c r="F4" s="30"/>
      <c r="G4" s="30"/>
    </row>
    <row r="5">
      <c r="A5" s="175">
        <v>1362834.0</v>
      </c>
      <c r="B5" s="176">
        <v>43463.0</v>
      </c>
      <c r="C5" s="159" t="str">
        <f t="array" ref="C5:G5">VLOOKUP(A5,'Tracker- Removed 2018'!B:Q,{2,5,6,8,10},false)</f>
        <v>Competition Analysis course for new digital marketers</v>
      </c>
      <c r="D5" s="30" t="s">
        <v>83</v>
      </c>
      <c r="E5" s="30" t="s">
        <v>147</v>
      </c>
      <c r="F5" s="30"/>
      <c r="G5" s="30"/>
    </row>
    <row r="6">
      <c r="A6" s="175">
        <v>1333668.0</v>
      </c>
      <c r="B6" s="176">
        <v>43463.0</v>
      </c>
      <c r="C6" s="159" t="str">
        <f t="array" ref="C6:G6">VLOOKUP(A6,'Tracker- Removed 2018'!B:Q,{2,5,6,8,10},false)</f>
        <v>IBM Qradar SIEM Fundamentals for Incident Response</v>
      </c>
      <c r="D6" s="30" t="s">
        <v>45</v>
      </c>
      <c r="E6" s="30" t="s">
        <v>90</v>
      </c>
      <c r="F6" s="30"/>
      <c r="G6" s="30"/>
    </row>
    <row r="7">
      <c r="A7" s="175">
        <v>296403.0</v>
      </c>
      <c r="B7" s="176">
        <v>43463.0</v>
      </c>
      <c r="C7" s="159" t="str">
        <f t="array" ref="C7:G7">VLOOKUP(A7,'Tracker- Removed 2018'!B:Q,{2,5,6,8,10},false)</f>
        <v>The Complete Public Speaking Course: Become a Great Speaker</v>
      </c>
      <c r="D7" s="30" t="s">
        <v>122</v>
      </c>
      <c r="E7" s="30" t="s">
        <v>271</v>
      </c>
      <c r="F7" s="30" t="s">
        <v>47</v>
      </c>
      <c r="G7" s="30" t="s">
        <v>47</v>
      </c>
    </row>
    <row r="8">
      <c r="A8" s="175">
        <v>363064.0</v>
      </c>
      <c r="B8" s="176">
        <v>43463.0</v>
      </c>
      <c r="C8" s="159" t="str">
        <f t="array" ref="C8:G8">VLOOKUP(A8,'Tracker- Removed 2018'!B:Q,{2,5,6,8,10},false)</f>
        <v>Investing Presentations-Deliver an IPO Roadshow Presentation</v>
      </c>
      <c r="D8" s="30" t="s">
        <v>122</v>
      </c>
      <c r="E8" s="30" t="s">
        <v>271</v>
      </c>
      <c r="F8" s="30" t="s">
        <v>47</v>
      </c>
      <c r="G8" s="30" t="s">
        <v>47</v>
      </c>
    </row>
    <row r="9">
      <c r="A9" s="175">
        <v>362474.0</v>
      </c>
      <c r="B9" s="176">
        <v>43463.0</v>
      </c>
      <c r="C9" s="159" t="str">
        <f t="array" ref="C9:G9">VLOOKUP(A9,'Tracker- Removed 2018'!B:Q,{2,5,6,8,10},false)</f>
        <v>Public Speaking for Women</v>
      </c>
      <c r="D9" s="30" t="s">
        <v>122</v>
      </c>
      <c r="E9" s="30" t="s">
        <v>271</v>
      </c>
      <c r="F9" s="30" t="s">
        <v>47</v>
      </c>
      <c r="G9" s="30" t="s">
        <v>47</v>
      </c>
    </row>
    <row r="10">
      <c r="A10" s="175">
        <v>298568.0</v>
      </c>
      <c r="B10" s="176">
        <v>43463.0</v>
      </c>
      <c r="C10" s="159" t="str">
        <f t="array" ref="C10:G10">VLOOKUP(A10,'Tracker- Removed 2018'!B:Q,{2,5,6,8,10},false)</f>
        <v>Fundraising: Ask and Raise Contributions for Your Charity</v>
      </c>
      <c r="D10" s="30" t="s">
        <v>122</v>
      </c>
      <c r="E10" s="30" t="s">
        <v>127</v>
      </c>
      <c r="F10" s="30" t="s">
        <v>47</v>
      </c>
      <c r="G10" s="30" t="s">
        <v>47</v>
      </c>
    </row>
    <row r="11">
      <c r="A11" s="175">
        <v>342806.0</v>
      </c>
      <c r="B11" s="176">
        <v>43463.0</v>
      </c>
      <c r="C11" s="159" t="str">
        <f t="array" ref="C11:G11">VLOOKUP(A11,'Tracker- Removed 2018'!B:Q,{2,5,6,8,10},false)</f>
        <v>Investor Pitching: Presentations for Startup Capital</v>
      </c>
      <c r="D11" s="30" t="s">
        <v>96</v>
      </c>
      <c r="E11" s="30" t="s">
        <v>109</v>
      </c>
      <c r="F11" s="30" t="s">
        <v>47</v>
      </c>
      <c r="G11" s="30" t="s">
        <v>47</v>
      </c>
    </row>
    <row r="12">
      <c r="A12" s="175">
        <v>281634.0</v>
      </c>
      <c r="B12" s="176">
        <v>43463.0</v>
      </c>
      <c r="C12" s="159" t="str">
        <f t="array" ref="C12:G12">VLOOKUP(A12,'Tracker- Removed 2018'!B:Q,{2,5,6,8,10},false)</f>
        <v>Fear of Public Speaking: Never Fear Public Speaking Again</v>
      </c>
      <c r="D12" s="30" t="s">
        <v>122</v>
      </c>
      <c r="E12" s="30" t="s">
        <v>271</v>
      </c>
      <c r="F12" s="30" t="s">
        <v>47</v>
      </c>
      <c r="G12" s="30" t="s">
        <v>47</v>
      </c>
    </row>
    <row r="13">
      <c r="A13" s="175">
        <v>294638.0</v>
      </c>
      <c r="B13" s="176">
        <v>43463.0</v>
      </c>
      <c r="C13" s="159" t="str">
        <f t="array" ref="C13:G13">VLOOKUP(A13,'Tracker- Removed 2018'!B:Q,{2,5,6,8,10},false)</f>
        <v>Body Language: Appear Confident and Poised When You Speak</v>
      </c>
      <c r="D13" s="30" t="s">
        <v>122</v>
      </c>
      <c r="E13" s="30" t="s">
        <v>271</v>
      </c>
      <c r="F13" s="30" t="s">
        <v>47</v>
      </c>
      <c r="G13" s="30" t="s">
        <v>47</v>
      </c>
    </row>
    <row r="14">
      <c r="A14" s="175">
        <v>1326998.0</v>
      </c>
      <c r="B14" s="176">
        <v>43463.0</v>
      </c>
      <c r="C14" s="159" t="str">
        <f t="array" ref="C14:G14">VLOOKUP(A14,'Tracker- Removed 2018'!B:Q,{2,5,6,8,10},false)</f>
        <v>Social Skills: How To Make A Great First Impression</v>
      </c>
      <c r="D14" s="30" t="s">
        <v>58</v>
      </c>
      <c r="E14" s="30" t="s">
        <v>59</v>
      </c>
      <c r="F14" s="30" t="s">
        <v>47</v>
      </c>
      <c r="G14" s="30" t="s">
        <v>47</v>
      </c>
    </row>
    <row r="15">
      <c r="A15" s="175">
        <v>1377164.0</v>
      </c>
      <c r="B15" s="176">
        <v>43463.0</v>
      </c>
      <c r="C15" s="159" t="str">
        <f t="array" ref="C15:G15">VLOOKUP(A15,'Tracker- Removed 2018'!B:Q,{2,5,6,8,10},false)</f>
        <v>Learn Design Thinking Hands-On With Project CORE</v>
      </c>
      <c r="D15" s="30" t="s">
        <v>105</v>
      </c>
      <c r="E15" s="30" t="s">
        <v>501</v>
      </c>
      <c r="F15" s="30" t="s">
        <v>47</v>
      </c>
      <c r="G15" s="30" t="s">
        <v>47</v>
      </c>
    </row>
    <row r="16">
      <c r="A16" s="175">
        <v>868436.0</v>
      </c>
      <c r="B16" s="176">
        <v>43463.0</v>
      </c>
      <c r="C16" s="159" t="str">
        <f t="array" ref="C16:G16">VLOOKUP(A16,'Tracker- Removed 2018'!B:Q,{2,5,6,8,10},false)</f>
        <v>OpenStack: Public &amp; Hybrid IaaS Cloud with OpenStack</v>
      </c>
      <c r="D16" s="30" t="s">
        <v>101</v>
      </c>
      <c r="E16" s="30" t="s">
        <v>203</v>
      </c>
      <c r="F16" s="30" t="s">
        <v>47</v>
      </c>
      <c r="G16" s="30" t="s">
        <v>47</v>
      </c>
    </row>
    <row r="17">
      <c r="A17" s="175">
        <v>1232382.0</v>
      </c>
      <c r="B17" s="176">
        <v>43463.0</v>
      </c>
      <c r="C17" s="159" t="str">
        <f t="array" ref="C17:G17">VLOOKUP(A17,'Tracker- Removed 2018'!B:Q,{2,5,6,8,10},false)</f>
        <v>Intro to Financial Statement Audits</v>
      </c>
      <c r="D17" s="30" t="s">
        <v>96</v>
      </c>
      <c r="E17" s="30" t="s">
        <v>263</v>
      </c>
      <c r="F17" s="30" t="s">
        <v>47</v>
      </c>
      <c r="G17" s="30" t="s">
        <v>47</v>
      </c>
    </row>
    <row r="18">
      <c r="A18" s="175">
        <v>582750.0</v>
      </c>
      <c r="B18" s="176">
        <v>43463.0</v>
      </c>
      <c r="C18" s="159" t="str">
        <f t="array" ref="C18:G18">VLOOKUP(A18,'Tracker- Removed 2018'!B:Q,{2,5,6,8,10},false)</f>
        <v>Culture | How to Motivate your Team</v>
      </c>
      <c r="D18" s="30" t="s">
        <v>122</v>
      </c>
      <c r="E18" s="30" t="s">
        <v>123</v>
      </c>
      <c r="F18" s="30" t="s">
        <v>47</v>
      </c>
      <c r="G18" s="30" t="s">
        <v>47</v>
      </c>
    </row>
    <row r="19">
      <c r="A19" s="177">
        <v>1313542.0</v>
      </c>
      <c r="B19" s="176">
        <v>43463.0</v>
      </c>
      <c r="C19" s="159" t="str">
        <f t="array" ref="C19:G19">VLOOKUP(A19,'Tracker- Removed 2018'!B:Q,{2,5,6,8,10},false)</f>
        <v>Angular CLI - Mastering the Basics</v>
      </c>
      <c r="D19" s="30" t="s">
        <v>39</v>
      </c>
      <c r="E19" s="30" t="s">
        <v>140</v>
      </c>
      <c r="F19" s="30" t="s">
        <v>47</v>
      </c>
      <c r="G19" s="30" t="s">
        <v>47</v>
      </c>
    </row>
    <row r="20">
      <c r="A20" s="177">
        <v>822660.0</v>
      </c>
      <c r="B20" s="176">
        <v>43463.0</v>
      </c>
      <c r="C20" s="159" t="str">
        <f t="array" ref="C20:G20">VLOOKUP(A20,'Tracker- Removed 2018'!B:Q,{2,5,6,8,10},false)</f>
        <v>Pass the Unity Certified Developer Exam - Lifetime Access</v>
      </c>
      <c r="D20" s="30" t="s">
        <v>39</v>
      </c>
      <c r="E20" s="30" t="s">
        <v>214</v>
      </c>
      <c r="F20" s="30" t="s">
        <v>47</v>
      </c>
      <c r="G20" s="30" t="s">
        <v>47</v>
      </c>
    </row>
    <row r="21">
      <c r="A21" s="178">
        <v>540090.0</v>
      </c>
      <c r="B21" s="176">
        <v>43454.0</v>
      </c>
      <c r="C21" s="159" t="str">
        <f t="array" ref="C21:G21">VLOOKUP(A21,'Tracker- Removed 2018'!B:Q,{2,5,6,8,10},false)</f>
        <v>Record Voice Over Like A Pro - The Complete Guide</v>
      </c>
      <c r="D21" s="30" t="s">
        <v>105</v>
      </c>
      <c r="E21" s="30" t="s">
        <v>106</v>
      </c>
      <c r="F21" s="30" t="s">
        <v>47</v>
      </c>
      <c r="G21" s="30" t="s">
        <v>47</v>
      </c>
    </row>
    <row r="22">
      <c r="A22" s="178">
        <v>600264.0</v>
      </c>
      <c r="B22" s="176">
        <v>43454.0</v>
      </c>
      <c r="C22" s="159" t="str">
        <f t="array" ref="C22:G22">VLOOKUP(A22,'Tracker- Removed 2018'!B:Q,{2,5,6,8,10},false)</f>
        <v>Creative Training Techniques To Drive High Impact Learning!</v>
      </c>
      <c r="D22" s="30" t="s">
        <v>2958</v>
      </c>
      <c r="E22" s="30" t="s">
        <v>145</v>
      </c>
      <c r="F22" s="30" t="s">
        <v>47</v>
      </c>
      <c r="G22" s="30" t="s">
        <v>47</v>
      </c>
    </row>
    <row r="23">
      <c r="A23" s="178">
        <v>607006.0</v>
      </c>
      <c r="B23" s="176">
        <v>43454.0</v>
      </c>
      <c r="C23" s="159" t="str">
        <f t="array" ref="C23:G23">VLOOKUP(A23,'Tracker- Removed 2018'!B:Q,{2,5,6,8,10},false)</f>
        <v>Grow Excellent Performance By Building A Learning Culture</v>
      </c>
      <c r="D23" s="30" t="s">
        <v>2958</v>
      </c>
      <c r="E23" s="30" t="s">
        <v>145</v>
      </c>
      <c r="F23" s="30" t="s">
        <v>47</v>
      </c>
      <c r="G23" s="30" t="s">
        <v>47</v>
      </c>
    </row>
    <row r="24">
      <c r="A24" s="178">
        <v>585432.0</v>
      </c>
      <c r="B24" s="176">
        <v>43454.0</v>
      </c>
      <c r="C24" s="159" t="str">
        <f t="array" ref="C24:G24">VLOOKUP(A24,'Tracker- Removed 2018'!B:Q,{2,5,6,8,10},false)</f>
        <v>Create an Effective &amp; Engaging New Hire Orientation Program</v>
      </c>
      <c r="D24" s="30" t="s">
        <v>2958</v>
      </c>
      <c r="E24" s="30" t="s">
        <v>339</v>
      </c>
      <c r="F24" s="30" t="s">
        <v>47</v>
      </c>
      <c r="G24" s="30" t="s">
        <v>47</v>
      </c>
    </row>
    <row r="25">
      <c r="A25" s="178">
        <v>591940.0</v>
      </c>
      <c r="B25" s="176">
        <v>43454.0</v>
      </c>
      <c r="C25" s="159" t="str">
        <f t="array" ref="C25:G25">VLOOKUP(A25,'Tracker- Removed 2018'!B:Q,{2,5,6,8,10},false)</f>
        <v>Facilitate Energetic and Effective Team Building Sessions</v>
      </c>
      <c r="D25" s="30" t="s">
        <v>2958</v>
      </c>
      <c r="E25" s="30" t="s">
        <v>339</v>
      </c>
      <c r="F25" s="30" t="s">
        <v>47</v>
      </c>
      <c r="G25" s="30" t="s">
        <v>47</v>
      </c>
    </row>
    <row r="26">
      <c r="A26" s="178">
        <v>628254.0</v>
      </c>
      <c r="B26" s="176">
        <v>43454.0</v>
      </c>
      <c r="C26" s="159" t="str">
        <f t="array" ref="C26:G26">VLOOKUP(A26,'Tracker- Removed 2018'!B:Q,{2,5,6,8,10},false)</f>
        <v>Make It Count! -Show a Return on Investment with Training</v>
      </c>
      <c r="D26" s="30" t="s">
        <v>2958</v>
      </c>
      <c r="E26" s="30" t="s">
        <v>145</v>
      </c>
      <c r="F26" s="30" t="s">
        <v>47</v>
      </c>
      <c r="G26" s="30" t="s">
        <v>47</v>
      </c>
    </row>
    <row r="27">
      <c r="A27" s="179">
        <v>351142.0</v>
      </c>
      <c r="B27" s="176">
        <v>43437.0</v>
      </c>
      <c r="C27" s="159" t="str">
        <f t="array" ref="C27:G27">VLOOKUP(A27,'Tracker- Removed 2018'!B:Q,{2,5,6,8,10},false)</f>
        <v>Personal Communication-Introduce Yourself With Confidence</v>
      </c>
      <c r="D27" s="30" t="s">
        <v>122</v>
      </c>
      <c r="E27" s="30" t="s">
        <v>271</v>
      </c>
      <c r="F27" s="30" t="s">
        <v>47</v>
      </c>
      <c r="G27" s="30" t="s">
        <v>47</v>
      </c>
    </row>
    <row r="28">
      <c r="A28" s="179">
        <v>322302.0</v>
      </c>
      <c r="B28" s="176">
        <v>43437.0</v>
      </c>
      <c r="C28" s="159" t="str">
        <f t="array" ref="C28:G28">VLOOKUP(A28,'Tracker- Removed 2018'!B:Q,{2,5,6,8,10},false)</f>
        <v>Interviewing Skills: Conducting Job Interviews</v>
      </c>
      <c r="D28" s="30" t="s">
        <v>2958</v>
      </c>
      <c r="E28" s="30" t="s">
        <v>339</v>
      </c>
      <c r="F28" s="30" t="s">
        <v>47</v>
      </c>
      <c r="G28" s="30" t="s">
        <v>47</v>
      </c>
    </row>
    <row r="29">
      <c r="A29" s="179">
        <v>363894.0</v>
      </c>
      <c r="B29" s="176">
        <v>43437.0</v>
      </c>
      <c r="C29" s="159" t="str">
        <f t="array" ref="C29:G29">VLOOKUP(A29,'Tracker- Removed 2018'!B:Q,{2,5,6,8,10},false)</f>
        <v>PowerPoint Presentations: Deliver a Non-Boring Presentation</v>
      </c>
      <c r="D29" s="30" t="s">
        <v>189</v>
      </c>
      <c r="E29" s="30" t="s">
        <v>448</v>
      </c>
      <c r="F29" s="30" t="s">
        <v>47</v>
      </c>
      <c r="G29" s="30" t="s">
        <v>47</v>
      </c>
    </row>
    <row r="30">
      <c r="A30" s="179">
        <v>864886.0</v>
      </c>
      <c r="B30" s="176">
        <v>43437.0</v>
      </c>
      <c r="C30" s="159" t="str">
        <f t="array" ref="C30:G30">VLOOKUP(A30,'Tracker- Removed 2018'!B:Q,{2,5,6,8,10},false)</f>
        <v>Agile Retrospective: Continuous Improvement+Kaizen wth Scrum</v>
      </c>
      <c r="D30" s="30" t="s">
        <v>39</v>
      </c>
      <c r="E30" s="30" t="s">
        <v>50</v>
      </c>
      <c r="F30" s="30" t="s">
        <v>47</v>
      </c>
      <c r="G30" s="30" t="s">
        <v>47</v>
      </c>
    </row>
    <row r="31">
      <c r="A31" s="179">
        <v>630762.0</v>
      </c>
      <c r="B31" s="176">
        <v>43437.0</v>
      </c>
      <c r="C31" s="159" t="str">
        <f t="array" ref="C31:G31">VLOOKUP(A31,'Tracker- Removed 2018'!B:Q,{2,5,6,8,10},false)</f>
        <v>Powershell For Beginners</v>
      </c>
      <c r="D31" s="30" t="s">
        <v>45</v>
      </c>
      <c r="E31" s="30" t="s">
        <v>172</v>
      </c>
      <c r="F31" s="30" t="s">
        <v>47</v>
      </c>
      <c r="G31" s="30" t="s">
        <v>47</v>
      </c>
    </row>
    <row r="32">
      <c r="A32" s="179">
        <v>1020162.0</v>
      </c>
      <c r="B32" s="176">
        <v>43437.0</v>
      </c>
      <c r="C32" s="159" t="str">
        <f t="array" ref="C32:G32">VLOOKUP(A32,'Tracker- Removed 2018'!B:Q,{2,5,6,8,10},false)</f>
        <v>Selenium Webdriver Automation(Basics to Advanced +Interview)</v>
      </c>
      <c r="D32" s="30" t="s">
        <v>39</v>
      </c>
      <c r="E32" s="30" t="s">
        <v>40</v>
      </c>
      <c r="F32" s="30" t="s">
        <v>47</v>
      </c>
      <c r="G32" s="30" t="s">
        <v>47</v>
      </c>
    </row>
    <row r="33">
      <c r="A33" s="179">
        <v>1518052.0</v>
      </c>
      <c r="B33" s="176">
        <v>43437.0</v>
      </c>
      <c r="C33" s="159" t="str">
        <f t="array" ref="C33:G33">VLOOKUP(A33,'Tracker- Removed 2018'!B:Q,{2,5,6,8,10},false)</f>
        <v>Analytics for Human Resources</v>
      </c>
      <c r="D33" s="30" t="s">
        <v>63</v>
      </c>
      <c r="E33" s="30" t="s">
        <v>64</v>
      </c>
      <c r="F33" s="30" t="s">
        <v>47</v>
      </c>
      <c r="G33" s="30" t="s">
        <v>47</v>
      </c>
    </row>
    <row r="34">
      <c r="A34" s="179">
        <v>1305097.0</v>
      </c>
      <c r="B34" s="176">
        <v>43434.0</v>
      </c>
      <c r="C34" s="159" t="str">
        <f t="array" ref="C34:G34">VLOOKUP(A34,'Tracker- Removed 2018'!B:Q,{2,5,6,8,10},false)</f>
        <v>Taming the E-mail Etiquette Beast</v>
      </c>
      <c r="D34" s="30" t="s">
        <v>122</v>
      </c>
      <c r="E34" s="30" t="s">
        <v>271</v>
      </c>
      <c r="F34" s="30" t="s">
        <v>47</v>
      </c>
      <c r="G34" s="30" t="s">
        <v>47</v>
      </c>
    </row>
    <row r="35">
      <c r="A35" s="179">
        <v>1231362.0</v>
      </c>
      <c r="B35" s="176">
        <v>43434.0</v>
      </c>
      <c r="C35" s="159" t="str">
        <f t="array" ref="C35:G35">VLOOKUP(A35,'Tracker- Removed 2018'!B:Q,{2,5,6,8,10},false)</f>
        <v>Effectively Dealing with Difficult People</v>
      </c>
      <c r="D35" s="30" t="s">
        <v>122</v>
      </c>
      <c r="E35" s="30" t="s">
        <v>271</v>
      </c>
      <c r="F35" s="30" t="s">
        <v>47</v>
      </c>
      <c r="G35" s="30" t="s">
        <v>47</v>
      </c>
    </row>
    <row r="36">
      <c r="A36" s="179">
        <v>362738.0</v>
      </c>
      <c r="B36" s="176">
        <v>43434.0</v>
      </c>
      <c r="C36" s="159" t="str">
        <f t="array" ref="C36:G36">VLOOKUP(A36,'Tracker- Removed 2018'!B:Q,{2,5,6,8,10},false)</f>
        <v>Business Networking  for Introverts and Extroverts - Part 1</v>
      </c>
      <c r="D36" s="30" t="s">
        <v>122</v>
      </c>
      <c r="E36" s="30" t="s">
        <v>271</v>
      </c>
      <c r="F36" s="30" t="s">
        <v>47</v>
      </c>
      <c r="G36" s="30" t="s">
        <v>47</v>
      </c>
    </row>
    <row r="37">
      <c r="A37" s="179">
        <v>379578.0</v>
      </c>
      <c r="B37" s="176">
        <v>43434.0</v>
      </c>
      <c r="C37" s="159" t="str">
        <f t="array" ref="C37:G37">VLOOKUP(A37,'Tracker- Removed 2018'!B:Q,{2,5,6,8,10},false)</f>
        <v>Maximize Your Earning Potential through Business Networking!</v>
      </c>
      <c r="D37" s="30" t="s">
        <v>122</v>
      </c>
      <c r="E37" s="30" t="s">
        <v>271</v>
      </c>
      <c r="F37" s="30" t="s">
        <v>47</v>
      </c>
      <c r="G37" s="30" t="s">
        <v>47</v>
      </c>
    </row>
    <row r="38">
      <c r="A38" s="179">
        <v>1247610.0</v>
      </c>
      <c r="B38" s="176">
        <v>43434.0</v>
      </c>
      <c r="C38" s="159" t="str">
        <f t="array" ref="C38:G38">VLOOKUP(A38,'Tracker- Removed 2018'!B:Q,{2,5,6,8,10},false)</f>
        <v>Effective Workplace Conflict Resolution</v>
      </c>
      <c r="D38" s="30" t="s">
        <v>122</v>
      </c>
      <c r="E38" s="30" t="s">
        <v>271</v>
      </c>
      <c r="F38" s="30" t="s">
        <v>47</v>
      </c>
      <c r="G38" s="30" t="s">
        <v>47</v>
      </c>
    </row>
    <row r="39">
      <c r="A39" s="179">
        <v>545168.0</v>
      </c>
      <c r="B39" s="176">
        <v>43434.0</v>
      </c>
      <c r="C39" s="159" t="str">
        <f t="array" ref="C39:G39">VLOOKUP(A39,'Tracker- Removed 2018'!B:Q,{2,5,6,8,10},false)</f>
        <v>Leadership | How to Understand your Brand</v>
      </c>
      <c r="D39" s="30" t="s">
        <v>122</v>
      </c>
      <c r="E39" s="30" t="s">
        <v>123</v>
      </c>
      <c r="F39" s="30" t="s">
        <v>47</v>
      </c>
      <c r="G39" s="30" t="s">
        <v>47</v>
      </c>
    </row>
    <row r="40">
      <c r="A40" s="179">
        <v>1321070.0</v>
      </c>
      <c r="B40" s="176">
        <v>43434.0</v>
      </c>
      <c r="C40" s="159" t="str">
        <f t="array" ref="C40:G40">VLOOKUP(A40,'Tracker- Removed 2018'!B:Q,{2,5,6,8,10},false)</f>
        <v>Traits and Skills of the Ethical Leader</v>
      </c>
      <c r="D40" s="30" t="s">
        <v>122</v>
      </c>
      <c r="E40" s="30" t="s">
        <v>123</v>
      </c>
      <c r="F40" s="30" t="s">
        <v>47</v>
      </c>
      <c r="G40" s="30" t="s">
        <v>47</v>
      </c>
    </row>
    <row r="41">
      <c r="A41" s="179">
        <v>1321126.0</v>
      </c>
      <c r="B41" s="176">
        <v>43434.0</v>
      </c>
      <c r="C41" s="159" t="str">
        <f t="array" ref="C41:G41">VLOOKUP(A41,'Tracker- Removed 2018'!B:Q,{2,5,6,8,10},false)</f>
        <v>Generational and Cultural Considerations Of A Good Manager</v>
      </c>
      <c r="D41" s="30" t="s">
        <v>122</v>
      </c>
      <c r="E41" s="30" t="s">
        <v>123</v>
      </c>
      <c r="F41" s="30" t="s">
        <v>47</v>
      </c>
      <c r="G41" s="30" t="s">
        <v>47</v>
      </c>
    </row>
    <row r="42">
      <c r="A42" s="179">
        <v>1315856.0</v>
      </c>
      <c r="B42" s="176">
        <v>43434.0</v>
      </c>
      <c r="C42" s="159" t="str">
        <f t="array" ref="C42:G42">VLOOKUP(A42,'Tracker- Removed 2018'!B:Q,{2,5,6,8,10},false)</f>
        <v>Traits and Skills Of A Good Manager</v>
      </c>
      <c r="D42" s="30" t="s">
        <v>122</v>
      </c>
      <c r="E42" s="30" t="s">
        <v>123</v>
      </c>
      <c r="F42" s="30" t="s">
        <v>47</v>
      </c>
      <c r="G42" s="30" t="s">
        <v>47</v>
      </c>
    </row>
    <row r="43">
      <c r="A43" s="179">
        <v>528282.0</v>
      </c>
      <c r="B43" s="176">
        <v>43434.0</v>
      </c>
      <c r="C43" s="159" t="str">
        <f t="array" ref="C43:G43">VLOOKUP(A43,'Tracker- Removed 2018'!B:Q,{2,5,6,8,10},false)</f>
        <v>Leadership | How to Create their ‘Walk in the Door’ Moments</v>
      </c>
      <c r="D43" s="30" t="s">
        <v>122</v>
      </c>
      <c r="E43" s="30" t="s">
        <v>123</v>
      </c>
      <c r="F43" s="30" t="s">
        <v>47</v>
      </c>
      <c r="G43" s="30" t="s">
        <v>47</v>
      </c>
    </row>
    <row r="44">
      <c r="A44" s="179">
        <v>474404.0</v>
      </c>
      <c r="B44" s="176">
        <v>43434.0</v>
      </c>
      <c r="C44" s="159" t="str">
        <f t="array" ref="C44:G44">VLOOKUP(A44,'Tracker- Removed 2018'!B:Q,{2,5,6,8,10},false)</f>
        <v>Coaching for Managers</v>
      </c>
      <c r="D44" s="30" t="s">
        <v>122</v>
      </c>
      <c r="E44" s="30" t="s">
        <v>538</v>
      </c>
      <c r="F44" s="30" t="s">
        <v>47</v>
      </c>
      <c r="G44" s="30" t="s">
        <v>47</v>
      </c>
    </row>
    <row r="45">
      <c r="A45" s="179">
        <v>1415858.0</v>
      </c>
      <c r="B45" s="176">
        <v>43434.0</v>
      </c>
      <c r="C45" s="159" t="str">
        <f t="array" ref="C45:G45">VLOOKUP(A45,'Tracker- Removed 2018'!B:Q,{2,5,6,8,10},false)</f>
        <v>Leading Effective One-on-One Meetings: Practical Skills</v>
      </c>
      <c r="D45" s="30" t="s">
        <v>122</v>
      </c>
      <c r="E45" s="30" t="s">
        <v>123</v>
      </c>
      <c r="F45" s="30" t="s">
        <v>47</v>
      </c>
      <c r="G45" s="30" t="s">
        <v>47</v>
      </c>
    </row>
    <row r="46">
      <c r="A46" s="179">
        <v>1049496.0</v>
      </c>
      <c r="B46" s="176">
        <v>43434.0</v>
      </c>
      <c r="C46" s="159" t="str">
        <f t="array" ref="C46:G46">VLOOKUP(A46,'Tracker- Removed 2018'!B:Q,{2,5,6,8,10},false)</f>
        <v>Improve your Management Coaching &amp; Communication Skills</v>
      </c>
      <c r="D46" s="30" t="s">
        <v>122</v>
      </c>
      <c r="E46" s="30" t="s">
        <v>123</v>
      </c>
      <c r="F46" s="30" t="s">
        <v>47</v>
      </c>
      <c r="G46" s="30" t="s">
        <v>47</v>
      </c>
    </row>
    <row r="47">
      <c r="A47" s="179">
        <v>524862.0</v>
      </c>
      <c r="B47" s="176">
        <v>43434.0</v>
      </c>
      <c r="C47" s="159" t="str">
        <f t="array" ref="C47:G47">VLOOKUP(A47,'Tracker- Removed 2018'!B:Q,{2,5,6,8,10},false)</f>
        <v>Leadership | How to Lead to Engagement</v>
      </c>
      <c r="D47" s="30" t="s">
        <v>122</v>
      </c>
      <c r="E47" s="30" t="s">
        <v>123</v>
      </c>
      <c r="F47" s="30" t="s">
        <v>47</v>
      </c>
      <c r="G47" s="30" t="s">
        <v>47</v>
      </c>
    </row>
    <row r="48">
      <c r="A48" s="179">
        <v>1436050.0</v>
      </c>
      <c r="B48" s="176">
        <v>43434.0</v>
      </c>
      <c r="C48" s="159" t="str">
        <f t="array" ref="C48:G48">VLOOKUP(A48,'Tracker- Removed 2018'!B:Q,{2,5,6,8,10},false)</f>
        <v>How to Be a Goal Crusher: Attaining Success in the Workplace</v>
      </c>
      <c r="D48" s="30" t="s">
        <v>122</v>
      </c>
      <c r="E48" s="30" t="s">
        <v>538</v>
      </c>
      <c r="F48" s="30" t="s">
        <v>47</v>
      </c>
      <c r="G48" s="30" t="s">
        <v>47</v>
      </c>
    </row>
    <row r="49">
      <c r="A49" s="179">
        <v>1258690.0</v>
      </c>
      <c r="B49" s="176">
        <v>43434.0</v>
      </c>
      <c r="C49" s="159" t="str">
        <f t="array" ref="C49:G49">VLOOKUP(A49,'Tracker- Removed 2018'!B:Q,{2,5,6,8,10},false)</f>
        <v>Learn How to Think Like a Visionary</v>
      </c>
      <c r="D49" s="30" t="s">
        <v>122</v>
      </c>
      <c r="E49" s="30" t="s">
        <v>127</v>
      </c>
      <c r="F49" s="30" t="s">
        <v>47</v>
      </c>
      <c r="G49" s="30" t="s">
        <v>47</v>
      </c>
    </row>
    <row r="50">
      <c r="A50" s="179">
        <v>1263368.0</v>
      </c>
      <c r="B50" s="176">
        <v>43434.0</v>
      </c>
      <c r="C50" s="159" t="str">
        <f t="array" ref="C50:G50">VLOOKUP(A50,'Tracker- Removed 2018'!B:Q,{2,5,6,8,10},false)</f>
        <v>Presentation Skills for Leaders</v>
      </c>
      <c r="D50" s="30" t="s">
        <v>122</v>
      </c>
      <c r="E50" s="30" t="s">
        <v>271</v>
      </c>
      <c r="F50" s="30" t="s">
        <v>47</v>
      </c>
      <c r="G50" s="30" t="s">
        <v>47</v>
      </c>
    </row>
    <row r="51">
      <c r="A51" s="179">
        <v>512372.0</v>
      </c>
      <c r="B51" s="176">
        <v>43434.0</v>
      </c>
      <c r="C51" s="159" t="str">
        <f t="array" ref="C51:G51">VLOOKUP(A51,'Tracker- Removed 2018'!B:Q,{2,5,6,8,10},false)</f>
        <v>Leading Team Planning for Digital Transformation</v>
      </c>
      <c r="D51" s="30" t="s">
        <v>122</v>
      </c>
      <c r="E51" s="30" t="s">
        <v>127</v>
      </c>
      <c r="F51" s="30" t="s">
        <v>47</v>
      </c>
      <c r="G51" s="30" t="s">
        <v>47</v>
      </c>
    </row>
    <row r="52">
      <c r="A52" s="179">
        <v>572912.0</v>
      </c>
      <c r="B52" s="176">
        <v>43434.0</v>
      </c>
      <c r="C52" s="159" t="str">
        <f t="array" ref="C52:G52">VLOOKUP(A52,'Tracker- Removed 2018'!B:Q,{2,5,6,8,10},false)</f>
        <v>3X Confidence and Authenticity Masterclass Programme</v>
      </c>
      <c r="D52" s="30" t="s">
        <v>58</v>
      </c>
      <c r="E52" s="30" t="s">
        <v>59</v>
      </c>
      <c r="F52" s="30" t="s">
        <v>47</v>
      </c>
      <c r="G52" s="30" t="s">
        <v>47</v>
      </c>
    </row>
    <row r="53">
      <c r="A53" s="179">
        <v>341496.0</v>
      </c>
      <c r="B53" s="176">
        <v>43434.0</v>
      </c>
      <c r="C53" s="159" t="str">
        <f t="array" ref="C53:G53">VLOOKUP(A53,'Tracker- Removed 2018'!B:Q,{2,5,6,8,10},false)</f>
        <v>Conference Calls-You Can Present Well On Any Conference Call</v>
      </c>
      <c r="D53" s="30" t="s">
        <v>122</v>
      </c>
      <c r="E53" s="30" t="s">
        <v>271</v>
      </c>
      <c r="F53" s="30" t="s">
        <v>47</v>
      </c>
      <c r="G53" s="30" t="s">
        <v>47</v>
      </c>
    </row>
    <row r="54">
      <c r="A54" s="179">
        <v>363072.0</v>
      </c>
      <c r="B54" s="176">
        <v>43434.0</v>
      </c>
      <c r="C54" s="159" t="str">
        <f t="array" ref="C54:G54">VLOOKUP(A54,'Tracker- Removed 2018'!B:Q,{2,5,6,8,10},false)</f>
        <v>Persuasion: Give a Persuasive Presentation</v>
      </c>
      <c r="D54" s="30" t="s">
        <v>122</v>
      </c>
      <c r="E54" s="30" t="s">
        <v>271</v>
      </c>
      <c r="F54" s="30" t="s">
        <v>47</v>
      </c>
      <c r="G54" s="30" t="s">
        <v>47</v>
      </c>
    </row>
    <row r="55">
      <c r="A55" s="179">
        <v>1293894.0</v>
      </c>
      <c r="B55" s="176">
        <v>43434.0</v>
      </c>
      <c r="C55" s="159" t="str">
        <f t="array" ref="C55:G55">VLOOKUP(A55,'Tracker- Removed 2018'!B:Q,{2,5,6,8,10},false)</f>
        <v>The Cryptocurrency Bible™  | Bitcoin, Ethereum, Altcoin...</v>
      </c>
      <c r="D55" s="30" t="s">
        <v>96</v>
      </c>
      <c r="E55" s="30" t="s">
        <v>109</v>
      </c>
      <c r="F55" s="30" t="s">
        <v>47</v>
      </c>
      <c r="G55" s="30" t="s">
        <v>47</v>
      </c>
    </row>
    <row r="56">
      <c r="A56" s="179">
        <v>692176.0</v>
      </c>
      <c r="B56" s="176">
        <v>43434.0</v>
      </c>
      <c r="C56" s="159" t="str">
        <f t="array" ref="C56:G56">VLOOKUP(A56,'Tracker- Removed 2018'!B:Q,{2,5,6,8,10},false)</f>
        <v>Apply finance concepts for smart project management</v>
      </c>
      <c r="D56" s="30" t="s">
        <v>79</v>
      </c>
      <c r="E56" s="30" t="s">
        <v>998</v>
      </c>
      <c r="F56" s="30" t="s">
        <v>47</v>
      </c>
      <c r="G56" s="30" t="s">
        <v>47</v>
      </c>
    </row>
    <row r="57">
      <c r="A57" s="179">
        <v>955464.0</v>
      </c>
      <c r="B57" s="176">
        <v>43434.0</v>
      </c>
      <c r="C57" s="159" t="str">
        <f t="array" ref="C57:G57">VLOOKUP(A57,'Tracker- Removed 2018'!B:Q,{2,5,6,8,10},false)</f>
        <v>Beginners' guide to Cloud Computing and OpenStack</v>
      </c>
      <c r="D57" s="30" t="s">
        <v>101</v>
      </c>
      <c r="E57" s="30" t="s">
        <v>754</v>
      </c>
      <c r="F57" s="30" t="s">
        <v>47</v>
      </c>
      <c r="G57" s="30" t="s">
        <v>47</v>
      </c>
    </row>
    <row r="58">
      <c r="A58" s="179">
        <v>1134580.0</v>
      </c>
      <c r="B58" s="176">
        <v>43434.0</v>
      </c>
      <c r="C58" s="159" t="str">
        <f t="array" ref="C58:G58">VLOOKUP(A58,'Tracker- Removed 2018'!B:Q,{2,5,6,8,10},false)</f>
        <v>ElasticSearch, LogStash, Kibana ELK #1 - Learn ElasticSearch</v>
      </c>
      <c r="D58" s="30" t="s">
        <v>39</v>
      </c>
      <c r="E58" s="30" t="s">
        <v>297</v>
      </c>
      <c r="F58" s="30" t="s">
        <v>47</v>
      </c>
      <c r="G58" s="30" t="s">
        <v>47</v>
      </c>
    </row>
    <row r="59">
      <c r="A59" s="179">
        <v>41016.0</v>
      </c>
      <c r="B59" s="176">
        <v>43434.0</v>
      </c>
      <c r="C59" s="159" t="str">
        <f t="array" ref="C59:G59">VLOOKUP(A59,'Tracker- Removed 2018'!B:Q,{2,5,6,8,10},false)</f>
        <v>Robust Scrum Master</v>
      </c>
      <c r="D59" s="30" t="s">
        <v>39</v>
      </c>
      <c r="E59" s="30" t="s">
        <v>50</v>
      </c>
      <c r="F59" s="30" t="s">
        <v>47</v>
      </c>
      <c r="G59" s="30" t="s">
        <v>47</v>
      </c>
    </row>
    <row r="60">
      <c r="A60" s="179">
        <v>939504.0</v>
      </c>
      <c r="B60" s="176">
        <v>43434.0</v>
      </c>
      <c r="C60" s="159" t="str">
        <f t="array" ref="C60:G60">VLOOKUP(A60,'Tracker- Removed 2018'!B:Q,{2,5,6,8,10},false)</f>
        <v>Apache Cassandra Certification Training</v>
      </c>
      <c r="D60" s="30" t="s">
        <v>63</v>
      </c>
      <c r="E60" s="30" t="s">
        <v>115</v>
      </c>
      <c r="F60" s="30" t="s">
        <v>47</v>
      </c>
      <c r="G60" s="30" t="s">
        <v>47</v>
      </c>
    </row>
    <row r="61">
      <c r="A61" s="179">
        <v>766052.0</v>
      </c>
      <c r="B61" s="176">
        <v>43434.0</v>
      </c>
      <c r="C61" s="159" t="str">
        <f t="array" ref="C61:G61">VLOOKUP(A61,'Tracker- Removed 2018'!B:Q,{2,5,6,8,10},false)</f>
        <v>Talend For Big Data Integration Course : Beginner to Expert</v>
      </c>
      <c r="D61" s="30" t="s">
        <v>63</v>
      </c>
      <c r="E61" s="30" t="s">
        <v>115</v>
      </c>
      <c r="F61" s="30" t="s">
        <v>47</v>
      </c>
      <c r="G61" s="30" t="s">
        <v>47</v>
      </c>
    </row>
    <row r="62">
      <c r="A62" s="179">
        <v>509344.0</v>
      </c>
      <c r="B62" s="176">
        <v>43434.0</v>
      </c>
      <c r="C62" s="159" t="str">
        <f t="array" ref="C62:G62">VLOOKUP(A62,'Tracker- Removed 2018'!B:Q,{2,5,6,8,10},false)</f>
        <v>Building a Digital Business Strategy</v>
      </c>
      <c r="D62" s="30" t="s">
        <v>122</v>
      </c>
      <c r="E62" s="30" t="s">
        <v>127</v>
      </c>
      <c r="F62" s="30" t="s">
        <v>47</v>
      </c>
      <c r="G62" s="30" t="s">
        <v>47</v>
      </c>
    </row>
    <row r="63">
      <c r="A63" s="179">
        <v>876096.0</v>
      </c>
      <c r="B63" s="176">
        <v>43434.0</v>
      </c>
      <c r="C63" s="159" t="str">
        <f t="array" ref="C63:G63">VLOOKUP(A63,'Tracker- Removed 2018'!B:Q,{2,5,6,8,10},false)</f>
        <v>Docker, Apache Mesos &amp; DCOS: Run and manage cloud datacenter</v>
      </c>
      <c r="D63" s="30" t="s">
        <v>39</v>
      </c>
      <c r="E63" s="30" t="s">
        <v>50</v>
      </c>
      <c r="F63" s="30" t="s">
        <v>47</v>
      </c>
      <c r="G63" s="30" t="s">
        <v>47</v>
      </c>
    </row>
    <row r="64">
      <c r="A64" s="179">
        <v>1047572.0</v>
      </c>
      <c r="B64" s="176">
        <v>43434.0</v>
      </c>
      <c r="C64" s="159" t="str">
        <f t="array" ref="C64:G64">VLOOKUP(A64,'Tracker- Removed 2018'!B:Q,{2,5,6,8,10},false)</f>
        <v>Forecast Anything with Excel</v>
      </c>
      <c r="D64" s="30" t="s">
        <v>96</v>
      </c>
      <c r="E64" s="30" t="s">
        <v>131</v>
      </c>
      <c r="F64" s="30" t="s">
        <v>47</v>
      </c>
      <c r="G64" s="30" t="s">
        <v>47</v>
      </c>
    </row>
    <row r="65">
      <c r="A65" s="179">
        <v>1214140.0</v>
      </c>
      <c r="B65" s="176">
        <v>43434.0</v>
      </c>
      <c r="C65" s="159" t="str">
        <f t="array" ref="C65:G65">VLOOKUP(A65,'Tracker- Removed 2018'!B:Q,{2,5,6,8,10},false)</f>
        <v>Mastering Thinking Skills Vol 1: The 12 Fundamental Skills</v>
      </c>
      <c r="D65" s="30" t="s">
        <v>122</v>
      </c>
      <c r="E65" s="30" t="s">
        <v>127</v>
      </c>
      <c r="F65" s="30" t="s">
        <v>47</v>
      </c>
      <c r="G65" s="30" t="s">
        <v>47</v>
      </c>
    </row>
    <row r="66">
      <c r="A66" s="179">
        <v>1262214.0</v>
      </c>
      <c r="B66" s="176">
        <v>43434.0</v>
      </c>
      <c r="C66" s="159" t="str">
        <f t="array" ref="C66:G66">VLOOKUP(A66,'Tracker- Removed 2018'!B:Q,{2,5,6,8,10},false)</f>
        <v>Ethical and Professional Human Resources (HR)</v>
      </c>
      <c r="D66" s="30" t="s">
        <v>2958</v>
      </c>
      <c r="E66" s="30" t="s">
        <v>311</v>
      </c>
      <c r="F66" s="30" t="s">
        <v>47</v>
      </c>
      <c r="G66" s="30" t="s">
        <v>47</v>
      </c>
    </row>
    <row r="67">
      <c r="A67" s="179">
        <v>1223900.0</v>
      </c>
      <c r="B67" s="176">
        <v>43434.0</v>
      </c>
      <c r="C67" s="159" t="str">
        <f t="array" ref="C67:G67">VLOOKUP(A67,'Tracker- Removed 2018'!B:Q,{2,5,6,8,10},false)</f>
        <v>Cryptocurrency Investment Course 2018: Fund your Retirement!</v>
      </c>
      <c r="D67" s="30" t="s">
        <v>96</v>
      </c>
      <c r="E67" s="30" t="s">
        <v>109</v>
      </c>
      <c r="F67" s="30" t="s">
        <v>47</v>
      </c>
      <c r="G67" s="30" t="s">
        <v>47</v>
      </c>
    </row>
    <row r="68">
      <c r="A68" s="179">
        <v>1112282.0</v>
      </c>
      <c r="B68" s="176">
        <v>43434.0</v>
      </c>
      <c r="C68" s="159" t="str">
        <f t="array" ref="C68:G68">VLOOKUP(A68,'Tracker- Removed 2018'!B:Q,{2,5,6,8,10},false)</f>
        <v>Mastering Magento 2</v>
      </c>
      <c r="D68" s="30" t="s">
        <v>39</v>
      </c>
      <c r="E68" s="30" t="s">
        <v>140</v>
      </c>
      <c r="F68" s="30" t="s">
        <v>47</v>
      </c>
      <c r="G68" s="30" t="s">
        <v>47</v>
      </c>
    </row>
    <row r="69">
      <c r="A69" s="179">
        <v>671552.0</v>
      </c>
      <c r="B69" s="176">
        <v>43434.0</v>
      </c>
      <c r="C69" s="159" t="str">
        <f t="array" ref="C69:G69">VLOOKUP(A69,'Tracker- Removed 2018'!B:Q,{2,5,6,8,10},false)</f>
        <v>React and Flux Web Development for Beginners</v>
      </c>
      <c r="D69" s="30" t="s">
        <v>39</v>
      </c>
      <c r="E69" s="30" t="s">
        <v>140</v>
      </c>
      <c r="F69" s="30" t="s">
        <v>47</v>
      </c>
      <c r="G69" s="30" t="s">
        <v>47</v>
      </c>
    </row>
    <row r="70">
      <c r="A70" s="179">
        <v>1397392.0</v>
      </c>
      <c r="B70" s="176">
        <v>43434.0</v>
      </c>
      <c r="C70" s="159" t="str">
        <f t="array" ref="C70:G70">VLOOKUP(A70,'Tracker- Removed 2018'!B:Q,{2,5,6,8,10},false)</f>
        <v>Android Advanced Guide to Create A RESTFul API Client App</v>
      </c>
      <c r="D70" s="30" t="s">
        <v>39</v>
      </c>
      <c r="E70" s="30" t="s">
        <v>140</v>
      </c>
      <c r="F70" s="30" t="s">
        <v>47</v>
      </c>
      <c r="G70" s="30" t="s">
        <v>47</v>
      </c>
    </row>
    <row r="71">
      <c r="A71" s="179">
        <v>324736.0</v>
      </c>
      <c r="B71" s="176">
        <v>43434.0</v>
      </c>
      <c r="C71" s="159" t="str">
        <f t="array" ref="C71:G71">VLOOKUP(A71,'Tracker- Removed 2018'!B:Q,{2,5,6,8,10},false)</f>
        <v>PRINCE2® Foundation and Practitioner Certification Training</v>
      </c>
      <c r="D71" s="30" t="s">
        <v>79</v>
      </c>
      <c r="E71" s="30" t="s">
        <v>261</v>
      </c>
      <c r="F71" s="30" t="s">
        <v>47</v>
      </c>
      <c r="G71" s="30" t="s">
        <v>47</v>
      </c>
    </row>
    <row r="72">
      <c r="A72" s="179">
        <v>1949970.0</v>
      </c>
      <c r="B72" s="176">
        <v>43420.0</v>
      </c>
      <c r="C72" s="159" t="str">
        <f t="array" ref="C72:G72">VLOOKUP(A72,'Tracker- Removed 2018'!B:Q,{2,5,6,8,10},false)</f>
        <v>Complete Penetration Testing and Ethical Hacking: Hands-On</v>
      </c>
      <c r="D72" s="30"/>
      <c r="E72" s="30"/>
      <c r="F72" s="30" t="s">
        <v>47</v>
      </c>
      <c r="G72" s="30" t="s">
        <v>47</v>
      </c>
    </row>
    <row r="73">
      <c r="A73" s="179">
        <v>1312698.0</v>
      </c>
      <c r="B73" s="176">
        <v>43419.0</v>
      </c>
      <c r="C73" s="159" t="str">
        <f t="array" ref="C73:G73">VLOOKUP(A73,'Tracker- Removed 2018'!B:Q,{2,5,6,8,10},false)</f>
        <v>Psychology of Real, Sustainable Happiness and Beating Stress</v>
      </c>
      <c r="D73" s="30" t="s">
        <v>58</v>
      </c>
      <c r="E73" s="30" t="s">
        <v>59</v>
      </c>
      <c r="F73" s="30" t="s">
        <v>47</v>
      </c>
      <c r="G73" s="30" t="s">
        <v>47</v>
      </c>
    </row>
    <row r="74">
      <c r="A74" s="179">
        <v>1347516.0</v>
      </c>
      <c r="B74" s="176">
        <v>43419.0</v>
      </c>
      <c r="C74" s="159" t="str">
        <f t="array" ref="C74:G74">VLOOKUP(A74,'Tracker- Removed 2018'!B:Q,{2,5,6,8,10},false)</f>
        <v>Digital Marketing- The Formula for branding and sales growth</v>
      </c>
      <c r="D74" s="30" t="s">
        <v>83</v>
      </c>
      <c r="E74" s="30" t="s">
        <v>147</v>
      </c>
      <c r="F74" s="30" t="s">
        <v>47</v>
      </c>
      <c r="G74" s="30" t="s">
        <v>47</v>
      </c>
    </row>
    <row r="75">
      <c r="A75" s="179">
        <v>1135004.0</v>
      </c>
      <c r="B75" s="176">
        <v>43419.0</v>
      </c>
      <c r="C75" s="159" t="str">
        <f t="array" ref="C75:G75">VLOOKUP(A75,'Tracker- Removed 2018'!B:Q,{2,5,6,8,10},false)</f>
        <v>Quick and Radical Tips on Selling - How to Sell like a Beast</v>
      </c>
      <c r="D75" s="30" t="s">
        <v>219</v>
      </c>
      <c r="E75" s="30" t="s">
        <v>220</v>
      </c>
      <c r="F75" s="30" t="s">
        <v>47</v>
      </c>
      <c r="G75" s="30" t="s">
        <v>47</v>
      </c>
    </row>
    <row r="76">
      <c r="A76" s="179">
        <v>571690.0</v>
      </c>
      <c r="B76" s="176">
        <v>43413.0</v>
      </c>
      <c r="C76" s="159" t="str">
        <f t="array" ref="C76:G76">VLOOKUP(A76,'Tracker- Removed 2018'!B:Q,{2,5,6,8,10},false)</f>
        <v>Db2 LUW - Database Administration &amp; Certification Workshop</v>
      </c>
      <c r="D76" s="30" t="s">
        <v>45</v>
      </c>
      <c r="E76" s="30" t="s">
        <v>324</v>
      </c>
      <c r="F76" s="30" t="s">
        <v>47</v>
      </c>
      <c r="G76" s="30" t="s">
        <v>47</v>
      </c>
    </row>
    <row r="77">
      <c r="A77" s="180">
        <v>766614.0</v>
      </c>
      <c r="B77" s="176">
        <v>43404.0</v>
      </c>
      <c r="C77" s="159" t="str">
        <f t="array" ref="C77:G77">VLOOKUP(A77,'Tracker- Removed 2018'!B:Q,{2,5,6,8,10},false)</f>
        <v>Slack: Less email. More productive.</v>
      </c>
      <c r="D77" s="30" t="s">
        <v>189</v>
      </c>
      <c r="E77" s="30" t="s">
        <v>337</v>
      </c>
      <c r="F77" s="30" t="s">
        <v>47</v>
      </c>
      <c r="G77" s="30" t="s">
        <v>47</v>
      </c>
    </row>
    <row r="78">
      <c r="A78" s="180">
        <v>302536.0</v>
      </c>
      <c r="B78" s="176">
        <v>43404.0</v>
      </c>
      <c r="C78" s="159" t="str">
        <f t="array" ref="C78:G78">VLOOKUP(A78,'Tracker- Removed 2018'!B:Q,{2,5,6,8,10},false)</f>
        <v>Web Accessibility: Learn Best Practices, Tools &amp; Techniques</v>
      </c>
      <c r="D78" s="30" t="s">
        <v>105</v>
      </c>
      <c r="E78" s="30" t="s">
        <v>316</v>
      </c>
      <c r="F78" s="30" t="s">
        <v>47</v>
      </c>
      <c r="G78" s="30" t="s">
        <v>47</v>
      </c>
    </row>
    <row r="79">
      <c r="A79" s="180">
        <v>453646.0</v>
      </c>
      <c r="B79" s="176">
        <v>43404.0</v>
      </c>
      <c r="C79" s="159" t="str">
        <f t="array" ref="C79:G79">VLOOKUP(A79,'Tracker- Removed 2018'!B:Q,{2,5,6,8,10},false)</f>
        <v>How to Become a World Class SQL Server Performance Tuner</v>
      </c>
      <c r="D79" s="30" t="s">
        <v>45</v>
      </c>
      <c r="E79" s="30" t="s">
        <v>324</v>
      </c>
      <c r="F79" s="30" t="s">
        <v>47</v>
      </c>
      <c r="G79" s="30" t="s">
        <v>47</v>
      </c>
    </row>
    <row r="80">
      <c r="A80" s="180">
        <v>394968.0</v>
      </c>
      <c r="B80" s="176">
        <v>43404.0</v>
      </c>
      <c r="C80" s="159" t="str">
        <f t="array" ref="C80:G80">VLOOKUP(A80,'Tracker- Removed 2018'!B:Q,{2,5,6,8,10},false)</f>
        <v>Photography Masterclass (old version)</v>
      </c>
      <c r="D80" s="30" t="s">
        <v>58</v>
      </c>
      <c r="E80" s="30" t="s">
        <v>161</v>
      </c>
      <c r="F80" s="30" t="s">
        <v>47</v>
      </c>
      <c r="G80" s="30" t="s">
        <v>47</v>
      </c>
    </row>
    <row r="81">
      <c r="A81" s="180">
        <v>1255318.0</v>
      </c>
      <c r="B81" s="176">
        <v>43404.0</v>
      </c>
      <c r="C81" s="159" t="str">
        <f t="array" ref="C81:G81">VLOOKUP(A81,'Tracker- Removed 2018'!B:Q,{2,5,6,8,10},false)</f>
        <v>Fundamentals of Data Analysis for Big Data</v>
      </c>
      <c r="D81" s="30" t="s">
        <v>63</v>
      </c>
      <c r="E81" s="30" t="s">
        <v>64</v>
      </c>
      <c r="F81" s="30" t="s">
        <v>47</v>
      </c>
      <c r="G81" s="30" t="s">
        <v>47</v>
      </c>
    </row>
    <row r="82">
      <c r="A82" s="180">
        <v>986182.0</v>
      </c>
      <c r="B82" s="176">
        <v>43404.0</v>
      </c>
      <c r="C82" s="159" t="str">
        <f t="array" ref="C82:G82">VLOOKUP(A82,'Tracker- Removed 2018'!B:Q,{2,5,6,8,10},false)</f>
        <v>Azure - Advanced Virtual Machine Deployment</v>
      </c>
      <c r="D82" s="30" t="s">
        <v>45</v>
      </c>
      <c r="E82" s="30" t="s">
        <v>172</v>
      </c>
      <c r="F82" s="30" t="s">
        <v>47</v>
      </c>
      <c r="G82" s="30" t="s">
        <v>47</v>
      </c>
    </row>
    <row r="83">
      <c r="A83" s="180">
        <v>937388.0</v>
      </c>
      <c r="B83" s="176">
        <v>43404.0</v>
      </c>
      <c r="C83" s="159" t="str">
        <f t="array" ref="C83:G83">VLOOKUP(A83,'Tracker- Removed 2018'!B:Q,{2,5,6,8,10},false)</f>
        <v>DevOps with AWS CodePipeline, Jenkins and AWS CodeDeploy</v>
      </c>
      <c r="D83" s="30" t="s">
        <v>39</v>
      </c>
      <c r="E83" s="30" t="s">
        <v>50</v>
      </c>
      <c r="F83" s="30" t="s">
        <v>47</v>
      </c>
      <c r="G83" s="30" t="s">
        <v>47</v>
      </c>
    </row>
    <row r="84">
      <c r="A84" s="180">
        <v>1304100.0</v>
      </c>
      <c r="B84" s="176">
        <v>43404.0</v>
      </c>
      <c r="C84" s="159" t="str">
        <f t="array" ref="C84:G84">VLOOKUP(A84,'Tracker- Removed 2018'!B:Q,{2,5,6,8,10},false)</f>
        <v>EU GDPR: Employee Awareness Training Certificate 2018</v>
      </c>
      <c r="D84" s="30" t="s">
        <v>45</v>
      </c>
      <c r="E84" s="30" t="s">
        <v>90</v>
      </c>
      <c r="F84" s="30" t="s">
        <v>47</v>
      </c>
      <c r="G84" s="30" t="s">
        <v>47</v>
      </c>
    </row>
    <row r="85">
      <c r="A85" s="180">
        <v>943898.0</v>
      </c>
      <c r="B85" s="176">
        <v>43404.0</v>
      </c>
      <c r="C85" s="159" t="str">
        <f t="array" ref="C85:G85">VLOOKUP(A85,'Tracker- Removed 2018'!B:Q,{2,5,6,8,10},false)</f>
        <v>Apache Spark 2.0 + Java : DO Big Data Analytics &amp; ML</v>
      </c>
      <c r="D85" s="30" t="s">
        <v>63</v>
      </c>
      <c r="E85" s="30" t="s">
        <v>115</v>
      </c>
      <c r="F85" s="30" t="s">
        <v>47</v>
      </c>
      <c r="G85" s="30" t="s">
        <v>47</v>
      </c>
    </row>
    <row r="86">
      <c r="A86" s="180">
        <v>1428850.0</v>
      </c>
      <c r="B86" s="176">
        <v>43404.0</v>
      </c>
      <c r="C86" s="159" t="str">
        <f t="array" ref="C86:G86">VLOOKUP(A86,'Tracker- Removed 2018'!B:Q,{2,5,6,8,10},false)</f>
        <v>ITSM Processes In ServiceNow</v>
      </c>
      <c r="D86" s="30" t="s">
        <v>45</v>
      </c>
      <c r="E86" s="30" t="s">
        <v>172</v>
      </c>
      <c r="F86" s="30" t="s">
        <v>47</v>
      </c>
      <c r="G86" s="30" t="s">
        <v>47</v>
      </c>
    </row>
    <row r="87">
      <c r="A87" s="180">
        <v>1145942.0</v>
      </c>
      <c r="B87" s="176">
        <v>43404.0</v>
      </c>
      <c r="C87" s="159" t="str">
        <f t="array" ref="C87:G87">VLOOKUP(A87,'Tracker- Removed 2018'!B:Q,{2,5,6,8,10},false)</f>
        <v>Project Management Fundamentals for Professionals</v>
      </c>
      <c r="D87" s="30" t="s">
        <v>79</v>
      </c>
      <c r="E87" s="30" t="s">
        <v>998</v>
      </c>
      <c r="F87" s="30" t="s">
        <v>47</v>
      </c>
      <c r="G87" s="30" t="s">
        <v>47</v>
      </c>
    </row>
    <row r="88">
      <c r="A88" s="180">
        <v>476622.0</v>
      </c>
      <c r="B88" s="176">
        <v>43404.0</v>
      </c>
      <c r="C88" s="159" t="str">
        <f t="array" ref="C88:G88">VLOOKUP(A88,'Tracker- Removed 2018'!B:Q,{2,5,6,8,10},false)</f>
        <v>Basel Norms (Basel 1/ Basel 2/ Basel 3) Simplified</v>
      </c>
      <c r="D88" s="30" t="s">
        <v>96</v>
      </c>
      <c r="E88" s="30" t="s">
        <v>263</v>
      </c>
      <c r="F88" s="30" t="s">
        <v>47</v>
      </c>
      <c r="G88" s="30" t="s">
        <v>47</v>
      </c>
    </row>
    <row r="89">
      <c r="A89" s="180">
        <v>529278.0</v>
      </c>
      <c r="B89" s="176">
        <v>43404.0</v>
      </c>
      <c r="C89" s="159" t="str">
        <f t="array" ref="C89:G89">VLOOKUP(A89,'Tracker- Removed 2018'!B:Q,{2,5,6,8,10},false)</f>
        <v>Google Apps for Beginners</v>
      </c>
      <c r="D89" s="30" t="s">
        <v>189</v>
      </c>
      <c r="E89" s="30" t="s">
        <v>300</v>
      </c>
      <c r="F89" s="30" t="s">
        <v>47</v>
      </c>
      <c r="G89" s="30" t="s">
        <v>47</v>
      </c>
    </row>
    <row r="90">
      <c r="A90" s="180">
        <v>367468.0</v>
      </c>
      <c r="B90" s="176">
        <v>43404.0</v>
      </c>
      <c r="C90" s="159" t="str">
        <f t="array" ref="C90:G90">VLOOKUP(A90,'Tracker- Removed 2018'!B:Q,{2,5,6,8,10},false)</f>
        <v>Decision Tree - Theory, Application and Modeling using R</v>
      </c>
      <c r="D90" s="30" t="s">
        <v>63</v>
      </c>
      <c r="E90" s="30" t="s">
        <v>258</v>
      </c>
      <c r="F90" s="30" t="s">
        <v>47</v>
      </c>
      <c r="G90" s="30" t="s">
        <v>47</v>
      </c>
    </row>
    <row r="91">
      <c r="A91" s="181">
        <v>247314.0</v>
      </c>
      <c r="B91" s="176">
        <v>43404.0</v>
      </c>
      <c r="C91" s="159" t="str">
        <f t="array" ref="C91:G91">VLOOKUP(A91,'Tracker- Removed 2018'!B:Q,{2,5,6,8,10},false)</f>
        <v>Networking for Introverts: Understanding Basic Body Language</v>
      </c>
      <c r="D91" s="30" t="s">
        <v>122</v>
      </c>
      <c r="E91" s="30" t="s">
        <v>271</v>
      </c>
      <c r="F91" s="30" t="s">
        <v>47</v>
      </c>
      <c r="G91" s="30" t="s">
        <v>47</v>
      </c>
    </row>
    <row r="92">
      <c r="A92" s="181">
        <v>247320.0</v>
      </c>
      <c r="B92" s="176">
        <v>43404.0</v>
      </c>
      <c r="C92" s="159" t="str">
        <f t="array" ref="C92:G92">VLOOKUP(A92,'Tracker- Removed 2018'!B:Q,{2,5,6,8,10},false)</f>
        <v>Networking for Introverts: Extending the Conversation</v>
      </c>
      <c r="D92" s="30" t="s">
        <v>122</v>
      </c>
      <c r="E92" s="30" t="s">
        <v>271</v>
      </c>
      <c r="F92" s="30" t="s">
        <v>47</v>
      </c>
      <c r="G92" s="30" t="s">
        <v>47</v>
      </c>
    </row>
    <row r="93">
      <c r="A93" s="181">
        <v>247324.0</v>
      </c>
      <c r="B93" s="176">
        <v>43404.0</v>
      </c>
      <c r="C93" s="159" t="str">
        <f t="array" ref="C93:G93">VLOOKUP(A93,'Tracker- Removed 2018'!B:Q,{2,5,6,8,10},false)</f>
        <v>Networking for Introverts: Creating an Engaging Introduction</v>
      </c>
      <c r="D93" s="30" t="s">
        <v>122</v>
      </c>
      <c r="E93" s="30" t="s">
        <v>271</v>
      </c>
      <c r="F93" s="30" t="s">
        <v>47</v>
      </c>
      <c r="G93" s="30" t="s">
        <v>47</v>
      </c>
    </row>
    <row r="94">
      <c r="A94" s="181">
        <v>247316.0</v>
      </c>
      <c r="B94" s="176">
        <v>43404.0</v>
      </c>
      <c r="C94" s="159" t="str">
        <f t="array" ref="C94:G94">VLOOKUP(A94,'Tracker- Removed 2018'!B:Q,{2,5,6,8,10},false)</f>
        <v>Networking for Introverts: Translating Industry Jargon</v>
      </c>
      <c r="D94" s="30" t="s">
        <v>122</v>
      </c>
      <c r="E94" s="30" t="s">
        <v>271</v>
      </c>
      <c r="F94" s="30" t="s">
        <v>47</v>
      </c>
      <c r="G94" s="30" t="s">
        <v>47</v>
      </c>
    </row>
    <row r="95">
      <c r="A95" s="181">
        <v>226664.0</v>
      </c>
      <c r="B95" s="176">
        <v>43404.0</v>
      </c>
      <c r="C95" s="159" t="str">
        <f t="array" ref="C95:G95">VLOOKUP(A95,'Tracker- Removed 2018'!B:Q,{2,5,6,8,10},false)</f>
        <v>Connect with Anyone Simply and Easily When Networking</v>
      </c>
      <c r="D95" s="30" t="s">
        <v>122</v>
      </c>
      <c r="E95" s="30" t="s">
        <v>271</v>
      </c>
      <c r="F95" s="30" t="s">
        <v>47</v>
      </c>
      <c r="G95" s="30" t="s">
        <v>47</v>
      </c>
    </row>
    <row r="96">
      <c r="A96" s="181">
        <v>247326.0</v>
      </c>
      <c r="B96" s="176">
        <v>43404.0</v>
      </c>
      <c r="C96" s="159" t="str">
        <f t="array" ref="C96:G96">VLOOKUP(A96,'Tracker- Removed 2018'!B:Q,{2,5,6,8,10},false)</f>
        <v>Networking for Introverts: Perfecting Your Delivery</v>
      </c>
      <c r="D96" s="30" t="s">
        <v>122</v>
      </c>
      <c r="E96" s="30" t="s">
        <v>271</v>
      </c>
      <c r="F96" s="30" t="s">
        <v>47</v>
      </c>
      <c r="G96" s="30" t="s">
        <v>47</v>
      </c>
    </row>
    <row r="97">
      <c r="A97" s="181">
        <v>247322.0</v>
      </c>
      <c r="B97" s="176">
        <v>43404.0</v>
      </c>
      <c r="C97" s="159" t="str">
        <f t="array" ref="C97:G97">VLOOKUP(A97,'Tracker- Removed 2018'!B:Q,{2,5,6,8,10},false)</f>
        <v>Networking for Introverts: Understand How Connection Works</v>
      </c>
      <c r="D97" s="30" t="s">
        <v>122</v>
      </c>
      <c r="E97" s="30" t="s">
        <v>271</v>
      </c>
      <c r="F97" s="30" t="s">
        <v>47</v>
      </c>
      <c r="G97" s="30" t="s">
        <v>47</v>
      </c>
    </row>
    <row r="98">
      <c r="A98" s="182">
        <v>362328.0</v>
      </c>
      <c r="B98" s="176">
        <v>43398.0</v>
      </c>
      <c r="C98" s="159" t="str">
        <f t="array" ref="C98:G98">VLOOKUP(A98,'Tracker- Removed 2018'!B:Q,{2,5,6,8,10},false)</f>
        <v>AWS Certified Solutions Architect - Associate 2018</v>
      </c>
      <c r="D98" s="30" t="s">
        <v>45</v>
      </c>
      <c r="E98" s="30" t="s">
        <v>75</v>
      </c>
      <c r="F98" s="30" t="s">
        <v>47</v>
      </c>
      <c r="G98" s="30" t="s">
        <v>47</v>
      </c>
    </row>
    <row r="99">
      <c r="A99" s="182">
        <v>393306.0</v>
      </c>
      <c r="B99" s="176">
        <v>43398.0</v>
      </c>
      <c r="C99" s="159" t="str">
        <f t="array" ref="C99:G99">VLOOKUP(A99,'Tracker- Removed 2018'!B:Q,{2,5,6,8,10},false)</f>
        <v>AWS Certified Developer - Associate 2018</v>
      </c>
      <c r="D99" s="30" t="s">
        <v>45</v>
      </c>
      <c r="E99" s="30" t="s">
        <v>75</v>
      </c>
      <c r="F99" s="30" t="s">
        <v>47</v>
      </c>
      <c r="G99" s="30" t="s">
        <v>47</v>
      </c>
    </row>
    <row r="100">
      <c r="A100" s="182">
        <v>1105102.0</v>
      </c>
      <c r="B100" s="176">
        <v>43398.0</v>
      </c>
      <c r="C100" s="159" t="str">
        <f t="array" ref="C100:G100">VLOOKUP(A100,'Tracker- Removed 2018'!B:Q,{2,5,6,8,10},false)</f>
        <v>AWS Certified Solutions Architect - Associate Practice Tests</v>
      </c>
      <c r="D100" s="30" t="s">
        <v>45</v>
      </c>
      <c r="E100" s="30" t="s">
        <v>75</v>
      </c>
      <c r="F100" s="30" t="s">
        <v>47</v>
      </c>
      <c r="G100" s="30" t="s">
        <v>47</v>
      </c>
    </row>
    <row r="101">
      <c r="A101" s="182">
        <v>422702.0</v>
      </c>
      <c r="B101" s="176">
        <v>43398.0</v>
      </c>
      <c r="C101" s="159" t="str">
        <f t="array" ref="C101:G101">VLOOKUP(A101,'Tracker- Removed 2018'!B:Q,{2,5,6,8,10},false)</f>
        <v>AWS Certified SysOps Administrator - Associate 2019</v>
      </c>
      <c r="D101" s="30" t="s">
        <v>45</v>
      </c>
      <c r="E101" s="30" t="s">
        <v>75</v>
      </c>
      <c r="F101" s="30" t="s">
        <v>47</v>
      </c>
      <c r="G101" s="30" t="s">
        <v>47</v>
      </c>
    </row>
    <row r="102">
      <c r="A102" s="182">
        <v>962334.0</v>
      </c>
      <c r="B102" s="176">
        <v>43398.0</v>
      </c>
      <c r="C102" s="159" t="str">
        <f t="array" ref="C102:G102">VLOOKUP(A102,'Tracker- Removed 2018'!B:Q,{2,5,6,8,10},false)</f>
        <v>Alexa Development For Absolute Beginners</v>
      </c>
      <c r="D102" s="30" t="s">
        <v>45</v>
      </c>
      <c r="E102" s="30" t="s">
        <v>46</v>
      </c>
      <c r="F102" s="30" t="s">
        <v>47</v>
      </c>
      <c r="G102" s="30" t="s">
        <v>47</v>
      </c>
    </row>
    <row r="103">
      <c r="A103" s="182">
        <v>1105302.0</v>
      </c>
      <c r="B103" s="176">
        <v>43398.0</v>
      </c>
      <c r="C103" s="159" t="str">
        <f t="array" ref="C103:G103">VLOOKUP(A103,'Tracker- Removed 2018'!B:Q,{2,5,6,8,10},false)</f>
        <v>AWS Certified Developer - Associate 2017 (Practice Tests)</v>
      </c>
      <c r="D103" s="30" t="s">
        <v>45</v>
      </c>
      <c r="E103" s="30" t="s">
        <v>75</v>
      </c>
      <c r="F103" s="30" t="s">
        <v>47</v>
      </c>
      <c r="G103" s="30" t="s">
        <v>47</v>
      </c>
    </row>
    <row r="104">
      <c r="A104" s="183">
        <v>675244.0</v>
      </c>
      <c r="B104" s="184">
        <v>43381.0</v>
      </c>
      <c r="C104" s="159" t="str">
        <f t="array" ref="C104:G104">VLOOKUP(A104,'Tracker- Removed 2018'!B:Q,{2,5,6,8,10},false)</f>
        <v>Fundamentals of Unix and Linux System Administration</v>
      </c>
      <c r="D104" s="30" t="s">
        <v>3908</v>
      </c>
      <c r="E104" s="30" t="s">
        <v>3909</v>
      </c>
      <c r="F104" s="30" t="s">
        <v>47</v>
      </c>
      <c r="G104" s="30" t="s">
        <v>47</v>
      </c>
    </row>
    <row r="105">
      <c r="A105" s="183">
        <v>390962.0</v>
      </c>
      <c r="B105" s="184">
        <v>43381.0</v>
      </c>
      <c r="C105" s="159" t="str">
        <f t="array" ref="C105:G105">VLOOKUP(A105,'Tracker- Removed 2018'!B:Q,{2,5,6,8,10},false)</f>
        <v>Learn Apache Cassandra from Scratch</v>
      </c>
      <c r="D105" s="30" t="s">
        <v>39</v>
      </c>
      <c r="E105" s="30" t="s">
        <v>3910</v>
      </c>
      <c r="F105" s="30" t="s">
        <v>47</v>
      </c>
      <c r="G105" s="30" t="s">
        <v>47</v>
      </c>
    </row>
    <row r="106">
      <c r="A106" s="183">
        <v>41295.0</v>
      </c>
      <c r="B106" s="184">
        <v>43381.0</v>
      </c>
      <c r="C106" s="159" t="str">
        <f t="array" ref="C106:G106">VLOOKUP(A106,'Tracker- Removed 2018'!B:Q,{2,5,6,8,10},false)</f>
        <v>Learn HTML5 Programming From Scratch</v>
      </c>
      <c r="D106" s="30" t="s">
        <v>39</v>
      </c>
      <c r="E106" s="30" t="s">
        <v>140</v>
      </c>
      <c r="F106" s="30" t="s">
        <v>47</v>
      </c>
      <c r="G106" s="30" t="s">
        <v>47</v>
      </c>
    </row>
    <row r="107">
      <c r="A107" s="183">
        <v>796654.0</v>
      </c>
      <c r="B107" s="184">
        <v>43381.0</v>
      </c>
      <c r="C107" s="159" t="str">
        <f t="array" ref="C107:G107">VLOOKUP(A107,'Tracker- Removed 2018'!B:Q,{2,5,6,8,10},false)</f>
        <v>Linux Shell Programming for Beginners</v>
      </c>
      <c r="D107" s="30" t="s">
        <v>3908</v>
      </c>
      <c r="E107" s="30" t="s">
        <v>3909</v>
      </c>
      <c r="F107" s="30" t="s">
        <v>47</v>
      </c>
      <c r="G107" s="30" t="s">
        <v>47</v>
      </c>
    </row>
    <row r="108">
      <c r="A108" s="183">
        <v>899534.0</v>
      </c>
      <c r="B108" s="184">
        <v>43381.0</v>
      </c>
      <c r="C108" s="159" t="str">
        <f t="array" ref="C108:G108">VLOOKUP(A108,'Tracker- Removed 2018'!B:Q,{2,5,6,8,10},false)</f>
        <v>Learn Redis from Scratch</v>
      </c>
      <c r="D108" s="30" t="s">
        <v>39</v>
      </c>
      <c r="E108" s="30" t="s">
        <v>3910</v>
      </c>
      <c r="F108" s="30" t="s">
        <v>47</v>
      </c>
      <c r="G108" s="30" t="s">
        <v>47</v>
      </c>
    </row>
    <row r="109">
      <c r="A109" s="183">
        <v>673222.0</v>
      </c>
      <c r="B109" s="184">
        <v>43381.0</v>
      </c>
      <c r="C109" s="159" t="str">
        <f t="array" ref="C109:G109">VLOOKUP(A109,'Tracker- Removed 2018'!B:Q,{2,5,6,8,10},false)</f>
        <v>Learn Socket Programming in C from Scratch</v>
      </c>
      <c r="D109" s="30" t="s">
        <v>39</v>
      </c>
      <c r="E109" s="30" t="s">
        <v>3911</v>
      </c>
      <c r="F109" s="30" t="s">
        <v>47</v>
      </c>
      <c r="G109" s="30" t="s">
        <v>47</v>
      </c>
    </row>
    <row r="110">
      <c r="A110" s="185">
        <v>365696.0</v>
      </c>
      <c r="B110" s="184">
        <v>43381.0</v>
      </c>
      <c r="C110" s="159" t="str">
        <f t="array" ref="C110:G110">VLOOKUP(A110,'Tracker- Removed 2018'!B:Q,{2,5,6,8,10},false)</f>
        <v>Learn NoSQL Database Design With CouchDB</v>
      </c>
      <c r="D110" s="30" t="s">
        <v>39</v>
      </c>
      <c r="E110" s="30" t="s">
        <v>3910</v>
      </c>
      <c r="F110" s="30" t="s">
        <v>47</v>
      </c>
      <c r="G110" s="30" t="s">
        <v>47</v>
      </c>
    </row>
    <row r="111">
      <c r="A111" s="183">
        <v>1002676.0</v>
      </c>
      <c r="B111" s="184">
        <v>43381.0</v>
      </c>
      <c r="C111" s="159" t="str">
        <f t="array" ref="C111:G111">VLOOKUP(A111,'Tracker- Removed 2018'!B:Q,{2,5,6,8,10},false)</f>
        <v>The Full Stack Web Development</v>
      </c>
      <c r="D111" s="30" t="s">
        <v>39</v>
      </c>
      <c r="E111" s="30" t="s">
        <v>140</v>
      </c>
      <c r="F111" s="30" t="s">
        <v>47</v>
      </c>
      <c r="G111" s="30" t="s">
        <v>47</v>
      </c>
    </row>
    <row r="112">
      <c r="A112" s="183">
        <v>303514.0</v>
      </c>
      <c r="B112" s="184">
        <v>43381.0</v>
      </c>
      <c r="C112" s="159" t="str">
        <f t="array" ref="C112:G112">VLOOKUP(A112,'Tracker- Removed 2018'!B:Q,{2,5,6,8,10},false)</f>
        <v>Projects in CSS</v>
      </c>
      <c r="D112" s="30" t="s">
        <v>39</v>
      </c>
      <c r="E112" s="30" t="s">
        <v>140</v>
      </c>
      <c r="F112" s="30" t="s">
        <v>47</v>
      </c>
      <c r="G112" s="30" t="s">
        <v>47</v>
      </c>
    </row>
    <row r="113">
      <c r="A113" s="183">
        <v>266252.0</v>
      </c>
      <c r="B113" s="184">
        <v>43381.0</v>
      </c>
      <c r="C113" s="159" t="str">
        <f t="array" ref="C113:G113">VLOOKUP(A113,'Tracker- Removed 2018'!B:Q,{2,5,6,8,10},false)</f>
        <v>Projects in PHP and MySQL</v>
      </c>
      <c r="D113" s="30" t="s">
        <v>39</v>
      </c>
      <c r="E113" s="30" t="s">
        <v>140</v>
      </c>
      <c r="F113" s="30" t="s">
        <v>47</v>
      </c>
      <c r="G113" s="30" t="s">
        <v>47</v>
      </c>
    </row>
    <row r="114">
      <c r="A114" s="183">
        <v>684794.0</v>
      </c>
      <c r="B114" s="184">
        <v>43381.0</v>
      </c>
      <c r="C114" s="159" t="str">
        <f t="array" ref="C114:G114">VLOOKUP(A114,'Tracker- Removed 2018'!B:Q,{2,5,6,8,10},false)</f>
        <v>Build Web Apps Using EmberJS: The Complete Course</v>
      </c>
      <c r="D114" s="30" t="s">
        <v>39</v>
      </c>
      <c r="E114" s="30" t="s">
        <v>140</v>
      </c>
      <c r="F114" s="30" t="s">
        <v>47</v>
      </c>
      <c r="G114" s="30" t="s">
        <v>47</v>
      </c>
    </row>
    <row r="115">
      <c r="A115" s="183">
        <v>637840.0</v>
      </c>
      <c r="B115" s="184">
        <v>43381.0</v>
      </c>
      <c r="C115" s="159" t="str">
        <f t="array" ref="C115:G115">VLOOKUP(A115,'Tracker- Removed 2018'!B:Q,{2,5,6,8,10},false)</f>
        <v>Learn Knockout JS Framework from GroundUp</v>
      </c>
      <c r="D115" s="30" t="s">
        <v>39</v>
      </c>
      <c r="E115" s="30" t="s">
        <v>140</v>
      </c>
      <c r="F115" s="30" t="s">
        <v>47</v>
      </c>
      <c r="G115" s="30" t="s">
        <v>47</v>
      </c>
    </row>
    <row r="116">
      <c r="A116" s="185">
        <v>606756.0</v>
      </c>
      <c r="B116" s="184">
        <v>43381.0</v>
      </c>
      <c r="C116" s="159" t="str">
        <f t="array" ref="C116:G116">VLOOKUP(A116,'Tracker- Removed 2018'!B:Q,{2,5,6,8,10},false)</f>
        <v>Projects in ExpressJS - Learn ExpressJs building 10 projects</v>
      </c>
      <c r="D116" s="30" t="s">
        <v>39</v>
      </c>
      <c r="E116" s="30" t="s">
        <v>140</v>
      </c>
      <c r="F116" s="30" t="s">
        <v>47</v>
      </c>
      <c r="G116" s="30" t="s">
        <v>47</v>
      </c>
    </row>
    <row r="117">
      <c r="A117" s="185">
        <v>744696.0</v>
      </c>
      <c r="B117" s="184">
        <v>43381.0</v>
      </c>
      <c r="C117" s="159" t="str">
        <f t="array" ref="C117:G117">VLOOKUP(A117,'Tracker- Removed 2018'!B:Q,{2,5,6,8,10},false)</f>
        <v>Logo Design for Everybody</v>
      </c>
      <c r="D117" s="30" t="s">
        <v>105</v>
      </c>
      <c r="E117" s="30" t="s">
        <v>198</v>
      </c>
      <c r="F117" s="30" t="s">
        <v>47</v>
      </c>
      <c r="G117" s="30" t="s">
        <v>47</v>
      </c>
    </row>
    <row r="118">
      <c r="A118" s="183">
        <v>740762.0</v>
      </c>
      <c r="B118" s="184">
        <v>43381.0</v>
      </c>
      <c r="C118" s="159" t="str">
        <f t="array" ref="C118:G118">VLOOKUP(A118,'Tracker- Removed 2018'!B:Q,{2,5,6,8,10},false)</f>
        <v>Learn Top Ten PHP FrameWorks By Building Projects</v>
      </c>
      <c r="D118" s="30" t="s">
        <v>39</v>
      </c>
      <c r="E118" s="30" t="s">
        <v>140</v>
      </c>
      <c r="F118" s="30" t="s">
        <v>47</v>
      </c>
      <c r="G118" s="30" t="s">
        <v>47</v>
      </c>
    </row>
    <row r="119">
      <c r="A119" s="183">
        <v>756984.0</v>
      </c>
      <c r="B119" s="184">
        <v>43381.0</v>
      </c>
      <c r="C119" s="159" t="str">
        <f t="array" ref="C119:G119">VLOOKUP(A119,'Tracker- Removed 2018'!B:Q,{2,5,6,8,10},false)</f>
        <v>Projects in CSharp : Learn By Building Projects</v>
      </c>
      <c r="D119" s="30" t="s">
        <v>39</v>
      </c>
      <c r="E119" s="30" t="s">
        <v>3911</v>
      </c>
      <c r="F119" s="30" t="s">
        <v>47</v>
      </c>
      <c r="G119" s="30" t="s">
        <v>47</v>
      </c>
    </row>
    <row r="120">
      <c r="A120" s="183">
        <v>672090.0</v>
      </c>
      <c r="B120" s="184">
        <v>43381.0</v>
      </c>
      <c r="C120" s="159" t="str">
        <f t="array" ref="C120:G120">VLOOKUP(A120,'Tracker- Removed 2018'!B:Q,{2,5,6,8,10},false)</f>
        <v>Learn to Build Web Apps using UnderscoreJS : Code Like a Pro</v>
      </c>
      <c r="D120" s="30" t="s">
        <v>39</v>
      </c>
      <c r="E120" s="30" t="s">
        <v>140</v>
      </c>
      <c r="F120" s="30" t="s">
        <v>47</v>
      </c>
      <c r="G120" s="30" t="s">
        <v>47</v>
      </c>
    </row>
    <row r="121">
      <c r="A121" s="185">
        <v>1575564.0</v>
      </c>
      <c r="B121" s="184">
        <v>43381.0</v>
      </c>
      <c r="C121" s="159" t="str">
        <f t="array" ref="C121:G121">VLOOKUP(A121,'Tracker- Removed 2018'!B:Q,{2,5,6,8,10},false)</f>
        <v>Leaflet for Beginners</v>
      </c>
      <c r="D121" s="30" t="s">
        <v>39</v>
      </c>
      <c r="E121" s="30" t="s">
        <v>140</v>
      </c>
      <c r="F121" s="30" t="s">
        <v>47</v>
      </c>
      <c r="G121" s="30" t="s">
        <v>47</v>
      </c>
    </row>
    <row r="122">
      <c r="A122" s="32">
        <v>644938.0</v>
      </c>
      <c r="B122" s="184">
        <v>43371.0</v>
      </c>
      <c r="C122" s="159" t="str">
        <f t="array" ref="C122:G122">VLOOKUP(A122,'Tracker- Removed 2018'!B:Q,{2,5,6,8,10},false)</f>
        <v>Master Google Drive</v>
      </c>
      <c r="D122" s="30" t="s">
        <v>189</v>
      </c>
      <c r="E122" s="30" t="s">
        <v>337</v>
      </c>
      <c r="F122" s="30" t="s">
        <v>47</v>
      </c>
      <c r="G122" s="30" t="s">
        <v>47</v>
      </c>
    </row>
    <row r="123">
      <c r="A123" s="32">
        <v>622586.0</v>
      </c>
      <c r="B123" s="184">
        <v>43371.0</v>
      </c>
      <c r="C123" s="159" t="str">
        <f t="array" ref="C123:G123">VLOOKUP(A123,'Tracker- Removed 2018'!B:Q,{2,5,6,8,10},false)</f>
        <v>Master Gmail</v>
      </c>
      <c r="D123" s="30" t="s">
        <v>189</v>
      </c>
      <c r="E123" s="30" t="s">
        <v>3912</v>
      </c>
      <c r="F123" s="30" t="s">
        <v>47</v>
      </c>
      <c r="G123" s="30" t="s">
        <v>47</v>
      </c>
    </row>
    <row r="124">
      <c r="A124" s="32">
        <v>639230.0</v>
      </c>
      <c r="B124" s="184">
        <v>43371.0</v>
      </c>
      <c r="C124" s="159" t="str">
        <f t="array" ref="C124:G124">VLOOKUP(A124,'Tracker- Removed 2018'!B:Q,{2,5,6,8,10},false)</f>
        <v>Master Google Classroom</v>
      </c>
      <c r="D124" s="30" t="s">
        <v>189</v>
      </c>
      <c r="E124" s="30" t="s">
        <v>337</v>
      </c>
      <c r="F124" s="30" t="s">
        <v>47</v>
      </c>
      <c r="G124" s="30" t="s">
        <v>47</v>
      </c>
    </row>
    <row r="125">
      <c r="A125" s="32">
        <v>1518164.0</v>
      </c>
      <c r="B125" s="184">
        <v>43367.0</v>
      </c>
      <c r="C125" s="159" t="str">
        <f t="array" ref="C125:G125">VLOOKUP(A125,'Tracker- Removed 2018'!B:Q,{2,5,6,8,10},false)</f>
        <v>Web Scraping Without a Single Line of Code!</v>
      </c>
      <c r="D125" s="30" t="s">
        <v>39</v>
      </c>
      <c r="E125" s="30" t="s">
        <v>3911</v>
      </c>
      <c r="F125" s="30" t="s">
        <v>47</v>
      </c>
      <c r="G125" s="30" t="s">
        <v>47</v>
      </c>
    </row>
    <row r="126">
      <c r="A126" s="32">
        <v>1172114.0</v>
      </c>
      <c r="B126" s="184">
        <v>43364.0</v>
      </c>
      <c r="C126" s="159" t="str">
        <f t="array" ref="C126:G126">VLOOKUP(A126,'Tracker- Removed 2018'!B:Q,{2,5,6,8,10},false)</f>
        <v>AWS Certified Solutions Architect (associate)</v>
      </c>
      <c r="D126" s="30" t="s">
        <v>3908</v>
      </c>
      <c r="E126" s="30" t="s">
        <v>3913</v>
      </c>
      <c r="F126" s="30" t="s">
        <v>47</v>
      </c>
      <c r="G126" s="30" t="s">
        <v>47</v>
      </c>
    </row>
    <row r="127">
      <c r="A127" s="32">
        <v>1014420.0</v>
      </c>
      <c r="B127" s="186">
        <v>43351.0</v>
      </c>
      <c r="C127" s="159" t="str">
        <f t="array" ref="C127:G127">VLOOKUP(A127,'Tracker- Removed 2018'!B:Q,{2,5,6,8,10},false)</f>
        <v>Dealing with Change and Building Resilience</v>
      </c>
      <c r="D127" s="30" t="s">
        <v>3914</v>
      </c>
      <c r="E127" s="30" t="s">
        <v>58</v>
      </c>
      <c r="F127" s="30" t="s">
        <v>47</v>
      </c>
      <c r="G127" s="30" t="s">
        <v>47</v>
      </c>
    </row>
    <row r="128">
      <c r="A128" s="32">
        <v>642612.0</v>
      </c>
      <c r="B128" s="186">
        <v>43350.0</v>
      </c>
      <c r="C128" s="159" t="str">
        <f t="array" ref="C128:G128">VLOOKUP(A128,'Tracker- Removed 2018'!B:Q,{2,5,6,8,10},false)</f>
        <v>CompTIA Network+ Cert. (N10-006): The Total Course.</v>
      </c>
      <c r="D128" s="30" t="s">
        <v>3908</v>
      </c>
      <c r="E128" s="30" t="s">
        <v>3913</v>
      </c>
      <c r="F128" s="30" t="s">
        <v>47</v>
      </c>
      <c r="G128" s="30" t="s">
        <v>47</v>
      </c>
    </row>
    <row r="129">
      <c r="A129" s="32">
        <v>1002342.0</v>
      </c>
      <c r="B129" s="186">
        <v>43350.0</v>
      </c>
      <c r="C129" s="159" t="str">
        <f t="array" ref="C129:G129">VLOOKUP(A129,'Tracker- Removed 2018'!B:Q,{2,5,6,8,10},false)</f>
        <v>CompTIA Network+ Cert. (N10-006): Practice Tests</v>
      </c>
      <c r="D129" s="30" t="s">
        <v>3908</v>
      </c>
      <c r="E129" s="30" t="s">
        <v>3913</v>
      </c>
      <c r="F129" s="30" t="s">
        <v>47</v>
      </c>
      <c r="G129" s="30" t="s">
        <v>47</v>
      </c>
    </row>
    <row r="130">
      <c r="A130" s="32">
        <v>1165412.0</v>
      </c>
      <c r="B130" s="186">
        <v>43347.0</v>
      </c>
      <c r="C130" s="159" t="str">
        <f t="array" ref="C130:G130">VLOOKUP(A130,'Tracker- Removed 2018'!B:Q,{2,5,6,8,10},false)</f>
        <v/>
      </c>
      <c r="D130" s="30" t="s">
        <v>3915</v>
      </c>
      <c r="E130" s="30" t="s">
        <v>3916</v>
      </c>
      <c r="F130" s="30" t="s">
        <v>47</v>
      </c>
      <c r="G130" s="30" t="s">
        <v>47</v>
      </c>
    </row>
    <row r="131">
      <c r="A131" s="32">
        <v>604720.0</v>
      </c>
      <c r="B131" s="186">
        <v>43343.0</v>
      </c>
      <c r="C131" s="159" t="str">
        <f t="array" ref="C131:G131">VLOOKUP(A131,'Tracker- Removed 2018'!B:Q,{2,5,6,8,10},false)</f>
        <v/>
      </c>
      <c r="D131" s="30" t="s">
        <v>3908</v>
      </c>
      <c r="E131" s="30" t="s">
        <v>3917</v>
      </c>
      <c r="F131" s="30" t="s">
        <v>47</v>
      </c>
      <c r="G131" s="30" t="s">
        <v>47</v>
      </c>
    </row>
    <row r="132">
      <c r="A132" s="32">
        <v>1338240.0</v>
      </c>
      <c r="B132" s="186">
        <v>43343.0</v>
      </c>
      <c r="C132" s="159" t="str">
        <f t="array" ref="C132:G132">VLOOKUP(A132,'Tracker- Removed 2018'!B:Q,{2,5,6,8,10},false)</f>
        <v/>
      </c>
      <c r="D132" s="30" t="s">
        <v>58</v>
      </c>
      <c r="E132" s="30" t="s">
        <v>59</v>
      </c>
      <c r="F132" s="30" t="s">
        <v>47</v>
      </c>
      <c r="G132" s="30" t="s">
        <v>47</v>
      </c>
    </row>
    <row r="133">
      <c r="A133" s="32">
        <v>1425762.0</v>
      </c>
      <c r="B133" s="186">
        <v>43343.0</v>
      </c>
      <c r="C133" s="159" t="str">
        <f t="array" ref="C133:G133">VLOOKUP(A133,'Tracker- Removed 2018'!B:Q,{2,5,6,8,10},false)</f>
        <v/>
      </c>
      <c r="D133" s="30" t="s">
        <v>3908</v>
      </c>
      <c r="E133" s="30" t="s">
        <v>75</v>
      </c>
      <c r="F133" s="30" t="s">
        <v>47</v>
      </c>
      <c r="G133" s="30" t="s">
        <v>47</v>
      </c>
    </row>
    <row r="134">
      <c r="A134" s="32">
        <v>1162682.0</v>
      </c>
      <c r="B134" s="186">
        <v>43343.0</v>
      </c>
      <c r="C134" s="159" t="str">
        <f t="array" ref="C134:G134">VLOOKUP(A134,'Tracker- Removed 2018'!B:Q,{2,5,6,8,10},false)</f>
        <v/>
      </c>
      <c r="D134" s="30" t="s">
        <v>538</v>
      </c>
      <c r="E134" s="30" t="s">
        <v>127</v>
      </c>
      <c r="F134" s="30" t="s">
        <v>47</v>
      </c>
      <c r="G134" s="30" t="s">
        <v>47</v>
      </c>
    </row>
    <row r="135">
      <c r="A135" s="32">
        <v>1280842.0</v>
      </c>
      <c r="B135" s="186">
        <v>43343.0</v>
      </c>
      <c r="C135" s="159" t="str">
        <f t="array" ref="C135:G135">VLOOKUP(A135,'Tracker- Removed 2018'!B:Q,{2,5,6,8,10},false)</f>
        <v/>
      </c>
      <c r="D135" s="30" t="s">
        <v>538</v>
      </c>
      <c r="E135" s="30" t="s">
        <v>271</v>
      </c>
      <c r="F135" s="30" t="s">
        <v>47</v>
      </c>
      <c r="G135" s="30" t="s">
        <v>47</v>
      </c>
    </row>
    <row r="136">
      <c r="A136" s="32">
        <v>701188.0</v>
      </c>
      <c r="B136" s="186">
        <v>43343.0</v>
      </c>
      <c r="C136" s="159" t="str">
        <f t="array" ref="C136:G136">VLOOKUP(A136,'Tracker- Removed 2018'!B:Q,{2,5,6,8,10},false)</f>
        <v/>
      </c>
      <c r="D136" s="30" t="s">
        <v>538</v>
      </c>
      <c r="E136" s="30" t="s">
        <v>3918</v>
      </c>
      <c r="F136" s="30" t="s">
        <v>47</v>
      </c>
      <c r="G136" s="30" t="s">
        <v>47</v>
      </c>
    </row>
    <row r="137">
      <c r="A137" s="32">
        <v>785066.0</v>
      </c>
      <c r="B137" s="186">
        <v>43343.0</v>
      </c>
      <c r="C137" s="159" t="str">
        <f t="array" ref="C137:G137">VLOOKUP(A137,'Tracker- Removed 2018'!B:Q,{2,5,6,8,10},false)</f>
        <v/>
      </c>
      <c r="D137" s="30" t="s">
        <v>39</v>
      </c>
      <c r="E137" s="30" t="s">
        <v>3910</v>
      </c>
      <c r="F137" s="30" t="s">
        <v>47</v>
      </c>
      <c r="G137" s="30" t="s">
        <v>47</v>
      </c>
    </row>
    <row r="138">
      <c r="A138" s="32">
        <v>870854.0</v>
      </c>
      <c r="B138" s="186">
        <v>43343.0</v>
      </c>
      <c r="C138" s="159" t="str">
        <f t="array" ref="C138:G138">VLOOKUP(A138,'Tracker- Removed 2018'!B:Q,{2,5,6,8,10},false)</f>
        <v/>
      </c>
      <c r="D138" s="30" t="s">
        <v>538</v>
      </c>
      <c r="E138" s="30" t="s">
        <v>127</v>
      </c>
      <c r="F138" s="30" t="s">
        <v>47</v>
      </c>
      <c r="G138" s="30" t="s">
        <v>47</v>
      </c>
    </row>
    <row r="139">
      <c r="A139" s="32">
        <v>482996.0</v>
      </c>
      <c r="B139" s="186">
        <v>43343.0</v>
      </c>
      <c r="C139" s="159" t="str">
        <f t="array" ref="C139:G139">VLOOKUP(A139,'Tracker- Removed 2018'!B:Q,{2,5,6,8,10},false)</f>
        <v/>
      </c>
      <c r="D139" s="30" t="s">
        <v>538</v>
      </c>
      <c r="E139" s="30" t="s">
        <v>127</v>
      </c>
      <c r="F139" s="30" t="s">
        <v>47</v>
      </c>
      <c r="G139" s="30" t="s">
        <v>47</v>
      </c>
    </row>
    <row r="140">
      <c r="A140" s="32">
        <v>1136074.0</v>
      </c>
      <c r="B140" s="186">
        <v>43343.0</v>
      </c>
      <c r="C140" s="159" t="str">
        <f t="array" ref="C140:G140">VLOOKUP(A140,'Tracker- Removed 2018'!B:Q,{2,5,6,8,10},false)</f>
        <v/>
      </c>
      <c r="D140" s="30" t="s">
        <v>39</v>
      </c>
      <c r="E140" s="30" t="s">
        <v>3910</v>
      </c>
      <c r="F140" s="30" t="s">
        <v>47</v>
      </c>
      <c r="G140" s="30" t="s">
        <v>47</v>
      </c>
    </row>
    <row r="141">
      <c r="A141" s="32">
        <v>73030.0</v>
      </c>
      <c r="B141" s="186">
        <v>43343.0</v>
      </c>
      <c r="C141" s="159" t="str">
        <f t="array" ref="C141:G141">VLOOKUP(A141,'Tracker- Removed 2018'!B:Q,{2,5,6,8,10},false)</f>
        <v/>
      </c>
      <c r="D141" s="30" t="s">
        <v>3919</v>
      </c>
      <c r="E141" s="30" t="s">
        <v>3920</v>
      </c>
      <c r="F141" s="30" t="s">
        <v>47</v>
      </c>
      <c r="G141" s="30" t="s">
        <v>47</v>
      </c>
    </row>
    <row r="142">
      <c r="A142" s="32">
        <v>1431210.0</v>
      </c>
      <c r="B142" s="186">
        <v>43343.0</v>
      </c>
      <c r="C142" s="159" t="str">
        <f t="array" ref="C142:G142">VLOOKUP(A142,'Tracker- Removed 2018'!B:Q,{2,5,6,8,10},false)</f>
        <v/>
      </c>
      <c r="D142" s="30" t="s">
        <v>3908</v>
      </c>
      <c r="E142" s="30" t="s">
        <v>75</v>
      </c>
      <c r="F142" s="30" t="s">
        <v>47</v>
      </c>
      <c r="G142" s="30" t="s">
        <v>47</v>
      </c>
    </row>
    <row r="143">
      <c r="A143" s="32">
        <v>1341234.0</v>
      </c>
      <c r="B143" s="186">
        <v>43343.0</v>
      </c>
      <c r="C143" s="159" t="str">
        <f t="array" ref="C143:G143">VLOOKUP(A143,'Tracker- Removed 2018'!B:Q,{2,5,6,8,10},false)</f>
        <v/>
      </c>
      <c r="D143" s="30" t="s">
        <v>63</v>
      </c>
      <c r="E143" s="30" t="s">
        <v>115</v>
      </c>
      <c r="F143" s="30" t="s">
        <v>47</v>
      </c>
      <c r="G143" s="30" t="s">
        <v>47</v>
      </c>
    </row>
    <row r="144">
      <c r="A144" s="32">
        <v>72644.0</v>
      </c>
      <c r="B144" s="186">
        <v>43343.0</v>
      </c>
      <c r="C144" s="159" t="str">
        <f t="array" ref="C144:G144">VLOOKUP(A144,'Tracker- Removed 2018'!B:Q,{2,5,6,8,10},false)</f>
        <v/>
      </c>
      <c r="D144" s="30" t="s">
        <v>3919</v>
      </c>
      <c r="E144" s="30" t="s">
        <v>3921</v>
      </c>
      <c r="F144" s="30" t="s">
        <v>47</v>
      </c>
      <c r="G144" s="30" t="s">
        <v>47</v>
      </c>
    </row>
    <row r="145">
      <c r="A145" s="32">
        <v>1038746.0</v>
      </c>
      <c r="B145" s="186">
        <v>43343.0</v>
      </c>
      <c r="C145" s="159" t="str">
        <f t="array" ref="C145:G145">VLOOKUP(A145,'Tracker- Removed 2018'!B:Q,{2,5,6,8,10},false)</f>
        <v/>
      </c>
      <c r="D145" s="30" t="s">
        <v>39</v>
      </c>
      <c r="E145" s="30" t="s">
        <v>214</v>
      </c>
      <c r="F145" s="30" t="s">
        <v>47</v>
      </c>
      <c r="G145" s="30" t="s">
        <v>47</v>
      </c>
    </row>
    <row r="146">
      <c r="A146" s="32">
        <v>892544.0</v>
      </c>
      <c r="B146" s="186">
        <v>43343.0</v>
      </c>
      <c r="C146" s="159" t="str">
        <f t="array" ref="C146:G146">VLOOKUP(A146,'Tracker- Removed 2018'!B:Q,{2,5,6,8,10},false)</f>
        <v/>
      </c>
      <c r="D146" s="30" t="s">
        <v>39</v>
      </c>
      <c r="E146" s="30" t="s">
        <v>3911</v>
      </c>
      <c r="F146" s="30" t="s">
        <v>47</v>
      </c>
      <c r="G146" s="30" t="s">
        <v>47</v>
      </c>
    </row>
    <row r="147">
      <c r="A147" s="32">
        <v>1467520.0</v>
      </c>
      <c r="B147" s="186">
        <v>43343.0</v>
      </c>
      <c r="C147" s="159" t="str">
        <f t="array" ref="C147:G147">VLOOKUP(A147,'Tracker- Removed 2018'!B:Q,{2,5,6,8,10},false)</f>
        <v/>
      </c>
      <c r="D147" s="30" t="s">
        <v>83</v>
      </c>
      <c r="E147" s="30" t="s">
        <v>147</v>
      </c>
      <c r="F147" s="30" t="s">
        <v>47</v>
      </c>
      <c r="G147" s="30" t="s">
        <v>47</v>
      </c>
    </row>
    <row r="148">
      <c r="A148" s="32">
        <v>1066998.0</v>
      </c>
      <c r="B148" s="186">
        <v>43343.0</v>
      </c>
      <c r="C148" s="159" t="str">
        <f t="array" ref="C148:G148">VLOOKUP(A148,'Tracker- Removed 2018'!B:Q,{2,5,6,8,10},false)</f>
        <v/>
      </c>
      <c r="D148" s="30" t="s">
        <v>39</v>
      </c>
      <c r="E148" s="30" t="s">
        <v>50</v>
      </c>
      <c r="F148" s="30" t="s">
        <v>47</v>
      </c>
      <c r="G148" s="30" t="s">
        <v>47</v>
      </c>
    </row>
    <row r="149">
      <c r="A149" s="32">
        <v>1110672.0</v>
      </c>
      <c r="B149" s="186">
        <v>43343.0</v>
      </c>
      <c r="C149" s="159" t="str">
        <f t="array" ref="C149:G149">VLOOKUP(A149,'Tracker- Removed 2018'!B:Q,{2,5,6,8,10},false)</f>
        <v/>
      </c>
      <c r="D149" s="30" t="s">
        <v>39</v>
      </c>
      <c r="E149" s="30" t="s">
        <v>214</v>
      </c>
      <c r="F149" s="30" t="s">
        <v>47</v>
      </c>
      <c r="G149" s="30" t="s">
        <v>47</v>
      </c>
    </row>
    <row r="150">
      <c r="A150" s="32">
        <v>1244262.0</v>
      </c>
      <c r="B150" s="186">
        <v>43343.0</v>
      </c>
      <c r="C150" s="159" t="str">
        <f t="array" ref="C150:G150">VLOOKUP(A150,'Tracker- Removed 2018'!B:Q,{2,5,6,8,10},false)</f>
        <v/>
      </c>
      <c r="D150" s="30" t="s">
        <v>63</v>
      </c>
      <c r="E150" s="30" t="s">
        <v>115</v>
      </c>
      <c r="F150" s="30" t="s">
        <v>47</v>
      </c>
      <c r="G150" s="30" t="s">
        <v>47</v>
      </c>
    </row>
    <row r="151">
      <c r="A151" s="32">
        <v>598722.0</v>
      </c>
      <c r="B151" s="186">
        <v>43343.0</v>
      </c>
      <c r="C151" s="159" t="str">
        <f t="array" ref="C151:G151">VLOOKUP(A151,'Tracker- Removed 2018'!B:Q,{2,5,6,8,10},false)</f>
        <v/>
      </c>
      <c r="D151" s="30" t="s">
        <v>3919</v>
      </c>
      <c r="E151" s="30" t="s">
        <v>3921</v>
      </c>
      <c r="F151" s="30" t="s">
        <v>47</v>
      </c>
      <c r="G151" s="30" t="s">
        <v>47</v>
      </c>
    </row>
    <row r="152">
      <c r="A152" s="32">
        <v>76838.0</v>
      </c>
      <c r="B152" s="186">
        <v>43343.0</v>
      </c>
      <c r="C152" s="159" t="str">
        <f t="array" ref="C152:G152">VLOOKUP(A152,'Tracker- Removed 2018'!B:Q,{2,5,6,8,10},false)</f>
        <v/>
      </c>
      <c r="D152" s="30" t="s">
        <v>189</v>
      </c>
      <c r="E152" s="30" t="s">
        <v>289</v>
      </c>
      <c r="F152" s="30" t="s">
        <v>47</v>
      </c>
      <c r="G152" s="30" t="s">
        <v>47</v>
      </c>
    </row>
    <row r="153">
      <c r="A153" s="32">
        <v>1217360.0</v>
      </c>
      <c r="B153" s="186">
        <v>43343.0</v>
      </c>
      <c r="C153" s="159" t="str">
        <f t="array" ref="C153:G153">VLOOKUP(A153,'Tracker- Removed 2018'!B:Q,{2,5,6,8,10},false)</f>
        <v/>
      </c>
      <c r="D153" s="30" t="s">
        <v>39</v>
      </c>
      <c r="E153" s="30" t="s">
        <v>3910</v>
      </c>
      <c r="F153" s="30" t="s">
        <v>47</v>
      </c>
      <c r="G153" s="30" t="s">
        <v>47</v>
      </c>
    </row>
    <row r="154">
      <c r="A154" s="32">
        <v>656720.0</v>
      </c>
      <c r="B154" s="186">
        <v>43343.0</v>
      </c>
      <c r="C154" s="159" t="str">
        <f t="array" ref="C154:G154">VLOOKUP(A154,'Tracker- Removed 2018'!B:Q,{2,5,6,8,10},false)</f>
        <v/>
      </c>
      <c r="D154" s="30" t="s">
        <v>3915</v>
      </c>
      <c r="E154" s="30" t="s">
        <v>3916</v>
      </c>
      <c r="F154" s="30" t="s">
        <v>47</v>
      </c>
      <c r="G154" s="30" t="s">
        <v>47</v>
      </c>
    </row>
    <row r="155">
      <c r="A155" s="32">
        <v>678676.0</v>
      </c>
      <c r="B155" s="186">
        <v>43343.0</v>
      </c>
      <c r="C155" s="159" t="str">
        <f t="array" ref="C155:G155">VLOOKUP(A155,'Tracker- Removed 2018'!B:Q,{2,5,6,8,10},false)</f>
        <v/>
      </c>
      <c r="D155" s="30" t="s">
        <v>39</v>
      </c>
      <c r="E155" s="30" t="s">
        <v>3911</v>
      </c>
      <c r="F155" s="30" t="s">
        <v>47</v>
      </c>
      <c r="G155" s="30" t="s">
        <v>47</v>
      </c>
    </row>
    <row r="156">
      <c r="A156" s="32">
        <v>8332.0</v>
      </c>
      <c r="B156" s="186">
        <v>43343.0</v>
      </c>
      <c r="C156" s="159" t="str">
        <f t="array" ref="C156:G156">VLOOKUP(A156,'Tracker- Removed 2018'!B:Q,{2,5,6,8,10},false)</f>
        <v/>
      </c>
      <c r="D156" s="30" t="s">
        <v>3908</v>
      </c>
      <c r="E156" s="30" t="s">
        <v>75</v>
      </c>
      <c r="F156" s="30" t="s">
        <v>47</v>
      </c>
      <c r="G156" s="30" t="s">
        <v>47</v>
      </c>
    </row>
    <row r="157">
      <c r="A157" s="32">
        <v>1277288.0</v>
      </c>
      <c r="B157" s="186">
        <v>43343.0</v>
      </c>
      <c r="C157" s="159" t="str">
        <f t="array" ref="C157:G157">VLOOKUP(A157,'Tracker- Removed 2018'!B:Q,{2,5,6,8,10},false)</f>
        <v/>
      </c>
      <c r="D157" s="30" t="s">
        <v>3908</v>
      </c>
      <c r="E157" s="30" t="s">
        <v>75</v>
      </c>
      <c r="F157" s="30" t="s">
        <v>47</v>
      </c>
      <c r="G157" s="30" t="s">
        <v>47</v>
      </c>
    </row>
    <row r="158">
      <c r="A158" s="32">
        <v>34897.0</v>
      </c>
      <c r="B158" s="186">
        <v>43343.0</v>
      </c>
      <c r="C158" s="159" t="str">
        <f t="array" ref="C158:G158">VLOOKUP(A158,'Tracker- Removed 2018'!B:Q,{2,5,6,8,10},false)</f>
        <v/>
      </c>
      <c r="D158" s="30" t="s">
        <v>39</v>
      </c>
      <c r="E158" s="30" t="s">
        <v>3911</v>
      </c>
      <c r="F158" s="30" t="s">
        <v>47</v>
      </c>
      <c r="G158" s="30" t="s">
        <v>47</v>
      </c>
    </row>
    <row r="159">
      <c r="A159" s="32">
        <v>1365728.0</v>
      </c>
      <c r="B159" s="186">
        <v>43343.0</v>
      </c>
      <c r="C159" s="159" t="str">
        <f t="array" ref="C159:G159">VLOOKUP(A159,'Tracker- Removed 2018'!B:Q,{2,5,6,8,10},false)</f>
        <v/>
      </c>
      <c r="D159" s="30" t="s">
        <v>63</v>
      </c>
      <c r="E159" s="30" t="s">
        <v>64</v>
      </c>
      <c r="F159" s="30" t="s">
        <v>47</v>
      </c>
      <c r="G159" s="30" t="s">
        <v>47</v>
      </c>
    </row>
    <row r="160">
      <c r="A160" s="32">
        <v>1045942.0</v>
      </c>
      <c r="B160" s="186">
        <v>43343.0</v>
      </c>
      <c r="C160" s="159" t="str">
        <f t="array" ref="C160:G160">VLOOKUP(A160,'Tracker- Removed 2018'!B:Q,{2,5,6,8,10},false)</f>
        <v/>
      </c>
      <c r="D160" s="30" t="s">
        <v>39</v>
      </c>
      <c r="E160" s="30" t="s">
        <v>140</v>
      </c>
      <c r="F160" s="30" t="s">
        <v>47</v>
      </c>
      <c r="G160" s="30" t="s">
        <v>47</v>
      </c>
    </row>
    <row r="161">
      <c r="A161" s="32">
        <v>1229594.0</v>
      </c>
      <c r="B161" s="186">
        <v>43343.0</v>
      </c>
      <c r="C161" s="159" t="str">
        <f t="array" ref="C161:G161">VLOOKUP(A161,'Tracker- Removed 2018'!B:Q,{2,5,6,8,10},false)</f>
        <v/>
      </c>
      <c r="D161" s="30" t="s">
        <v>3908</v>
      </c>
      <c r="E161" s="30" t="s">
        <v>3917</v>
      </c>
      <c r="F161" s="30" t="s">
        <v>47</v>
      </c>
      <c r="G161" s="30" t="s">
        <v>47</v>
      </c>
    </row>
    <row r="162">
      <c r="A162" s="32">
        <v>1246246.0</v>
      </c>
      <c r="B162" s="186">
        <v>43343.0</v>
      </c>
      <c r="C162" s="159" t="str">
        <f t="array" ref="C162:G162">VLOOKUP(A162,'Tracker- Removed 2018'!B:Q,{2,5,6,8,10},false)</f>
        <v/>
      </c>
      <c r="D162" s="30" t="s">
        <v>39</v>
      </c>
      <c r="E162" s="30" t="s">
        <v>214</v>
      </c>
      <c r="F162" s="30" t="s">
        <v>47</v>
      </c>
      <c r="G162" s="30" t="s">
        <v>47</v>
      </c>
    </row>
    <row r="163">
      <c r="A163" s="32">
        <v>1172104.0</v>
      </c>
      <c r="B163" s="186">
        <v>43343.0</v>
      </c>
      <c r="C163" s="159" t="str">
        <f t="array" ref="C163:G163">VLOOKUP(A163,'Tracker- Removed 2018'!B:Q,{2,5,6,8,10},false)</f>
        <v/>
      </c>
      <c r="D163" s="30" t="s">
        <v>63</v>
      </c>
      <c r="E163" s="30" t="s">
        <v>64</v>
      </c>
      <c r="F163" s="30" t="s">
        <v>47</v>
      </c>
      <c r="G163" s="30" t="s">
        <v>47</v>
      </c>
    </row>
    <row r="164">
      <c r="A164" s="32">
        <v>453362.0</v>
      </c>
      <c r="B164" s="186">
        <v>43343.0</v>
      </c>
      <c r="C164" s="159" t="str">
        <f t="array" ref="C164:G164">VLOOKUP(A164,'Tracker- Removed 2018'!B:Q,{2,5,6,8,10},false)</f>
        <v/>
      </c>
      <c r="D164" s="30" t="s">
        <v>58</v>
      </c>
      <c r="E164" s="30" t="s">
        <v>3922</v>
      </c>
      <c r="F164" s="30" t="s">
        <v>47</v>
      </c>
      <c r="G164" s="30" t="s">
        <v>47</v>
      </c>
    </row>
    <row r="165">
      <c r="A165" s="32">
        <v>767256.0</v>
      </c>
      <c r="B165" s="186">
        <v>43343.0</v>
      </c>
      <c r="C165" s="159" t="str">
        <f t="array" ref="C165:G165">VLOOKUP(A165,'Tracker- Removed 2018'!B:Q,{2,5,6,8,10},false)</f>
        <v/>
      </c>
      <c r="D165" s="30" t="s">
        <v>3919</v>
      </c>
      <c r="E165" s="30" t="s">
        <v>3921</v>
      </c>
      <c r="F165" s="30" t="s">
        <v>47</v>
      </c>
      <c r="G165" s="30" t="s">
        <v>47</v>
      </c>
    </row>
    <row r="166">
      <c r="A166" s="32">
        <v>498972.0</v>
      </c>
      <c r="B166" s="186">
        <v>43343.0</v>
      </c>
      <c r="C166" s="159" t="str">
        <f t="array" ref="C166:G166">VLOOKUP(A166,'Tracker- Removed 2018'!B:Q,{2,5,6,8,10},false)</f>
        <v/>
      </c>
      <c r="D166" s="30" t="s">
        <v>39</v>
      </c>
      <c r="E166" s="30" t="s">
        <v>214</v>
      </c>
      <c r="F166" s="30" t="s">
        <v>47</v>
      </c>
      <c r="G166" s="30" t="s">
        <v>47</v>
      </c>
    </row>
    <row r="167">
      <c r="A167" s="32">
        <v>942222.0</v>
      </c>
      <c r="B167" s="186">
        <v>43343.0</v>
      </c>
      <c r="C167" s="159" t="str">
        <f t="array" ref="C167:G167">VLOOKUP(A167,'Tracker- Removed 2018'!B:Q,{2,5,6,8,10},false)</f>
        <v/>
      </c>
      <c r="D167" s="30" t="s">
        <v>39</v>
      </c>
      <c r="E167" s="30" t="s">
        <v>3911</v>
      </c>
      <c r="F167" s="30" t="s">
        <v>47</v>
      </c>
      <c r="G167" s="30" t="s">
        <v>47</v>
      </c>
    </row>
    <row r="168">
      <c r="A168" s="32">
        <v>1608990.0</v>
      </c>
      <c r="B168" s="186">
        <v>43339.0</v>
      </c>
      <c r="C168" s="159" t="str">
        <f t="array" ref="C168:G168">VLOOKUP(A168,'Tracker- Removed 2018'!B:Q,{2,5,6,8,10},false)</f>
        <v/>
      </c>
      <c r="D168" s="30" t="s">
        <v>3908</v>
      </c>
      <c r="E168" s="30" t="s">
        <v>75</v>
      </c>
      <c r="F168" s="30" t="s">
        <v>47</v>
      </c>
      <c r="G168" s="30" t="s">
        <v>47</v>
      </c>
    </row>
    <row r="169">
      <c r="A169" s="32">
        <v>1520628.0</v>
      </c>
      <c r="B169" s="186">
        <v>43339.0</v>
      </c>
      <c r="C169" s="159" t="str">
        <f t="array" ref="C169:G169">VLOOKUP(A169,'Tracker- Removed 2018'!B:Q,{2,5,6,8,10},false)</f>
        <v>AWS Certified Solutions Architect Associate Practice Exams</v>
      </c>
      <c r="D169" s="30" t="s">
        <v>3908</v>
      </c>
      <c r="E169" s="30" t="s">
        <v>75</v>
      </c>
      <c r="F169" s="30" t="s">
        <v>47</v>
      </c>
      <c r="G169" s="30" t="s">
        <v>47</v>
      </c>
    </row>
    <row r="170">
      <c r="A170" s="32">
        <v>1427098.0</v>
      </c>
      <c r="B170" s="186">
        <v>43333.0</v>
      </c>
      <c r="C170" s="159" t="str">
        <f t="array" ref="C170:G170">VLOOKUP(A170,'Tracker- Removed 2018'!B:Q,{2,5,6,8,10},false)</f>
        <v/>
      </c>
      <c r="D170" s="30" t="s">
        <v>39</v>
      </c>
      <c r="E170" s="30" t="s">
        <v>214</v>
      </c>
      <c r="F170" s="30" t="s">
        <v>47</v>
      </c>
      <c r="G170" s="30" t="s">
        <v>47</v>
      </c>
    </row>
    <row r="171">
      <c r="A171" s="187">
        <v>726470.0</v>
      </c>
      <c r="B171" s="186">
        <v>43322.0</v>
      </c>
      <c r="C171" s="159" t="str">
        <f t="array" ref="C171:G171">VLOOKUP(A171,'Tracker- Removed 2018'!B:Q,{2,5,6,8,10},false)</f>
        <v/>
      </c>
      <c r="D171" s="30" t="s">
        <v>3915</v>
      </c>
      <c r="E171" s="30" t="s">
        <v>184</v>
      </c>
      <c r="F171" s="30" t="s">
        <v>47</v>
      </c>
      <c r="G171" s="30" t="s">
        <v>47</v>
      </c>
    </row>
    <row r="172">
      <c r="A172" s="32">
        <v>1117202.0</v>
      </c>
      <c r="B172" s="186">
        <v>43313.0</v>
      </c>
      <c r="C172" s="159" t="str">
        <f t="array" ref="C172:G172">VLOOKUP(A172,'Tracker- Removed 2018'!B:Q,{2,5,6,8,10},false)</f>
        <v/>
      </c>
      <c r="D172" s="30" t="s">
        <v>3908</v>
      </c>
      <c r="E172" s="30" t="s">
        <v>75</v>
      </c>
      <c r="F172" s="30" t="s">
        <v>47</v>
      </c>
      <c r="G172" s="30" t="s">
        <v>47</v>
      </c>
    </row>
    <row r="173">
      <c r="A173" s="32">
        <v>1327786.0</v>
      </c>
      <c r="B173" s="186">
        <v>43313.0</v>
      </c>
      <c r="C173" s="159" t="str">
        <f t="array" ref="C173:G173">VLOOKUP(A173,'Tracker- Removed 2018'!B:Q,{2,5,6,8,10},false)</f>
        <v/>
      </c>
      <c r="D173" s="30" t="s">
        <v>3908</v>
      </c>
      <c r="E173" s="30" t="s">
        <v>75</v>
      </c>
      <c r="F173" s="30" t="s">
        <v>47</v>
      </c>
      <c r="G173" s="30" t="s">
        <v>47</v>
      </c>
    </row>
    <row r="174">
      <c r="A174" s="32">
        <v>374568.0</v>
      </c>
      <c r="B174" s="186">
        <v>43312.0</v>
      </c>
      <c r="C174" s="159" t="str">
        <f t="array" ref="C174:G174">VLOOKUP(A174,'Tracker- Removed 2018'!B:Q,{2,5,6,8,10},false)</f>
        <v/>
      </c>
      <c r="D174" s="30" t="s">
        <v>3908</v>
      </c>
      <c r="E174" s="30" t="s">
        <v>75</v>
      </c>
      <c r="F174" s="30" t="s">
        <v>47</v>
      </c>
      <c r="G174" s="30" t="s">
        <v>47</v>
      </c>
    </row>
    <row r="175">
      <c r="A175" s="32">
        <v>1635276.0</v>
      </c>
      <c r="B175" s="186">
        <v>43312.0</v>
      </c>
      <c r="C175" s="159" t="str">
        <f t="array" ref="C175:G175">VLOOKUP(A175,'Tracker- Removed 2018'!B:Q,{2,5,6,8,10},false)</f>
        <v/>
      </c>
      <c r="D175" s="30" t="s">
        <v>538</v>
      </c>
      <c r="E175" s="30" t="s">
        <v>127</v>
      </c>
      <c r="F175" s="30" t="s">
        <v>47</v>
      </c>
      <c r="G175" s="30" t="s">
        <v>47</v>
      </c>
    </row>
    <row r="176">
      <c r="A176" s="32">
        <v>1111844.0</v>
      </c>
      <c r="B176" s="186">
        <v>43312.0</v>
      </c>
      <c r="C176" s="159" t="str">
        <f t="array" ref="C176:G176">VLOOKUP(A176,'Tracker- Removed 2018'!B:Q,{2,5,6,8,10},false)</f>
        <v/>
      </c>
      <c r="D176" s="30" t="s">
        <v>39</v>
      </c>
      <c r="E176" s="30" t="s">
        <v>140</v>
      </c>
      <c r="F176" s="30" t="s">
        <v>47</v>
      </c>
      <c r="G176" s="30" t="s">
        <v>47</v>
      </c>
    </row>
    <row r="177">
      <c r="A177" s="32">
        <v>914296.0</v>
      </c>
      <c r="B177" s="186">
        <v>43312.0</v>
      </c>
      <c r="C177" s="159" t="str">
        <f t="array" ref="C177:G177">VLOOKUP(A177,'Tracker- Removed 2018'!B:Q,{2,5,6,8,10},false)</f>
        <v/>
      </c>
      <c r="D177" s="30" t="s">
        <v>83</v>
      </c>
      <c r="E177" s="30" t="s">
        <v>147</v>
      </c>
      <c r="F177" s="30" t="s">
        <v>47</v>
      </c>
      <c r="G177" s="30" t="s">
        <v>47</v>
      </c>
    </row>
    <row r="178">
      <c r="A178" s="32">
        <v>282450.0</v>
      </c>
      <c r="B178" s="186">
        <v>43312.0</v>
      </c>
      <c r="C178" s="159" t="str">
        <f t="array" ref="C178:G178">VLOOKUP(A178,'Tracker- Removed 2018'!B:Q,{2,5,6,8,10},false)</f>
        <v/>
      </c>
      <c r="D178" s="30" t="s">
        <v>83</v>
      </c>
      <c r="E178" s="30" t="s">
        <v>147</v>
      </c>
      <c r="F178" s="30" t="s">
        <v>47</v>
      </c>
      <c r="G178" s="30" t="s">
        <v>47</v>
      </c>
    </row>
    <row r="179">
      <c r="A179" s="32">
        <v>1295292.0</v>
      </c>
      <c r="B179" s="186">
        <v>43312.0</v>
      </c>
      <c r="C179" s="159" t="str">
        <f t="array" ref="C179:G179">VLOOKUP(A179,'Tracker- Removed 2018'!B:Q,{2,5,6,8,10},false)</f>
        <v/>
      </c>
      <c r="D179" s="30" t="s">
        <v>83</v>
      </c>
      <c r="E179" s="30" t="s">
        <v>3923</v>
      </c>
      <c r="F179" s="30" t="s">
        <v>47</v>
      </c>
      <c r="G179" s="30" t="s">
        <v>47</v>
      </c>
    </row>
    <row r="180">
      <c r="A180" s="32">
        <v>541692.0</v>
      </c>
      <c r="B180" s="186">
        <v>43312.0</v>
      </c>
      <c r="C180" s="159" t="str">
        <f t="array" ref="C180:G180">VLOOKUP(A180,'Tracker- Removed 2018'!B:Q,{2,5,6,8,10},false)</f>
        <v/>
      </c>
      <c r="D180" s="30" t="s">
        <v>39</v>
      </c>
      <c r="E180" s="30" t="s">
        <v>50</v>
      </c>
      <c r="F180" s="30" t="s">
        <v>47</v>
      </c>
      <c r="G180" s="30" t="s">
        <v>47</v>
      </c>
    </row>
    <row r="181">
      <c r="A181" s="32">
        <v>1301168.0</v>
      </c>
      <c r="B181" s="186">
        <v>43312.0</v>
      </c>
      <c r="C181" s="159" t="str">
        <f t="array" ref="C181:G181">VLOOKUP(A181,'Tracker- Removed 2018'!B:Q,{2,5,6,8,10},false)</f>
        <v/>
      </c>
      <c r="D181" s="30" t="s">
        <v>39</v>
      </c>
      <c r="E181" s="30" t="s">
        <v>50</v>
      </c>
      <c r="F181" s="30" t="s">
        <v>47</v>
      </c>
      <c r="G181" s="30" t="s">
        <v>47</v>
      </c>
    </row>
    <row r="182">
      <c r="A182" s="32">
        <v>1055720.0</v>
      </c>
      <c r="B182" s="186">
        <v>43312.0</v>
      </c>
      <c r="C182" s="159" t="str">
        <f t="array" ref="C182:G182">VLOOKUP(A182,'Tracker- Removed 2018'!B:Q,{2,5,6,8,10},false)</f>
        <v/>
      </c>
      <c r="D182" s="30" t="s">
        <v>39</v>
      </c>
      <c r="E182" s="30" t="s">
        <v>50</v>
      </c>
      <c r="F182" s="30" t="s">
        <v>47</v>
      </c>
      <c r="G182" s="30" t="s">
        <v>47</v>
      </c>
    </row>
    <row r="183">
      <c r="A183" s="32">
        <v>854544.0</v>
      </c>
      <c r="B183" s="186">
        <v>43312.0</v>
      </c>
      <c r="C183" s="159" t="str">
        <f t="array" ref="C183:G183">VLOOKUP(A183,'Tracker- Removed 2018'!B:Q,{2,5,6,8,10},false)</f>
        <v/>
      </c>
      <c r="D183" s="30" t="s">
        <v>39</v>
      </c>
      <c r="E183" s="30" t="s">
        <v>50</v>
      </c>
      <c r="F183" s="30" t="s">
        <v>47</v>
      </c>
      <c r="G183" s="30" t="s">
        <v>47</v>
      </c>
    </row>
    <row r="184">
      <c r="A184" s="32">
        <v>250852.0</v>
      </c>
      <c r="B184" s="186">
        <v>43312.0</v>
      </c>
      <c r="C184" s="159" t="str">
        <f t="array" ref="C184:G184">VLOOKUP(A184,'Tracker- Removed 2018'!B:Q,{2,5,6,8,10},false)</f>
        <v/>
      </c>
      <c r="D184" s="30" t="s">
        <v>58</v>
      </c>
      <c r="E184" s="30" t="s">
        <v>944</v>
      </c>
      <c r="F184" s="30" t="s">
        <v>47</v>
      </c>
      <c r="G184" s="30" t="s">
        <v>47</v>
      </c>
    </row>
    <row r="185">
      <c r="A185" s="32">
        <v>1556924.0</v>
      </c>
      <c r="B185" s="186">
        <v>43292.0</v>
      </c>
      <c r="C185" s="159" t="str">
        <f t="array" ref="C185:G185">VLOOKUP(A185,'Tracker- Removed 2018'!B:Q,{2,5,6,8,10},false)</f>
        <v/>
      </c>
      <c r="D185" s="30" t="s">
        <v>3908</v>
      </c>
      <c r="E185" s="30" t="s">
        <v>75</v>
      </c>
      <c r="F185" s="30" t="s">
        <v>47</v>
      </c>
      <c r="G185" s="30" t="s">
        <v>47</v>
      </c>
    </row>
    <row r="186">
      <c r="A186" s="32">
        <v>1205884.0</v>
      </c>
      <c r="B186" s="186">
        <v>43287.0</v>
      </c>
      <c r="C186" s="159" t="str">
        <f t="array" ref="C186:G186">VLOOKUP(A186,'Tracker- Removed 2018'!B:Q,{2,5,6,8,10},false)</f>
        <v/>
      </c>
      <c r="D186" s="30" t="s">
        <v>3915</v>
      </c>
      <c r="E186" s="30" t="s">
        <v>184</v>
      </c>
      <c r="F186" s="30" t="s">
        <v>47</v>
      </c>
      <c r="G186" s="30" t="s">
        <v>47</v>
      </c>
    </row>
    <row r="187">
      <c r="A187" s="32">
        <v>1364354.0</v>
      </c>
      <c r="B187" s="186">
        <v>43287.0</v>
      </c>
      <c r="C187" s="159" t="str">
        <f t="array" ref="C187:G187">VLOOKUP(A187,'Tracker- Removed 2018'!B:Q,{2,5,6,8,10},false)</f>
        <v/>
      </c>
      <c r="D187" s="30" t="s">
        <v>3915</v>
      </c>
      <c r="E187" s="30" t="s">
        <v>184</v>
      </c>
      <c r="F187" s="30" t="s">
        <v>47</v>
      </c>
      <c r="G187" s="30" t="s">
        <v>47</v>
      </c>
    </row>
    <row r="188">
      <c r="A188" s="32">
        <v>1691540.0</v>
      </c>
      <c r="B188" s="186">
        <v>43287.0</v>
      </c>
      <c r="C188" s="159" t="str">
        <f t="array" ref="C188:G188">VLOOKUP(A188,'Tracker- Removed 2018'!B:Q,{2,5,6,8,10},false)</f>
        <v/>
      </c>
      <c r="D188" s="30" t="s">
        <v>3915</v>
      </c>
      <c r="E188" s="30" t="s">
        <v>184</v>
      </c>
      <c r="F188" s="30" t="s">
        <v>47</v>
      </c>
      <c r="G188" s="30" t="s">
        <v>47</v>
      </c>
    </row>
    <row r="189">
      <c r="A189" s="32">
        <v>988240.0</v>
      </c>
      <c r="B189" s="186">
        <v>43286.0</v>
      </c>
      <c r="C189" s="159" t="str">
        <f t="array" ref="C189:G189">VLOOKUP(A189,'Tracker- Removed 2018'!B:Q,{2,5,6,8,10},false)</f>
        <v/>
      </c>
      <c r="D189" s="30" t="s">
        <v>3915</v>
      </c>
      <c r="E189" s="30" t="s">
        <v>184</v>
      </c>
      <c r="F189" s="30" t="s">
        <v>47</v>
      </c>
      <c r="G189" s="30" t="s">
        <v>47</v>
      </c>
    </row>
    <row r="190">
      <c r="A190" s="32">
        <v>240058.0</v>
      </c>
      <c r="B190" s="186">
        <v>43280.0</v>
      </c>
      <c r="C190" s="159" t="str">
        <f t="array" ref="C190:G190">VLOOKUP(A190,'Tracker- Removed 2018'!B:Q,{2,5,6,8,10},false)</f>
        <v/>
      </c>
      <c r="D190" s="30" t="s">
        <v>39</v>
      </c>
      <c r="E190" s="30" t="s">
        <v>3910</v>
      </c>
      <c r="F190" s="30" t="s">
        <v>47</v>
      </c>
      <c r="G190" s="30" t="s">
        <v>47</v>
      </c>
    </row>
    <row r="191">
      <c r="A191" s="32">
        <v>405840.0</v>
      </c>
      <c r="B191" s="186">
        <v>43280.0</v>
      </c>
      <c r="C191" s="159" t="str">
        <f t="array" ref="C191:G191">VLOOKUP(A191,'Tracker- Removed 2018'!B:Q,{2,5,6,8,10},false)</f>
        <v/>
      </c>
      <c r="D191" s="30" t="s">
        <v>39</v>
      </c>
      <c r="E191" s="30" t="s">
        <v>3911</v>
      </c>
      <c r="F191" s="30" t="s">
        <v>47</v>
      </c>
      <c r="G191" s="30" t="s">
        <v>47</v>
      </c>
    </row>
    <row r="192">
      <c r="A192" s="32">
        <v>363854.0</v>
      </c>
      <c r="B192" s="186">
        <v>43280.0</v>
      </c>
      <c r="C192" s="159" t="str">
        <f t="array" ref="C192:G192">VLOOKUP(A192,'Tracker- Removed 2018'!B:Q,{2,5,6,8,10},false)</f>
        <v/>
      </c>
      <c r="D192" s="30" t="s">
        <v>39</v>
      </c>
      <c r="E192" s="30" t="s">
        <v>214</v>
      </c>
      <c r="F192" s="30" t="s">
        <v>47</v>
      </c>
      <c r="G192" s="30" t="s">
        <v>47</v>
      </c>
    </row>
    <row r="193">
      <c r="A193" s="32">
        <v>897842.0</v>
      </c>
      <c r="B193" s="186">
        <v>43280.0</v>
      </c>
      <c r="C193" s="159" t="str">
        <f t="array" ref="C193:G193">VLOOKUP(A193,'Tracker- Removed 2018'!B:Q,{2,5,6,8,10},false)</f>
        <v/>
      </c>
      <c r="D193" s="30" t="s">
        <v>3908</v>
      </c>
      <c r="E193" s="30" t="s">
        <v>3909</v>
      </c>
      <c r="F193" s="30" t="s">
        <v>47</v>
      </c>
      <c r="G193" s="30" t="s">
        <v>47</v>
      </c>
    </row>
    <row r="194">
      <c r="A194" s="32">
        <v>543314.0</v>
      </c>
      <c r="B194" s="186">
        <v>43280.0</v>
      </c>
      <c r="C194" s="159" t="str">
        <f t="array" ref="C194:G194">VLOOKUP(A194,'Tracker- Removed 2018'!B:Q,{2,5,6,8,10},false)</f>
        <v/>
      </c>
      <c r="D194" s="30" t="s">
        <v>219</v>
      </c>
      <c r="E194" s="30" t="s">
        <v>3924</v>
      </c>
      <c r="F194" s="30" t="s">
        <v>47</v>
      </c>
      <c r="G194" s="30" t="s">
        <v>47</v>
      </c>
    </row>
    <row r="195">
      <c r="A195" s="32">
        <v>53639.0</v>
      </c>
      <c r="B195" s="186">
        <v>43280.0</v>
      </c>
      <c r="C195" s="159" t="str">
        <f t="array" ref="C195:G195">VLOOKUP(A195,'Tracker- Removed 2018'!B:Q,{2,5,6,8,10},false)</f>
        <v/>
      </c>
      <c r="D195" s="30" t="s">
        <v>105</v>
      </c>
      <c r="E195" s="30" t="s">
        <v>3925</v>
      </c>
      <c r="F195" s="30" t="s">
        <v>47</v>
      </c>
      <c r="G195" s="30" t="s">
        <v>47</v>
      </c>
    </row>
    <row r="196">
      <c r="A196" s="32">
        <v>658244.0</v>
      </c>
      <c r="B196" s="186">
        <v>43280.0</v>
      </c>
      <c r="C196" s="159" t="str">
        <f t="array" ref="C196:G196">VLOOKUP(A196,'Tracker- Removed 2018'!B:Q,{2,5,6,8,10},false)</f>
        <v/>
      </c>
      <c r="D196" s="30" t="s">
        <v>83</v>
      </c>
      <c r="E196" s="30" t="s">
        <v>876</v>
      </c>
      <c r="F196" s="30" t="s">
        <v>47</v>
      </c>
      <c r="G196" s="30" t="s">
        <v>47</v>
      </c>
    </row>
    <row r="197">
      <c r="A197" s="32">
        <v>851362.0</v>
      </c>
      <c r="B197" s="186">
        <v>43280.0</v>
      </c>
      <c r="C197" s="159" t="str">
        <f t="array" ref="C197:G197">VLOOKUP(A197,'Tracker- Removed 2018'!B:Q,{2,5,6,8,10},false)</f>
        <v/>
      </c>
      <c r="D197" s="30" t="s">
        <v>219</v>
      </c>
      <c r="E197" s="30" t="s">
        <v>3924</v>
      </c>
      <c r="F197" s="30" t="s">
        <v>47</v>
      </c>
      <c r="G197" s="30" t="s">
        <v>47</v>
      </c>
    </row>
    <row r="198">
      <c r="A198" s="32">
        <v>1014958.0</v>
      </c>
      <c r="B198" s="186">
        <v>43280.0</v>
      </c>
      <c r="C198" s="159" t="str">
        <f t="array" ref="C198:G198">VLOOKUP(A198,'Tracker- Removed 2018'!B:Q,{2,5,6,8,10},false)</f>
        <v/>
      </c>
      <c r="D198" s="30" t="s">
        <v>83</v>
      </c>
      <c r="E198" s="30" t="s">
        <v>3926</v>
      </c>
      <c r="F198" s="30" t="s">
        <v>47</v>
      </c>
      <c r="G198" s="30" t="s">
        <v>47</v>
      </c>
    </row>
    <row r="199">
      <c r="A199" s="32">
        <v>1251578.0</v>
      </c>
      <c r="B199" s="186">
        <v>43280.0</v>
      </c>
      <c r="C199" s="159" t="str">
        <f t="array" ref="C199:G199">VLOOKUP(A199,'Tracker- Removed 2018'!B:Q,{2,5,6,8,10},false)</f>
        <v/>
      </c>
      <c r="D199" s="30" t="s">
        <v>39</v>
      </c>
      <c r="E199" s="30" t="s">
        <v>3910</v>
      </c>
      <c r="F199" s="30" t="s">
        <v>47</v>
      </c>
      <c r="G199" s="30" t="s">
        <v>47</v>
      </c>
    </row>
    <row r="200">
      <c r="A200" s="32">
        <v>989650.0</v>
      </c>
      <c r="B200" s="186">
        <v>43280.0</v>
      </c>
      <c r="C200" s="159" t="str">
        <f t="array" ref="C200:G200">VLOOKUP(A200,'Tracker- Removed 2018'!B:Q,{2,5,6,8,10},false)</f>
        <v/>
      </c>
      <c r="D200" s="30" t="s">
        <v>83</v>
      </c>
      <c r="E200" s="30" t="s">
        <v>285</v>
      </c>
      <c r="F200" s="30" t="s">
        <v>47</v>
      </c>
      <c r="G200" s="30" t="s">
        <v>47</v>
      </c>
    </row>
    <row r="201">
      <c r="A201" s="32">
        <v>779436.0</v>
      </c>
      <c r="B201" s="186">
        <v>43280.0</v>
      </c>
      <c r="C201" s="159" t="str">
        <f t="array" ref="C201:G201">VLOOKUP(A201,'Tracker- Removed 2018'!B:Q,{2,5,6,8,10},false)</f>
        <v/>
      </c>
      <c r="D201" s="30" t="s">
        <v>83</v>
      </c>
      <c r="E201" s="30" t="s">
        <v>3927</v>
      </c>
      <c r="F201" s="30" t="s">
        <v>47</v>
      </c>
      <c r="G201" s="30" t="s">
        <v>47</v>
      </c>
    </row>
    <row r="202">
      <c r="A202" s="32">
        <v>857726.0</v>
      </c>
      <c r="B202" s="186">
        <v>43280.0</v>
      </c>
      <c r="C202" s="159" t="str">
        <f t="array" ref="C202:G202">VLOOKUP(A202,'Tracker- Removed 2018'!B:Q,{2,5,6,8,10},false)</f>
        <v/>
      </c>
      <c r="D202" s="30" t="s">
        <v>83</v>
      </c>
      <c r="E202" s="30" t="s">
        <v>3926</v>
      </c>
      <c r="F202" s="30" t="s">
        <v>47</v>
      </c>
      <c r="G202" s="30" t="s">
        <v>47</v>
      </c>
    </row>
    <row r="203">
      <c r="A203" s="32">
        <v>816354.0</v>
      </c>
      <c r="B203" s="186">
        <v>43280.0</v>
      </c>
      <c r="C203" s="159" t="str">
        <f t="array" ref="C203:G203">VLOOKUP(A203,'Tracker- Removed 2018'!B:Q,{2,5,6,8,10},false)</f>
        <v/>
      </c>
      <c r="D203" s="30" t="s">
        <v>538</v>
      </c>
      <c r="E203" s="30" t="s">
        <v>271</v>
      </c>
      <c r="F203" s="30" t="s">
        <v>47</v>
      </c>
      <c r="G203" s="30" t="s">
        <v>47</v>
      </c>
    </row>
    <row r="204">
      <c r="A204" s="32">
        <v>43441.0</v>
      </c>
      <c r="B204" s="186">
        <v>43280.0</v>
      </c>
      <c r="C204" s="159" t="str">
        <f t="array" ref="C204:G204">VLOOKUP(A204,'Tracker- Removed 2018'!B:Q,{2,5,6,8,10},false)</f>
        <v/>
      </c>
      <c r="D204" s="30" t="s">
        <v>3919</v>
      </c>
      <c r="E204" s="30" t="s">
        <v>3921</v>
      </c>
      <c r="F204" s="30" t="s">
        <v>47</v>
      </c>
      <c r="G204" s="30" t="s">
        <v>47</v>
      </c>
    </row>
    <row r="205">
      <c r="A205" s="32">
        <v>669076.0</v>
      </c>
      <c r="B205" s="186">
        <v>43280.0</v>
      </c>
      <c r="C205" s="159" t="str">
        <f t="array" ref="C205:G205">VLOOKUP(A205,'Tracker- Removed 2018'!B:Q,{2,5,6,8,10},false)</f>
        <v/>
      </c>
      <c r="D205" s="30" t="s">
        <v>39</v>
      </c>
      <c r="E205" s="30" t="s">
        <v>3911</v>
      </c>
      <c r="F205" s="30" t="s">
        <v>47</v>
      </c>
      <c r="G205" s="30" t="s">
        <v>47</v>
      </c>
    </row>
    <row r="206">
      <c r="A206" s="32">
        <v>1081978.0</v>
      </c>
      <c r="B206" s="186">
        <v>43280.0</v>
      </c>
      <c r="C206" s="159" t="str">
        <f t="array" ref="C206:G206">VLOOKUP(A206,'Tracker- Removed 2018'!B:Q,{2,5,6,8,10},false)</f>
        <v/>
      </c>
      <c r="D206" s="30" t="s">
        <v>39</v>
      </c>
      <c r="E206" s="30" t="s">
        <v>50</v>
      </c>
      <c r="F206" s="30" t="s">
        <v>47</v>
      </c>
      <c r="G206" s="30" t="s">
        <v>47</v>
      </c>
    </row>
    <row r="207">
      <c r="A207" s="32">
        <v>1088972.0</v>
      </c>
      <c r="B207" s="186">
        <v>43280.0</v>
      </c>
      <c r="C207" s="159" t="str">
        <f t="array" ref="C207:G207">VLOOKUP(A207,'Tracker- Removed 2018'!B:Q,{2,5,6,8,10},false)</f>
        <v/>
      </c>
      <c r="D207" s="30" t="s">
        <v>105</v>
      </c>
      <c r="E207" s="30" t="s">
        <v>316</v>
      </c>
      <c r="F207" s="30" t="s">
        <v>47</v>
      </c>
      <c r="G207" s="30" t="s">
        <v>47</v>
      </c>
    </row>
    <row r="208">
      <c r="A208" s="188">
        <v>1110366.0</v>
      </c>
      <c r="B208" s="186">
        <v>43280.0</v>
      </c>
      <c r="C208" s="159" t="str">
        <f t="array" ref="C208:G208">VLOOKUP(A208,'Tracker- Removed 2018'!B:Q,{2,5,6,8,10},false)</f>
        <v/>
      </c>
      <c r="D208" s="30" t="s">
        <v>39</v>
      </c>
      <c r="E208" s="30" t="s">
        <v>3911</v>
      </c>
      <c r="F208" s="30" t="s">
        <v>47</v>
      </c>
      <c r="G208" s="30" t="s">
        <v>47</v>
      </c>
    </row>
    <row r="209">
      <c r="A209" s="32">
        <v>407294.0</v>
      </c>
      <c r="B209" s="186">
        <v>43280.0</v>
      </c>
      <c r="C209" s="159" t="str">
        <f t="array" ref="C209:G209">VLOOKUP(A209,'Tracker- Removed 2018'!B:Q,{2,5,6,8,10},false)</f>
        <v/>
      </c>
      <c r="D209" s="30" t="s">
        <v>83</v>
      </c>
      <c r="E209" s="30" t="s">
        <v>3927</v>
      </c>
      <c r="F209" s="30" t="s">
        <v>47</v>
      </c>
      <c r="G209" s="30" t="s">
        <v>47</v>
      </c>
    </row>
    <row r="210">
      <c r="A210" s="32">
        <v>737722.0</v>
      </c>
      <c r="B210" s="186">
        <v>43280.0</v>
      </c>
      <c r="C210" s="159" t="str">
        <f t="array" ref="C210:G210">VLOOKUP(A210,'Tracker- Removed 2018'!B:Q,{2,5,6,8,10},false)</f>
        <v/>
      </c>
      <c r="D210" s="30" t="s">
        <v>538</v>
      </c>
      <c r="E210" s="30" t="s">
        <v>127</v>
      </c>
      <c r="F210" s="30" t="s">
        <v>47</v>
      </c>
      <c r="G210" s="30" t="s">
        <v>47</v>
      </c>
    </row>
    <row r="211">
      <c r="A211" s="32">
        <v>365672.0</v>
      </c>
      <c r="B211" s="186">
        <v>43280.0</v>
      </c>
      <c r="C211" s="159" t="str">
        <f t="array" ref="C211:G211">VLOOKUP(A211,'Tracker- Removed 2018'!B:Q,{2,5,6,8,10},false)</f>
        <v/>
      </c>
      <c r="D211" s="30" t="s">
        <v>2958</v>
      </c>
      <c r="E211" s="30" t="s">
        <v>3928</v>
      </c>
      <c r="F211" s="30" t="s">
        <v>47</v>
      </c>
      <c r="G211" s="30" t="s">
        <v>47</v>
      </c>
    </row>
    <row r="212">
      <c r="A212" s="32">
        <v>531898.0</v>
      </c>
      <c r="B212" s="186">
        <v>43280.0</v>
      </c>
      <c r="C212" s="159" t="str">
        <f t="array" ref="C212:G212">VLOOKUP(A212,'Tracker- Removed 2018'!B:Q,{2,5,6,8,10},false)</f>
        <v/>
      </c>
      <c r="D212" s="30" t="s">
        <v>39</v>
      </c>
      <c r="E212" s="30" t="s">
        <v>3911</v>
      </c>
      <c r="F212" s="30" t="s">
        <v>47</v>
      </c>
      <c r="G212" s="30" t="s">
        <v>47</v>
      </c>
    </row>
    <row r="213">
      <c r="A213" s="32">
        <v>27868.0</v>
      </c>
      <c r="B213" s="186">
        <v>43280.0</v>
      </c>
      <c r="C213" s="159" t="str">
        <f t="array" ref="C213:G213">VLOOKUP(A213,'Tracker- Removed 2018'!B:Q,{2,5,6,8,10},false)</f>
        <v/>
      </c>
      <c r="D213" s="30" t="s">
        <v>39</v>
      </c>
      <c r="E213" s="30" t="s">
        <v>214</v>
      </c>
      <c r="F213" s="30" t="s">
        <v>47</v>
      </c>
      <c r="G213" s="30" t="s">
        <v>47</v>
      </c>
    </row>
    <row r="214">
      <c r="A214" s="32">
        <v>1004878.0</v>
      </c>
      <c r="B214" s="186">
        <v>43280.0</v>
      </c>
      <c r="C214" s="159" t="str">
        <f t="array" ref="C214:G214">VLOOKUP(A214,'Tracker- Removed 2018'!B:Q,{2,5,6,8,10},false)</f>
        <v/>
      </c>
      <c r="D214" s="30" t="s">
        <v>39</v>
      </c>
      <c r="E214" s="30" t="s">
        <v>214</v>
      </c>
      <c r="F214" s="30" t="s">
        <v>47</v>
      </c>
      <c r="G214" s="30" t="s">
        <v>47</v>
      </c>
    </row>
    <row r="215">
      <c r="A215" s="32">
        <v>1164844.0</v>
      </c>
      <c r="B215" s="186">
        <v>43280.0</v>
      </c>
      <c r="C215" s="159" t="str">
        <f t="array" ref="C215:G215">VLOOKUP(A215,'Tracker- Removed 2018'!B:Q,{2,5,6,8,10},false)</f>
        <v/>
      </c>
      <c r="D215" s="30" t="s">
        <v>39</v>
      </c>
      <c r="E215" s="30" t="s">
        <v>3910</v>
      </c>
      <c r="F215" s="30" t="s">
        <v>47</v>
      </c>
      <c r="G215" s="30" t="s">
        <v>47</v>
      </c>
    </row>
    <row r="216">
      <c r="A216" s="32">
        <v>665042.0</v>
      </c>
      <c r="B216" s="186">
        <v>43280.0</v>
      </c>
      <c r="C216" s="159" t="str">
        <f t="array" ref="C216:G216">VLOOKUP(A216,'Tracker- Removed 2018'!B:Q,{2,5,6,8,10},false)</f>
        <v/>
      </c>
      <c r="D216" s="30" t="s">
        <v>39</v>
      </c>
      <c r="E216" s="30" t="s">
        <v>140</v>
      </c>
      <c r="F216" s="30" t="s">
        <v>47</v>
      </c>
      <c r="G216" s="30" t="s">
        <v>47</v>
      </c>
    </row>
    <row r="217">
      <c r="A217" s="32">
        <v>555984.0</v>
      </c>
      <c r="B217" s="186">
        <v>43280.0</v>
      </c>
      <c r="C217" s="159" t="str">
        <f t="array" ref="C217:G217">VLOOKUP(A217,'Tracker- Removed 2018'!B:Q,{2,5,6,8,10},false)</f>
        <v/>
      </c>
      <c r="D217" s="30" t="s">
        <v>219</v>
      </c>
      <c r="E217" s="30" t="s">
        <v>3924</v>
      </c>
      <c r="F217" s="30" t="s">
        <v>47</v>
      </c>
      <c r="G217" s="30" t="s">
        <v>47</v>
      </c>
    </row>
    <row r="218">
      <c r="A218" s="32">
        <v>531360.0</v>
      </c>
      <c r="B218" s="186">
        <v>43280.0</v>
      </c>
      <c r="C218" s="159" t="str">
        <f t="array" ref="C218:G218">VLOOKUP(A218,'Tracker- Removed 2018'!B:Q,{2,5,6,8,10},false)</f>
        <v/>
      </c>
      <c r="D218" s="30" t="s">
        <v>39</v>
      </c>
      <c r="E218" s="30" t="s">
        <v>140</v>
      </c>
      <c r="F218" s="30" t="s">
        <v>47</v>
      </c>
      <c r="G218" s="30" t="s">
        <v>47</v>
      </c>
    </row>
    <row r="219">
      <c r="A219" s="32">
        <v>1305944.0</v>
      </c>
      <c r="B219" s="186">
        <v>43280.0</v>
      </c>
      <c r="C219" s="159" t="str">
        <f t="array" ref="C219:G219">VLOOKUP(A219,'Tracker- Removed 2018'!B:Q,{2,5,6,8,10},false)</f>
        <v/>
      </c>
      <c r="D219" s="30" t="s">
        <v>39</v>
      </c>
      <c r="E219" s="30" t="s">
        <v>140</v>
      </c>
      <c r="F219" s="30" t="s">
        <v>47</v>
      </c>
      <c r="G219" s="30" t="s">
        <v>47</v>
      </c>
    </row>
    <row r="220">
      <c r="A220" s="32">
        <v>1186464.0</v>
      </c>
      <c r="B220" s="186">
        <v>43280.0</v>
      </c>
      <c r="C220" s="159" t="str">
        <f t="array" ref="C220:G220">VLOOKUP(A220,'Tracker- Removed 2018'!B:Q,{2,5,6,8,10},false)</f>
        <v/>
      </c>
      <c r="D220" s="30" t="s">
        <v>3908</v>
      </c>
      <c r="E220" s="30" t="s">
        <v>75</v>
      </c>
      <c r="F220" s="30" t="s">
        <v>47</v>
      </c>
      <c r="G220" s="30" t="s">
        <v>47</v>
      </c>
    </row>
    <row r="221">
      <c r="A221" s="32">
        <v>371100.0</v>
      </c>
      <c r="B221" s="186">
        <v>43280.0</v>
      </c>
      <c r="C221" s="159" t="str">
        <f t="array" ref="C221:G221">VLOOKUP(A221,'Tracker- Removed 2018'!B:Q,{2,5,6,8,10},false)</f>
        <v/>
      </c>
      <c r="D221" s="30" t="s">
        <v>538</v>
      </c>
      <c r="E221" s="30" t="s">
        <v>271</v>
      </c>
      <c r="F221" s="30" t="s">
        <v>47</v>
      </c>
      <c r="G221" s="30" t="s">
        <v>47</v>
      </c>
    </row>
    <row r="222">
      <c r="A222" s="32">
        <v>736250.0</v>
      </c>
      <c r="B222" s="186">
        <v>43280.0</v>
      </c>
      <c r="C222" s="159" t="str">
        <f t="array" ref="C222:G222">VLOOKUP(A222,'Tracker- Removed 2018'!B:Q,{2,5,6,8,10},false)</f>
        <v/>
      </c>
      <c r="D222" s="30" t="s">
        <v>39</v>
      </c>
      <c r="E222" s="30" t="s">
        <v>214</v>
      </c>
      <c r="F222" s="30" t="s">
        <v>47</v>
      </c>
      <c r="G222" s="30" t="s">
        <v>47</v>
      </c>
    </row>
    <row r="223">
      <c r="A223" s="32">
        <v>991562.0</v>
      </c>
      <c r="B223" s="186">
        <v>43280.0</v>
      </c>
      <c r="C223" s="159" t="str">
        <f t="array" ref="C223:G223">VLOOKUP(A223,'Tracker- Removed 2018'!B:Q,{2,5,6,8,10},false)</f>
        <v/>
      </c>
      <c r="D223" s="30" t="s">
        <v>3908</v>
      </c>
      <c r="E223" s="30" t="s">
        <v>3909</v>
      </c>
      <c r="F223" s="30" t="s">
        <v>47</v>
      </c>
      <c r="G223" s="30" t="s">
        <v>47</v>
      </c>
    </row>
    <row r="224">
      <c r="A224" s="32">
        <v>466762.0</v>
      </c>
      <c r="B224" s="186">
        <v>43280.0</v>
      </c>
      <c r="C224" s="159" t="str">
        <f t="array" ref="C224:G224">VLOOKUP(A224,'Tracker- Removed 2018'!B:Q,{2,5,6,8,10},false)</f>
        <v/>
      </c>
      <c r="D224" s="30" t="s">
        <v>39</v>
      </c>
      <c r="E224" s="30" t="s">
        <v>50</v>
      </c>
      <c r="F224" s="30" t="s">
        <v>47</v>
      </c>
      <c r="G224" s="30" t="s">
        <v>47</v>
      </c>
    </row>
    <row r="225">
      <c r="A225" s="32">
        <v>1394564.0</v>
      </c>
      <c r="B225" s="186">
        <v>43280.0</v>
      </c>
      <c r="C225" s="159" t="str">
        <f t="array" ref="C225:G225">VLOOKUP(A225,'Tracker- Removed 2018'!B:Q,{2,5,6,8,10},false)</f>
        <v/>
      </c>
      <c r="D225" s="30" t="s">
        <v>538</v>
      </c>
      <c r="E225" s="30" t="s">
        <v>3918</v>
      </c>
      <c r="F225" s="30" t="s">
        <v>47</v>
      </c>
      <c r="G225" s="30" t="s">
        <v>47</v>
      </c>
    </row>
    <row r="226">
      <c r="A226" s="32">
        <v>640046.0</v>
      </c>
      <c r="B226" s="186">
        <v>43280.0</v>
      </c>
      <c r="C226" s="159" t="str">
        <f t="array" ref="C226:G226">VLOOKUP(A226,'Tracker- Removed 2018'!B:Q,{2,5,6,8,10},false)</f>
        <v/>
      </c>
      <c r="D226" s="30" t="s">
        <v>538</v>
      </c>
      <c r="E226" s="30" t="s">
        <v>975</v>
      </c>
      <c r="F226" s="30" t="s">
        <v>47</v>
      </c>
      <c r="G226" s="30" t="s">
        <v>47</v>
      </c>
    </row>
    <row r="227">
      <c r="A227" s="32">
        <v>846272.0</v>
      </c>
      <c r="B227" s="186">
        <v>43280.0</v>
      </c>
      <c r="C227" s="159" t="str">
        <f t="array" ref="C227:G227">VLOOKUP(A227,'Tracker- Removed 2018'!B:Q,{2,5,6,8,10},false)</f>
        <v/>
      </c>
      <c r="D227" s="30" t="s">
        <v>39</v>
      </c>
      <c r="E227" s="30" t="s">
        <v>140</v>
      </c>
      <c r="F227" s="30" t="s">
        <v>47</v>
      </c>
      <c r="G227" s="30" t="s">
        <v>47</v>
      </c>
    </row>
    <row r="228">
      <c r="A228" s="32">
        <v>1604188.0</v>
      </c>
      <c r="B228" s="186">
        <v>43270.0</v>
      </c>
      <c r="C228" s="159" t="str">
        <f t="array" ref="C228:G228">VLOOKUP(A228,'Tracker- Removed 2018'!B:Q,{2,5,6,8,10},false)</f>
        <v/>
      </c>
      <c r="D228" s="30" t="s">
        <v>3915</v>
      </c>
      <c r="E228" s="30" t="s">
        <v>998</v>
      </c>
      <c r="F228" s="30" t="s">
        <v>47</v>
      </c>
      <c r="G228" s="30" t="s">
        <v>47</v>
      </c>
    </row>
    <row r="229">
      <c r="A229" s="32">
        <v>1619164.0</v>
      </c>
      <c r="B229" s="186">
        <v>43270.0</v>
      </c>
      <c r="C229" s="159" t="str">
        <f t="array" ref="C229:G229">VLOOKUP(A229,'Tracker- Removed 2018'!B:Q,{2,5,6,8,10},false)</f>
        <v/>
      </c>
      <c r="D229" s="30" t="s">
        <v>3908</v>
      </c>
      <c r="E229" s="30" t="s">
        <v>3917</v>
      </c>
      <c r="F229" s="30" t="s">
        <v>47</v>
      </c>
      <c r="G229" s="30" t="s">
        <v>47</v>
      </c>
    </row>
    <row r="230">
      <c r="A230" s="32">
        <v>1619212.0</v>
      </c>
      <c r="B230" s="186">
        <v>43270.0</v>
      </c>
      <c r="C230" s="159" t="str">
        <f t="array" ref="C230:G230">VLOOKUP(A230,'Tracker- Removed 2018'!B:Q,{2,5,6,8,10},false)</f>
        <v/>
      </c>
      <c r="D230" s="30" t="s">
        <v>3915</v>
      </c>
      <c r="E230" s="30" t="s">
        <v>184</v>
      </c>
      <c r="F230" s="30" t="s">
        <v>47</v>
      </c>
      <c r="G230" s="30" t="s">
        <v>47</v>
      </c>
    </row>
    <row r="231">
      <c r="A231" s="32">
        <v>1619196.0</v>
      </c>
      <c r="B231" s="186">
        <v>43270.0</v>
      </c>
      <c r="C231" s="159" t="str">
        <f t="array" ref="C231:G231">VLOOKUP(A231,'Tracker- Removed 2018'!B:Q,{2,5,6,8,10},false)</f>
        <v/>
      </c>
      <c r="D231" s="30" t="s">
        <v>3915</v>
      </c>
      <c r="E231" s="30" t="s">
        <v>184</v>
      </c>
      <c r="F231" s="30" t="s">
        <v>47</v>
      </c>
      <c r="G231" s="30" t="s">
        <v>47</v>
      </c>
    </row>
    <row r="232">
      <c r="A232" s="32">
        <v>1604412.0</v>
      </c>
      <c r="B232" s="186">
        <v>43270.0</v>
      </c>
      <c r="C232" s="159" t="str">
        <f t="array" ref="C232:G232">VLOOKUP(A232,'Tracker- Removed 2018'!B:Q,{2,5,6,8,10},false)</f>
        <v/>
      </c>
      <c r="D232" s="30" t="s">
        <v>3908</v>
      </c>
      <c r="E232" s="30" t="s">
        <v>3917</v>
      </c>
      <c r="F232" s="30" t="s">
        <v>47</v>
      </c>
      <c r="G232" s="30" t="s">
        <v>47</v>
      </c>
    </row>
    <row r="233">
      <c r="A233" s="32">
        <v>1604362.0</v>
      </c>
      <c r="B233" s="186">
        <v>43270.0</v>
      </c>
      <c r="C233" s="159" t="str">
        <f t="array" ref="C233:G233">VLOOKUP(A233,'Tracker- Removed 2018'!B:Q,{2,5,6,8,10},false)</f>
        <v/>
      </c>
      <c r="D233" s="30" t="s">
        <v>3908</v>
      </c>
      <c r="E233" s="30" t="s">
        <v>3917</v>
      </c>
      <c r="F233" s="30" t="s">
        <v>47</v>
      </c>
      <c r="G233" s="30" t="s">
        <v>47</v>
      </c>
    </row>
    <row r="234">
      <c r="A234" s="32">
        <v>1619236.0</v>
      </c>
      <c r="B234" s="186">
        <v>43270.0</v>
      </c>
      <c r="C234" s="159" t="str">
        <f t="array" ref="C234:G234">VLOOKUP(A234,'Tracker- Removed 2018'!B:Q,{2,5,6,8,10},false)</f>
        <v/>
      </c>
      <c r="D234" s="30" t="s">
        <v>3915</v>
      </c>
      <c r="E234" s="30" t="s">
        <v>184</v>
      </c>
      <c r="F234" s="30" t="s">
        <v>47</v>
      </c>
      <c r="G234" s="30" t="s">
        <v>47</v>
      </c>
    </row>
    <row r="235">
      <c r="A235" s="32">
        <v>1619228.0</v>
      </c>
      <c r="B235" s="186">
        <v>43270.0</v>
      </c>
      <c r="C235" s="159" t="str">
        <f t="array" ref="C235:G235">VLOOKUP(A235,'Tracker- Removed 2018'!B:Q,{2,5,6,8,10},false)</f>
        <v/>
      </c>
      <c r="D235" s="30" t="s">
        <v>3915</v>
      </c>
      <c r="E235" s="30" t="s">
        <v>184</v>
      </c>
      <c r="F235" s="30" t="s">
        <v>47</v>
      </c>
      <c r="G235" s="30" t="s">
        <v>47</v>
      </c>
    </row>
    <row r="236">
      <c r="A236" s="32">
        <v>1610246.0</v>
      </c>
      <c r="B236" s="186">
        <v>43270.0</v>
      </c>
      <c r="C236" s="159" t="str">
        <f t="array" ref="C236:G236">VLOOKUP(A236,'Tracker- Removed 2018'!B:Q,{2,5,6,8,10},false)</f>
        <v/>
      </c>
      <c r="D236" s="30" t="s">
        <v>3908</v>
      </c>
      <c r="E236" s="30" t="s">
        <v>3917</v>
      </c>
      <c r="F236" s="30" t="s">
        <v>47</v>
      </c>
      <c r="G236" s="30" t="s">
        <v>47</v>
      </c>
    </row>
    <row r="237">
      <c r="A237" s="32">
        <v>1619170.0</v>
      </c>
      <c r="B237" s="186">
        <v>43270.0</v>
      </c>
      <c r="C237" s="159" t="str">
        <f t="array" ref="C237:G237">VLOOKUP(A237,'Tracker- Removed 2018'!B:Q,{2,5,6,8,10},false)</f>
        <v/>
      </c>
      <c r="D237" s="30" t="s">
        <v>3915</v>
      </c>
      <c r="E237" s="30" t="s">
        <v>184</v>
      </c>
      <c r="F237" s="30" t="s">
        <v>47</v>
      </c>
      <c r="G237" s="30" t="s">
        <v>47</v>
      </c>
    </row>
    <row r="238">
      <c r="A238" s="32">
        <v>1609436.0</v>
      </c>
      <c r="B238" s="186">
        <v>43270.0</v>
      </c>
      <c r="C238" s="159" t="str">
        <f t="array" ref="C238:G238">VLOOKUP(A238,'Tracker- Removed 2018'!B:Q,{2,5,6,8,10},false)</f>
        <v/>
      </c>
      <c r="D238" s="30" t="s">
        <v>3908</v>
      </c>
      <c r="E238" s="30" t="s">
        <v>3917</v>
      </c>
      <c r="F238" s="30" t="s">
        <v>47</v>
      </c>
      <c r="G238" s="30" t="s">
        <v>47</v>
      </c>
    </row>
    <row r="239">
      <c r="A239" s="32">
        <v>1608154.0</v>
      </c>
      <c r="B239" s="186">
        <v>43270.0</v>
      </c>
      <c r="C239" s="159" t="str">
        <f t="array" ref="C239:G239">VLOOKUP(A239,'Tracker- Removed 2018'!B:Q,{2,5,6,8,10},false)</f>
        <v/>
      </c>
      <c r="D239" s="30" t="s">
        <v>3908</v>
      </c>
      <c r="E239" s="30" t="s">
        <v>3917</v>
      </c>
      <c r="F239" s="30" t="s">
        <v>47</v>
      </c>
      <c r="G239" s="30" t="s">
        <v>47</v>
      </c>
    </row>
    <row r="240">
      <c r="A240" s="32">
        <v>1604276.0</v>
      </c>
      <c r="B240" s="186">
        <v>43270.0</v>
      </c>
      <c r="C240" s="159" t="str">
        <f t="array" ref="C240:G240">VLOOKUP(A240,'Tracker- Removed 2018'!B:Q,{2,5,6,8,10},false)</f>
        <v/>
      </c>
      <c r="D240" s="30" t="s">
        <v>3908</v>
      </c>
      <c r="E240" s="30" t="s">
        <v>3917</v>
      </c>
      <c r="F240" s="30" t="s">
        <v>47</v>
      </c>
      <c r="G240" s="30" t="s">
        <v>47</v>
      </c>
    </row>
    <row r="241">
      <c r="A241" s="32">
        <v>1619136.0</v>
      </c>
      <c r="B241" s="186">
        <v>43270.0</v>
      </c>
      <c r="C241" s="159" t="str">
        <f t="array" ref="C241:G241">VLOOKUP(A241,'Tracker- Removed 2018'!B:Q,{2,5,6,8,10},false)</f>
        <v/>
      </c>
      <c r="D241" s="30" t="s">
        <v>3908</v>
      </c>
      <c r="E241" s="30" t="s">
        <v>3917</v>
      </c>
      <c r="F241" s="30" t="s">
        <v>47</v>
      </c>
      <c r="G241" s="30" t="s">
        <v>47</v>
      </c>
    </row>
    <row r="242">
      <c r="A242" s="32">
        <v>1609856.0</v>
      </c>
      <c r="B242" s="186">
        <v>43270.0</v>
      </c>
      <c r="C242" s="159" t="str">
        <f t="array" ref="C242:G242">VLOOKUP(A242,'Tracker- Removed 2018'!B:Q,{2,5,6,8,10},false)</f>
        <v/>
      </c>
      <c r="D242" s="30" t="s">
        <v>3908</v>
      </c>
      <c r="E242" s="30" t="s">
        <v>3917</v>
      </c>
      <c r="F242" s="30" t="s">
        <v>47</v>
      </c>
      <c r="G242" s="30" t="s">
        <v>47</v>
      </c>
    </row>
    <row r="243">
      <c r="A243" s="32">
        <v>1609330.0</v>
      </c>
      <c r="B243" s="186">
        <v>43270.0</v>
      </c>
      <c r="C243" s="159" t="str">
        <f t="array" ref="C243:G243">VLOOKUP(A243,'Tracker- Removed 2018'!B:Q,{2,5,6,8,10},false)</f>
        <v/>
      </c>
      <c r="D243" s="30" t="s">
        <v>3908</v>
      </c>
      <c r="E243" s="30" t="s">
        <v>3917</v>
      </c>
      <c r="F243" s="30" t="s">
        <v>47</v>
      </c>
      <c r="G243" s="30" t="s">
        <v>47</v>
      </c>
    </row>
    <row r="244">
      <c r="A244" s="32">
        <v>1609810.0</v>
      </c>
      <c r="B244" s="186">
        <v>43270.0</v>
      </c>
      <c r="C244" s="159" t="str">
        <f t="array" ref="C244:G244">VLOOKUP(A244,'Tracker- Removed 2018'!B:Q,{2,5,6,8,10},false)</f>
        <v/>
      </c>
      <c r="D244" s="30" t="s">
        <v>3908</v>
      </c>
      <c r="E244" s="30" t="s">
        <v>3917</v>
      </c>
      <c r="F244" s="30" t="s">
        <v>47</v>
      </c>
      <c r="G244" s="30" t="s">
        <v>47</v>
      </c>
    </row>
    <row r="245">
      <c r="A245" s="32">
        <v>1611606.0</v>
      </c>
      <c r="B245" s="186">
        <v>43270.0</v>
      </c>
      <c r="C245" s="159" t="str">
        <f t="array" ref="C245:G245">VLOOKUP(A245,'Tracker- Removed 2018'!B:Q,{2,5,6,8,10},false)</f>
        <v/>
      </c>
      <c r="D245" s="30" t="s">
        <v>3908</v>
      </c>
      <c r="E245" s="30" t="s">
        <v>3917</v>
      </c>
      <c r="F245" s="30" t="s">
        <v>47</v>
      </c>
      <c r="G245" s="30" t="s">
        <v>47</v>
      </c>
    </row>
    <row r="246">
      <c r="A246" s="32">
        <v>1608472.0</v>
      </c>
      <c r="B246" s="186">
        <v>43270.0</v>
      </c>
      <c r="C246" s="159" t="str">
        <f t="array" ref="C246:G246">VLOOKUP(A246,'Tracker- Removed 2018'!B:Q,{2,5,6,8,10},false)</f>
        <v/>
      </c>
      <c r="D246" s="30" t="s">
        <v>3908</v>
      </c>
      <c r="E246" s="30" t="s">
        <v>3917</v>
      </c>
      <c r="F246" s="30" t="s">
        <v>47</v>
      </c>
      <c r="G246" s="30" t="s">
        <v>47</v>
      </c>
    </row>
    <row r="247">
      <c r="A247" s="32">
        <v>1609914.0</v>
      </c>
      <c r="B247" s="186">
        <v>43270.0</v>
      </c>
      <c r="C247" s="159" t="str">
        <f t="array" ref="C247:G247">VLOOKUP(A247,'Tracker- Removed 2018'!B:Q,{2,5,6,8,10},false)</f>
        <v/>
      </c>
      <c r="D247" s="30" t="s">
        <v>3908</v>
      </c>
      <c r="E247" s="30" t="s">
        <v>3917</v>
      </c>
      <c r="F247" s="30" t="s">
        <v>47</v>
      </c>
      <c r="G247" s="30" t="s">
        <v>47</v>
      </c>
    </row>
    <row r="248">
      <c r="A248" s="32">
        <v>1608254.0</v>
      </c>
      <c r="B248" s="186">
        <v>43270.0</v>
      </c>
      <c r="C248" s="159" t="str">
        <f t="array" ref="C248:G248">VLOOKUP(A248,'Tracker- Removed 2018'!B:Q,{2,5,6,8,10},false)</f>
        <v/>
      </c>
      <c r="D248" s="30" t="s">
        <v>3908</v>
      </c>
      <c r="E248" s="30" t="s">
        <v>3917</v>
      </c>
      <c r="F248" s="30" t="s">
        <v>47</v>
      </c>
      <c r="G248" s="30" t="s">
        <v>47</v>
      </c>
    </row>
    <row r="249">
      <c r="A249" s="32">
        <v>1619154.0</v>
      </c>
      <c r="B249" s="186">
        <v>43270.0</v>
      </c>
      <c r="C249" s="159" t="str">
        <f t="array" ref="C249:G249">VLOOKUP(A249,'Tracker- Removed 2018'!B:Q,{2,5,6,8,10},false)</f>
        <v/>
      </c>
      <c r="D249" s="30" t="s">
        <v>3908</v>
      </c>
      <c r="E249" s="30" t="s">
        <v>3917</v>
      </c>
      <c r="F249" s="30" t="s">
        <v>47</v>
      </c>
      <c r="G249" s="30" t="s">
        <v>47</v>
      </c>
    </row>
    <row r="250">
      <c r="A250" s="32">
        <v>1608438.0</v>
      </c>
      <c r="B250" s="186">
        <v>43270.0</v>
      </c>
      <c r="C250" s="159" t="str">
        <f t="array" ref="C250:G250">VLOOKUP(A250,'Tracker- Removed 2018'!B:Q,{2,5,6,8,10},false)</f>
        <v/>
      </c>
      <c r="D250" s="30" t="s">
        <v>3908</v>
      </c>
      <c r="E250" s="30" t="s">
        <v>3917</v>
      </c>
      <c r="F250" s="30" t="s">
        <v>47</v>
      </c>
      <c r="G250" s="30" t="s">
        <v>47</v>
      </c>
    </row>
    <row r="251">
      <c r="A251" s="32">
        <v>1610264.0</v>
      </c>
      <c r="B251" s="186">
        <v>43270.0</v>
      </c>
      <c r="C251" s="159" t="str">
        <f t="array" ref="C251:G251">VLOOKUP(A251,'Tracker- Removed 2018'!B:Q,{2,5,6,8,10},false)</f>
        <v/>
      </c>
      <c r="D251" s="30" t="s">
        <v>3908</v>
      </c>
      <c r="E251" s="30" t="s">
        <v>3917</v>
      </c>
      <c r="F251" s="30" t="s">
        <v>47</v>
      </c>
      <c r="G251" s="30" t="s">
        <v>47</v>
      </c>
    </row>
    <row r="252">
      <c r="A252" s="32">
        <v>1611742.0</v>
      </c>
      <c r="B252" s="186">
        <v>43270.0</v>
      </c>
      <c r="C252" s="159" t="str">
        <f t="array" ref="C252:G252">VLOOKUP(A252,'Tracker- Removed 2018'!B:Q,{2,5,6,8,10},false)</f>
        <v/>
      </c>
      <c r="D252" s="30" t="s">
        <v>3908</v>
      </c>
      <c r="E252" s="30" t="s">
        <v>3917</v>
      </c>
      <c r="F252" s="30" t="s">
        <v>47</v>
      </c>
      <c r="G252" s="30" t="s">
        <v>47</v>
      </c>
    </row>
    <row r="253">
      <c r="A253" s="32">
        <v>1611264.0</v>
      </c>
      <c r="B253" s="186">
        <v>43270.0</v>
      </c>
      <c r="C253" s="159" t="str">
        <f t="array" ref="C253:G253">VLOOKUP(A253,'Tracker- Removed 2018'!B:Q,{2,5,6,8,10},false)</f>
        <v/>
      </c>
      <c r="D253" s="30" t="s">
        <v>3908</v>
      </c>
      <c r="E253" s="30" t="s">
        <v>3917</v>
      </c>
      <c r="F253" s="30" t="s">
        <v>47</v>
      </c>
      <c r="G253" s="30" t="s">
        <v>47</v>
      </c>
    </row>
    <row r="254">
      <c r="A254" s="32">
        <v>1386444.0</v>
      </c>
      <c r="B254" s="186">
        <v>43262.0</v>
      </c>
      <c r="C254" s="159" t="str">
        <f t="array" ref="C254:G254">VLOOKUP(A254,'Tracker- Removed 2018'!B:Q,{2,5,6,8,10},false)</f>
        <v/>
      </c>
      <c r="D254" s="30" t="s">
        <v>63</v>
      </c>
      <c r="E254" s="30" t="s">
        <v>115</v>
      </c>
      <c r="F254" s="30" t="s">
        <v>47</v>
      </c>
      <c r="G254" s="30" t="s">
        <v>47</v>
      </c>
    </row>
    <row r="255">
      <c r="A255" s="32">
        <v>596578.0</v>
      </c>
      <c r="B255" s="186">
        <v>43251.0</v>
      </c>
      <c r="C255" s="159" t="str">
        <f t="array" ref="C255:G255">VLOOKUP(A255,'Tracker- Removed 2018'!B:Q,{2,5,6,8,10},false)</f>
        <v/>
      </c>
      <c r="D255" s="30" t="s">
        <v>58</v>
      </c>
      <c r="E255" s="30" t="s">
        <v>59</v>
      </c>
      <c r="F255" s="30" t="s">
        <v>47</v>
      </c>
      <c r="G255" s="30" t="s">
        <v>47</v>
      </c>
    </row>
    <row r="256">
      <c r="A256" s="32">
        <v>554456.0</v>
      </c>
      <c r="B256" s="186">
        <v>43251.0</v>
      </c>
      <c r="C256" s="159" t="str">
        <f t="array" ref="C256:G256">VLOOKUP(A256,'Tracker- Removed 2018'!B:Q,{2,5,6,8,10},false)</f>
        <v/>
      </c>
      <c r="D256" s="30" t="s">
        <v>219</v>
      </c>
      <c r="E256" s="30" t="s">
        <v>3924</v>
      </c>
      <c r="F256" s="30" t="s">
        <v>47</v>
      </c>
      <c r="G256" s="30" t="s">
        <v>47</v>
      </c>
    </row>
    <row r="257">
      <c r="A257" s="32">
        <v>732846.0</v>
      </c>
      <c r="B257" s="186">
        <v>43251.0</v>
      </c>
      <c r="C257" s="159" t="str">
        <f t="array" ref="C257:G257">VLOOKUP(A257,'Tracker- Removed 2018'!B:Q,{2,5,6,8,10},false)</f>
        <v/>
      </c>
      <c r="D257" s="30" t="s">
        <v>39</v>
      </c>
      <c r="E257" s="30" t="s">
        <v>214</v>
      </c>
      <c r="F257" s="30" t="s">
        <v>47</v>
      </c>
      <c r="G257" s="30" t="s">
        <v>47</v>
      </c>
    </row>
    <row r="258">
      <c r="A258" s="32">
        <v>239552.0</v>
      </c>
      <c r="B258" s="186">
        <v>43251.0</v>
      </c>
      <c r="C258" s="159" t="str">
        <f t="array" ref="C258:G258">VLOOKUP(A258,'Tracker- Removed 2018'!B:Q,{2,5,6,8,10},false)</f>
        <v/>
      </c>
      <c r="D258" s="30" t="s">
        <v>538</v>
      </c>
      <c r="E258" s="30" t="s">
        <v>271</v>
      </c>
      <c r="F258" s="30" t="s">
        <v>47</v>
      </c>
      <c r="G258" s="30" t="s">
        <v>47</v>
      </c>
    </row>
    <row r="259">
      <c r="A259" s="32">
        <v>23909.0</v>
      </c>
      <c r="B259" s="186">
        <v>43251.0</v>
      </c>
      <c r="C259" s="159" t="str">
        <f t="array" ref="C259:G259">VLOOKUP(A259,'Tracker- Removed 2018'!B:Q,{2,5,6,8,10},false)</f>
        <v/>
      </c>
      <c r="D259" s="30" t="s">
        <v>219</v>
      </c>
      <c r="E259" s="30" t="s">
        <v>3924</v>
      </c>
      <c r="F259" s="30" t="s">
        <v>47</v>
      </c>
      <c r="G259" s="30" t="s">
        <v>47</v>
      </c>
    </row>
    <row r="260">
      <c r="A260" s="32">
        <v>595620.0</v>
      </c>
      <c r="B260" s="186">
        <v>43251.0</v>
      </c>
      <c r="C260" s="159" t="str">
        <f t="array" ref="C260:G260">VLOOKUP(A260,'Tracker- Removed 2018'!B:Q,{2,5,6,8,10},false)</f>
        <v/>
      </c>
      <c r="D260" s="30" t="s">
        <v>219</v>
      </c>
      <c r="E260" s="30" t="s">
        <v>3924</v>
      </c>
      <c r="F260" s="30" t="s">
        <v>47</v>
      </c>
      <c r="G260" s="30" t="s">
        <v>47</v>
      </c>
    </row>
    <row r="261">
      <c r="A261" s="32">
        <v>504530.0</v>
      </c>
      <c r="B261" s="186">
        <v>43251.0</v>
      </c>
      <c r="C261" s="159" t="str">
        <f t="array" ref="C261:G261">VLOOKUP(A261,'Tracker- Removed 2018'!B:Q,{2,5,6,8,10},false)</f>
        <v/>
      </c>
      <c r="D261" s="30" t="s">
        <v>58</v>
      </c>
      <c r="E261" s="30" t="s">
        <v>3929</v>
      </c>
      <c r="F261" s="30" t="s">
        <v>47</v>
      </c>
      <c r="G261" s="30" t="s">
        <v>47</v>
      </c>
    </row>
    <row r="262">
      <c r="A262" s="32">
        <v>213258.0</v>
      </c>
      <c r="B262" s="186">
        <v>43251.0</v>
      </c>
      <c r="C262" s="159" t="str">
        <f t="array" ref="C262:G262">VLOOKUP(A262,'Tracker- Removed 2018'!B:Q,{2,5,6,8,10},false)</f>
        <v/>
      </c>
      <c r="D262" s="30" t="s">
        <v>58</v>
      </c>
      <c r="E262" s="30" t="s">
        <v>3929</v>
      </c>
      <c r="F262" s="30" t="s">
        <v>47</v>
      </c>
      <c r="G262" s="30" t="s">
        <v>47</v>
      </c>
    </row>
    <row r="263">
      <c r="A263" s="32">
        <v>356302.0</v>
      </c>
      <c r="B263" s="186">
        <v>43251.0</v>
      </c>
      <c r="C263" s="159" t="str">
        <f t="array" ref="C263:G263">VLOOKUP(A263,'Tracker- Removed 2018'!B:Q,{2,5,6,8,10},false)</f>
        <v/>
      </c>
      <c r="D263" s="30" t="s">
        <v>219</v>
      </c>
      <c r="E263" s="30" t="s">
        <v>3924</v>
      </c>
      <c r="F263" s="30" t="s">
        <v>47</v>
      </c>
      <c r="G263" s="30" t="s">
        <v>47</v>
      </c>
    </row>
    <row r="264">
      <c r="A264" s="32">
        <v>692440.0</v>
      </c>
      <c r="B264" s="186">
        <v>43251.0</v>
      </c>
      <c r="C264" s="159" t="str">
        <f t="array" ref="C264:G264">VLOOKUP(A264,'Tracker- Removed 2018'!B:Q,{2,5,6,8,10},false)</f>
        <v/>
      </c>
      <c r="D264" s="30" t="s">
        <v>58</v>
      </c>
      <c r="E264" s="30" t="s">
        <v>3929</v>
      </c>
      <c r="F264" s="30" t="s">
        <v>47</v>
      </c>
      <c r="G264" s="30" t="s">
        <v>47</v>
      </c>
    </row>
    <row r="265">
      <c r="A265" s="32">
        <v>353110.0</v>
      </c>
      <c r="B265" s="186">
        <v>43251.0</v>
      </c>
      <c r="C265" s="159" t="str">
        <f t="array" ref="C265:G265">VLOOKUP(A265,'Tracker- Removed 2018'!B:Q,{2,5,6,8,10},false)</f>
        <v/>
      </c>
      <c r="D265" s="30" t="s">
        <v>58</v>
      </c>
      <c r="E265" s="30" t="s">
        <v>3929</v>
      </c>
      <c r="F265" s="30" t="s">
        <v>47</v>
      </c>
      <c r="G265" s="30" t="s">
        <v>47</v>
      </c>
    </row>
    <row r="266">
      <c r="A266" s="32">
        <v>466382.0</v>
      </c>
      <c r="B266" s="186">
        <v>43251.0</v>
      </c>
      <c r="C266" s="159" t="str">
        <f t="array" ref="C266:G266">VLOOKUP(A266,'Tracker- Removed 2018'!B:Q,{2,5,6,8,10},false)</f>
        <v/>
      </c>
      <c r="D266" s="30" t="s">
        <v>58</v>
      </c>
      <c r="E266" s="30" t="s">
        <v>3929</v>
      </c>
      <c r="F266" s="30" t="s">
        <v>47</v>
      </c>
      <c r="G266" s="30" t="s">
        <v>47</v>
      </c>
    </row>
    <row r="267">
      <c r="A267" s="32">
        <v>362562.0</v>
      </c>
      <c r="B267" s="186">
        <v>43251.0</v>
      </c>
      <c r="C267" s="159" t="str">
        <f t="array" ref="C267:G267">VLOOKUP(A267,'Tracker- Removed 2018'!B:Q,{2,5,6,8,10},false)</f>
        <v/>
      </c>
      <c r="D267" s="30" t="s">
        <v>219</v>
      </c>
      <c r="E267" s="30" t="s">
        <v>3924</v>
      </c>
      <c r="F267" s="30" t="s">
        <v>47</v>
      </c>
      <c r="G267" s="30" t="s">
        <v>47</v>
      </c>
    </row>
    <row r="268">
      <c r="A268" s="188">
        <v>569482.0</v>
      </c>
      <c r="B268" s="186">
        <v>43251.0</v>
      </c>
      <c r="C268" s="159" t="str">
        <f t="array" ref="C268:G268">VLOOKUP(A268,'Tracker- Removed 2018'!B:Q,{2,5,6,8,10},false)</f>
        <v/>
      </c>
      <c r="D268" s="30" t="s">
        <v>58</v>
      </c>
      <c r="E268" s="30" t="s">
        <v>3930</v>
      </c>
      <c r="F268" s="30" t="s">
        <v>47</v>
      </c>
      <c r="G268" s="30" t="s">
        <v>47</v>
      </c>
    </row>
    <row r="269">
      <c r="A269" s="32">
        <v>71460.0</v>
      </c>
      <c r="B269" s="186">
        <v>43251.0</v>
      </c>
      <c r="C269" s="159" t="str">
        <f t="array" ref="C269:G269">VLOOKUP(A269,'Tracker- Removed 2018'!B:Q,{2,5,6,8,10},false)</f>
        <v/>
      </c>
      <c r="D269" s="30" t="s">
        <v>58</v>
      </c>
      <c r="E269" s="30" t="s">
        <v>3929</v>
      </c>
      <c r="F269" s="30" t="s">
        <v>47</v>
      </c>
      <c r="G269" s="30" t="s">
        <v>47</v>
      </c>
    </row>
    <row r="270">
      <c r="A270" s="32">
        <v>99098.0</v>
      </c>
      <c r="B270" s="186">
        <v>43251.0</v>
      </c>
      <c r="C270" s="159" t="str">
        <f t="array" ref="C270:G270">VLOOKUP(A270,'Tracker- Removed 2018'!B:Q,{2,5,6,8,10},false)</f>
        <v/>
      </c>
      <c r="D270" s="30" t="s">
        <v>58</v>
      </c>
      <c r="E270" s="30" t="s">
        <v>3929</v>
      </c>
      <c r="F270" s="30" t="s">
        <v>47</v>
      </c>
      <c r="G270" s="30" t="s">
        <v>47</v>
      </c>
    </row>
    <row r="271">
      <c r="A271" s="32">
        <v>679742.0</v>
      </c>
      <c r="B271" s="186">
        <v>43251.0</v>
      </c>
      <c r="C271" s="159" t="str">
        <f t="array" ref="C271:G271">VLOOKUP(A271,'Tracker- Removed 2018'!B:Q,{2,5,6,8,10},false)</f>
        <v/>
      </c>
      <c r="D271" s="30" t="s">
        <v>58</v>
      </c>
      <c r="E271" s="30" t="s">
        <v>3929</v>
      </c>
      <c r="F271" s="30" t="s">
        <v>47</v>
      </c>
      <c r="G271" s="30" t="s">
        <v>47</v>
      </c>
    </row>
    <row r="272">
      <c r="A272" s="32">
        <v>811172.0</v>
      </c>
      <c r="B272" s="186">
        <v>43251.0</v>
      </c>
      <c r="C272" s="159" t="str">
        <f t="array" ref="C272:G272">VLOOKUP(A272,'Tracker- Removed 2018'!B:Q,{2,5,6,8,10},false)</f>
        <v/>
      </c>
      <c r="D272" s="30" t="s">
        <v>3908</v>
      </c>
      <c r="E272" s="30" t="s">
        <v>46</v>
      </c>
      <c r="F272" s="30" t="s">
        <v>47</v>
      </c>
      <c r="G272" s="30" t="s">
        <v>47</v>
      </c>
    </row>
    <row r="273">
      <c r="A273" s="32">
        <v>239200.0</v>
      </c>
      <c r="B273" s="186">
        <v>43251.0</v>
      </c>
      <c r="C273" s="159" t="str">
        <f t="array" ref="C273:G273">VLOOKUP(A273,'Tracker- Removed 2018'!B:Q,{2,5,6,8,10},false)</f>
        <v/>
      </c>
      <c r="D273" s="30" t="s">
        <v>39</v>
      </c>
      <c r="E273" s="30" t="s">
        <v>214</v>
      </c>
      <c r="F273" s="30" t="s">
        <v>47</v>
      </c>
      <c r="G273" s="30" t="s">
        <v>47</v>
      </c>
    </row>
    <row r="274">
      <c r="A274" s="32">
        <v>656714.0</v>
      </c>
      <c r="B274" s="186">
        <v>43251.0</v>
      </c>
      <c r="C274" s="159" t="str">
        <f t="array" ref="C274:G274">VLOOKUP(A274,'Tracker- Removed 2018'!B:Q,{2,5,6,8,10},false)</f>
        <v/>
      </c>
      <c r="D274" s="30" t="s">
        <v>105</v>
      </c>
      <c r="E274" s="30" t="s">
        <v>3925</v>
      </c>
      <c r="F274" s="30" t="s">
        <v>47</v>
      </c>
      <c r="G274" s="30" t="s">
        <v>47</v>
      </c>
    </row>
    <row r="275">
      <c r="A275" s="32">
        <v>655142.0</v>
      </c>
      <c r="B275" s="186">
        <v>43251.0</v>
      </c>
      <c r="C275" s="159" t="str">
        <f t="array" ref="C275:G275">VLOOKUP(A275,'Tracker- Removed 2018'!B:Q,{2,5,6,8,10},false)</f>
        <v/>
      </c>
      <c r="D275" s="30" t="s">
        <v>58</v>
      </c>
      <c r="E275" s="30" t="s">
        <v>3929</v>
      </c>
      <c r="F275" s="30" t="s">
        <v>47</v>
      </c>
      <c r="G275" s="30" t="s">
        <v>47</v>
      </c>
    </row>
    <row r="276">
      <c r="A276" s="32">
        <v>859582.0</v>
      </c>
      <c r="B276" s="186">
        <v>43251.0</v>
      </c>
      <c r="C276" s="159" t="str">
        <f t="array" ref="C276:G276">VLOOKUP(A276,'Tracker- Removed 2018'!B:Q,{2,5,6,8,10},false)</f>
        <v/>
      </c>
      <c r="D276" s="30" t="s">
        <v>3908</v>
      </c>
      <c r="E276" s="30" t="s">
        <v>3909</v>
      </c>
      <c r="F276" s="30" t="s">
        <v>47</v>
      </c>
      <c r="G276" s="30" t="s">
        <v>47</v>
      </c>
    </row>
    <row r="277">
      <c r="A277" s="32">
        <v>118042.0</v>
      </c>
      <c r="B277" s="186">
        <v>43251.0</v>
      </c>
      <c r="C277" s="159" t="str">
        <f t="array" ref="C277:G277">VLOOKUP(A277,'Tracker- Removed 2018'!B:Q,{2,5,6,8,10},false)</f>
        <v/>
      </c>
      <c r="D277" s="30" t="s">
        <v>3908</v>
      </c>
      <c r="E277" s="30" t="s">
        <v>46</v>
      </c>
      <c r="F277" s="30" t="s">
        <v>47</v>
      </c>
      <c r="G277" s="30" t="s">
        <v>47</v>
      </c>
    </row>
    <row r="278">
      <c r="A278" s="32">
        <v>507694.0</v>
      </c>
      <c r="B278" s="186">
        <v>43251.0</v>
      </c>
      <c r="C278" s="159" t="str">
        <f t="array" ref="C278:G278">VLOOKUP(A278,'Tracker- Removed 2018'!B:Q,{2,5,6,8,10},false)</f>
        <v/>
      </c>
      <c r="D278" s="30" t="s">
        <v>219</v>
      </c>
      <c r="E278" s="30" t="s">
        <v>3924</v>
      </c>
      <c r="F278" s="30" t="s">
        <v>47</v>
      </c>
      <c r="G278" s="30" t="s">
        <v>47</v>
      </c>
    </row>
    <row r="279">
      <c r="A279" s="32">
        <v>716534.0</v>
      </c>
      <c r="B279" s="186">
        <v>43251.0</v>
      </c>
      <c r="C279" s="159" t="str">
        <f t="array" ref="C279:G279">VLOOKUP(A279,'Tracker- Removed 2018'!B:Q,{2,5,6,8,10},false)</f>
        <v/>
      </c>
      <c r="D279" s="30" t="s">
        <v>58</v>
      </c>
      <c r="E279" s="30" t="s">
        <v>59</v>
      </c>
      <c r="F279" s="30" t="s">
        <v>47</v>
      </c>
      <c r="G279" s="30" t="s">
        <v>47</v>
      </c>
    </row>
    <row r="280">
      <c r="A280" s="32">
        <v>245090.0</v>
      </c>
      <c r="B280" s="186">
        <v>43251.0</v>
      </c>
      <c r="C280" s="159" t="str">
        <f t="array" ref="C280:G280">VLOOKUP(A280,'Tracker- Removed 2018'!B:Q,{2,5,6,8,10},false)</f>
        <v/>
      </c>
      <c r="D280" s="30" t="s">
        <v>219</v>
      </c>
      <c r="E280" s="30" t="s">
        <v>3924</v>
      </c>
      <c r="F280" s="30" t="s">
        <v>47</v>
      </c>
      <c r="G280" s="30" t="s">
        <v>47</v>
      </c>
    </row>
    <row r="281">
      <c r="A281" s="32">
        <v>619260.0</v>
      </c>
      <c r="B281" s="186">
        <v>43251.0</v>
      </c>
      <c r="C281" s="159" t="str">
        <f t="array" ref="C281:G281">VLOOKUP(A281,'Tracker- Removed 2018'!B:Q,{2,5,6,8,10},false)</f>
        <v/>
      </c>
      <c r="D281" s="30" t="s">
        <v>58</v>
      </c>
      <c r="E281" s="30" t="s">
        <v>59</v>
      </c>
      <c r="F281" s="30" t="s">
        <v>47</v>
      </c>
      <c r="G281" s="30" t="s">
        <v>47</v>
      </c>
    </row>
    <row r="282">
      <c r="A282" s="32">
        <v>200090.0</v>
      </c>
      <c r="B282" s="186">
        <v>43251.0</v>
      </c>
      <c r="C282" s="159" t="str">
        <f t="array" ref="C282:G282">VLOOKUP(A282,'Tracker- Removed 2018'!B:Q,{2,5,6,8,10},false)</f>
        <v/>
      </c>
      <c r="D282" s="30" t="s">
        <v>219</v>
      </c>
      <c r="E282" s="30" t="s">
        <v>3931</v>
      </c>
      <c r="F282" s="30" t="s">
        <v>47</v>
      </c>
      <c r="G282" s="30" t="s">
        <v>47</v>
      </c>
    </row>
    <row r="283">
      <c r="A283" s="32">
        <v>374904.0</v>
      </c>
      <c r="B283" s="186">
        <v>43251.0</v>
      </c>
      <c r="C283" s="159" t="str">
        <f t="array" ref="C283:G283">VLOOKUP(A283,'Tracker- Removed 2018'!B:Q,{2,5,6,8,10},false)</f>
        <v/>
      </c>
      <c r="D283" s="30" t="s">
        <v>83</v>
      </c>
      <c r="E283" s="30" t="s">
        <v>3927</v>
      </c>
      <c r="F283" s="30" t="s">
        <v>47</v>
      </c>
      <c r="G283" s="30" t="s">
        <v>47</v>
      </c>
    </row>
    <row r="284">
      <c r="A284" s="32">
        <v>178580.0</v>
      </c>
      <c r="B284" s="186">
        <v>43251.0</v>
      </c>
      <c r="C284" s="159" t="str">
        <f t="array" ref="C284:G284">VLOOKUP(A284,'Tracker- Removed 2018'!B:Q,{2,5,6,8,10},false)</f>
        <v/>
      </c>
      <c r="D284" s="30" t="s">
        <v>219</v>
      </c>
      <c r="E284" s="30" t="s">
        <v>3924</v>
      </c>
      <c r="F284" s="30" t="s">
        <v>47</v>
      </c>
      <c r="G284" s="30" t="s">
        <v>47</v>
      </c>
    </row>
    <row r="285">
      <c r="A285" s="32">
        <v>853090.0</v>
      </c>
      <c r="B285" s="186">
        <v>43251.0</v>
      </c>
      <c r="C285" s="159" t="str">
        <f t="array" ref="C285:G285">VLOOKUP(A285,'Tracker- Removed 2018'!B:Q,{2,5,6,8,10},false)</f>
        <v/>
      </c>
      <c r="D285" s="30" t="s">
        <v>58</v>
      </c>
      <c r="E285" s="30" t="s">
        <v>59</v>
      </c>
      <c r="F285" s="30" t="s">
        <v>47</v>
      </c>
      <c r="G285" s="30" t="s">
        <v>47</v>
      </c>
    </row>
    <row r="286">
      <c r="A286" s="32">
        <v>917672.0</v>
      </c>
      <c r="B286" s="186">
        <v>43251.0</v>
      </c>
      <c r="C286" s="159" t="str">
        <f t="array" ref="C286:G286">VLOOKUP(A286,'Tracker- Removed 2018'!B:Q,{2,5,6,8,10},false)</f>
        <v/>
      </c>
      <c r="D286" s="30" t="s">
        <v>3908</v>
      </c>
      <c r="E286" s="30" t="s">
        <v>3910</v>
      </c>
      <c r="F286" s="30" t="s">
        <v>47</v>
      </c>
      <c r="G286" s="30" t="s">
        <v>47</v>
      </c>
    </row>
    <row r="287">
      <c r="A287" s="32">
        <v>462620.0</v>
      </c>
      <c r="B287" s="186">
        <v>43251.0</v>
      </c>
      <c r="C287" s="159" t="str">
        <f t="array" ref="C287:G287">VLOOKUP(A287,'Tracker- Removed 2018'!B:Q,{2,5,6,8,10},false)</f>
        <v/>
      </c>
      <c r="D287" s="30" t="s">
        <v>63</v>
      </c>
      <c r="E287" s="30" t="s">
        <v>64</v>
      </c>
      <c r="F287" s="30" t="s">
        <v>47</v>
      </c>
      <c r="G287" s="30" t="s">
        <v>47</v>
      </c>
    </row>
    <row r="288">
      <c r="A288" s="32">
        <v>875542.0</v>
      </c>
      <c r="B288" s="186">
        <v>43251.0</v>
      </c>
      <c r="C288" s="159" t="str">
        <f t="array" ref="C288:G288">VLOOKUP(A288,'Tracker- Removed 2018'!B:Q,{2,5,6,8,10},false)</f>
        <v/>
      </c>
      <c r="D288" s="30" t="s">
        <v>219</v>
      </c>
      <c r="E288" s="30" t="s">
        <v>3924</v>
      </c>
      <c r="F288" s="30" t="s">
        <v>47</v>
      </c>
      <c r="G288" s="30" t="s">
        <v>47</v>
      </c>
    </row>
    <row r="289">
      <c r="A289" s="32">
        <v>26681.0</v>
      </c>
      <c r="B289" s="186">
        <v>43251.0</v>
      </c>
      <c r="C289" s="159" t="str">
        <f t="array" ref="C289:G289">VLOOKUP(A289,'Tracker- Removed 2018'!B:Q,{2,5,6,8,10},false)</f>
        <v/>
      </c>
      <c r="D289" s="30" t="s">
        <v>219</v>
      </c>
      <c r="E289" s="30" t="s">
        <v>3924</v>
      </c>
      <c r="F289" s="30" t="s">
        <v>47</v>
      </c>
      <c r="G289" s="30" t="s">
        <v>47</v>
      </c>
    </row>
    <row r="290">
      <c r="A290" s="188">
        <v>1263164.0</v>
      </c>
      <c r="B290" s="186">
        <v>43251.0</v>
      </c>
      <c r="C290" s="159" t="str">
        <f t="array" ref="C290:G290">VLOOKUP(A290,'Tracker- Removed 2018'!B:Q,{2,5,6,8,10},false)</f>
        <v/>
      </c>
      <c r="D290" s="30" t="s">
        <v>538</v>
      </c>
      <c r="E290" s="30" t="s">
        <v>271</v>
      </c>
      <c r="F290" s="30" t="s">
        <v>47</v>
      </c>
      <c r="G290" s="30" t="s">
        <v>47</v>
      </c>
    </row>
    <row r="291">
      <c r="A291" s="32">
        <v>312564.0</v>
      </c>
      <c r="B291" s="186">
        <v>43251.0</v>
      </c>
      <c r="C291" s="159" t="str">
        <f t="array" ref="C291:G291">VLOOKUP(A291,'Tracker- Removed 2018'!B:Q,{2,5,6,8,10},false)</f>
        <v/>
      </c>
      <c r="D291" s="30" t="s">
        <v>58</v>
      </c>
      <c r="E291" s="30" t="s">
        <v>59</v>
      </c>
      <c r="F291" s="30" t="s">
        <v>47</v>
      </c>
      <c r="G291" s="30" t="s">
        <v>47</v>
      </c>
    </row>
    <row r="292">
      <c r="A292" s="32">
        <v>39115.0</v>
      </c>
      <c r="B292" s="186">
        <v>43251.0</v>
      </c>
      <c r="C292" s="159" t="str">
        <f t="array" ref="C292:G292">VLOOKUP(A292,'Tracker- Removed 2018'!B:Q,{2,5,6,8,10},false)</f>
        <v/>
      </c>
      <c r="D292" s="30" t="s">
        <v>39</v>
      </c>
      <c r="E292" s="30" t="s">
        <v>214</v>
      </c>
      <c r="F292" s="30" t="s">
        <v>47</v>
      </c>
      <c r="G292" s="30" t="s">
        <v>47</v>
      </c>
    </row>
    <row r="293">
      <c r="A293" s="32">
        <v>691182.0</v>
      </c>
      <c r="B293" s="186">
        <v>43251.0</v>
      </c>
      <c r="C293" s="159" t="str">
        <f t="array" ref="C293:G293">VLOOKUP(A293,'Tracker- Removed 2018'!B:Q,{2,5,6,8,10},false)</f>
        <v/>
      </c>
      <c r="D293" s="30" t="s">
        <v>63</v>
      </c>
      <c r="E293" s="30" t="s">
        <v>115</v>
      </c>
      <c r="F293" s="30" t="s">
        <v>47</v>
      </c>
      <c r="G293" s="30" t="s">
        <v>47</v>
      </c>
    </row>
    <row r="294">
      <c r="A294" s="32">
        <v>657298.0</v>
      </c>
      <c r="B294" s="186">
        <v>43251.0</v>
      </c>
      <c r="C294" s="159" t="str">
        <f t="array" ref="C294:G294">VLOOKUP(A294,'Tracker- Removed 2018'!B:Q,{2,5,6,8,10},false)</f>
        <v/>
      </c>
      <c r="D294" s="30" t="s">
        <v>219</v>
      </c>
      <c r="E294" s="30" t="s">
        <v>3931</v>
      </c>
      <c r="F294" s="30" t="s">
        <v>47</v>
      </c>
      <c r="G294" s="30" t="s">
        <v>47</v>
      </c>
    </row>
    <row r="295">
      <c r="A295" s="32">
        <v>388038.0</v>
      </c>
      <c r="B295" s="186">
        <v>43251.0</v>
      </c>
      <c r="C295" s="159" t="str">
        <f t="array" ref="C295:G295">VLOOKUP(A295,'Tracker- Removed 2018'!B:Q,{2,5,6,8,10},false)</f>
        <v/>
      </c>
      <c r="D295" s="30" t="s">
        <v>219</v>
      </c>
      <c r="E295" s="30" t="s">
        <v>3924</v>
      </c>
      <c r="F295" s="30" t="s">
        <v>47</v>
      </c>
      <c r="G295" s="30" t="s">
        <v>47</v>
      </c>
    </row>
    <row r="296">
      <c r="A296" s="32">
        <v>567066.0</v>
      </c>
      <c r="B296" s="186">
        <v>43251.0</v>
      </c>
      <c r="C296" s="159" t="str">
        <f t="array" ref="C296:G296">VLOOKUP(A296,'Tracker- Removed 2018'!B:Q,{2,5,6,8,10},false)</f>
        <v/>
      </c>
      <c r="D296" s="30" t="s">
        <v>219</v>
      </c>
      <c r="E296" s="30" t="s">
        <v>3931</v>
      </c>
      <c r="F296" s="30" t="s">
        <v>47</v>
      </c>
      <c r="G296" s="30" t="s">
        <v>47</v>
      </c>
    </row>
    <row r="297">
      <c r="A297" s="32">
        <v>821360.0</v>
      </c>
      <c r="B297" s="186">
        <v>43251.0</v>
      </c>
      <c r="C297" s="159" t="str">
        <f t="array" ref="C297:G297">VLOOKUP(A297,'Tracker- Removed 2018'!B:Q,{2,5,6,8,10},false)</f>
        <v/>
      </c>
      <c r="D297" s="30" t="s">
        <v>3908</v>
      </c>
      <c r="E297" s="30" t="s">
        <v>46</v>
      </c>
      <c r="F297" s="30" t="s">
        <v>47</v>
      </c>
      <c r="G297" s="30" t="s">
        <v>47</v>
      </c>
    </row>
    <row r="298">
      <c r="A298" s="32">
        <v>1052868.0</v>
      </c>
      <c r="B298" s="186">
        <v>43251.0</v>
      </c>
      <c r="C298" s="159" t="str">
        <f t="array" ref="C298:G298">VLOOKUP(A298,'Tracker- Removed 2018'!B:Q,{2,5,6,8,10},false)</f>
        <v/>
      </c>
      <c r="D298" s="30" t="s">
        <v>3908</v>
      </c>
      <c r="E298" s="30" t="s">
        <v>46</v>
      </c>
      <c r="F298" s="30" t="s">
        <v>47</v>
      </c>
      <c r="G298" s="30" t="s">
        <v>47</v>
      </c>
    </row>
    <row r="299">
      <c r="A299" s="32">
        <v>599614.0</v>
      </c>
      <c r="B299" s="186">
        <v>43236.0</v>
      </c>
      <c r="C299" s="159" t="str">
        <f t="array" ref="C299:G299">VLOOKUP(A299,'Tracker- Removed 2018'!B:Q,{2,5,6,8,10},false)</f>
        <v/>
      </c>
      <c r="D299" s="30" t="s">
        <v>39</v>
      </c>
      <c r="E299" s="30" t="s">
        <v>50</v>
      </c>
      <c r="F299" s="30" t="s">
        <v>47</v>
      </c>
      <c r="G299" s="30" t="s">
        <v>47</v>
      </c>
    </row>
    <row r="300">
      <c r="A300" s="188">
        <v>1617530.0</v>
      </c>
      <c r="B300" s="186">
        <v>43231.0</v>
      </c>
      <c r="C300" s="159" t="str">
        <f t="array" ref="C300:G300">VLOOKUP(A300,'Tracker- Removed 2018'!B:Q,{2,5,6,8,10},false)</f>
        <v/>
      </c>
      <c r="D300" s="30" t="s">
        <v>538</v>
      </c>
      <c r="E300" s="30" t="s">
        <v>127</v>
      </c>
      <c r="F300" s="30" t="s">
        <v>47</v>
      </c>
      <c r="G300" s="30" t="s">
        <v>47</v>
      </c>
    </row>
    <row r="301">
      <c r="A301" s="32">
        <v>362818.0</v>
      </c>
      <c r="B301" s="186">
        <v>43231.0</v>
      </c>
      <c r="C301" s="159" t="str">
        <f t="array" ref="C301:G301">VLOOKUP(A301,'Tracker- Removed 2018'!B:Q,{2,5,6,8,10},false)</f>
        <v/>
      </c>
      <c r="D301" s="30" t="s">
        <v>189</v>
      </c>
      <c r="E301" s="30" t="s">
        <v>64</v>
      </c>
      <c r="F301" s="30" t="s">
        <v>47</v>
      </c>
      <c r="G301" s="30" t="s">
        <v>47</v>
      </c>
    </row>
    <row r="302">
      <c r="A302" s="32">
        <v>1233298.0</v>
      </c>
      <c r="B302" s="186">
        <v>43231.0</v>
      </c>
      <c r="C302" s="159" t="str">
        <f t="array" ref="C302:G302">VLOOKUP(A302,'Tracker- Removed 2018'!B:Q,{2,5,6,8,10},false)</f>
        <v/>
      </c>
      <c r="D302" s="30" t="s">
        <v>63</v>
      </c>
      <c r="E302" s="30" t="s">
        <v>190</v>
      </c>
      <c r="F302" s="30" t="s">
        <v>47</v>
      </c>
      <c r="G302" s="30" t="s">
        <v>47</v>
      </c>
    </row>
    <row r="303">
      <c r="A303" s="32">
        <v>103148.0</v>
      </c>
      <c r="B303" s="186">
        <v>43231.0</v>
      </c>
      <c r="C303" s="159" t="str">
        <f t="array" ref="C303:G303">VLOOKUP(A303,'Tracker- Removed 2018'!B:Q,{2,5,6,8,10},false)</f>
        <v/>
      </c>
      <c r="D303" s="30" t="s">
        <v>538</v>
      </c>
      <c r="E303" s="30" t="s">
        <v>123</v>
      </c>
      <c r="F303" s="30" t="s">
        <v>47</v>
      </c>
      <c r="G303" s="30" t="s">
        <v>47</v>
      </c>
    </row>
    <row r="304">
      <c r="A304" s="32">
        <v>617656.0</v>
      </c>
      <c r="B304" s="186">
        <v>43220.0</v>
      </c>
      <c r="C304" s="159" t="str">
        <f t="array" ref="C304:G304">VLOOKUP(A304,'Tracker- Removed 2018'!B:Q,{2,5,6,8,10},false)</f>
        <v/>
      </c>
      <c r="D304" s="30" t="s">
        <v>83</v>
      </c>
      <c r="E304" s="30" t="s">
        <v>876</v>
      </c>
      <c r="F304" s="30" t="s">
        <v>47</v>
      </c>
      <c r="G304" s="30" t="s">
        <v>47</v>
      </c>
    </row>
    <row r="305">
      <c r="A305" s="32">
        <v>417316.0</v>
      </c>
      <c r="B305" s="186">
        <v>43220.0</v>
      </c>
      <c r="C305" s="159" t="str">
        <f t="array" ref="C305:G305">VLOOKUP(A305,'Tracker- Removed 2018'!B:Q,{2,5,6,8,10},false)</f>
        <v/>
      </c>
      <c r="D305" s="30" t="s">
        <v>83</v>
      </c>
      <c r="E305" s="30" t="s">
        <v>147</v>
      </c>
      <c r="F305" s="30" t="s">
        <v>47</v>
      </c>
      <c r="G305" s="30" t="s">
        <v>47</v>
      </c>
    </row>
    <row r="306">
      <c r="A306" s="32">
        <v>614640.0</v>
      </c>
      <c r="B306" s="186">
        <v>43220.0</v>
      </c>
      <c r="C306" s="159" t="str">
        <f t="array" ref="C306:G306">VLOOKUP(A306,'Tracker- Removed 2018'!B:Q,{2,5,6,8,10},false)</f>
        <v/>
      </c>
      <c r="D306" s="30" t="s">
        <v>39</v>
      </c>
      <c r="E306" s="30" t="s">
        <v>140</v>
      </c>
      <c r="F306" s="30" t="s">
        <v>47</v>
      </c>
      <c r="G306" s="30" t="s">
        <v>47</v>
      </c>
    </row>
    <row r="307">
      <c r="A307" s="32">
        <v>296149.0</v>
      </c>
      <c r="B307" s="186">
        <v>43220.0</v>
      </c>
      <c r="C307" s="159" t="str">
        <f t="array" ref="C307:G307">VLOOKUP(A307,'Tracker- Removed 2018'!B:Q,{2,5,6,8,10},false)</f>
        <v/>
      </c>
      <c r="D307" s="30" t="s">
        <v>83</v>
      </c>
      <c r="E307" s="30" t="s">
        <v>3923</v>
      </c>
      <c r="F307" s="30" t="s">
        <v>47</v>
      </c>
      <c r="G307" s="30" t="s">
        <v>47</v>
      </c>
    </row>
    <row r="308">
      <c r="A308" s="32">
        <v>929130.0</v>
      </c>
      <c r="B308" s="186">
        <v>43220.0</v>
      </c>
      <c r="C308" s="159" t="str">
        <f t="array" ref="C308:G308">VLOOKUP(A308,'Tracker- Removed 2018'!B:Q,{2,5,6,8,10},false)</f>
        <v/>
      </c>
      <c r="D308" s="30" t="s">
        <v>39</v>
      </c>
      <c r="E308" s="30" t="s">
        <v>140</v>
      </c>
      <c r="F308" s="30" t="s">
        <v>47</v>
      </c>
      <c r="G308" s="30" t="s">
        <v>47</v>
      </c>
    </row>
    <row r="309">
      <c r="A309" s="32">
        <v>664250.0</v>
      </c>
      <c r="B309" s="186">
        <v>43220.0</v>
      </c>
      <c r="C309" s="159" t="str">
        <f t="array" ref="C309:G309">VLOOKUP(A309,'Tracker- Removed 2018'!B:Q,{2,5,6,8,10},false)</f>
        <v/>
      </c>
      <c r="D309" s="30" t="s">
        <v>83</v>
      </c>
      <c r="E309" s="30" t="s">
        <v>3927</v>
      </c>
      <c r="F309" s="30" t="s">
        <v>47</v>
      </c>
      <c r="G309" s="30" t="s">
        <v>47</v>
      </c>
    </row>
    <row r="310">
      <c r="A310" s="32">
        <v>880448.0</v>
      </c>
      <c r="B310" s="186">
        <v>43220.0</v>
      </c>
      <c r="C310" s="159" t="str">
        <f t="array" ref="C310:G310">VLOOKUP(A310,'Tracker- Removed 2018'!B:Q,{2,5,6,8,10},false)</f>
        <v/>
      </c>
      <c r="D310" s="30" t="s">
        <v>83</v>
      </c>
      <c r="E310" s="30" t="s">
        <v>3927</v>
      </c>
      <c r="F310" s="30" t="s">
        <v>47</v>
      </c>
      <c r="G310" s="30" t="s">
        <v>47</v>
      </c>
    </row>
    <row r="311">
      <c r="A311" s="32">
        <v>807962.0</v>
      </c>
      <c r="B311" s="186">
        <v>43220.0</v>
      </c>
      <c r="C311" s="159" t="str">
        <f t="array" ref="C311:G311">VLOOKUP(A311,'Tracker- Removed 2018'!B:Q,{2,5,6,8,10},false)</f>
        <v/>
      </c>
      <c r="D311" s="30" t="s">
        <v>83</v>
      </c>
      <c r="E311" s="30" t="s">
        <v>876</v>
      </c>
      <c r="F311" s="30" t="s">
        <v>47</v>
      </c>
      <c r="G311" s="30" t="s">
        <v>47</v>
      </c>
    </row>
    <row r="312">
      <c r="A312" s="32">
        <v>372782.0</v>
      </c>
      <c r="B312" s="186">
        <v>43220.0</v>
      </c>
      <c r="C312" s="159" t="str">
        <f t="array" ref="C312:G312">VLOOKUP(A312,'Tracker- Removed 2018'!B:Q,{2,5,6,8,10},false)</f>
        <v/>
      </c>
      <c r="D312" s="30" t="s">
        <v>83</v>
      </c>
      <c r="E312" s="30" t="s">
        <v>3926</v>
      </c>
      <c r="F312" s="30" t="s">
        <v>47</v>
      </c>
      <c r="G312" s="30" t="s">
        <v>47</v>
      </c>
    </row>
    <row r="313">
      <c r="A313" s="32">
        <v>1089764.0</v>
      </c>
      <c r="B313" s="186">
        <v>43220.0</v>
      </c>
      <c r="C313" s="159" t="str">
        <f t="array" ref="C313:G313">VLOOKUP(A313,'Tracker- Removed 2018'!B:Q,{2,5,6,8,10},false)</f>
        <v/>
      </c>
      <c r="D313" s="30" t="s">
        <v>83</v>
      </c>
      <c r="E313" s="30" t="s">
        <v>147</v>
      </c>
      <c r="F313" s="30" t="s">
        <v>47</v>
      </c>
      <c r="G313" s="30" t="s">
        <v>47</v>
      </c>
    </row>
    <row r="314">
      <c r="A314" s="32">
        <v>1000502.0</v>
      </c>
      <c r="B314" s="186">
        <v>43220.0</v>
      </c>
      <c r="C314" s="159" t="str">
        <f t="array" ref="C314:G314">VLOOKUP(A314,'Tracker- Removed 2018'!B:Q,{2,5,6,8,10},false)</f>
        <v/>
      </c>
      <c r="D314" s="30" t="s">
        <v>83</v>
      </c>
      <c r="E314" s="30" t="s">
        <v>147</v>
      </c>
      <c r="F314" s="30" t="s">
        <v>47</v>
      </c>
      <c r="G314" s="30" t="s">
        <v>47</v>
      </c>
    </row>
    <row r="315">
      <c r="A315" s="32">
        <v>467568.0</v>
      </c>
      <c r="B315" s="186">
        <v>43220.0</v>
      </c>
      <c r="C315" s="159" t="str">
        <f t="array" ref="C315:G315">VLOOKUP(A315,'Tracker- Removed 2018'!B:Q,{2,5,6,8,10},false)</f>
        <v/>
      </c>
      <c r="D315" s="30" t="s">
        <v>83</v>
      </c>
      <c r="E315" s="30" t="s">
        <v>147</v>
      </c>
      <c r="F315" s="30" t="s">
        <v>47</v>
      </c>
      <c r="G315" s="30" t="s">
        <v>47</v>
      </c>
    </row>
    <row r="316">
      <c r="A316" s="32">
        <v>294246.0</v>
      </c>
      <c r="B316" s="186">
        <v>43220.0</v>
      </c>
      <c r="C316" s="159" t="str">
        <f t="array" ref="C316:G316">VLOOKUP(A316,'Tracker- Removed 2018'!B:Q,{2,5,6,8,10},false)</f>
        <v/>
      </c>
      <c r="D316" s="30" t="s">
        <v>83</v>
      </c>
      <c r="E316" s="30" t="s">
        <v>285</v>
      </c>
      <c r="F316" s="30" t="s">
        <v>47</v>
      </c>
      <c r="G316" s="30" t="s">
        <v>47</v>
      </c>
    </row>
    <row r="317">
      <c r="A317" s="32">
        <v>147028.0</v>
      </c>
      <c r="B317" s="186">
        <v>43220.0</v>
      </c>
      <c r="C317" s="159" t="str">
        <f t="array" ref="C317:G317">VLOOKUP(A317,'Tracker- Removed 2018'!B:Q,{2,5,6,8,10},false)</f>
        <v/>
      </c>
      <c r="D317" s="30" t="s">
        <v>83</v>
      </c>
      <c r="E317" s="30" t="s">
        <v>285</v>
      </c>
      <c r="F317" s="30" t="s">
        <v>47</v>
      </c>
      <c r="G317" s="30" t="s">
        <v>47</v>
      </c>
    </row>
    <row r="318">
      <c r="A318" s="32">
        <v>477208.0</v>
      </c>
      <c r="B318" s="186">
        <v>43220.0</v>
      </c>
      <c r="C318" s="159" t="str">
        <f t="array" ref="C318:G318">VLOOKUP(A318,'Tracker- Removed 2018'!B:Q,{2,5,6,8,10},false)</f>
        <v/>
      </c>
      <c r="D318" s="30" t="s">
        <v>83</v>
      </c>
      <c r="E318" s="30" t="s">
        <v>3927</v>
      </c>
      <c r="F318" s="30" t="s">
        <v>47</v>
      </c>
      <c r="G318" s="30" t="s">
        <v>47</v>
      </c>
    </row>
    <row r="319">
      <c r="A319" s="32">
        <v>858848.0</v>
      </c>
      <c r="B319" s="186">
        <v>43220.0</v>
      </c>
      <c r="C319" s="159" t="str">
        <f t="array" ref="C319:G319">VLOOKUP(A319,'Tracker- Removed 2018'!B:Q,{2,5,6,8,10},false)</f>
        <v/>
      </c>
      <c r="D319" s="30" t="s">
        <v>83</v>
      </c>
      <c r="E319" s="30" t="s">
        <v>147</v>
      </c>
      <c r="F319" s="30" t="s">
        <v>47</v>
      </c>
      <c r="G319" s="30" t="s">
        <v>47</v>
      </c>
    </row>
    <row r="320">
      <c r="A320" s="32">
        <v>431088.0</v>
      </c>
      <c r="B320" s="186">
        <v>43220.0</v>
      </c>
      <c r="C320" s="159" t="str">
        <f t="array" ref="C320:G320">VLOOKUP(A320,'Tracker- Removed 2018'!B:Q,{2,5,6,8,10},false)</f>
        <v/>
      </c>
      <c r="D320" s="30" t="s">
        <v>83</v>
      </c>
      <c r="E320" s="30" t="s">
        <v>876</v>
      </c>
      <c r="F320" s="30" t="s">
        <v>47</v>
      </c>
      <c r="G320" s="30" t="s">
        <v>47</v>
      </c>
    </row>
    <row r="321">
      <c r="A321" s="32">
        <v>1486652.0</v>
      </c>
      <c r="B321" s="186">
        <v>43203.0</v>
      </c>
      <c r="C321" s="159" t="str">
        <f t="array" ref="C321:G321">VLOOKUP(A321,'Tracker- Removed 2018'!B:Q,{2,5,6,8,10},false)</f>
        <v/>
      </c>
      <c r="D321" s="30" t="s">
        <v>3908</v>
      </c>
      <c r="E321" s="30" t="s">
        <v>75</v>
      </c>
      <c r="F321" s="30" t="s">
        <v>47</v>
      </c>
      <c r="G321" s="30" t="s">
        <v>47</v>
      </c>
    </row>
    <row r="322">
      <c r="A322" s="32">
        <v>98962.0</v>
      </c>
      <c r="B322" s="186">
        <v>43220.0</v>
      </c>
      <c r="C322" s="159" t="str">
        <f t="array" ref="C322:G322">VLOOKUP(A322,'Tracker- Removed 2018'!B:Q,{2,5,6,8,10},false)</f>
        <v/>
      </c>
      <c r="D322" s="30" t="s">
        <v>83</v>
      </c>
      <c r="E322" s="30" t="s">
        <v>3927</v>
      </c>
      <c r="F322" s="30" t="s">
        <v>47</v>
      </c>
      <c r="G322" s="30" t="s">
        <v>47</v>
      </c>
    </row>
    <row r="323">
      <c r="A323" s="32">
        <v>165154.0</v>
      </c>
      <c r="B323" s="186">
        <v>43220.0</v>
      </c>
      <c r="C323" s="159" t="str">
        <f t="array" ref="C323:G323">VLOOKUP(A323,'Tracker- Removed 2018'!B:Q,{2,5,6,8,10},false)</f>
        <v/>
      </c>
      <c r="D323" s="30" t="s">
        <v>83</v>
      </c>
      <c r="E323" s="30" t="s">
        <v>3927</v>
      </c>
      <c r="F323" s="30" t="s">
        <v>47</v>
      </c>
      <c r="G323" s="30" t="s">
        <v>47</v>
      </c>
    </row>
    <row r="324">
      <c r="A324" s="32">
        <v>207002.0</v>
      </c>
      <c r="B324" s="186">
        <v>43220.0</v>
      </c>
      <c r="C324" s="159" t="str">
        <f t="array" ref="C324:G324">VLOOKUP(A324,'Tracker- Removed 2018'!B:Q,{2,5,6,8,10},false)</f>
        <v/>
      </c>
      <c r="D324" s="30" t="s">
        <v>83</v>
      </c>
      <c r="E324" s="30" t="s">
        <v>3927</v>
      </c>
      <c r="F324" s="30" t="s">
        <v>47</v>
      </c>
      <c r="G324" s="30" t="s">
        <v>47</v>
      </c>
    </row>
    <row r="325">
      <c r="A325" s="32">
        <v>206930.0</v>
      </c>
      <c r="B325" s="186">
        <v>43220.0</v>
      </c>
      <c r="C325" s="159" t="str">
        <f t="array" ref="C325:G325">VLOOKUP(A325,'Tracker- Removed 2018'!B:Q,{2,5,6,8,10},false)</f>
        <v/>
      </c>
      <c r="D325" s="30" t="s">
        <v>83</v>
      </c>
      <c r="E325" s="30" t="s">
        <v>3927</v>
      </c>
      <c r="F325" s="30" t="s">
        <v>47</v>
      </c>
      <c r="G325" s="30" t="s">
        <v>47</v>
      </c>
    </row>
    <row r="326">
      <c r="A326" s="32">
        <v>206952.0</v>
      </c>
      <c r="B326" s="186">
        <v>43220.0</v>
      </c>
      <c r="C326" s="159" t="str">
        <f t="array" ref="C326:G326">VLOOKUP(A326,'Tracker- Removed 2018'!B:Q,{2,5,6,8,10},false)</f>
        <v/>
      </c>
      <c r="D326" s="30" t="s">
        <v>83</v>
      </c>
      <c r="E326" s="30" t="s">
        <v>3927</v>
      </c>
      <c r="F326" s="30" t="s">
        <v>47</v>
      </c>
      <c r="G326" s="30" t="s">
        <v>47</v>
      </c>
    </row>
    <row r="327">
      <c r="A327" s="32">
        <v>206624.0</v>
      </c>
      <c r="B327" s="186">
        <v>43220.0</v>
      </c>
      <c r="C327" s="159" t="str">
        <f t="array" ref="C327:G327">VLOOKUP(A327,'Tracker- Removed 2018'!B:Q,{2,5,6,8,10},false)</f>
        <v/>
      </c>
      <c r="D327" s="30" t="s">
        <v>83</v>
      </c>
      <c r="E327" s="30" t="s">
        <v>3927</v>
      </c>
      <c r="F327" s="30" t="s">
        <v>47</v>
      </c>
      <c r="G327" s="30" t="s">
        <v>47</v>
      </c>
    </row>
    <row r="328">
      <c r="A328" s="32">
        <v>38581.0</v>
      </c>
      <c r="B328" s="186">
        <v>43220.0</v>
      </c>
      <c r="C328" s="159" t="str">
        <f t="array" ref="C328:G328">VLOOKUP(A328,'Tracker- Removed 2018'!B:Q,{2,5,6,8,10},false)</f>
        <v/>
      </c>
      <c r="D328" s="30" t="s">
        <v>83</v>
      </c>
      <c r="E328" s="30" t="s">
        <v>3927</v>
      </c>
      <c r="F328" s="30" t="s">
        <v>47</v>
      </c>
      <c r="G328" s="30" t="s">
        <v>47</v>
      </c>
    </row>
    <row r="329">
      <c r="A329" s="32">
        <v>206748.0</v>
      </c>
      <c r="B329" s="186">
        <v>43220.0</v>
      </c>
      <c r="C329" s="159" t="str">
        <f t="array" ref="C329:G329">VLOOKUP(A329,'Tracker- Removed 2018'!B:Q,{2,5,6,8,10},false)</f>
        <v/>
      </c>
      <c r="D329" s="30" t="s">
        <v>83</v>
      </c>
      <c r="E329" s="30" t="s">
        <v>147</v>
      </c>
      <c r="F329" s="30" t="s">
        <v>47</v>
      </c>
      <c r="G329" s="30" t="s">
        <v>47</v>
      </c>
    </row>
    <row r="330">
      <c r="A330" s="32">
        <v>429492.0</v>
      </c>
      <c r="B330" s="186">
        <v>43220.0</v>
      </c>
      <c r="C330" s="159" t="str">
        <f t="array" ref="C330:G330">VLOOKUP(A330,'Tracker- Removed 2018'!B:Q,{2,5,6,8,10},false)</f>
        <v/>
      </c>
      <c r="D330" s="30" t="s">
        <v>83</v>
      </c>
      <c r="E330" s="30" t="s">
        <v>147</v>
      </c>
      <c r="F330" s="30" t="s">
        <v>47</v>
      </c>
      <c r="G330" s="30" t="s">
        <v>47</v>
      </c>
    </row>
    <row r="331">
      <c r="A331" s="32">
        <v>206978.0</v>
      </c>
      <c r="B331" s="186">
        <v>43220.0</v>
      </c>
      <c r="C331" s="159" t="str">
        <f t="array" ref="C331:G331">VLOOKUP(A331,'Tracker- Removed 2018'!B:Q,{2,5,6,8,10},false)</f>
        <v/>
      </c>
      <c r="D331" s="30" t="s">
        <v>83</v>
      </c>
      <c r="E331" s="30" t="s">
        <v>3927</v>
      </c>
      <c r="F331" s="30" t="s">
        <v>47</v>
      </c>
      <c r="G331" s="30" t="s">
        <v>47</v>
      </c>
    </row>
    <row r="332">
      <c r="A332" s="32">
        <v>206596.0</v>
      </c>
      <c r="B332" s="186">
        <v>43220.0</v>
      </c>
      <c r="C332" s="159" t="str">
        <f t="array" ref="C332:G332">VLOOKUP(A332,'Tracker- Removed 2018'!B:Q,{2,5,6,8,10},false)</f>
        <v/>
      </c>
      <c r="D332" s="30" t="s">
        <v>83</v>
      </c>
      <c r="E332" s="30" t="s">
        <v>3926</v>
      </c>
      <c r="F332" s="30" t="s">
        <v>47</v>
      </c>
      <c r="G332" s="30" t="s">
        <v>47</v>
      </c>
    </row>
    <row r="333">
      <c r="A333" s="32">
        <v>201484.0</v>
      </c>
      <c r="B333" s="186">
        <v>43220.0</v>
      </c>
      <c r="C333" s="159" t="str">
        <f t="array" ref="C333:G333">VLOOKUP(A333,'Tracker- Removed 2018'!B:Q,{2,5,6,8,10},false)</f>
        <v/>
      </c>
      <c r="D333" s="30" t="s">
        <v>83</v>
      </c>
      <c r="E333" s="30" t="s">
        <v>3927</v>
      </c>
      <c r="F333" s="30" t="s">
        <v>47</v>
      </c>
      <c r="G333" s="30" t="s">
        <v>47</v>
      </c>
    </row>
    <row r="334">
      <c r="A334" s="32">
        <v>565318.0</v>
      </c>
      <c r="B334" s="186">
        <v>43220.0</v>
      </c>
      <c r="C334" s="159" t="str">
        <f t="array" ref="C334:G334">VLOOKUP(A334,'Tracker- Removed 2018'!B:Q,{2,5,6,8,10},false)</f>
        <v/>
      </c>
      <c r="D334" s="30" t="s">
        <v>83</v>
      </c>
      <c r="E334" s="30" t="s">
        <v>285</v>
      </c>
      <c r="F334" s="30" t="s">
        <v>47</v>
      </c>
      <c r="G334" s="30" t="s">
        <v>47</v>
      </c>
    </row>
    <row r="335">
      <c r="A335" s="32">
        <v>444008.0</v>
      </c>
      <c r="B335" s="186">
        <v>43220.0</v>
      </c>
      <c r="C335" s="159" t="str">
        <f t="array" ref="C335:G335">VLOOKUP(A335,'Tracker- Removed 2018'!B:Q,{2,5,6,8,10},false)</f>
        <v/>
      </c>
      <c r="D335" s="30" t="s">
        <v>83</v>
      </c>
      <c r="E335" s="30" t="s">
        <v>147</v>
      </c>
      <c r="F335" s="30" t="s">
        <v>47</v>
      </c>
      <c r="G335" s="30" t="s">
        <v>47</v>
      </c>
    </row>
    <row r="336">
      <c r="A336" s="32">
        <v>713320.0</v>
      </c>
      <c r="B336" s="186">
        <v>43220.0</v>
      </c>
      <c r="C336" s="159" t="str">
        <f t="array" ref="C336:G336">VLOOKUP(A336,'Tracker- Removed 2018'!B:Q,{2,5,6,8,10},false)</f>
        <v/>
      </c>
      <c r="D336" s="30" t="s">
        <v>83</v>
      </c>
      <c r="E336" s="30" t="s">
        <v>876</v>
      </c>
      <c r="F336" s="30" t="s">
        <v>47</v>
      </c>
      <c r="G336" s="30" t="s">
        <v>47</v>
      </c>
    </row>
    <row r="337">
      <c r="A337" s="32">
        <v>524128.0</v>
      </c>
      <c r="B337" s="186">
        <v>43220.0</v>
      </c>
      <c r="C337" s="159" t="str">
        <f t="array" ref="C337:G337">VLOOKUP(A337,'Tracker- Removed 2018'!B:Q,{2,5,6,8,10},false)</f>
        <v/>
      </c>
      <c r="D337" s="30" t="s">
        <v>39</v>
      </c>
      <c r="E337" s="30" t="s">
        <v>3911</v>
      </c>
      <c r="F337" s="30" t="s">
        <v>47</v>
      </c>
      <c r="G337" s="30" t="s">
        <v>47</v>
      </c>
    </row>
    <row r="338">
      <c r="A338" s="32">
        <v>1301750.0</v>
      </c>
      <c r="B338" s="186">
        <v>43220.0</v>
      </c>
      <c r="C338" s="159" t="str">
        <f t="array" ref="C338:G338">VLOOKUP(A338,'Tracker- Removed 2018'!B:Q,{2,5,6,8,10},false)</f>
        <v/>
      </c>
      <c r="D338" s="30" t="s">
        <v>83</v>
      </c>
      <c r="E338" s="30" t="s">
        <v>3926</v>
      </c>
      <c r="F338" s="30" t="s">
        <v>47</v>
      </c>
      <c r="G338" s="30" t="s">
        <v>47</v>
      </c>
    </row>
    <row r="339">
      <c r="A339" s="32">
        <v>190242.0</v>
      </c>
      <c r="B339" s="186">
        <v>43220.0</v>
      </c>
      <c r="C339" s="159" t="str">
        <f t="array" ref="C339:G339">VLOOKUP(A339,'Tracker- Removed 2018'!B:Q,{2,5,6,8,10},false)</f>
        <v/>
      </c>
      <c r="D339" s="30" t="s">
        <v>83</v>
      </c>
      <c r="E339" s="30" t="s">
        <v>3927</v>
      </c>
      <c r="F339" s="30" t="s">
        <v>47</v>
      </c>
      <c r="G339" s="30" t="s">
        <v>47</v>
      </c>
    </row>
    <row r="340">
      <c r="A340" s="32">
        <v>772224.0</v>
      </c>
      <c r="B340" s="186">
        <v>43220.0</v>
      </c>
      <c r="C340" s="159" t="str">
        <f t="array" ref="C340:G340">VLOOKUP(A340,'Tracker- Removed 2018'!B:Q,{2,5,6,8,10},false)</f>
        <v/>
      </c>
      <c r="D340" s="30" t="s">
        <v>39</v>
      </c>
      <c r="E340" s="30" t="s">
        <v>140</v>
      </c>
      <c r="F340" s="30" t="s">
        <v>47</v>
      </c>
      <c r="G340" s="30" t="s">
        <v>47</v>
      </c>
    </row>
    <row r="341">
      <c r="A341" s="32">
        <v>1029288.0</v>
      </c>
      <c r="B341" s="186">
        <v>43203.0</v>
      </c>
      <c r="C341" s="159" t="str">
        <f t="array" ref="C341:G341">VLOOKUP(A341,'Tracker- Removed 2018'!B:Q,{2,5,6,8,10},false)</f>
        <v/>
      </c>
      <c r="D341" s="30" t="s">
        <v>3908</v>
      </c>
      <c r="E341" s="30" t="s">
        <v>75</v>
      </c>
      <c r="F341" s="30" t="s">
        <v>47</v>
      </c>
      <c r="G341" s="30" t="s">
        <v>47</v>
      </c>
    </row>
    <row r="342">
      <c r="A342" s="32">
        <v>985096.0</v>
      </c>
      <c r="B342" s="186">
        <v>43203.0</v>
      </c>
      <c r="C342" s="159" t="str">
        <f t="array" ref="C342:G342">VLOOKUP(A342,'Tracker- Removed 2018'!B:Q,{2,5,6,8,10},false)</f>
        <v/>
      </c>
      <c r="D342" s="30" t="s">
        <v>3908</v>
      </c>
      <c r="E342" s="30" t="s">
        <v>75</v>
      </c>
      <c r="F342" s="30" t="s">
        <v>47</v>
      </c>
      <c r="G342" s="30" t="s">
        <v>47</v>
      </c>
    </row>
    <row r="343">
      <c r="A343" s="32">
        <v>1029222.0</v>
      </c>
      <c r="B343" s="186">
        <v>43203.0</v>
      </c>
      <c r="C343" s="159" t="str">
        <f t="array" ref="C343:G343">VLOOKUP(A343,'Tracker- Removed 2018'!B:Q,{2,5,6,8,10},false)</f>
        <v/>
      </c>
      <c r="D343" s="30" t="s">
        <v>3908</v>
      </c>
      <c r="E343" s="30" t="s">
        <v>75</v>
      </c>
      <c r="F343" s="30" t="s">
        <v>47</v>
      </c>
      <c r="G343" s="30" t="s">
        <v>47</v>
      </c>
    </row>
    <row r="344">
      <c r="A344" s="32">
        <v>1029268.0</v>
      </c>
      <c r="B344" s="186">
        <v>43203.0</v>
      </c>
      <c r="C344" s="159" t="str">
        <f t="array" ref="C344:G344">VLOOKUP(A344,'Tracker- Removed 2018'!B:Q,{2,5,6,8,10},false)</f>
        <v/>
      </c>
      <c r="D344" s="30" t="s">
        <v>3915</v>
      </c>
      <c r="E344" s="30" t="s">
        <v>261</v>
      </c>
      <c r="F344" s="30" t="s">
        <v>47</v>
      </c>
      <c r="G344" s="30" t="s">
        <v>47</v>
      </c>
    </row>
    <row r="345">
      <c r="A345" s="32">
        <v>329970.0</v>
      </c>
      <c r="B345" s="186">
        <v>43220.0</v>
      </c>
      <c r="C345" s="159" t="str">
        <f t="array" ref="C345:G345">VLOOKUP(A345,'Tracker- Removed 2018'!B:Q,{2,5,6,8,10},false)</f>
        <v/>
      </c>
      <c r="D345" s="30" t="s">
        <v>83</v>
      </c>
      <c r="E345" s="30" t="s">
        <v>147</v>
      </c>
      <c r="F345" s="30" t="s">
        <v>47</v>
      </c>
      <c r="G345" s="30" t="s">
        <v>47</v>
      </c>
    </row>
    <row r="346">
      <c r="A346" s="32">
        <v>23905.0</v>
      </c>
      <c r="B346" s="186">
        <v>43220.0</v>
      </c>
      <c r="C346" s="159" t="str">
        <f t="array" ref="C346:G346">VLOOKUP(A346,'Tracker- Removed 2018'!B:Q,{2,5,6,8,10},false)</f>
        <v/>
      </c>
      <c r="D346" s="30" t="s">
        <v>83</v>
      </c>
      <c r="E346" s="30" t="s">
        <v>3927</v>
      </c>
      <c r="F346" s="30" t="s">
        <v>47</v>
      </c>
      <c r="G346" s="30" t="s">
        <v>47</v>
      </c>
    </row>
    <row r="347">
      <c r="A347" s="32">
        <v>15215.0</v>
      </c>
      <c r="B347" s="186">
        <v>43220.0</v>
      </c>
      <c r="C347" s="159" t="str">
        <f t="array" ref="C347:G347">VLOOKUP(A347,'Tracker- Removed 2018'!B:Q,{2,5,6,8,10},false)</f>
        <v/>
      </c>
      <c r="D347" s="30" t="s">
        <v>538</v>
      </c>
      <c r="E347" s="30" t="s">
        <v>3918</v>
      </c>
      <c r="F347" s="30" t="s">
        <v>47</v>
      </c>
      <c r="G347" s="30" t="s">
        <v>47</v>
      </c>
    </row>
    <row r="348">
      <c r="A348" s="32">
        <v>837880.0</v>
      </c>
      <c r="B348" s="186">
        <v>43220.0</v>
      </c>
      <c r="C348" s="159" t="str">
        <f t="array" ref="C348:G348">VLOOKUP(A348,'Tracker- Removed 2018'!B:Q,{2,5,6,8,10},false)</f>
        <v/>
      </c>
      <c r="D348" s="30" t="s">
        <v>39</v>
      </c>
      <c r="E348" s="30" t="s">
        <v>140</v>
      </c>
      <c r="F348" s="30" t="s">
        <v>47</v>
      </c>
      <c r="G348" s="30" t="s">
        <v>47</v>
      </c>
    </row>
    <row r="349">
      <c r="A349" s="32">
        <v>49021.0</v>
      </c>
      <c r="B349" s="186">
        <v>43220.0</v>
      </c>
      <c r="C349" s="159" t="str">
        <f t="array" ref="C349:G349">VLOOKUP(A349,'Tracker- Removed 2018'!B:Q,{2,5,6,8,10},false)</f>
        <v/>
      </c>
      <c r="D349" s="30" t="s">
        <v>83</v>
      </c>
      <c r="E349" s="30" t="s">
        <v>876</v>
      </c>
      <c r="F349" s="30" t="s">
        <v>47</v>
      </c>
      <c r="G349" s="30" t="s">
        <v>47</v>
      </c>
    </row>
    <row r="350">
      <c r="A350" s="32">
        <v>35733.0</v>
      </c>
      <c r="B350" s="186">
        <v>43220.0</v>
      </c>
      <c r="C350" s="159" t="str">
        <f t="array" ref="C350:G350">VLOOKUP(A350,'Tracker- Removed 2018'!B:Q,{2,5,6,8,10},false)</f>
        <v/>
      </c>
      <c r="D350" s="30" t="s">
        <v>83</v>
      </c>
      <c r="E350" s="30" t="s">
        <v>3927</v>
      </c>
      <c r="F350" s="30" t="s">
        <v>47</v>
      </c>
      <c r="G350" s="30" t="s">
        <v>47</v>
      </c>
    </row>
    <row r="351">
      <c r="A351" s="32">
        <v>1418482.0</v>
      </c>
      <c r="B351" s="186">
        <v>43195.0</v>
      </c>
      <c r="C351" s="159" t="str">
        <f t="array" ref="C351:G351">VLOOKUP(A351,'Tracker- Removed 2018'!B:Q,{2,5,6,8,10},false)</f>
        <v>Learn How to Use Premiere Pro CC - For Beginners</v>
      </c>
      <c r="D351" s="30" t="s">
        <v>105</v>
      </c>
      <c r="E351" s="30" t="s">
        <v>198</v>
      </c>
      <c r="F351" s="30" t="s">
        <v>47</v>
      </c>
      <c r="G351" s="30" t="s">
        <v>47</v>
      </c>
    </row>
    <row r="352">
      <c r="A352" s="32">
        <v>305990.0</v>
      </c>
      <c r="B352" s="186">
        <v>43220.0</v>
      </c>
      <c r="C352" s="159" t="str">
        <f t="array" ref="C352:G352">VLOOKUP(A352,'Tracker- Removed 2018'!B:Q,{2,5,6,8,10},false)</f>
        <v/>
      </c>
      <c r="D352" s="30" t="s">
        <v>83</v>
      </c>
      <c r="E352" s="30" t="s">
        <v>3926</v>
      </c>
      <c r="F352" s="30" t="s">
        <v>47</v>
      </c>
      <c r="G352" s="30" t="s">
        <v>47</v>
      </c>
    </row>
    <row r="353">
      <c r="A353" s="32">
        <v>502464.0</v>
      </c>
      <c r="B353" s="186">
        <v>43220.0</v>
      </c>
      <c r="C353" s="159" t="str">
        <f t="array" ref="C353:G353">VLOOKUP(A353,'Tracker- Removed 2018'!B:Q,{2,5,6,8,10},false)</f>
        <v/>
      </c>
      <c r="D353" s="30" t="s">
        <v>83</v>
      </c>
      <c r="E353" s="30" t="s">
        <v>285</v>
      </c>
      <c r="F353" s="30" t="s">
        <v>47</v>
      </c>
      <c r="G353" s="30" t="s">
        <v>47</v>
      </c>
    </row>
    <row r="354">
      <c r="A354" s="32">
        <v>139962.0</v>
      </c>
      <c r="B354" s="186">
        <v>43220.0</v>
      </c>
      <c r="C354" s="159" t="str">
        <f t="array" ref="C354:G354">VLOOKUP(A354,'Tracker- Removed 2018'!B:Q,{2,5,6,8,10},false)</f>
        <v/>
      </c>
      <c r="D354" s="30" t="s">
        <v>83</v>
      </c>
      <c r="E354" s="30" t="s">
        <v>3927</v>
      </c>
      <c r="F354" s="30" t="s">
        <v>47</v>
      </c>
      <c r="G354" s="30" t="s">
        <v>47</v>
      </c>
    </row>
    <row r="355">
      <c r="A355" s="32">
        <v>444444.0</v>
      </c>
      <c r="B355" s="186">
        <v>43220.0</v>
      </c>
      <c r="C355" s="159" t="str">
        <f t="array" ref="C355:G355">VLOOKUP(A355,'Tracker- Removed 2018'!B:Q,{2,5,6,8,10},false)</f>
        <v/>
      </c>
      <c r="D355" s="30" t="s">
        <v>83</v>
      </c>
      <c r="E355" s="30" t="s">
        <v>3926</v>
      </c>
      <c r="F355" s="30" t="s">
        <v>47</v>
      </c>
      <c r="G355" s="30" t="s">
        <v>47</v>
      </c>
    </row>
    <row r="356">
      <c r="A356" s="32">
        <v>470414.0</v>
      </c>
      <c r="B356" s="186">
        <v>43220.0</v>
      </c>
      <c r="C356" s="159" t="str">
        <f t="array" ref="C356:G356">VLOOKUP(A356,'Tracker- Removed 2018'!B:Q,{2,5,6,8,10},false)</f>
        <v/>
      </c>
      <c r="D356" s="30" t="s">
        <v>83</v>
      </c>
      <c r="E356" s="30" t="s">
        <v>3927</v>
      </c>
      <c r="F356" s="30" t="s">
        <v>47</v>
      </c>
      <c r="G356" s="30" t="s">
        <v>47</v>
      </c>
    </row>
    <row r="357">
      <c r="A357" s="32">
        <v>385180.0</v>
      </c>
      <c r="B357" s="186">
        <v>43220.0</v>
      </c>
      <c r="C357" s="159" t="str">
        <f t="array" ref="C357:G357">VLOOKUP(A357,'Tracker- Removed 2018'!B:Q,{2,5,6,8,10},false)</f>
        <v/>
      </c>
      <c r="D357" s="30" t="s">
        <v>83</v>
      </c>
      <c r="E357" s="30" t="s">
        <v>3927</v>
      </c>
      <c r="F357" s="30" t="s">
        <v>47</v>
      </c>
      <c r="G357" s="30" t="s">
        <v>47</v>
      </c>
    </row>
    <row r="358">
      <c r="A358" s="32">
        <v>835428.0</v>
      </c>
      <c r="B358" s="186">
        <v>43220.0</v>
      </c>
      <c r="C358" s="159" t="str">
        <f t="array" ref="C358:G358">VLOOKUP(A358,'Tracker- Removed 2018'!B:Q,{2,5,6,8,10},false)</f>
        <v/>
      </c>
      <c r="D358" s="30" t="s">
        <v>105</v>
      </c>
      <c r="E358" s="30" t="s">
        <v>316</v>
      </c>
      <c r="F358" s="30" t="s">
        <v>47</v>
      </c>
      <c r="G358" s="30" t="s">
        <v>47</v>
      </c>
    </row>
    <row r="359">
      <c r="A359" s="32">
        <v>408204.0</v>
      </c>
      <c r="B359" s="186">
        <v>43220.0</v>
      </c>
      <c r="C359" s="159" t="str">
        <f t="array" ref="C359:G359">VLOOKUP(A359,'Tracker- Removed 2018'!B:Q,{2,5,6,8,10},false)</f>
        <v/>
      </c>
      <c r="D359" s="30" t="s">
        <v>83</v>
      </c>
      <c r="E359" s="30" t="s">
        <v>3926</v>
      </c>
      <c r="F359" s="30" t="s">
        <v>47</v>
      </c>
      <c r="G359" s="30" t="s">
        <v>47</v>
      </c>
    </row>
    <row r="360">
      <c r="A360" s="32">
        <v>394084.0</v>
      </c>
      <c r="B360" s="186">
        <v>43220.0</v>
      </c>
      <c r="C360" s="159" t="str">
        <f t="array" ref="C360:G360">VLOOKUP(A360,'Tracker- Removed 2018'!B:Q,{2,5,6,8,10},false)</f>
        <v/>
      </c>
      <c r="D360" s="30" t="s">
        <v>83</v>
      </c>
      <c r="E360" s="30" t="s">
        <v>3926</v>
      </c>
      <c r="F360" s="30" t="s">
        <v>47</v>
      </c>
      <c r="G360" s="30" t="s">
        <v>47</v>
      </c>
    </row>
    <row r="361">
      <c r="A361" s="32">
        <v>1061808.0</v>
      </c>
      <c r="B361" s="186">
        <v>43199.0</v>
      </c>
      <c r="C361" s="159" t="str">
        <f t="array" ref="C361:G361">VLOOKUP(A361,'Tracker- Removed 2018'!B:Q,{2,5,6,8,10},false)</f>
        <v>Waterfall to Agile Project Management: A Step By Step Guide</v>
      </c>
      <c r="D361" s="30" t="s">
        <v>3915</v>
      </c>
      <c r="E361" s="30" t="s">
        <v>3916</v>
      </c>
      <c r="F361" s="30" t="s">
        <v>47</v>
      </c>
      <c r="G361" s="30" t="s">
        <v>47</v>
      </c>
    </row>
    <row r="362">
      <c r="A362" s="32">
        <v>954790.0</v>
      </c>
      <c r="B362" s="186">
        <v>43199.0</v>
      </c>
      <c r="C362" s="159" t="str">
        <f t="array" ref="C362:G362">VLOOKUP(A362,'Tracker- Removed 2018'!B:Q,{2,5,6,8,10},false)</f>
        <v>How to Build Awesome Agile Teams with Scrum/Kanban/Extreme</v>
      </c>
      <c r="D362" s="30" t="s">
        <v>3915</v>
      </c>
      <c r="E362" s="30" t="s">
        <v>3916</v>
      </c>
      <c r="F362" s="30" t="s">
        <v>47</v>
      </c>
      <c r="G362" s="30" t="s">
        <v>47</v>
      </c>
    </row>
    <row r="363">
      <c r="A363" s="32">
        <v>988574.0</v>
      </c>
      <c r="B363" s="186">
        <v>43199.0</v>
      </c>
      <c r="C363" s="159" t="str">
        <f t="array" ref="C363:G363">VLOOKUP(A363,'Tracker- Removed 2018'!B:Q,{2,5,6,8,10},false)</f>
        <v>Agile Project Management Utilizing Microsoft Project</v>
      </c>
      <c r="D363" s="30" t="s">
        <v>3915</v>
      </c>
      <c r="E363" s="30" t="s">
        <v>3916</v>
      </c>
      <c r="F363" s="30" t="s">
        <v>47</v>
      </c>
      <c r="G363" s="30" t="s">
        <v>47</v>
      </c>
    </row>
    <row r="364">
      <c r="A364" s="32">
        <v>1065012.0</v>
      </c>
      <c r="B364" s="186">
        <v>43199.0</v>
      </c>
      <c r="C364" s="159" t="str">
        <f t="array" ref="C364:G364">VLOOKUP(A364,'Tracker- Removed 2018'!B:Q,{2,5,6,8,10},false)</f>
        <v>Agile Retrospectives: Make Good Teams Great</v>
      </c>
      <c r="D364" s="30" t="s">
        <v>3915</v>
      </c>
      <c r="E364" s="30" t="s">
        <v>3916</v>
      </c>
      <c r="F364" s="30" t="s">
        <v>47</v>
      </c>
      <c r="G364" s="30" t="s">
        <v>47</v>
      </c>
    </row>
    <row r="365">
      <c r="A365" s="32">
        <v>799974.0</v>
      </c>
      <c r="B365" s="186">
        <v>43195.0</v>
      </c>
      <c r="C365" s="159" t="str">
        <f t="array" ref="C365:G365">VLOOKUP(A365,'Tracker- Removed 2018'!B:Q,{2,5,6,8,10},false)</f>
        <v>Fundamentals of IoT Development with ThingWorx</v>
      </c>
      <c r="D365" s="30" t="s">
        <v>39</v>
      </c>
      <c r="E365" s="30" t="s">
        <v>50</v>
      </c>
      <c r="F365" s="30" t="s">
        <v>47</v>
      </c>
      <c r="G365" s="30" t="s">
        <v>47</v>
      </c>
    </row>
    <row r="366">
      <c r="A366" s="32">
        <v>189996.0</v>
      </c>
      <c r="B366" s="186">
        <v>43195.0</v>
      </c>
      <c r="C366" s="159" t="str">
        <f t="array" ref="C366:G366">VLOOKUP(A366,'Tracker- Removed 2018'!B:Q,{2,5,6,8,10},false)</f>
        <v>Introduction to Digital Payments</v>
      </c>
      <c r="D366" s="30" t="s">
        <v>3919</v>
      </c>
      <c r="E366" s="30" t="s">
        <v>263</v>
      </c>
      <c r="F366" s="30" t="s">
        <v>47</v>
      </c>
      <c r="G366" s="30" t="s">
        <v>47</v>
      </c>
    </row>
    <row r="367">
      <c r="A367" s="32">
        <v>866958.0</v>
      </c>
      <c r="B367" s="186">
        <v>43220.0</v>
      </c>
      <c r="C367" s="159" t="str">
        <f t="array" ref="C367:G367">VLOOKUP(A367,'Tracker- Removed 2018'!B:Q,{2,5,6,8,10},false)</f>
        <v/>
      </c>
      <c r="D367" s="30" t="s">
        <v>83</v>
      </c>
      <c r="E367" s="30" t="s">
        <v>876</v>
      </c>
      <c r="F367" s="30" t="s">
        <v>47</v>
      </c>
      <c r="G367" s="30" t="s">
        <v>47</v>
      </c>
    </row>
    <row r="368">
      <c r="A368" s="32">
        <v>20282.0</v>
      </c>
      <c r="B368" s="186">
        <v>43220.0</v>
      </c>
      <c r="C368" s="159" t="str">
        <f t="array" ref="C368:G368">VLOOKUP(A368,'Tracker- Removed 2018'!B:Q,{2,5,6,8,10},false)</f>
        <v/>
      </c>
      <c r="D368" s="30" t="s">
        <v>83</v>
      </c>
      <c r="E368" s="30" t="s">
        <v>3926</v>
      </c>
      <c r="F368" s="30" t="s">
        <v>47</v>
      </c>
      <c r="G368" s="30" t="s">
        <v>47</v>
      </c>
    </row>
    <row r="369">
      <c r="A369" s="32">
        <v>329908.0</v>
      </c>
      <c r="B369" s="186">
        <v>43220.0</v>
      </c>
      <c r="C369" s="159" t="str">
        <f t="array" ref="C369:G369">VLOOKUP(A369,'Tracker- Removed 2018'!B:Q,{2,5,6,8,10},false)</f>
        <v/>
      </c>
      <c r="D369" s="30" t="s">
        <v>83</v>
      </c>
      <c r="E369" s="30" t="s">
        <v>3927</v>
      </c>
      <c r="F369" s="30" t="s">
        <v>47</v>
      </c>
      <c r="G369" s="30" t="s">
        <v>47</v>
      </c>
    </row>
    <row r="370">
      <c r="A370" s="32">
        <v>1191002.0</v>
      </c>
      <c r="B370" s="186">
        <v>43195.0</v>
      </c>
      <c r="C370" s="159" t="str">
        <f t="array" ref="C370:G370">VLOOKUP(A370,'Tracker- Removed 2018'!B:Q,{2,5,6,8,10},false)</f>
        <v>Learn ETL using SSIS</v>
      </c>
      <c r="D370" s="30" t="s">
        <v>3908</v>
      </c>
      <c r="E370" s="30" t="s">
        <v>3910</v>
      </c>
      <c r="F370" s="30" t="s">
        <v>47</v>
      </c>
      <c r="G370" s="30" t="s">
        <v>47</v>
      </c>
    </row>
    <row r="371">
      <c r="A371" s="32">
        <v>1553242.0</v>
      </c>
      <c r="B371" s="186">
        <v>43195.0</v>
      </c>
      <c r="C371" s="159" t="str">
        <f t="array" ref="C371:G371">VLOOKUP(A371,'Tracker- Removed 2018'!B:Q,{2,5,6,8,10},false)</f>
        <v>Developing Cloud-Native Apps w/ Microservices Architectures</v>
      </c>
      <c r="D371" s="30" t="s">
        <v>39</v>
      </c>
      <c r="E371" s="30" t="s">
        <v>3911</v>
      </c>
      <c r="F371" s="30" t="s">
        <v>47</v>
      </c>
      <c r="G371" s="30" t="s">
        <v>47</v>
      </c>
    </row>
    <row r="372">
      <c r="A372" s="32">
        <v>565228.0</v>
      </c>
      <c r="B372" s="186">
        <v>43220.0</v>
      </c>
      <c r="C372" s="159" t="str">
        <f t="array" ref="C372:G372">VLOOKUP(A372,'Tracker- Removed 2018'!B:Q,{2,5,6,8,10},false)</f>
        <v/>
      </c>
      <c r="D372" s="30" t="s">
        <v>83</v>
      </c>
      <c r="E372" s="30" t="s">
        <v>3926</v>
      </c>
      <c r="F372" s="30" t="s">
        <v>47</v>
      </c>
      <c r="G372" s="30" t="s">
        <v>47</v>
      </c>
    </row>
    <row r="373">
      <c r="A373" s="32">
        <v>450756.0</v>
      </c>
      <c r="B373" s="186">
        <v>43220.0</v>
      </c>
      <c r="C373" s="159" t="str">
        <f t="array" ref="C373:G373">VLOOKUP(A373,'Tracker- Removed 2018'!B:Q,{2,5,6,8,10},false)</f>
        <v/>
      </c>
      <c r="D373" s="30" t="s">
        <v>105</v>
      </c>
      <c r="E373" s="30" t="s">
        <v>316</v>
      </c>
      <c r="F373" s="30" t="s">
        <v>47</v>
      </c>
      <c r="G373" s="30" t="s">
        <v>47</v>
      </c>
    </row>
    <row r="374">
      <c r="A374" s="32">
        <v>30098.0</v>
      </c>
      <c r="B374" s="186">
        <v>43220.0</v>
      </c>
      <c r="C374" s="159" t="str">
        <f t="array" ref="C374:G374">VLOOKUP(A374,'Tracker- Removed 2018'!B:Q,{2,5,6,8,10},false)</f>
        <v/>
      </c>
      <c r="D374" s="30" t="s">
        <v>83</v>
      </c>
      <c r="E374" s="30" t="s">
        <v>3926</v>
      </c>
      <c r="F374" s="30" t="s">
        <v>47</v>
      </c>
      <c r="G374" s="30" t="s">
        <v>47</v>
      </c>
    </row>
    <row r="375">
      <c r="A375" s="32">
        <v>356782.0</v>
      </c>
      <c r="B375" s="186">
        <v>43220.0</v>
      </c>
      <c r="C375" s="159" t="str">
        <f t="array" ref="C375:G375">VLOOKUP(A375,'Tracker- Removed 2018'!B:Q,{2,5,6,8,10},false)</f>
        <v/>
      </c>
      <c r="D375" s="30" t="s">
        <v>83</v>
      </c>
      <c r="E375" s="30" t="s">
        <v>3926</v>
      </c>
      <c r="F375" s="30" t="s">
        <v>47</v>
      </c>
      <c r="G375" s="30" t="s">
        <v>47</v>
      </c>
    </row>
    <row r="376">
      <c r="A376" s="32">
        <v>792886.0</v>
      </c>
      <c r="B376" s="186">
        <v>43220.0</v>
      </c>
      <c r="C376" s="159" t="str">
        <f t="array" ref="C376:G376">VLOOKUP(A376,'Tracker- Removed 2018'!B:Q,{2,5,6,8,10},false)</f>
        <v/>
      </c>
      <c r="D376" s="30" t="s">
        <v>83</v>
      </c>
      <c r="E376" s="30" t="s">
        <v>3927</v>
      </c>
      <c r="F376" s="30" t="s">
        <v>47</v>
      </c>
      <c r="G376" s="30" t="s">
        <v>47</v>
      </c>
    </row>
    <row r="377">
      <c r="A377" s="32">
        <v>212608.0</v>
      </c>
      <c r="B377" s="186">
        <v>43220.0</v>
      </c>
      <c r="C377" s="159" t="str">
        <f t="array" ref="C377:G377">VLOOKUP(A377,'Tracker- Removed 2018'!B:Q,{2,5,6,8,10},false)</f>
        <v/>
      </c>
      <c r="D377" s="30" t="s">
        <v>83</v>
      </c>
      <c r="E377" s="30" t="s">
        <v>147</v>
      </c>
      <c r="F377" s="30" t="s">
        <v>47</v>
      </c>
      <c r="G377" s="30" t="s">
        <v>47</v>
      </c>
    </row>
    <row r="378">
      <c r="A378" s="32">
        <v>412712.0</v>
      </c>
      <c r="B378" s="186">
        <v>43220.0</v>
      </c>
      <c r="C378" s="159" t="str">
        <f t="array" ref="C378:G378">VLOOKUP(A378,'Tracker- Removed 2018'!B:Q,{2,5,6,8,10},false)</f>
        <v/>
      </c>
      <c r="D378" s="30" t="s">
        <v>83</v>
      </c>
      <c r="E378" s="30" t="s">
        <v>3923</v>
      </c>
      <c r="F378" s="30" t="s">
        <v>47</v>
      </c>
      <c r="G378" s="30" t="s">
        <v>47</v>
      </c>
    </row>
    <row r="379">
      <c r="A379" s="32">
        <v>591318.0</v>
      </c>
      <c r="B379" s="186">
        <v>43220.0</v>
      </c>
      <c r="C379" s="159" t="str">
        <f t="array" ref="C379:G379">VLOOKUP(A379,'Tracker- Removed 2018'!B:Q,{2,5,6,8,10},false)</f>
        <v/>
      </c>
      <c r="D379" s="30" t="s">
        <v>83</v>
      </c>
      <c r="E379" s="30" t="s">
        <v>3926</v>
      </c>
      <c r="F379" s="30" t="s">
        <v>47</v>
      </c>
      <c r="G379" s="30" t="s">
        <v>47</v>
      </c>
    </row>
    <row r="380">
      <c r="A380" s="32">
        <v>1278916.0</v>
      </c>
      <c r="B380" s="186">
        <v>43217.0</v>
      </c>
      <c r="C380" s="159" t="str">
        <f t="array" ref="C380:G380">VLOOKUP(A380,'Tracker- Removed 2018'!B:Q,{2,5,6,8,10},false)</f>
        <v/>
      </c>
      <c r="D380" s="30" t="s">
        <v>3915</v>
      </c>
      <c r="E380" s="30" t="s">
        <v>184</v>
      </c>
      <c r="F380" s="30" t="s">
        <v>47</v>
      </c>
      <c r="G380" s="30" t="s">
        <v>47</v>
      </c>
    </row>
    <row r="381">
      <c r="A381" s="32">
        <v>340888.0</v>
      </c>
      <c r="B381" s="186">
        <v>43220.0</v>
      </c>
      <c r="C381" s="159" t="str">
        <f t="array" ref="C381:G381">VLOOKUP(A381,'Tracker- Removed 2018'!B:Q,{2,5,6,8,10},false)</f>
        <v/>
      </c>
      <c r="D381" s="30" t="s">
        <v>83</v>
      </c>
      <c r="E381" s="30" t="s">
        <v>3923</v>
      </c>
      <c r="F381" s="30" t="s">
        <v>47</v>
      </c>
      <c r="G381" s="30" t="s">
        <v>47</v>
      </c>
    </row>
    <row r="382">
      <c r="A382" s="32">
        <v>363322.0</v>
      </c>
      <c r="B382" s="186">
        <v>43220.0</v>
      </c>
      <c r="C382" s="159" t="str">
        <f t="array" ref="C382:G382">VLOOKUP(A382,'Tracker- Removed 2018'!B:Q,{2,5,6,8,10},false)</f>
        <v/>
      </c>
      <c r="D382" s="30" t="s">
        <v>83</v>
      </c>
      <c r="E382" s="30" t="s">
        <v>3923</v>
      </c>
      <c r="F382" s="30" t="s">
        <v>47</v>
      </c>
      <c r="G382" s="30" t="s">
        <v>47</v>
      </c>
    </row>
    <row r="383">
      <c r="A383" s="32">
        <v>303898.0</v>
      </c>
      <c r="B383" s="186">
        <v>43220.0</v>
      </c>
      <c r="C383" s="159" t="str">
        <f t="array" ref="C383:G383">VLOOKUP(A383,'Tracker- Removed 2018'!B:Q,{2,5,6,8,10},false)</f>
        <v/>
      </c>
      <c r="D383" s="30" t="s">
        <v>83</v>
      </c>
      <c r="E383" s="30" t="s">
        <v>3923</v>
      </c>
      <c r="F383" s="30" t="s">
        <v>47</v>
      </c>
      <c r="G383" s="30" t="s">
        <v>47</v>
      </c>
    </row>
    <row r="384">
      <c r="A384" s="32">
        <v>363112.0</v>
      </c>
      <c r="B384" s="186">
        <v>43220.0</v>
      </c>
      <c r="C384" s="159" t="str">
        <f t="array" ref="C384:G384">VLOOKUP(A384,'Tracker- Removed 2018'!B:Q,{2,5,6,8,10},false)</f>
        <v/>
      </c>
      <c r="D384" s="30" t="s">
        <v>83</v>
      </c>
      <c r="E384" s="30" t="s">
        <v>876</v>
      </c>
      <c r="F384" s="30" t="s">
        <v>47</v>
      </c>
      <c r="G384" s="30" t="s">
        <v>47</v>
      </c>
    </row>
    <row r="385">
      <c r="A385" s="32">
        <v>299152.0</v>
      </c>
      <c r="B385" s="186">
        <v>43220.0</v>
      </c>
      <c r="C385" s="159" t="str">
        <f t="array" ref="C385:G385">VLOOKUP(A385,'Tracker- Removed 2018'!B:Q,{2,5,6,8,10},false)</f>
        <v/>
      </c>
      <c r="D385" s="30" t="s">
        <v>83</v>
      </c>
      <c r="E385" s="30" t="s">
        <v>3923</v>
      </c>
      <c r="F385" s="30" t="s">
        <v>47</v>
      </c>
      <c r="G385" s="30" t="s">
        <v>47</v>
      </c>
    </row>
    <row r="386">
      <c r="A386" s="32">
        <v>306394.0</v>
      </c>
      <c r="B386" s="186">
        <v>43220.0</v>
      </c>
      <c r="C386" s="159" t="str">
        <f t="array" ref="C386:G386">VLOOKUP(A386,'Tracker- Removed 2018'!B:Q,{2,5,6,8,10},false)</f>
        <v/>
      </c>
      <c r="D386" s="30" t="s">
        <v>83</v>
      </c>
      <c r="E386" s="30" t="s">
        <v>3923</v>
      </c>
      <c r="F386" s="30" t="s">
        <v>47</v>
      </c>
      <c r="G386" s="30" t="s">
        <v>47</v>
      </c>
    </row>
    <row r="387">
      <c r="A387" s="32">
        <v>283944.0</v>
      </c>
      <c r="B387" s="186">
        <v>43220.0</v>
      </c>
      <c r="C387" s="159" t="str">
        <f t="array" ref="C387:G387">VLOOKUP(A387,'Tracker- Removed 2018'!B:Q,{2,5,6,8,10},false)</f>
        <v/>
      </c>
      <c r="D387" s="30" t="s">
        <v>83</v>
      </c>
      <c r="E387" s="30" t="s">
        <v>3927</v>
      </c>
      <c r="F387" s="30" t="s">
        <v>47</v>
      </c>
      <c r="G387" s="30" t="s">
        <v>47</v>
      </c>
    </row>
    <row r="388">
      <c r="A388" s="32">
        <v>306398.0</v>
      </c>
      <c r="B388" s="186">
        <v>43220.0</v>
      </c>
      <c r="C388" s="159" t="str">
        <f t="array" ref="C388:G388">VLOOKUP(A388,'Tracker- Removed 2018'!B:Q,{2,5,6,8,10},false)</f>
        <v/>
      </c>
      <c r="D388" s="30" t="s">
        <v>83</v>
      </c>
      <c r="E388" s="30" t="s">
        <v>3923</v>
      </c>
      <c r="F388" s="30" t="s">
        <v>47</v>
      </c>
      <c r="G388" s="30" t="s">
        <v>47</v>
      </c>
    </row>
    <row r="389">
      <c r="A389" s="32">
        <v>338678.0</v>
      </c>
      <c r="B389" s="186">
        <v>43220.0</v>
      </c>
      <c r="C389" s="159" t="str">
        <f t="array" ref="C389:G389">VLOOKUP(A389,'Tracker- Removed 2018'!B:Q,{2,5,6,8,10},false)</f>
        <v/>
      </c>
      <c r="D389" s="30" t="s">
        <v>83</v>
      </c>
      <c r="E389" s="30" t="s">
        <v>3923</v>
      </c>
      <c r="F389" s="30" t="s">
        <v>47</v>
      </c>
      <c r="G389" s="30" t="s">
        <v>47</v>
      </c>
    </row>
    <row r="390">
      <c r="A390" s="32">
        <v>303084.0</v>
      </c>
      <c r="B390" s="186">
        <v>43220.0</v>
      </c>
      <c r="C390" s="159" t="str">
        <f t="array" ref="C390:G390">VLOOKUP(A390,'Tracker- Removed 2018'!B:Q,{2,5,6,8,10},false)</f>
        <v/>
      </c>
      <c r="D390" s="30" t="s">
        <v>83</v>
      </c>
      <c r="E390" s="30" t="s">
        <v>3923</v>
      </c>
      <c r="F390" s="30" t="s">
        <v>47</v>
      </c>
      <c r="G390" s="30" t="s">
        <v>47</v>
      </c>
    </row>
    <row r="391">
      <c r="A391" s="32">
        <v>275410.0</v>
      </c>
      <c r="B391" s="186">
        <v>43220.0</v>
      </c>
      <c r="C391" s="159" t="str">
        <f t="array" ref="C391:G391">VLOOKUP(A391,'Tracker- Removed 2018'!B:Q,{2,5,6,8,10},false)</f>
        <v/>
      </c>
      <c r="D391" s="30" t="s">
        <v>83</v>
      </c>
      <c r="E391" s="30" t="s">
        <v>3923</v>
      </c>
      <c r="F391" s="30" t="s">
        <v>47</v>
      </c>
      <c r="G391" s="30" t="s">
        <v>47</v>
      </c>
    </row>
    <row r="392">
      <c r="A392" s="32">
        <v>342332.0</v>
      </c>
      <c r="B392" s="186">
        <v>43220.0</v>
      </c>
      <c r="C392" s="159" t="str">
        <f t="array" ref="C392:G392">VLOOKUP(A392,'Tracker- Removed 2018'!B:Q,{2,5,6,8,10},false)</f>
        <v/>
      </c>
      <c r="D392" s="30" t="s">
        <v>83</v>
      </c>
      <c r="E392" s="30" t="s">
        <v>3923</v>
      </c>
      <c r="F392" s="30" t="s">
        <v>47</v>
      </c>
      <c r="G392" s="30" t="s">
        <v>47</v>
      </c>
    </row>
    <row r="393">
      <c r="A393" s="32">
        <v>351072.0</v>
      </c>
      <c r="B393" s="186">
        <v>43220.0</v>
      </c>
      <c r="C393" s="159" t="str">
        <f t="array" ref="C393:G393">VLOOKUP(A393,'Tracker- Removed 2018'!B:Q,{2,5,6,8,10},false)</f>
        <v/>
      </c>
      <c r="D393" s="30" t="s">
        <v>83</v>
      </c>
      <c r="E393" s="30" t="s">
        <v>3923</v>
      </c>
      <c r="F393" s="30" t="s">
        <v>47</v>
      </c>
      <c r="G393" s="30" t="s">
        <v>47</v>
      </c>
    </row>
    <row r="394">
      <c r="A394" s="32">
        <v>363098.0</v>
      </c>
      <c r="B394" s="186">
        <v>43220.0</v>
      </c>
      <c r="C394" s="159" t="str">
        <f t="array" ref="C394:G394">VLOOKUP(A394,'Tracker- Removed 2018'!B:Q,{2,5,6,8,10},false)</f>
        <v/>
      </c>
      <c r="D394" s="30" t="s">
        <v>83</v>
      </c>
      <c r="E394" s="30" t="s">
        <v>3923</v>
      </c>
      <c r="F394" s="30" t="s">
        <v>47</v>
      </c>
      <c r="G394" s="30" t="s">
        <v>47</v>
      </c>
    </row>
    <row r="395">
      <c r="A395" s="32">
        <v>600810.0</v>
      </c>
      <c r="B395" s="186">
        <v>43220.0</v>
      </c>
      <c r="C395" s="159" t="str">
        <f t="array" ref="C395:G395">VLOOKUP(A395,'Tracker- Removed 2018'!B:Q,{2,5,6,8,10},false)</f>
        <v/>
      </c>
      <c r="D395" s="30" t="s">
        <v>83</v>
      </c>
      <c r="E395" s="30" t="s">
        <v>147</v>
      </c>
      <c r="F395" s="30" t="s">
        <v>47</v>
      </c>
      <c r="G395" s="30" t="s">
        <v>47</v>
      </c>
    </row>
    <row r="396">
      <c r="A396" s="32">
        <v>444718.0</v>
      </c>
      <c r="B396" s="186">
        <v>43220.0</v>
      </c>
      <c r="C396" s="159" t="str">
        <f t="array" ref="C396:G396">VLOOKUP(A396,'Tracker- Removed 2018'!B:Q,{2,5,6,8,10},false)</f>
        <v/>
      </c>
      <c r="D396" s="30" t="s">
        <v>83</v>
      </c>
      <c r="E396" s="30" t="s">
        <v>3926</v>
      </c>
      <c r="F396" s="30" t="s">
        <v>47</v>
      </c>
      <c r="G396" s="30" t="s">
        <v>47</v>
      </c>
    </row>
    <row r="397">
      <c r="A397" s="32">
        <v>552354.0</v>
      </c>
      <c r="B397" s="186">
        <v>43220.0</v>
      </c>
      <c r="C397" s="159" t="str">
        <f t="array" ref="C397:G397">VLOOKUP(A397,'Tracker- Removed 2018'!B:Q,{2,5,6,8,10},false)</f>
        <v/>
      </c>
      <c r="D397" s="30" t="s">
        <v>83</v>
      </c>
      <c r="E397" s="30" t="s">
        <v>285</v>
      </c>
      <c r="F397" s="30" t="s">
        <v>47</v>
      </c>
      <c r="G397" s="30" t="s">
        <v>47</v>
      </c>
    </row>
    <row r="398">
      <c r="A398" s="187">
        <v>642940.0</v>
      </c>
      <c r="B398" s="186">
        <v>43189.0</v>
      </c>
      <c r="C398" s="159" t="str">
        <f t="array" ref="C398:G398">VLOOKUP(A398,'Tracker- Removed 2018'!B:Q,{2,5,6,8,10},false)</f>
        <v>Build A YouTube Downloader With C# And GitHub</v>
      </c>
      <c r="D398" s="30" t="s">
        <v>39</v>
      </c>
      <c r="E398" s="30" t="s">
        <v>140</v>
      </c>
      <c r="F398" s="30" t="s">
        <v>47</v>
      </c>
      <c r="G398" s="30" t="s">
        <v>47</v>
      </c>
    </row>
    <row r="399">
      <c r="A399" s="32">
        <v>258316.0</v>
      </c>
      <c r="B399" s="186">
        <v>43189.0</v>
      </c>
      <c r="C399" s="159" t="str">
        <f t="array" ref="C399:G399">VLOOKUP(A399,'Tracker- Removed 2018'!B:Q,{2,5,6,8,10},false)</f>
        <v>Learn to Code by Making Games - Complete C# Unity Developer</v>
      </c>
      <c r="D399" s="30" t="s">
        <v>39</v>
      </c>
      <c r="E399" s="30" t="s">
        <v>214</v>
      </c>
      <c r="F399" s="30" t="s">
        <v>47</v>
      </c>
      <c r="G399" s="30" t="s">
        <v>47</v>
      </c>
    </row>
    <row r="400">
      <c r="A400" s="32">
        <v>1126848.0</v>
      </c>
      <c r="B400" s="186">
        <v>43189.0</v>
      </c>
      <c r="C400" s="159" t="str">
        <f t="array" ref="C400:G400">VLOOKUP(A400,'Tracker- Removed 2018'!B:Q,{2,5,6,8,10},false)</f>
        <v>Oracle GoldenGate 12c Fundamentals</v>
      </c>
      <c r="D400" s="30" t="s">
        <v>3908</v>
      </c>
      <c r="E400" s="30" t="s">
        <v>3910</v>
      </c>
      <c r="F400" s="30" t="s">
        <v>47</v>
      </c>
      <c r="G400" s="30" t="s">
        <v>47</v>
      </c>
    </row>
    <row r="401">
      <c r="A401" s="32">
        <v>696044.0</v>
      </c>
      <c r="B401" s="186">
        <v>43189.0</v>
      </c>
      <c r="C401" s="159" t="str">
        <f t="array" ref="C401:G401">VLOOKUP(A401,'Tracker- Removed 2018'!B:Q,{2,5,6,8,10},false)</f>
        <v>Learn Python 3 from scratch to become a developer in demand</v>
      </c>
      <c r="D401" s="30" t="s">
        <v>39</v>
      </c>
      <c r="E401" s="30" t="s">
        <v>140</v>
      </c>
      <c r="F401" s="30" t="s">
        <v>47</v>
      </c>
      <c r="G401" s="30" t="s">
        <v>47</v>
      </c>
    </row>
    <row r="402">
      <c r="A402" s="32">
        <v>721764.0</v>
      </c>
      <c r="B402" s="186">
        <v>43189.0</v>
      </c>
      <c r="C402" s="159" t="str">
        <f t="array" ref="C402:G402">VLOOKUP(A402,'Tracker- Removed 2018'!B:Q,{2,5,6,8,10},false)</f>
        <v>Oracle 12c Data Guard Administration</v>
      </c>
      <c r="D402" s="30" t="s">
        <v>3908</v>
      </c>
      <c r="E402" s="30" t="s">
        <v>3910</v>
      </c>
      <c r="F402" s="30" t="s">
        <v>47</v>
      </c>
      <c r="G402" s="30" t="s">
        <v>47</v>
      </c>
    </row>
    <row r="403">
      <c r="A403" s="32">
        <v>246652.0</v>
      </c>
      <c r="B403" s="186">
        <v>43189.0</v>
      </c>
      <c r="C403" s="159" t="str">
        <f t="array" ref="C403:G403">VLOOKUP(A403,'Tracker- Removed 2018'!B:Q,{2,5,6,8,10},false)</f>
        <v>Selenium WebDriver With Java - Novice To Ninja + Interview</v>
      </c>
      <c r="D403" s="30" t="s">
        <v>39</v>
      </c>
      <c r="E403" s="30" t="s">
        <v>50</v>
      </c>
      <c r="F403" s="30" t="s">
        <v>47</v>
      </c>
      <c r="G403" s="30" t="s">
        <v>47</v>
      </c>
    </row>
    <row r="404">
      <c r="A404" s="32">
        <v>696050.0</v>
      </c>
      <c r="B404" s="186">
        <v>43189.0</v>
      </c>
      <c r="C404" s="159" t="str">
        <f t="array" ref="C404:G404">VLOOKUP(A404,'Tracker- Removed 2018'!B:Q,{2,5,6,8,10},false)</f>
        <v>Selenium WebDriver With Python 3.x - Novice To Ninja</v>
      </c>
      <c r="D404" s="30" t="s">
        <v>39</v>
      </c>
      <c r="E404" s="30" t="s">
        <v>50</v>
      </c>
      <c r="F404" s="30" t="s">
        <v>47</v>
      </c>
      <c r="G404" s="30" t="s">
        <v>47</v>
      </c>
    </row>
    <row r="405">
      <c r="A405" s="32">
        <v>1224872.0</v>
      </c>
      <c r="B405" s="186">
        <v>43189.0</v>
      </c>
      <c r="C405" s="159" t="str">
        <f t="array" ref="C405:G405">VLOOKUP(A405,'Tracker- Removed 2018'!B:Q,{2,5,6,8,10},false)</f>
        <v>TestNG Complete Bootcamp For Beginners - Novice To Ninja</v>
      </c>
      <c r="D405" s="30" t="s">
        <v>39</v>
      </c>
      <c r="E405" s="30" t="s">
        <v>50</v>
      </c>
      <c r="F405" s="30" t="s">
        <v>47</v>
      </c>
      <c r="G405" s="30" t="s">
        <v>47</v>
      </c>
    </row>
    <row r="406">
      <c r="A406" s="32">
        <v>1323780.0</v>
      </c>
      <c r="B406" s="186">
        <v>43189.0</v>
      </c>
      <c r="C406" s="159" t="str">
        <f t="array" ref="C406:G406">VLOOKUP(A406,'Tracker- Removed 2018'!B:Q,{2,5,6,8,10},false)</f>
        <v>Rest API Automation With Rest Assured - Novice To Ninja</v>
      </c>
      <c r="D406" s="30" t="s">
        <v>39</v>
      </c>
      <c r="E406" s="30" t="s">
        <v>50</v>
      </c>
      <c r="F406" s="30" t="s">
        <v>47</v>
      </c>
      <c r="G406" s="30" t="s">
        <v>47</v>
      </c>
    </row>
    <row r="407">
      <c r="A407" s="32">
        <v>1279386.0</v>
      </c>
      <c r="B407" s="186">
        <v>43189.0</v>
      </c>
      <c r="C407" s="159" t="str">
        <f t="array" ref="C407:G407">VLOOKUP(A407,'Tracker- Removed 2018'!B:Q,{2,5,6,8,10},false)</f>
        <v>Build Your Own MBA - An award winning mini-MBA course</v>
      </c>
      <c r="D407" s="30" t="s">
        <v>538</v>
      </c>
      <c r="E407" s="30" t="s">
        <v>127</v>
      </c>
      <c r="F407" s="30" t="s">
        <v>47</v>
      </c>
      <c r="G407" s="30" t="s">
        <v>47</v>
      </c>
    </row>
    <row r="408">
      <c r="A408" s="32">
        <v>495678.0</v>
      </c>
      <c r="B408" s="186">
        <v>43189.0</v>
      </c>
      <c r="C408" s="159" t="str">
        <f t="array" ref="C408:G408">VLOOKUP(A408,'Tracker- Removed 2018'!B:Q,{2,5,6,8,10},false)</f>
        <v>JavaScript for beginners - A Complete Guide</v>
      </c>
      <c r="D408" s="30" t="s">
        <v>39</v>
      </c>
      <c r="E408" s="30" t="s">
        <v>140</v>
      </c>
      <c r="F408" s="30" t="s">
        <v>47</v>
      </c>
      <c r="G408" s="30" t="s">
        <v>47</v>
      </c>
    </row>
    <row r="409">
      <c r="A409" s="187">
        <v>1274174.0</v>
      </c>
      <c r="B409" s="186">
        <v>43189.0</v>
      </c>
      <c r="C409" s="159" t="str">
        <f t="array" ref="C409:G409">VLOOKUP(A409,'Tracker- Removed 2018'!B:Q,{2,5,6,8,10},false)</f>
        <v>Sales Objection Jiu-jitsu</v>
      </c>
      <c r="D409" s="30" t="s">
        <v>219</v>
      </c>
      <c r="E409" s="30" t="s">
        <v>3924</v>
      </c>
      <c r="F409" s="30" t="s">
        <v>47</v>
      </c>
      <c r="G409" s="30" t="s">
        <v>47</v>
      </c>
    </row>
    <row r="410">
      <c r="A410" s="189">
        <v>945478.0</v>
      </c>
      <c r="B410" s="186">
        <v>43185.0</v>
      </c>
      <c r="C410" s="159" t="str">
        <f t="array" ref="C410:G410">VLOOKUP(A410,'Tracker- Removed 2018'!B:Q,{2,5,6,8,10},false)</f>
        <v>Udemy for Business Presents: Best of Web Development</v>
      </c>
      <c r="D410" s="190" t="s">
        <v>39</v>
      </c>
      <c r="E410" s="190" t="s">
        <v>140</v>
      </c>
      <c r="F410" s="30" t="s">
        <v>47</v>
      </c>
      <c r="G410" s="30" t="s">
        <v>47</v>
      </c>
    </row>
    <row r="411">
      <c r="A411" s="189">
        <v>945476.0</v>
      </c>
      <c r="B411" s="186">
        <v>43185.0</v>
      </c>
      <c r="C411" s="159" t="str">
        <f t="array" ref="C411:G411">VLOOKUP(A411,'Tracker- Removed 2018'!B:Q,{2,5,6,8,10},false)</f>
        <v>Udemy for Business Presents: Best of IT and Software</v>
      </c>
      <c r="D411" s="191" t="s">
        <v>3908</v>
      </c>
      <c r="E411" s="191" t="s">
        <v>75</v>
      </c>
      <c r="F411" s="30" t="s">
        <v>47</v>
      </c>
      <c r="G411" s="30" t="s">
        <v>47</v>
      </c>
    </row>
    <row r="412">
      <c r="A412" s="189">
        <v>945472.0</v>
      </c>
      <c r="B412" s="186">
        <v>43185.0</v>
      </c>
      <c r="C412" s="159" t="str">
        <f t="array" ref="C412:G412">VLOOKUP(A412,'Tracker- Removed 2018'!B:Q,{2,5,6,8,10},false)</f>
        <v>Udemy for Business Presents: Best of Data Science</v>
      </c>
      <c r="D412" s="30" t="s">
        <v>63</v>
      </c>
      <c r="E412" s="30" t="s">
        <v>64</v>
      </c>
      <c r="F412" s="30" t="s">
        <v>47</v>
      </c>
      <c r="G412" s="30" t="s">
        <v>47</v>
      </c>
    </row>
    <row r="413">
      <c r="A413" s="189">
        <v>909394.0</v>
      </c>
      <c r="B413" s="186">
        <v>43185.0</v>
      </c>
      <c r="C413" s="159" t="str">
        <f t="array" ref="C413:G413">VLOOKUP(A413,'Tracker- Removed 2018'!B:Q,{2,5,6,8,10},false)</f>
        <v>Udemy for Business Presents: Best of Leadership</v>
      </c>
      <c r="D413" s="30" t="s">
        <v>538</v>
      </c>
      <c r="E413" s="30" t="s">
        <v>271</v>
      </c>
      <c r="F413" s="30" t="s">
        <v>47</v>
      </c>
      <c r="G413" s="30" t="s">
        <v>47</v>
      </c>
    </row>
    <row r="414">
      <c r="A414" s="189">
        <v>1506414.0</v>
      </c>
      <c r="B414" s="192">
        <v>43171.0</v>
      </c>
      <c r="C414" s="159" t="str">
        <f t="array" ref="C414:G414">VLOOKUP(A414,'Tracker- Removed 2018'!B:Q,{2,5,6,8,10},false)</f>
        <v>Management Consulting Project Foundations</v>
      </c>
      <c r="D414" s="30" t="s">
        <v>3915</v>
      </c>
      <c r="E414" s="30" t="s">
        <v>998</v>
      </c>
      <c r="F414" s="30" t="s">
        <v>47</v>
      </c>
      <c r="G414" s="30" t="s">
        <v>47</v>
      </c>
    </row>
    <row r="415">
      <c r="A415" s="187">
        <v>749532.0</v>
      </c>
      <c r="B415" s="186">
        <v>43159.0</v>
      </c>
      <c r="C415" s="159" t="str">
        <f t="array" ref="C415:G415">VLOOKUP(A415,'Tracker- Removed 2018'!B:Q,{2,5,6,8,10},false)</f>
        <v>Advanced Data Science: Master Deep Web Experiment Analysis!</v>
      </c>
      <c r="D415" s="30" t="s">
        <v>63</v>
      </c>
      <c r="E415" s="30" t="s">
        <v>64</v>
      </c>
      <c r="F415" s="30" t="s">
        <v>47</v>
      </c>
      <c r="G415" s="30" t="s">
        <v>47</v>
      </c>
    </row>
    <row r="416">
      <c r="A416" s="32">
        <v>144348.0</v>
      </c>
      <c r="B416" s="186">
        <v>43159.0</v>
      </c>
      <c r="C416" s="159" t="str">
        <f t="array" ref="C416:G416">VLOOKUP(A416,'Tracker- Removed 2018'!B:Q,{2,5,6,8,10},false)</f>
        <v>Apache Hadoop - Machine Learning and Hadoop Eco System</v>
      </c>
      <c r="D416" s="30" t="s">
        <v>63</v>
      </c>
      <c r="E416" s="30" t="s">
        <v>115</v>
      </c>
      <c r="F416" s="30" t="s">
        <v>47</v>
      </c>
      <c r="G416" s="30" t="s">
        <v>47</v>
      </c>
    </row>
    <row r="417">
      <c r="A417" s="32">
        <v>136006.0</v>
      </c>
      <c r="B417" s="186">
        <v>43159.0</v>
      </c>
      <c r="C417" s="159" t="str">
        <f t="array" ref="C417:G417">VLOOKUP(A417,'Tracker- Removed 2018'!B:Q,{2,5,6,8,10},false)</f>
        <v>Apache Hadoop for Developers - Advance</v>
      </c>
      <c r="D417" s="30" t="s">
        <v>63</v>
      </c>
      <c r="E417" s="30" t="s">
        <v>115</v>
      </c>
      <c r="F417" s="30" t="s">
        <v>47</v>
      </c>
      <c r="G417" s="30" t="s">
        <v>47</v>
      </c>
    </row>
    <row r="418">
      <c r="A418" s="187">
        <v>532454.0</v>
      </c>
      <c r="B418" s="186">
        <v>43159.0</v>
      </c>
      <c r="C418" s="159" t="str">
        <f t="array" ref="C418:G418">VLOOKUP(A418,'Tracker- Removed 2018'!B:Q,{2,5,6,8,10},false)</f>
        <v>Baseball Data Wrangling with Vagrant, R, and Retrosheet</v>
      </c>
      <c r="D418" s="30" t="s">
        <v>63</v>
      </c>
      <c r="E418" s="30" t="s">
        <v>64</v>
      </c>
      <c r="F418" s="30" t="s">
        <v>47</v>
      </c>
      <c r="G418" s="30" t="s">
        <v>47</v>
      </c>
    </row>
    <row r="419">
      <c r="A419" s="187">
        <v>524138.0</v>
      </c>
      <c r="B419" s="186">
        <v>43159.0</v>
      </c>
      <c r="C419" s="159" t="str">
        <f t="array" ref="C419:G419">VLOOKUP(A419,'Tracker- Removed 2018'!B:Q,{2,5,6,8,10},false)</f>
        <v>Baseball Database Queries with SQL and dplyr</v>
      </c>
      <c r="D419" s="30" t="s">
        <v>63</v>
      </c>
      <c r="E419" s="30" t="s">
        <v>64</v>
      </c>
      <c r="F419" s="30" t="s">
        <v>47</v>
      </c>
      <c r="G419" s="30" t="s">
        <v>47</v>
      </c>
    </row>
    <row r="420">
      <c r="A420" s="187">
        <v>572380.0</v>
      </c>
      <c r="B420" s="186">
        <v>43159.0</v>
      </c>
      <c r="C420" s="159" t="str">
        <f t="array" ref="C420:G420">VLOOKUP(A420,'Tracker- Removed 2018'!B:Q,{2,5,6,8,10},false)</f>
        <v>Batting Location Charts with Vagrant and MySQL</v>
      </c>
      <c r="D420" s="30" t="s">
        <v>63</v>
      </c>
      <c r="E420" s="30" t="s">
        <v>64</v>
      </c>
      <c r="F420" s="30" t="s">
        <v>47</v>
      </c>
      <c r="G420" s="30" t="s">
        <v>47</v>
      </c>
    </row>
    <row r="421">
      <c r="A421" s="187">
        <v>393296.0</v>
      </c>
      <c r="B421" s="186">
        <v>43159.0</v>
      </c>
      <c r="C421" s="159" t="str">
        <f t="array" ref="C421:G421">VLOOKUP(A421,'Tracker- Removed 2018'!B:Q,{2,5,6,8,10},false)</f>
        <v>Business Intelligence With QlikView - 0 To Full Sales App</v>
      </c>
      <c r="D421" s="30" t="s">
        <v>63</v>
      </c>
      <c r="E421" s="30" t="s">
        <v>64</v>
      </c>
      <c r="F421" s="30" t="s">
        <v>47</v>
      </c>
      <c r="G421" s="30" t="s">
        <v>47</v>
      </c>
    </row>
    <row r="422">
      <c r="A422" s="187">
        <v>863086.0</v>
      </c>
      <c r="B422" s="186">
        <v>43159.0</v>
      </c>
      <c r="C422" s="159" t="str">
        <f t="array" ref="C422:G422">VLOOKUP(A422,'Tracker- Removed 2018'!B:Q,{2,5,6,8,10},false)</f>
        <v>Crystal Reports - An Introduction</v>
      </c>
      <c r="D422" s="30" t="s">
        <v>63</v>
      </c>
      <c r="E422" s="30" t="s">
        <v>64</v>
      </c>
      <c r="F422" s="30" t="s">
        <v>47</v>
      </c>
      <c r="G422" s="30" t="s">
        <v>47</v>
      </c>
    </row>
    <row r="423">
      <c r="A423" s="187">
        <v>51022.0</v>
      </c>
      <c r="B423" s="186">
        <v>43159.0</v>
      </c>
      <c r="C423" s="159" t="str">
        <f t="array" ref="C423:G423">VLOOKUP(A423,'Tracker- Removed 2018'!B:Q,{2,5,6,8,10},false)</f>
        <v>Crystal Reports 2008 Introduction</v>
      </c>
      <c r="D423" s="30" t="s">
        <v>63</v>
      </c>
      <c r="E423" s="30" t="s">
        <v>64</v>
      </c>
      <c r="F423" s="30" t="s">
        <v>47</v>
      </c>
      <c r="G423" s="30" t="s">
        <v>47</v>
      </c>
    </row>
    <row r="424">
      <c r="A424" s="187">
        <v>403908.0</v>
      </c>
      <c r="B424" s="186">
        <v>43159.0</v>
      </c>
      <c r="C424" s="159" t="str">
        <f t="array" ref="C424:G424">VLOOKUP(A424,'Tracker- Removed 2018'!B:Q,{2,5,6,8,10},false)</f>
        <v>Data Analysis in Python with Pandas</v>
      </c>
      <c r="D424" s="30" t="s">
        <v>63</v>
      </c>
      <c r="E424" s="30" t="s">
        <v>64</v>
      </c>
      <c r="F424" s="30" t="s">
        <v>47</v>
      </c>
      <c r="G424" s="30" t="s">
        <v>47</v>
      </c>
    </row>
    <row r="425">
      <c r="A425" s="32">
        <v>746320.0</v>
      </c>
      <c r="B425" s="186">
        <v>43159.0</v>
      </c>
      <c r="C425" s="159" t="str">
        <f t="array" ref="C425:G425">VLOOKUP(A425,'Tracker- Removed 2018'!B:Q,{2,5,6,8,10},false)</f>
        <v>Data Science 4 Newbs! Skills + Basic Web Experiment Analysis</v>
      </c>
      <c r="D425" s="30" t="s">
        <v>63</v>
      </c>
      <c r="E425" s="30" t="s">
        <v>64</v>
      </c>
      <c r="F425" s="30" t="s">
        <v>47</v>
      </c>
      <c r="G425" s="30" t="s">
        <v>47</v>
      </c>
    </row>
    <row r="426">
      <c r="A426" s="32">
        <v>874860.0</v>
      </c>
      <c r="B426" s="186">
        <v>43159.0</v>
      </c>
      <c r="C426" s="159" t="str">
        <f t="array" ref="C426:G426">VLOOKUP(A426,'Tracker- Removed 2018'!B:Q,{2,5,6,8,10},false)</f>
        <v>Data Storytelling: Deliver Insights via Compelling Stories</v>
      </c>
      <c r="D426" s="30" t="s">
        <v>63</v>
      </c>
      <c r="E426" s="30" t="s">
        <v>64</v>
      </c>
      <c r="F426" s="30" t="s">
        <v>47</v>
      </c>
      <c r="G426" s="30" t="s">
        <v>47</v>
      </c>
    </row>
    <row r="427">
      <c r="A427" s="187">
        <v>627692.0</v>
      </c>
      <c r="B427" s="186">
        <v>43159.0</v>
      </c>
      <c r="C427" s="159" t="str">
        <f t="array" ref="C427:G427">VLOOKUP(A427,'Tracker- Removed 2018'!B:Q,{2,5,6,8,10},false)</f>
        <v>Discrete Mathematics: Open Doors to Great Careers</v>
      </c>
      <c r="D427" s="30" t="s">
        <v>63</v>
      </c>
      <c r="E427" s="30" t="s">
        <v>64</v>
      </c>
      <c r="F427" s="30" t="s">
        <v>47</v>
      </c>
      <c r="G427" s="30" t="s">
        <v>47</v>
      </c>
    </row>
    <row r="428">
      <c r="A428" s="187">
        <v>499676.0</v>
      </c>
      <c r="B428" s="186">
        <v>43159.0</v>
      </c>
      <c r="C428" s="159" t="str">
        <f t="array" ref="C428:G428">VLOOKUP(A428,'Tracker- Removed 2018'!B:Q,{2,5,6,8,10},false)</f>
        <v>Foundation of Statistics with Minitab</v>
      </c>
      <c r="D428" s="30" t="s">
        <v>63</v>
      </c>
      <c r="E428" s="30" t="s">
        <v>64</v>
      </c>
      <c r="F428" s="30" t="s">
        <v>47</v>
      </c>
      <c r="G428" s="30" t="s">
        <v>47</v>
      </c>
    </row>
    <row r="429">
      <c r="A429" s="187">
        <v>838832.0</v>
      </c>
      <c r="B429" s="186">
        <v>43159.0</v>
      </c>
      <c r="C429" s="159" t="str">
        <f t="array" ref="C429:G429">VLOOKUP(A429,'Tracker- Removed 2018'!B:Q,{2,5,6,8,10},false)</f>
        <v>GIS for Beginners #1: QGIS Orientation</v>
      </c>
      <c r="D429" s="30" t="s">
        <v>63</v>
      </c>
      <c r="E429" s="30" t="s">
        <v>115</v>
      </c>
      <c r="F429" s="30" t="s">
        <v>47</v>
      </c>
      <c r="G429" s="30" t="s">
        <v>47</v>
      </c>
    </row>
    <row r="430">
      <c r="A430" s="187">
        <v>289534.0</v>
      </c>
      <c r="B430" s="186">
        <v>43159.0</v>
      </c>
      <c r="C430" s="159" t="str">
        <f t="array" ref="C430:G430">VLOOKUP(A430,'Tracker- Removed 2018'!B:Q,{2,5,6,8,10},false)</f>
        <v>Graphs in R - Data Visualization with R Programming Language</v>
      </c>
      <c r="D430" s="30" t="s">
        <v>63</v>
      </c>
      <c r="E430" s="30" t="s">
        <v>64</v>
      </c>
      <c r="F430" s="30" t="s">
        <v>47</v>
      </c>
      <c r="G430" s="30" t="s">
        <v>47</v>
      </c>
    </row>
    <row r="431">
      <c r="A431" s="32">
        <v>336910.0</v>
      </c>
      <c r="B431" s="186">
        <v>43159.0</v>
      </c>
      <c r="C431" s="159" t="str">
        <f t="array" ref="C431:G431">VLOOKUP(A431,'Tracker- Removed 2018'!B:Q,{2,5,6,8,10},false)</f>
        <v>Introduction to GIS</v>
      </c>
      <c r="D431" s="30" t="s">
        <v>63</v>
      </c>
      <c r="E431" s="30" t="s">
        <v>115</v>
      </c>
      <c r="F431" s="30" t="s">
        <v>47</v>
      </c>
      <c r="G431" s="30" t="s">
        <v>47</v>
      </c>
    </row>
    <row r="432">
      <c r="A432" s="187">
        <v>531636.0</v>
      </c>
      <c r="B432" s="186">
        <v>43159.0</v>
      </c>
      <c r="C432" s="159" t="str">
        <f t="array" ref="C432:G432">VLOOKUP(A432,'Tracker- Removed 2018'!B:Q,{2,5,6,8,10},false)</f>
        <v>Introduction to SPSS</v>
      </c>
      <c r="D432" s="30" t="s">
        <v>63</v>
      </c>
      <c r="E432" s="30" t="s">
        <v>64</v>
      </c>
      <c r="F432" s="30" t="s">
        <v>47</v>
      </c>
      <c r="G432" s="30" t="s">
        <v>47</v>
      </c>
    </row>
    <row r="433">
      <c r="A433" s="187">
        <v>198554.0</v>
      </c>
      <c r="B433" s="186">
        <v>43159.0</v>
      </c>
      <c r="C433" s="159" t="str">
        <f t="array" ref="C433:G433">VLOOKUP(A433,'Tracker- Removed 2018'!B:Q,{2,5,6,8,10},false)</f>
        <v>Introduction to T-SQL for Data Analysts</v>
      </c>
      <c r="D433" s="30" t="s">
        <v>63</v>
      </c>
      <c r="E433" s="30" t="s">
        <v>64</v>
      </c>
      <c r="F433" s="30" t="s">
        <v>47</v>
      </c>
      <c r="G433" s="30" t="s">
        <v>47</v>
      </c>
    </row>
    <row r="434">
      <c r="A434" s="187">
        <v>70144.0</v>
      </c>
      <c r="B434" s="186">
        <v>43159.0</v>
      </c>
      <c r="C434" s="159" t="str">
        <f t="array" ref="C434:G434">VLOOKUP(A434,'Tracker- Removed 2018'!B:Q,{2,5,6,8,10},false)</f>
        <v>Knight's Microsoft Business Intelligence 24-Hour Trainer</v>
      </c>
      <c r="D434" s="30" t="s">
        <v>63</v>
      </c>
      <c r="E434" s="30" t="s">
        <v>64</v>
      </c>
      <c r="F434" s="30" t="s">
        <v>47</v>
      </c>
      <c r="G434" s="30" t="s">
        <v>47</v>
      </c>
    </row>
    <row r="435">
      <c r="A435" s="187">
        <v>979026.0</v>
      </c>
      <c r="B435" s="186">
        <v>43159.0</v>
      </c>
      <c r="C435" s="159" t="str">
        <f t="array" ref="C435:G435">VLOOKUP(A435,'Tracker- Removed 2018'!B:Q,{2,5,6,8,10},false)</f>
        <v>Learn geographic information systems (GIS) with QGIS</v>
      </c>
      <c r="D435" s="30" t="s">
        <v>63</v>
      </c>
      <c r="E435" s="30" t="s">
        <v>115</v>
      </c>
      <c r="F435" s="30" t="s">
        <v>47</v>
      </c>
      <c r="G435" s="30" t="s">
        <v>47</v>
      </c>
    </row>
    <row r="436">
      <c r="A436" s="187">
        <v>888090.0</v>
      </c>
      <c r="B436" s="186">
        <v>43159.0</v>
      </c>
      <c r="C436" s="159" t="str">
        <f t="array" ref="C436:G436">VLOOKUP(A436,'Tracker- Removed 2018'!B:Q,{2,5,6,8,10},false)</f>
        <v>Learn R By Intensive Practice</v>
      </c>
      <c r="D436" s="30" t="s">
        <v>63</v>
      </c>
      <c r="E436" s="30" t="s">
        <v>64</v>
      </c>
      <c r="F436" s="30" t="s">
        <v>47</v>
      </c>
      <c r="G436" s="30" t="s">
        <v>47</v>
      </c>
    </row>
    <row r="437">
      <c r="A437" s="187">
        <v>396876.0</v>
      </c>
      <c r="B437" s="186">
        <v>43159.0</v>
      </c>
      <c r="C437" s="159" t="str">
        <f t="array" ref="C437:G437">VLOOKUP(A437,'Tracker- Removed 2018'!B:Q,{2,5,6,8,10},false)</f>
        <v>Learning Python for Data Analysis and Visualization</v>
      </c>
      <c r="D437" s="30" t="s">
        <v>63</v>
      </c>
      <c r="E437" s="30" t="s">
        <v>64</v>
      </c>
      <c r="F437" s="30" t="s">
        <v>47</v>
      </c>
      <c r="G437" s="30" t="s">
        <v>47</v>
      </c>
    </row>
    <row r="438">
      <c r="A438" s="187">
        <v>499680.0</v>
      </c>
      <c r="B438" s="186">
        <v>43159.0</v>
      </c>
      <c r="C438" s="159" t="str">
        <f t="array" ref="C438:G438">VLOOKUP(A438,'Tracker- Removed 2018'!B:Q,{2,5,6,8,10},false)</f>
        <v>Mastering Statistical Quality Control with Minitab</v>
      </c>
      <c r="D438" s="30" t="s">
        <v>63</v>
      </c>
      <c r="E438" s="30" t="s">
        <v>64</v>
      </c>
      <c r="F438" s="30" t="s">
        <v>47</v>
      </c>
      <c r="G438" s="30" t="s">
        <v>47</v>
      </c>
    </row>
    <row r="439">
      <c r="A439" s="187">
        <v>792546.0</v>
      </c>
      <c r="B439" s="186">
        <v>43159.0</v>
      </c>
      <c r="C439" s="159" t="str">
        <f t="array" ref="C439:G439">VLOOKUP(A439,'Tracker- Removed 2018'!B:Q,{2,5,6,8,10},false)</f>
        <v>Microsoft Power BI Intermediate</v>
      </c>
      <c r="D439" s="30" t="s">
        <v>63</v>
      </c>
      <c r="E439" s="30" t="s">
        <v>115</v>
      </c>
      <c r="F439" s="30" t="s">
        <v>47</v>
      </c>
      <c r="G439" s="30" t="s">
        <v>47</v>
      </c>
    </row>
    <row r="440">
      <c r="A440" s="32">
        <v>144404.0</v>
      </c>
      <c r="B440" s="186">
        <v>43159.0</v>
      </c>
      <c r="C440" s="159" t="str">
        <f t="array" ref="C440:G440">VLOOKUP(A440,'Tracker- Removed 2018'!B:Q,{2,5,6,8,10},false)</f>
        <v>Oracle Business Intelligence Enterprise Edition (OBIEE) 11g</v>
      </c>
      <c r="D440" s="30" t="s">
        <v>63</v>
      </c>
      <c r="E440" s="30" t="s">
        <v>64</v>
      </c>
      <c r="F440" s="30" t="s">
        <v>47</v>
      </c>
      <c r="G440" s="30" t="s">
        <v>47</v>
      </c>
    </row>
    <row r="441">
      <c r="A441" s="32">
        <v>153940.0</v>
      </c>
      <c r="B441" s="186">
        <v>43159.0</v>
      </c>
      <c r="C441" s="159" t="str">
        <f t="array" ref="C441:G441">VLOOKUP(A441,'Tracker- Removed 2018'!B:Q,{2,5,6,8,10},false)</f>
        <v>Oracle SQL 11g - Advance</v>
      </c>
      <c r="D441" s="30" t="s">
        <v>63</v>
      </c>
      <c r="E441" s="30" t="s">
        <v>64</v>
      </c>
      <c r="F441" s="30" t="s">
        <v>47</v>
      </c>
      <c r="G441" s="30" t="s">
        <v>47</v>
      </c>
    </row>
    <row r="442">
      <c r="A442" s="187">
        <v>546700.0</v>
      </c>
      <c r="B442" s="186">
        <v>43159.0</v>
      </c>
      <c r="C442" s="159" t="str">
        <f t="array" ref="C442:G442">VLOOKUP(A442,'Tracker- Removed 2018'!B:Q,{2,5,6,8,10},false)</f>
        <v>Pitch Location Charts with PITCHf/x and ggplot</v>
      </c>
      <c r="D442" s="30" t="s">
        <v>63</v>
      </c>
      <c r="E442" s="30" t="s">
        <v>64</v>
      </c>
      <c r="F442" s="30" t="s">
        <v>47</v>
      </c>
      <c r="G442" s="30" t="s">
        <v>47</v>
      </c>
    </row>
    <row r="443">
      <c r="A443" s="187">
        <v>598848.0</v>
      </c>
      <c r="B443" s="186">
        <v>43159.0</v>
      </c>
      <c r="C443" s="159" t="str">
        <f t="array" ref="C443:G443">VLOOKUP(A443,'Tracker- Removed 2018'!B:Q,{2,5,6,8,10},false)</f>
        <v>Practical Data Science: Reducing High Dimensional Data in R</v>
      </c>
      <c r="D443" s="30" t="s">
        <v>63</v>
      </c>
      <c r="E443" s="30" t="s">
        <v>64</v>
      </c>
      <c r="F443" s="30" t="s">
        <v>47</v>
      </c>
      <c r="G443" s="30" t="s">
        <v>47</v>
      </c>
    </row>
    <row r="444">
      <c r="A444" s="187">
        <v>63594.0</v>
      </c>
      <c r="B444" s="186">
        <v>43159.0</v>
      </c>
      <c r="C444" s="159" t="str">
        <f t="array" ref="C444:G444">VLOOKUP(A444,'Tracker- Removed 2018'!B:Q,{2,5,6,8,10},false)</f>
        <v>Predict Consumer Decisions with Choice-Based Conjoint</v>
      </c>
      <c r="D444" s="30" t="s">
        <v>63</v>
      </c>
      <c r="E444" s="30" t="s">
        <v>64</v>
      </c>
      <c r="F444" s="30" t="s">
        <v>47</v>
      </c>
      <c r="G444" s="30" t="s">
        <v>47</v>
      </c>
    </row>
    <row r="445">
      <c r="A445" s="187">
        <v>1211566.0</v>
      </c>
      <c r="B445" s="186">
        <v>43159.0</v>
      </c>
      <c r="C445" s="159" t="str">
        <f t="array" ref="C445:G445">VLOOKUP(A445,'Tracker- Removed 2018'!B:Q,{2,5,6,8,10},false)</f>
        <v>R Programming For Absolute Beginners</v>
      </c>
      <c r="D445" s="30" t="s">
        <v>63</v>
      </c>
      <c r="E445" s="30" t="s">
        <v>64</v>
      </c>
      <c r="F445" s="30" t="s">
        <v>47</v>
      </c>
      <c r="G445" s="30" t="s">
        <v>47</v>
      </c>
    </row>
    <row r="446">
      <c r="A446" s="187">
        <v>687186.0</v>
      </c>
      <c r="B446" s="186">
        <v>43159.0</v>
      </c>
      <c r="C446" s="159" t="str">
        <f t="array" ref="C446:G446">VLOOKUP(A446,'Tracker- Removed 2018'!B:Q,{2,5,6,8,10},false)</f>
        <v>Spatial SQL with Postgres : A language for geographers</v>
      </c>
      <c r="D446" s="30" t="s">
        <v>63</v>
      </c>
      <c r="E446" s="30" t="s">
        <v>115</v>
      </c>
      <c r="F446" s="30" t="s">
        <v>47</v>
      </c>
      <c r="G446" s="30" t="s">
        <v>47</v>
      </c>
    </row>
    <row r="447">
      <c r="A447" s="187">
        <v>659118.0</v>
      </c>
      <c r="B447" s="186">
        <v>43159.0</v>
      </c>
      <c r="C447" s="159" t="str">
        <f t="array" ref="C447:G447">VLOOKUP(A447,'Tracker- Removed 2018'!B:Q,{2,5,6,8,10},false)</f>
        <v>Supercharge R with SparkR - Apply your R chops to Big Data!</v>
      </c>
      <c r="D447" s="30" t="s">
        <v>63</v>
      </c>
      <c r="E447" s="30" t="s">
        <v>115</v>
      </c>
      <c r="F447" s="30" t="s">
        <v>47</v>
      </c>
      <c r="G447" s="30" t="s">
        <v>47</v>
      </c>
    </row>
    <row r="448">
      <c r="A448" s="187">
        <v>307510.0</v>
      </c>
      <c r="B448" s="186">
        <v>43159.0</v>
      </c>
      <c r="C448" s="159" t="str">
        <f t="array" ref="C448:G448">VLOOKUP(A448,'Tracker- Removed 2018'!B:Q,{2,5,6,8,10},false)</f>
        <v>The Theory of Numbers - Andrew Wiles</v>
      </c>
      <c r="D448" s="30" t="s">
        <v>63</v>
      </c>
      <c r="E448" s="30" t="s">
        <v>64</v>
      </c>
      <c r="F448" s="30" t="s">
        <v>47</v>
      </c>
      <c r="G448" s="30" t="s">
        <v>47</v>
      </c>
    </row>
    <row r="449">
      <c r="A449" s="32">
        <v>137012.0</v>
      </c>
      <c r="B449" s="186">
        <v>43159.0</v>
      </c>
      <c r="C449" s="159" t="str">
        <f t="array" ref="C449:G449">VLOOKUP(A449,'Tracker- Removed 2018'!B:Q,{2,5,6,8,10},false)</f>
        <v>Basics of Software Testing</v>
      </c>
      <c r="D449" s="30" t="s">
        <v>39</v>
      </c>
      <c r="E449" s="30" t="s">
        <v>50</v>
      </c>
      <c r="F449" s="30" t="s">
        <v>47</v>
      </c>
      <c r="G449" s="30" t="s">
        <v>47</v>
      </c>
    </row>
    <row r="450">
      <c r="A450" s="32">
        <v>1047346.0</v>
      </c>
      <c r="B450" s="186">
        <v>43159.0</v>
      </c>
      <c r="C450" s="159" t="str">
        <f t="array" ref="C450:G450">VLOOKUP(A450,'Tracker- Removed 2018'!B:Q,{2,5,6,8,10},false)</f>
        <v>Build 30 Mini 3D Virtual Reality Games: Unity® From Scratch</v>
      </c>
      <c r="D450" s="30" t="s">
        <v>39</v>
      </c>
      <c r="E450" s="30" t="s">
        <v>214</v>
      </c>
      <c r="F450" s="30" t="s">
        <v>47</v>
      </c>
      <c r="G450" s="30" t="s">
        <v>47</v>
      </c>
    </row>
    <row r="451">
      <c r="A451" s="32">
        <v>991290.0</v>
      </c>
      <c r="B451" s="186">
        <v>43159.0</v>
      </c>
      <c r="C451" s="159" t="str">
        <f t="array" ref="C451:G451">VLOOKUP(A451,'Tracker- Removed 2018'!B:Q,{2,5,6,8,10},false)</f>
        <v>Dynamic JavaScript Master Class AJAX JSON Simple APIs</v>
      </c>
      <c r="D451" s="30" t="s">
        <v>39</v>
      </c>
      <c r="E451" s="30" t="s">
        <v>140</v>
      </c>
      <c r="F451" s="30" t="s">
        <v>47</v>
      </c>
      <c r="G451" s="30" t="s">
        <v>47</v>
      </c>
    </row>
    <row r="452">
      <c r="A452" s="187">
        <v>680180.0</v>
      </c>
      <c r="B452" s="186">
        <v>43159.0</v>
      </c>
      <c r="C452" s="159" t="str">
        <f t="array" ref="C452:G452">VLOOKUP(A452,'Tracker- Removed 2018'!B:Q,{2,5,6,8,10},false)</f>
        <v>Learn to Build Web Apps using D3JS</v>
      </c>
      <c r="D452" s="30" t="s">
        <v>39</v>
      </c>
      <c r="E452" s="30" t="s">
        <v>140</v>
      </c>
      <c r="F452" s="30" t="s">
        <v>47</v>
      </c>
      <c r="G452" s="30" t="s">
        <v>47</v>
      </c>
    </row>
    <row r="453">
      <c r="A453" s="32">
        <v>172608.0</v>
      </c>
      <c r="B453" s="186">
        <v>43159.0</v>
      </c>
      <c r="C453" s="159" t="str">
        <f t="array" ref="C453:G453">VLOOKUP(A453,'Tracker- Removed 2018'!B:Q,{2,5,6,8,10},false)</f>
        <v>Learn XML Programming</v>
      </c>
      <c r="D453" s="30" t="s">
        <v>39</v>
      </c>
      <c r="E453" s="30" t="s">
        <v>3911</v>
      </c>
      <c r="F453" s="30" t="s">
        <v>47</v>
      </c>
      <c r="G453" s="30" t="s">
        <v>47</v>
      </c>
    </row>
    <row r="454">
      <c r="A454" s="32">
        <v>157602.0</v>
      </c>
      <c r="B454" s="186">
        <v>43159.0</v>
      </c>
      <c r="C454" s="159" t="str">
        <f t="array" ref="C454:G454">VLOOKUP(A454,'Tracker- Removed 2018'!B:Q,{2,5,6,8,10},false)</f>
        <v>Microsoft Visual C#.Net - Fundamentals</v>
      </c>
      <c r="D454" s="30" t="s">
        <v>39</v>
      </c>
      <c r="E454" s="30" t="s">
        <v>3911</v>
      </c>
      <c r="F454" s="30" t="s">
        <v>47</v>
      </c>
      <c r="G454" s="30" t="s">
        <v>47</v>
      </c>
    </row>
    <row r="455">
      <c r="A455" s="32">
        <v>129164.0</v>
      </c>
      <c r="B455" s="186">
        <v>43159.0</v>
      </c>
      <c r="C455" s="159" t="str">
        <f t="array" ref="C455:G455">VLOOKUP(A455,'Tracker- Removed 2018'!B:Q,{2,5,6,8,10},false)</f>
        <v>MySQL Database Training for Beginners</v>
      </c>
      <c r="D455" s="30" t="s">
        <v>39</v>
      </c>
      <c r="E455" s="30" t="s">
        <v>3910</v>
      </c>
      <c r="F455" s="30" t="s">
        <v>47</v>
      </c>
      <c r="G455" s="30" t="s">
        <v>47</v>
      </c>
    </row>
    <row r="456">
      <c r="A456" s="32">
        <v>1011776.0</v>
      </c>
      <c r="B456" s="186">
        <v>43159.0</v>
      </c>
      <c r="C456" s="159" t="str">
        <f t="array" ref="C456:G456">VLOOKUP(A456,'Tracker- Removed 2018'!B:Q,{2,5,6,8,10},false)</f>
        <v>Oracle SQL - From Beginner to Pro</v>
      </c>
      <c r="D456" s="30" t="s">
        <v>39</v>
      </c>
      <c r="E456" s="30" t="s">
        <v>3910</v>
      </c>
      <c r="F456" s="30" t="s">
        <v>47</v>
      </c>
      <c r="G456" s="30" t="s">
        <v>47</v>
      </c>
    </row>
    <row r="457">
      <c r="A457" s="32">
        <v>418236.0</v>
      </c>
      <c r="B457" s="186">
        <v>43159.0</v>
      </c>
      <c r="C457" s="159" t="str">
        <f t="array" ref="C457:G457">VLOOKUP(A457,'Tracker- Removed 2018'!B:Q,{2,5,6,8,10},false)</f>
        <v>Oracle XML Publisher for Developers - Essentials</v>
      </c>
      <c r="D457" s="30" t="s">
        <v>39</v>
      </c>
      <c r="E457" s="30" t="s">
        <v>3911</v>
      </c>
      <c r="F457" s="30" t="s">
        <v>47</v>
      </c>
      <c r="G457" s="30" t="s">
        <v>47</v>
      </c>
    </row>
    <row r="458">
      <c r="A458" s="32">
        <v>911766.0</v>
      </c>
      <c r="B458" s="186">
        <v>43159.0</v>
      </c>
      <c r="C458" s="159" t="str">
        <f t="array" ref="C458:G458">VLOOKUP(A458,'Tracker- Removed 2018'!B:Q,{2,5,6,8,10},false)</f>
        <v>React Native With An Express/MongoDB Backend</v>
      </c>
      <c r="D458" s="30" t="s">
        <v>39</v>
      </c>
      <c r="E458" s="30" t="s">
        <v>214</v>
      </c>
      <c r="F458" s="30" t="s">
        <v>47</v>
      </c>
      <c r="G458" s="30" t="s">
        <v>47</v>
      </c>
    </row>
    <row r="459">
      <c r="A459" s="32">
        <v>1227762.0</v>
      </c>
      <c r="B459" s="186">
        <v>43159.0</v>
      </c>
      <c r="C459" s="159" t="str">
        <f t="array" ref="C459:G459">VLOOKUP(A459,'Tracker- Removed 2018'!B:Q,{2,5,6,8,10},false)</f>
        <v>The Complete Kotlin Developer Course: Become A Pro!</v>
      </c>
      <c r="D459" s="30" t="s">
        <v>39</v>
      </c>
      <c r="E459" s="30" t="s">
        <v>214</v>
      </c>
      <c r="F459" s="30" t="s">
        <v>47</v>
      </c>
      <c r="G459" s="30" t="s">
        <v>47</v>
      </c>
    </row>
    <row r="460">
      <c r="A460" s="32">
        <v>76052.0</v>
      </c>
      <c r="B460" s="186">
        <v>43159.0</v>
      </c>
      <c r="C460" s="159" t="str">
        <f t="array" ref="C460:G460">VLOOKUP(A460,'Tracker- Removed 2018'!B:Q,{2,5,6,8,10},false)</f>
        <v>Try Django 1.9 | Build a Blog and Learn Python's #1 Library</v>
      </c>
      <c r="D460" s="30" t="s">
        <v>39</v>
      </c>
      <c r="E460" s="30" t="s">
        <v>140</v>
      </c>
      <c r="F460" s="30" t="s">
        <v>47</v>
      </c>
      <c r="G460" s="30" t="s">
        <v>47</v>
      </c>
    </row>
    <row r="461">
      <c r="A461" s="32">
        <v>151216.0</v>
      </c>
      <c r="B461" s="186">
        <v>43159.0</v>
      </c>
      <c r="C461" s="159" t="str">
        <f t="array" ref="C461:G461">VLOOKUP(A461,'Tracker- Removed 2018'!B:Q,{2,5,6,8,10},false)</f>
        <v>Oracle Applications R12 Inventory - Advance</v>
      </c>
      <c r="D461" s="30" t="s">
        <v>3919</v>
      </c>
      <c r="E461" s="30" t="s">
        <v>263</v>
      </c>
      <c r="F461" s="30" t="s">
        <v>47</v>
      </c>
      <c r="G461" s="30" t="s">
        <v>47</v>
      </c>
    </row>
    <row r="462">
      <c r="A462" s="32">
        <v>150002.0</v>
      </c>
      <c r="B462" s="186">
        <v>43159.0</v>
      </c>
      <c r="C462" s="159" t="str">
        <f t="array" ref="C462:G462">VLOOKUP(A462,'Tracker- Removed 2018'!B:Q,{2,5,6,8,10},false)</f>
        <v>Oracle Applications R12 Inventory - Fundamentals</v>
      </c>
      <c r="D462" s="30" t="s">
        <v>3919</v>
      </c>
      <c r="E462" s="30" t="s">
        <v>263</v>
      </c>
      <c r="F462" s="30" t="s">
        <v>47</v>
      </c>
      <c r="G462" s="30" t="s">
        <v>47</v>
      </c>
    </row>
    <row r="463">
      <c r="A463" s="32">
        <v>153318.0</v>
      </c>
      <c r="B463" s="186">
        <v>43159.0</v>
      </c>
      <c r="C463" s="159" t="str">
        <f t="array" ref="C463:G463">VLOOKUP(A463,'Tracker- Removed 2018'!B:Q,{2,5,6,8,10},false)</f>
        <v>Oracle Applications R12 Order Management and Pricing</v>
      </c>
      <c r="D463" s="30" t="s">
        <v>3919</v>
      </c>
      <c r="E463" s="30" t="s">
        <v>263</v>
      </c>
      <c r="F463" s="30" t="s">
        <v>47</v>
      </c>
      <c r="G463" s="30" t="s">
        <v>47</v>
      </c>
    </row>
    <row r="464">
      <c r="A464" s="32">
        <v>310944.0</v>
      </c>
      <c r="B464" s="186">
        <v>43159.0</v>
      </c>
      <c r="C464" s="159" t="str">
        <f t="array" ref="C464:G464">VLOOKUP(A464,'Tracker- Removed 2018'!B:Q,{2,5,6,8,10},false)</f>
        <v>Entrepreneur's Survival Guide to Trademarks, Patents, &amp; More</v>
      </c>
      <c r="D464" s="30" t="s">
        <v>2958</v>
      </c>
      <c r="E464" s="30" t="s">
        <v>467</v>
      </c>
      <c r="F464" s="30" t="s">
        <v>47</v>
      </c>
      <c r="G464" s="30" t="s">
        <v>47</v>
      </c>
    </row>
    <row r="465">
      <c r="A465" s="32">
        <v>1002466.0</v>
      </c>
      <c r="B465" s="186">
        <v>43159.0</v>
      </c>
      <c r="C465" s="159" t="str">
        <f t="array" ref="C465:G465">VLOOKUP(A465,'Tracker- Removed 2018'!B:Q,{2,5,6,8,10},false)</f>
        <v>Cisco CCENT / ICND1 (100-105): Practice Tests</v>
      </c>
      <c r="D465" s="30" t="s">
        <v>3908</v>
      </c>
      <c r="E465" s="30" t="s">
        <v>75</v>
      </c>
      <c r="F465" s="30" t="s">
        <v>47</v>
      </c>
      <c r="G465" s="30" t="s">
        <v>47</v>
      </c>
    </row>
    <row r="466">
      <c r="A466" s="32">
        <v>1006080.0</v>
      </c>
      <c r="B466" s="186">
        <v>43159.0</v>
      </c>
      <c r="C466" s="159" t="str">
        <f t="array" ref="C466:G466">VLOOKUP(A466,'Tracker- Removed 2018'!B:Q,{2,5,6,8,10},false)</f>
        <v>Cisco CCNA R/S (200-125): Practice Tests</v>
      </c>
      <c r="D466" s="30" t="s">
        <v>3908</v>
      </c>
      <c r="E466" s="30" t="s">
        <v>75</v>
      </c>
      <c r="F466" s="30" t="s">
        <v>47</v>
      </c>
      <c r="G466" s="30" t="s">
        <v>47</v>
      </c>
    </row>
    <row r="467">
      <c r="A467" s="32">
        <v>1005918.0</v>
      </c>
      <c r="B467" s="186">
        <v>43159.0</v>
      </c>
      <c r="C467" s="159" t="str">
        <f t="array" ref="C467:G467">VLOOKUP(A467,'Tracker- Removed 2018'!B:Q,{2,5,6,8,10},false)</f>
        <v>Cisco CCNP Route (300-101): Practice Tests</v>
      </c>
      <c r="D467" s="30" t="s">
        <v>3908</v>
      </c>
      <c r="E467" s="30" t="s">
        <v>75</v>
      </c>
      <c r="F467" s="30" t="s">
        <v>47</v>
      </c>
      <c r="G467" s="30" t="s">
        <v>47</v>
      </c>
    </row>
    <row r="468">
      <c r="A468" s="32">
        <v>1144428.0</v>
      </c>
      <c r="B468" s="186">
        <v>43159.0</v>
      </c>
      <c r="C468" s="159" t="str">
        <f t="array" ref="C468:G468">VLOOKUP(A468,'Tracker- Removed 2018'!B:Q,{2,5,6,8,10},false)</f>
        <v>Cisco CCNP Switch (300-115): Practice Tests</v>
      </c>
      <c r="D468" s="30" t="s">
        <v>3908</v>
      </c>
      <c r="E468" s="30" t="s">
        <v>75</v>
      </c>
      <c r="F468" s="30" t="s">
        <v>47</v>
      </c>
      <c r="G468" s="30" t="s">
        <v>47</v>
      </c>
    </row>
    <row r="469">
      <c r="A469" s="32">
        <v>1144630.0</v>
      </c>
      <c r="B469" s="186">
        <v>43159.0</v>
      </c>
      <c r="C469" s="159" t="str">
        <f t="array" ref="C469:G469">VLOOKUP(A469,'Tracker- Removed 2018'!B:Q,{2,5,6,8,10},false)</f>
        <v>Cisco CCNP T-Shoot (300-135): Practice Tests</v>
      </c>
      <c r="D469" s="30" t="s">
        <v>3908</v>
      </c>
      <c r="E469" s="30" t="s">
        <v>75</v>
      </c>
      <c r="F469" s="30" t="s">
        <v>47</v>
      </c>
      <c r="G469" s="30" t="s">
        <v>47</v>
      </c>
    </row>
    <row r="470">
      <c r="A470" s="32">
        <v>794544.0</v>
      </c>
      <c r="B470" s="186">
        <v>43159.0</v>
      </c>
      <c r="C470" s="159" t="str">
        <f t="array" ref="C470:G470">VLOOKUP(A470,'Tracker- Removed 2018'!B:Q,{2,5,6,8,10},false)</f>
        <v>Complete Penetration Testing and Ethical hacking Bootcamp</v>
      </c>
      <c r="D470" s="30" t="s">
        <v>3908</v>
      </c>
      <c r="E470" s="30" t="s">
        <v>3917</v>
      </c>
      <c r="F470" s="30" t="s">
        <v>47</v>
      </c>
      <c r="G470" s="30" t="s">
        <v>47</v>
      </c>
    </row>
    <row r="471">
      <c r="A471" s="32">
        <v>645950.0</v>
      </c>
      <c r="B471" s="186">
        <v>43159.0</v>
      </c>
      <c r="C471" s="159" t="str">
        <f t="array" ref="C471:G471">VLOOKUP(A471,'Tracker- Removed 2018'!B:Q,{2,5,6,8,10},false)</f>
        <v>Hands on Internet of Things: Get started with a Raspberry Pi</v>
      </c>
      <c r="D471" s="30" t="s">
        <v>3908</v>
      </c>
      <c r="E471" s="30" t="s">
        <v>46</v>
      </c>
      <c r="F471" s="30" t="s">
        <v>47</v>
      </c>
      <c r="G471" s="30" t="s">
        <v>47</v>
      </c>
    </row>
    <row r="472">
      <c r="A472" s="187">
        <v>578350.0</v>
      </c>
      <c r="B472" s="186">
        <v>43159.0</v>
      </c>
      <c r="C472" s="159" t="str">
        <f t="array" ref="C472:G472">VLOOKUP(A472,'Tracker- Removed 2018'!B:Q,{2,5,6,8,10},false)</f>
        <v>Microsoft SQL Server Reporting Services (SSRS)</v>
      </c>
      <c r="D472" s="30" t="s">
        <v>3908</v>
      </c>
      <c r="E472" s="30" t="s">
        <v>3909</v>
      </c>
      <c r="F472" s="30" t="s">
        <v>47</v>
      </c>
      <c r="G472" s="30" t="s">
        <v>47</v>
      </c>
    </row>
    <row r="473">
      <c r="A473" s="32">
        <v>273830.0</v>
      </c>
      <c r="B473" s="186">
        <v>43159.0</v>
      </c>
      <c r="C473" s="159" t="str">
        <f t="array" ref="C473:G473">VLOOKUP(A473,'Tracker- Removed 2018'!B:Q,{2,5,6,8,10},false)</f>
        <v>Microsoft Windows: 99 programs and tips you may not know of</v>
      </c>
      <c r="D473" s="30" t="s">
        <v>3908</v>
      </c>
      <c r="E473" s="30" t="s">
        <v>3909</v>
      </c>
      <c r="F473" s="30" t="s">
        <v>47</v>
      </c>
      <c r="G473" s="30" t="s">
        <v>47</v>
      </c>
    </row>
    <row r="474">
      <c r="A474" s="32">
        <v>143176.0</v>
      </c>
      <c r="B474" s="186">
        <v>43159.0</v>
      </c>
      <c r="C474" s="159" t="str">
        <f t="array" ref="C474:G474">VLOOKUP(A474,'Tracker- Removed 2018'!B:Q,{2,5,6,8,10},false)</f>
        <v>Oracle E-Business Suite R12 Applications DBA</v>
      </c>
      <c r="D474" s="30" t="s">
        <v>3908</v>
      </c>
      <c r="E474" s="30" t="s">
        <v>3910</v>
      </c>
      <c r="F474" s="30" t="s">
        <v>47</v>
      </c>
      <c r="G474" s="30" t="s">
        <v>47</v>
      </c>
    </row>
    <row r="475">
      <c r="A475" s="32">
        <v>150034.0</v>
      </c>
      <c r="B475" s="186">
        <v>43159.0</v>
      </c>
      <c r="C475" s="159" t="str">
        <f t="array" ref="C475:G475">VLOOKUP(A475,'Tracker- Removed 2018'!B:Q,{2,5,6,8,10},false)</f>
        <v>Oracle E-Business Suite R12 Fundamentals for Implementers</v>
      </c>
      <c r="D475" s="30" t="s">
        <v>3908</v>
      </c>
      <c r="E475" s="30" t="s">
        <v>3910</v>
      </c>
      <c r="F475" s="30" t="s">
        <v>47</v>
      </c>
      <c r="G475" s="30" t="s">
        <v>47</v>
      </c>
    </row>
    <row r="476">
      <c r="A476" s="32">
        <v>288744.0</v>
      </c>
      <c r="B476" s="186">
        <v>43159.0</v>
      </c>
      <c r="C476" s="159" t="str">
        <f t="array" ref="C476:G476">VLOOKUP(A476,'Tracker- Removed 2018'!B:Q,{2,5,6,8,10},false)</f>
        <v>Oracle EBS R12 - AOL &amp; System Administrator for Developers</v>
      </c>
      <c r="D476" s="30" t="s">
        <v>3908</v>
      </c>
      <c r="E476" s="30" t="s">
        <v>3910</v>
      </c>
      <c r="F476" s="30" t="s">
        <v>47</v>
      </c>
      <c r="G476" s="30" t="s">
        <v>47</v>
      </c>
    </row>
    <row r="477">
      <c r="A477" s="32">
        <v>561920.0</v>
      </c>
      <c r="B477" s="186">
        <v>43159.0</v>
      </c>
      <c r="C477" s="159" t="str">
        <f t="array" ref="C477:G477">VLOOKUP(A477,'Tracker- Removed 2018'!B:Q,{2,5,6,8,10},false)</f>
        <v>SQL Server Crashes and Critical Failures</v>
      </c>
      <c r="D477" s="30" t="s">
        <v>3908</v>
      </c>
      <c r="E477" s="30" t="s">
        <v>3909</v>
      </c>
      <c r="F477" s="30" t="s">
        <v>47</v>
      </c>
      <c r="G477" s="30" t="s">
        <v>47</v>
      </c>
    </row>
    <row r="478">
      <c r="A478" s="32">
        <v>234558.0</v>
      </c>
      <c r="B478" s="186">
        <v>43159.0</v>
      </c>
      <c r="C478" s="159" t="str">
        <f t="array" ref="C478:G478">VLOOKUP(A478,'Tracker- Removed 2018'!B:Q,{2,5,6,8,10},false)</f>
        <v>Virtual Private Networks for beginners - VPN, Cisco training</v>
      </c>
      <c r="D478" s="30" t="s">
        <v>3908</v>
      </c>
      <c r="E478" s="30" t="s">
        <v>3917</v>
      </c>
      <c r="F478" s="30" t="s">
        <v>47</v>
      </c>
      <c r="G478" s="30" t="s">
        <v>47</v>
      </c>
    </row>
    <row r="479">
      <c r="A479" s="32">
        <v>27556.0</v>
      </c>
      <c r="B479" s="186">
        <v>43159.0</v>
      </c>
      <c r="C479" s="159" t="str">
        <f t="array" ref="C479:G479">VLOOKUP(A479,'Tracker- Removed 2018'!B:Q,{2,5,6,8,10},false)</f>
        <v>Accent Reduction Made Fast and Easy</v>
      </c>
      <c r="D479" s="30" t="s">
        <v>538</v>
      </c>
      <c r="E479" s="30" t="s">
        <v>271</v>
      </c>
      <c r="F479" s="30" t="s">
        <v>47</v>
      </c>
      <c r="G479" s="30" t="s">
        <v>47</v>
      </c>
    </row>
    <row r="480">
      <c r="A480" s="32">
        <v>1059196.0</v>
      </c>
      <c r="B480" s="186">
        <v>43159.0</v>
      </c>
      <c r="C480" s="159" t="str">
        <f t="array" ref="C480:G480">VLOOKUP(A480,'Tracker- Removed 2018'!B:Q,{2,5,6,8,10},false)</f>
        <v>Business Skills: Email Etiquette Rules Everyone Should Know</v>
      </c>
      <c r="D480" s="30" t="s">
        <v>538</v>
      </c>
      <c r="E480" s="30" t="s">
        <v>271</v>
      </c>
      <c r="F480" s="30" t="s">
        <v>47</v>
      </c>
      <c r="G480" s="30" t="s">
        <v>47</v>
      </c>
    </row>
    <row r="481">
      <c r="A481" s="32">
        <v>93980.0</v>
      </c>
      <c r="B481" s="186">
        <v>43159.0</v>
      </c>
      <c r="C481" s="159" t="str">
        <f t="array" ref="C481:G481">VLOOKUP(A481,'Tracker- Removed 2018'!B:Q,{2,5,6,8,10},false)</f>
        <v>How to Coach in the Workplace</v>
      </c>
      <c r="D481" s="30" t="s">
        <v>538</v>
      </c>
      <c r="E481" s="30" t="s">
        <v>123</v>
      </c>
      <c r="F481" s="30" t="s">
        <v>47</v>
      </c>
      <c r="G481" s="30" t="s">
        <v>47</v>
      </c>
    </row>
    <row r="482">
      <c r="A482" s="32">
        <v>101784.0</v>
      </c>
      <c r="B482" s="186">
        <v>43159.0</v>
      </c>
      <c r="C482" s="159" t="str">
        <f t="array" ref="C482:G482">VLOOKUP(A482,'Tracker- Removed 2018'!B:Q,{2,5,6,8,10},false)</f>
        <v>Journalism Masterclass: The Ultimate Guide To News Writing</v>
      </c>
      <c r="D482" s="30" t="s">
        <v>538</v>
      </c>
      <c r="E482" s="30" t="s">
        <v>271</v>
      </c>
      <c r="F482" s="30" t="s">
        <v>47</v>
      </c>
      <c r="G482" s="30" t="s">
        <v>47</v>
      </c>
    </row>
    <row r="483">
      <c r="A483" s="32">
        <v>1050850.0</v>
      </c>
      <c r="B483" s="186">
        <v>43159.0</v>
      </c>
      <c r="C483" s="159" t="str">
        <f t="array" ref="C483:G483">VLOOKUP(A483,'Tracker- Removed 2018'!B:Q,{2,5,6,8,10},false)</f>
        <v>Speak like a TED speaker! The ABC's of Public Speaking</v>
      </c>
      <c r="D483" s="30" t="s">
        <v>538</v>
      </c>
      <c r="E483" s="30" t="s">
        <v>271</v>
      </c>
      <c r="F483" s="30" t="s">
        <v>47</v>
      </c>
      <c r="G483" s="30" t="s">
        <v>47</v>
      </c>
    </row>
    <row r="484">
      <c r="A484" s="32">
        <v>342762.0</v>
      </c>
      <c r="B484" s="186">
        <v>43159.0</v>
      </c>
      <c r="C484" s="159" t="str">
        <f t="array" ref="C484:G484">VLOOKUP(A484,'Tracker- Removed 2018'!B:Q,{2,5,6,8,10},false)</f>
        <v>Speaking on the Telephone: Confidently Speak on the Phone</v>
      </c>
      <c r="D484" s="30" t="s">
        <v>219</v>
      </c>
      <c r="E484" s="30" t="s">
        <v>3924</v>
      </c>
      <c r="F484" s="30" t="s">
        <v>47</v>
      </c>
      <c r="G484" s="30" t="s">
        <v>47</v>
      </c>
    </row>
    <row r="485">
      <c r="A485" s="32">
        <v>30704.0</v>
      </c>
      <c r="B485" s="186">
        <v>43159.0</v>
      </c>
      <c r="C485" s="159" t="str">
        <f t="array" ref="C485:G485">VLOOKUP(A485,'Tracker- Removed 2018'!B:Q,{2,5,6,8,10},false)</f>
        <v>Storytelling for Business</v>
      </c>
      <c r="D485" s="30" t="s">
        <v>538</v>
      </c>
      <c r="E485" s="30" t="s">
        <v>271</v>
      </c>
      <c r="F485" s="30" t="s">
        <v>47</v>
      </c>
      <c r="G485" s="30" t="s">
        <v>47</v>
      </c>
    </row>
    <row r="486">
      <c r="A486" s="32">
        <v>1081558.0</v>
      </c>
      <c r="B486" s="186">
        <v>43159.0</v>
      </c>
      <c r="C486" s="159" t="str">
        <f t="array" ref="C486:G486">VLOOKUP(A486,'Tracker- Removed 2018'!B:Q,{2,5,6,8,10},false)</f>
        <v>Conversational Copywriting - The future of selling online</v>
      </c>
      <c r="D486" s="30" t="s">
        <v>83</v>
      </c>
      <c r="E486" s="30" t="s">
        <v>3926</v>
      </c>
      <c r="F486" s="30" t="s">
        <v>47</v>
      </c>
      <c r="G486" s="30" t="s">
        <v>47</v>
      </c>
    </row>
    <row r="487">
      <c r="A487" s="187">
        <v>377098.0</v>
      </c>
      <c r="B487" s="186">
        <v>43159.0</v>
      </c>
      <c r="C487" s="159" t="str">
        <f t="array" ref="C487:G487">VLOOKUP(A487,'Tracker- Removed 2018'!B:Q,{2,5,6,8,10},false)</f>
        <v>Don't (survey)monkey around: Learn to make your surveys work</v>
      </c>
      <c r="D487" s="30" t="s">
        <v>83</v>
      </c>
      <c r="E487" s="30" t="s">
        <v>876</v>
      </c>
      <c r="F487" s="30" t="s">
        <v>47</v>
      </c>
      <c r="G487" s="30" t="s">
        <v>47</v>
      </c>
    </row>
    <row r="488">
      <c r="A488" s="32">
        <v>362958.0</v>
      </c>
      <c r="B488" s="186">
        <v>43159.0</v>
      </c>
      <c r="C488" s="159" t="str">
        <f t="array" ref="C488:G488">VLOOKUP(A488,'Tracker- Removed 2018'!B:Q,{2,5,6,8,10},false)</f>
        <v>How To Get Your Business In The Press</v>
      </c>
      <c r="D488" s="30" t="s">
        <v>83</v>
      </c>
      <c r="E488" s="30" t="s">
        <v>285</v>
      </c>
      <c r="F488" s="30" t="s">
        <v>47</v>
      </c>
      <c r="G488" s="30" t="s">
        <v>47</v>
      </c>
    </row>
    <row r="489">
      <c r="A489" s="32">
        <v>30561.0</v>
      </c>
      <c r="B489" s="186">
        <v>43159.0</v>
      </c>
      <c r="C489" s="159" t="str">
        <f t="array" ref="C489:G489">VLOOKUP(A489,'Tracker- Removed 2018'!B:Q,{2,5,6,8,10},false)</f>
        <v>Learn Microsoft Windows 8 the Easy Way</v>
      </c>
      <c r="D489" s="30" t="s">
        <v>189</v>
      </c>
      <c r="E489" s="30" t="s">
        <v>289</v>
      </c>
      <c r="F489" s="30" t="s">
        <v>47</v>
      </c>
      <c r="G489" s="30" t="s">
        <v>47</v>
      </c>
    </row>
    <row r="490">
      <c r="A490" s="32">
        <v>148648.0</v>
      </c>
      <c r="B490" s="186">
        <v>43159.0</v>
      </c>
      <c r="C490" s="159" t="str">
        <f t="array" ref="C490:G490">VLOOKUP(A490,'Tracker- Removed 2018'!B:Q,{2,5,6,8,10},false)</f>
        <v>Microsoft SharePoint for Developers – Advance</v>
      </c>
      <c r="D490" s="30" t="s">
        <v>189</v>
      </c>
      <c r="E490" s="30" t="s">
        <v>337</v>
      </c>
      <c r="F490" s="30" t="s">
        <v>47</v>
      </c>
      <c r="G490" s="30" t="s">
        <v>47</v>
      </c>
    </row>
    <row r="491">
      <c r="A491" s="32">
        <v>139568.0</v>
      </c>
      <c r="B491" s="186">
        <v>43159.0</v>
      </c>
      <c r="C491" s="159" t="str">
        <f t="array" ref="C491:G491">VLOOKUP(A491,'Tracker- Removed 2018'!B:Q,{2,5,6,8,10},false)</f>
        <v>Microsoft SharePoint for Developers – Fundamentals</v>
      </c>
      <c r="D491" s="30" t="s">
        <v>189</v>
      </c>
      <c r="E491" s="30" t="s">
        <v>337</v>
      </c>
      <c r="F491" s="30" t="s">
        <v>47</v>
      </c>
      <c r="G491" s="30" t="s">
        <v>47</v>
      </c>
    </row>
    <row r="492">
      <c r="A492" s="187">
        <v>634854.0</v>
      </c>
      <c r="B492" s="186">
        <v>43159.0</v>
      </c>
      <c r="C492" s="159" t="str">
        <f t="array" ref="C492:G492">VLOOKUP(A492,'Tracker- Removed 2018'!B:Q,{2,5,6,8,10},false)</f>
        <v>Microsoft Visio 2016 Tutorial: BEGINNER to ADVANCED fast!!</v>
      </c>
      <c r="D492" s="30" t="s">
        <v>189</v>
      </c>
      <c r="E492" s="30" t="s">
        <v>448</v>
      </c>
      <c r="F492" s="30" t="s">
        <v>47</v>
      </c>
      <c r="G492" s="30" t="s">
        <v>47</v>
      </c>
    </row>
    <row r="493">
      <c r="A493" s="32">
        <v>623152.0</v>
      </c>
      <c r="B493" s="186">
        <v>43159.0</v>
      </c>
      <c r="C493" s="159" t="str">
        <f t="array" ref="C493:G493">VLOOKUP(A493,'Tracker- Removed 2018'!B:Q,{2,5,6,8,10},false)</f>
        <v>One Week To Better Sleep</v>
      </c>
      <c r="D493" s="30" t="s">
        <v>58</v>
      </c>
      <c r="E493" s="30" t="s">
        <v>3929</v>
      </c>
      <c r="F493" s="30" t="s">
        <v>47</v>
      </c>
      <c r="G493" s="30" t="s">
        <v>47</v>
      </c>
    </row>
    <row r="494">
      <c r="A494" s="32">
        <v>754920.0</v>
      </c>
      <c r="B494" s="186">
        <v>43159.0</v>
      </c>
      <c r="C494" s="159" t="str">
        <f t="array" ref="C494:G494">VLOOKUP(A494,'Tracker- Removed 2018'!B:Q,{2,5,6,8,10},false)</f>
        <v>Business Analysis Demonstrated</v>
      </c>
      <c r="D494" s="30" t="s">
        <v>3915</v>
      </c>
      <c r="E494" s="30" t="s">
        <v>184</v>
      </c>
      <c r="F494" s="30" t="s">
        <v>47</v>
      </c>
      <c r="G494" s="30" t="s">
        <v>47</v>
      </c>
    </row>
    <row r="495">
      <c r="A495" s="32">
        <v>573526.0</v>
      </c>
      <c r="B495" s="186">
        <v>43159.0</v>
      </c>
      <c r="C495" s="159" t="str">
        <f t="array" ref="C495:G495">VLOOKUP(A495,'Tracker- Removed 2018'!B:Q,{2,5,6,8,10},false)</f>
        <v>Lean BPM - Lean Business Process Management</v>
      </c>
      <c r="D495" s="30" t="s">
        <v>3915</v>
      </c>
      <c r="E495" s="30" t="s">
        <v>184</v>
      </c>
      <c r="F495" s="30" t="s">
        <v>47</v>
      </c>
      <c r="G495" s="30" t="s">
        <v>47</v>
      </c>
    </row>
    <row r="496">
      <c r="A496" s="32">
        <v>564552.0</v>
      </c>
      <c r="B496" s="186">
        <v>43159.0</v>
      </c>
      <c r="C496" s="159" t="str">
        <f t="array" ref="C496:G496">VLOOKUP(A496,'Tracker- Removed 2018'!B:Q,{2,5,6,8,10},false)</f>
        <v>Operations and Supply Chain Management</v>
      </c>
      <c r="D496" s="30" t="s">
        <v>3915</v>
      </c>
      <c r="E496" s="30" t="s">
        <v>184</v>
      </c>
      <c r="F496" s="30" t="s">
        <v>47</v>
      </c>
      <c r="G496" s="30" t="s">
        <v>47</v>
      </c>
    </row>
    <row r="497">
      <c r="A497" s="32">
        <v>274478.0</v>
      </c>
      <c r="B497" s="186">
        <v>43159.0</v>
      </c>
      <c r="C497" s="159" t="str">
        <f t="array" ref="C497:G497">VLOOKUP(A497,'Tracker- Removed 2018'!B:Q,{2,5,6,8,10},false)</f>
        <v>Prince2 Foundation Training 2017</v>
      </c>
      <c r="D497" s="30" t="s">
        <v>3915</v>
      </c>
      <c r="E497" s="30" t="s">
        <v>261</v>
      </c>
      <c r="F497" s="30" t="s">
        <v>47</v>
      </c>
      <c r="G497" s="30" t="s">
        <v>47</v>
      </c>
    </row>
    <row r="498">
      <c r="A498" s="32">
        <v>552134.0</v>
      </c>
      <c r="B498" s="186">
        <v>43159.0</v>
      </c>
      <c r="C498" s="159" t="str">
        <f t="array" ref="C498:G498">VLOOKUP(A498,'Tracker- Removed 2018'!B:Q,{2,5,6,8,10},false)</f>
        <v>Sales - Better Sales Results Start with Better Sales Ideas</v>
      </c>
      <c r="D498" s="31" t="s">
        <v>219</v>
      </c>
      <c r="E498" s="31" t="s">
        <v>3924</v>
      </c>
      <c r="F498" s="30" t="s">
        <v>47</v>
      </c>
      <c r="G498" s="30" t="s">
        <v>47</v>
      </c>
    </row>
    <row r="499">
      <c r="A499" s="188">
        <v>564370.0</v>
      </c>
      <c r="B499" s="186">
        <v>43154.0</v>
      </c>
      <c r="C499" s="159" t="str">
        <f t="array" ref="C499:G499">VLOOKUP(A499,'Tracker- Removed 2018'!B:Q,{2,5,6,8,10},false)</f>
        <v>How to Improve Creative Problem Solving Skills</v>
      </c>
      <c r="D499" s="30" t="s">
        <v>538</v>
      </c>
      <c r="E499" s="30" t="s">
        <v>127</v>
      </c>
      <c r="F499" s="30" t="s">
        <v>47</v>
      </c>
      <c r="G499" s="30" t="s">
        <v>47</v>
      </c>
    </row>
    <row r="500">
      <c r="A500" s="32">
        <v>402340.0</v>
      </c>
      <c r="B500" s="186">
        <v>43154.0</v>
      </c>
      <c r="C500" s="159" t="str">
        <f t="array" ref="C500:G500">VLOOKUP(A500,'Tracker- Removed 2018'!B:Q,{2,5,6,8,10},false)</f>
        <v>Virtual Team Building and Management</v>
      </c>
      <c r="D500" s="30" t="s">
        <v>538</v>
      </c>
      <c r="E500" s="30" t="s">
        <v>123</v>
      </c>
      <c r="F500" s="30" t="s">
        <v>47</v>
      </c>
      <c r="G500" s="30" t="s">
        <v>47</v>
      </c>
    </row>
    <row r="501">
      <c r="A501" s="32">
        <v>402902.0</v>
      </c>
      <c r="B501" s="186">
        <v>43154.0</v>
      </c>
      <c r="C501" s="159" t="str">
        <f t="array" ref="C501:G501">VLOOKUP(A501,'Tracker- Removed 2018'!B:Q,{2,5,6,8,10},false)</f>
        <v>How to Improve Organizational Skills</v>
      </c>
      <c r="D501" s="30" t="s">
        <v>58</v>
      </c>
      <c r="E501" s="30" t="s">
        <v>59</v>
      </c>
      <c r="F501" s="30" t="s">
        <v>47</v>
      </c>
      <c r="G501" s="30" t="s">
        <v>47</v>
      </c>
    </row>
    <row r="502">
      <c r="A502" s="32">
        <v>664592.0</v>
      </c>
      <c r="B502" s="186">
        <v>43154.0</v>
      </c>
      <c r="C502" s="159" t="str">
        <f t="array" ref="C502:G502">VLOOKUP(A502,'Tracker- Removed 2018'!B:Q,{2,5,6,8,10},false)</f>
        <v>Managing Anxiety In The Workplace</v>
      </c>
      <c r="D502" s="30" t="s">
        <v>58</v>
      </c>
      <c r="E502" s="30" t="s">
        <v>944</v>
      </c>
      <c r="F502" s="30" t="s">
        <v>47</v>
      </c>
      <c r="G502" s="30" t="s">
        <v>47</v>
      </c>
    </row>
    <row r="503">
      <c r="A503" s="188">
        <v>745960.0</v>
      </c>
      <c r="B503" s="186">
        <v>43154.0</v>
      </c>
      <c r="C503" s="159" t="str">
        <f t="array" ref="C503:G503">VLOOKUP(A503,'Tracker- Removed 2018'!B:Q,{2,5,6,8,10},false)</f>
        <v>How To Improve Customer Service Skills</v>
      </c>
      <c r="D503" s="30" t="s">
        <v>538</v>
      </c>
      <c r="E503" s="30" t="s">
        <v>975</v>
      </c>
      <c r="F503" s="30" t="s">
        <v>47</v>
      </c>
      <c r="G503" s="30" t="s">
        <v>47</v>
      </c>
    </row>
    <row r="504">
      <c r="A504" s="32">
        <v>439778.0</v>
      </c>
      <c r="B504" s="186">
        <v>43154.0</v>
      </c>
      <c r="C504" s="159" t="str">
        <f t="array" ref="C504:G504">VLOOKUP(A504,'Tracker- Removed 2018'!B:Q,{2,5,6,8,10},false)</f>
        <v>How to Deliver Constructive Criticism at Work</v>
      </c>
      <c r="D504" s="30" t="s">
        <v>538</v>
      </c>
      <c r="E504" s="30" t="s">
        <v>123</v>
      </c>
      <c r="F504" s="30" t="s">
        <v>47</v>
      </c>
      <c r="G504" s="30" t="s">
        <v>47</v>
      </c>
    </row>
    <row r="505">
      <c r="A505" s="32">
        <v>439436.0</v>
      </c>
      <c r="B505" s="186">
        <v>43154.0</v>
      </c>
      <c r="C505" s="159" t="str">
        <f t="array" ref="C505:G505">VLOOKUP(A505,'Tracker- Removed 2018'!B:Q,{2,5,6,8,10},false)</f>
        <v>How To Create A Great Webinar</v>
      </c>
      <c r="D505" s="30" t="s">
        <v>83</v>
      </c>
      <c r="E505" s="30" t="s">
        <v>3926</v>
      </c>
      <c r="F505" s="30" t="s">
        <v>47</v>
      </c>
      <c r="G505" s="30" t="s">
        <v>47</v>
      </c>
    </row>
    <row r="506">
      <c r="A506" s="32">
        <v>633368.0</v>
      </c>
      <c r="B506" s="186">
        <v>43154.0</v>
      </c>
      <c r="C506" s="159" t="str">
        <f t="array" ref="C506:G506">VLOOKUP(A506,'Tracker- Removed 2018'!B:Q,{2,5,6,8,10},false)</f>
        <v>How to Manage Managers In a Company</v>
      </c>
      <c r="D506" s="30" t="s">
        <v>538</v>
      </c>
      <c r="E506" s="30" t="s">
        <v>123</v>
      </c>
      <c r="F506" s="30" t="s">
        <v>47</v>
      </c>
      <c r="G506" s="30" t="s">
        <v>47</v>
      </c>
    </row>
    <row r="507">
      <c r="A507" s="32">
        <v>854938.0</v>
      </c>
      <c r="B507" s="186">
        <v>43154.0</v>
      </c>
      <c r="C507" s="159" t="str">
        <f t="array" ref="C507:G507">VLOOKUP(A507,'Tracker- Removed 2018'!B:Q,{2,5,6,8,10},false)</f>
        <v>Call Centre Job Training</v>
      </c>
      <c r="D507" s="30" t="s">
        <v>538</v>
      </c>
      <c r="E507" s="30" t="s">
        <v>975</v>
      </c>
      <c r="F507" s="30" t="s">
        <v>47</v>
      </c>
      <c r="G507" s="30" t="s">
        <v>47</v>
      </c>
    </row>
    <row r="508">
      <c r="A508" s="188">
        <v>496692.0</v>
      </c>
      <c r="B508" s="186">
        <v>43154.0</v>
      </c>
      <c r="C508" s="159" t="str">
        <f t="array" ref="C508:G508">VLOOKUP(A508,'Tracker- Removed 2018'!B:Q,{2,5,6,8,10},false)</f>
        <v>How to Manage Social Media in the Workplace</v>
      </c>
      <c r="D508" s="30" t="s">
        <v>2958</v>
      </c>
      <c r="E508" s="30" t="s">
        <v>467</v>
      </c>
      <c r="F508" s="30" t="s">
        <v>47</v>
      </c>
      <c r="G508" s="30" t="s">
        <v>47</v>
      </c>
    </row>
    <row r="509">
      <c r="A509" s="188">
        <v>461334.0</v>
      </c>
      <c r="B509" s="186">
        <v>43154.0</v>
      </c>
      <c r="C509" s="159" t="str">
        <f t="array" ref="C509:G509">VLOOKUP(A509,'Tracker- Removed 2018'!B:Q,{2,5,6,8,10},false)</f>
        <v>Recruitment &amp; Hiring Strategies</v>
      </c>
      <c r="D509" s="30" t="s">
        <v>2958</v>
      </c>
      <c r="E509" s="30" t="s">
        <v>3928</v>
      </c>
      <c r="F509" s="30" t="s">
        <v>47</v>
      </c>
      <c r="G509" s="30" t="s">
        <v>47</v>
      </c>
    </row>
    <row r="510">
      <c r="A510" s="188">
        <v>510170.0</v>
      </c>
      <c r="B510" s="186">
        <v>43154.0</v>
      </c>
      <c r="C510" s="159" t="str">
        <f t="array" ref="C510:G510">VLOOKUP(A510,'Tracker- Removed 2018'!B:Q,{2,5,6,8,10},false)</f>
        <v>How to Overcome Sales Objections</v>
      </c>
      <c r="D510" s="30" t="s">
        <v>219</v>
      </c>
      <c r="E510" s="30" t="s">
        <v>3924</v>
      </c>
      <c r="F510" s="30" t="s">
        <v>47</v>
      </c>
      <c r="G510" s="30" t="s">
        <v>47</v>
      </c>
    </row>
    <row r="511">
      <c r="A511" s="32">
        <v>733028.0</v>
      </c>
      <c r="B511" s="186">
        <v>43154.0</v>
      </c>
      <c r="C511" s="159" t="str">
        <f t="array" ref="C511:G511">VLOOKUP(A511,'Tracker- Removed 2018'!B:Q,{2,5,6,8,10},false)</f>
        <v>How to Develop Interpersonal Skills</v>
      </c>
      <c r="D511" s="30" t="s">
        <v>538</v>
      </c>
      <c r="E511" s="30" t="s">
        <v>3918</v>
      </c>
      <c r="F511" s="30" t="s">
        <v>47</v>
      </c>
      <c r="G511" s="30" t="s">
        <v>47</v>
      </c>
    </row>
    <row r="512">
      <c r="A512" s="32">
        <v>456584.0</v>
      </c>
      <c r="B512" s="186">
        <v>43154.0</v>
      </c>
      <c r="C512" s="159" t="str">
        <f t="array" ref="C512:G512">VLOOKUP(A512,'Tracker- Removed 2018'!B:Q,{2,5,6,8,10},false)</f>
        <v>How to Improve Attention Skills</v>
      </c>
      <c r="D512" s="30" t="s">
        <v>58</v>
      </c>
      <c r="E512" s="30" t="s">
        <v>59</v>
      </c>
      <c r="F512" s="30" t="s">
        <v>47</v>
      </c>
      <c r="G512" s="30" t="s">
        <v>47</v>
      </c>
    </row>
    <row r="513">
      <c r="A513" s="32">
        <v>638016.0</v>
      </c>
      <c r="B513" s="186">
        <v>43154.0</v>
      </c>
      <c r="C513" s="159" t="str">
        <f t="array" ref="C513:G513">VLOOKUP(A513,'Tracker- Removed 2018'!B:Q,{2,5,6,8,10},false)</f>
        <v>New Employee Orientation and Onboarding</v>
      </c>
      <c r="D513" s="30" t="s">
        <v>2958</v>
      </c>
      <c r="E513" s="30" t="s">
        <v>3928</v>
      </c>
      <c r="F513" s="30" t="s">
        <v>47</v>
      </c>
      <c r="G513" s="30" t="s">
        <v>47</v>
      </c>
    </row>
    <row r="514">
      <c r="A514" s="188">
        <v>720044.0</v>
      </c>
      <c r="B514" s="186">
        <v>43154.0</v>
      </c>
      <c r="C514" s="159" t="str">
        <f t="array" ref="C514:G514">VLOOKUP(A514,'Tracker- Removed 2018'!B:Q,{2,5,6,8,10},false)</f>
        <v>Coaching Employees For Higher Performance</v>
      </c>
      <c r="D514" s="30" t="s">
        <v>538</v>
      </c>
      <c r="E514" s="30" t="s">
        <v>123</v>
      </c>
      <c r="F514" s="30" t="s">
        <v>47</v>
      </c>
      <c r="G514" s="30" t="s">
        <v>47</v>
      </c>
    </row>
    <row r="515">
      <c r="A515" s="187">
        <v>1347324.0</v>
      </c>
      <c r="B515" s="186">
        <v>43148.0</v>
      </c>
      <c r="C515" s="159" t="str">
        <f t="array" ref="C515:G515">VLOOKUP(A515,'Tracker- Removed 2018'!B:Q,{2,5,6,8,10},false)</f>
        <v>CISSP Certification - Preparing For the Exam</v>
      </c>
      <c r="D515" s="30" t="s">
        <v>3908</v>
      </c>
      <c r="E515" s="30" t="s">
        <v>75</v>
      </c>
      <c r="F515" s="30" t="s">
        <v>47</v>
      </c>
      <c r="G515" s="30" t="s">
        <v>47</v>
      </c>
    </row>
    <row r="516">
      <c r="A516" s="187">
        <v>1404172.0</v>
      </c>
      <c r="B516" s="186">
        <v>43136.0</v>
      </c>
      <c r="C516" s="159" t="str">
        <f t="array" ref="C516:G516">VLOOKUP(A516,'Tracker- Removed 2018'!B:Q,{2,5,6,8,10},false)</f>
        <v>Hadoop MAPREDUCE In Depth - A Real Time Course on MapReduce</v>
      </c>
      <c r="D516" s="30" t="s">
        <v>63</v>
      </c>
      <c r="E516" s="30" t="s">
        <v>115</v>
      </c>
      <c r="F516" s="30" t="s">
        <v>47</v>
      </c>
      <c r="G516" s="30" t="s">
        <v>47</v>
      </c>
    </row>
    <row r="517">
      <c r="A517" s="32">
        <v>835946.0</v>
      </c>
      <c r="B517" s="186">
        <v>43131.0</v>
      </c>
      <c r="C517" s="159" t="str">
        <f t="array" ref="C517:G517">VLOOKUP(A517,'Tracker- Removed 2018'!B:Q,{2,5,6,8,10},false)</f>
        <v>Practice advanced SQL queries with MySQL 5.7+</v>
      </c>
      <c r="D517" s="30" t="s">
        <v>63</v>
      </c>
      <c r="E517" s="30" t="s">
        <v>64</v>
      </c>
      <c r="F517" s="30" t="s">
        <v>47</v>
      </c>
      <c r="G517" s="30" t="s">
        <v>47</v>
      </c>
    </row>
    <row r="518">
      <c r="A518" s="32">
        <v>302174.0</v>
      </c>
      <c r="B518" s="186">
        <v>43131.0</v>
      </c>
      <c r="C518" s="159" t="str">
        <f t="array" ref="C518:G518">VLOOKUP(A518,'Tracker- Removed 2018'!B:Q,{2,5,6,8,10},false)</f>
        <v>Statistics Made Easy by Example for Analytics/ data science</v>
      </c>
      <c r="D518" s="30" t="s">
        <v>63</v>
      </c>
      <c r="E518" s="30" t="s">
        <v>64</v>
      </c>
      <c r="F518" s="30" t="s">
        <v>47</v>
      </c>
      <c r="G518" s="30" t="s">
        <v>47</v>
      </c>
    </row>
    <row r="519">
      <c r="A519" s="32">
        <v>141150.0</v>
      </c>
      <c r="B519" s="186">
        <v>43131.0</v>
      </c>
      <c r="C519" s="159" t="str">
        <f t="array" ref="C519:G519">VLOOKUP(A519,'Tracker- Removed 2018'!B:Q,{2,5,6,8,10},false)</f>
        <v>Axure RP Pro 7 for Total Beginners</v>
      </c>
      <c r="D519" s="30" t="s">
        <v>105</v>
      </c>
      <c r="E519" s="30" t="s">
        <v>501</v>
      </c>
      <c r="F519" s="30" t="s">
        <v>47</v>
      </c>
      <c r="G519" s="30" t="s">
        <v>47</v>
      </c>
    </row>
    <row r="520">
      <c r="A520" s="32">
        <v>141510.0</v>
      </c>
      <c r="B520" s="186">
        <v>43131.0</v>
      </c>
      <c r="C520" s="159" t="str">
        <f t="array" ref="C520:G520">VLOOKUP(A520,'Tracker- Removed 2018'!B:Q,{2,5,6,8,10},false)</f>
        <v>Axure RP Pro 7 For Wireframes</v>
      </c>
      <c r="D520" s="30" t="s">
        <v>105</v>
      </c>
      <c r="E520" s="30" t="s">
        <v>501</v>
      </c>
      <c r="F520" s="30" t="s">
        <v>47</v>
      </c>
      <c r="G520" s="30" t="s">
        <v>47</v>
      </c>
    </row>
    <row r="521">
      <c r="A521" s="32">
        <v>156520.0</v>
      </c>
      <c r="B521" s="186">
        <v>43131.0</v>
      </c>
      <c r="C521" s="159" t="str">
        <f t="array" ref="C521:G521">VLOOKUP(A521,'Tracker- Removed 2018'!B:Q,{2,5,6,8,10},false)</f>
        <v>Designing A Website in Photoshop, Illustrator (&amp; GIMP)</v>
      </c>
      <c r="D521" s="30" t="s">
        <v>105</v>
      </c>
      <c r="E521" s="30" t="s">
        <v>316</v>
      </c>
      <c r="F521" s="30" t="s">
        <v>47</v>
      </c>
      <c r="G521" s="30" t="s">
        <v>47</v>
      </c>
    </row>
    <row r="522">
      <c r="A522" s="32">
        <v>468726.0</v>
      </c>
      <c r="B522" s="186">
        <v>43131.0</v>
      </c>
      <c r="C522" s="159" t="str">
        <f t="array" ref="C522:G522">VLOOKUP(A522,'Tracker- Removed 2018'!B:Q,{2,5,6,8,10},false)</f>
        <v>Learning Axure RP</v>
      </c>
      <c r="D522" s="30" t="s">
        <v>105</v>
      </c>
      <c r="E522" s="30" t="s">
        <v>501</v>
      </c>
      <c r="F522" s="30" t="s">
        <v>47</v>
      </c>
      <c r="G522" s="30" t="s">
        <v>47</v>
      </c>
    </row>
    <row r="523">
      <c r="A523" s="32">
        <v>796014.0</v>
      </c>
      <c r="B523" s="186">
        <v>43131.0</v>
      </c>
      <c r="C523" s="159" t="str">
        <f t="array" ref="C523:G523">VLOOKUP(A523,'Tracker- Removed 2018'!B:Q,{2,5,6,8,10},false)</f>
        <v>Android Development Working With Databases Using Mysql &amp; PHP</v>
      </c>
      <c r="D523" s="30" t="s">
        <v>39</v>
      </c>
      <c r="E523" s="30" t="s">
        <v>214</v>
      </c>
      <c r="F523" s="30" t="s">
        <v>47</v>
      </c>
      <c r="G523" s="30" t="s">
        <v>47</v>
      </c>
    </row>
    <row r="524">
      <c r="A524" s="32">
        <v>997814.0</v>
      </c>
      <c r="B524" s="186">
        <v>43131.0</v>
      </c>
      <c r="C524" s="159" t="str">
        <f t="array" ref="C524:G524">VLOOKUP(A524,'Tracker- Removed 2018'!B:Q,{2,5,6,8,10},false)</f>
        <v>Angular 2 &amp; TypeScript Beginner Web Development</v>
      </c>
      <c r="D524" s="31" t="s">
        <v>39</v>
      </c>
      <c r="E524" s="31" t="s">
        <v>140</v>
      </c>
      <c r="F524" s="30" t="s">
        <v>47</v>
      </c>
      <c r="G524" s="30" t="s">
        <v>47</v>
      </c>
    </row>
    <row r="525">
      <c r="A525" s="187">
        <v>1090788.0</v>
      </c>
      <c r="B525" s="186">
        <v>43131.0</v>
      </c>
      <c r="C525" s="159" t="str">
        <f t="array" ref="C525:G525">VLOOKUP(A525,'Tracker- Removed 2018'!B:Q,{2,5,6,8,10},false)</f>
        <v>First Web Application with Spring Boot</v>
      </c>
      <c r="D525" s="30" t="s">
        <v>39</v>
      </c>
      <c r="E525" s="30" t="s">
        <v>140</v>
      </c>
      <c r="F525" s="30" t="s">
        <v>47</v>
      </c>
      <c r="G525" s="30" t="s">
        <v>47</v>
      </c>
    </row>
    <row r="526">
      <c r="A526" s="32">
        <v>523788.0</v>
      </c>
      <c r="B526" s="186">
        <v>43131.0</v>
      </c>
      <c r="C526" s="159" t="str">
        <f t="array" ref="C526:G526">VLOOKUP(A526,'Tracker- Removed 2018'!B:Q,{2,5,6,8,10},false)</f>
        <v>Learn MongoDB 3 and Rapidly Develop Scalable Applications</v>
      </c>
      <c r="D526" s="30" t="s">
        <v>39</v>
      </c>
      <c r="E526" s="30" t="s">
        <v>3910</v>
      </c>
      <c r="F526" s="30" t="s">
        <v>47</v>
      </c>
      <c r="G526" s="30" t="s">
        <v>47</v>
      </c>
    </row>
    <row r="527">
      <c r="A527" s="32">
        <v>1042824.0</v>
      </c>
      <c r="B527" s="186">
        <v>43131.0</v>
      </c>
      <c r="C527" s="159" t="str">
        <f t="array" ref="C527:G527">VLOOKUP(A527,'Tracker- Removed 2018'!B:Q,{2,5,6,8,10},false)</f>
        <v>Mastering Server Side Swift Using Vapor</v>
      </c>
      <c r="D527" s="30" t="s">
        <v>39</v>
      </c>
      <c r="E527" s="30" t="s">
        <v>214</v>
      </c>
      <c r="F527" s="30" t="s">
        <v>47</v>
      </c>
      <c r="G527" s="30" t="s">
        <v>47</v>
      </c>
    </row>
    <row r="528">
      <c r="A528" s="32">
        <v>674552.0</v>
      </c>
      <c r="B528" s="186">
        <v>43131.0</v>
      </c>
      <c r="C528" s="159" t="str">
        <f t="array" ref="C528:G528">VLOOKUP(A528,'Tracker- Removed 2018'!B:Q,{2,5,6,8,10},false)</f>
        <v>Object Oriented Programming - 2017</v>
      </c>
      <c r="D528" s="30" t="s">
        <v>39</v>
      </c>
      <c r="E528" s="30" t="s">
        <v>3911</v>
      </c>
      <c r="F528" s="30" t="s">
        <v>47</v>
      </c>
      <c r="G528" s="30" t="s">
        <v>47</v>
      </c>
    </row>
    <row r="529">
      <c r="A529" s="32">
        <v>641868.0</v>
      </c>
      <c r="B529" s="186">
        <v>43131.0</v>
      </c>
      <c r="C529" s="159" t="str">
        <f t="array" ref="C529:G529">VLOOKUP(A529,'Tracker- Removed 2018'!B:Q,{2,5,6,8,10},false)</f>
        <v>The Docker for DevOps course: From development to production</v>
      </c>
      <c r="D529" s="30" t="s">
        <v>39</v>
      </c>
      <c r="E529" s="30" t="s">
        <v>50</v>
      </c>
      <c r="F529" s="30" t="s">
        <v>47</v>
      </c>
      <c r="G529" s="30" t="s">
        <v>47</v>
      </c>
    </row>
    <row r="530">
      <c r="A530" s="32">
        <v>962372.0</v>
      </c>
      <c r="B530" s="186">
        <v>43131.0</v>
      </c>
      <c r="C530" s="159" t="str">
        <f t="array" ref="C530:G530">VLOOKUP(A530,'Tracker- Removed 2018'!B:Q,{2,5,6,8,10},false)</f>
        <v>AWS Lambda 2016 - The Complete Guide (With Hands On Labs)</v>
      </c>
      <c r="D530" s="191" t="s">
        <v>3908</v>
      </c>
      <c r="E530" s="191" t="s">
        <v>3909</v>
      </c>
      <c r="F530" s="30" t="s">
        <v>47</v>
      </c>
      <c r="G530" s="30" t="s">
        <v>47</v>
      </c>
    </row>
    <row r="531">
      <c r="A531" s="32">
        <v>559400.0</v>
      </c>
      <c r="B531" s="186">
        <v>43131.0</v>
      </c>
      <c r="C531" s="159" t="str">
        <f t="array" ref="C531:G531">VLOOKUP(A531,'Tracker- Removed 2018'!B:Q,{2,5,6,8,10},false)</f>
        <v>Microsoft SQL Server - An Introduction</v>
      </c>
      <c r="D531" s="30" t="s">
        <v>3908</v>
      </c>
      <c r="E531" s="30" t="s">
        <v>3909</v>
      </c>
      <c r="F531" s="30" t="s">
        <v>47</v>
      </c>
      <c r="G531" s="30" t="s">
        <v>47</v>
      </c>
    </row>
    <row r="532">
      <c r="A532" s="32">
        <v>957218.0</v>
      </c>
      <c r="B532" s="186">
        <v>43131.0</v>
      </c>
      <c r="C532" s="159" t="str">
        <f t="array" ref="C532:G532">VLOOKUP(A532,'Tracker- Removed 2018'!B:Q,{2,5,6,8,10},false)</f>
        <v>Ultimate Ethical Hacking Boot Camp - Beginner to Pro</v>
      </c>
      <c r="D532" s="30" t="s">
        <v>3908</v>
      </c>
      <c r="E532" s="30" t="s">
        <v>3917</v>
      </c>
      <c r="F532" s="30" t="s">
        <v>47</v>
      </c>
      <c r="G532" s="30" t="s">
        <v>47</v>
      </c>
    </row>
    <row r="533">
      <c r="A533" s="32">
        <v>584666.0</v>
      </c>
      <c r="B533" s="186">
        <v>43131.0</v>
      </c>
      <c r="C533" s="159" t="str">
        <f t="array" ref="C533:G533">VLOOKUP(A533,'Tracker- Removed 2018'!B:Q,{2,5,6,8,10},false)</f>
        <v>Conflict Resolution Skills in the Workplace</v>
      </c>
      <c r="D533" s="30" t="s">
        <v>538</v>
      </c>
      <c r="E533" s="30" t="s">
        <v>271</v>
      </c>
      <c r="F533" s="30" t="s">
        <v>47</v>
      </c>
      <c r="G533" s="30" t="s">
        <v>47</v>
      </c>
    </row>
    <row r="534">
      <c r="A534" s="32">
        <v>123556.0</v>
      </c>
      <c r="B534" s="186">
        <v>43131.0</v>
      </c>
      <c r="C534" s="159" t="str">
        <f t="array" ref="C534:G534">VLOOKUP(A534,'Tracker- Removed 2018'!B:Q,{2,5,6,8,10},false)</f>
        <v>How to Help Your Customers Succeed</v>
      </c>
      <c r="D534" s="30" t="s">
        <v>538</v>
      </c>
      <c r="E534" s="30" t="s">
        <v>975</v>
      </c>
      <c r="F534" s="30" t="s">
        <v>47</v>
      </c>
      <c r="G534" s="30" t="s">
        <v>47</v>
      </c>
    </row>
    <row r="535">
      <c r="A535" s="32">
        <v>123580.0</v>
      </c>
      <c r="B535" s="186">
        <v>43131.0</v>
      </c>
      <c r="C535" s="159" t="str">
        <f t="array" ref="C535:G535">VLOOKUP(A535,'Tracker- Removed 2018'!B:Q,{2,5,6,8,10},false)</f>
        <v>How to Let Your Customers Break the Rules</v>
      </c>
      <c r="D535" s="30" t="s">
        <v>538</v>
      </c>
      <c r="E535" s="30" t="s">
        <v>127</v>
      </c>
      <c r="F535" s="30" t="s">
        <v>47</v>
      </c>
      <c r="G535" s="30" t="s">
        <v>47</v>
      </c>
    </row>
    <row r="536">
      <c r="A536" s="32">
        <v>125862.0</v>
      </c>
      <c r="B536" s="186">
        <v>43131.0</v>
      </c>
      <c r="C536" s="159" t="str">
        <f t="array" ref="C536:G536">VLOOKUP(A536,'Tracker- Removed 2018'!B:Q,{2,5,6,8,10},false)</f>
        <v>How to Love Your Customers</v>
      </c>
      <c r="D536" s="30" t="s">
        <v>538</v>
      </c>
      <c r="E536" s="30" t="s">
        <v>975</v>
      </c>
      <c r="F536" s="30" t="s">
        <v>47</v>
      </c>
      <c r="G536" s="30" t="s">
        <v>47</v>
      </c>
    </row>
    <row r="537">
      <c r="A537" s="32">
        <v>123562.0</v>
      </c>
      <c r="B537" s="186">
        <v>43131.0</v>
      </c>
      <c r="C537" s="159" t="str">
        <f t="array" ref="C537:G537">VLOOKUP(A537,'Tracker- Removed 2018'!B:Q,{2,5,6,8,10},false)</f>
        <v>How to Say Yes to Your Customers</v>
      </c>
      <c r="D537" s="30" t="s">
        <v>538</v>
      </c>
      <c r="E537" s="30" t="s">
        <v>975</v>
      </c>
      <c r="F537" s="30" t="s">
        <v>47</v>
      </c>
      <c r="G537" s="30" t="s">
        <v>47</v>
      </c>
    </row>
    <row r="538">
      <c r="A538" s="32">
        <v>123586.0</v>
      </c>
      <c r="B538" s="186">
        <v>43131.0</v>
      </c>
      <c r="C538" s="159" t="str">
        <f t="array" ref="C538:G538">VLOOKUP(A538,'Tracker- Removed 2018'!B:Q,{2,5,6,8,10},false)</f>
        <v>How to Share Your Customers Purpose</v>
      </c>
      <c r="D538" s="30" t="s">
        <v>538</v>
      </c>
      <c r="E538" s="30" t="s">
        <v>127</v>
      </c>
      <c r="F538" s="30" t="s">
        <v>47</v>
      </c>
      <c r="G538" s="30" t="s">
        <v>47</v>
      </c>
    </row>
    <row r="539">
      <c r="A539" s="32">
        <v>123560.0</v>
      </c>
      <c r="B539" s="186">
        <v>43131.0</v>
      </c>
      <c r="C539" s="159" t="str">
        <f t="array" ref="C539:G539">VLOOKUP(A539,'Tracker- Removed 2018'!B:Q,{2,5,6,8,10},false)</f>
        <v>How to Simplify Your Customers Lives</v>
      </c>
      <c r="D539" s="30" t="s">
        <v>538</v>
      </c>
      <c r="E539" s="30" t="s">
        <v>975</v>
      </c>
      <c r="F539" s="30" t="s">
        <v>47</v>
      </c>
      <c r="G539" s="30" t="s">
        <v>47</v>
      </c>
    </row>
    <row r="540">
      <c r="A540" s="32">
        <v>666956.0</v>
      </c>
      <c r="B540" s="186">
        <v>43131.0</v>
      </c>
      <c r="C540" s="159" t="str">
        <f t="array" ref="C540:G540">VLOOKUP(A540,'Tracker- Removed 2018'!B:Q,{2,5,6,8,10},false)</f>
        <v>Influence People with Persuasion Psychology</v>
      </c>
      <c r="D540" s="30" t="s">
        <v>538</v>
      </c>
      <c r="E540" s="30" t="s">
        <v>3918</v>
      </c>
      <c r="F540" s="30" t="s">
        <v>47</v>
      </c>
      <c r="G540" s="30" t="s">
        <v>47</v>
      </c>
    </row>
    <row r="541">
      <c r="A541" s="32">
        <v>474246.0</v>
      </c>
      <c r="B541" s="186">
        <v>43131.0</v>
      </c>
      <c r="C541" s="159" t="str">
        <f t="array" ref="C541:G541">VLOOKUP(A541,'Tracker- Removed 2018'!B:Q,{2,5,6,8,10},false)</f>
        <v>Management - Leadership, Negotiating, Assertiveness, Sales</v>
      </c>
      <c r="D541" s="30" t="s">
        <v>538</v>
      </c>
      <c r="E541" s="30" t="s">
        <v>3918</v>
      </c>
      <c r="F541" s="30" t="s">
        <v>47</v>
      </c>
      <c r="G541" s="30" t="s">
        <v>47</v>
      </c>
    </row>
    <row r="542">
      <c r="A542" s="32">
        <v>427140.0</v>
      </c>
      <c r="B542" s="186">
        <v>43131.0</v>
      </c>
      <c r="C542" s="159" t="str">
        <f t="array" ref="C542:G542">VLOOKUP(A542,'Tracker- Removed 2018'!B:Q,{2,5,6,8,10},false)</f>
        <v>Management: Essential Skills for First Time Managers</v>
      </c>
      <c r="D542" s="30" t="s">
        <v>538</v>
      </c>
      <c r="E542" s="30" t="s">
        <v>123</v>
      </c>
      <c r="F542" s="30" t="s">
        <v>47</v>
      </c>
      <c r="G542" s="30" t="s">
        <v>47</v>
      </c>
    </row>
    <row r="543">
      <c r="A543" s="32">
        <v>235428.0</v>
      </c>
      <c r="B543" s="186">
        <v>43131.0</v>
      </c>
      <c r="C543" s="159" t="str">
        <f t="array" ref="C543:G543">VLOOKUP(A543,'Tracker- Removed 2018'!B:Q,{2,5,6,8,10},false)</f>
        <v>App Marketing: How to Generate Pre-Launch Buzz</v>
      </c>
      <c r="D543" s="30" t="s">
        <v>83</v>
      </c>
      <c r="E543" s="30" t="s">
        <v>147</v>
      </c>
      <c r="F543" s="30" t="s">
        <v>47</v>
      </c>
      <c r="G543" s="30" t="s">
        <v>47</v>
      </c>
    </row>
    <row r="544">
      <c r="A544" s="187">
        <v>19422.0</v>
      </c>
      <c r="B544" s="186">
        <v>43131.0</v>
      </c>
      <c r="C544" s="159" t="str">
        <f t="array" ref="C544:G544">VLOOKUP(A544,'Tracker- Removed 2018'!B:Q,{2,5,6,8,10},false)</f>
        <v>Drupal 7 for Beginners</v>
      </c>
      <c r="D544" s="193" t="s">
        <v>83</v>
      </c>
      <c r="E544" s="193" t="s">
        <v>3926</v>
      </c>
      <c r="F544" s="30" t="s">
        <v>47</v>
      </c>
      <c r="G544" s="30" t="s">
        <v>47</v>
      </c>
    </row>
    <row r="545">
      <c r="A545" s="187">
        <v>19387.0</v>
      </c>
      <c r="B545" s="186">
        <v>43131.0</v>
      </c>
      <c r="C545" s="159" t="str">
        <f t="array" ref="C545:G545">VLOOKUP(A545,'Tracker- Removed 2018'!B:Q,{2,5,6,8,10},false)</f>
        <v>Drupal 7 Intermediate</v>
      </c>
      <c r="D545" s="30" t="s">
        <v>83</v>
      </c>
      <c r="E545" s="30" t="s">
        <v>3926</v>
      </c>
      <c r="F545" s="30" t="s">
        <v>47</v>
      </c>
      <c r="G545" s="30" t="s">
        <v>47</v>
      </c>
    </row>
    <row r="546">
      <c r="A546" s="32">
        <v>1047227.0</v>
      </c>
      <c r="B546" s="186">
        <v>43131.0</v>
      </c>
      <c r="C546" s="159" t="str">
        <f t="array" ref="C546:G546">VLOOKUP(A546,'Tracker- Removed 2018'!B:Q,{2,5,6,8,10},false)</f>
        <v>The Complete Digital Marketing Bootcamp</v>
      </c>
      <c r="D546" s="30" t="s">
        <v>83</v>
      </c>
      <c r="E546" s="30" t="s">
        <v>147</v>
      </c>
      <c r="F546" s="30" t="s">
        <v>47</v>
      </c>
      <c r="G546" s="30" t="s">
        <v>47</v>
      </c>
    </row>
    <row r="547">
      <c r="A547" s="32">
        <v>649056.0</v>
      </c>
      <c r="B547" s="186">
        <v>43131.0</v>
      </c>
      <c r="C547" s="159" t="str">
        <f t="array" ref="C547:G547">VLOOKUP(A547,'Tracker- Removed 2018'!B:Q,{2,5,6,8,10},false)</f>
        <v>The NEW 2018 Complete Growth Hacking &amp; Conversion Course</v>
      </c>
      <c r="D547" s="30" t="s">
        <v>83</v>
      </c>
      <c r="E547" s="30" t="s">
        <v>147</v>
      </c>
      <c r="F547" s="30" t="s">
        <v>47</v>
      </c>
      <c r="G547" s="30" t="s">
        <v>47</v>
      </c>
    </row>
    <row r="548">
      <c r="A548" s="32">
        <v>447312.0</v>
      </c>
      <c r="B548" s="186">
        <v>43131.0</v>
      </c>
      <c r="C548" s="159" t="str">
        <f t="array" ref="C548:G548">VLOOKUP(A548,'Tracker- Removed 2018'!B:Q,{2,5,6,8,10},false)</f>
        <v>Introduction to Office 365</v>
      </c>
      <c r="D548" s="30" t="s">
        <v>189</v>
      </c>
      <c r="E548" s="30" t="s">
        <v>448</v>
      </c>
      <c r="F548" s="30" t="s">
        <v>47</v>
      </c>
      <c r="G548" s="30" t="s">
        <v>47</v>
      </c>
    </row>
    <row r="549">
      <c r="A549" s="32">
        <v>225904.0</v>
      </c>
      <c r="B549" s="186">
        <v>43131.0</v>
      </c>
      <c r="C549" s="159" t="str">
        <f t="array" ref="C549:G549">VLOOKUP(A549,'Tracker- Removed 2018'!B:Q,{2,5,6,8,10},false)</f>
        <v>Mac Clarity - Master Your Mac</v>
      </c>
      <c r="D549" s="30" t="s">
        <v>189</v>
      </c>
      <c r="E549" s="30" t="s">
        <v>289</v>
      </c>
      <c r="F549" s="30" t="s">
        <v>47</v>
      </c>
      <c r="G549" s="30" t="s">
        <v>47</v>
      </c>
    </row>
    <row r="550">
      <c r="A550" s="32">
        <v>749354.0</v>
      </c>
      <c r="B550" s="186">
        <v>43131.0</v>
      </c>
      <c r="C550" s="159" t="str">
        <f t="array" ref="C550:G550">VLOOKUP(A550,'Tracker- Removed 2018'!B:Q,{2,5,6,8,10},false)</f>
        <v>Emotional Intelligence for Project Managers - 5 PDUs</v>
      </c>
      <c r="D550" s="30" t="s">
        <v>3915</v>
      </c>
      <c r="E550" s="30" t="s">
        <v>80</v>
      </c>
      <c r="F550" s="30" t="s">
        <v>47</v>
      </c>
      <c r="G550" s="30" t="s">
        <v>47</v>
      </c>
    </row>
    <row r="551">
      <c r="A551" s="32">
        <v>140976.0</v>
      </c>
      <c r="B551" s="186">
        <v>43131.0</v>
      </c>
      <c r="C551" s="159" t="str">
        <f t="array" ref="C551:G551">VLOOKUP(A551,'Tracker- Removed 2018'!B:Q,{2,5,6,8,10},false)</f>
        <v>How To Install Your Own SAP Trial System Free</v>
      </c>
      <c r="D551" s="30" t="s">
        <v>3915</v>
      </c>
      <c r="E551" s="30" t="s">
        <v>184</v>
      </c>
      <c r="F551" s="30" t="s">
        <v>47</v>
      </c>
      <c r="G551" s="30" t="s">
        <v>47</v>
      </c>
    </row>
    <row r="552">
      <c r="A552" s="32">
        <v>812586.0</v>
      </c>
      <c r="B552" s="186">
        <v>43131.0</v>
      </c>
      <c r="C552" s="159" t="str">
        <f t="array" ref="C552:G552">VLOOKUP(A552,'Tracker- Removed 2018'!B:Q,{2,5,6,8,10},false)</f>
        <v>Risk Management Professional: Prep for the PMI-RMP Exam</v>
      </c>
      <c r="D552" s="30" t="s">
        <v>3915</v>
      </c>
      <c r="E552" s="30" t="s">
        <v>261</v>
      </c>
      <c r="F552" s="30" t="s">
        <v>47</v>
      </c>
      <c r="G552" s="30" t="s">
        <v>47</v>
      </c>
    </row>
    <row r="553">
      <c r="A553" s="32">
        <v>1324596.0</v>
      </c>
      <c r="B553" s="186">
        <v>43108.0</v>
      </c>
      <c r="C553" s="159" t="str">
        <f t="array" ref="C553:G553">VLOOKUP(A553,'Tracker- Removed 2018'!B:Q,{2,5,6,8,10},false)</f>
        <v>Certified Information Systems Security Professional - CISSP</v>
      </c>
      <c r="D553" s="30" t="s">
        <v>3908</v>
      </c>
      <c r="E553" s="30" t="s">
        <v>75</v>
      </c>
      <c r="F553" s="30" t="s">
        <v>47</v>
      </c>
      <c r="G553" s="30" t="s">
        <v>47</v>
      </c>
    </row>
    <row r="554">
      <c r="A554" s="32">
        <v>670114.0</v>
      </c>
      <c r="B554" s="186">
        <v>43102.0</v>
      </c>
      <c r="C554" s="159" t="str">
        <f t="array" ref="C554:G554">VLOOKUP(A554,'Tracker- Removed 2018'!B:Q,{2,5,6,8,10},false)</f>
        <v>Hadoop on Azure. An Introduction to Big Data Using HDInsight</v>
      </c>
      <c r="D554" s="30" t="s">
        <v>63</v>
      </c>
      <c r="E554" s="30" t="s">
        <v>115</v>
      </c>
      <c r="F554" s="30" t="s">
        <v>47</v>
      </c>
      <c r="G554" s="30" t="s">
        <v>47</v>
      </c>
    </row>
    <row r="555">
      <c r="A555" s="32">
        <v>543054.0</v>
      </c>
      <c r="B555" s="186">
        <v>43102.0</v>
      </c>
      <c r="C555" s="159" t="str">
        <f t="array" ref="C555:G555">VLOOKUP(A555,'Tracker- Removed 2018'!B:Q,{2,5,6,8,10},false)</f>
        <v>Create 3D Commercial in After Effects &amp; Element 3D</v>
      </c>
      <c r="D555" s="30" t="s">
        <v>105</v>
      </c>
      <c r="E555" s="30" t="s">
        <v>3925</v>
      </c>
      <c r="F555" s="30" t="s">
        <v>47</v>
      </c>
      <c r="G555" s="30" t="s">
        <v>47</v>
      </c>
    </row>
    <row r="556">
      <c r="A556" s="32">
        <v>532936.0</v>
      </c>
      <c r="B556" s="186">
        <v>43102.0</v>
      </c>
      <c r="C556" s="159" t="str">
        <f t="array" ref="C556:G556">VLOOKUP(A556,'Tracker- Removed 2018'!B:Q,{2,5,6,8,10},false)</f>
        <v>Creating a Quiz with AngularJS 1.x</v>
      </c>
      <c r="D556" s="30" t="s">
        <v>105</v>
      </c>
      <c r="E556" s="30" t="s">
        <v>316</v>
      </c>
      <c r="F556" s="30" t="s">
        <v>47</v>
      </c>
      <c r="G556" s="30" t="s">
        <v>47</v>
      </c>
    </row>
    <row r="557">
      <c r="A557" s="32">
        <v>48044.0</v>
      </c>
      <c r="B557" s="186">
        <v>43102.0</v>
      </c>
      <c r="C557" s="159" t="str">
        <f t="array" ref="C557:G557">VLOOKUP(A557,'Tracker- Removed 2018'!B:Q,{2,5,6,8,10},false)</f>
        <v>Designing Gamification Level 1 (Basic) + Certification</v>
      </c>
      <c r="D557" s="30" t="s">
        <v>105</v>
      </c>
      <c r="E557" s="30" t="s">
        <v>501</v>
      </c>
      <c r="F557" s="30" t="s">
        <v>47</v>
      </c>
      <c r="G557" s="30" t="s">
        <v>47</v>
      </c>
    </row>
    <row r="558">
      <c r="A558" s="32">
        <v>74074.0</v>
      </c>
      <c r="B558" s="186">
        <v>43102.0</v>
      </c>
      <c r="C558" s="159" t="str">
        <f t="array" ref="C558:G558">VLOOKUP(A558,'Tracker- Removed 2018'!B:Q,{2,5,6,8,10},false)</f>
        <v>Designing Gamification Level2 (Intermediate) + Certification</v>
      </c>
      <c r="D558" s="30" t="s">
        <v>105</v>
      </c>
      <c r="E558" s="30" t="s">
        <v>501</v>
      </c>
      <c r="F558" s="30" t="s">
        <v>47</v>
      </c>
      <c r="G558" s="30" t="s">
        <v>47</v>
      </c>
    </row>
    <row r="559">
      <c r="A559" s="32">
        <v>195274.0</v>
      </c>
      <c r="B559" s="186">
        <v>43102.0</v>
      </c>
      <c r="C559" s="159" t="str">
        <f t="array" ref="C559:G559">VLOOKUP(A559,'Tracker- Removed 2018'!B:Q,{2,5,6,8,10},false)</f>
        <v>Start Now with Bootstrap 3 | Ebook Included</v>
      </c>
      <c r="D559" s="30" t="s">
        <v>105</v>
      </c>
      <c r="E559" s="30" t="s">
        <v>316</v>
      </c>
      <c r="F559" s="30" t="s">
        <v>47</v>
      </c>
      <c r="G559" s="30" t="s">
        <v>47</v>
      </c>
    </row>
    <row r="560">
      <c r="A560" s="32">
        <v>279002.0</v>
      </c>
      <c r="B560" s="186">
        <v>43102.0</v>
      </c>
      <c r="C560" s="159" t="str">
        <f t="array" ref="C560:G560">VLOOKUP(A560,'Tracker- Removed 2018'!B:Q,{2,5,6,8,10},false)</f>
        <v>Appium - Mobile Testing with Latest 1.7.1 and Live Projects</v>
      </c>
      <c r="D560" s="30" t="s">
        <v>39</v>
      </c>
      <c r="E560" s="30" t="s">
        <v>50</v>
      </c>
      <c r="F560" s="30" t="s">
        <v>47</v>
      </c>
      <c r="G560" s="30" t="s">
        <v>47</v>
      </c>
    </row>
    <row r="561">
      <c r="A561" s="32">
        <v>939814.0</v>
      </c>
      <c r="B561" s="186">
        <v>43102.0</v>
      </c>
      <c r="C561" s="159" t="str">
        <f t="array" ref="C561:G561">VLOOKUP(A561,'Tracker- Removed 2018'!B:Q,{2,5,6,8,10},false)</f>
        <v>Architect Android apps with MVP, Dagger, Retrofit &amp; RxJava</v>
      </c>
      <c r="D561" s="30" t="s">
        <v>39</v>
      </c>
      <c r="E561" s="30" t="s">
        <v>214</v>
      </c>
      <c r="F561" s="30" t="s">
        <v>47</v>
      </c>
      <c r="G561" s="30" t="s">
        <v>47</v>
      </c>
    </row>
    <row r="562">
      <c r="A562" s="32">
        <v>648448.0</v>
      </c>
      <c r="B562" s="186">
        <v>43102.0</v>
      </c>
      <c r="C562" s="159" t="str">
        <f t="array" ref="C562:G562">VLOOKUP(A562,'Tracker- Removed 2018'!B:Q,{2,5,6,8,10},false)</f>
        <v>Backend API Testing  with Python</v>
      </c>
      <c r="D562" s="30" t="s">
        <v>39</v>
      </c>
      <c r="E562" s="30" t="s">
        <v>50</v>
      </c>
      <c r="F562" s="30" t="s">
        <v>47</v>
      </c>
      <c r="G562" s="30" t="s">
        <v>47</v>
      </c>
    </row>
    <row r="563">
      <c r="A563" s="32">
        <v>398456.0</v>
      </c>
      <c r="B563" s="186">
        <v>43102.0</v>
      </c>
      <c r="C563" s="159" t="str">
        <f t="array" ref="C563:G563">VLOOKUP(A563,'Tracker- Removed 2018'!B:Q,{2,5,6,8,10},false)</f>
        <v>Bootstrap 3 Introduction : Create RESPONSIVE Websites Fast</v>
      </c>
      <c r="D563" s="30" t="s">
        <v>39</v>
      </c>
      <c r="E563" s="30" t="s">
        <v>140</v>
      </c>
      <c r="F563" s="30" t="s">
        <v>47</v>
      </c>
      <c r="G563" s="30" t="s">
        <v>47</v>
      </c>
    </row>
    <row r="564">
      <c r="A564" s="32">
        <v>53256.0</v>
      </c>
      <c r="B564" s="186">
        <v>43102.0</v>
      </c>
      <c r="C564" s="159" t="str">
        <f t="array" ref="C564:G564">VLOOKUP(A564,'Tracker- Removed 2018'!B:Q,{2,5,6,8,10},false)</f>
        <v>Bootstrap Basics: Program Responsive Websites</v>
      </c>
      <c r="D564" s="30" t="s">
        <v>39</v>
      </c>
      <c r="E564" s="30" t="s">
        <v>140</v>
      </c>
      <c r="F564" s="30" t="s">
        <v>47</v>
      </c>
      <c r="G564" s="30" t="s">
        <v>47</v>
      </c>
    </row>
    <row r="565">
      <c r="A565" s="32">
        <v>713468.0</v>
      </c>
      <c r="B565" s="186">
        <v>43102.0</v>
      </c>
      <c r="C565" s="159" t="str">
        <f t="array" ref="C565:G565">VLOOKUP(A565,'Tracker- Removed 2018'!B:Q,{2,5,6,8,10},false)</f>
        <v>Creating a Calculation Tool with AngularJS 1.x</v>
      </c>
      <c r="D565" s="191" t="s">
        <v>39</v>
      </c>
      <c r="E565" s="191" t="s">
        <v>140</v>
      </c>
      <c r="F565" s="30" t="s">
        <v>47</v>
      </c>
      <c r="G565" s="30" t="s">
        <v>47</v>
      </c>
    </row>
    <row r="566">
      <c r="A566" s="32">
        <v>1102888.0</v>
      </c>
      <c r="B566" s="186">
        <v>43102.0</v>
      </c>
      <c r="C566" s="159" t="str">
        <f t="array" ref="C566:G566">VLOOKUP(A566,'Tracker- Removed 2018'!B:Q,{2,5,6,8,10},false)</f>
        <v>Hacking with macOS - Build 18 Desktop Apps with Swift 3</v>
      </c>
      <c r="D566" s="30" t="s">
        <v>39</v>
      </c>
      <c r="E566" s="30" t="s">
        <v>214</v>
      </c>
      <c r="F566" s="30" t="s">
        <v>47</v>
      </c>
      <c r="G566" s="30" t="s">
        <v>47</v>
      </c>
    </row>
    <row r="567">
      <c r="A567" s="32">
        <v>1184036.0</v>
      </c>
      <c r="B567" s="186">
        <v>43102.0</v>
      </c>
      <c r="C567" s="159" t="str">
        <f t="array" ref="C567:G567">VLOOKUP(A567,'Tracker- Removed 2018'!B:Q,{2,5,6,8,10},false)</f>
        <v>Intermediate iOS 10 - Advance Your Skills</v>
      </c>
      <c r="D567" s="30" t="s">
        <v>39</v>
      </c>
      <c r="E567" s="30" t="s">
        <v>214</v>
      </c>
      <c r="F567" s="30" t="s">
        <v>47</v>
      </c>
      <c r="G567" s="30" t="s">
        <v>47</v>
      </c>
    </row>
    <row r="568">
      <c r="A568" s="32">
        <v>480494.0</v>
      </c>
      <c r="B568" s="186">
        <v>43102.0</v>
      </c>
      <c r="C568" s="159" t="str">
        <f t="array" ref="C568:G568">VLOOKUP(A568,'Tracker- Removed 2018'!B:Q,{2,5,6,8,10},false)</f>
        <v>Ionic 1 by Example: Create Mobile Apps in HTML5</v>
      </c>
      <c r="D568" s="30" t="s">
        <v>39</v>
      </c>
      <c r="E568" s="30" t="s">
        <v>214</v>
      </c>
      <c r="F568" s="30" t="s">
        <v>47</v>
      </c>
      <c r="G568" s="30" t="s">
        <v>47</v>
      </c>
    </row>
    <row r="569">
      <c r="A569" s="32">
        <v>486884.0</v>
      </c>
      <c r="B569" s="186">
        <v>43102.0</v>
      </c>
      <c r="C569" s="159" t="str">
        <f t="array" ref="C569:G569">VLOOKUP(A569,'Tracker- Removed 2018'!B:Q,{2,5,6,8,10},false)</f>
        <v>Ionic 1: From Web to Mobile</v>
      </c>
      <c r="D569" s="30" t="s">
        <v>39</v>
      </c>
      <c r="E569" s="30" t="s">
        <v>214</v>
      </c>
      <c r="F569" s="30" t="s">
        <v>47</v>
      </c>
      <c r="G569" s="30" t="s">
        <v>47</v>
      </c>
    </row>
    <row r="570">
      <c r="A570" s="32">
        <v>1056314.0</v>
      </c>
      <c r="B570" s="186">
        <v>43102.0</v>
      </c>
      <c r="C570" s="159" t="str">
        <f t="array" ref="C570:G570">VLOOKUP(A570,'Tracker- Removed 2018'!B:Q,{2,5,6,8,10},false)</f>
        <v>Ionic 2 by Example - Create Mobile Apps in HTML5</v>
      </c>
      <c r="D570" s="30" t="s">
        <v>39</v>
      </c>
      <c r="E570" s="30" t="s">
        <v>214</v>
      </c>
      <c r="F570" s="30" t="s">
        <v>47</v>
      </c>
      <c r="G570" s="30" t="s">
        <v>47</v>
      </c>
    </row>
    <row r="571">
      <c r="A571" s="32">
        <v>892102.0</v>
      </c>
      <c r="B571" s="186">
        <v>43102.0</v>
      </c>
      <c r="C571" s="159" t="str">
        <f t="array" ref="C571:G571">VLOOKUP(A571,'Tracker- Removed 2018'!B:Q,{2,5,6,8,10},false)</f>
        <v>iOS 10 &amp; Swift 3: From Beginner to Paid Professional™</v>
      </c>
      <c r="D571" s="30" t="s">
        <v>39</v>
      </c>
      <c r="E571" s="30" t="s">
        <v>214</v>
      </c>
      <c r="F571" s="30" t="s">
        <v>47</v>
      </c>
      <c r="G571" s="30" t="s">
        <v>47</v>
      </c>
    </row>
    <row r="572">
      <c r="A572" s="32">
        <v>874474.0</v>
      </c>
      <c r="B572" s="186">
        <v>43102.0</v>
      </c>
      <c r="C572" s="159" t="str">
        <f t="array" ref="C572:G572">VLOOKUP(A572,'Tracker- Removed 2018'!B:Q,{2,5,6,8,10},false)</f>
        <v>iOS 10 and Xcode 8 - Complete Swift 3 &amp; Objective-C Course</v>
      </c>
      <c r="D572" s="30" t="s">
        <v>39</v>
      </c>
      <c r="E572" s="30" t="s">
        <v>214</v>
      </c>
      <c r="F572" s="30" t="s">
        <v>47</v>
      </c>
      <c r="G572" s="30" t="s">
        <v>47</v>
      </c>
    </row>
    <row r="573">
      <c r="A573" s="32">
        <v>828226.0</v>
      </c>
      <c r="B573" s="186">
        <v>43102.0</v>
      </c>
      <c r="C573" s="159" t="str">
        <f t="array" ref="C573:G573">VLOOKUP(A573,'Tracker- Removed 2018'!B:Q,{2,5,6,8,10},false)</f>
        <v>iOS and CoreData: Create Data Driven Apps with Swift 3</v>
      </c>
      <c r="D573" s="30" t="s">
        <v>39</v>
      </c>
      <c r="E573" s="30" t="s">
        <v>214</v>
      </c>
      <c r="F573" s="30" t="s">
        <v>47</v>
      </c>
      <c r="G573" s="30" t="s">
        <v>47</v>
      </c>
    </row>
    <row r="574">
      <c r="A574" s="32">
        <v>782224.0</v>
      </c>
      <c r="B574" s="186">
        <v>43102.0</v>
      </c>
      <c r="C574" s="159" t="str">
        <f t="array" ref="C574:G574">VLOOKUP(A574,'Tracker- Removed 2018'!B:Q,{2,5,6,8,10},false)</f>
        <v>Learn Enterprise WPF with XAML from Scratch</v>
      </c>
      <c r="D574" s="30" t="s">
        <v>39</v>
      </c>
      <c r="E574" s="30" t="s">
        <v>3911</v>
      </c>
      <c r="F574" s="30" t="s">
        <v>47</v>
      </c>
      <c r="G574" s="30" t="s">
        <v>47</v>
      </c>
    </row>
    <row r="575">
      <c r="A575" s="32">
        <v>993146.0</v>
      </c>
      <c r="B575" s="186">
        <v>43102.0</v>
      </c>
      <c r="C575" s="159" t="str">
        <f t="array" ref="C575:G575">VLOOKUP(A575,'Tracker- Removed 2018'!B:Q,{2,5,6,8,10},false)</f>
        <v>Learn JSON with JavaScript Objects and APIs in 1 hour</v>
      </c>
      <c r="D575" s="30" t="s">
        <v>39</v>
      </c>
      <c r="E575" s="30" t="s">
        <v>140</v>
      </c>
      <c r="F575" s="30" t="s">
        <v>47</v>
      </c>
      <c r="G575" s="30" t="s">
        <v>47</v>
      </c>
    </row>
    <row r="576">
      <c r="A576" s="32">
        <v>672008.0</v>
      </c>
      <c r="B576" s="186">
        <v>43102.0</v>
      </c>
      <c r="C576" s="159" t="str">
        <f t="array" ref="C576:G576">VLOOKUP(A576,'Tracker- Removed 2018'!B:Q,{2,5,6,8,10},false)</f>
        <v>Learn To Code Like a Pro With VI Editor</v>
      </c>
      <c r="D576" s="30" t="s">
        <v>39</v>
      </c>
      <c r="E576" s="30" t="s">
        <v>50</v>
      </c>
      <c r="F576" s="30" t="s">
        <v>47</v>
      </c>
      <c r="G576" s="30" t="s">
        <v>47</v>
      </c>
    </row>
    <row r="577">
      <c r="A577" s="32">
        <v>632414.0</v>
      </c>
      <c r="B577" s="186">
        <v>43102.0</v>
      </c>
      <c r="C577" s="159" t="str">
        <f t="array" ref="C577:G577">VLOOKUP(A577,'Tracker- Removed 2018'!B:Q,{2,5,6,8,10},false)</f>
        <v>Make Mobile VR Games in Unity with C#  for Google Cardboard</v>
      </c>
      <c r="D577" s="30" t="s">
        <v>39</v>
      </c>
      <c r="E577" s="30" t="s">
        <v>214</v>
      </c>
      <c r="F577" s="30" t="s">
        <v>47</v>
      </c>
      <c r="G577" s="30" t="s">
        <v>47</v>
      </c>
    </row>
    <row r="578">
      <c r="A578" s="32">
        <v>876738.0</v>
      </c>
      <c r="B578" s="186">
        <v>43102.0</v>
      </c>
      <c r="C578" s="159" t="str">
        <f t="array" ref="C578:G578">VLOOKUP(A578,'Tracker- Removed 2018'!B:Q,{2,5,6,8,10},false)</f>
        <v>Advanced iOS: Volume 1 - Build Awesome, Real-World Projects</v>
      </c>
      <c r="D578" s="30" t="s">
        <v>39</v>
      </c>
      <c r="E578" s="30" t="s">
        <v>214</v>
      </c>
      <c r="F578" s="30" t="s">
        <v>47</v>
      </c>
      <c r="G578" s="30" t="s">
        <v>47</v>
      </c>
    </row>
    <row r="579">
      <c r="A579" s="32">
        <v>70640.0</v>
      </c>
      <c r="B579" s="186">
        <v>43102.0</v>
      </c>
      <c r="C579" s="159" t="str">
        <f t="array" ref="C579:G579">VLOOKUP(A579,'Tracker- Removed 2018'!B:Q,{2,5,6,8,10},false)</f>
        <v>Python Programming: Create an Digital Marketplace in Django</v>
      </c>
      <c r="D579" s="30" t="s">
        <v>39</v>
      </c>
      <c r="E579" s="30" t="s">
        <v>140</v>
      </c>
      <c r="F579" s="30" t="s">
        <v>47</v>
      </c>
      <c r="G579" s="30" t="s">
        <v>47</v>
      </c>
    </row>
    <row r="580">
      <c r="A580" s="32">
        <v>878382.0</v>
      </c>
      <c r="B580" s="186">
        <v>43102.0</v>
      </c>
      <c r="C580" s="159" t="str">
        <f t="array" ref="C580:G580">VLOOKUP(A580,'Tracker- Removed 2018'!B:Q,{2,5,6,8,10},false)</f>
        <v>Swift 3 - Learn to Code with Apple's New Language</v>
      </c>
      <c r="D580" s="30" t="s">
        <v>39</v>
      </c>
      <c r="E580" s="30" t="s">
        <v>214</v>
      </c>
      <c r="F580" s="30" t="s">
        <v>47</v>
      </c>
      <c r="G580" s="30" t="s">
        <v>47</v>
      </c>
    </row>
    <row r="581">
      <c r="A581" s="32">
        <v>895786.0</v>
      </c>
      <c r="B581" s="186">
        <v>43102.0</v>
      </c>
      <c r="C581" s="159" t="str">
        <f t="array" ref="C581:G581">VLOOKUP(A581,'Tracker- Removed 2018'!B:Q,{2,5,6,8,10},false)</f>
        <v>The Complete iOS 10 &amp; Swift 3 Developer Course</v>
      </c>
      <c r="D581" s="30" t="s">
        <v>39</v>
      </c>
      <c r="E581" s="30" t="s">
        <v>214</v>
      </c>
      <c r="F581" s="30" t="s">
        <v>47</v>
      </c>
      <c r="G581" s="30" t="s">
        <v>47</v>
      </c>
    </row>
    <row r="582">
      <c r="A582" s="32">
        <v>773652.0</v>
      </c>
      <c r="B582" s="186">
        <v>43102.0</v>
      </c>
      <c r="C582" s="159" t="str">
        <f t="array" ref="C582:G582">VLOOKUP(A582,'Tracker- Removed 2018'!B:Q,{2,5,6,8,10},false)</f>
        <v>The Complete iOS Game Course Using SpriteKit And Swift 3</v>
      </c>
      <c r="D582" s="191" t="s">
        <v>39</v>
      </c>
      <c r="E582" s="191" t="s">
        <v>214</v>
      </c>
      <c r="F582" s="30" t="s">
        <v>47</v>
      </c>
      <c r="G582" s="30" t="s">
        <v>47</v>
      </c>
    </row>
    <row r="583">
      <c r="A583" s="32">
        <v>950758.0</v>
      </c>
      <c r="B583" s="186">
        <v>43102.0</v>
      </c>
      <c r="C583" s="159" t="str">
        <f t="array" ref="C583:G583">VLOOKUP(A583,'Tracker- Removed 2018'!B:Q,{2,5,6,8,10},false)</f>
        <v>Using Advanced iOS Frameworks and Techniques with Swift 3</v>
      </c>
      <c r="D583" s="30" t="s">
        <v>39</v>
      </c>
      <c r="E583" s="30" t="s">
        <v>214</v>
      </c>
      <c r="F583" s="30" t="s">
        <v>47</v>
      </c>
      <c r="G583" s="30" t="s">
        <v>47</v>
      </c>
    </row>
    <row r="584">
      <c r="A584" s="32">
        <v>1084184.0</v>
      </c>
      <c r="B584" s="186">
        <v>43102.0</v>
      </c>
      <c r="C584" s="159" t="str">
        <f t="array" ref="C584:G584">VLOOKUP(A584,'Tracker- Removed 2018'!B:Q,{2,5,6,8,10},false)</f>
        <v>Cisco Application Centric Infrastructure - ACI</v>
      </c>
      <c r="D584" s="30" t="s">
        <v>3908</v>
      </c>
      <c r="E584" s="30" t="s">
        <v>3917</v>
      </c>
      <c r="F584" s="30" t="s">
        <v>47</v>
      </c>
      <c r="G584" s="30" t="s">
        <v>47</v>
      </c>
    </row>
    <row r="585">
      <c r="A585" s="32">
        <v>1115984.0</v>
      </c>
      <c r="B585" s="186">
        <v>43102.0</v>
      </c>
      <c r="C585" s="159" t="str">
        <f t="array" ref="C585:G585">VLOOKUP(A585,'Tracker- Removed 2018'!B:Q,{2,5,6,8,10},false)</f>
        <v>Learning Cisco Unified Computing System - UCS</v>
      </c>
      <c r="D585" s="30" t="s">
        <v>3908</v>
      </c>
      <c r="E585" s="30" t="s">
        <v>46</v>
      </c>
      <c r="F585" s="30" t="s">
        <v>47</v>
      </c>
      <c r="G585" s="30" t="s">
        <v>47</v>
      </c>
    </row>
    <row r="586">
      <c r="A586" s="32">
        <v>691912.0</v>
      </c>
      <c r="B586" s="186">
        <v>43102.0</v>
      </c>
      <c r="C586" s="159" t="str">
        <f t="array" ref="C586:G586">VLOOKUP(A586,'Tracker- Removed 2018'!B:Q,{2,5,6,8,10},false)</f>
        <v>10 Soft Skills You Need To Be Successful</v>
      </c>
      <c r="D586" s="30" t="s">
        <v>538</v>
      </c>
      <c r="E586" s="30" t="s">
        <v>123</v>
      </c>
      <c r="F586" s="30" t="s">
        <v>47</v>
      </c>
      <c r="G586" s="30" t="s">
        <v>47</v>
      </c>
    </row>
    <row r="587">
      <c r="A587" s="32">
        <v>481434.0</v>
      </c>
      <c r="B587" s="186">
        <v>43102.0</v>
      </c>
      <c r="C587" s="159" t="str">
        <f t="array" ref="C587:G587">VLOOKUP(A587,'Tracker- Removed 2018'!B:Q,{2,5,6,8,10},false)</f>
        <v>Communicate for Business: Write, Email, Close the Loop</v>
      </c>
      <c r="D587" s="191" t="s">
        <v>538</v>
      </c>
      <c r="E587" s="191" t="s">
        <v>271</v>
      </c>
      <c r="F587" s="30" t="s">
        <v>47</v>
      </c>
      <c r="G587" s="30" t="s">
        <v>47</v>
      </c>
    </row>
    <row r="588">
      <c r="A588" s="187">
        <v>571082.0</v>
      </c>
      <c r="B588" s="186">
        <v>43102.0</v>
      </c>
      <c r="C588" s="159" t="str">
        <f t="array" ref="C588:G588">VLOOKUP(A588,'Tracker- Removed 2018'!B:Q,{2,5,6,8,10},false)</f>
        <v>Creating a Mindset for Change for Leaders</v>
      </c>
      <c r="D588" s="30" t="s">
        <v>538</v>
      </c>
      <c r="E588" s="30" t="s">
        <v>127</v>
      </c>
      <c r="F588" s="30" t="s">
        <v>47</v>
      </c>
      <c r="G588" s="30" t="s">
        <v>47</v>
      </c>
    </row>
    <row r="589">
      <c r="A589" s="32">
        <v>558992.0</v>
      </c>
      <c r="B589" s="186">
        <v>43102.0</v>
      </c>
      <c r="C589" s="159" t="str">
        <f t="array" ref="C589:G589">VLOOKUP(A589,'Tracker- Removed 2018'!B:Q,{2,5,6,8,10},false)</f>
        <v>Creating a Mindset for Change with Seeing Red Cars, Personal</v>
      </c>
      <c r="D589" s="30" t="s">
        <v>538</v>
      </c>
      <c r="E589" s="30" t="s">
        <v>127</v>
      </c>
      <c r="F589" s="30" t="s">
        <v>47</v>
      </c>
      <c r="G589" s="30" t="s">
        <v>47</v>
      </c>
    </row>
    <row r="590">
      <c r="A590" s="32">
        <v>418222.0</v>
      </c>
      <c r="B590" s="186">
        <v>43102.0</v>
      </c>
      <c r="C590" s="159" t="str">
        <f t="array" ref="C590:G590">VLOOKUP(A590,'Tracker- Removed 2018'!B:Q,{2,5,6,8,10},false)</f>
        <v>Creative Thinking</v>
      </c>
      <c r="D590" s="30" t="s">
        <v>538</v>
      </c>
      <c r="E590" s="30" t="s">
        <v>127</v>
      </c>
      <c r="F590" s="30" t="s">
        <v>47</v>
      </c>
      <c r="G590" s="30" t="s">
        <v>47</v>
      </c>
    </row>
    <row r="591">
      <c r="A591" s="32">
        <v>615950.0</v>
      </c>
      <c r="B591" s="186">
        <v>43102.0</v>
      </c>
      <c r="C591" s="159" t="str">
        <f t="array" ref="C591:G591">VLOOKUP(A591,'Tracker- Removed 2018'!B:Q,{2,5,6,8,10},false)</f>
        <v>How to Develop Leadership &amp; Influence Skills</v>
      </c>
      <c r="D591" s="30" t="s">
        <v>538</v>
      </c>
      <c r="E591" s="30" t="s">
        <v>123</v>
      </c>
      <c r="F591" s="30" t="s">
        <v>47</v>
      </c>
      <c r="G591" s="30" t="s">
        <v>47</v>
      </c>
    </row>
    <row r="592">
      <c r="A592" s="32">
        <v>362522.0</v>
      </c>
      <c r="B592" s="186">
        <v>43102.0</v>
      </c>
      <c r="C592" s="159" t="str">
        <f t="array" ref="C592:G592">VLOOKUP(A592,'Tracker- Removed 2018'!B:Q,{2,5,6,8,10},false)</f>
        <v>Kick Start Your Digital Strategy and Transformation Program</v>
      </c>
      <c r="D592" s="30" t="s">
        <v>538</v>
      </c>
      <c r="E592" s="30" t="s">
        <v>127</v>
      </c>
      <c r="F592" s="30" t="s">
        <v>47</v>
      </c>
      <c r="G592" s="30" t="s">
        <v>47</v>
      </c>
    </row>
    <row r="593">
      <c r="A593" s="32">
        <v>543984.0</v>
      </c>
      <c r="B593" s="186">
        <v>43102.0</v>
      </c>
      <c r="C593" s="159" t="str">
        <f t="array" ref="C593:G593">VLOOKUP(A593,'Tracker- Removed 2018'!B:Q,{2,5,6,8,10},false)</f>
        <v>Leadership | How to Commit to Self-Discovery</v>
      </c>
      <c r="D593" s="30" t="s">
        <v>538</v>
      </c>
      <c r="E593" s="30" t="s">
        <v>123</v>
      </c>
      <c r="F593" s="30" t="s">
        <v>47</v>
      </c>
      <c r="G593" s="30" t="s">
        <v>47</v>
      </c>
    </row>
    <row r="594">
      <c r="A594" s="32">
        <v>830978.0</v>
      </c>
      <c r="B594" s="186">
        <v>43102.0</v>
      </c>
      <c r="C594" s="159" t="str">
        <f t="array" ref="C594:G594">VLOOKUP(A594,'Tracker- Removed 2018'!B:Q,{2,5,6,8,10},false)</f>
        <v>Presentation Skills:  Create Killer Presentations to WoW</v>
      </c>
      <c r="D594" s="30" t="s">
        <v>538</v>
      </c>
      <c r="E594" s="30" t="s">
        <v>271</v>
      </c>
      <c r="F594" s="30" t="s">
        <v>47</v>
      </c>
      <c r="G594" s="30" t="s">
        <v>47</v>
      </c>
    </row>
    <row r="595">
      <c r="A595" s="32">
        <v>450914.0</v>
      </c>
      <c r="B595" s="186">
        <v>43102.0</v>
      </c>
      <c r="C595" s="159" t="str">
        <f t="array" ref="C595:G595">VLOOKUP(A595,'Tracker- Removed 2018'!B:Q,{2,5,6,8,10},false)</f>
        <v>Public Speaking Essentials: How to Craft Your Personal Story</v>
      </c>
      <c r="D595" s="30" t="s">
        <v>538</v>
      </c>
      <c r="E595" s="30" t="s">
        <v>271</v>
      </c>
      <c r="F595" s="30" t="s">
        <v>47</v>
      </c>
      <c r="G595" s="30" t="s">
        <v>47</v>
      </c>
    </row>
    <row r="596">
      <c r="A596" s="32">
        <v>941752.0</v>
      </c>
      <c r="B596" s="186">
        <v>43102.0</v>
      </c>
      <c r="C596" s="159" t="str">
        <f t="array" ref="C596:G596">VLOOKUP(A596,'Tracker- Removed 2018'!B:Q,{2,5,6,8,10},false)</f>
        <v>Storytelling to Influence</v>
      </c>
      <c r="D596" s="30" t="s">
        <v>538</v>
      </c>
      <c r="E596" s="30" t="s">
        <v>271</v>
      </c>
      <c r="F596" s="30" t="s">
        <v>47</v>
      </c>
      <c r="G596" s="30" t="s">
        <v>47</v>
      </c>
    </row>
    <row r="597">
      <c r="A597" s="32">
        <v>672308.0</v>
      </c>
      <c r="B597" s="186">
        <v>43102.0</v>
      </c>
      <c r="C597" s="159" t="str">
        <f t="array" ref="C597:G597">VLOOKUP(A597,'Tracker- Removed 2018'!B:Q,{2,5,6,8,10},false)</f>
        <v>Time Management Skills: Become the Master of your Time!</v>
      </c>
      <c r="D597" s="30" t="s">
        <v>538</v>
      </c>
      <c r="E597" s="30" t="s">
        <v>3932</v>
      </c>
      <c r="F597" s="30" t="s">
        <v>47</v>
      </c>
      <c r="G597" s="30" t="s">
        <v>47</v>
      </c>
    </row>
    <row r="598">
      <c r="A598" s="32">
        <v>357886.0</v>
      </c>
      <c r="B598" s="186">
        <v>43102.0</v>
      </c>
      <c r="C598" s="159" t="str">
        <f t="array" ref="C598:G598">VLOOKUP(A598,'Tracker- Removed 2018'!B:Q,{2,5,6,8,10},false)</f>
        <v>Ultimate Communication Guide: How to Communicate at Work</v>
      </c>
      <c r="D598" s="30" t="s">
        <v>538</v>
      </c>
      <c r="E598" s="30" t="s">
        <v>271</v>
      </c>
      <c r="F598" s="30" t="s">
        <v>47</v>
      </c>
      <c r="G598" s="30" t="s">
        <v>47</v>
      </c>
    </row>
    <row r="599">
      <c r="A599" s="32">
        <v>369110.0</v>
      </c>
      <c r="B599" s="186">
        <v>43102.0</v>
      </c>
      <c r="C599" s="159" t="str">
        <f t="array" ref="C599:G599">VLOOKUP(A599,'Tracker- Removed 2018'!B:Q,{2,5,6,8,10},false)</f>
        <v>Marketo Foundation Training Series by ShowMeLeads</v>
      </c>
      <c r="D599" s="30" t="s">
        <v>83</v>
      </c>
      <c r="E599" s="30" t="s">
        <v>3933</v>
      </c>
      <c r="F599" s="30" t="s">
        <v>47</v>
      </c>
      <c r="G599" s="30" t="s">
        <v>47</v>
      </c>
    </row>
    <row r="600">
      <c r="A600" s="32">
        <v>29694.0</v>
      </c>
      <c r="B600" s="186">
        <v>43102.0</v>
      </c>
      <c r="C600" s="159" t="str">
        <f t="array" ref="C600:G600">VLOOKUP(A600,'Tracker- Removed 2018'!B:Q,{2,5,6,8,10},false)</f>
        <v>Master Microsoft Visio 2010 Training the Easy Way</v>
      </c>
      <c r="D600" s="30" t="s">
        <v>189</v>
      </c>
      <c r="E600" s="30" t="s">
        <v>448</v>
      </c>
      <c r="F600" s="30" t="s">
        <v>47</v>
      </c>
      <c r="G600" s="30" t="s">
        <v>47</v>
      </c>
    </row>
    <row r="601">
      <c r="A601" s="32">
        <v>51442.0</v>
      </c>
      <c r="B601" s="186">
        <v>43102.0</v>
      </c>
      <c r="C601" s="159" t="str">
        <f t="array" ref="C601:G601">VLOOKUP(A601,'Tracker- Removed 2018'!B:Q,{2,5,6,8,10},false)</f>
        <v>Visio 2010 Introduction</v>
      </c>
      <c r="D601" s="30" t="s">
        <v>189</v>
      </c>
      <c r="E601" s="30" t="s">
        <v>448</v>
      </c>
      <c r="F601" s="30" t="s">
        <v>47</v>
      </c>
      <c r="G601" s="30" t="s">
        <v>47</v>
      </c>
    </row>
    <row r="602">
      <c r="A602" s="32">
        <v>1024854.0</v>
      </c>
      <c r="B602" s="186">
        <v>43102.0</v>
      </c>
      <c r="C602" s="159" t="str">
        <f t="array" ref="C602:G602">VLOOKUP(A602,'Tracker- Removed 2018'!B:Q,{2,5,6,8,10},false)</f>
        <v>CAPM Exam Prep: Earn Your CAPM Certification</v>
      </c>
      <c r="D602" s="191" t="s">
        <v>3915</v>
      </c>
      <c r="E602" s="191" t="s">
        <v>261</v>
      </c>
      <c r="F602" s="30" t="s">
        <v>47</v>
      </c>
      <c r="G602" s="30" t="s">
        <v>47</v>
      </c>
    </row>
    <row r="603">
      <c r="A603" s="32">
        <v>757588.0</v>
      </c>
      <c r="B603" s="186">
        <v>43102.0</v>
      </c>
      <c r="C603" s="159" t="str">
        <f t="array" ref="C603:G603">VLOOKUP(A603,'Tracker- Removed 2018'!B:Q,{2,5,6,8,10},false)</f>
        <v>How to Earn the Project Management Professional (PMP)</v>
      </c>
      <c r="D603" s="30" t="s">
        <v>3915</v>
      </c>
      <c r="E603" s="30" t="s">
        <v>261</v>
      </c>
      <c r="F603" s="30" t="s">
        <v>47</v>
      </c>
      <c r="G603" s="30" t="s">
        <v>47</v>
      </c>
    </row>
    <row r="604">
      <c r="A604" s="32">
        <v>729486.0</v>
      </c>
      <c r="B604" s="186">
        <v>43102.0</v>
      </c>
      <c r="C604" s="159" t="str">
        <f t="array" ref="C604:G604">VLOOKUP(A604,'Tracker- Removed 2018'!B:Q,{2,5,6,8,10},false)</f>
        <v>Master Project Risk Management - 5 PDUs</v>
      </c>
      <c r="D604" s="30" t="s">
        <v>3915</v>
      </c>
      <c r="E604" s="30" t="s">
        <v>998</v>
      </c>
      <c r="F604" s="30" t="s">
        <v>47</v>
      </c>
      <c r="G604" s="30" t="s">
        <v>47</v>
      </c>
    </row>
    <row r="605">
      <c r="A605" s="32">
        <v>719132.0</v>
      </c>
      <c r="B605" s="186">
        <v>43102.0</v>
      </c>
      <c r="C605" s="159" t="str">
        <f t="array" ref="C605:G605">VLOOKUP(A605,'Tracker- Removed 2018'!B:Q,{2,5,6,8,10},false)</f>
        <v>Master the PMBOK Guide, Fifth Edition - 5 PDUs</v>
      </c>
      <c r="D605" s="30" t="s">
        <v>3915</v>
      </c>
      <c r="E605" s="30" t="s">
        <v>261</v>
      </c>
      <c r="F605" s="30" t="s">
        <v>47</v>
      </c>
      <c r="G605" s="30" t="s">
        <v>47</v>
      </c>
    </row>
    <row r="606">
      <c r="A606" s="32">
        <v>816622.0</v>
      </c>
      <c r="B606" s="186">
        <v>43102.0</v>
      </c>
      <c r="C606" s="159" t="str">
        <f t="array" ref="C606:G606">VLOOKUP(A606,'Tracker- Removed 2018'!B:Q,{2,5,6,8,10},false)</f>
        <v>Mastering Project Communications Management- 5 PDUs</v>
      </c>
      <c r="D606" s="30" t="s">
        <v>3915</v>
      </c>
      <c r="E606" s="30" t="s">
        <v>261</v>
      </c>
      <c r="F606" s="30" t="s">
        <v>47</v>
      </c>
      <c r="G606" s="30" t="s">
        <v>47</v>
      </c>
    </row>
    <row r="607">
      <c r="A607" s="32">
        <v>885605.0</v>
      </c>
      <c r="B607" s="186">
        <v>43102.0</v>
      </c>
      <c r="C607" s="159" t="str">
        <f t="array" ref="C607:G607">VLOOKUP(A607,'Tracker- Removed 2018'!B:Q,{2,5,6,8,10},false)</f>
        <v>PMP Exam Cram Session - 8 PDUs from a PMI REP</v>
      </c>
      <c r="D607" s="30" t="s">
        <v>3915</v>
      </c>
      <c r="E607" s="30" t="s">
        <v>261</v>
      </c>
      <c r="F607" s="30" t="s">
        <v>47</v>
      </c>
      <c r="G607" s="30" t="s">
        <v>47</v>
      </c>
    </row>
    <row r="608">
      <c r="A608" s="32">
        <v>1002314.0</v>
      </c>
      <c r="B608" s="186">
        <v>43102.0</v>
      </c>
      <c r="C608" s="159" t="str">
        <f t="array" ref="C608:G608">VLOOKUP(A608,'Tracker- Removed 2018'!B:Q,{2,5,6,8,10},false)</f>
        <v>Project Management Certified Associate: CAPM Practice Tests</v>
      </c>
      <c r="D608" s="30" t="s">
        <v>3915</v>
      </c>
      <c r="E608" s="30" t="s">
        <v>261</v>
      </c>
      <c r="F608" s="30" t="s">
        <v>47</v>
      </c>
      <c r="G608" s="30" t="s">
        <v>47</v>
      </c>
    </row>
    <row r="609">
      <c r="A609" s="32">
        <v>1000476.0</v>
      </c>
      <c r="B609" s="186">
        <v>43102.0</v>
      </c>
      <c r="C609" s="159" t="str">
        <f t="array" ref="C609:G609">VLOOKUP(A609,'Tracker- Removed 2018'!B:Q,{2,5,6,8,10},false)</f>
        <v>Project Management Professional: PMP Practice Tests</v>
      </c>
      <c r="D609" s="30" t="s">
        <v>3915</v>
      </c>
      <c r="E609" s="30" t="s">
        <v>261</v>
      </c>
      <c r="F609" s="30" t="s">
        <v>47</v>
      </c>
      <c r="G609" s="30" t="s">
        <v>47</v>
      </c>
    </row>
    <row r="610">
      <c r="A610" s="32">
        <v>382522.0</v>
      </c>
      <c r="B610" s="186">
        <v>43102.0</v>
      </c>
      <c r="C610" s="159" t="str">
        <f t="array" ref="C610:G610">VLOOKUP(A610,'Tracker- Removed 2018'!B:Q,{2,5,6,8,10},false)</f>
        <v>Project Management: Cost Management for Project Managers</v>
      </c>
      <c r="D610" s="30" t="s">
        <v>3915</v>
      </c>
      <c r="E610" s="30" t="s">
        <v>998</v>
      </c>
      <c r="F610" s="30" t="s">
        <v>47</v>
      </c>
      <c r="G610" s="30" t="s">
        <v>47</v>
      </c>
    </row>
    <row r="611">
      <c r="A611" s="32">
        <v>382596.0</v>
      </c>
      <c r="B611" s="186">
        <v>43102.0</v>
      </c>
      <c r="C611" s="159" t="str">
        <f t="array" ref="C611:G611">VLOOKUP(A611,'Tracker- Removed 2018'!B:Q,{2,5,6,8,10},false)</f>
        <v>Project Management: Mastering HR for Project Management</v>
      </c>
      <c r="D611" s="30" t="s">
        <v>3915</v>
      </c>
      <c r="E611" s="30" t="s">
        <v>998</v>
      </c>
      <c r="F611" s="30" t="s">
        <v>47</v>
      </c>
      <c r="G611" s="30" t="s">
        <v>47</v>
      </c>
    </row>
    <row r="612">
      <c r="A612" s="32">
        <v>382240.0</v>
      </c>
      <c r="B612" s="186">
        <v>43102.0</v>
      </c>
      <c r="C612" s="159" t="str">
        <f t="array" ref="C612:G612">VLOOKUP(A612,'Tracker- Removed 2018'!B:Q,{2,5,6,8,10},false)</f>
        <v>Project Management: Scope Management for Project Managers</v>
      </c>
      <c r="D612" s="30" t="s">
        <v>3915</v>
      </c>
      <c r="E612" s="30" t="s">
        <v>998</v>
      </c>
      <c r="F612" s="30" t="s">
        <v>47</v>
      </c>
      <c r="G612" s="30" t="s">
        <v>47</v>
      </c>
    </row>
    <row r="613">
      <c r="A613" s="32">
        <v>382280.0</v>
      </c>
      <c r="B613" s="186">
        <v>43102.0</v>
      </c>
      <c r="C613" s="159" t="str">
        <f t="array" ref="C613:G613">VLOOKUP(A613,'Tracker- Removed 2018'!B:Q,{2,5,6,8,10},false)</f>
        <v>Project Management: Time Management for Project Managers</v>
      </c>
      <c r="D613" s="30" t="s">
        <v>3915</v>
      </c>
      <c r="E613" s="30" t="s">
        <v>998</v>
      </c>
      <c r="F613" s="30" t="s">
        <v>47</v>
      </c>
      <c r="G613" s="30" t="s">
        <v>47</v>
      </c>
    </row>
    <row r="614">
      <c r="A614" s="32">
        <v>1153366.0</v>
      </c>
      <c r="B614" s="186">
        <v>43102.0</v>
      </c>
      <c r="C614" s="159" t="str">
        <f t="array" ref="C614:G614">VLOOKUP(A614,'Tracker- Removed 2018'!B:Q,{2,5,6,8,10},false)</f>
        <v>Sexual Harassment Prevention for Employees - 2017</v>
      </c>
      <c r="D614" s="30" t="s">
        <v>2958</v>
      </c>
      <c r="E614" s="30" t="s">
        <v>467</v>
      </c>
      <c r="F614" s="30" t="s">
        <v>47</v>
      </c>
      <c r="G614" s="30" t="s">
        <v>47</v>
      </c>
    </row>
    <row r="615">
      <c r="A615" s="32">
        <v>494286.0</v>
      </c>
      <c r="B615" s="186">
        <v>43102.0</v>
      </c>
      <c r="C615" s="159" t="str">
        <f t="array" ref="C615:G615">VLOOKUP(A615,'Tracker- Removed 2018'!B:Q,{2,5,6,8,10},false)</f>
        <v>Sexual Harassment Prevention for Managers</v>
      </c>
      <c r="D615" s="30" t="s">
        <v>2958</v>
      </c>
      <c r="E615" s="30" t="s">
        <v>467</v>
      </c>
      <c r="F615" s="30" t="s">
        <v>47</v>
      </c>
      <c r="G615" s="30" t="s">
        <v>47</v>
      </c>
    </row>
    <row r="616">
      <c r="A616" s="32">
        <v>1125992.0</v>
      </c>
      <c r="B616" s="186">
        <v>43102.0</v>
      </c>
      <c r="C616" s="159" t="str">
        <f t="array" ref="C616:G616">VLOOKUP(A616,'Tracker- Removed 2018'!B:Q,{2,5,6,8,10},false)</f>
        <v>Sexual Harassment Prevention Training for Managers - 2017</v>
      </c>
      <c r="D616" s="30" t="s">
        <v>2958</v>
      </c>
      <c r="E616" s="30" t="s">
        <v>467</v>
      </c>
      <c r="F616" s="30" t="s">
        <v>47</v>
      </c>
      <c r="G616" s="30" t="s">
        <v>47</v>
      </c>
    </row>
  </sheetData>
  <autoFilter ref="$A$3:$G$616"/>
  <mergeCells count="3">
    <mergeCell ref="B1:B2"/>
    <mergeCell ref="C1:F1"/>
    <mergeCell ref="C2:F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4.43" defaultRowHeight="15.75"/>
  <cols>
    <col customWidth="1" min="1" max="1" width="9.71"/>
    <col customWidth="1" min="2" max="2" width="14.43"/>
    <col customWidth="1" min="3" max="3" width="43.0"/>
    <col customWidth="1" min="4" max="5" width="24.43"/>
    <col customWidth="1" min="6" max="6" width="41.57"/>
    <col customWidth="1" min="7" max="7" width="42.86"/>
  </cols>
  <sheetData>
    <row r="1" ht="19.5" customHeight="1">
      <c r="A1" s="71"/>
      <c r="B1" s="147"/>
      <c r="C1" s="163" t="s">
        <v>706</v>
      </c>
      <c r="G1" s="22"/>
    </row>
    <row r="2" ht="47.25" customHeight="1">
      <c r="A2" s="71"/>
      <c r="C2" s="171" t="s">
        <v>3236</v>
      </c>
      <c r="G2" s="76"/>
    </row>
    <row r="3">
      <c r="A3" s="172" t="s">
        <v>27</v>
      </c>
      <c r="B3" s="173" t="s">
        <v>3904</v>
      </c>
      <c r="C3" s="172" t="s">
        <v>3905</v>
      </c>
      <c r="D3" s="172" t="s">
        <v>3906</v>
      </c>
      <c r="E3" s="172" t="s">
        <v>3907</v>
      </c>
      <c r="F3" s="174" t="s">
        <v>34</v>
      </c>
      <c r="G3" s="174" t="s">
        <v>36</v>
      </c>
    </row>
    <row r="4">
      <c r="A4" s="160">
        <v>749838.0</v>
      </c>
      <c r="B4" s="176">
        <f t="array" ref="B4">INDEX('Tracker- Removed 2017'!A:A,match(A4,'Tracker- Removed 2017'!B:B,0))</f>
        <v>43077</v>
      </c>
      <c r="C4" s="159" t="str">
        <f t="array" ref="C4:G4">VLOOKUP(A4,'Tracker- Removed 2017'!B:Q,{2,8,9,11,13},false)</f>
        <v>#N/A</v>
      </c>
      <c r="D4" s="30" t="s">
        <v>3908</v>
      </c>
      <c r="E4" s="30" t="s">
        <v>75</v>
      </c>
      <c r="F4" s="30" t="s">
        <v>47</v>
      </c>
      <c r="G4" s="30" t="s">
        <v>47</v>
      </c>
    </row>
    <row r="5">
      <c r="A5" s="160">
        <v>153722.0</v>
      </c>
      <c r="B5" s="176">
        <f t="array" ref="B5">INDEX('Tracker- Removed 2017'!A:A,match(A5,'Tracker- Removed 2017'!B:B,0))</f>
        <v>43069</v>
      </c>
      <c r="C5" s="159" t="str">
        <f t="array" ref="C5:G5">VLOOKUP(A5,'Tracker- Removed 2017'!B:Q,{2,8,9,11,13},false)</f>
        <v>#N/A</v>
      </c>
      <c r="D5" s="30" t="s">
        <v>105</v>
      </c>
      <c r="E5" s="30" t="s">
        <v>198</v>
      </c>
      <c r="F5" s="30" t="s">
        <v>47</v>
      </c>
      <c r="G5" s="30" t="s">
        <v>47</v>
      </c>
    </row>
    <row r="6">
      <c r="A6" s="160">
        <v>953294.0</v>
      </c>
      <c r="B6" s="176">
        <f t="array" ref="B6">INDEX('Tracker- Removed 2017'!A:A,match(A6,'Tracker- Removed 2017'!B:B,0))</f>
        <v>43069</v>
      </c>
      <c r="C6" s="159" t="str">
        <f t="array" ref="C6:G6">VLOOKUP(A6,'Tracker- Removed 2017'!B:Q,{2,8,9,11,13},false)</f>
        <v>#N/A</v>
      </c>
      <c r="D6" s="30" t="s">
        <v>39</v>
      </c>
      <c r="E6" s="30" t="s">
        <v>3910</v>
      </c>
      <c r="F6" s="30" t="s">
        <v>47</v>
      </c>
      <c r="G6" s="30" t="s">
        <v>47</v>
      </c>
    </row>
    <row r="7">
      <c r="A7" s="160">
        <v>672916.0</v>
      </c>
      <c r="B7" s="176">
        <f t="array" ref="B7">INDEX('Tracker- Removed 2017'!A:A,match(A7,'Tracker- Removed 2017'!B:B,0))</f>
        <v>43069</v>
      </c>
      <c r="C7" s="159" t="str">
        <f t="array" ref="C7:G7">VLOOKUP(A7,'Tracker- Removed 2017'!B:Q,{2,8,9,11,13},false)</f>
        <v>#N/A</v>
      </c>
      <c r="D7" s="30" t="s">
        <v>39</v>
      </c>
      <c r="E7" s="30" t="s">
        <v>3911</v>
      </c>
      <c r="F7" s="30" t="s">
        <v>47</v>
      </c>
      <c r="G7" s="30" t="s">
        <v>47</v>
      </c>
    </row>
    <row r="8">
      <c r="A8" s="160">
        <v>153720.0</v>
      </c>
      <c r="B8" s="176">
        <f t="array" ref="B8">INDEX('Tracker- Removed 2017'!A:A,match(A8,'Tracker- Removed 2017'!B:B,0))</f>
        <v>43069</v>
      </c>
      <c r="C8" s="159" t="str">
        <f t="array" ref="C8:G8">VLOOKUP(A8,'Tracker- Removed 2017'!B:Q,{2,8,9,11,13},false)</f>
        <v>#N/A</v>
      </c>
      <c r="D8" s="30" t="s">
        <v>39</v>
      </c>
      <c r="E8" s="30" t="s">
        <v>140</v>
      </c>
      <c r="F8" s="30" t="s">
        <v>47</v>
      </c>
      <c r="G8" s="30" t="s">
        <v>47</v>
      </c>
    </row>
    <row r="9">
      <c r="A9" s="160">
        <v>194608.0</v>
      </c>
      <c r="B9" s="176">
        <f t="array" ref="B9">INDEX('Tracker- Removed 2017'!A:A,match(A9,'Tracker- Removed 2017'!B:B,0))</f>
        <v>43069</v>
      </c>
      <c r="C9" s="159" t="str">
        <f t="array" ref="C9:G9">VLOOKUP(A9,'Tracker- Removed 2017'!B:Q,{2,8,9,11,13},false)</f>
        <v>#N/A</v>
      </c>
      <c r="D9" s="30" t="s">
        <v>538</v>
      </c>
      <c r="E9" s="30" t="s">
        <v>271</v>
      </c>
      <c r="F9" s="30" t="s">
        <v>47</v>
      </c>
      <c r="G9" s="30" t="s">
        <v>47</v>
      </c>
    </row>
    <row r="10">
      <c r="A10" s="160">
        <v>48831.0</v>
      </c>
      <c r="B10" s="176">
        <f t="array" ref="B10">INDEX('Tracker- Removed 2017'!A:A,match(A10,'Tracker- Removed 2017'!B:B,0))</f>
        <v>43069</v>
      </c>
      <c r="C10" s="159" t="str">
        <f t="array" ref="C10:G10">VLOOKUP(A10,'Tracker- Removed 2017'!B:Q,{2,8,9,11,13},false)</f>
        <v>#N/A</v>
      </c>
      <c r="D10" s="30" t="s">
        <v>83</v>
      </c>
      <c r="E10" s="30" t="s">
        <v>147</v>
      </c>
      <c r="F10" s="30" t="s">
        <v>47</v>
      </c>
      <c r="G10" s="30" t="s">
        <v>47</v>
      </c>
    </row>
    <row r="11">
      <c r="A11" s="160">
        <v>629502.0</v>
      </c>
      <c r="B11" s="176">
        <f t="array" ref="B11">INDEX('Tracker- Removed 2017'!A:A,match(A11,'Tracker- Removed 2017'!B:B,0))</f>
        <v>43069</v>
      </c>
      <c r="C11" s="159" t="str">
        <f t="array" ref="C11:G11">VLOOKUP(A11,'Tracker- Removed 2017'!B:Q,{2,8,9,11,13},false)</f>
        <v>#N/A</v>
      </c>
      <c r="D11" s="30" t="s">
        <v>83</v>
      </c>
      <c r="E11" s="30" t="s">
        <v>330</v>
      </c>
      <c r="F11" s="30" t="s">
        <v>47</v>
      </c>
      <c r="G11" s="30" t="s">
        <v>47</v>
      </c>
    </row>
    <row r="12">
      <c r="A12" s="160">
        <v>493896.0</v>
      </c>
      <c r="B12" s="176">
        <f t="array" ref="B12">INDEX('Tracker- Removed 2017'!A:A,match(A12,'Tracker- Removed 2017'!B:B,0))</f>
        <v>43069</v>
      </c>
      <c r="C12" s="159" t="str">
        <f t="array" ref="C12:G12">VLOOKUP(A12,'Tracker- Removed 2017'!B:Q,{2,8,9,11,13},false)</f>
        <v>#N/A</v>
      </c>
      <c r="D12" s="30" t="s">
        <v>189</v>
      </c>
      <c r="E12" s="30" t="s">
        <v>3912</v>
      </c>
      <c r="F12" s="30" t="s">
        <v>47</v>
      </c>
      <c r="G12" s="30" t="s">
        <v>47</v>
      </c>
    </row>
    <row r="13">
      <c r="A13" s="160">
        <v>987786.0</v>
      </c>
      <c r="B13" s="176">
        <f t="array" ref="B13">INDEX('Tracker- Removed 2017'!A:A,match(A13,'Tracker- Removed 2017'!B:B,0))</f>
        <v>43069</v>
      </c>
      <c r="C13" s="159" t="str">
        <f t="array" ref="C13:G13">VLOOKUP(A13,'Tracker- Removed 2017'!B:Q,{2,8,9,11,13},false)</f>
        <v>#N/A</v>
      </c>
      <c r="D13" s="30" t="s">
        <v>189</v>
      </c>
      <c r="E13" s="30" t="s">
        <v>190</v>
      </c>
      <c r="F13" s="30" t="s">
        <v>47</v>
      </c>
      <c r="G13" s="30" t="s">
        <v>47</v>
      </c>
    </row>
    <row r="14">
      <c r="A14" s="160">
        <v>979552.0</v>
      </c>
      <c r="B14" s="176">
        <f t="array" ref="B14">INDEX('Tracker- Removed 2017'!A:A,match(A14,'Tracker- Removed 2017'!B:B,0))</f>
        <v>43069</v>
      </c>
      <c r="C14" s="159" t="str">
        <f t="array" ref="C14:G14">VLOOKUP(A14,'Tracker- Removed 2017'!B:Q,{2,8,9,11,13},false)</f>
        <v>#N/A</v>
      </c>
      <c r="D14" s="30" t="s">
        <v>3915</v>
      </c>
      <c r="E14" s="30" t="s">
        <v>261</v>
      </c>
      <c r="F14" s="30" t="s">
        <v>47</v>
      </c>
      <c r="G14" s="30" t="s">
        <v>47</v>
      </c>
    </row>
    <row r="15">
      <c r="A15" s="160">
        <v>868432.0</v>
      </c>
      <c r="B15" s="176">
        <f t="array" ref="B15">INDEX('Tracker- Removed 2017'!A:A,match(A15,'Tracker- Removed 2017'!B:B,0))</f>
        <v>43060</v>
      </c>
      <c r="C15" s="159" t="str">
        <f t="array" ref="C15:G15">VLOOKUP(A15,'Tracker- Removed 2017'!B:Q,{2,8,9,11,13},false)</f>
        <v>#N/A</v>
      </c>
      <c r="D15" s="30" t="s">
        <v>538</v>
      </c>
      <c r="E15" s="30" t="s">
        <v>3918</v>
      </c>
      <c r="F15" s="30" t="s">
        <v>47</v>
      </c>
      <c r="G15" s="30" t="s">
        <v>47</v>
      </c>
    </row>
    <row r="16">
      <c r="A16" s="160">
        <v>849804.0</v>
      </c>
      <c r="B16" s="176">
        <f t="array" ref="B16">INDEX('Tracker- Removed 2017'!A:A,match(A16,'Tracker- Removed 2017'!B:B,0))</f>
        <v>43039</v>
      </c>
      <c r="C16" s="159" t="str">
        <f t="array" ref="C16:G16">VLOOKUP(A16,'Tracker- Removed 2017'!B:Q,{2,8,9,11,13},false)</f>
        <v>#N/A</v>
      </c>
      <c r="D16" s="30" t="s">
        <v>3915</v>
      </c>
      <c r="E16" s="30" t="s">
        <v>184</v>
      </c>
      <c r="F16" s="30" t="s">
        <v>47</v>
      </c>
      <c r="G16" s="30" t="s">
        <v>47</v>
      </c>
    </row>
    <row r="17">
      <c r="A17" s="160">
        <v>853948.0</v>
      </c>
      <c r="B17" s="176">
        <f t="array" ref="B17">INDEX('Tracker- Removed 2017'!A:A,match(A17,'Tracker- Removed 2017'!B:B,0))</f>
        <v>43039</v>
      </c>
      <c r="C17" s="159" t="str">
        <f t="array" ref="C17:G17">VLOOKUP(A17,'Tracker- Removed 2017'!B:Q,{2,8,9,11,13},false)</f>
        <v>#N/A</v>
      </c>
      <c r="D17" s="30" t="s">
        <v>3915</v>
      </c>
      <c r="E17" s="30" t="s">
        <v>184</v>
      </c>
      <c r="F17" s="30" t="s">
        <v>47</v>
      </c>
      <c r="G17" s="30" t="s">
        <v>47</v>
      </c>
    </row>
    <row r="18">
      <c r="A18" s="160">
        <v>755128.0</v>
      </c>
      <c r="B18" s="176">
        <f t="array" ref="B18">INDEX('Tracker- Removed 2017'!A:A,match(A18,'Tracker- Removed 2017'!B:B,0))</f>
        <v>43039</v>
      </c>
      <c r="C18" s="159" t="str">
        <f t="array" ref="C18:G18">VLOOKUP(A18,'Tracker- Removed 2017'!B:Q,{2,8,9,11,13},false)</f>
        <v>#N/A</v>
      </c>
      <c r="D18" s="30" t="s">
        <v>39</v>
      </c>
      <c r="E18" s="30" t="s">
        <v>140</v>
      </c>
      <c r="F18" s="30" t="s">
        <v>47</v>
      </c>
      <c r="G18" s="30" t="s">
        <v>47</v>
      </c>
    </row>
    <row r="19">
      <c r="A19" s="194">
        <v>441914.0</v>
      </c>
      <c r="B19" s="176">
        <f t="array" ref="B19">INDEX('Tracker- Removed 2017'!A:A,match(A19,'Tracker- Removed 2017'!B:B,0))</f>
        <v>43039</v>
      </c>
      <c r="C19" s="159" t="str">
        <f t="array" ref="C19:G19">VLOOKUP(A19,'Tracker- Removed 2017'!B:Q,{2,8,9,11,13},false)</f>
        <v>#N/A</v>
      </c>
      <c r="D19" s="30" t="s">
        <v>3915</v>
      </c>
      <c r="E19" s="30" t="s">
        <v>184</v>
      </c>
      <c r="F19" s="30" t="s">
        <v>47</v>
      </c>
      <c r="G19" s="30" t="s">
        <v>47</v>
      </c>
    </row>
    <row r="20">
      <c r="A20" s="194">
        <v>467294.0</v>
      </c>
      <c r="B20" s="176">
        <f t="array" ref="B20">INDEX('Tracker- Removed 2017'!A:A,match(A20,'Tracker- Removed 2017'!B:B,0))</f>
        <v>43039</v>
      </c>
      <c r="C20" s="159" t="str">
        <f t="array" ref="C20:G20">VLOOKUP(A20,'Tracker- Removed 2017'!B:Q,{2,8,9,11,13},false)</f>
        <v>#N/A</v>
      </c>
      <c r="D20" s="30" t="s">
        <v>3908</v>
      </c>
      <c r="E20" s="30" t="s">
        <v>3917</v>
      </c>
      <c r="F20" s="30" t="s">
        <v>47</v>
      </c>
      <c r="G20" s="30" t="s">
        <v>47</v>
      </c>
    </row>
    <row r="21">
      <c r="A21" s="195">
        <v>88440.0</v>
      </c>
      <c r="B21" s="176">
        <f t="array" ref="B21">INDEX('Tracker- Removed 2017'!A:A,match(A21,'Tracker- Removed 2017'!B:B,0))</f>
        <v>43039</v>
      </c>
      <c r="C21" s="159" t="str">
        <f t="array" ref="C21:G21">VLOOKUP(A21,'Tracker- Removed 2017'!B:Q,{2,8,9,11,13},false)</f>
        <v>#N/A</v>
      </c>
      <c r="D21" s="30" t="s">
        <v>83</v>
      </c>
      <c r="E21" s="30" t="s">
        <v>153</v>
      </c>
      <c r="F21" s="30" t="s">
        <v>47</v>
      </c>
      <c r="G21" s="30" t="s">
        <v>47</v>
      </c>
    </row>
    <row r="22">
      <c r="A22" s="195">
        <v>226440.0</v>
      </c>
      <c r="B22" s="176">
        <f t="array" ref="B22">INDEX('Tracker- Removed 2017'!A:A,match(A22,'Tracker- Removed 2017'!B:B,0))</f>
        <v>43039</v>
      </c>
      <c r="C22" s="159" t="str">
        <f t="array" ref="C22:G22">VLOOKUP(A22,'Tracker- Removed 2017'!B:Q,{2,8,9,11,13},false)</f>
        <v>#N/A</v>
      </c>
      <c r="D22" s="30" t="s">
        <v>3915</v>
      </c>
      <c r="E22" s="30" t="s">
        <v>80</v>
      </c>
      <c r="F22" s="30" t="s">
        <v>47</v>
      </c>
      <c r="G22" s="30" t="s">
        <v>47</v>
      </c>
    </row>
    <row r="23">
      <c r="A23" s="195">
        <v>988624.0</v>
      </c>
      <c r="B23" s="176">
        <f t="array" ref="B23">INDEX('Tracker- Removed 2017'!A:A,match(A23,'Tracker- Removed 2017'!B:B,0))</f>
        <v>43039</v>
      </c>
      <c r="C23" s="159" t="str">
        <f t="array" ref="C23:G23">VLOOKUP(A23,'Tracker- Removed 2017'!B:Q,{2,8,9,11,13},false)</f>
        <v>#N/A</v>
      </c>
      <c r="D23" s="30" t="s">
        <v>3915</v>
      </c>
      <c r="E23" s="30" t="s">
        <v>3916</v>
      </c>
      <c r="F23" s="30" t="s">
        <v>47</v>
      </c>
      <c r="G23" s="30" t="s">
        <v>47</v>
      </c>
    </row>
    <row r="24">
      <c r="A24" s="195">
        <v>508822.0</v>
      </c>
      <c r="B24" s="176">
        <f t="array" ref="B24">INDEX('Tracker- Removed 2017'!A:A,match(A24,'Tracker- Removed 2017'!B:B,0))</f>
        <v>43039</v>
      </c>
      <c r="C24" s="159" t="str">
        <f t="array" ref="C24:G24">VLOOKUP(A24,'Tracker- Removed 2017'!B:Q,{2,8,9,11,13},false)</f>
        <v>#N/A</v>
      </c>
      <c r="D24" s="30" t="s">
        <v>83</v>
      </c>
      <c r="E24" s="30" t="s">
        <v>153</v>
      </c>
      <c r="F24" s="30" t="s">
        <v>47</v>
      </c>
      <c r="G24" s="30" t="s">
        <v>47</v>
      </c>
    </row>
    <row r="25">
      <c r="A25" s="195">
        <v>57946.0</v>
      </c>
      <c r="B25" s="176">
        <f t="array" ref="B25">INDEX('Tracker- Removed 2017'!A:A,match(A25,'Tracker- Removed 2017'!B:B,0))</f>
        <v>43039</v>
      </c>
      <c r="C25" s="159" t="str">
        <f t="array" ref="C25:G25">VLOOKUP(A25,'Tracker- Removed 2017'!B:Q,{2,8,9,11,13},false)</f>
        <v>#N/A</v>
      </c>
      <c r="D25" s="30" t="s">
        <v>3915</v>
      </c>
      <c r="E25" s="30" t="s">
        <v>261</v>
      </c>
      <c r="F25" s="30" t="s">
        <v>47</v>
      </c>
      <c r="G25" s="30" t="s">
        <v>47</v>
      </c>
    </row>
    <row r="26">
      <c r="A26" s="195">
        <v>177214.0</v>
      </c>
      <c r="B26" s="176">
        <f t="array" ref="B26">INDEX('Tracker- Removed 2017'!A:A,match(A26,'Tracker- Removed 2017'!B:B,0))</f>
        <v>43039</v>
      </c>
      <c r="C26" s="159" t="str">
        <f t="array" ref="C26:G26">VLOOKUP(A26,'Tracker- Removed 2017'!B:Q,{2,8,9,11,13},false)</f>
        <v>#N/A</v>
      </c>
      <c r="D26" s="30" t="s">
        <v>3915</v>
      </c>
      <c r="E26" s="30" t="s">
        <v>80</v>
      </c>
      <c r="F26" s="30" t="s">
        <v>47</v>
      </c>
      <c r="G26" s="30" t="s">
        <v>47</v>
      </c>
    </row>
    <row r="27">
      <c r="A27" s="179">
        <v>274480.0</v>
      </c>
      <c r="B27" s="176">
        <f t="array" ref="B27">INDEX('Tracker- Removed 2017'!A:A,match(A27,'Tracker- Removed 2017'!B:B,0))</f>
        <v>43039</v>
      </c>
      <c r="C27" s="159" t="str">
        <f t="array" ref="C27:G27">VLOOKUP(A27,'Tracker- Removed 2017'!B:Q,{2,8,9,11,13},false)</f>
        <v>#N/A</v>
      </c>
      <c r="D27" s="30" t="s">
        <v>3915</v>
      </c>
      <c r="E27" s="30" t="s">
        <v>261</v>
      </c>
      <c r="F27" s="30" t="s">
        <v>47</v>
      </c>
      <c r="G27" s="30" t="s">
        <v>47</v>
      </c>
    </row>
    <row r="28">
      <c r="A28" s="179">
        <v>124732.0</v>
      </c>
      <c r="B28" s="176">
        <f t="array" ref="B28">INDEX('Tracker- Removed 2017'!A:A,match(A28,'Tracker- Removed 2017'!B:B,0))</f>
        <v>43039</v>
      </c>
      <c r="C28" s="159" t="str">
        <f t="array" ref="C28:G28">VLOOKUP(A28,'Tracker- Removed 2017'!B:Q,{2,8,9,11,13},false)</f>
        <v>#N/A</v>
      </c>
      <c r="D28" s="30" t="s">
        <v>3915</v>
      </c>
      <c r="E28" s="30" t="s">
        <v>3916</v>
      </c>
      <c r="F28" s="30" t="s">
        <v>47</v>
      </c>
      <c r="G28" s="30" t="s">
        <v>47</v>
      </c>
    </row>
    <row r="29">
      <c r="A29" s="179">
        <v>387498.0</v>
      </c>
      <c r="B29" s="176">
        <f t="array" ref="B29">INDEX('Tracker- Removed 2017'!A:A,match(A29,'Tracker- Removed 2017'!B:B,0))</f>
        <v>43039</v>
      </c>
      <c r="C29" s="159" t="str">
        <f t="array" ref="C29:G29">VLOOKUP(A29,'Tracker- Removed 2017'!B:Q,{2,8,9,11,13},false)</f>
        <v>#N/A</v>
      </c>
      <c r="D29" s="30" t="s">
        <v>83</v>
      </c>
      <c r="E29" s="30" t="s">
        <v>153</v>
      </c>
      <c r="F29" s="30" t="s">
        <v>47</v>
      </c>
      <c r="G29" s="30" t="s">
        <v>47</v>
      </c>
    </row>
    <row r="30">
      <c r="A30" s="179">
        <v>727526.0</v>
      </c>
      <c r="B30" s="176">
        <f t="array" ref="B30">INDEX('Tracker- Removed 2017'!A:A,match(A30,'Tracker- Removed 2017'!B:B,0))</f>
        <v>43039</v>
      </c>
      <c r="C30" s="159" t="str">
        <f t="array" ref="C30:G30">VLOOKUP(A30,'Tracker- Removed 2017'!B:Q,{2,8,9,11,13},false)</f>
        <v>#N/A</v>
      </c>
      <c r="D30" s="30" t="s">
        <v>3915</v>
      </c>
      <c r="E30" s="30" t="s">
        <v>261</v>
      </c>
      <c r="F30" s="30" t="s">
        <v>47</v>
      </c>
      <c r="G30" s="30" t="s">
        <v>47</v>
      </c>
    </row>
    <row r="31">
      <c r="A31" s="179">
        <v>361810.0</v>
      </c>
      <c r="B31" s="176">
        <f t="array" ref="B31">INDEX('Tracker- Removed 2017'!A:A,match(A31,'Tracker- Removed 2017'!B:B,0))</f>
        <v>43039</v>
      </c>
      <c r="C31" s="159" t="str">
        <f t="array" ref="C31:G31">VLOOKUP(A31,'Tracker- Removed 2017'!B:Q,{2,8,9,11,13},false)</f>
        <v>#N/A</v>
      </c>
      <c r="D31" s="30" t="s">
        <v>3908</v>
      </c>
      <c r="E31" s="30" t="s">
        <v>75</v>
      </c>
      <c r="F31" s="30" t="s">
        <v>47</v>
      </c>
      <c r="G31" s="30" t="s">
        <v>47</v>
      </c>
    </row>
    <row r="32">
      <c r="A32" s="179">
        <v>329746.0</v>
      </c>
      <c r="B32" s="176">
        <f t="array" ref="B32">INDEX('Tracker- Removed 2017'!A:A,match(A32,'Tracker- Removed 2017'!B:B,0))</f>
        <v>43039</v>
      </c>
      <c r="C32" s="159" t="str">
        <f t="array" ref="C32:G32">VLOOKUP(A32,'Tracker- Removed 2017'!B:Q,{2,8,9,11,13},false)</f>
        <v>#N/A</v>
      </c>
      <c r="D32" s="30" t="s">
        <v>3908</v>
      </c>
      <c r="E32" s="30" t="s">
        <v>75</v>
      </c>
      <c r="F32" s="30" t="s">
        <v>47</v>
      </c>
      <c r="G32" s="30" t="s">
        <v>47</v>
      </c>
    </row>
    <row r="33">
      <c r="A33" s="179">
        <v>325852.0</v>
      </c>
      <c r="B33" s="176">
        <f t="array" ref="B33">INDEX('Tracker- Removed 2017'!A:A,match(A33,'Tracker- Removed 2017'!B:B,0))</f>
        <v>43039</v>
      </c>
      <c r="C33" s="159" t="str">
        <f t="array" ref="C33:G33">VLOOKUP(A33,'Tracker- Removed 2017'!B:Q,{2,8,9,11,13},false)</f>
        <v>#N/A</v>
      </c>
      <c r="D33" s="30" t="s">
        <v>3908</v>
      </c>
      <c r="E33" s="30" t="s">
        <v>75</v>
      </c>
      <c r="F33" s="30" t="s">
        <v>47</v>
      </c>
      <c r="G33" s="30" t="s">
        <v>47</v>
      </c>
    </row>
    <row r="34">
      <c r="A34" s="179">
        <v>315996.0</v>
      </c>
      <c r="B34" s="176">
        <f t="array" ref="B34">INDEX('Tracker- Removed 2017'!A:A,match(A34,'Tracker- Removed 2017'!B:B,0))</f>
        <v>43039</v>
      </c>
      <c r="C34" s="159" t="str">
        <f t="array" ref="C34:G34">VLOOKUP(A34,'Tracker- Removed 2017'!B:Q,{2,8,9,11,13},false)</f>
        <v>#N/A</v>
      </c>
      <c r="D34" s="30" t="s">
        <v>3908</v>
      </c>
      <c r="E34" s="30" t="s">
        <v>75</v>
      </c>
      <c r="F34" s="30" t="s">
        <v>47</v>
      </c>
      <c r="G34" s="30" t="s">
        <v>47</v>
      </c>
    </row>
    <row r="35">
      <c r="A35" s="179">
        <v>342122.0</v>
      </c>
      <c r="B35" s="176">
        <f t="array" ref="B35">INDEX('Tracker- Removed 2017'!A:A,match(A35,'Tracker- Removed 2017'!B:B,0))</f>
        <v>43039</v>
      </c>
      <c r="C35" s="159" t="str">
        <f t="array" ref="C35:G35">VLOOKUP(A35,'Tracker- Removed 2017'!B:Q,{2,8,9,11,13},false)</f>
        <v>#N/A</v>
      </c>
      <c r="D35" s="30" t="s">
        <v>3908</v>
      </c>
      <c r="E35" s="30" t="s">
        <v>46</v>
      </c>
      <c r="F35" s="30" t="s">
        <v>47</v>
      </c>
      <c r="G35" s="30" t="s">
        <v>47</v>
      </c>
    </row>
    <row r="36">
      <c r="A36" s="179">
        <v>378662.0</v>
      </c>
      <c r="B36" s="176">
        <f t="array" ref="B36">INDEX('Tracker- Removed 2017'!A:A,match(A36,'Tracker- Removed 2017'!B:B,0))</f>
        <v>43039</v>
      </c>
      <c r="C36" s="159" t="str">
        <f t="array" ref="C36:G36">VLOOKUP(A36,'Tracker- Removed 2017'!B:Q,{2,8,9,11,13},false)</f>
        <v>#N/A</v>
      </c>
      <c r="D36" s="30" t="s">
        <v>3908</v>
      </c>
      <c r="E36" s="30" t="s">
        <v>46</v>
      </c>
      <c r="F36" s="30" t="s">
        <v>47</v>
      </c>
      <c r="G36" s="30" t="s">
        <v>47</v>
      </c>
    </row>
    <row r="37">
      <c r="A37" s="179">
        <v>564598.0</v>
      </c>
      <c r="B37" s="176">
        <f t="array" ref="B37">INDEX('Tracker- Removed 2017'!A:A,match(A37,'Tracker- Removed 2017'!B:B,0))</f>
        <v>43039</v>
      </c>
      <c r="C37" s="159" t="str">
        <f t="array" ref="C37:G37">VLOOKUP(A37,'Tracker- Removed 2017'!B:Q,{2,8,9,11,13},false)</f>
        <v>#N/A</v>
      </c>
      <c r="D37" s="30" t="s">
        <v>3915</v>
      </c>
      <c r="E37" s="30" t="s">
        <v>184</v>
      </c>
      <c r="F37" s="30" t="s">
        <v>47</v>
      </c>
      <c r="G37" s="30" t="s">
        <v>47</v>
      </c>
    </row>
    <row r="38">
      <c r="A38" s="179">
        <v>34268.0</v>
      </c>
      <c r="B38" s="176">
        <f t="array" ref="B38">INDEX('Tracker- Removed 2017'!A:A,match(A38,'Tracker- Removed 2017'!B:B,0))</f>
        <v>43039</v>
      </c>
      <c r="C38" s="159" t="str">
        <f t="array" ref="C38:G38">VLOOKUP(A38,'Tracker- Removed 2017'!B:Q,{2,8,9,11,13},false)</f>
        <v>#N/A</v>
      </c>
      <c r="D38" s="30" t="s">
        <v>3915</v>
      </c>
      <c r="E38" s="30" t="s">
        <v>184</v>
      </c>
      <c r="F38" s="30" t="s">
        <v>47</v>
      </c>
      <c r="G38" s="30" t="s">
        <v>47</v>
      </c>
    </row>
    <row r="39">
      <c r="A39" s="179">
        <v>383708.0</v>
      </c>
      <c r="B39" s="176">
        <f t="array" ref="B39">INDEX('Tracker- Removed 2017'!A:A,match(A39,'Tracker- Removed 2017'!B:B,0))</f>
        <v>43039</v>
      </c>
      <c r="C39" s="159" t="str">
        <f t="array" ref="C39:G39">VLOOKUP(A39,'Tracker- Removed 2017'!B:Q,{2,8,9,11,13},false)</f>
        <v>#N/A</v>
      </c>
      <c r="D39" s="30" t="s">
        <v>3915</v>
      </c>
      <c r="E39" s="30" t="s">
        <v>184</v>
      </c>
      <c r="F39" s="30" t="s">
        <v>47</v>
      </c>
      <c r="G39" s="30" t="s">
        <v>47</v>
      </c>
    </row>
    <row r="40">
      <c r="A40" s="179">
        <v>354886.0</v>
      </c>
      <c r="B40" s="176">
        <f t="array" ref="B40">INDEX('Tracker- Removed 2017'!A:A,match(A40,'Tracker- Removed 2017'!B:B,0))</f>
        <v>43039</v>
      </c>
      <c r="C40" s="159" t="str">
        <f t="array" ref="C40:G40">VLOOKUP(A40,'Tracker- Removed 2017'!B:Q,{2,8,9,11,13},false)</f>
        <v>#N/A</v>
      </c>
      <c r="D40" s="30" t="s">
        <v>3915</v>
      </c>
      <c r="E40" s="30" t="s">
        <v>184</v>
      </c>
      <c r="F40" s="30" t="s">
        <v>47</v>
      </c>
      <c r="G40" s="30" t="s">
        <v>47</v>
      </c>
    </row>
    <row r="41">
      <c r="A41" s="179">
        <v>692176.0</v>
      </c>
      <c r="B41" s="176">
        <f t="array" ref="B41">INDEX('Tracker- Removed 2017'!A:A,match(A41,'Tracker- Removed 2017'!B:B,0))</f>
        <v>43039</v>
      </c>
      <c r="C41" s="159" t="str">
        <f t="array" ref="C41:G41">VLOOKUP(A41,'Tracker- Removed 2017'!B:Q,{2,8,9,11,13},false)</f>
        <v>#N/A</v>
      </c>
      <c r="D41" s="30" t="s">
        <v>3915</v>
      </c>
      <c r="E41" s="30" t="s">
        <v>998</v>
      </c>
      <c r="F41" s="30" t="s">
        <v>47</v>
      </c>
      <c r="G41" s="30" t="s">
        <v>47</v>
      </c>
    </row>
    <row r="42">
      <c r="A42" s="179">
        <v>113312.0</v>
      </c>
      <c r="B42" s="176">
        <f t="array" ref="B42">INDEX('Tracker- Removed 2017'!A:A,match(A42,'Tracker- Removed 2017'!B:B,0))</f>
        <v>43039</v>
      </c>
      <c r="C42" s="159" t="str">
        <f t="array" ref="C42:G42">VLOOKUP(A42,'Tracker- Removed 2017'!B:Q,{2,8,9,11,13},false)</f>
        <v>#N/A</v>
      </c>
      <c r="D42" s="30" t="s">
        <v>3915</v>
      </c>
      <c r="E42" s="30" t="s">
        <v>80</v>
      </c>
      <c r="F42" s="30" t="s">
        <v>47</v>
      </c>
      <c r="G42" s="30" t="s">
        <v>47</v>
      </c>
    </row>
    <row r="43">
      <c r="A43" s="179">
        <v>21660.0</v>
      </c>
      <c r="B43" s="176">
        <f t="array" ref="B43">INDEX('Tracker- Removed 2017'!A:A,match(A43,'Tracker- Removed 2017'!B:B,0))</f>
        <v>43039</v>
      </c>
      <c r="C43" s="159" t="str">
        <f t="array" ref="C43:G43">VLOOKUP(A43,'Tracker- Removed 2017'!B:Q,{2,8,9,11,13},false)</f>
        <v>#N/A</v>
      </c>
      <c r="D43" s="30" t="s">
        <v>3915</v>
      </c>
      <c r="E43" s="30" t="s">
        <v>80</v>
      </c>
      <c r="F43" s="30" t="s">
        <v>47</v>
      </c>
      <c r="G43" s="30" t="s">
        <v>47</v>
      </c>
    </row>
    <row r="44">
      <c r="A44" s="179">
        <v>21659.0</v>
      </c>
      <c r="B44" s="176">
        <f t="array" ref="B44">INDEX('Tracker- Removed 2017'!A:A,match(A44,'Tracker- Removed 2017'!B:B,0))</f>
        <v>43039</v>
      </c>
      <c r="C44" s="159" t="str">
        <f t="array" ref="C44:G44">VLOOKUP(A44,'Tracker- Removed 2017'!B:Q,{2,8,9,11,13},false)</f>
        <v>#N/A</v>
      </c>
      <c r="D44" s="30" t="s">
        <v>3915</v>
      </c>
      <c r="E44" s="30" t="s">
        <v>80</v>
      </c>
      <c r="F44" s="30" t="s">
        <v>47</v>
      </c>
      <c r="G44" s="30" t="s">
        <v>47</v>
      </c>
    </row>
    <row r="45">
      <c r="A45" s="179">
        <v>667122.0</v>
      </c>
      <c r="B45" s="176">
        <f t="array" ref="B45">INDEX('Tracker- Removed 2017'!A:A,match(A45,'Tracker- Removed 2017'!B:B,0))</f>
        <v>43032</v>
      </c>
      <c r="C45" s="159" t="str">
        <f t="array" ref="C45:G45">VLOOKUP(A45,'Tracker- Removed 2017'!B:Q,{2,8,9,11,13},false)</f>
        <v>#N/A</v>
      </c>
      <c r="D45" s="30" t="s">
        <v>39</v>
      </c>
      <c r="E45" s="30" t="s">
        <v>140</v>
      </c>
      <c r="F45" s="30" t="s">
        <v>47</v>
      </c>
      <c r="G45" s="30" t="s">
        <v>47</v>
      </c>
    </row>
    <row r="46">
      <c r="A46" s="179">
        <v>484894.0</v>
      </c>
      <c r="B46" s="176">
        <f t="array" ref="B46">INDEX('Tracker- Removed 2017'!A:A,match(A46,'Tracker- Removed 2017'!B:B,0))</f>
        <v>43007</v>
      </c>
      <c r="C46" s="159" t="str">
        <f t="array" ref="C46:G46">VLOOKUP(A46,'Tracker- Removed 2017'!B:Q,{2,8,9,11,13},false)</f>
        <v>#N/A</v>
      </c>
      <c r="D46" s="30" t="s">
        <v>105</v>
      </c>
      <c r="E46" s="30" t="s">
        <v>253</v>
      </c>
      <c r="F46" s="30" t="s">
        <v>47</v>
      </c>
      <c r="G46" s="30" t="s">
        <v>47</v>
      </c>
    </row>
    <row r="47">
      <c r="A47" s="179">
        <v>328832.0</v>
      </c>
      <c r="B47" s="176">
        <f t="array" ref="B47">INDEX('Tracker- Removed 2017'!A:A,match(A47,'Tracker- Removed 2017'!B:B,0))</f>
        <v>43007</v>
      </c>
      <c r="C47" s="159" t="str">
        <f t="array" ref="C47:G47">VLOOKUP(A47,'Tracker- Removed 2017'!B:Q,{2,8,9,11,13},false)</f>
        <v>#N/A</v>
      </c>
      <c r="D47" s="30" t="s">
        <v>105</v>
      </c>
      <c r="E47" s="30" t="s">
        <v>253</v>
      </c>
      <c r="F47" s="30" t="s">
        <v>47</v>
      </c>
      <c r="G47" s="30" t="s">
        <v>47</v>
      </c>
    </row>
    <row r="48">
      <c r="A48" s="179">
        <v>353140.0</v>
      </c>
      <c r="B48" s="176">
        <f t="array" ref="B48">INDEX('Tracker- Removed 2017'!A:A,match(A48,'Tracker- Removed 2017'!B:B,0))</f>
        <v>43007</v>
      </c>
      <c r="C48" s="159" t="str">
        <f t="array" ref="C48:G48">VLOOKUP(A48,'Tracker- Removed 2017'!B:Q,{2,8,9,11,13},false)</f>
        <v>#N/A</v>
      </c>
      <c r="D48" s="30" t="s">
        <v>105</v>
      </c>
      <c r="E48" s="30" t="s">
        <v>253</v>
      </c>
      <c r="F48" s="30" t="s">
        <v>47</v>
      </c>
      <c r="G48" s="30" t="s">
        <v>47</v>
      </c>
    </row>
    <row r="49">
      <c r="A49" s="179">
        <v>402508.0</v>
      </c>
      <c r="B49" s="176">
        <f t="array" ref="B49">INDEX('Tracker- Removed 2017'!A:A,match(A49,'Tracker- Removed 2017'!B:B,0))</f>
        <v>43007</v>
      </c>
      <c r="C49" s="159" t="str">
        <f t="array" ref="C49:G49">VLOOKUP(A49,'Tracker- Removed 2017'!B:Q,{2,8,9,11,13},false)</f>
        <v>#N/A</v>
      </c>
      <c r="D49" s="30" t="s">
        <v>105</v>
      </c>
      <c r="E49" s="30" t="s">
        <v>316</v>
      </c>
      <c r="F49" s="30" t="s">
        <v>47</v>
      </c>
      <c r="G49" s="30" t="s">
        <v>47</v>
      </c>
    </row>
    <row r="50">
      <c r="A50" s="179">
        <v>426838.0</v>
      </c>
      <c r="B50" s="176">
        <f t="array" ref="B50">INDEX('Tracker- Removed 2017'!A:A,match(A50,'Tracker- Removed 2017'!B:B,0))</f>
        <v>43007</v>
      </c>
      <c r="C50" s="159" t="str">
        <f t="array" ref="C50:G50">VLOOKUP(A50,'Tracker- Removed 2017'!B:Q,{2,8,9,11,13},false)</f>
        <v>#N/A</v>
      </c>
      <c r="D50" s="30" t="s">
        <v>39</v>
      </c>
      <c r="E50" s="30" t="s">
        <v>50</v>
      </c>
      <c r="F50" s="30" t="s">
        <v>47</v>
      </c>
      <c r="G50" s="30" t="s">
        <v>47</v>
      </c>
    </row>
    <row r="51">
      <c r="A51" s="179">
        <v>776938.0</v>
      </c>
      <c r="B51" s="176">
        <f t="array" ref="B51">INDEX('Tracker- Removed 2017'!A:A,match(A51,'Tracker- Removed 2017'!B:B,0))</f>
        <v>43007</v>
      </c>
      <c r="C51" s="159" t="str">
        <f t="array" ref="C51:G51">VLOOKUP(A51,'Tracker- Removed 2017'!B:Q,{2,8,9,11,13},false)</f>
        <v>#N/A</v>
      </c>
      <c r="D51" s="30" t="s">
        <v>39</v>
      </c>
      <c r="E51" s="30" t="s">
        <v>50</v>
      </c>
      <c r="F51" s="30" t="s">
        <v>47</v>
      </c>
      <c r="G51" s="30" t="s">
        <v>47</v>
      </c>
    </row>
    <row r="52">
      <c r="A52" s="179">
        <v>581036.0</v>
      </c>
      <c r="B52" s="176">
        <f t="array" ref="B52">INDEX('Tracker- Removed 2017'!A:A,match(A52,'Tracker- Removed 2017'!B:B,0))</f>
        <v>43007</v>
      </c>
      <c r="C52" s="159" t="str">
        <f t="array" ref="C52:G52">VLOOKUP(A52,'Tracker- Removed 2017'!B:Q,{2,8,9,11,13},false)</f>
        <v>#N/A</v>
      </c>
      <c r="D52" s="30" t="s">
        <v>39</v>
      </c>
      <c r="E52" s="30" t="s">
        <v>50</v>
      </c>
      <c r="F52" s="30" t="s">
        <v>47</v>
      </c>
      <c r="G52" s="30" t="s">
        <v>47</v>
      </c>
    </row>
    <row r="53">
      <c r="A53" s="179">
        <v>921474.0</v>
      </c>
      <c r="B53" s="176">
        <f t="array" ref="B53">INDEX('Tracker- Removed 2017'!A:A,match(A53,'Tracker- Removed 2017'!B:B,0))</f>
        <v>43007</v>
      </c>
      <c r="C53" s="159" t="str">
        <f t="array" ref="C53:G53">VLOOKUP(A53,'Tracker- Removed 2017'!B:Q,{2,8,9,11,13},false)</f>
        <v>#N/A</v>
      </c>
      <c r="D53" s="30" t="s">
        <v>39</v>
      </c>
      <c r="E53" s="30" t="s">
        <v>50</v>
      </c>
      <c r="F53" s="30" t="s">
        <v>47</v>
      </c>
      <c r="G53" s="30" t="s">
        <v>47</v>
      </c>
    </row>
    <row r="54">
      <c r="A54" s="179">
        <v>1005602.0</v>
      </c>
      <c r="B54" s="176">
        <f t="array" ref="B54">INDEX('Tracker- Removed 2017'!A:A,match(A54,'Tracker- Removed 2017'!B:B,0))</f>
        <v>43007</v>
      </c>
      <c r="C54" s="159" t="str">
        <f t="array" ref="C54:G54">VLOOKUP(A54,'Tracker- Removed 2017'!B:Q,{2,8,9,11,13},false)</f>
        <v>#N/A</v>
      </c>
      <c r="D54" s="30" t="s">
        <v>39</v>
      </c>
      <c r="E54" s="30" t="s">
        <v>214</v>
      </c>
      <c r="F54" s="30" t="s">
        <v>47</v>
      </c>
      <c r="G54" s="30" t="s">
        <v>47</v>
      </c>
    </row>
    <row r="55">
      <c r="A55" s="179">
        <v>920890.0</v>
      </c>
      <c r="B55" s="176">
        <f t="array" ref="B55">INDEX('Tracker- Removed 2017'!A:A,match(A55,'Tracker- Removed 2017'!B:B,0))</f>
        <v>43007</v>
      </c>
      <c r="C55" s="159" t="str">
        <f t="array" ref="C55:G55">VLOOKUP(A55,'Tracker- Removed 2017'!B:Q,{2,8,9,11,13},false)</f>
        <v>#N/A</v>
      </c>
      <c r="D55" s="30" t="s">
        <v>39</v>
      </c>
      <c r="E55" s="30" t="s">
        <v>214</v>
      </c>
      <c r="F55" s="30" t="s">
        <v>47</v>
      </c>
      <c r="G55" s="30" t="s">
        <v>47</v>
      </c>
    </row>
    <row r="56">
      <c r="A56" s="179">
        <v>720550.0</v>
      </c>
      <c r="B56" s="176">
        <f t="array" ref="B56">INDEX('Tracker- Removed 2017'!A:A,match(A56,'Tracker- Removed 2017'!B:B,0))</f>
        <v>43007</v>
      </c>
      <c r="C56" s="159" t="str">
        <f t="array" ref="C56:G56">VLOOKUP(A56,'Tracker- Removed 2017'!B:Q,{2,8,9,11,13},false)</f>
        <v>#N/A</v>
      </c>
      <c r="D56" s="30" t="s">
        <v>39</v>
      </c>
      <c r="E56" s="30" t="s">
        <v>3911</v>
      </c>
      <c r="F56" s="30" t="s">
        <v>47</v>
      </c>
      <c r="G56" s="30" t="s">
        <v>47</v>
      </c>
    </row>
    <row r="57">
      <c r="A57" s="179">
        <v>993142.0</v>
      </c>
      <c r="B57" s="176">
        <f t="array" ref="B57">INDEX('Tracker- Removed 2017'!A:A,match(A57,'Tracker- Removed 2017'!B:B,0))</f>
        <v>43007</v>
      </c>
      <c r="C57" s="159" t="str">
        <f t="array" ref="C57:G57">VLOOKUP(A57,'Tracker- Removed 2017'!B:Q,{2,8,9,11,13},false)</f>
        <v>#N/A</v>
      </c>
      <c r="D57" s="30" t="s">
        <v>39</v>
      </c>
      <c r="E57" s="30" t="s">
        <v>140</v>
      </c>
      <c r="F57" s="30" t="s">
        <v>47</v>
      </c>
      <c r="G57" s="30" t="s">
        <v>47</v>
      </c>
    </row>
    <row r="58">
      <c r="A58" s="179">
        <v>495414.0</v>
      </c>
      <c r="B58" s="176">
        <f t="array" ref="B58">INDEX('Tracker- Removed 2017'!A:A,match(A58,'Tracker- Removed 2017'!B:B,0))</f>
        <v>43007</v>
      </c>
      <c r="C58" s="159" t="str">
        <f t="array" ref="C58:G58">VLOOKUP(A58,'Tracker- Removed 2017'!B:Q,{2,8,9,11,13},false)</f>
        <v>#N/A</v>
      </c>
      <c r="D58" s="30" t="s">
        <v>2958</v>
      </c>
      <c r="E58" s="30" t="s">
        <v>467</v>
      </c>
      <c r="F58" s="30" t="s">
        <v>47</v>
      </c>
      <c r="G58" s="30" t="s">
        <v>47</v>
      </c>
    </row>
    <row r="59">
      <c r="A59" s="179">
        <v>42317.0</v>
      </c>
      <c r="B59" s="176">
        <f t="array" ref="B59">INDEX('Tracker- Removed 2017'!A:A,match(A59,'Tracker- Removed 2017'!B:B,0))</f>
        <v>43007</v>
      </c>
      <c r="C59" s="159" t="str">
        <f t="array" ref="C59:G59">VLOOKUP(A59,'Tracker- Removed 2017'!B:Q,{2,8,9,11,13},false)</f>
        <v>#N/A</v>
      </c>
      <c r="D59" s="30" t="s">
        <v>3908</v>
      </c>
      <c r="E59" s="30" t="s">
        <v>75</v>
      </c>
      <c r="F59" s="30" t="s">
        <v>47</v>
      </c>
      <c r="G59" s="30" t="s">
        <v>47</v>
      </c>
    </row>
    <row r="60">
      <c r="A60" s="179">
        <v>609178.0</v>
      </c>
      <c r="B60" s="176">
        <f t="array" ref="B60">INDEX('Tracker- Removed 2017'!A:A,match(A60,'Tracker- Removed 2017'!B:B,0))</f>
        <v>43007</v>
      </c>
      <c r="C60" s="159" t="str">
        <f t="array" ref="C60:G60">VLOOKUP(A60,'Tracker- Removed 2017'!B:Q,{2,8,9,11,13},false)</f>
        <v>#N/A</v>
      </c>
      <c r="D60" s="30" t="s">
        <v>3908</v>
      </c>
      <c r="E60" s="30" t="s">
        <v>75</v>
      </c>
      <c r="F60" s="30" t="s">
        <v>47</v>
      </c>
      <c r="G60" s="30" t="s">
        <v>47</v>
      </c>
    </row>
    <row r="61">
      <c r="A61" s="179">
        <v>661602.0</v>
      </c>
      <c r="B61" s="176">
        <f t="array" ref="B61">INDEX('Tracker- Removed 2017'!A:A,match(A61,'Tracker- Removed 2017'!B:B,0))</f>
        <v>43007</v>
      </c>
      <c r="C61" s="159" t="str">
        <f t="array" ref="C61:G61">VLOOKUP(A61,'Tracker- Removed 2017'!B:Q,{2,8,9,11,13},false)</f>
        <v>#N/A</v>
      </c>
      <c r="D61" s="30" t="s">
        <v>3908</v>
      </c>
      <c r="E61" s="30" t="s">
        <v>75</v>
      </c>
      <c r="F61" s="30" t="s">
        <v>47</v>
      </c>
      <c r="G61" s="30" t="s">
        <v>47</v>
      </c>
    </row>
    <row r="62">
      <c r="A62" s="179">
        <v>484088.0</v>
      </c>
      <c r="B62" s="176">
        <f t="array" ref="B62">INDEX('Tracker- Removed 2017'!A:A,match(A62,'Tracker- Removed 2017'!B:B,0))</f>
        <v>43007</v>
      </c>
      <c r="C62" s="159" t="str">
        <f t="array" ref="C62:G62">VLOOKUP(A62,'Tracker- Removed 2017'!B:Q,{2,8,9,11,13},false)</f>
        <v>#N/A</v>
      </c>
      <c r="D62" s="30" t="s">
        <v>538</v>
      </c>
      <c r="E62" s="30" t="s">
        <v>271</v>
      </c>
      <c r="F62" s="30" t="s">
        <v>47</v>
      </c>
      <c r="G62" s="30" t="s">
        <v>47</v>
      </c>
    </row>
    <row r="63">
      <c r="A63" s="179">
        <v>773952.0</v>
      </c>
      <c r="B63" s="176">
        <f t="array" ref="B63">INDEX('Tracker- Removed 2017'!A:A,match(A63,'Tracker- Removed 2017'!B:B,0))</f>
        <v>43007</v>
      </c>
      <c r="C63" s="159" t="str">
        <f t="array" ref="C63:G63">VLOOKUP(A63,'Tracker- Removed 2017'!B:Q,{2,8,9,11,13},false)</f>
        <v>#N/A</v>
      </c>
      <c r="D63" s="30" t="s">
        <v>538</v>
      </c>
      <c r="E63" s="30" t="s">
        <v>3918</v>
      </c>
      <c r="F63" s="30" t="s">
        <v>47</v>
      </c>
      <c r="G63" s="30" t="s">
        <v>47</v>
      </c>
    </row>
    <row r="64">
      <c r="A64" s="179">
        <v>498254.0</v>
      </c>
      <c r="B64" s="176">
        <f t="array" ref="B64">INDEX('Tracker- Removed 2017'!A:A,match(A64,'Tracker- Removed 2017'!B:B,0))</f>
        <v>43007</v>
      </c>
      <c r="C64" s="159" t="str">
        <f t="array" ref="C64:G64">VLOOKUP(A64,'Tracker- Removed 2017'!B:Q,{2,8,9,11,13},false)</f>
        <v>#N/A</v>
      </c>
      <c r="D64" s="30" t="s">
        <v>83</v>
      </c>
      <c r="E64" s="30" t="s">
        <v>153</v>
      </c>
      <c r="F64" s="30" t="s">
        <v>47</v>
      </c>
      <c r="G64" s="30" t="s">
        <v>47</v>
      </c>
    </row>
    <row r="65">
      <c r="A65" s="179">
        <v>949346.0</v>
      </c>
      <c r="B65" s="176">
        <f t="array" ref="B65">INDEX('Tracker- Removed 2017'!A:A,match(A65,'Tracker- Removed 2017'!B:B,0))</f>
        <v>43007</v>
      </c>
      <c r="C65" s="159" t="str">
        <f t="array" ref="C65:G65">VLOOKUP(A65,'Tracker- Removed 2017'!B:Q,{2,8,9,11,13},false)</f>
        <v>#N/A</v>
      </c>
      <c r="D65" s="30" t="s">
        <v>189</v>
      </c>
      <c r="E65" s="30" t="s">
        <v>337</v>
      </c>
      <c r="F65" s="30" t="s">
        <v>47</v>
      </c>
      <c r="G65" s="30" t="s">
        <v>47</v>
      </c>
    </row>
    <row r="66">
      <c r="A66" s="179">
        <v>729220.0</v>
      </c>
      <c r="B66" s="176">
        <f t="array" ref="B66">INDEX('Tracker- Removed 2017'!A:A,match(A66,'Tracker- Removed 2017'!B:B,0))</f>
        <v>43007</v>
      </c>
      <c r="C66" s="159" t="str">
        <f t="array" ref="C66:G66">VLOOKUP(A66,'Tracker- Removed 2017'!B:Q,{2,8,9,11,13},false)</f>
        <v>#N/A</v>
      </c>
      <c r="D66" s="30" t="s">
        <v>3914</v>
      </c>
      <c r="E66" s="30" t="s">
        <v>944</v>
      </c>
      <c r="F66" s="30" t="s">
        <v>47</v>
      </c>
      <c r="G66" s="30" t="s">
        <v>47</v>
      </c>
    </row>
    <row r="67">
      <c r="A67" s="179">
        <v>377218.0</v>
      </c>
      <c r="B67" s="176">
        <f t="array" ref="B67">INDEX('Tracker- Removed 2017'!A:A,match(A67,'Tracker- Removed 2017'!B:B,0))</f>
        <v>43007</v>
      </c>
      <c r="C67" s="159" t="str">
        <f t="array" ref="C67:G67">VLOOKUP(A67,'Tracker- Removed 2017'!B:Q,{2,8,9,11,13},false)</f>
        <v>#N/A</v>
      </c>
      <c r="D67" s="30" t="s">
        <v>3915</v>
      </c>
      <c r="E67" s="30" t="s">
        <v>998</v>
      </c>
      <c r="F67" s="30" t="s">
        <v>47</v>
      </c>
      <c r="G67" s="30" t="s">
        <v>47</v>
      </c>
    </row>
    <row r="68">
      <c r="A68" s="179">
        <v>387212.0</v>
      </c>
      <c r="B68" s="176">
        <f t="array" ref="B68">INDEX('Tracker- Removed 2017'!A:A,match(A68,'Tracker- Removed 2017'!B:B,0))</f>
        <v>42991</v>
      </c>
      <c r="C68" s="159" t="str">
        <f t="array" ref="C68:G68">VLOOKUP(A68,'Tracker- Removed 2017'!B:Q,{2,8,9,11,13},false)</f>
        <v>#N/A</v>
      </c>
      <c r="D68" s="30" t="s">
        <v>83</v>
      </c>
      <c r="E68" s="30" t="s">
        <v>3933</v>
      </c>
      <c r="F68" s="30" t="s">
        <v>47</v>
      </c>
      <c r="G68" s="30" t="s">
        <v>47</v>
      </c>
    </row>
    <row r="69">
      <c r="A69" s="179">
        <v>129570.0</v>
      </c>
      <c r="B69" s="176">
        <f t="array" ref="B69">INDEX('Tracker- Removed 2017'!A:A,match(A69,'Tracker- Removed 2017'!B:B,0))</f>
        <v>42989</v>
      </c>
      <c r="C69" s="159" t="str">
        <f t="array" ref="C69:G69">VLOOKUP(A69,'Tracker- Removed 2017'!B:Q,{2,8,9,11,13},false)</f>
        <v>#N/A</v>
      </c>
      <c r="D69" s="30" t="s">
        <v>105</v>
      </c>
      <c r="E69" s="30" t="s">
        <v>198</v>
      </c>
      <c r="F69" s="30" t="s">
        <v>47</v>
      </c>
      <c r="G69" s="30" t="s">
        <v>47</v>
      </c>
    </row>
    <row r="70">
      <c r="A70" s="179">
        <v>640426.0</v>
      </c>
      <c r="B70" s="176">
        <f t="array" ref="B70">INDEX('Tracker- Removed 2017'!A:A,match(A70,'Tracker- Removed 2017'!B:B,0))</f>
        <v>42989</v>
      </c>
      <c r="C70" s="159" t="str">
        <f t="array" ref="C70:G70">VLOOKUP(A70,'Tracker- Removed 2017'!B:Q,{2,8,9,11,13},false)</f>
        <v>#N/A</v>
      </c>
      <c r="D70" s="30" t="s">
        <v>105</v>
      </c>
      <c r="E70" s="30" t="s">
        <v>198</v>
      </c>
      <c r="F70" s="30" t="s">
        <v>47</v>
      </c>
      <c r="G70" s="30" t="s">
        <v>47</v>
      </c>
    </row>
    <row r="71">
      <c r="A71" s="179">
        <v>625920.0</v>
      </c>
      <c r="B71" s="176">
        <f t="array" ref="B71">INDEX('Tracker- Removed 2017'!A:A,match(A71,'Tracker- Removed 2017'!B:B,0))</f>
        <v>42989</v>
      </c>
      <c r="C71" s="159" t="str">
        <f t="array" ref="C71:G71">VLOOKUP(A71,'Tracker- Removed 2017'!B:Q,{2,8,9,11,13},false)</f>
        <v>#N/A</v>
      </c>
      <c r="D71" s="30" t="s">
        <v>105</v>
      </c>
      <c r="E71" s="30" t="s">
        <v>198</v>
      </c>
      <c r="F71" s="30" t="s">
        <v>47</v>
      </c>
      <c r="G71" s="30" t="s">
        <v>47</v>
      </c>
    </row>
    <row r="72">
      <c r="A72" s="179">
        <v>56258.0</v>
      </c>
      <c r="B72" s="176">
        <f t="array" ref="B72">INDEX('Tracker- Removed 2017'!A:A,match(A72,'Tracker- Removed 2017'!B:B,0))</f>
        <v>42989</v>
      </c>
      <c r="C72" s="159" t="str">
        <f t="array" ref="C72:G72">VLOOKUP(A72,'Tracker- Removed 2017'!B:Q,{2,8,9,11,13},false)</f>
        <v>#N/A</v>
      </c>
      <c r="D72" s="30" t="s">
        <v>105</v>
      </c>
      <c r="E72" s="30" t="s">
        <v>198</v>
      </c>
      <c r="F72" s="30" t="s">
        <v>47</v>
      </c>
      <c r="G72" s="30" t="s">
        <v>47</v>
      </c>
    </row>
    <row r="73">
      <c r="A73" s="179">
        <v>699266.0</v>
      </c>
      <c r="B73" s="176">
        <f t="array" ref="B73">INDEX('Tracker- Removed 2017'!A:A,match(A73,'Tracker- Removed 2017'!B:B,0))</f>
        <v>42989</v>
      </c>
      <c r="C73" s="159" t="str">
        <f t="array" ref="C73:G73">VLOOKUP(A73,'Tracker- Removed 2017'!B:Q,{2,8,9,11,13},false)</f>
        <v>#N/A</v>
      </c>
      <c r="D73" s="30" t="s">
        <v>105</v>
      </c>
      <c r="E73" s="30" t="s">
        <v>198</v>
      </c>
      <c r="F73" s="30" t="s">
        <v>47</v>
      </c>
      <c r="G73" s="30" t="s">
        <v>47</v>
      </c>
    </row>
    <row r="74">
      <c r="A74" s="179">
        <v>555112.0</v>
      </c>
      <c r="B74" s="176">
        <f t="array" ref="B74">INDEX('Tracker- Removed 2017'!A:A,match(A74,'Tracker- Removed 2017'!B:B,0))</f>
        <v>42989</v>
      </c>
      <c r="C74" s="159" t="str">
        <f t="array" ref="C74:G74">VLOOKUP(A74,'Tracker- Removed 2017'!B:Q,{2,8,9,11,13},false)</f>
        <v>#N/A</v>
      </c>
      <c r="D74" s="30" t="s">
        <v>105</v>
      </c>
      <c r="E74" s="30" t="s">
        <v>198</v>
      </c>
      <c r="F74" s="30" t="s">
        <v>47</v>
      </c>
      <c r="G74" s="30" t="s">
        <v>47</v>
      </c>
    </row>
    <row r="75">
      <c r="A75" s="179">
        <v>475858.0</v>
      </c>
      <c r="B75" s="176">
        <f t="array" ref="B75">INDEX('Tracker- Removed 2017'!A:A,match(A75,'Tracker- Removed 2017'!B:B,0))</f>
        <v>42989</v>
      </c>
      <c r="C75" s="159" t="str">
        <f t="array" ref="C75:G75">VLOOKUP(A75,'Tracker- Removed 2017'!B:Q,{2,8,9,11,13},false)</f>
        <v>#N/A</v>
      </c>
      <c r="D75" s="30" t="s">
        <v>105</v>
      </c>
      <c r="E75" s="30" t="s">
        <v>253</v>
      </c>
      <c r="F75" s="30" t="s">
        <v>47</v>
      </c>
      <c r="G75" s="30" t="s">
        <v>47</v>
      </c>
    </row>
    <row r="76">
      <c r="A76" s="179">
        <v>495900.0</v>
      </c>
      <c r="B76" s="176">
        <f t="array" ref="B76">INDEX('Tracker- Removed 2017'!A:A,match(A76,'Tracker- Removed 2017'!B:B,0))</f>
        <v>42989</v>
      </c>
      <c r="C76" s="159" t="str">
        <f t="array" ref="C76:G76">VLOOKUP(A76,'Tracker- Removed 2017'!B:Q,{2,8,9,11,13},false)</f>
        <v>#N/A</v>
      </c>
      <c r="D76" s="30" t="s">
        <v>105</v>
      </c>
      <c r="E76" s="30" t="s">
        <v>253</v>
      </c>
      <c r="F76" s="30" t="s">
        <v>47</v>
      </c>
      <c r="G76" s="30" t="s">
        <v>47</v>
      </c>
    </row>
    <row r="77">
      <c r="A77" s="179">
        <v>738040.0</v>
      </c>
      <c r="B77" s="176">
        <f t="array" ref="B77">INDEX('Tracker- Removed 2017'!A:A,match(A77,'Tracker- Removed 2017'!B:B,0))</f>
        <v>42989</v>
      </c>
      <c r="C77" s="159" t="str">
        <f t="array" ref="C77:G77">VLOOKUP(A77,'Tracker- Removed 2017'!B:Q,{2,8,9,11,13},false)</f>
        <v>#N/A</v>
      </c>
      <c r="D77" s="30" t="s">
        <v>39</v>
      </c>
      <c r="E77" s="30" t="s">
        <v>50</v>
      </c>
      <c r="F77" s="30" t="s">
        <v>47</v>
      </c>
      <c r="G77" s="30" t="s">
        <v>47</v>
      </c>
    </row>
    <row r="78">
      <c r="A78" s="179">
        <v>520022.0</v>
      </c>
      <c r="B78" s="176">
        <f t="array" ref="B78">INDEX('Tracker- Removed 2017'!A:A,match(A78,'Tracker- Removed 2017'!B:B,0))</f>
        <v>42989</v>
      </c>
      <c r="C78" s="159" t="str">
        <f t="array" ref="C78:G78">VLOOKUP(A78,'Tracker- Removed 2017'!B:Q,{2,8,9,11,13},false)</f>
        <v>#N/A</v>
      </c>
      <c r="D78" s="30" t="s">
        <v>39</v>
      </c>
      <c r="E78" s="30" t="s">
        <v>50</v>
      </c>
      <c r="F78" s="30" t="s">
        <v>47</v>
      </c>
      <c r="G78" s="30" t="s">
        <v>47</v>
      </c>
    </row>
    <row r="79">
      <c r="A79" s="179">
        <v>354078.0</v>
      </c>
      <c r="B79" s="176">
        <f t="array" ref="B79">INDEX('Tracker- Removed 2017'!A:A,match(A79,'Tracker- Removed 2017'!B:B,0))</f>
        <v>42989</v>
      </c>
      <c r="C79" s="159" t="str">
        <f t="array" ref="C79:G79">VLOOKUP(A79,'Tracker- Removed 2017'!B:Q,{2,8,9,11,13},false)</f>
        <v>#N/A</v>
      </c>
      <c r="D79" s="30" t="s">
        <v>39</v>
      </c>
      <c r="E79" s="30" t="s">
        <v>50</v>
      </c>
      <c r="F79" s="30" t="s">
        <v>47</v>
      </c>
      <c r="G79" s="30" t="s">
        <v>47</v>
      </c>
    </row>
    <row r="80">
      <c r="A80" s="179">
        <v>544616.0</v>
      </c>
      <c r="B80" s="176">
        <f t="array" ref="B80">INDEX('Tracker- Removed 2017'!A:A,match(A80,'Tracker- Removed 2017'!B:B,0))</f>
        <v>42989</v>
      </c>
      <c r="C80" s="159" t="str">
        <f t="array" ref="C80:G80">VLOOKUP(A80,'Tracker- Removed 2017'!B:Q,{2,8,9,11,13},false)</f>
        <v>#N/A</v>
      </c>
      <c r="D80" s="30" t="s">
        <v>39</v>
      </c>
      <c r="E80" s="30" t="s">
        <v>50</v>
      </c>
      <c r="F80" s="30" t="s">
        <v>47</v>
      </c>
      <c r="G80" s="30" t="s">
        <v>47</v>
      </c>
    </row>
    <row r="81">
      <c r="A81" s="179">
        <v>774474.0</v>
      </c>
      <c r="B81" s="176">
        <f t="array" ref="B81">INDEX('Tracker- Removed 2017'!A:A,match(A81,'Tracker- Removed 2017'!B:B,0))</f>
        <v>42989</v>
      </c>
      <c r="C81" s="159" t="str">
        <f t="array" ref="C81:G81">VLOOKUP(A81,'Tracker- Removed 2017'!B:Q,{2,8,9,11,13},false)</f>
        <v>#N/A</v>
      </c>
      <c r="D81" s="30" t="s">
        <v>2958</v>
      </c>
      <c r="E81" s="30" t="s">
        <v>467</v>
      </c>
      <c r="F81" s="30" t="s">
        <v>47</v>
      </c>
      <c r="G81" s="30" t="s">
        <v>47</v>
      </c>
    </row>
    <row r="82">
      <c r="A82" s="179">
        <v>171734.0</v>
      </c>
      <c r="B82" s="176">
        <f t="array" ref="B82">INDEX('Tracker- Removed 2017'!A:A,match(A82,'Tracker- Removed 2017'!B:B,0))</f>
        <v>42989</v>
      </c>
      <c r="C82" s="159" t="str">
        <f t="array" ref="C82:G82">VLOOKUP(A82,'Tracker- Removed 2017'!B:Q,{2,8,9,11,13},false)</f>
        <v>#N/A</v>
      </c>
      <c r="D82" s="30" t="s">
        <v>3908</v>
      </c>
      <c r="E82" s="30" t="s">
        <v>3910</v>
      </c>
      <c r="F82" s="30" t="s">
        <v>47</v>
      </c>
      <c r="G82" s="30" t="s">
        <v>47</v>
      </c>
    </row>
    <row r="83">
      <c r="A83" s="179">
        <v>513468.0</v>
      </c>
      <c r="B83" s="176">
        <f t="array" ref="B83">INDEX('Tracker- Removed 2017'!A:A,match(A83,'Tracker- Removed 2017'!B:B,0))</f>
        <v>42989</v>
      </c>
      <c r="C83" s="159" t="str">
        <f t="array" ref="C83:G83">VLOOKUP(A83,'Tracker- Removed 2017'!B:Q,{2,8,9,11,13},false)</f>
        <v>#N/A</v>
      </c>
      <c r="D83" s="30" t="s">
        <v>3908</v>
      </c>
      <c r="E83" s="30" t="s">
        <v>3910</v>
      </c>
      <c r="F83" s="30" t="s">
        <v>47</v>
      </c>
      <c r="G83" s="30" t="s">
        <v>47</v>
      </c>
    </row>
    <row r="84">
      <c r="A84" s="179">
        <v>157106.0</v>
      </c>
      <c r="B84" s="176">
        <f t="array" ref="B84">INDEX('Tracker- Removed 2017'!A:A,match(A84,'Tracker- Removed 2017'!B:B,0))</f>
        <v>42989</v>
      </c>
      <c r="C84" s="159" t="str">
        <f t="array" ref="C84:G84">VLOOKUP(A84,'Tracker- Removed 2017'!B:Q,{2,8,9,11,13},false)</f>
        <v>#N/A</v>
      </c>
      <c r="D84" s="30" t="s">
        <v>3908</v>
      </c>
      <c r="E84" s="30" t="s">
        <v>3910</v>
      </c>
      <c r="F84" s="30" t="s">
        <v>47</v>
      </c>
      <c r="G84" s="30" t="s">
        <v>47</v>
      </c>
    </row>
    <row r="85">
      <c r="A85" s="179">
        <v>172694.0</v>
      </c>
      <c r="B85" s="176">
        <f t="array" ref="B85">INDEX('Tracker- Removed 2017'!A:A,match(A85,'Tracker- Removed 2017'!B:B,0))</f>
        <v>42989</v>
      </c>
      <c r="C85" s="159" t="str">
        <f t="array" ref="C85:G85">VLOOKUP(A85,'Tracker- Removed 2017'!B:Q,{2,8,9,11,13},false)</f>
        <v>#N/A</v>
      </c>
      <c r="D85" s="30" t="s">
        <v>3908</v>
      </c>
      <c r="E85" s="30" t="s">
        <v>3910</v>
      </c>
      <c r="F85" s="30" t="s">
        <v>47</v>
      </c>
      <c r="G85" s="30" t="s">
        <v>47</v>
      </c>
    </row>
    <row r="86">
      <c r="A86" s="179">
        <v>39551.0</v>
      </c>
      <c r="B86" s="176">
        <f t="array" ref="B86">INDEX('Tracker- Removed 2017'!A:A,match(A86,'Tracker- Removed 2017'!B:B,0))</f>
        <v>42989</v>
      </c>
      <c r="C86" s="159" t="str">
        <f t="array" ref="C86:G86">VLOOKUP(A86,'Tracker- Removed 2017'!B:Q,{2,8,9,11,13},false)</f>
        <v>#N/A</v>
      </c>
      <c r="D86" s="30" t="s">
        <v>3908</v>
      </c>
      <c r="E86" s="30" t="s">
        <v>46</v>
      </c>
      <c r="F86" s="30" t="s">
        <v>47</v>
      </c>
      <c r="G86" s="30" t="s">
        <v>47</v>
      </c>
    </row>
    <row r="87">
      <c r="A87" s="179">
        <v>149644.0</v>
      </c>
      <c r="B87" s="176">
        <f t="array" ref="B87">INDEX('Tracker- Removed 2017'!A:A,match(A87,'Tracker- Removed 2017'!B:B,0))</f>
        <v>42989</v>
      </c>
      <c r="C87" s="159" t="str">
        <f t="array" ref="C87:G87">VLOOKUP(A87,'Tracker- Removed 2017'!B:Q,{2,8,9,11,13},false)</f>
        <v>#N/A</v>
      </c>
      <c r="D87" s="30" t="s">
        <v>3908</v>
      </c>
      <c r="E87" s="30" t="s">
        <v>46</v>
      </c>
      <c r="F87" s="30" t="s">
        <v>47</v>
      </c>
      <c r="G87" s="30" t="s">
        <v>47</v>
      </c>
    </row>
    <row r="88">
      <c r="A88" s="179">
        <v>382714.0</v>
      </c>
      <c r="B88" s="176">
        <f t="array" ref="B88">INDEX('Tracker- Removed 2017'!A:A,match(A88,'Tracker- Removed 2017'!B:B,0))</f>
        <v>42989</v>
      </c>
      <c r="C88" s="159" t="str">
        <f t="array" ref="C88:G88">VLOOKUP(A88,'Tracker- Removed 2017'!B:Q,{2,8,9,11,13},false)</f>
        <v>#N/A</v>
      </c>
      <c r="D88" s="30" t="s">
        <v>3908</v>
      </c>
      <c r="E88" s="30" t="s">
        <v>46</v>
      </c>
      <c r="F88" s="30" t="s">
        <v>47</v>
      </c>
      <c r="G88" s="30" t="s">
        <v>47</v>
      </c>
    </row>
    <row r="89">
      <c r="A89" s="179">
        <v>283556.0</v>
      </c>
      <c r="B89" s="176">
        <f t="array" ref="B89">INDEX('Tracker- Removed 2017'!A:A,match(A89,'Tracker- Removed 2017'!B:B,0))</f>
        <v>42989</v>
      </c>
      <c r="C89" s="159" t="str">
        <f t="array" ref="C89:G89">VLOOKUP(A89,'Tracker- Removed 2017'!B:Q,{2,8,9,11,13},false)</f>
        <v>#N/A</v>
      </c>
      <c r="D89" s="30" t="s">
        <v>3908</v>
      </c>
      <c r="E89" s="30" t="s">
        <v>46</v>
      </c>
      <c r="F89" s="30" t="s">
        <v>47</v>
      </c>
      <c r="G89" s="30" t="s">
        <v>47</v>
      </c>
    </row>
    <row r="90">
      <c r="A90" s="179">
        <v>751226.0</v>
      </c>
      <c r="B90" s="176">
        <f t="array" ref="B90">INDEX('Tracker- Removed 2017'!A:A,match(A90,'Tracker- Removed 2017'!B:B,0))</f>
        <v>42989</v>
      </c>
      <c r="C90" s="159" t="str">
        <f t="array" ref="C90:G90">VLOOKUP(A90,'Tracker- Removed 2017'!B:Q,{2,8,9,11,13},false)</f>
        <v>#N/A</v>
      </c>
      <c r="D90" s="30" t="s">
        <v>3908</v>
      </c>
      <c r="E90" s="30" t="s">
        <v>46</v>
      </c>
      <c r="F90" s="30" t="s">
        <v>47</v>
      </c>
      <c r="G90" s="30" t="s">
        <v>47</v>
      </c>
    </row>
    <row r="91">
      <c r="A91" s="196">
        <v>171532.0</v>
      </c>
      <c r="B91" s="176">
        <f t="array" ref="B91">INDEX('Tracker- Removed 2017'!A:A,match(A91,'Tracker- Removed 2017'!B:B,0))</f>
        <v>42989</v>
      </c>
      <c r="C91" s="159" t="str">
        <f t="array" ref="C91:G91">VLOOKUP(A91,'Tracker- Removed 2017'!B:Q,{2,8,9,11,13},false)</f>
        <v>#N/A</v>
      </c>
      <c r="D91" s="30" t="s">
        <v>3908</v>
      </c>
      <c r="E91" s="30" t="s">
        <v>75</v>
      </c>
      <c r="F91" s="30" t="s">
        <v>47</v>
      </c>
      <c r="G91" s="30" t="s">
        <v>47</v>
      </c>
    </row>
    <row r="92">
      <c r="A92" s="196">
        <v>359100.0</v>
      </c>
      <c r="B92" s="176">
        <f t="array" ref="B92">INDEX('Tracker- Removed 2017'!A:A,match(A92,'Tracker- Removed 2017'!B:B,0))</f>
        <v>42989</v>
      </c>
      <c r="C92" s="159" t="str">
        <f t="array" ref="C92:G92">VLOOKUP(A92,'Tracker- Removed 2017'!B:Q,{2,8,9,11,13},false)</f>
        <v>#N/A</v>
      </c>
      <c r="D92" s="30" t="s">
        <v>3908</v>
      </c>
      <c r="E92" s="30" t="s">
        <v>75</v>
      </c>
      <c r="F92" s="30" t="s">
        <v>47</v>
      </c>
      <c r="G92" s="30" t="s">
        <v>47</v>
      </c>
    </row>
    <row r="93">
      <c r="A93" s="196">
        <v>567176.0</v>
      </c>
      <c r="B93" s="176">
        <f t="array" ref="B93">INDEX('Tracker- Removed 2017'!A:A,match(A93,'Tracker- Removed 2017'!B:B,0))</f>
        <v>42989</v>
      </c>
      <c r="C93" s="159" t="str">
        <f t="array" ref="C93:G93">VLOOKUP(A93,'Tracker- Removed 2017'!B:Q,{2,8,9,11,13},false)</f>
        <v>#N/A</v>
      </c>
      <c r="D93" s="30" t="s">
        <v>3908</v>
      </c>
      <c r="E93" s="30" t="s">
        <v>75</v>
      </c>
      <c r="F93" s="30" t="s">
        <v>47</v>
      </c>
      <c r="G93" s="30" t="s">
        <v>47</v>
      </c>
    </row>
    <row r="94">
      <c r="A94" s="196">
        <v>244170.0</v>
      </c>
      <c r="B94" s="176">
        <f t="array" ref="B94">INDEX('Tracker- Removed 2017'!A:A,match(A94,'Tracker- Removed 2017'!B:B,0))</f>
        <v>42989</v>
      </c>
      <c r="C94" s="159" t="str">
        <f t="array" ref="C94:G94">VLOOKUP(A94,'Tracker- Removed 2017'!B:Q,{2,8,9,11,13},false)</f>
        <v>#N/A</v>
      </c>
      <c r="D94" s="30" t="s">
        <v>3908</v>
      </c>
      <c r="E94" s="30" t="s">
        <v>75</v>
      </c>
      <c r="F94" s="30" t="s">
        <v>47</v>
      </c>
      <c r="G94" s="30" t="s">
        <v>47</v>
      </c>
    </row>
    <row r="95">
      <c r="A95" s="196">
        <v>438736.0</v>
      </c>
      <c r="B95" s="176">
        <f t="array" ref="B95">INDEX('Tracker- Removed 2017'!A:A,match(A95,'Tracker- Removed 2017'!B:B,0))</f>
        <v>42989</v>
      </c>
      <c r="C95" s="159" t="str">
        <f t="array" ref="C95:G95">VLOOKUP(A95,'Tracker- Removed 2017'!B:Q,{2,8,9,11,13},false)</f>
        <v>#N/A</v>
      </c>
      <c r="D95" s="30" t="s">
        <v>3908</v>
      </c>
      <c r="E95" s="30" t="s">
        <v>75</v>
      </c>
      <c r="F95" s="30" t="s">
        <v>47</v>
      </c>
      <c r="G95" s="30" t="s">
        <v>47</v>
      </c>
    </row>
    <row r="96">
      <c r="A96" s="196">
        <v>438968.0</v>
      </c>
      <c r="B96" s="176">
        <f t="array" ref="B96">INDEX('Tracker- Removed 2017'!A:A,match(A96,'Tracker- Removed 2017'!B:B,0))</f>
        <v>42989</v>
      </c>
      <c r="C96" s="159" t="str">
        <f t="array" ref="C96:G96">VLOOKUP(A96,'Tracker- Removed 2017'!B:Q,{2,8,9,11,13},false)</f>
        <v>#N/A</v>
      </c>
      <c r="D96" s="30" t="s">
        <v>3908</v>
      </c>
      <c r="E96" s="30" t="s">
        <v>75</v>
      </c>
      <c r="F96" s="30" t="s">
        <v>47</v>
      </c>
      <c r="G96" s="30" t="s">
        <v>47</v>
      </c>
    </row>
    <row r="97">
      <c r="A97" s="196">
        <v>322966.0</v>
      </c>
      <c r="B97" s="176">
        <f t="array" ref="B97">INDEX('Tracker- Removed 2017'!A:A,match(A97,'Tracker- Removed 2017'!B:B,0))</f>
        <v>42989</v>
      </c>
      <c r="C97" s="159" t="str">
        <f t="array" ref="C97:G97">VLOOKUP(A97,'Tracker- Removed 2017'!B:Q,{2,8,9,11,13},false)</f>
        <v>#N/A</v>
      </c>
      <c r="D97" s="30" t="s">
        <v>3908</v>
      </c>
      <c r="E97" s="30" t="s">
        <v>75</v>
      </c>
      <c r="F97" s="30" t="s">
        <v>47</v>
      </c>
      <c r="G97" s="30" t="s">
        <v>47</v>
      </c>
    </row>
    <row r="98">
      <c r="A98" s="182">
        <v>58580.0</v>
      </c>
      <c r="B98" s="176">
        <f t="array" ref="B98">INDEX('Tracker- Removed 2017'!A:A,match(A98,'Tracker- Removed 2017'!B:B,0))</f>
        <v>42989</v>
      </c>
      <c r="C98" s="159" t="str">
        <f t="array" ref="C98:G98">VLOOKUP(A98,'Tracker- Removed 2017'!B:Q,{2,8,9,11,13},false)</f>
        <v>#N/A</v>
      </c>
      <c r="D98" s="30" t="s">
        <v>3908</v>
      </c>
      <c r="E98" s="30" t="s">
        <v>75</v>
      </c>
      <c r="F98" s="30" t="s">
        <v>47</v>
      </c>
      <c r="G98" s="30" t="s">
        <v>47</v>
      </c>
    </row>
    <row r="99">
      <c r="A99" s="182">
        <v>57153.0</v>
      </c>
      <c r="B99" s="176">
        <f t="array" ref="B99">INDEX('Tracker- Removed 2017'!A:A,match(A99,'Tracker- Removed 2017'!B:B,0))</f>
        <v>42989</v>
      </c>
      <c r="C99" s="159" t="str">
        <f t="array" ref="C99:G99">VLOOKUP(A99,'Tracker- Removed 2017'!B:Q,{2,8,9,11,13},false)</f>
        <v>#N/A</v>
      </c>
      <c r="D99" s="30" t="s">
        <v>3908</v>
      </c>
      <c r="E99" s="30" t="s">
        <v>75</v>
      </c>
      <c r="F99" s="30" t="s">
        <v>47</v>
      </c>
      <c r="G99" s="30" t="s">
        <v>47</v>
      </c>
    </row>
    <row r="100">
      <c r="A100" s="182">
        <v>573978.0</v>
      </c>
      <c r="B100" s="176">
        <f t="array" ref="B100">INDEX('Tracker- Removed 2017'!A:A,match(A100,'Tracker- Removed 2017'!B:B,0))</f>
        <v>42989</v>
      </c>
      <c r="C100" s="159" t="str">
        <f t="array" ref="C100:G100">VLOOKUP(A100,'Tracker- Removed 2017'!B:Q,{2,8,9,11,13},false)</f>
        <v>#N/A</v>
      </c>
      <c r="D100" s="30" t="s">
        <v>3908</v>
      </c>
      <c r="E100" s="30" t="s">
        <v>75</v>
      </c>
      <c r="F100" s="30" t="s">
        <v>47</v>
      </c>
      <c r="G100" s="30" t="s">
        <v>47</v>
      </c>
    </row>
    <row r="101">
      <c r="A101" s="182">
        <v>193290.0</v>
      </c>
      <c r="B101" s="176">
        <f t="array" ref="B101">INDEX('Tracker- Removed 2017'!A:A,match(A101,'Tracker- Removed 2017'!B:B,0))</f>
        <v>42989</v>
      </c>
      <c r="C101" s="159" t="str">
        <f t="array" ref="C101:G101">VLOOKUP(A101,'Tracker- Removed 2017'!B:Q,{2,8,9,11,13},false)</f>
        <v>#N/A</v>
      </c>
      <c r="D101" s="30" t="s">
        <v>3908</v>
      </c>
      <c r="E101" s="30" t="s">
        <v>3917</v>
      </c>
      <c r="F101" s="30" t="s">
        <v>47</v>
      </c>
      <c r="G101" s="30" t="s">
        <v>47</v>
      </c>
    </row>
    <row r="102">
      <c r="A102" s="182">
        <v>422634.0</v>
      </c>
      <c r="B102" s="176">
        <f t="array" ref="B102">INDEX('Tracker- Removed 2017'!A:A,match(A102,'Tracker- Removed 2017'!B:B,0))</f>
        <v>42989</v>
      </c>
      <c r="C102" s="159" t="str">
        <f t="array" ref="C102:G102">VLOOKUP(A102,'Tracker- Removed 2017'!B:Q,{2,8,9,11,13},false)</f>
        <v>#N/A</v>
      </c>
      <c r="D102" s="30" t="s">
        <v>3908</v>
      </c>
      <c r="E102" s="30" t="s">
        <v>3917</v>
      </c>
      <c r="F102" s="30" t="s">
        <v>47</v>
      </c>
      <c r="G102" s="30" t="s">
        <v>47</v>
      </c>
    </row>
    <row r="103">
      <c r="A103" s="182">
        <v>788304.0</v>
      </c>
      <c r="B103" s="176">
        <f t="array" ref="B103">INDEX('Tracker- Removed 2017'!A:A,match(A103,'Tracker- Removed 2017'!B:B,0))</f>
        <v>42989</v>
      </c>
      <c r="C103" s="159" t="str">
        <f t="array" ref="C103:G103">VLOOKUP(A103,'Tracker- Removed 2017'!B:Q,{2,8,9,11,13},false)</f>
        <v>#N/A</v>
      </c>
      <c r="D103" s="30" t="s">
        <v>3908</v>
      </c>
      <c r="E103" s="30" t="s">
        <v>3917</v>
      </c>
      <c r="F103" s="30" t="s">
        <v>47</v>
      </c>
      <c r="G103" s="30" t="s">
        <v>47</v>
      </c>
    </row>
    <row r="104">
      <c r="A104" s="182">
        <v>635450.0</v>
      </c>
      <c r="B104" s="176">
        <f t="array" ref="B104">INDEX('Tracker- Removed 2017'!A:A,match(A104,'Tracker- Removed 2017'!B:B,0))</f>
        <v>42989</v>
      </c>
      <c r="C104" s="159" t="str">
        <f t="array" ref="C104:G104">VLOOKUP(A104,'Tracker- Removed 2017'!B:Q,{2,8,9,11,13},false)</f>
        <v>#N/A</v>
      </c>
      <c r="D104" s="30" t="s">
        <v>3908</v>
      </c>
      <c r="E104" s="30" t="s">
        <v>3909</v>
      </c>
      <c r="F104" s="30" t="s">
        <v>47</v>
      </c>
      <c r="G104" s="30" t="s">
        <v>47</v>
      </c>
    </row>
    <row r="105">
      <c r="A105" s="182">
        <v>491924.0</v>
      </c>
      <c r="B105" s="176">
        <f t="array" ref="B105">INDEX('Tracker- Removed 2017'!A:A,match(A105,'Tracker- Removed 2017'!B:B,0))</f>
        <v>42989</v>
      </c>
      <c r="C105" s="159" t="str">
        <f t="array" ref="C105:G105">VLOOKUP(A105,'Tracker- Removed 2017'!B:Q,{2,8,9,11,13},false)</f>
        <v>#N/A</v>
      </c>
      <c r="D105" s="30" t="s">
        <v>3908</v>
      </c>
      <c r="E105" s="30" t="s">
        <v>3909</v>
      </c>
      <c r="F105" s="30" t="s">
        <v>47</v>
      </c>
      <c r="G105" s="30" t="s">
        <v>47</v>
      </c>
    </row>
    <row r="106">
      <c r="A106" s="182">
        <v>355218.0</v>
      </c>
      <c r="B106" s="176">
        <f t="array" ref="B106">INDEX('Tracker- Removed 2017'!A:A,match(A106,'Tracker- Removed 2017'!B:B,0))</f>
        <v>42989</v>
      </c>
      <c r="C106" s="159" t="str">
        <f t="array" ref="C106:G106">VLOOKUP(A106,'Tracker- Removed 2017'!B:Q,{2,8,9,11,13},false)</f>
        <v>#N/A</v>
      </c>
      <c r="D106" s="30" t="s">
        <v>3908</v>
      </c>
      <c r="E106" s="30" t="s">
        <v>3909</v>
      </c>
      <c r="F106" s="30" t="s">
        <v>47</v>
      </c>
      <c r="G106" s="30" t="s">
        <v>47</v>
      </c>
    </row>
    <row r="107">
      <c r="A107" s="182">
        <v>544082.0</v>
      </c>
      <c r="B107" s="176">
        <f t="array" ref="B107">INDEX('Tracker- Removed 2017'!A:A,match(A107,'Tracker- Removed 2017'!B:B,0))</f>
        <v>42989</v>
      </c>
      <c r="C107" s="159" t="str">
        <f t="array" ref="C107:G107">VLOOKUP(A107,'Tracker- Removed 2017'!B:Q,{2,8,9,11,13},false)</f>
        <v>#N/A</v>
      </c>
      <c r="D107" s="30" t="s">
        <v>538</v>
      </c>
      <c r="E107" s="30" t="s">
        <v>123</v>
      </c>
      <c r="F107" s="30" t="s">
        <v>47</v>
      </c>
      <c r="G107" s="30" t="s">
        <v>47</v>
      </c>
    </row>
    <row r="108">
      <c r="A108" s="182">
        <v>452230.0</v>
      </c>
      <c r="B108" s="176">
        <f t="array" ref="B108">INDEX('Tracker- Removed 2017'!A:A,match(A108,'Tracker- Removed 2017'!B:B,0))</f>
        <v>42989</v>
      </c>
      <c r="C108" s="159" t="str">
        <f t="array" ref="C108:G108">VLOOKUP(A108,'Tracker- Removed 2017'!B:Q,{2,8,9,11,13},false)</f>
        <v>#N/A</v>
      </c>
      <c r="D108" s="30" t="s">
        <v>538</v>
      </c>
      <c r="E108" s="30" t="s">
        <v>3917</v>
      </c>
      <c r="F108" s="30" t="s">
        <v>47</v>
      </c>
      <c r="G108" s="30" t="s">
        <v>47</v>
      </c>
    </row>
    <row r="109">
      <c r="A109" s="182">
        <v>442738.0</v>
      </c>
      <c r="B109" s="176">
        <f t="array" ref="B109">INDEX('Tracker- Removed 2017'!A:A,match(A109,'Tracker- Removed 2017'!B:B,0))</f>
        <v>42989</v>
      </c>
      <c r="C109" s="159" t="str">
        <f t="array" ref="C109:G109">VLOOKUP(A109,'Tracker- Removed 2017'!B:Q,{2,8,9,11,13},false)</f>
        <v>#N/A</v>
      </c>
      <c r="D109" s="30" t="s">
        <v>189</v>
      </c>
      <c r="E109" s="30" t="s">
        <v>337</v>
      </c>
      <c r="F109" s="30" t="s">
        <v>47</v>
      </c>
      <c r="G109" s="30" t="s">
        <v>47</v>
      </c>
    </row>
    <row r="110">
      <c r="A110" s="197">
        <v>243966.0</v>
      </c>
      <c r="B110" s="176">
        <f t="array" ref="B110">INDEX('Tracker- Removed 2017'!A:A,match(A110,'Tracker- Removed 2017'!B:B,0))</f>
        <v>42989</v>
      </c>
      <c r="C110" s="159" t="str">
        <f t="array" ref="C110:G110">VLOOKUP(A110,'Tracker- Removed 2017'!B:Q,{2,8,9,11,13},false)</f>
        <v>#N/A</v>
      </c>
      <c r="D110" s="30" t="s">
        <v>189</v>
      </c>
      <c r="E110" s="30" t="s">
        <v>337</v>
      </c>
      <c r="F110" s="30" t="s">
        <v>47</v>
      </c>
      <c r="G110" s="30" t="s">
        <v>47</v>
      </c>
    </row>
    <row r="111">
      <c r="A111" s="182">
        <v>171738.0</v>
      </c>
      <c r="B111" s="176">
        <f t="array" ref="B111">INDEX('Tracker- Removed 2017'!A:A,match(A111,'Tracker- Removed 2017'!B:B,0))</f>
        <v>42989</v>
      </c>
      <c r="C111" s="159" t="str">
        <f t="array" ref="C111:G111">VLOOKUP(A111,'Tracker- Removed 2017'!B:Q,{2,8,9,11,13},false)</f>
        <v>#N/A</v>
      </c>
      <c r="D111" s="30" t="s">
        <v>189</v>
      </c>
      <c r="E111" s="30" t="s">
        <v>337</v>
      </c>
      <c r="F111" s="30" t="s">
        <v>47</v>
      </c>
      <c r="G111" s="30" t="s">
        <v>47</v>
      </c>
    </row>
    <row r="112">
      <c r="A112" s="182">
        <v>251756.0</v>
      </c>
      <c r="B112" s="176">
        <f t="array" ref="B112">INDEX('Tracker- Removed 2017'!A:A,match(A112,'Tracker- Removed 2017'!B:B,0))</f>
        <v>42989</v>
      </c>
      <c r="C112" s="159" t="str">
        <f t="array" ref="C112:G112">VLOOKUP(A112,'Tracker- Removed 2017'!B:Q,{2,8,9,11,13},false)</f>
        <v>#N/A</v>
      </c>
      <c r="D112" s="30" t="s">
        <v>189</v>
      </c>
      <c r="E112" s="30" t="s">
        <v>337</v>
      </c>
      <c r="F112" s="30" t="s">
        <v>47</v>
      </c>
      <c r="G112" s="30" t="s">
        <v>47</v>
      </c>
    </row>
    <row r="113">
      <c r="A113" s="182">
        <v>1125896.0</v>
      </c>
      <c r="B113" s="176">
        <f t="array" ref="B113">INDEX('Tracker- Removed 2017'!A:A,match(A113,'Tracker- Removed 2017'!B:B,0))</f>
        <v>42965</v>
      </c>
      <c r="C113" s="159" t="str">
        <f t="array" ref="C113:G113">VLOOKUP(A113,'Tracker- Removed 2017'!B:Q,{2,8,9,11,13},false)</f>
        <v>#N/A</v>
      </c>
      <c r="D113" s="30" t="s">
        <v>83</v>
      </c>
      <c r="E113" s="30" t="s">
        <v>3934</v>
      </c>
      <c r="F113" s="30" t="s">
        <v>47</v>
      </c>
      <c r="G113" s="30" t="s">
        <v>47</v>
      </c>
    </row>
    <row r="114">
      <c r="A114" s="182">
        <v>985690.0</v>
      </c>
      <c r="B114" s="176">
        <f t="array" ref="B114">INDEX('Tracker- Removed 2017'!A:A,match(A114,'Tracker- Removed 2017'!B:B,0))</f>
        <v>42951</v>
      </c>
      <c r="C114" s="159" t="str">
        <f t="array" ref="C114:G114">VLOOKUP(A114,'Tracker- Removed 2017'!B:Q,{2,8,9,11,13},false)</f>
        <v>#N/A</v>
      </c>
      <c r="D114" s="30" t="s">
        <v>3908</v>
      </c>
      <c r="E114" s="30" t="s">
        <v>3917</v>
      </c>
      <c r="F114" s="30" t="s">
        <v>47</v>
      </c>
      <c r="G114" s="30" t="s">
        <v>47</v>
      </c>
    </row>
    <row r="115">
      <c r="A115" s="182">
        <v>33215.0</v>
      </c>
      <c r="B115" s="176">
        <f t="array" ref="B115">INDEX('Tracker- Removed 2017'!A:A,match(A115,'Tracker- Removed 2017'!B:B,0))</f>
        <v>42947</v>
      </c>
      <c r="C115" s="159" t="str">
        <f t="array" ref="C115:G115">VLOOKUP(A115,'Tracker- Removed 2017'!B:Q,{2,8,9,11,13},false)</f>
        <v>#N/A</v>
      </c>
      <c r="D115" s="30" t="s">
        <v>63</v>
      </c>
      <c r="E115" s="30" t="s">
        <v>64</v>
      </c>
      <c r="F115" s="30" t="s">
        <v>47</v>
      </c>
      <c r="G115" s="30" t="s">
        <v>47</v>
      </c>
    </row>
    <row r="116">
      <c r="A116" s="197">
        <v>747292.0</v>
      </c>
      <c r="B116" s="176">
        <f t="array" ref="B116">INDEX('Tracker- Removed 2017'!A:A,match(A116,'Tracker- Removed 2017'!B:B,0))</f>
        <v>42947</v>
      </c>
      <c r="C116" s="159" t="str">
        <f t="array" ref="C116:G116">VLOOKUP(A116,'Tracker- Removed 2017'!B:Q,{2,8,9,11,13},false)</f>
        <v>#N/A</v>
      </c>
      <c r="D116" s="30" t="s">
        <v>63</v>
      </c>
      <c r="E116" s="30" t="s">
        <v>64</v>
      </c>
      <c r="F116" s="30" t="s">
        <v>47</v>
      </c>
      <c r="G116" s="30" t="s">
        <v>47</v>
      </c>
    </row>
    <row r="117">
      <c r="A117" s="197">
        <v>16170.0</v>
      </c>
      <c r="B117" s="176">
        <f t="array" ref="B117">INDEX('Tracker- Removed 2017'!A:A,match(A117,'Tracker- Removed 2017'!B:B,0))</f>
        <v>42947</v>
      </c>
      <c r="C117" s="159" t="str">
        <f t="array" ref="C117:G117">VLOOKUP(A117,'Tracker- Removed 2017'!B:Q,{2,8,9,11,13},false)</f>
        <v>#N/A</v>
      </c>
      <c r="D117" s="30" t="s">
        <v>63</v>
      </c>
      <c r="E117" s="30" t="s">
        <v>64</v>
      </c>
      <c r="F117" s="30" t="s">
        <v>47</v>
      </c>
      <c r="G117" s="30" t="s">
        <v>47</v>
      </c>
    </row>
    <row r="118">
      <c r="A118" s="182">
        <v>550612.0</v>
      </c>
      <c r="B118" s="176">
        <f t="array" ref="B118">INDEX('Tracker- Removed 2017'!A:A,match(A118,'Tracker- Removed 2017'!B:B,0))</f>
        <v>42947</v>
      </c>
      <c r="C118" s="159" t="str">
        <f t="array" ref="C118:G118">VLOOKUP(A118,'Tracker- Removed 2017'!B:Q,{2,8,9,11,13},false)</f>
        <v>#N/A</v>
      </c>
      <c r="D118" s="30" t="s">
        <v>63</v>
      </c>
      <c r="E118" s="30" t="s">
        <v>64</v>
      </c>
      <c r="F118" s="30" t="s">
        <v>47</v>
      </c>
      <c r="G118" s="30" t="s">
        <v>47</v>
      </c>
    </row>
    <row r="119">
      <c r="A119" s="182">
        <v>522140.0</v>
      </c>
      <c r="B119" s="176">
        <f t="array" ref="B119">INDEX('Tracker- Removed 2017'!A:A,match(A119,'Tracker- Removed 2017'!B:B,0))</f>
        <v>42947</v>
      </c>
      <c r="C119" s="159" t="str">
        <f t="array" ref="C119:G119">VLOOKUP(A119,'Tracker- Removed 2017'!B:Q,{2,8,9,11,13},false)</f>
        <v>#N/A</v>
      </c>
      <c r="D119" s="30" t="s">
        <v>63</v>
      </c>
      <c r="E119" s="30" t="s">
        <v>64</v>
      </c>
      <c r="F119" s="30" t="s">
        <v>47</v>
      </c>
      <c r="G119" s="30" t="s">
        <v>47</v>
      </c>
    </row>
    <row r="120">
      <c r="A120" s="182">
        <v>614620.0</v>
      </c>
      <c r="B120" s="176">
        <f t="array" ref="B120">INDEX('Tracker- Removed 2017'!A:A,match(A120,'Tracker- Removed 2017'!B:B,0))</f>
        <v>42947</v>
      </c>
      <c r="C120" s="159" t="str">
        <f t="array" ref="C120:G120">VLOOKUP(A120,'Tracker- Removed 2017'!B:Q,{2,8,9,11,13},false)</f>
        <v>#N/A</v>
      </c>
      <c r="D120" s="30" t="s">
        <v>63</v>
      </c>
      <c r="E120" s="30" t="s">
        <v>64</v>
      </c>
      <c r="F120" s="30" t="s">
        <v>47</v>
      </c>
      <c r="G120" s="30" t="s">
        <v>47</v>
      </c>
    </row>
    <row r="121">
      <c r="A121" s="197">
        <v>527848.0</v>
      </c>
      <c r="B121" s="176">
        <f t="array" ref="B121">INDEX('Tracker- Removed 2017'!A:A,match(A121,'Tracker- Removed 2017'!B:B,0))</f>
        <v>42947</v>
      </c>
      <c r="C121" s="159" t="str">
        <f t="array" ref="C121:G121">VLOOKUP(A121,'Tracker- Removed 2017'!B:Q,{2,8,9,11,13},false)</f>
        <v>#N/A</v>
      </c>
      <c r="D121" s="30" t="s">
        <v>63</v>
      </c>
      <c r="E121" s="30" t="s">
        <v>64</v>
      </c>
      <c r="F121" s="30" t="s">
        <v>47</v>
      </c>
      <c r="G121" s="30" t="s">
        <v>47</v>
      </c>
    </row>
    <row r="122">
      <c r="A122" s="87">
        <v>898552.0</v>
      </c>
      <c r="B122" s="176">
        <f t="array" ref="B122">INDEX('Tracker- Removed 2017'!A:A,match(A122,'Tracker- Removed 2017'!B:B,0))</f>
        <v>42947</v>
      </c>
      <c r="C122" s="159" t="str">
        <f t="array" ref="C122:G122">VLOOKUP(A122,'Tracker- Removed 2017'!B:Q,{2,8,9,11,13},false)</f>
        <v>#N/A</v>
      </c>
      <c r="D122" s="30" t="s">
        <v>63</v>
      </c>
      <c r="E122" s="30" t="s">
        <v>115</v>
      </c>
      <c r="F122" s="30" t="s">
        <v>47</v>
      </c>
      <c r="G122" s="30" t="s">
        <v>47</v>
      </c>
    </row>
    <row r="123">
      <c r="A123" s="87">
        <v>368874.0</v>
      </c>
      <c r="B123" s="176">
        <f t="array" ref="B123">INDEX('Tracker- Removed 2017'!A:A,match(A123,'Tracker- Removed 2017'!B:B,0))</f>
        <v>42947</v>
      </c>
      <c r="C123" s="159" t="str">
        <f t="array" ref="C123:G123">VLOOKUP(A123,'Tracker- Removed 2017'!B:Q,{2,8,9,11,13},false)</f>
        <v>#N/A</v>
      </c>
      <c r="D123" s="30" t="s">
        <v>105</v>
      </c>
      <c r="E123" s="30" t="s">
        <v>3925</v>
      </c>
      <c r="F123" s="30" t="s">
        <v>47</v>
      </c>
      <c r="G123" s="30" t="s">
        <v>47</v>
      </c>
    </row>
    <row r="124">
      <c r="A124" s="87">
        <v>425504.0</v>
      </c>
      <c r="B124" s="176">
        <f t="array" ref="B124">INDEX('Tracker- Removed 2017'!A:A,match(A124,'Tracker- Removed 2017'!B:B,0))</f>
        <v>42947</v>
      </c>
      <c r="C124" s="159" t="str">
        <f t="array" ref="C124:G124">VLOOKUP(A124,'Tracker- Removed 2017'!B:Q,{2,8,9,11,13},false)</f>
        <v>#N/A</v>
      </c>
      <c r="D124" s="30" t="s">
        <v>39</v>
      </c>
      <c r="E124" s="30" t="s">
        <v>3910</v>
      </c>
      <c r="F124" s="30" t="s">
        <v>47</v>
      </c>
      <c r="G124" s="30" t="s">
        <v>47</v>
      </c>
    </row>
    <row r="125">
      <c r="A125" s="87">
        <v>260766.0</v>
      </c>
      <c r="B125" s="176">
        <f t="array" ref="B125">INDEX('Tracker- Removed 2017'!A:A,match(A125,'Tracker- Removed 2017'!B:B,0))</f>
        <v>42947</v>
      </c>
      <c r="C125" s="159" t="str">
        <f t="array" ref="C125:G125">VLOOKUP(A125,'Tracker- Removed 2017'!B:Q,{2,8,9,11,13},false)</f>
        <v>#N/A</v>
      </c>
      <c r="D125" s="30" t="s">
        <v>39</v>
      </c>
      <c r="E125" s="30" t="s">
        <v>50</v>
      </c>
      <c r="F125" s="30" t="s">
        <v>47</v>
      </c>
      <c r="G125" s="30" t="s">
        <v>47</v>
      </c>
    </row>
    <row r="126">
      <c r="A126" s="87">
        <v>989854.0</v>
      </c>
      <c r="B126" s="176">
        <f t="array" ref="B126">INDEX('Tracker- Removed 2017'!A:A,match(A126,'Tracker- Removed 2017'!B:B,0))</f>
        <v>42947</v>
      </c>
      <c r="C126" s="159" t="str">
        <f t="array" ref="C126:G126">VLOOKUP(A126,'Tracker- Removed 2017'!B:Q,{2,8,9,11,13},false)</f>
        <v>#N/A</v>
      </c>
      <c r="D126" s="30" t="s">
        <v>39</v>
      </c>
      <c r="E126" s="30" t="s">
        <v>214</v>
      </c>
      <c r="F126" s="30" t="s">
        <v>47</v>
      </c>
      <c r="G126" s="30" t="s">
        <v>47</v>
      </c>
    </row>
    <row r="127">
      <c r="A127" s="87">
        <v>99274.0</v>
      </c>
      <c r="B127" s="176">
        <f t="array" ref="B127">INDEX('Tracker- Removed 2017'!A:A,match(A127,'Tracker- Removed 2017'!B:B,0))</f>
        <v>42947</v>
      </c>
      <c r="C127" s="159" t="str">
        <f t="array" ref="C127:G127">VLOOKUP(A127,'Tracker- Removed 2017'!B:Q,{2,8,9,11,13},false)</f>
        <v>#N/A</v>
      </c>
      <c r="D127" s="30" t="s">
        <v>39</v>
      </c>
      <c r="E127" s="30" t="s">
        <v>3911</v>
      </c>
      <c r="F127" s="30" t="s">
        <v>47</v>
      </c>
      <c r="G127" s="30" t="s">
        <v>47</v>
      </c>
    </row>
    <row r="128">
      <c r="A128" s="87">
        <v>520122.0</v>
      </c>
      <c r="B128" s="176">
        <f t="array" ref="B128">INDEX('Tracker- Removed 2017'!A:A,match(A128,'Tracker- Removed 2017'!B:B,0))</f>
        <v>42947</v>
      </c>
      <c r="C128" s="159" t="str">
        <f t="array" ref="C128:G128">VLOOKUP(A128,'Tracker- Removed 2017'!B:Q,{2,8,9,11,13},false)</f>
        <v>#N/A</v>
      </c>
      <c r="D128" s="30" t="s">
        <v>39</v>
      </c>
      <c r="E128" s="30" t="s">
        <v>140</v>
      </c>
      <c r="F128" s="30" t="s">
        <v>47</v>
      </c>
      <c r="G128" s="30" t="s">
        <v>47</v>
      </c>
    </row>
    <row r="129">
      <c r="A129" s="87">
        <v>372188.0</v>
      </c>
      <c r="B129" s="176">
        <f t="array" ref="B129">INDEX('Tracker- Removed 2017'!A:A,match(A129,'Tracker- Removed 2017'!B:B,0))</f>
        <v>42947</v>
      </c>
      <c r="C129" s="159" t="str">
        <f t="array" ref="C129:G129">VLOOKUP(A129,'Tracker- Removed 2017'!B:Q,{2,8,9,11,13},false)</f>
        <v>#N/A</v>
      </c>
      <c r="D129" s="30" t="s">
        <v>3919</v>
      </c>
      <c r="E129" s="30" t="s">
        <v>263</v>
      </c>
      <c r="F129" s="30" t="s">
        <v>47</v>
      </c>
      <c r="G129" s="30" t="s">
        <v>47</v>
      </c>
    </row>
    <row r="130">
      <c r="A130" s="87">
        <v>653556.0</v>
      </c>
      <c r="B130" s="176">
        <f t="array" ref="B130">INDEX('Tracker- Removed 2017'!A:A,match(A130,'Tracker- Removed 2017'!B:B,0))</f>
        <v>42947</v>
      </c>
      <c r="C130" s="159" t="str">
        <f t="array" ref="C130:G130">VLOOKUP(A130,'Tracker- Removed 2017'!B:Q,{2,8,9,11,13},false)</f>
        <v>#N/A</v>
      </c>
      <c r="D130" s="30" t="s">
        <v>3919</v>
      </c>
      <c r="E130" s="30" t="s">
        <v>263</v>
      </c>
      <c r="F130" s="30" t="s">
        <v>47</v>
      </c>
      <c r="G130" s="30" t="s">
        <v>47</v>
      </c>
    </row>
    <row r="131">
      <c r="A131" s="87">
        <v>651288.0</v>
      </c>
      <c r="B131" s="176">
        <f t="array" ref="B131">INDEX('Tracker- Removed 2017'!A:A,match(A131,'Tracker- Removed 2017'!B:B,0))</f>
        <v>42947</v>
      </c>
      <c r="C131" s="159" t="str">
        <f t="array" ref="C131:G131">VLOOKUP(A131,'Tracker- Removed 2017'!B:Q,{2,8,9,11,13},false)</f>
        <v>#N/A</v>
      </c>
      <c r="D131" s="30" t="s">
        <v>3919</v>
      </c>
      <c r="E131" s="30" t="s">
        <v>263</v>
      </c>
      <c r="F131" s="30" t="s">
        <v>47</v>
      </c>
      <c r="G131" s="30" t="s">
        <v>47</v>
      </c>
    </row>
    <row r="132">
      <c r="A132" s="87">
        <v>544522.0</v>
      </c>
      <c r="B132" s="176">
        <f t="array" ref="B132">INDEX('Tracker- Removed 2017'!A:A,match(A132,'Tracker- Removed 2017'!B:B,0))</f>
        <v>42947</v>
      </c>
      <c r="C132" s="159" t="str">
        <f t="array" ref="C132:G132">VLOOKUP(A132,'Tracker- Removed 2017'!B:Q,{2,8,9,11,13},false)</f>
        <v>#N/A</v>
      </c>
      <c r="D132" s="30" t="s">
        <v>3919</v>
      </c>
      <c r="E132" s="30" t="s">
        <v>263</v>
      </c>
      <c r="F132" s="30" t="s">
        <v>47</v>
      </c>
      <c r="G132" s="30" t="s">
        <v>47</v>
      </c>
    </row>
    <row r="133">
      <c r="A133" s="87">
        <v>23412.0</v>
      </c>
      <c r="B133" s="176">
        <f t="array" ref="B133">INDEX('Tracker- Removed 2017'!A:A,match(A133,'Tracker- Removed 2017'!B:B,0))</f>
        <v>42947</v>
      </c>
      <c r="C133" s="159" t="str">
        <f t="array" ref="C133:G133">VLOOKUP(A133,'Tracker- Removed 2017'!B:Q,{2,8,9,11,13},false)</f>
        <v>#N/A</v>
      </c>
      <c r="D133" s="30" t="s">
        <v>3919</v>
      </c>
      <c r="E133" s="30" t="s">
        <v>263</v>
      </c>
      <c r="F133" s="30" t="s">
        <v>47</v>
      </c>
      <c r="G133" s="30" t="s">
        <v>47</v>
      </c>
    </row>
    <row r="134">
      <c r="A134" s="87">
        <v>363908.0</v>
      </c>
      <c r="B134" s="176">
        <f t="array" ref="B134">INDEX('Tracker- Removed 2017'!A:A,match(A134,'Tracker- Removed 2017'!B:B,0))</f>
        <v>42947</v>
      </c>
      <c r="C134" s="159" t="str">
        <f t="array" ref="C134:G134">VLOOKUP(A134,'Tracker- Removed 2017'!B:Q,{2,8,9,11,13},false)</f>
        <v>#N/A</v>
      </c>
      <c r="D134" s="30" t="s">
        <v>2958</v>
      </c>
      <c r="E134" s="30" t="s">
        <v>467</v>
      </c>
      <c r="F134" s="30" t="s">
        <v>47</v>
      </c>
      <c r="G134" s="30" t="s">
        <v>47</v>
      </c>
    </row>
    <row r="135">
      <c r="A135" s="87">
        <v>753500.0</v>
      </c>
      <c r="B135" s="176">
        <f t="array" ref="B135">INDEX('Tracker- Removed 2017'!A:A,match(A135,'Tracker- Removed 2017'!B:B,0))</f>
        <v>42947</v>
      </c>
      <c r="C135" s="159" t="str">
        <f t="array" ref="C135:G135">VLOOKUP(A135,'Tracker- Removed 2017'!B:Q,{2,8,9,11,13},false)</f>
        <v>#N/A</v>
      </c>
      <c r="D135" s="30" t="s">
        <v>3908</v>
      </c>
      <c r="E135" s="30" t="s">
        <v>3910</v>
      </c>
      <c r="F135" s="30" t="s">
        <v>47</v>
      </c>
      <c r="G135" s="30" t="s">
        <v>47</v>
      </c>
    </row>
    <row r="136">
      <c r="A136" s="87">
        <v>386766.0</v>
      </c>
      <c r="B136" s="176">
        <f t="array" ref="B136">INDEX('Tracker- Removed 2017'!A:A,match(A136,'Tracker- Removed 2017'!B:B,0))</f>
        <v>42947</v>
      </c>
      <c r="C136" s="159" t="str">
        <f t="array" ref="C136:G136">VLOOKUP(A136,'Tracker- Removed 2017'!B:Q,{2,8,9,11,13},false)</f>
        <v>#N/A</v>
      </c>
      <c r="D136" s="30" t="s">
        <v>3908</v>
      </c>
      <c r="E136" s="30" t="s">
        <v>75</v>
      </c>
      <c r="F136" s="30" t="s">
        <v>47</v>
      </c>
      <c r="G136" s="30" t="s">
        <v>47</v>
      </c>
    </row>
    <row r="137">
      <c r="A137" s="87">
        <v>553748.0</v>
      </c>
      <c r="B137" s="176">
        <f t="array" ref="B137">INDEX('Tracker- Removed 2017'!A:A,match(A137,'Tracker- Removed 2017'!B:B,0))</f>
        <v>42947</v>
      </c>
      <c r="C137" s="159" t="str">
        <f t="array" ref="C137:G137">VLOOKUP(A137,'Tracker- Removed 2017'!B:Q,{2,8,9,11,13},false)</f>
        <v>#N/A</v>
      </c>
      <c r="D137" s="30" t="s">
        <v>538</v>
      </c>
      <c r="E137" s="30" t="s">
        <v>271</v>
      </c>
      <c r="F137" s="30" t="s">
        <v>47</v>
      </c>
      <c r="G137" s="30" t="s">
        <v>47</v>
      </c>
    </row>
    <row r="138">
      <c r="A138" s="87">
        <v>640976.0</v>
      </c>
      <c r="B138" s="176">
        <f t="array" ref="B138">INDEX('Tracker- Removed 2017'!A:A,match(A138,'Tracker- Removed 2017'!B:B,0))</f>
        <v>42947</v>
      </c>
      <c r="C138" s="159" t="str">
        <f t="array" ref="C138:G138">VLOOKUP(A138,'Tracker- Removed 2017'!B:Q,{2,8,9,11,13},false)</f>
        <v>#N/A</v>
      </c>
      <c r="D138" s="30" t="s">
        <v>538</v>
      </c>
      <c r="E138" s="30" t="s">
        <v>975</v>
      </c>
      <c r="F138" s="30" t="s">
        <v>47</v>
      </c>
      <c r="G138" s="30" t="s">
        <v>47</v>
      </c>
    </row>
    <row r="139">
      <c r="A139" s="87">
        <v>585984.0</v>
      </c>
      <c r="B139" s="176">
        <f t="array" ref="B139">INDEX('Tracker- Removed 2017'!A:A,match(A139,'Tracker- Removed 2017'!B:B,0))</f>
        <v>42947</v>
      </c>
      <c r="C139" s="159" t="str">
        <f t="array" ref="C139:G139">VLOOKUP(A139,'Tracker- Removed 2017'!B:Q,{2,8,9,11,13},false)</f>
        <v>#N/A</v>
      </c>
      <c r="D139" s="30" t="s">
        <v>538</v>
      </c>
      <c r="E139" s="30" t="s">
        <v>123</v>
      </c>
      <c r="F139" s="30" t="s">
        <v>47</v>
      </c>
      <c r="G139" s="30" t="s">
        <v>47</v>
      </c>
    </row>
    <row r="140">
      <c r="A140" s="87">
        <v>546736.0</v>
      </c>
      <c r="B140" s="176">
        <f t="array" ref="B140">INDEX('Tracker- Removed 2017'!A:A,match(A140,'Tracker- Removed 2017'!B:B,0))</f>
        <v>42947</v>
      </c>
      <c r="C140" s="159" t="str">
        <f t="array" ref="C140:G140">VLOOKUP(A140,'Tracker- Removed 2017'!B:Q,{2,8,9,11,13},false)</f>
        <v>#N/A</v>
      </c>
      <c r="D140" s="30" t="s">
        <v>538</v>
      </c>
      <c r="E140" s="30" t="s">
        <v>123</v>
      </c>
      <c r="F140" s="30" t="s">
        <v>47</v>
      </c>
      <c r="G140" s="30" t="s">
        <v>47</v>
      </c>
    </row>
    <row r="141">
      <c r="A141" s="87">
        <v>13019.0</v>
      </c>
      <c r="B141" s="176">
        <f t="array" ref="B141">INDEX('Tracker- Removed 2017'!A:A,match(A141,'Tracker- Removed 2017'!B:B,0))</f>
        <v>42947</v>
      </c>
      <c r="C141" s="159" t="str">
        <f t="array" ref="C141:G141">VLOOKUP(A141,'Tracker- Removed 2017'!B:Q,{2,8,9,11,13},false)</f>
        <v>#N/A</v>
      </c>
      <c r="D141" s="30" t="s">
        <v>538</v>
      </c>
      <c r="E141" s="30" t="s">
        <v>127</v>
      </c>
      <c r="F141" s="30" t="s">
        <v>47</v>
      </c>
      <c r="G141" s="30" t="s">
        <v>47</v>
      </c>
    </row>
    <row r="142">
      <c r="A142" s="87">
        <v>343528.0</v>
      </c>
      <c r="B142" s="176">
        <f t="array" ref="B142">INDEX('Tracker- Removed 2017'!A:A,match(A142,'Tracker- Removed 2017'!B:B,0))</f>
        <v>42947</v>
      </c>
      <c r="C142" s="159" t="str">
        <f t="array" ref="C142:G142">VLOOKUP(A142,'Tracker- Removed 2017'!B:Q,{2,8,9,11,13},false)</f>
        <v>#N/A</v>
      </c>
      <c r="D142" s="30" t="s">
        <v>83</v>
      </c>
      <c r="E142" s="30" t="s">
        <v>153</v>
      </c>
      <c r="F142" s="30" t="s">
        <v>47</v>
      </c>
      <c r="G142" s="30" t="s">
        <v>47</v>
      </c>
    </row>
    <row r="143">
      <c r="A143" s="87">
        <v>437538.0</v>
      </c>
      <c r="B143" s="176">
        <f t="array" ref="B143">INDEX('Tracker- Removed 2017'!A:A,match(A143,'Tracker- Removed 2017'!B:B,0))</f>
        <v>42947</v>
      </c>
      <c r="C143" s="159" t="str">
        <f t="array" ref="C143:G143">VLOOKUP(A143,'Tracker- Removed 2017'!B:Q,{2,8,9,11,13},false)</f>
        <v>#N/A</v>
      </c>
      <c r="D143" s="30" t="s">
        <v>189</v>
      </c>
      <c r="E143" s="30" t="s">
        <v>337</v>
      </c>
      <c r="F143" s="30" t="s">
        <v>47</v>
      </c>
      <c r="G143" s="30" t="s">
        <v>47</v>
      </c>
    </row>
    <row r="144">
      <c r="A144" s="87">
        <v>765778.0</v>
      </c>
      <c r="B144" s="176">
        <f t="array" ref="B144">INDEX('Tracker- Removed 2017'!A:A,match(A144,'Tracker- Removed 2017'!B:B,0))</f>
        <v>42947</v>
      </c>
      <c r="C144" s="159" t="str">
        <f t="array" ref="C144:G144">VLOOKUP(A144,'Tracker- Removed 2017'!B:Q,{2,8,9,11,13},false)</f>
        <v>#N/A</v>
      </c>
      <c r="D144" s="30" t="s">
        <v>189</v>
      </c>
      <c r="E144" s="30" t="s">
        <v>222</v>
      </c>
      <c r="F144" s="30" t="s">
        <v>47</v>
      </c>
      <c r="G144" s="30" t="s">
        <v>47</v>
      </c>
    </row>
    <row r="145">
      <c r="A145" s="87">
        <v>612684.0</v>
      </c>
      <c r="B145" s="176">
        <f t="array" ref="B145">INDEX('Tracker- Removed 2017'!A:A,match(A145,'Tracker- Removed 2017'!B:B,0))</f>
        <v>42947</v>
      </c>
      <c r="C145" s="159" t="str">
        <f t="array" ref="C145:G145">VLOOKUP(A145,'Tracker- Removed 2017'!B:Q,{2,8,9,11,13},false)</f>
        <v>#N/A</v>
      </c>
      <c r="D145" s="30" t="s">
        <v>3909</v>
      </c>
      <c r="E145" s="30" t="s">
        <v>189</v>
      </c>
      <c r="F145" s="30" t="s">
        <v>47</v>
      </c>
      <c r="G145" s="30" t="s">
        <v>47</v>
      </c>
    </row>
    <row r="146">
      <c r="A146" s="87">
        <v>56699.0</v>
      </c>
      <c r="B146" s="176">
        <f t="array" ref="B146">INDEX('Tracker- Removed 2017'!A:A,match(A146,'Tracker- Removed 2017'!B:B,0))</f>
        <v>42947</v>
      </c>
      <c r="C146" s="159" t="str">
        <f t="array" ref="C146:G146">VLOOKUP(A146,'Tracker- Removed 2017'!B:Q,{2,8,9,11,13},false)</f>
        <v>#N/A</v>
      </c>
      <c r="D146" s="30" t="s">
        <v>3915</v>
      </c>
      <c r="E146" s="30" t="s">
        <v>3916</v>
      </c>
      <c r="F146" s="30" t="s">
        <v>47</v>
      </c>
      <c r="G146" s="30" t="s">
        <v>47</v>
      </c>
    </row>
    <row r="147">
      <c r="A147" s="87">
        <v>48292.0</v>
      </c>
      <c r="B147" s="176">
        <f t="array" ref="B147">INDEX('Tracker- Removed 2017'!A:A,match(A147,'Tracker- Removed 2017'!B:B,0))</f>
        <v>42947</v>
      </c>
      <c r="C147" s="159" t="str">
        <f t="array" ref="C147:G147">VLOOKUP(A147,'Tracker- Removed 2017'!B:Q,{2,8,9,11,13},false)</f>
        <v>#N/A</v>
      </c>
      <c r="D147" s="30" t="s">
        <v>219</v>
      </c>
      <c r="E147" s="30" t="s">
        <v>3935</v>
      </c>
      <c r="F147" s="30" t="s">
        <v>47</v>
      </c>
      <c r="G147" s="30" t="s">
        <v>47</v>
      </c>
    </row>
    <row r="148">
      <c r="A148" s="87">
        <v>49279.0</v>
      </c>
      <c r="B148" s="176">
        <f t="array" ref="B148">INDEX('Tracker- Removed 2017'!A:A,match(A148,'Tracker- Removed 2017'!B:B,0))</f>
        <v>42947</v>
      </c>
      <c r="C148" s="159" t="str">
        <f t="array" ref="C148:G148">VLOOKUP(A148,'Tracker- Removed 2017'!B:Q,{2,8,9,11,13},false)</f>
        <v>#N/A</v>
      </c>
      <c r="D148" s="30" t="s">
        <v>219</v>
      </c>
      <c r="E148" s="30" t="s">
        <v>3935</v>
      </c>
      <c r="F148" s="30" t="s">
        <v>47</v>
      </c>
      <c r="G148" s="30" t="s">
        <v>47</v>
      </c>
    </row>
    <row r="149">
      <c r="A149" s="87">
        <v>50224.0</v>
      </c>
      <c r="B149" s="176">
        <f t="array" ref="B149">INDEX('Tracker- Removed 2017'!A:A,match(A149,'Tracker- Removed 2017'!B:B,0))</f>
        <v>42916</v>
      </c>
      <c r="C149" s="159" t="str">
        <f t="array" ref="C149:G149">VLOOKUP(A149,'Tracker- Removed 2017'!B:Q,{2,8,9,11,13},false)</f>
        <v>#N/A</v>
      </c>
      <c r="D149" s="30" t="s">
        <v>189</v>
      </c>
      <c r="E149" s="30" t="s">
        <v>3912</v>
      </c>
      <c r="F149" s="30" t="s">
        <v>47</v>
      </c>
      <c r="G149" s="30" t="s">
        <v>47</v>
      </c>
    </row>
    <row r="150">
      <c r="A150" s="87">
        <v>621022.0</v>
      </c>
      <c r="B150" s="176">
        <f t="array" ref="B150">INDEX('Tracker- Removed 2017'!A:A,match(A150,'Tracker- Removed 2017'!B:B,0))</f>
        <v>42916</v>
      </c>
      <c r="C150" s="159" t="str">
        <f t="array" ref="C150:G150">VLOOKUP(A150,'Tracker- Removed 2017'!B:Q,{2,8,9,11,13},false)</f>
        <v>#N/A</v>
      </c>
      <c r="D150" s="30" t="s">
        <v>39</v>
      </c>
      <c r="E150" s="30" t="s">
        <v>3910</v>
      </c>
      <c r="F150" s="30" t="s">
        <v>47</v>
      </c>
      <c r="G150" s="30" t="s">
        <v>47</v>
      </c>
    </row>
    <row r="151">
      <c r="A151" s="87">
        <v>64422.0</v>
      </c>
      <c r="B151" s="176">
        <f t="array" ref="B151">INDEX('Tracker- Removed 2017'!A:A,match(A151,'Tracker- Removed 2017'!B:B,0))</f>
        <v>42916</v>
      </c>
      <c r="C151" s="159" t="str">
        <f t="array" ref="C151:G151">VLOOKUP(A151,'Tracker- Removed 2017'!B:Q,{2,8,9,11,13},false)</f>
        <v>#N/A</v>
      </c>
      <c r="D151" s="30" t="s">
        <v>39</v>
      </c>
      <c r="E151" s="30" t="s">
        <v>140</v>
      </c>
      <c r="F151" s="30" t="s">
        <v>47</v>
      </c>
      <c r="G151" s="30" t="s">
        <v>47</v>
      </c>
    </row>
    <row r="152">
      <c r="A152" s="87">
        <v>128948.0</v>
      </c>
      <c r="B152" s="176">
        <f t="array" ref="B152">INDEX('Tracker- Removed 2017'!A:A,match(A152,'Tracker- Removed 2017'!B:B,0))</f>
        <v>42916</v>
      </c>
      <c r="C152" s="159" t="str">
        <f t="array" ref="C152:G152">VLOOKUP(A152,'Tracker- Removed 2017'!B:Q,{2,8,9,11,13},false)</f>
        <v>#N/A</v>
      </c>
      <c r="D152" s="30" t="s">
        <v>39</v>
      </c>
      <c r="E152" s="30" t="s">
        <v>140</v>
      </c>
      <c r="F152" s="30" t="s">
        <v>47</v>
      </c>
      <c r="G152" s="30" t="s">
        <v>47</v>
      </c>
    </row>
    <row r="153">
      <c r="A153" s="87">
        <v>405878.0</v>
      </c>
      <c r="B153" s="176">
        <f t="array" ref="B153">INDEX('Tracker- Removed 2017'!A:A,match(A153,'Tracker- Removed 2017'!B:B,0))</f>
        <v>42916</v>
      </c>
      <c r="C153" s="159" t="str">
        <f t="array" ref="C153:G153">VLOOKUP(A153,'Tracker- Removed 2017'!B:Q,{2,8,9,11,13},false)</f>
        <v>#N/A</v>
      </c>
      <c r="D153" s="30" t="s">
        <v>39</v>
      </c>
      <c r="E153" s="30" t="s">
        <v>140</v>
      </c>
      <c r="F153" s="30" t="s">
        <v>47</v>
      </c>
      <c r="G153" s="30" t="s">
        <v>47</v>
      </c>
    </row>
    <row r="154">
      <c r="A154" s="87">
        <v>542332.0</v>
      </c>
      <c r="B154" s="176">
        <f t="array" ref="B154">INDEX('Tracker- Removed 2017'!A:A,match(A154,'Tracker- Removed 2017'!B:B,0))</f>
        <v>42916</v>
      </c>
      <c r="C154" s="159" t="str">
        <f t="array" ref="C154:G154">VLOOKUP(A154,'Tracker- Removed 2017'!B:Q,{2,8,9,11,13},false)</f>
        <v>#N/A</v>
      </c>
      <c r="D154" s="30" t="s">
        <v>3919</v>
      </c>
      <c r="E154" s="30" t="s">
        <v>3920</v>
      </c>
      <c r="F154" s="30" t="s">
        <v>47</v>
      </c>
      <c r="G154" s="30" t="s">
        <v>47</v>
      </c>
    </row>
    <row r="155">
      <c r="A155" s="87">
        <v>73046.0</v>
      </c>
      <c r="B155" s="176">
        <f t="array" ref="B155">INDEX('Tracker- Removed 2017'!A:A,match(A155,'Tracker- Removed 2017'!B:B,0))</f>
        <v>42916</v>
      </c>
      <c r="C155" s="159" t="str">
        <f t="array" ref="C155:G155">VLOOKUP(A155,'Tracker- Removed 2017'!B:Q,{2,8,9,11,13},false)</f>
        <v>#N/A</v>
      </c>
      <c r="D155" s="30" t="s">
        <v>3919</v>
      </c>
      <c r="E155" s="30" t="s">
        <v>3920</v>
      </c>
      <c r="F155" s="30" t="s">
        <v>47</v>
      </c>
      <c r="G155" s="30" t="s">
        <v>47</v>
      </c>
    </row>
    <row r="156">
      <c r="A156" s="87">
        <v>73044.0</v>
      </c>
      <c r="B156" s="176">
        <f t="array" ref="B156">INDEX('Tracker- Removed 2017'!A:A,match(A156,'Tracker- Removed 2017'!B:B,0))</f>
        <v>42916</v>
      </c>
      <c r="C156" s="159" t="str">
        <f t="array" ref="C156:G156">VLOOKUP(A156,'Tracker- Removed 2017'!B:Q,{2,8,9,11,13},false)</f>
        <v>#N/A</v>
      </c>
      <c r="D156" s="30" t="s">
        <v>3919</v>
      </c>
      <c r="E156" s="30" t="s">
        <v>3920</v>
      </c>
      <c r="F156" s="30" t="s">
        <v>47</v>
      </c>
      <c r="G156" s="30" t="s">
        <v>47</v>
      </c>
    </row>
    <row r="157">
      <c r="A157" s="87">
        <v>542306.0</v>
      </c>
      <c r="B157" s="176">
        <f t="array" ref="B157">INDEX('Tracker- Removed 2017'!A:A,match(A157,'Tracker- Removed 2017'!B:B,0))</f>
        <v>42916</v>
      </c>
      <c r="C157" s="159" t="str">
        <f t="array" ref="C157:G157">VLOOKUP(A157,'Tracker- Removed 2017'!B:Q,{2,8,9,11,13},false)</f>
        <v>#N/A</v>
      </c>
      <c r="D157" s="30" t="s">
        <v>3919</v>
      </c>
      <c r="E157" s="30" t="s">
        <v>3920</v>
      </c>
      <c r="F157" s="30" t="s">
        <v>47</v>
      </c>
      <c r="G157" s="30" t="s">
        <v>47</v>
      </c>
    </row>
    <row r="158">
      <c r="A158" s="87">
        <v>500046.0</v>
      </c>
      <c r="B158" s="176">
        <f t="array" ref="B158">INDEX('Tracker- Removed 2017'!A:A,match(A158,'Tracker- Removed 2017'!B:B,0))</f>
        <v>42916</v>
      </c>
      <c r="C158" s="159" t="str">
        <f t="array" ref="C158:G158">VLOOKUP(A158,'Tracker- Removed 2017'!B:Q,{2,8,9,11,13},false)</f>
        <v>#N/A</v>
      </c>
      <c r="D158" s="30" t="s">
        <v>3919</v>
      </c>
      <c r="E158" s="30" t="s">
        <v>3920</v>
      </c>
      <c r="F158" s="30" t="s">
        <v>47</v>
      </c>
      <c r="G158" s="30" t="s">
        <v>47</v>
      </c>
    </row>
    <row r="159">
      <c r="A159" s="87">
        <v>73898.0</v>
      </c>
      <c r="B159" s="176">
        <f t="array" ref="B159">INDEX('Tracker- Removed 2017'!A:A,match(A159,'Tracker- Removed 2017'!B:B,0))</f>
        <v>42916</v>
      </c>
      <c r="C159" s="159" t="str">
        <f t="array" ref="C159:G159">VLOOKUP(A159,'Tracker- Removed 2017'!B:Q,{2,8,9,11,13},false)</f>
        <v>#N/A</v>
      </c>
      <c r="D159" s="30" t="s">
        <v>3919</v>
      </c>
      <c r="E159" s="30" t="s">
        <v>3920</v>
      </c>
      <c r="F159" s="30" t="s">
        <v>47</v>
      </c>
      <c r="G159" s="30" t="s">
        <v>47</v>
      </c>
    </row>
    <row r="160">
      <c r="A160" s="87">
        <v>73938.0</v>
      </c>
      <c r="B160" s="176">
        <f t="array" ref="B160">INDEX('Tracker- Removed 2017'!A:A,match(A160,'Tracker- Removed 2017'!B:B,0))</f>
        <v>42916</v>
      </c>
      <c r="C160" s="159" t="str">
        <f t="array" ref="C160:G160">VLOOKUP(A160,'Tracker- Removed 2017'!B:Q,{2,8,9,11,13},false)</f>
        <v>#N/A</v>
      </c>
      <c r="D160" s="30" t="s">
        <v>3919</v>
      </c>
      <c r="E160" s="30" t="s">
        <v>3920</v>
      </c>
      <c r="F160" s="30" t="s">
        <v>47</v>
      </c>
      <c r="G160" s="30" t="s">
        <v>47</v>
      </c>
    </row>
    <row r="161">
      <c r="A161" s="87">
        <v>73962.0</v>
      </c>
      <c r="B161" s="176">
        <f t="array" ref="B161">INDEX('Tracker- Removed 2017'!A:A,match(A161,'Tracker- Removed 2017'!B:B,0))</f>
        <v>42916</v>
      </c>
      <c r="C161" s="159" t="str">
        <f t="array" ref="C161:G161">VLOOKUP(A161,'Tracker- Removed 2017'!B:Q,{2,8,9,11,13},false)</f>
        <v>#N/A</v>
      </c>
      <c r="D161" s="30" t="s">
        <v>3919</v>
      </c>
      <c r="E161" s="30" t="s">
        <v>3920</v>
      </c>
      <c r="F161" s="30" t="s">
        <v>47</v>
      </c>
      <c r="G161" s="30" t="s">
        <v>47</v>
      </c>
    </row>
    <row r="162">
      <c r="A162" s="87">
        <v>74004.0</v>
      </c>
      <c r="B162" s="176">
        <f t="array" ref="B162">INDEX('Tracker- Removed 2017'!A:A,match(A162,'Tracker- Removed 2017'!B:B,0))</f>
        <v>42916</v>
      </c>
      <c r="C162" s="159" t="str">
        <f t="array" ref="C162:G162">VLOOKUP(A162,'Tracker- Removed 2017'!B:Q,{2,8,9,11,13},false)</f>
        <v>#N/A</v>
      </c>
      <c r="D162" s="30" t="s">
        <v>3919</v>
      </c>
      <c r="E162" s="30" t="s">
        <v>3920</v>
      </c>
      <c r="F162" s="30" t="s">
        <v>47</v>
      </c>
      <c r="G162" s="30" t="s">
        <v>47</v>
      </c>
    </row>
    <row r="163">
      <c r="A163" s="87">
        <v>74016.0</v>
      </c>
      <c r="B163" s="176">
        <f t="array" ref="B163">INDEX('Tracker- Removed 2017'!A:A,match(A163,'Tracker- Removed 2017'!B:B,0))</f>
        <v>42916</v>
      </c>
      <c r="C163" s="159" t="str">
        <f t="array" ref="C163:G163">VLOOKUP(A163,'Tracker- Removed 2017'!B:Q,{2,8,9,11,13},false)</f>
        <v>#N/A</v>
      </c>
      <c r="D163" s="30" t="s">
        <v>3919</v>
      </c>
      <c r="E163" s="30" t="s">
        <v>3920</v>
      </c>
      <c r="F163" s="30" t="s">
        <v>47</v>
      </c>
      <c r="G163" s="30" t="s">
        <v>47</v>
      </c>
    </row>
    <row r="164">
      <c r="A164" s="87">
        <v>74028.0</v>
      </c>
      <c r="B164" s="176">
        <f t="array" ref="B164">INDEX('Tracker- Removed 2017'!A:A,match(A164,'Tracker- Removed 2017'!B:B,0))</f>
        <v>42916</v>
      </c>
      <c r="C164" s="159" t="str">
        <f t="array" ref="C164:G164">VLOOKUP(A164,'Tracker- Removed 2017'!B:Q,{2,8,9,11,13},false)</f>
        <v>#N/A</v>
      </c>
      <c r="D164" s="30" t="s">
        <v>3919</v>
      </c>
      <c r="E164" s="30" t="s">
        <v>3920</v>
      </c>
      <c r="F164" s="30" t="s">
        <v>47</v>
      </c>
      <c r="G164" s="30" t="s">
        <v>47</v>
      </c>
    </row>
    <row r="165">
      <c r="A165" s="87">
        <v>102438.0</v>
      </c>
      <c r="B165" s="176">
        <f t="array" ref="B165">INDEX('Tracker- Removed 2017'!A:A,match(A165,'Tracker- Removed 2017'!B:B,0))</f>
        <v>42916</v>
      </c>
      <c r="C165" s="159" t="str">
        <f t="array" ref="C165:G165">VLOOKUP(A165,'Tracker- Removed 2017'!B:Q,{2,8,9,11,13},false)</f>
        <v>#N/A</v>
      </c>
      <c r="D165" s="30" t="s">
        <v>3919</v>
      </c>
      <c r="E165" s="30" t="s">
        <v>3920</v>
      </c>
      <c r="F165" s="30" t="s">
        <v>47</v>
      </c>
      <c r="G165" s="30" t="s">
        <v>47</v>
      </c>
    </row>
    <row r="166">
      <c r="A166" s="87">
        <v>196164.0</v>
      </c>
      <c r="B166" s="176">
        <f t="array" ref="B166">INDEX('Tracker- Removed 2017'!A:A,match(A166,'Tracker- Removed 2017'!B:B,0))</f>
        <v>42916</v>
      </c>
      <c r="C166" s="159" t="str">
        <f t="array" ref="C166:G166">VLOOKUP(A166,'Tracker- Removed 2017'!B:Q,{2,8,9,11,13},false)</f>
        <v>#N/A</v>
      </c>
      <c r="D166" s="30" t="s">
        <v>3919</v>
      </c>
      <c r="E166" s="30" t="s">
        <v>3920</v>
      </c>
      <c r="F166" s="30" t="s">
        <v>47</v>
      </c>
      <c r="G166" s="30" t="s">
        <v>47</v>
      </c>
    </row>
    <row r="167">
      <c r="A167" s="87">
        <v>73092.0</v>
      </c>
      <c r="B167" s="176">
        <f t="array" ref="B167">INDEX('Tracker- Removed 2017'!A:A,match(A167,'Tracker- Removed 2017'!B:B,0))</f>
        <v>42916</v>
      </c>
      <c r="C167" s="159" t="str">
        <f t="array" ref="C167:G167">VLOOKUP(A167,'Tracker- Removed 2017'!B:Q,{2,8,9,11,13},false)</f>
        <v>#N/A</v>
      </c>
      <c r="D167" s="30" t="s">
        <v>3919</v>
      </c>
      <c r="E167" s="30" t="s">
        <v>3921</v>
      </c>
      <c r="F167" s="30" t="s">
        <v>47</v>
      </c>
      <c r="G167" s="30" t="s">
        <v>47</v>
      </c>
    </row>
    <row r="168">
      <c r="A168" s="87">
        <v>48699.0</v>
      </c>
      <c r="B168" s="176">
        <f t="array" ref="B168">INDEX('Tracker- Removed 2017'!A:A,match(A168,'Tracker- Removed 2017'!B:B,0))</f>
        <v>42916</v>
      </c>
      <c r="C168" s="159" t="str">
        <f t="array" ref="C168:G168">VLOOKUP(A168,'Tracker- Removed 2017'!B:Q,{2,8,9,11,13},false)</f>
        <v>#N/A</v>
      </c>
      <c r="D168" s="30" t="s">
        <v>3908</v>
      </c>
      <c r="E168" s="30" t="s">
        <v>3910</v>
      </c>
      <c r="F168" s="30" t="s">
        <v>47</v>
      </c>
      <c r="G168" s="30" t="s">
        <v>47</v>
      </c>
    </row>
    <row r="169">
      <c r="A169" s="87">
        <v>49664.0</v>
      </c>
      <c r="B169" s="176">
        <f t="array" ref="B169">INDEX('Tracker- Removed 2017'!A:A,match(A169,'Tracker- Removed 2017'!B:B,0))</f>
        <v>42916</v>
      </c>
      <c r="C169" s="159" t="str">
        <f t="array" ref="C169:G169">VLOOKUP(A169,'Tracker- Removed 2017'!B:Q,{2,8,9,11,13},false)</f>
        <v>#N/A</v>
      </c>
      <c r="D169" s="30" t="s">
        <v>3908</v>
      </c>
      <c r="E169" s="30" t="s">
        <v>3910</v>
      </c>
      <c r="F169" s="30" t="s">
        <v>47</v>
      </c>
      <c r="G169" s="30" t="s">
        <v>47</v>
      </c>
    </row>
    <row r="170">
      <c r="A170" s="87">
        <v>49662.0</v>
      </c>
      <c r="B170" s="176">
        <f t="array" ref="B170">INDEX('Tracker- Removed 2017'!A:A,match(A170,'Tracker- Removed 2017'!B:B,0))</f>
        <v>42916</v>
      </c>
      <c r="C170" s="159" t="str">
        <f t="array" ref="C170:G170">VLOOKUP(A170,'Tracker- Removed 2017'!B:Q,{2,8,9,11,13},false)</f>
        <v>#N/A</v>
      </c>
      <c r="D170" s="30" t="s">
        <v>3908</v>
      </c>
      <c r="E170" s="30" t="s">
        <v>3910</v>
      </c>
      <c r="F170" s="30" t="s">
        <v>47</v>
      </c>
      <c r="G170" s="30" t="s">
        <v>47</v>
      </c>
    </row>
    <row r="171">
      <c r="A171" s="23">
        <v>216294.0</v>
      </c>
      <c r="B171" s="176">
        <f t="array" ref="B171">INDEX('Tracker- Removed 2017'!A:A,match(A171,'Tracker- Removed 2017'!B:B,0))</f>
        <v>42916</v>
      </c>
      <c r="C171" s="159" t="str">
        <f t="array" ref="C171:G171">VLOOKUP(A171,'Tracker- Removed 2017'!B:Q,{2,8,9,11,13},false)</f>
        <v>#N/A</v>
      </c>
      <c r="D171" s="30" t="s">
        <v>3908</v>
      </c>
      <c r="E171" s="30" t="s">
        <v>3910</v>
      </c>
      <c r="F171" s="30" t="s">
        <v>47</v>
      </c>
      <c r="G171" s="30" t="s">
        <v>47</v>
      </c>
    </row>
    <row r="172">
      <c r="A172" s="87">
        <v>474314.0</v>
      </c>
      <c r="B172" s="176">
        <f t="array" ref="B172">INDEX('Tracker- Removed 2017'!A:A,match(A172,'Tracker- Removed 2017'!B:B,0))</f>
        <v>42916</v>
      </c>
      <c r="C172" s="159" t="str">
        <f t="array" ref="C172:G172">VLOOKUP(A172,'Tracker- Removed 2017'!B:Q,{2,8,9,11,13},false)</f>
        <v>#N/A</v>
      </c>
      <c r="D172" s="30" t="s">
        <v>3908</v>
      </c>
      <c r="E172" s="30" t="s">
        <v>46</v>
      </c>
      <c r="F172" s="30" t="s">
        <v>47</v>
      </c>
      <c r="G172" s="30" t="s">
        <v>47</v>
      </c>
    </row>
    <row r="173">
      <c r="A173" s="87">
        <v>20743.0</v>
      </c>
      <c r="B173" s="176">
        <f t="array" ref="B173">INDEX('Tracker- Removed 2017'!A:A,match(A173,'Tracker- Removed 2017'!B:B,0))</f>
        <v>42916</v>
      </c>
      <c r="C173" s="159" t="str">
        <f t="array" ref="C173:G173">VLOOKUP(A173,'Tracker- Removed 2017'!B:Q,{2,8,9,11,13},false)</f>
        <v>#N/A</v>
      </c>
      <c r="D173" s="30" t="s">
        <v>538</v>
      </c>
      <c r="E173" s="30" t="s">
        <v>271</v>
      </c>
      <c r="F173" s="30" t="s">
        <v>47</v>
      </c>
      <c r="G173" s="30" t="s">
        <v>47</v>
      </c>
    </row>
    <row r="174">
      <c r="A174" s="87">
        <v>433790.0</v>
      </c>
      <c r="B174" s="176">
        <f t="array" ref="B174">INDEX('Tracker- Removed 2017'!A:A,match(A174,'Tracker- Removed 2017'!B:B,0))</f>
        <v>42916</v>
      </c>
      <c r="C174" s="159" t="str">
        <f t="array" ref="C174:G174">VLOOKUP(A174,'Tracker- Removed 2017'!B:Q,{2,8,9,11,13},false)</f>
        <v>#N/A</v>
      </c>
      <c r="D174" s="30" t="s">
        <v>83</v>
      </c>
      <c r="E174" s="30" t="s">
        <v>3926</v>
      </c>
      <c r="F174" s="30" t="s">
        <v>47</v>
      </c>
      <c r="G174" s="30" t="s">
        <v>47</v>
      </c>
    </row>
    <row r="175">
      <c r="A175" s="87">
        <v>30297.0</v>
      </c>
      <c r="B175" s="176">
        <f t="array" ref="B175">INDEX('Tracker- Removed 2017'!A:A,match(A175,'Tracker- Removed 2017'!B:B,0))</f>
        <v>42916</v>
      </c>
      <c r="C175" s="159" t="str">
        <f t="array" ref="C175:G175">VLOOKUP(A175,'Tracker- Removed 2017'!B:Q,{2,8,9,11,13},false)</f>
        <v>#N/A</v>
      </c>
      <c r="D175" s="30" t="s">
        <v>189</v>
      </c>
      <c r="E175" s="30" t="s">
        <v>337</v>
      </c>
      <c r="F175" s="30" t="s">
        <v>47</v>
      </c>
      <c r="G175" s="30" t="s">
        <v>47</v>
      </c>
    </row>
    <row r="176">
      <c r="A176" s="87">
        <v>50406.0</v>
      </c>
      <c r="B176" s="176">
        <f t="array" ref="B176">INDEX('Tracker- Removed 2017'!A:A,match(A176,'Tracker- Removed 2017'!B:B,0))</f>
        <v>42916</v>
      </c>
      <c r="C176" s="159" t="str">
        <f t="array" ref="C176:G176">VLOOKUP(A176,'Tracker- Removed 2017'!B:Q,{2,8,9,11,13},false)</f>
        <v>#N/A</v>
      </c>
      <c r="D176" s="30" t="s">
        <v>189</v>
      </c>
      <c r="E176" s="30" t="s">
        <v>337</v>
      </c>
      <c r="F176" s="30" t="s">
        <v>47</v>
      </c>
      <c r="G176" s="30" t="s">
        <v>47</v>
      </c>
    </row>
    <row r="177">
      <c r="A177" s="87">
        <v>51273.0</v>
      </c>
      <c r="B177" s="176">
        <f t="array" ref="B177">INDEX('Tracker- Removed 2017'!A:A,match(A177,'Tracker- Removed 2017'!B:B,0))</f>
        <v>42916</v>
      </c>
      <c r="C177" s="159" t="str">
        <f t="array" ref="C177:G177">VLOOKUP(A177,'Tracker- Removed 2017'!B:Q,{2,8,9,11,13},false)</f>
        <v>#N/A</v>
      </c>
      <c r="D177" s="30" t="s">
        <v>189</v>
      </c>
      <c r="E177" s="30" t="s">
        <v>337</v>
      </c>
      <c r="F177" s="30" t="s">
        <v>47</v>
      </c>
      <c r="G177" s="30" t="s">
        <v>47</v>
      </c>
    </row>
    <row r="178">
      <c r="A178" s="87">
        <v>806474.0</v>
      </c>
      <c r="B178" s="176">
        <f t="array" ref="B178">INDEX('Tracker- Removed 2017'!A:A,match(A178,'Tracker- Removed 2017'!B:B,0))</f>
        <v>42916</v>
      </c>
      <c r="C178" s="159" t="str">
        <f t="array" ref="C178:G178">VLOOKUP(A178,'Tracker- Removed 2017'!B:Q,{2,8,9,11,13},false)</f>
        <v>#N/A</v>
      </c>
      <c r="D178" s="30" t="s">
        <v>189</v>
      </c>
      <c r="E178" s="30" t="s">
        <v>337</v>
      </c>
      <c r="F178" s="30" t="s">
        <v>47</v>
      </c>
      <c r="G178" s="30" t="s">
        <v>47</v>
      </c>
    </row>
    <row r="179">
      <c r="A179" s="87">
        <v>50845.0</v>
      </c>
      <c r="B179" s="176">
        <f t="array" ref="B179">INDEX('Tracker- Removed 2017'!A:A,match(A179,'Tracker- Removed 2017'!B:B,0))</f>
        <v>42916</v>
      </c>
      <c r="C179" s="159" t="str">
        <f t="array" ref="C179:G179">VLOOKUP(A179,'Tracker- Removed 2017'!B:Q,{2,8,9,11,13},false)</f>
        <v>#N/A</v>
      </c>
      <c r="D179" s="30" t="s">
        <v>189</v>
      </c>
      <c r="E179" s="30" t="s">
        <v>3912</v>
      </c>
      <c r="F179" s="30" t="s">
        <v>47</v>
      </c>
      <c r="G179" s="30" t="s">
        <v>47</v>
      </c>
    </row>
    <row r="180">
      <c r="A180" s="87">
        <v>50450.0</v>
      </c>
      <c r="B180" s="176">
        <f t="array" ref="B180">INDEX('Tracker- Removed 2017'!A:A,match(A180,'Tracker- Removed 2017'!B:B,0))</f>
        <v>42916</v>
      </c>
      <c r="C180" s="159" t="str">
        <f t="array" ref="C180:G180">VLOOKUP(A180,'Tracker- Removed 2017'!B:Q,{2,8,9,11,13},false)</f>
        <v>#N/A</v>
      </c>
      <c r="D180" s="30" t="s">
        <v>189</v>
      </c>
      <c r="E180" s="30" t="s">
        <v>3912</v>
      </c>
      <c r="F180" s="30" t="s">
        <v>47</v>
      </c>
      <c r="G180" s="30" t="s">
        <v>47</v>
      </c>
    </row>
    <row r="181">
      <c r="A181" s="87">
        <v>58700.0</v>
      </c>
      <c r="B181" s="176">
        <f t="array" ref="B181">INDEX('Tracker- Removed 2017'!A:A,match(A181,'Tracker- Removed 2017'!B:B,0))</f>
        <v>42916</v>
      </c>
      <c r="C181" s="159" t="str">
        <f t="array" ref="C181:G181">VLOOKUP(A181,'Tracker- Removed 2017'!B:Q,{2,8,9,11,13},false)</f>
        <v>#N/A</v>
      </c>
      <c r="D181" s="30" t="s">
        <v>189</v>
      </c>
      <c r="E181" s="30" t="s">
        <v>3912</v>
      </c>
      <c r="F181" s="30" t="s">
        <v>47</v>
      </c>
      <c r="G181" s="30" t="s">
        <v>47</v>
      </c>
    </row>
    <row r="182">
      <c r="A182" s="87">
        <v>50212.0</v>
      </c>
      <c r="B182" s="176">
        <f t="array" ref="B182">INDEX('Tracker- Removed 2017'!A:A,match(A182,'Tracker- Removed 2017'!B:B,0))</f>
        <v>42916</v>
      </c>
      <c r="C182" s="159" t="str">
        <f t="array" ref="C182:G182">VLOOKUP(A182,'Tracker- Removed 2017'!B:Q,{2,8,9,11,13},false)</f>
        <v>#N/A</v>
      </c>
      <c r="D182" s="30" t="s">
        <v>189</v>
      </c>
      <c r="E182" s="30" t="s">
        <v>448</v>
      </c>
      <c r="F182" s="30" t="s">
        <v>47</v>
      </c>
      <c r="G182" s="30" t="s">
        <v>47</v>
      </c>
    </row>
    <row r="183">
      <c r="A183" s="87">
        <v>343602.0</v>
      </c>
      <c r="B183" s="176">
        <f t="array" ref="B183">INDEX('Tracker- Removed 2017'!A:A,match(A183,'Tracker- Removed 2017'!B:B,0))</f>
        <v>42916</v>
      </c>
      <c r="C183" s="159" t="str">
        <f t="array" ref="C183:G183">VLOOKUP(A183,'Tracker- Removed 2017'!B:Q,{2,8,9,11,13},false)</f>
        <v>#N/A</v>
      </c>
      <c r="D183" s="30" t="s">
        <v>189</v>
      </c>
      <c r="E183" s="30" t="s">
        <v>448</v>
      </c>
      <c r="F183" s="30" t="s">
        <v>47</v>
      </c>
      <c r="G183" s="30" t="s">
        <v>47</v>
      </c>
    </row>
    <row r="184">
      <c r="A184" s="87">
        <v>109518.0</v>
      </c>
      <c r="B184" s="176">
        <f t="array" ref="B184">INDEX('Tracker- Removed 2017'!A:A,match(A184,'Tracker- Removed 2017'!B:B,0))</f>
        <v>42916</v>
      </c>
      <c r="C184" s="159" t="str">
        <f t="array" ref="C184:G184">VLOOKUP(A184,'Tracker- Removed 2017'!B:Q,{2,8,9,11,13},false)</f>
        <v>#N/A</v>
      </c>
      <c r="D184" s="30" t="s">
        <v>189</v>
      </c>
      <c r="E184" s="30" t="s">
        <v>448</v>
      </c>
      <c r="F184" s="30" t="s">
        <v>47</v>
      </c>
      <c r="G184" s="30" t="s">
        <v>47</v>
      </c>
    </row>
    <row r="185">
      <c r="A185" s="87">
        <v>518910.0</v>
      </c>
      <c r="B185" s="176">
        <f t="array" ref="B185">INDEX('Tracker- Removed 2017'!A:A,match(A185,'Tracker- Removed 2017'!B:B,0))</f>
        <v>42916</v>
      </c>
      <c r="C185" s="159" t="str">
        <f t="array" ref="C185:G185">VLOOKUP(A185,'Tracker- Removed 2017'!B:Q,{2,8,9,11,13},false)</f>
        <v>#N/A</v>
      </c>
      <c r="D185" s="30" t="s">
        <v>189</v>
      </c>
      <c r="E185" s="30" t="s">
        <v>448</v>
      </c>
      <c r="F185" s="30" t="s">
        <v>47</v>
      </c>
      <c r="G185" s="30" t="s">
        <v>47</v>
      </c>
    </row>
    <row r="186">
      <c r="A186" s="87">
        <v>50875.0</v>
      </c>
      <c r="B186" s="176">
        <f t="array" ref="B186">INDEX('Tracker- Removed 2017'!A:A,match(A186,'Tracker- Removed 2017'!B:B,0))</f>
        <v>42916</v>
      </c>
      <c r="C186" s="159" t="str">
        <f t="array" ref="C186:G186">VLOOKUP(A186,'Tracker- Removed 2017'!B:Q,{2,8,9,11,13},false)</f>
        <v>#N/A</v>
      </c>
      <c r="D186" s="30" t="s">
        <v>189</v>
      </c>
      <c r="E186" s="30" t="s">
        <v>190</v>
      </c>
      <c r="F186" s="30" t="s">
        <v>47</v>
      </c>
      <c r="G186" s="30" t="s">
        <v>47</v>
      </c>
    </row>
    <row r="187">
      <c r="A187" s="87">
        <v>50867.0</v>
      </c>
      <c r="B187" s="176">
        <f t="array" ref="B187">INDEX('Tracker- Removed 2017'!A:A,match(A187,'Tracker- Removed 2017'!B:B,0))</f>
        <v>42916</v>
      </c>
      <c r="C187" s="159" t="str">
        <f t="array" ref="C187:G187">VLOOKUP(A187,'Tracker- Removed 2017'!B:Q,{2,8,9,11,13},false)</f>
        <v>#N/A</v>
      </c>
      <c r="D187" s="30" t="s">
        <v>189</v>
      </c>
      <c r="E187" s="30" t="s">
        <v>190</v>
      </c>
      <c r="F187" s="30" t="s">
        <v>47</v>
      </c>
      <c r="G187" s="30" t="s">
        <v>47</v>
      </c>
    </row>
    <row r="188">
      <c r="A188" s="87">
        <v>50373.0</v>
      </c>
      <c r="B188" s="176">
        <f t="array" ref="B188">INDEX('Tracker- Removed 2017'!A:A,match(A188,'Tracker- Removed 2017'!B:B,0))</f>
        <v>42916</v>
      </c>
      <c r="C188" s="159" t="str">
        <f t="array" ref="C188:G188">VLOOKUP(A188,'Tracker- Removed 2017'!B:Q,{2,8,9,11,13},false)</f>
        <v>#N/A</v>
      </c>
      <c r="D188" s="30" t="s">
        <v>189</v>
      </c>
      <c r="E188" s="30" t="s">
        <v>190</v>
      </c>
      <c r="F188" s="30" t="s">
        <v>47</v>
      </c>
      <c r="G188" s="30" t="s">
        <v>47</v>
      </c>
    </row>
    <row r="189">
      <c r="A189" s="87">
        <v>51003.0</v>
      </c>
      <c r="B189" s="176">
        <f t="array" ref="B189">INDEX('Tracker- Removed 2017'!A:A,match(A189,'Tracker- Removed 2017'!B:B,0))</f>
        <v>42916</v>
      </c>
      <c r="C189" s="159" t="str">
        <f t="array" ref="C189:G189">VLOOKUP(A189,'Tracker- Removed 2017'!B:Q,{2,8,9,11,13},false)</f>
        <v>#N/A</v>
      </c>
      <c r="D189" s="30" t="s">
        <v>189</v>
      </c>
      <c r="E189" s="30" t="s">
        <v>190</v>
      </c>
      <c r="F189" s="30" t="s">
        <v>47</v>
      </c>
      <c r="G189" s="30" t="s">
        <v>47</v>
      </c>
    </row>
    <row r="190">
      <c r="A190" s="87">
        <v>58615.0</v>
      </c>
      <c r="B190" s="176">
        <f t="array" ref="B190">INDEX('Tracker- Removed 2017'!A:A,match(A190,'Tracker- Removed 2017'!B:B,0))</f>
        <v>42916</v>
      </c>
      <c r="C190" s="159" t="str">
        <f t="array" ref="C190:G190">VLOOKUP(A190,'Tracker- Removed 2017'!B:Q,{2,8,9,11,13},false)</f>
        <v>#N/A</v>
      </c>
      <c r="D190" s="30" t="s">
        <v>189</v>
      </c>
      <c r="E190" s="30" t="s">
        <v>190</v>
      </c>
      <c r="F190" s="30" t="s">
        <v>47</v>
      </c>
      <c r="G190" s="30" t="s">
        <v>47</v>
      </c>
    </row>
    <row r="191">
      <c r="A191" s="87">
        <v>51126.0</v>
      </c>
      <c r="B191" s="176">
        <f t="array" ref="B191">INDEX('Tracker- Removed 2017'!A:A,match(A191,'Tracker- Removed 2017'!B:B,0))</f>
        <v>42916</v>
      </c>
      <c r="C191" s="159" t="str">
        <f t="array" ref="C191:G191">VLOOKUP(A191,'Tracker- Removed 2017'!B:Q,{2,8,9,11,13},false)</f>
        <v>#N/A</v>
      </c>
      <c r="D191" s="30" t="s">
        <v>189</v>
      </c>
      <c r="E191" s="30" t="s">
        <v>190</v>
      </c>
      <c r="F191" s="30" t="s">
        <v>47</v>
      </c>
      <c r="G191" s="30" t="s">
        <v>47</v>
      </c>
    </row>
    <row r="192">
      <c r="A192" s="87">
        <v>101082.0</v>
      </c>
      <c r="B192" s="176">
        <f t="array" ref="B192">INDEX('Tracker- Removed 2017'!A:A,match(A192,'Tracker- Removed 2017'!B:B,0))</f>
        <v>42916</v>
      </c>
      <c r="C192" s="159" t="str">
        <f t="array" ref="C192:G192">VLOOKUP(A192,'Tracker- Removed 2017'!B:Q,{2,8,9,11,13},false)</f>
        <v>#N/A</v>
      </c>
      <c r="D192" s="30" t="s">
        <v>189</v>
      </c>
      <c r="E192" s="30" t="s">
        <v>190</v>
      </c>
      <c r="F192" s="30" t="s">
        <v>47</v>
      </c>
      <c r="G192" s="30" t="s">
        <v>47</v>
      </c>
    </row>
    <row r="193">
      <c r="A193" s="87">
        <v>339438.0</v>
      </c>
      <c r="B193" s="176">
        <f t="array" ref="B193">INDEX('Tracker- Removed 2017'!A:A,match(A193,'Tracker- Removed 2017'!B:B,0))</f>
        <v>42916</v>
      </c>
      <c r="C193" s="159" t="str">
        <f t="array" ref="C193:G193">VLOOKUP(A193,'Tracker- Removed 2017'!B:Q,{2,8,9,11,13},false)</f>
        <v>#N/A</v>
      </c>
      <c r="D193" s="30" t="s">
        <v>189</v>
      </c>
      <c r="E193" s="30" t="s">
        <v>190</v>
      </c>
      <c r="F193" s="30" t="s">
        <v>47</v>
      </c>
      <c r="G193" s="30" t="s">
        <v>47</v>
      </c>
    </row>
    <row r="194">
      <c r="A194" s="87">
        <v>107344.0</v>
      </c>
      <c r="B194" s="176">
        <f t="array" ref="B194">INDEX('Tracker- Removed 2017'!A:A,match(A194,'Tracker- Removed 2017'!B:B,0))</f>
        <v>42916</v>
      </c>
      <c r="C194" s="159" t="str">
        <f t="array" ref="C194:G194">VLOOKUP(A194,'Tracker- Removed 2017'!B:Q,{2,8,9,11,13},false)</f>
        <v>#N/A</v>
      </c>
      <c r="D194" s="30" t="s">
        <v>189</v>
      </c>
      <c r="E194" s="30" t="s">
        <v>190</v>
      </c>
      <c r="F194" s="30" t="s">
        <v>47</v>
      </c>
      <c r="G194" s="30" t="s">
        <v>47</v>
      </c>
    </row>
    <row r="195">
      <c r="A195" s="87">
        <v>217584.0</v>
      </c>
      <c r="B195" s="176">
        <f t="array" ref="B195">INDEX('Tracker- Removed 2017'!A:A,match(A195,'Tracker- Removed 2017'!B:B,0))</f>
        <v>42916</v>
      </c>
      <c r="C195" s="159" t="str">
        <f t="array" ref="C195:G195">VLOOKUP(A195,'Tracker- Removed 2017'!B:Q,{2,8,9,11,13},false)</f>
        <v>#N/A</v>
      </c>
      <c r="D195" s="30" t="s">
        <v>189</v>
      </c>
      <c r="E195" s="30" t="s">
        <v>190</v>
      </c>
      <c r="F195" s="30" t="s">
        <v>47</v>
      </c>
      <c r="G195" s="30" t="s">
        <v>47</v>
      </c>
    </row>
    <row r="196">
      <c r="A196" s="87">
        <v>100904.0</v>
      </c>
      <c r="B196" s="176">
        <f t="array" ref="B196">INDEX('Tracker- Removed 2017'!A:A,match(A196,'Tracker- Removed 2017'!B:B,0))</f>
        <v>42916</v>
      </c>
      <c r="C196" s="159" t="str">
        <f t="array" ref="C196:G196">VLOOKUP(A196,'Tracker- Removed 2017'!B:Q,{2,8,9,11,13},false)</f>
        <v>#N/A</v>
      </c>
      <c r="D196" s="30" t="s">
        <v>189</v>
      </c>
      <c r="E196" s="30" t="s">
        <v>222</v>
      </c>
      <c r="F196" s="30" t="s">
        <v>47</v>
      </c>
      <c r="G196" s="30" t="s">
        <v>47</v>
      </c>
    </row>
    <row r="197">
      <c r="A197" s="87">
        <v>50987.0</v>
      </c>
      <c r="B197" s="176">
        <f t="array" ref="B197">INDEX('Tracker- Removed 2017'!A:A,match(A197,'Tracker- Removed 2017'!B:B,0))</f>
        <v>42916</v>
      </c>
      <c r="C197" s="159" t="str">
        <f t="array" ref="C197:G197">VLOOKUP(A197,'Tracker- Removed 2017'!B:Q,{2,8,9,11,13},false)</f>
        <v>#N/A</v>
      </c>
      <c r="D197" s="30" t="s">
        <v>189</v>
      </c>
      <c r="E197" s="30" t="s">
        <v>222</v>
      </c>
      <c r="F197" s="30" t="s">
        <v>47</v>
      </c>
      <c r="G197" s="30" t="s">
        <v>47</v>
      </c>
    </row>
    <row r="198">
      <c r="A198" s="87">
        <v>50877.0</v>
      </c>
      <c r="B198" s="176">
        <f t="array" ref="B198">INDEX('Tracker- Removed 2017'!A:A,match(A198,'Tracker- Removed 2017'!B:B,0))</f>
        <v>42916</v>
      </c>
      <c r="C198" s="159" t="str">
        <f t="array" ref="C198:G198">VLOOKUP(A198,'Tracker- Removed 2017'!B:Q,{2,8,9,11,13},false)</f>
        <v>#N/A</v>
      </c>
      <c r="D198" s="30" t="s">
        <v>189</v>
      </c>
      <c r="E198" s="30" t="s">
        <v>222</v>
      </c>
      <c r="F198" s="30" t="s">
        <v>47</v>
      </c>
      <c r="G198" s="30" t="s">
        <v>47</v>
      </c>
    </row>
    <row r="199">
      <c r="A199" s="87">
        <v>50116.0</v>
      </c>
      <c r="B199" s="176">
        <f t="array" ref="B199">INDEX('Tracker- Removed 2017'!A:A,match(A199,'Tracker- Removed 2017'!B:B,0))</f>
        <v>42916</v>
      </c>
      <c r="C199" s="159" t="str">
        <f t="array" ref="C199:G199">VLOOKUP(A199,'Tracker- Removed 2017'!B:Q,{2,8,9,11,13},false)</f>
        <v>#N/A</v>
      </c>
      <c r="D199" s="30" t="s">
        <v>189</v>
      </c>
      <c r="E199" s="30" t="s">
        <v>222</v>
      </c>
      <c r="F199" s="30" t="s">
        <v>47</v>
      </c>
      <c r="G199" s="30" t="s">
        <v>47</v>
      </c>
    </row>
    <row r="200">
      <c r="A200" s="87">
        <v>343636.0</v>
      </c>
      <c r="B200" s="176">
        <f t="array" ref="B200">INDEX('Tracker- Removed 2017'!A:A,match(A200,'Tracker- Removed 2017'!B:B,0))</f>
        <v>42916</v>
      </c>
      <c r="C200" s="159" t="str">
        <f t="array" ref="C200:G200">VLOOKUP(A200,'Tracker- Removed 2017'!B:Q,{2,8,9,11,13},false)</f>
        <v>#N/A</v>
      </c>
      <c r="D200" s="30" t="s">
        <v>189</v>
      </c>
      <c r="E200" s="30" t="s">
        <v>222</v>
      </c>
      <c r="F200" s="30" t="s">
        <v>47</v>
      </c>
      <c r="G200" s="30" t="s">
        <v>47</v>
      </c>
    </row>
    <row r="201">
      <c r="A201" s="87">
        <v>50107.0</v>
      </c>
      <c r="B201" s="176">
        <f t="array" ref="B201">INDEX('Tracker- Removed 2017'!A:A,match(A201,'Tracker- Removed 2017'!B:B,0))</f>
        <v>42916</v>
      </c>
      <c r="C201" s="159" t="str">
        <f t="array" ref="C201:G201">VLOOKUP(A201,'Tracker- Removed 2017'!B:Q,{2,8,9,11,13},false)</f>
        <v>#N/A</v>
      </c>
      <c r="D201" s="30" t="s">
        <v>189</v>
      </c>
      <c r="E201" s="30" t="s">
        <v>222</v>
      </c>
      <c r="F201" s="30" t="s">
        <v>47</v>
      </c>
      <c r="G201" s="30" t="s">
        <v>47</v>
      </c>
    </row>
    <row r="202">
      <c r="A202" s="87">
        <v>50084.0</v>
      </c>
      <c r="B202" s="176">
        <f t="array" ref="B202">INDEX('Tracker- Removed 2017'!A:A,match(A202,'Tracker- Removed 2017'!B:B,0))</f>
        <v>42916</v>
      </c>
      <c r="C202" s="159" t="str">
        <f t="array" ref="C202:G202">VLOOKUP(A202,'Tracker- Removed 2017'!B:Q,{2,8,9,11,13},false)</f>
        <v>#N/A</v>
      </c>
      <c r="D202" s="30" t="s">
        <v>189</v>
      </c>
      <c r="E202" s="30" t="s">
        <v>222</v>
      </c>
      <c r="F202" s="30" t="s">
        <v>47</v>
      </c>
      <c r="G202" s="30" t="s">
        <v>47</v>
      </c>
    </row>
    <row r="203">
      <c r="A203" s="87">
        <v>57390.0</v>
      </c>
      <c r="B203" s="176">
        <f t="array" ref="B203">INDEX('Tracker- Removed 2017'!A:A,match(A203,'Tracker- Removed 2017'!B:B,0))</f>
        <v>42916</v>
      </c>
      <c r="C203" s="159" t="str">
        <f t="array" ref="C203:G203">VLOOKUP(A203,'Tracker- Removed 2017'!B:Q,{2,8,9,11,13},false)</f>
        <v>#N/A</v>
      </c>
      <c r="D203" s="30" t="s">
        <v>189</v>
      </c>
      <c r="E203" s="30" t="s">
        <v>222</v>
      </c>
      <c r="F203" s="30" t="s">
        <v>47</v>
      </c>
      <c r="G203" s="30" t="s">
        <v>47</v>
      </c>
    </row>
    <row r="204">
      <c r="A204" s="87">
        <v>701150.0</v>
      </c>
      <c r="B204" s="176">
        <f t="array" ref="B204">INDEX('Tracker- Removed 2017'!A:A,match(A204,'Tracker- Removed 2017'!B:B,0))</f>
        <v>42916</v>
      </c>
      <c r="C204" s="159" t="str">
        <f t="array" ref="C204:G204">VLOOKUP(A204,'Tracker- Removed 2017'!B:Q,{2,8,9,11,13},false)</f>
        <v>#N/A</v>
      </c>
      <c r="D204" s="30" t="s">
        <v>3915</v>
      </c>
      <c r="E204" s="30" t="s">
        <v>184</v>
      </c>
      <c r="F204" s="30" t="s">
        <v>47</v>
      </c>
      <c r="G204" s="30" t="s">
        <v>47</v>
      </c>
    </row>
    <row r="205">
      <c r="A205" s="87">
        <v>938574.0</v>
      </c>
      <c r="B205" s="176">
        <f t="array" ref="B205">INDEX('Tracker- Removed 2017'!A:A,match(A205,'Tracker- Removed 2017'!B:B,0))</f>
        <v>42916</v>
      </c>
      <c r="C205" s="159" t="str">
        <f t="array" ref="C205:G205">VLOOKUP(A205,'Tracker- Removed 2017'!B:Q,{2,8,9,11,13},false)</f>
        <v>#N/A</v>
      </c>
      <c r="D205" s="30" t="s">
        <v>3915</v>
      </c>
      <c r="E205" s="30" t="s">
        <v>184</v>
      </c>
      <c r="F205" s="30" t="s">
        <v>47</v>
      </c>
      <c r="G205" s="30" t="s">
        <v>47</v>
      </c>
    </row>
    <row r="206">
      <c r="A206" s="87">
        <v>552086.0</v>
      </c>
      <c r="B206" s="176">
        <f t="array" ref="B206">INDEX('Tracker- Removed 2017'!A:A,match(A206,'Tracker- Removed 2017'!B:B,0))</f>
        <v>42916</v>
      </c>
      <c r="C206" s="159" t="str">
        <f t="array" ref="C206:G206">VLOOKUP(A206,'Tracker- Removed 2017'!B:Q,{2,8,9,11,13},false)</f>
        <v>#N/A</v>
      </c>
      <c r="D206" s="30" t="s">
        <v>3915</v>
      </c>
      <c r="E206" s="30" t="s">
        <v>261</v>
      </c>
      <c r="F206" s="30" t="s">
        <v>47</v>
      </c>
      <c r="G206" s="30" t="s">
        <v>47</v>
      </c>
    </row>
    <row r="207">
      <c r="A207" s="87">
        <v>50221.0</v>
      </c>
      <c r="B207" s="176">
        <f t="array" ref="B207">INDEX('Tracker- Removed 2017'!A:A,match(A207,'Tracker- Removed 2017'!B:B,0))</f>
        <v>42916</v>
      </c>
      <c r="C207" s="159" t="str">
        <f t="array" ref="C207:G207">VLOOKUP(A207,'Tracker- Removed 2017'!B:Q,{2,8,9,11,13},false)</f>
        <v>#N/A</v>
      </c>
      <c r="D207" s="30" t="s">
        <v>3915</v>
      </c>
      <c r="E207" s="30" t="s">
        <v>80</v>
      </c>
      <c r="F207" s="30" t="s">
        <v>47</v>
      </c>
      <c r="G207" s="30" t="s">
        <v>47</v>
      </c>
    </row>
    <row r="208">
      <c r="A208" s="75">
        <v>50430.0</v>
      </c>
      <c r="B208" s="176">
        <f t="array" ref="B208">INDEX('Tracker- Removed 2017'!A:A,match(A208,'Tracker- Removed 2017'!B:B,0))</f>
        <v>42916</v>
      </c>
      <c r="C208" s="159" t="str">
        <f t="array" ref="C208:G208">VLOOKUP(A208,'Tracker- Removed 2017'!B:Q,{2,8,9,11,13},false)</f>
        <v>#N/A</v>
      </c>
      <c r="D208" s="30" t="s">
        <v>3915</v>
      </c>
      <c r="E208" s="30" t="s">
        <v>80</v>
      </c>
      <c r="F208" s="30" t="s">
        <v>47</v>
      </c>
      <c r="G208" s="30" t="s">
        <v>47</v>
      </c>
    </row>
    <row r="209">
      <c r="A209" s="87">
        <v>109822.0</v>
      </c>
      <c r="B209" s="176">
        <f t="array" ref="B209">INDEX('Tracker- Removed 2017'!A:A,match(A209,'Tracker- Removed 2017'!B:B,0))</f>
        <v>42916</v>
      </c>
      <c r="C209" s="159" t="str">
        <f t="array" ref="C209:G209">VLOOKUP(A209,'Tracker- Removed 2017'!B:Q,{2,8,9,11,13},false)</f>
        <v>#N/A</v>
      </c>
      <c r="D209" s="30" t="s">
        <v>3915</v>
      </c>
      <c r="E209" s="30" t="s">
        <v>80</v>
      </c>
      <c r="F209" s="30" t="s">
        <v>47</v>
      </c>
      <c r="G209" s="30" t="s">
        <v>47</v>
      </c>
    </row>
    <row r="210">
      <c r="A210" s="87">
        <v>241608.0</v>
      </c>
      <c r="B210" s="176">
        <f t="array" ref="B210">INDEX('Tracker- Removed 2017'!A:A,match(A210,'Tracker- Removed 2017'!B:B,0))</f>
        <v>42916</v>
      </c>
      <c r="C210" s="159" t="str">
        <f t="array" ref="C210:G210">VLOOKUP(A210,'Tracker- Removed 2017'!B:Q,{2,8,9,11,13},false)</f>
        <v>#N/A</v>
      </c>
      <c r="D210" s="30" t="s">
        <v>3915</v>
      </c>
      <c r="E210" s="30" t="s">
        <v>80</v>
      </c>
      <c r="F210" s="30" t="s">
        <v>47</v>
      </c>
      <c r="G210" s="30" t="s">
        <v>47</v>
      </c>
    </row>
    <row r="211">
      <c r="A211" s="87">
        <v>853694.0</v>
      </c>
      <c r="B211" s="176">
        <f t="array" ref="B211">INDEX('Tracker- Removed 2017'!A:A,match(A211,'Tracker- Removed 2017'!B:B,0))</f>
        <v>42888</v>
      </c>
      <c r="C211" s="159" t="str">
        <f t="array" ref="C211:G211">VLOOKUP(A211,'Tracker- Removed 2017'!B:Q,{2,8,9,11,13},false)</f>
        <v>#N/A</v>
      </c>
      <c r="D211" s="30" t="s">
        <v>3915</v>
      </c>
      <c r="E211" s="30" t="s">
        <v>184</v>
      </c>
      <c r="F211" s="30" t="s">
        <v>47</v>
      </c>
      <c r="G211" s="30" t="s">
        <v>47</v>
      </c>
    </row>
    <row r="212">
      <c r="A212" s="87">
        <v>793258.0</v>
      </c>
      <c r="B212" s="176">
        <f t="array" ref="B212">INDEX('Tracker- Removed 2017'!A:A,match(A212,'Tracker- Removed 2017'!B:B,0))</f>
        <v>42888</v>
      </c>
      <c r="C212" s="159" t="str">
        <f t="array" ref="C212:G212">VLOOKUP(A212,'Tracker- Removed 2017'!B:Q,{2,8,9,11,13},false)</f>
        <v>#N/A</v>
      </c>
      <c r="D212" s="30" t="s">
        <v>3915</v>
      </c>
      <c r="E212" s="30" t="s">
        <v>184</v>
      </c>
      <c r="F212" s="30" t="s">
        <v>47</v>
      </c>
      <c r="G212" s="30" t="s">
        <v>47</v>
      </c>
    </row>
    <row r="213">
      <c r="A213" s="87">
        <v>747756.0</v>
      </c>
      <c r="B213" s="176">
        <f t="array" ref="B213">INDEX('Tracker- Removed 2017'!A:A,match(A213,'Tracker- Removed 2017'!B:B,0))</f>
        <v>42888</v>
      </c>
      <c r="C213" s="159" t="str">
        <f t="array" ref="C213:G213">VLOOKUP(A213,'Tracker- Removed 2017'!B:Q,{2,8,9,11,13},false)</f>
        <v>#N/A</v>
      </c>
      <c r="D213" s="30" t="s">
        <v>3915</v>
      </c>
      <c r="E213" s="30" t="s">
        <v>184</v>
      </c>
      <c r="F213" s="30" t="s">
        <v>47</v>
      </c>
      <c r="G213" s="30" t="s">
        <v>47</v>
      </c>
    </row>
    <row r="214">
      <c r="A214" s="87">
        <v>772576.0</v>
      </c>
      <c r="B214" s="176">
        <f t="array" ref="B214">INDEX('Tracker- Removed 2017'!A:A,match(A214,'Tracker- Removed 2017'!B:B,0))</f>
        <v>42888</v>
      </c>
      <c r="C214" s="159" t="str">
        <f t="array" ref="C214:G214">VLOOKUP(A214,'Tracker- Removed 2017'!B:Q,{2,8,9,11,13},false)</f>
        <v>#N/A</v>
      </c>
      <c r="D214" s="30" t="s">
        <v>3915</v>
      </c>
      <c r="E214" s="30" t="s">
        <v>184</v>
      </c>
      <c r="F214" s="30" t="s">
        <v>47</v>
      </c>
      <c r="G214" s="30" t="s">
        <v>47</v>
      </c>
    </row>
    <row r="215">
      <c r="A215" s="87">
        <v>825530.0</v>
      </c>
      <c r="B215" s="176">
        <f t="array" ref="B215">INDEX('Tracker- Removed 2017'!A:A,match(A215,'Tracker- Removed 2017'!B:B,0))</f>
        <v>42888</v>
      </c>
      <c r="C215" s="159" t="str">
        <f t="array" ref="C215:G215">VLOOKUP(A215,'Tracker- Removed 2017'!B:Q,{2,8,9,11,13},false)</f>
        <v>#N/A</v>
      </c>
      <c r="D215" s="30" t="s">
        <v>3915</v>
      </c>
      <c r="E215" s="30" t="s">
        <v>184</v>
      </c>
      <c r="F215" s="30" t="s">
        <v>47</v>
      </c>
      <c r="G215" s="30" t="s">
        <v>47</v>
      </c>
    </row>
    <row r="216">
      <c r="A216" s="87">
        <v>470404.0</v>
      </c>
      <c r="B216" s="176">
        <f t="array" ref="B216">INDEX('Tracker- Removed 2017'!A:A,match(A216,'Tracker- Removed 2017'!B:B,0))</f>
        <v>42888</v>
      </c>
      <c r="C216" s="159" t="str">
        <f t="array" ref="C216:G216">VLOOKUP(A216,'Tracker- Removed 2017'!B:Q,{2,8,9,11,13},false)</f>
        <v>#N/A</v>
      </c>
      <c r="D216" s="30" t="s">
        <v>3915</v>
      </c>
      <c r="E216" s="30" t="s">
        <v>184</v>
      </c>
      <c r="F216" s="30" t="s">
        <v>47</v>
      </c>
      <c r="G216" s="30" t="s">
        <v>47</v>
      </c>
    </row>
    <row r="217">
      <c r="A217" s="87">
        <v>597898.0</v>
      </c>
      <c r="B217" s="176">
        <f t="array" ref="B217">INDEX('Tracker- Removed 2017'!A:A,match(A217,'Tracker- Removed 2017'!B:B,0))</f>
        <v>42888</v>
      </c>
      <c r="C217" s="159" t="str">
        <f t="array" ref="C217:G217">VLOOKUP(A217,'Tracker- Removed 2017'!B:Q,{2,8,9,11,13},false)</f>
        <v>#N/A</v>
      </c>
      <c r="D217" s="30" t="s">
        <v>3915</v>
      </c>
      <c r="E217" s="30" t="s">
        <v>184</v>
      </c>
      <c r="F217" s="30" t="s">
        <v>47</v>
      </c>
      <c r="G217" s="30" t="s">
        <v>47</v>
      </c>
    </row>
    <row r="218">
      <c r="A218" s="87">
        <v>163184.0</v>
      </c>
      <c r="B218" s="176">
        <f t="array" ref="B218">INDEX('Tracker- Removed 2017'!A:A,match(A218,'Tracker- Removed 2017'!B:B,0))</f>
        <v>42888</v>
      </c>
      <c r="C218" s="159" t="str">
        <f t="array" ref="C218:G218">VLOOKUP(A218,'Tracker- Removed 2017'!B:Q,{2,8,9,11,13},false)</f>
        <v>#N/A</v>
      </c>
      <c r="D218" s="30" t="s">
        <v>3915</v>
      </c>
      <c r="E218" s="30" t="s">
        <v>184</v>
      </c>
      <c r="F218" s="30" t="s">
        <v>47</v>
      </c>
      <c r="G218" s="30" t="s">
        <v>47</v>
      </c>
    </row>
    <row r="219">
      <c r="A219" s="87">
        <v>636468.0</v>
      </c>
      <c r="B219" s="176">
        <f t="array" ref="B219">INDEX('Tracker- Removed 2017'!A:A,match(A219,'Tracker- Removed 2017'!B:B,0))</f>
        <v>42888</v>
      </c>
      <c r="C219" s="159" t="str">
        <f t="array" ref="C219:G219">VLOOKUP(A219,'Tracker- Removed 2017'!B:Q,{2,8,9,11,13},false)</f>
        <v>#N/A</v>
      </c>
      <c r="D219" s="30" t="s">
        <v>3915</v>
      </c>
      <c r="E219" s="30" t="s">
        <v>184</v>
      </c>
      <c r="F219" s="30" t="s">
        <v>47</v>
      </c>
      <c r="G219" s="30" t="s">
        <v>47</v>
      </c>
    </row>
    <row r="220">
      <c r="A220" s="87">
        <v>554964.0</v>
      </c>
      <c r="B220" s="176">
        <f t="array" ref="B220">INDEX('Tracker- Removed 2017'!A:A,match(A220,'Tracker- Removed 2017'!B:B,0))</f>
        <v>42888</v>
      </c>
      <c r="C220" s="159" t="str">
        <f t="array" ref="C220:G220">VLOOKUP(A220,'Tracker- Removed 2017'!B:Q,{2,8,9,11,13},false)</f>
        <v>#N/A</v>
      </c>
      <c r="D220" s="30" t="s">
        <v>3915</v>
      </c>
      <c r="E220" s="30" t="s">
        <v>184</v>
      </c>
      <c r="F220" s="30" t="s">
        <v>47</v>
      </c>
      <c r="G220" s="30" t="s">
        <v>47</v>
      </c>
    </row>
    <row r="221">
      <c r="A221" s="87">
        <v>449212.0</v>
      </c>
      <c r="B221" s="176">
        <f t="array" ref="B221">INDEX('Tracker- Removed 2017'!A:A,match(A221,'Tracker- Removed 2017'!B:B,0))</f>
        <v>42888</v>
      </c>
      <c r="C221" s="159" t="str">
        <f t="array" ref="C221:G221">VLOOKUP(A221,'Tracker- Removed 2017'!B:Q,{2,8,9,11,13},false)</f>
        <v>#N/A</v>
      </c>
      <c r="D221" s="30" t="s">
        <v>3915</v>
      </c>
      <c r="E221" s="30" t="s">
        <v>184</v>
      </c>
      <c r="F221" s="30" t="s">
        <v>47</v>
      </c>
      <c r="G221" s="30" t="s">
        <v>47</v>
      </c>
    </row>
    <row r="222">
      <c r="A222" s="87">
        <v>582828.0</v>
      </c>
      <c r="B222" s="176">
        <f t="array" ref="B222">INDEX('Tracker- Removed 2017'!A:A,match(A222,'Tracker- Removed 2017'!B:B,0))</f>
        <v>42888</v>
      </c>
      <c r="C222" s="159" t="str">
        <f t="array" ref="C222:G222">VLOOKUP(A222,'Tracker- Removed 2017'!B:Q,{2,8,9,11,13},false)</f>
        <v>#N/A</v>
      </c>
      <c r="D222" s="30" t="s">
        <v>3915</v>
      </c>
      <c r="E222" s="30" t="s">
        <v>184</v>
      </c>
      <c r="F222" s="30" t="s">
        <v>47</v>
      </c>
      <c r="G222" s="30" t="s">
        <v>47</v>
      </c>
    </row>
    <row r="223">
      <c r="A223" s="87">
        <v>350526.0</v>
      </c>
      <c r="B223" s="176">
        <f t="array" ref="B223">INDEX('Tracker- Removed 2017'!A:A,match(A223,'Tracker- Removed 2017'!B:B,0))</f>
        <v>42888</v>
      </c>
      <c r="C223" s="159" t="str">
        <f t="array" ref="C223:G223">VLOOKUP(A223,'Tracker- Removed 2017'!B:Q,{2,8,9,11,13},false)</f>
        <v>#N/A</v>
      </c>
      <c r="D223" s="30" t="s">
        <v>3915</v>
      </c>
      <c r="E223" s="30" t="s">
        <v>184</v>
      </c>
      <c r="F223" s="30" t="s">
        <v>47</v>
      </c>
      <c r="G223" s="30" t="s">
        <v>47</v>
      </c>
    </row>
    <row r="224">
      <c r="A224" s="87">
        <v>526104.0</v>
      </c>
      <c r="B224" s="176">
        <f t="array" ref="B224">INDEX('Tracker- Removed 2017'!A:A,match(A224,'Tracker- Removed 2017'!B:B,0))</f>
        <v>42886</v>
      </c>
      <c r="C224" s="159" t="str">
        <f t="array" ref="C224:G224">VLOOKUP(A224,'Tracker- Removed 2017'!B:Q,{2,8,9,11,13},false)</f>
        <v>#N/A</v>
      </c>
      <c r="D224" s="30" t="s">
        <v>39</v>
      </c>
      <c r="E224" s="30" t="s">
        <v>50</v>
      </c>
      <c r="F224" s="30" t="s">
        <v>47</v>
      </c>
      <c r="G224" s="30" t="s">
        <v>47</v>
      </c>
    </row>
    <row r="225">
      <c r="A225" s="87">
        <v>104242.0</v>
      </c>
      <c r="B225" s="176">
        <f t="array" ref="B225">INDEX('Tracker- Removed 2017'!A:A,match(A225,'Tracker- Removed 2017'!B:B,0))</f>
        <v>42886</v>
      </c>
      <c r="C225" s="159" t="str">
        <f t="array" ref="C225:G225">VLOOKUP(A225,'Tracker- Removed 2017'!B:Q,{2,8,9,11,13},false)</f>
        <v>#N/A</v>
      </c>
      <c r="D225" s="30" t="s">
        <v>39</v>
      </c>
      <c r="E225" s="30" t="s">
        <v>214</v>
      </c>
      <c r="F225" s="30" t="s">
        <v>47</v>
      </c>
      <c r="G225" s="30" t="s">
        <v>47</v>
      </c>
    </row>
    <row r="226">
      <c r="A226" s="87">
        <v>676748.0</v>
      </c>
      <c r="B226" s="176">
        <f t="array" ref="B226">INDEX('Tracker- Removed 2017'!A:A,match(A226,'Tracker- Removed 2017'!B:B,0))</f>
        <v>42886</v>
      </c>
      <c r="C226" s="159" t="str">
        <f t="array" ref="C226:G226">VLOOKUP(A226,'Tracker- Removed 2017'!B:Q,{2,8,9,11,13},false)</f>
        <v>#N/A</v>
      </c>
      <c r="D226" s="30" t="s">
        <v>39</v>
      </c>
      <c r="E226" s="30" t="s">
        <v>214</v>
      </c>
      <c r="F226" s="30" t="s">
        <v>47</v>
      </c>
      <c r="G226" s="30" t="s">
        <v>47</v>
      </c>
    </row>
    <row r="227">
      <c r="A227" s="87">
        <v>696506.0</v>
      </c>
      <c r="B227" s="176">
        <f t="array" ref="B227">INDEX('Tracker- Removed 2017'!A:A,match(A227,'Tracker- Removed 2017'!B:B,0))</f>
        <v>42886</v>
      </c>
      <c r="C227" s="159" t="str">
        <f t="array" ref="C227:G227">VLOOKUP(A227,'Tracker- Removed 2017'!B:Q,{2,8,9,11,13},false)</f>
        <v>#N/A</v>
      </c>
      <c r="D227" s="30" t="s">
        <v>39</v>
      </c>
      <c r="E227" s="30" t="s">
        <v>214</v>
      </c>
      <c r="F227" s="30" t="s">
        <v>47</v>
      </c>
      <c r="G227" s="30" t="s">
        <v>47</v>
      </c>
    </row>
    <row r="228">
      <c r="A228" s="87">
        <v>694774.0</v>
      </c>
      <c r="B228" s="176">
        <f t="array" ref="B228">INDEX('Tracker- Removed 2017'!A:A,match(A228,'Tracker- Removed 2017'!B:B,0))</f>
        <v>42886</v>
      </c>
      <c r="C228" s="159" t="str">
        <f t="array" ref="C228:G228">VLOOKUP(A228,'Tracker- Removed 2017'!B:Q,{2,8,9,11,13},false)</f>
        <v>#N/A</v>
      </c>
      <c r="D228" s="30" t="s">
        <v>39</v>
      </c>
      <c r="E228" s="30" t="s">
        <v>214</v>
      </c>
      <c r="F228" s="30" t="s">
        <v>47</v>
      </c>
      <c r="G228" s="30" t="s">
        <v>47</v>
      </c>
    </row>
    <row r="229">
      <c r="A229" s="87">
        <v>733312.0</v>
      </c>
      <c r="B229" s="176">
        <f t="array" ref="B229">INDEX('Tracker- Removed 2017'!A:A,match(A229,'Tracker- Removed 2017'!B:B,0))</f>
        <v>42886</v>
      </c>
      <c r="C229" s="159" t="str">
        <f t="array" ref="C229:G229">VLOOKUP(A229,'Tracker- Removed 2017'!B:Q,{2,8,9,11,13},false)</f>
        <v>#N/A</v>
      </c>
      <c r="D229" s="30" t="s">
        <v>39</v>
      </c>
      <c r="E229" s="30" t="s">
        <v>214</v>
      </c>
      <c r="F229" s="30" t="s">
        <v>47</v>
      </c>
      <c r="G229" s="30" t="s">
        <v>47</v>
      </c>
    </row>
    <row r="230">
      <c r="A230" s="87">
        <v>413274.0</v>
      </c>
      <c r="B230" s="176">
        <f t="array" ref="B230">INDEX('Tracker- Removed 2017'!A:A,match(A230,'Tracker- Removed 2017'!B:B,0))</f>
        <v>42886</v>
      </c>
      <c r="C230" s="159" t="str">
        <f t="array" ref="C230:G230">VLOOKUP(A230,'Tracker- Removed 2017'!B:Q,{2,8,9,11,13},false)</f>
        <v>#N/A</v>
      </c>
      <c r="D230" s="30" t="s">
        <v>39</v>
      </c>
      <c r="E230" s="30" t="s">
        <v>214</v>
      </c>
      <c r="F230" s="30" t="s">
        <v>47</v>
      </c>
      <c r="G230" s="30" t="s">
        <v>47</v>
      </c>
    </row>
    <row r="231">
      <c r="A231" s="87">
        <v>724458.0</v>
      </c>
      <c r="B231" s="176">
        <f t="array" ref="B231">INDEX('Tracker- Removed 2017'!A:A,match(A231,'Tracker- Removed 2017'!B:B,0))</f>
        <v>42886</v>
      </c>
      <c r="C231" s="159" t="str">
        <f t="array" ref="C231:G231">VLOOKUP(A231,'Tracker- Removed 2017'!B:Q,{2,8,9,11,13},false)</f>
        <v>#N/A</v>
      </c>
      <c r="D231" s="30" t="s">
        <v>39</v>
      </c>
      <c r="E231" s="30" t="s">
        <v>214</v>
      </c>
      <c r="F231" s="30" t="s">
        <v>47</v>
      </c>
      <c r="G231" s="30" t="s">
        <v>47</v>
      </c>
    </row>
    <row r="232">
      <c r="A232" s="87">
        <v>471336.0</v>
      </c>
      <c r="B232" s="176">
        <f t="array" ref="B232">INDEX('Tracker- Removed 2017'!A:A,match(A232,'Tracker- Removed 2017'!B:B,0))</f>
        <v>42886</v>
      </c>
      <c r="C232" s="159" t="str">
        <f t="array" ref="C232:G232">VLOOKUP(A232,'Tracker- Removed 2017'!B:Q,{2,8,9,11,13},false)</f>
        <v>#N/A</v>
      </c>
      <c r="D232" s="30" t="s">
        <v>39</v>
      </c>
      <c r="E232" s="30" t="s">
        <v>214</v>
      </c>
      <c r="F232" s="30" t="s">
        <v>47</v>
      </c>
      <c r="G232" s="30" t="s">
        <v>47</v>
      </c>
    </row>
    <row r="233">
      <c r="A233" s="87">
        <v>706004.0</v>
      </c>
      <c r="B233" s="176">
        <f t="array" ref="B233">INDEX('Tracker- Removed 2017'!A:A,match(A233,'Tracker- Removed 2017'!B:B,0))</f>
        <v>42886</v>
      </c>
      <c r="C233" s="159" t="str">
        <f t="array" ref="C233:G233">VLOOKUP(A233,'Tracker- Removed 2017'!B:Q,{2,8,9,11,13},false)</f>
        <v>#N/A</v>
      </c>
      <c r="D233" s="30" t="s">
        <v>39</v>
      </c>
      <c r="E233" s="30" t="s">
        <v>214</v>
      </c>
      <c r="F233" s="30" t="s">
        <v>47</v>
      </c>
      <c r="G233" s="30" t="s">
        <v>47</v>
      </c>
    </row>
    <row r="234">
      <c r="A234" s="87">
        <v>560838.0</v>
      </c>
      <c r="B234" s="176">
        <f t="array" ref="B234">INDEX('Tracker- Removed 2017'!A:A,match(A234,'Tracker- Removed 2017'!B:B,0))</f>
        <v>42886</v>
      </c>
      <c r="C234" s="159" t="str">
        <f t="array" ref="C234:G234">VLOOKUP(A234,'Tracker- Removed 2017'!B:Q,{2,8,9,11,13},false)</f>
        <v>#N/A</v>
      </c>
      <c r="D234" s="30" t="s">
        <v>39</v>
      </c>
      <c r="E234" s="30" t="s">
        <v>214</v>
      </c>
      <c r="F234" s="30" t="s">
        <v>47</v>
      </c>
      <c r="G234" s="30" t="s">
        <v>47</v>
      </c>
    </row>
    <row r="235">
      <c r="A235" s="87">
        <v>555100.0</v>
      </c>
      <c r="B235" s="176">
        <f t="array" ref="B235">INDEX('Tracker- Removed 2017'!A:A,match(A235,'Tracker- Removed 2017'!B:B,0))</f>
        <v>42886</v>
      </c>
      <c r="C235" s="159" t="str">
        <f t="array" ref="C235:G235">VLOOKUP(A235,'Tracker- Removed 2017'!B:Q,{2,8,9,11,13},false)</f>
        <v>#N/A</v>
      </c>
      <c r="D235" s="30" t="s">
        <v>39</v>
      </c>
      <c r="E235" s="30" t="s">
        <v>214</v>
      </c>
      <c r="F235" s="30" t="s">
        <v>47</v>
      </c>
      <c r="G235" s="30" t="s">
        <v>47</v>
      </c>
    </row>
    <row r="236">
      <c r="A236" s="87">
        <v>685882.0</v>
      </c>
      <c r="B236" s="176">
        <f t="array" ref="B236">INDEX('Tracker- Removed 2017'!A:A,match(A236,'Tracker- Removed 2017'!B:B,0))</f>
        <v>42886</v>
      </c>
      <c r="C236" s="159" t="str">
        <f t="array" ref="C236:G236">VLOOKUP(A236,'Tracker- Removed 2017'!B:Q,{2,8,9,11,13},false)</f>
        <v>#N/A</v>
      </c>
      <c r="D236" s="30" t="s">
        <v>39</v>
      </c>
      <c r="E236" s="30" t="s">
        <v>214</v>
      </c>
      <c r="F236" s="30" t="s">
        <v>47</v>
      </c>
      <c r="G236" s="30" t="s">
        <v>47</v>
      </c>
    </row>
    <row r="237">
      <c r="A237" s="87">
        <v>620668.0</v>
      </c>
      <c r="B237" s="176">
        <f t="array" ref="B237">INDEX('Tracker- Removed 2017'!A:A,match(A237,'Tracker- Removed 2017'!B:B,0))</f>
        <v>42886</v>
      </c>
      <c r="C237" s="159" t="str">
        <f t="array" ref="C237:G237">VLOOKUP(A237,'Tracker- Removed 2017'!B:Q,{2,8,9,11,13},false)</f>
        <v>#N/A</v>
      </c>
      <c r="D237" s="30" t="s">
        <v>39</v>
      </c>
      <c r="E237" s="30" t="s">
        <v>214</v>
      </c>
      <c r="F237" s="30" t="s">
        <v>47</v>
      </c>
      <c r="G237" s="30" t="s">
        <v>47</v>
      </c>
    </row>
    <row r="238">
      <c r="A238" s="87">
        <v>560928.0</v>
      </c>
      <c r="B238" s="176">
        <f t="array" ref="B238">INDEX('Tracker- Removed 2017'!A:A,match(A238,'Tracker- Removed 2017'!B:B,0))</f>
        <v>42886</v>
      </c>
      <c r="C238" s="159" t="str">
        <f t="array" ref="C238:G238">VLOOKUP(A238,'Tracker- Removed 2017'!B:Q,{2,8,9,11,13},false)</f>
        <v>#N/A</v>
      </c>
      <c r="D238" s="30" t="s">
        <v>39</v>
      </c>
      <c r="E238" s="30" t="s">
        <v>214</v>
      </c>
      <c r="F238" s="30" t="s">
        <v>47</v>
      </c>
      <c r="G238" s="30" t="s">
        <v>47</v>
      </c>
    </row>
    <row r="239">
      <c r="A239" s="87">
        <v>90066.0</v>
      </c>
      <c r="B239" s="176">
        <f t="array" ref="B239">INDEX('Tracker- Removed 2017'!A:A,match(A239,'Tracker- Removed 2017'!B:B,0))</f>
        <v>42886</v>
      </c>
      <c r="C239" s="159" t="str">
        <f t="array" ref="C239:G239">VLOOKUP(A239,'Tracker- Removed 2017'!B:Q,{2,8,9,11,13},false)</f>
        <v>#N/A</v>
      </c>
      <c r="D239" s="30" t="s">
        <v>39</v>
      </c>
      <c r="E239" s="30" t="s">
        <v>214</v>
      </c>
      <c r="F239" s="30" t="s">
        <v>47</v>
      </c>
      <c r="G239" s="30" t="s">
        <v>47</v>
      </c>
    </row>
    <row r="240">
      <c r="A240" s="87">
        <v>770994.0</v>
      </c>
      <c r="B240" s="176">
        <f t="array" ref="B240">INDEX('Tracker- Removed 2017'!A:A,match(A240,'Tracker- Removed 2017'!B:B,0))</f>
        <v>42886</v>
      </c>
      <c r="C240" s="159" t="str">
        <f t="array" ref="C240:G240">VLOOKUP(A240,'Tracker- Removed 2017'!B:Q,{2,8,9,11,13},false)</f>
        <v>#N/A</v>
      </c>
      <c r="D240" s="30" t="s">
        <v>39</v>
      </c>
      <c r="E240" s="30" t="s">
        <v>214</v>
      </c>
      <c r="F240" s="30" t="s">
        <v>47</v>
      </c>
      <c r="G240" s="30" t="s">
        <v>47</v>
      </c>
    </row>
    <row r="241">
      <c r="A241" s="87">
        <v>159372.0</v>
      </c>
      <c r="B241" s="176">
        <f t="array" ref="B241">INDEX('Tracker- Removed 2017'!A:A,match(A241,'Tracker- Removed 2017'!B:B,0))</f>
        <v>42886</v>
      </c>
      <c r="C241" s="159" t="str">
        <f t="array" ref="C241:G241">VLOOKUP(A241,'Tracker- Removed 2017'!B:Q,{2,8,9,11,13},false)</f>
        <v>#N/A</v>
      </c>
      <c r="D241" s="30" t="s">
        <v>39</v>
      </c>
      <c r="E241" s="30" t="s">
        <v>214</v>
      </c>
      <c r="F241" s="30" t="s">
        <v>47</v>
      </c>
      <c r="G241" s="30" t="s">
        <v>47</v>
      </c>
    </row>
    <row r="242">
      <c r="A242" s="87">
        <v>91274.0</v>
      </c>
      <c r="B242" s="176">
        <f t="array" ref="B242">INDEX('Tracker- Removed 2017'!A:A,match(A242,'Tracker- Removed 2017'!B:B,0))</f>
        <v>42886</v>
      </c>
      <c r="C242" s="159" t="str">
        <f t="array" ref="C242:G242">VLOOKUP(A242,'Tracker- Removed 2017'!B:Q,{2,8,9,11,13},false)</f>
        <v>#N/A</v>
      </c>
      <c r="D242" s="30" t="s">
        <v>39</v>
      </c>
      <c r="E242" s="30" t="s">
        <v>214</v>
      </c>
      <c r="F242" s="30" t="s">
        <v>47</v>
      </c>
      <c r="G242" s="30" t="s">
        <v>47</v>
      </c>
    </row>
    <row r="243">
      <c r="A243" s="87">
        <v>257372.0</v>
      </c>
      <c r="B243" s="176">
        <f t="array" ref="B243">INDEX('Tracker- Removed 2017'!A:A,match(A243,'Tracker- Removed 2017'!B:B,0))</f>
        <v>42886</v>
      </c>
      <c r="C243" s="159" t="str">
        <f t="array" ref="C243:G243">VLOOKUP(A243,'Tracker- Removed 2017'!B:Q,{2,8,9,11,13},false)</f>
        <v>#N/A</v>
      </c>
      <c r="D243" s="30" t="s">
        <v>39</v>
      </c>
      <c r="E243" s="30" t="s">
        <v>214</v>
      </c>
      <c r="F243" s="30" t="s">
        <v>47</v>
      </c>
      <c r="G243" s="30" t="s">
        <v>47</v>
      </c>
    </row>
    <row r="244">
      <c r="A244" s="87">
        <v>550470.0</v>
      </c>
      <c r="B244" s="176">
        <f t="array" ref="B244">INDEX('Tracker- Removed 2017'!A:A,match(A244,'Tracker- Removed 2017'!B:B,0))</f>
        <v>42886</v>
      </c>
      <c r="C244" s="159" t="str">
        <f t="array" ref="C244:G244">VLOOKUP(A244,'Tracker- Removed 2017'!B:Q,{2,8,9,11,13},false)</f>
        <v>#N/A</v>
      </c>
      <c r="D244" s="30" t="s">
        <v>39</v>
      </c>
      <c r="E244" s="30" t="s">
        <v>214</v>
      </c>
      <c r="F244" s="30" t="s">
        <v>47</v>
      </c>
      <c r="G244" s="30" t="s">
        <v>47</v>
      </c>
    </row>
    <row r="245">
      <c r="A245" s="87">
        <v>549180.0</v>
      </c>
      <c r="B245" s="176">
        <f t="array" ref="B245">INDEX('Tracker- Removed 2017'!A:A,match(A245,'Tracker- Removed 2017'!B:B,0))</f>
        <v>42886</v>
      </c>
      <c r="C245" s="159" t="str">
        <f t="array" ref="C245:G245">VLOOKUP(A245,'Tracker- Removed 2017'!B:Q,{2,8,9,11,13},false)</f>
        <v>#N/A</v>
      </c>
      <c r="D245" s="30" t="s">
        <v>39</v>
      </c>
      <c r="E245" s="30" t="s">
        <v>214</v>
      </c>
      <c r="F245" s="30" t="s">
        <v>47</v>
      </c>
      <c r="G245" s="30" t="s">
        <v>47</v>
      </c>
    </row>
    <row r="246">
      <c r="A246" s="87">
        <v>327548.0</v>
      </c>
      <c r="B246" s="176">
        <f t="array" ref="B246">INDEX('Tracker- Removed 2017'!A:A,match(A246,'Tracker- Removed 2017'!B:B,0))</f>
        <v>42886</v>
      </c>
      <c r="C246" s="159" t="str">
        <f t="array" ref="C246:G246">VLOOKUP(A246,'Tracker- Removed 2017'!B:Q,{2,8,9,11,13},false)</f>
        <v>#N/A</v>
      </c>
      <c r="D246" s="30" t="s">
        <v>39</v>
      </c>
      <c r="E246" s="30" t="s">
        <v>214</v>
      </c>
      <c r="F246" s="30" t="s">
        <v>47</v>
      </c>
      <c r="G246" s="30" t="s">
        <v>47</v>
      </c>
    </row>
    <row r="247">
      <c r="A247" s="87">
        <v>630980.0</v>
      </c>
      <c r="B247" s="176">
        <f t="array" ref="B247">INDEX('Tracker- Removed 2017'!A:A,match(A247,'Tracker- Removed 2017'!B:B,0))</f>
        <v>42886</v>
      </c>
      <c r="C247" s="159" t="str">
        <f t="array" ref="C247:G247">VLOOKUP(A247,'Tracker- Removed 2017'!B:Q,{2,8,9,11,13},false)</f>
        <v>#N/A</v>
      </c>
      <c r="D247" s="30" t="s">
        <v>39</v>
      </c>
      <c r="E247" s="30" t="s">
        <v>214</v>
      </c>
      <c r="F247" s="30" t="s">
        <v>47</v>
      </c>
      <c r="G247" s="30" t="s">
        <v>47</v>
      </c>
    </row>
    <row r="248">
      <c r="A248" s="87">
        <v>672918.0</v>
      </c>
      <c r="B248" s="176">
        <f t="array" ref="B248">INDEX('Tracker- Removed 2017'!A:A,match(A248,'Tracker- Removed 2017'!B:B,0))</f>
        <v>42886</v>
      </c>
      <c r="C248" s="159" t="str">
        <f t="array" ref="C248:G248">VLOOKUP(A248,'Tracker- Removed 2017'!B:Q,{2,8,9,11,13},false)</f>
        <v>#N/A</v>
      </c>
      <c r="D248" s="30" t="s">
        <v>39</v>
      </c>
      <c r="E248" s="30" t="s">
        <v>214</v>
      </c>
      <c r="F248" s="30" t="s">
        <v>47</v>
      </c>
      <c r="G248" s="30" t="s">
        <v>47</v>
      </c>
    </row>
    <row r="249">
      <c r="A249" s="87">
        <v>310138.0</v>
      </c>
      <c r="B249" s="176">
        <f t="array" ref="B249">INDEX('Tracker- Removed 2017'!A:A,match(A249,'Tracker- Removed 2017'!B:B,0))</f>
        <v>42886</v>
      </c>
      <c r="C249" s="159" t="str">
        <f t="array" ref="C249:G249">VLOOKUP(A249,'Tracker- Removed 2017'!B:Q,{2,8,9,11,13},false)</f>
        <v>#N/A</v>
      </c>
      <c r="D249" s="30" t="s">
        <v>39</v>
      </c>
      <c r="E249" s="30" t="s">
        <v>214</v>
      </c>
      <c r="F249" s="30" t="s">
        <v>47</v>
      </c>
      <c r="G249" s="30" t="s">
        <v>47</v>
      </c>
    </row>
    <row r="250">
      <c r="A250" s="87">
        <v>641752.0</v>
      </c>
      <c r="B250" s="176">
        <f t="array" ref="B250">INDEX('Tracker- Removed 2017'!A:A,match(A250,'Tracker- Removed 2017'!B:B,0))</f>
        <v>42886</v>
      </c>
      <c r="C250" s="159" t="str">
        <f t="array" ref="C250:G250">VLOOKUP(A250,'Tracker- Removed 2017'!B:Q,{2,8,9,11,13},false)</f>
        <v>#N/A</v>
      </c>
      <c r="D250" s="30" t="s">
        <v>39</v>
      </c>
      <c r="E250" s="30" t="s">
        <v>214</v>
      </c>
      <c r="F250" s="30" t="s">
        <v>47</v>
      </c>
      <c r="G250" s="30" t="s">
        <v>47</v>
      </c>
    </row>
    <row r="251">
      <c r="A251" s="87">
        <v>550484.0</v>
      </c>
      <c r="B251" s="176">
        <f t="array" ref="B251">INDEX('Tracker- Removed 2017'!A:A,match(A251,'Tracker- Removed 2017'!B:B,0))</f>
        <v>42886</v>
      </c>
      <c r="C251" s="159" t="str">
        <f t="array" ref="C251:G251">VLOOKUP(A251,'Tracker- Removed 2017'!B:Q,{2,8,9,11,13},false)</f>
        <v>#N/A</v>
      </c>
      <c r="D251" s="30" t="s">
        <v>39</v>
      </c>
      <c r="E251" s="30" t="s">
        <v>214</v>
      </c>
      <c r="F251" s="30" t="s">
        <v>47</v>
      </c>
      <c r="G251" s="30" t="s">
        <v>47</v>
      </c>
    </row>
    <row r="252">
      <c r="A252" s="87">
        <v>521250.0</v>
      </c>
      <c r="B252" s="176">
        <f t="array" ref="B252">INDEX('Tracker- Removed 2017'!A:A,match(A252,'Tracker- Removed 2017'!B:B,0))</f>
        <v>42886</v>
      </c>
      <c r="C252" s="159" t="str">
        <f t="array" ref="C252:G252">VLOOKUP(A252,'Tracker- Removed 2017'!B:Q,{2,8,9,11,13},false)</f>
        <v>#N/A</v>
      </c>
      <c r="D252" s="30" t="s">
        <v>39</v>
      </c>
      <c r="E252" s="30" t="s">
        <v>214</v>
      </c>
      <c r="F252" s="30" t="s">
        <v>47</v>
      </c>
      <c r="G252" s="30" t="s">
        <v>47</v>
      </c>
    </row>
    <row r="253">
      <c r="A253" s="87">
        <v>626728.0</v>
      </c>
      <c r="B253" s="176">
        <f t="array" ref="B253">INDEX('Tracker- Removed 2017'!A:A,match(A253,'Tracker- Removed 2017'!B:B,0))</f>
        <v>42886</v>
      </c>
      <c r="C253" s="159" t="str">
        <f t="array" ref="C253:G253">VLOOKUP(A253,'Tracker- Removed 2017'!B:Q,{2,8,9,11,13},false)</f>
        <v>#N/A</v>
      </c>
      <c r="D253" s="30" t="s">
        <v>39</v>
      </c>
      <c r="E253" s="30" t="s">
        <v>214</v>
      </c>
      <c r="F253" s="30" t="s">
        <v>47</v>
      </c>
      <c r="G253" s="30" t="s">
        <v>47</v>
      </c>
    </row>
    <row r="254">
      <c r="A254" s="87">
        <v>695492.0</v>
      </c>
      <c r="B254" s="176">
        <f t="array" ref="B254">INDEX('Tracker- Removed 2017'!A:A,match(A254,'Tracker- Removed 2017'!B:B,0))</f>
        <v>42886</v>
      </c>
      <c r="C254" s="159" t="str">
        <f t="array" ref="C254:G254">VLOOKUP(A254,'Tracker- Removed 2017'!B:Q,{2,8,9,11,13},false)</f>
        <v>#N/A</v>
      </c>
      <c r="D254" s="30" t="s">
        <v>39</v>
      </c>
      <c r="E254" s="30" t="s">
        <v>214</v>
      </c>
      <c r="F254" s="30" t="s">
        <v>47</v>
      </c>
      <c r="G254" s="30" t="s">
        <v>47</v>
      </c>
    </row>
    <row r="255">
      <c r="A255" s="87">
        <v>235886.0</v>
      </c>
      <c r="B255" s="176">
        <f t="array" ref="B255">INDEX('Tracker- Removed 2017'!A:A,match(A255,'Tracker- Removed 2017'!B:B,0))</f>
        <v>42886</v>
      </c>
      <c r="C255" s="159" t="str">
        <f t="array" ref="C255:G255">VLOOKUP(A255,'Tracker- Removed 2017'!B:Q,{2,8,9,11,13},false)</f>
        <v>#N/A</v>
      </c>
      <c r="D255" s="30" t="s">
        <v>39</v>
      </c>
      <c r="E255" s="30" t="s">
        <v>214</v>
      </c>
      <c r="F255" s="30" t="s">
        <v>47</v>
      </c>
      <c r="G255" s="30" t="s">
        <v>47</v>
      </c>
    </row>
    <row r="256">
      <c r="A256" s="87">
        <v>733174.0</v>
      </c>
      <c r="B256" s="176">
        <f t="array" ref="B256">INDEX('Tracker- Removed 2017'!A:A,match(A256,'Tracker- Removed 2017'!B:B,0))</f>
        <v>42886</v>
      </c>
      <c r="C256" s="159" t="str">
        <f t="array" ref="C256:G256">VLOOKUP(A256,'Tracker- Removed 2017'!B:Q,{2,8,9,11,13},false)</f>
        <v>#N/A</v>
      </c>
      <c r="D256" s="30" t="s">
        <v>39</v>
      </c>
      <c r="E256" s="30" t="s">
        <v>214</v>
      </c>
      <c r="F256" s="30" t="s">
        <v>47</v>
      </c>
      <c r="G256" s="30" t="s">
        <v>47</v>
      </c>
    </row>
    <row r="257">
      <c r="A257" s="87">
        <v>675632.0</v>
      </c>
      <c r="B257" s="176">
        <f t="array" ref="B257">INDEX('Tracker- Removed 2017'!A:A,match(A257,'Tracker- Removed 2017'!B:B,0))</f>
        <v>42886</v>
      </c>
      <c r="C257" s="159" t="str">
        <f t="array" ref="C257:G257">VLOOKUP(A257,'Tracker- Removed 2017'!B:Q,{2,8,9,11,13},false)</f>
        <v>#N/A</v>
      </c>
      <c r="D257" s="30" t="s">
        <v>39</v>
      </c>
      <c r="E257" s="30" t="s">
        <v>214</v>
      </c>
      <c r="F257" s="30" t="s">
        <v>47</v>
      </c>
      <c r="G257" s="30" t="s">
        <v>47</v>
      </c>
    </row>
    <row r="258">
      <c r="A258" s="87">
        <v>144252.0</v>
      </c>
      <c r="B258" s="176">
        <f t="array" ref="B258">INDEX('Tracker- Removed 2017'!A:A,match(A258,'Tracker- Removed 2017'!B:B,0))</f>
        <v>42886</v>
      </c>
      <c r="C258" s="159" t="str">
        <f t="array" ref="C258:G258">VLOOKUP(A258,'Tracker- Removed 2017'!B:Q,{2,8,9,11,13},false)</f>
        <v>#N/A</v>
      </c>
      <c r="D258" s="30" t="s">
        <v>39</v>
      </c>
      <c r="E258" s="30" t="s">
        <v>214</v>
      </c>
      <c r="F258" s="30" t="s">
        <v>47</v>
      </c>
      <c r="G258" s="30" t="s">
        <v>47</v>
      </c>
    </row>
    <row r="259">
      <c r="A259" s="87">
        <v>535034.0</v>
      </c>
      <c r="B259" s="176">
        <f t="array" ref="B259">INDEX('Tracker- Removed 2017'!A:A,match(A259,'Tracker- Removed 2017'!B:B,0))</f>
        <v>42886</v>
      </c>
      <c r="C259" s="159" t="str">
        <f t="array" ref="C259:G259">VLOOKUP(A259,'Tracker- Removed 2017'!B:Q,{2,8,9,11,13},false)</f>
        <v>#N/A</v>
      </c>
      <c r="D259" s="30" t="s">
        <v>39</v>
      </c>
      <c r="E259" s="30" t="s">
        <v>214</v>
      </c>
      <c r="F259" s="30" t="s">
        <v>47</v>
      </c>
      <c r="G259" s="30" t="s">
        <v>47</v>
      </c>
    </row>
    <row r="260">
      <c r="A260" s="87">
        <v>590992.0</v>
      </c>
      <c r="B260" s="176">
        <f t="array" ref="B260">INDEX('Tracker- Removed 2017'!A:A,match(A260,'Tracker- Removed 2017'!B:B,0))</f>
        <v>42886</v>
      </c>
      <c r="C260" s="159" t="str">
        <f t="array" ref="C260:G260">VLOOKUP(A260,'Tracker- Removed 2017'!B:Q,{2,8,9,11,13},false)</f>
        <v>#N/A</v>
      </c>
      <c r="D260" s="30" t="s">
        <v>39</v>
      </c>
      <c r="E260" s="30" t="s">
        <v>214</v>
      </c>
      <c r="F260" s="30" t="s">
        <v>47</v>
      </c>
      <c r="G260" s="30" t="s">
        <v>47</v>
      </c>
    </row>
    <row r="261">
      <c r="A261" s="87">
        <v>367686.0</v>
      </c>
      <c r="B261" s="176">
        <f t="array" ref="B261">INDEX('Tracker- Removed 2017'!A:A,match(A261,'Tracker- Removed 2017'!B:B,0))</f>
        <v>42886</v>
      </c>
      <c r="C261" s="159" t="str">
        <f t="array" ref="C261:G261">VLOOKUP(A261,'Tracker- Removed 2017'!B:Q,{2,8,9,11,13},false)</f>
        <v>#N/A</v>
      </c>
      <c r="D261" s="30" t="s">
        <v>39</v>
      </c>
      <c r="E261" s="30" t="s">
        <v>214</v>
      </c>
      <c r="F261" s="30" t="s">
        <v>47</v>
      </c>
      <c r="G261" s="30" t="s">
        <v>47</v>
      </c>
    </row>
    <row r="262">
      <c r="A262" s="87">
        <v>591156.0</v>
      </c>
      <c r="B262" s="176">
        <f t="array" ref="B262">INDEX('Tracker- Removed 2017'!A:A,match(A262,'Tracker- Removed 2017'!B:B,0))</f>
        <v>42886</v>
      </c>
      <c r="C262" s="159" t="str">
        <f t="array" ref="C262:G262">VLOOKUP(A262,'Tracker- Removed 2017'!B:Q,{2,8,9,11,13},false)</f>
        <v>#N/A</v>
      </c>
      <c r="D262" s="30" t="s">
        <v>39</v>
      </c>
      <c r="E262" s="30" t="s">
        <v>214</v>
      </c>
      <c r="F262" s="30" t="s">
        <v>47</v>
      </c>
      <c r="G262" s="30" t="s">
        <v>47</v>
      </c>
    </row>
    <row r="263">
      <c r="A263" s="87">
        <v>591112.0</v>
      </c>
      <c r="B263" s="176">
        <f t="array" ref="B263">INDEX('Tracker- Removed 2017'!A:A,match(A263,'Tracker- Removed 2017'!B:B,0))</f>
        <v>42886</v>
      </c>
      <c r="C263" s="159" t="str">
        <f t="array" ref="C263:G263">VLOOKUP(A263,'Tracker- Removed 2017'!B:Q,{2,8,9,11,13},false)</f>
        <v>#N/A</v>
      </c>
      <c r="D263" s="30" t="s">
        <v>39</v>
      </c>
      <c r="E263" s="30" t="s">
        <v>214</v>
      </c>
      <c r="F263" s="30" t="s">
        <v>47</v>
      </c>
      <c r="G263" s="30" t="s">
        <v>47</v>
      </c>
    </row>
    <row r="264">
      <c r="A264" s="87">
        <v>648898.0</v>
      </c>
      <c r="B264" s="176">
        <f t="array" ref="B264">INDEX('Tracker- Removed 2017'!A:A,match(A264,'Tracker- Removed 2017'!B:B,0))</f>
        <v>42886</v>
      </c>
      <c r="C264" s="159" t="str">
        <f t="array" ref="C264:G264">VLOOKUP(A264,'Tracker- Removed 2017'!B:Q,{2,8,9,11,13},false)</f>
        <v>#N/A</v>
      </c>
      <c r="D264" s="30" t="s">
        <v>39</v>
      </c>
      <c r="E264" s="30" t="s">
        <v>214</v>
      </c>
      <c r="F264" s="30" t="s">
        <v>47</v>
      </c>
      <c r="G264" s="30" t="s">
        <v>47</v>
      </c>
    </row>
    <row r="265">
      <c r="A265" s="87">
        <v>581256.0</v>
      </c>
      <c r="B265" s="176">
        <f t="array" ref="B265">INDEX('Tracker- Removed 2017'!A:A,match(A265,'Tracker- Removed 2017'!B:B,0))</f>
        <v>42886</v>
      </c>
      <c r="C265" s="159" t="str">
        <f t="array" ref="C265:G265">VLOOKUP(A265,'Tracker- Removed 2017'!B:Q,{2,8,9,11,13},false)</f>
        <v>#N/A</v>
      </c>
      <c r="D265" s="30" t="s">
        <v>39</v>
      </c>
      <c r="E265" s="30" t="s">
        <v>140</v>
      </c>
      <c r="F265" s="30" t="s">
        <v>47</v>
      </c>
      <c r="G265" s="30" t="s">
        <v>47</v>
      </c>
    </row>
    <row r="266">
      <c r="A266" s="87">
        <v>506514.0</v>
      </c>
      <c r="B266" s="176">
        <f t="array" ref="B266">INDEX('Tracker- Removed 2017'!A:A,match(A266,'Tracker- Removed 2017'!B:B,0))</f>
        <v>42886</v>
      </c>
      <c r="C266" s="159" t="str">
        <f t="array" ref="C266:G266">VLOOKUP(A266,'Tracker- Removed 2017'!B:Q,{2,8,9,11,13},false)</f>
        <v>#N/A</v>
      </c>
      <c r="D266" s="30" t="s">
        <v>3908</v>
      </c>
      <c r="E266" s="30" t="s">
        <v>3910</v>
      </c>
      <c r="F266" s="30" t="s">
        <v>47</v>
      </c>
      <c r="G266" s="30" t="s">
        <v>47</v>
      </c>
    </row>
    <row r="267">
      <c r="A267" s="87">
        <v>79846.0</v>
      </c>
      <c r="B267" s="176">
        <f t="array" ref="B267">INDEX('Tracker- Removed 2017'!A:A,match(A267,'Tracker- Removed 2017'!B:B,0))</f>
        <v>42886</v>
      </c>
      <c r="C267" s="159" t="str">
        <f t="array" ref="C267:G267">VLOOKUP(A267,'Tracker- Removed 2017'!B:Q,{2,8,9,11,13},false)</f>
        <v>#N/A</v>
      </c>
      <c r="D267" s="30" t="s">
        <v>3908</v>
      </c>
      <c r="E267" s="30" t="s">
        <v>46</v>
      </c>
      <c r="F267" s="30" t="s">
        <v>47</v>
      </c>
      <c r="G267" s="30" t="s">
        <v>47</v>
      </c>
    </row>
    <row r="268">
      <c r="A268" s="75">
        <v>51139.0</v>
      </c>
      <c r="B268" s="176">
        <f t="array" ref="B268">INDEX('Tracker- Removed 2017'!A:A,match(A268,'Tracker- Removed 2017'!B:B,0))</f>
        <v>42860</v>
      </c>
      <c r="C268" s="159" t="str">
        <f t="array" ref="C268:G268">VLOOKUP(A268,'Tracker- Removed 2017'!B:Q,{2,8,9,11,13},false)</f>
        <v>#N/A</v>
      </c>
      <c r="D268" s="30" t="s">
        <v>39</v>
      </c>
      <c r="E268" s="30" t="s">
        <v>3910</v>
      </c>
      <c r="F268" s="30" t="s">
        <v>47</v>
      </c>
      <c r="G268" s="30" t="s">
        <v>47</v>
      </c>
    </row>
    <row r="269">
      <c r="A269" s="87">
        <v>50882.0</v>
      </c>
      <c r="B269" s="176">
        <f t="array" ref="B269">INDEX('Tracker- Removed 2017'!A:A,match(A269,'Tracker- Removed 2017'!B:B,0))</f>
        <v>42856</v>
      </c>
      <c r="C269" s="159" t="str">
        <f t="array" ref="C269:G269">VLOOKUP(A269,'Tracker- Removed 2017'!B:Q,{2,8,9,11,13},false)</f>
        <v>#N/A</v>
      </c>
      <c r="D269" s="30" t="s">
        <v>189</v>
      </c>
      <c r="E269" s="30" t="s">
        <v>222</v>
      </c>
      <c r="F269" s="30" t="s">
        <v>47</v>
      </c>
      <c r="G269" s="30" t="s">
        <v>47</v>
      </c>
    </row>
    <row r="270">
      <c r="A270" s="87">
        <v>1046094.0</v>
      </c>
      <c r="B270" s="176">
        <f t="array" ref="B270">INDEX('Tracker- Removed 2017'!A:A,match(A270,'Tracker- Removed 2017'!B:B,0))</f>
        <v>42828</v>
      </c>
      <c r="C270" s="159" t="str">
        <f t="array" ref="C270:G270">VLOOKUP(A270,'Tracker- Removed 2017'!B:Q,{2,8,9,11,13},false)</f>
        <v>#N/A</v>
      </c>
      <c r="D270" s="30" t="s">
        <v>105</v>
      </c>
      <c r="E270" s="30" t="s">
        <v>3925</v>
      </c>
      <c r="F270" s="30" t="s">
        <v>47</v>
      </c>
      <c r="G270" s="30" t="s">
        <v>47</v>
      </c>
    </row>
    <row r="271">
      <c r="A271" s="87">
        <v>430460.0</v>
      </c>
      <c r="B271" s="176">
        <f t="array" ref="B271">INDEX('Tracker- Removed 2017'!A:A,match(A271,'Tracker- Removed 2017'!B:B,0))</f>
        <v>42855</v>
      </c>
      <c r="C271" s="159" t="str">
        <f t="array" ref="C271:G271">VLOOKUP(A271,'Tracker- Removed 2017'!B:Q,{2,8,9,11,13},false)</f>
        <v>#N/A</v>
      </c>
      <c r="D271" s="30" t="s">
        <v>63</v>
      </c>
      <c r="E271" s="30" t="s">
        <v>64</v>
      </c>
      <c r="F271" s="30" t="s">
        <v>47</v>
      </c>
      <c r="G271" s="30" t="s">
        <v>47</v>
      </c>
    </row>
    <row r="272">
      <c r="A272" s="87">
        <v>394590.0</v>
      </c>
      <c r="B272" s="176">
        <f t="array" ref="B272">INDEX('Tracker- Removed 2017'!A:A,match(A272,'Tracker- Removed 2017'!B:B,0))</f>
        <v>42855</v>
      </c>
      <c r="C272" s="159" t="str">
        <f t="array" ref="C272:G272">VLOOKUP(A272,'Tracker- Removed 2017'!B:Q,{2,8,9,11,13},false)</f>
        <v>#N/A</v>
      </c>
      <c r="D272" s="30" t="s">
        <v>105</v>
      </c>
      <c r="E272" s="30" t="s">
        <v>198</v>
      </c>
      <c r="F272" s="30" t="s">
        <v>47</v>
      </c>
      <c r="G272" s="30" t="s">
        <v>47</v>
      </c>
    </row>
    <row r="273">
      <c r="A273" s="87">
        <v>296570.0</v>
      </c>
      <c r="B273" s="176">
        <f t="array" ref="B273">INDEX('Tracker- Removed 2017'!A:A,match(A273,'Tracker- Removed 2017'!B:B,0))</f>
        <v>42855</v>
      </c>
      <c r="C273" s="159" t="str">
        <f t="array" ref="C273:G273">VLOOKUP(A273,'Tracker- Removed 2017'!B:Q,{2,8,9,11,13},false)</f>
        <v>#N/A</v>
      </c>
      <c r="D273" s="30" t="s">
        <v>105</v>
      </c>
      <c r="E273" s="30" t="s">
        <v>198</v>
      </c>
      <c r="F273" s="30" t="s">
        <v>47</v>
      </c>
      <c r="G273" s="30" t="s">
        <v>47</v>
      </c>
    </row>
    <row r="274">
      <c r="A274" s="87">
        <v>272440.0</v>
      </c>
      <c r="B274" s="176">
        <f t="array" ref="B274">INDEX('Tracker- Removed 2017'!A:A,match(A274,'Tracker- Removed 2017'!B:B,0))</f>
        <v>42855</v>
      </c>
      <c r="C274" s="159" t="str">
        <f t="array" ref="C274:G274">VLOOKUP(A274,'Tracker- Removed 2017'!B:Q,{2,8,9,11,13},false)</f>
        <v>#N/A</v>
      </c>
      <c r="D274" s="30" t="s">
        <v>105</v>
      </c>
      <c r="E274" s="30" t="s">
        <v>198</v>
      </c>
      <c r="F274" s="30" t="s">
        <v>47</v>
      </c>
      <c r="G274" s="30" t="s">
        <v>47</v>
      </c>
    </row>
    <row r="275">
      <c r="A275" s="87">
        <v>373500.0</v>
      </c>
      <c r="B275" s="176">
        <f t="array" ref="B275">INDEX('Tracker- Removed 2017'!A:A,match(A275,'Tracker- Removed 2017'!B:B,0))</f>
        <v>42855</v>
      </c>
      <c r="C275" s="159" t="str">
        <f t="array" ref="C275:G275">VLOOKUP(A275,'Tracker- Removed 2017'!B:Q,{2,8,9,11,13},false)</f>
        <v>#N/A</v>
      </c>
      <c r="D275" s="30" t="s">
        <v>39</v>
      </c>
      <c r="E275" s="30" t="s">
        <v>214</v>
      </c>
      <c r="F275" s="30" t="s">
        <v>47</v>
      </c>
      <c r="G275" s="30" t="s">
        <v>47</v>
      </c>
    </row>
    <row r="276">
      <c r="A276" s="87">
        <v>362520.0</v>
      </c>
      <c r="B276" s="176">
        <f t="array" ref="B276">INDEX('Tracker- Removed 2017'!A:A,match(A276,'Tracker- Removed 2017'!B:B,0))</f>
        <v>42855</v>
      </c>
      <c r="C276" s="159" t="str">
        <f t="array" ref="C276:G276">VLOOKUP(A276,'Tracker- Removed 2017'!B:Q,{2,8,9,11,13},false)</f>
        <v>#N/A</v>
      </c>
      <c r="D276" s="30" t="s">
        <v>39</v>
      </c>
      <c r="E276" s="30" t="s">
        <v>214</v>
      </c>
      <c r="F276" s="30" t="s">
        <v>47</v>
      </c>
      <c r="G276" s="30" t="s">
        <v>47</v>
      </c>
    </row>
    <row r="277">
      <c r="A277" s="87">
        <v>565356.0</v>
      </c>
      <c r="B277" s="176">
        <f t="array" ref="B277">INDEX('Tracker- Removed 2017'!A:A,match(A277,'Tracker- Removed 2017'!B:B,0))</f>
        <v>42855</v>
      </c>
      <c r="C277" s="159" t="str">
        <f t="array" ref="C277:G277">VLOOKUP(A277,'Tracker- Removed 2017'!B:Q,{2,8,9,11,13},false)</f>
        <v>#N/A</v>
      </c>
      <c r="D277" s="30" t="s">
        <v>39</v>
      </c>
      <c r="E277" s="30" t="s">
        <v>214</v>
      </c>
      <c r="F277" s="30" t="s">
        <v>47</v>
      </c>
      <c r="G277" s="30" t="s">
        <v>47</v>
      </c>
    </row>
    <row r="278">
      <c r="A278" s="87">
        <v>326094.0</v>
      </c>
      <c r="B278" s="176">
        <f t="array" ref="B278">INDEX('Tracker- Removed 2017'!A:A,match(A278,'Tracker- Removed 2017'!B:B,0))</f>
        <v>42855</v>
      </c>
      <c r="C278" s="159" t="str">
        <f t="array" ref="C278:G278">VLOOKUP(A278,'Tracker- Removed 2017'!B:Q,{2,8,9,11,13},false)</f>
        <v>#N/A</v>
      </c>
      <c r="D278" s="30" t="s">
        <v>39</v>
      </c>
      <c r="E278" s="30" t="s">
        <v>214</v>
      </c>
      <c r="F278" s="30" t="s">
        <v>47</v>
      </c>
      <c r="G278" s="30" t="s">
        <v>47</v>
      </c>
    </row>
    <row r="279">
      <c r="A279" s="87">
        <v>744708.0</v>
      </c>
      <c r="B279" s="176">
        <f t="array" ref="B279">INDEX('Tracker- Removed 2017'!A:A,match(A279,'Tracker- Removed 2017'!B:B,0))</f>
        <v>42855</v>
      </c>
      <c r="C279" s="159" t="str">
        <f t="array" ref="C279:G279">VLOOKUP(A279,'Tracker- Removed 2017'!B:Q,{2,8,9,11,13},false)</f>
        <v>#N/A</v>
      </c>
      <c r="D279" s="30" t="s">
        <v>39</v>
      </c>
      <c r="E279" s="30" t="s">
        <v>214</v>
      </c>
      <c r="F279" s="30" t="s">
        <v>47</v>
      </c>
      <c r="G279" s="30" t="s">
        <v>47</v>
      </c>
    </row>
    <row r="280">
      <c r="A280" s="87">
        <v>370636.0</v>
      </c>
      <c r="B280" s="176">
        <f t="array" ref="B280">INDEX('Tracker- Removed 2017'!A:A,match(A280,'Tracker- Removed 2017'!B:B,0))</f>
        <v>42855</v>
      </c>
      <c r="C280" s="159" t="str">
        <f t="array" ref="C280:G280">VLOOKUP(A280,'Tracker- Removed 2017'!B:Q,{2,8,9,11,13},false)</f>
        <v>#N/A</v>
      </c>
      <c r="D280" s="30" t="s">
        <v>39</v>
      </c>
      <c r="E280" s="30" t="s">
        <v>214</v>
      </c>
      <c r="F280" s="30" t="s">
        <v>47</v>
      </c>
      <c r="G280" s="30" t="s">
        <v>47</v>
      </c>
    </row>
    <row r="281">
      <c r="A281" s="87">
        <v>763086.0</v>
      </c>
      <c r="B281" s="176">
        <f t="array" ref="B281">INDEX('Tracker- Removed 2017'!A:A,match(A281,'Tracker- Removed 2017'!B:B,0))</f>
        <v>42855</v>
      </c>
      <c r="C281" s="159" t="str">
        <f t="array" ref="C281:G281">VLOOKUP(A281,'Tracker- Removed 2017'!B:Q,{2,8,9,11,13},false)</f>
        <v>#N/A</v>
      </c>
      <c r="D281" s="30" t="s">
        <v>39</v>
      </c>
      <c r="E281" s="30" t="s">
        <v>3911</v>
      </c>
      <c r="F281" s="30" t="s">
        <v>47</v>
      </c>
      <c r="G281" s="30" t="s">
        <v>47</v>
      </c>
    </row>
    <row r="282">
      <c r="A282" s="87">
        <v>745772.0</v>
      </c>
      <c r="B282" s="176">
        <f t="array" ref="B282">INDEX('Tracker- Removed 2017'!A:A,match(A282,'Tracker- Removed 2017'!B:B,0))</f>
        <v>42855</v>
      </c>
      <c r="C282" s="159" t="str">
        <f t="array" ref="C282:G282">VLOOKUP(A282,'Tracker- Removed 2017'!B:Q,{2,8,9,11,13},false)</f>
        <v>#N/A</v>
      </c>
      <c r="D282" s="30" t="s">
        <v>39</v>
      </c>
      <c r="E282" s="30" t="s">
        <v>3911</v>
      </c>
      <c r="F282" s="30" t="s">
        <v>47</v>
      </c>
      <c r="G282" s="30" t="s">
        <v>47</v>
      </c>
    </row>
    <row r="283">
      <c r="A283" s="87">
        <v>478804.0</v>
      </c>
      <c r="B283" s="176">
        <f t="array" ref="B283">INDEX('Tracker- Removed 2017'!A:A,match(A283,'Tracker- Removed 2017'!B:B,0))</f>
        <v>42855</v>
      </c>
      <c r="C283" s="159" t="str">
        <f t="array" ref="C283:G283">VLOOKUP(A283,'Tracker- Removed 2017'!B:Q,{2,8,9,11,13},false)</f>
        <v>#N/A</v>
      </c>
      <c r="D283" s="30" t="s">
        <v>39</v>
      </c>
      <c r="E283" s="30" t="s">
        <v>3911</v>
      </c>
      <c r="F283" s="30" t="s">
        <v>47</v>
      </c>
      <c r="G283" s="30" t="s">
        <v>47</v>
      </c>
    </row>
    <row r="284">
      <c r="A284" s="87">
        <v>212398.0</v>
      </c>
      <c r="B284" s="176">
        <f t="array" ref="B284">INDEX('Tracker- Removed 2017'!A:A,match(A284,'Tracker- Removed 2017'!B:B,0))</f>
        <v>42855</v>
      </c>
      <c r="C284" s="159" t="str">
        <f t="array" ref="C284:G284">VLOOKUP(A284,'Tracker- Removed 2017'!B:Q,{2,8,9,11,13},false)</f>
        <v>#N/A</v>
      </c>
      <c r="D284" s="30" t="s">
        <v>39</v>
      </c>
      <c r="E284" s="30" t="s">
        <v>140</v>
      </c>
      <c r="F284" s="30" t="s">
        <v>47</v>
      </c>
      <c r="G284" s="30" t="s">
        <v>47</v>
      </c>
    </row>
    <row r="285">
      <c r="A285" s="87">
        <v>450068.0</v>
      </c>
      <c r="B285" s="176">
        <f t="array" ref="B285">INDEX('Tracker- Removed 2017'!A:A,match(A285,'Tracker- Removed 2017'!B:B,0))</f>
        <v>42855</v>
      </c>
      <c r="C285" s="159" t="str">
        <f t="array" ref="C285:G285">VLOOKUP(A285,'Tracker- Removed 2017'!B:Q,{2,8,9,11,13},false)</f>
        <v>#N/A</v>
      </c>
      <c r="D285" s="30" t="s">
        <v>39</v>
      </c>
      <c r="E285" s="30" t="s">
        <v>140</v>
      </c>
      <c r="F285" s="30" t="s">
        <v>47</v>
      </c>
      <c r="G285" s="30" t="s">
        <v>47</v>
      </c>
    </row>
    <row r="286">
      <c r="A286" s="87">
        <v>610300.0</v>
      </c>
      <c r="B286" s="176">
        <f t="array" ref="B286">INDEX('Tracker- Removed 2017'!A:A,match(A286,'Tracker- Removed 2017'!B:B,0))</f>
        <v>42855</v>
      </c>
      <c r="C286" s="159" t="str">
        <f t="array" ref="C286:G286">VLOOKUP(A286,'Tracker- Removed 2017'!B:Q,{2,8,9,11,13},false)</f>
        <v>#N/A</v>
      </c>
      <c r="D286" s="30" t="s">
        <v>39</v>
      </c>
      <c r="E286" s="30" t="s">
        <v>140</v>
      </c>
      <c r="F286" s="30" t="s">
        <v>47</v>
      </c>
      <c r="G286" s="30" t="s">
        <v>47</v>
      </c>
    </row>
    <row r="287">
      <c r="A287" s="87">
        <v>435258.0</v>
      </c>
      <c r="B287" s="176">
        <f t="array" ref="B287">INDEX('Tracker- Removed 2017'!A:A,match(A287,'Tracker- Removed 2017'!B:B,0))</f>
        <v>42855</v>
      </c>
      <c r="C287" s="159" t="str">
        <f t="array" ref="C287:G287">VLOOKUP(A287,'Tracker- Removed 2017'!B:Q,{2,8,9,11,13},false)</f>
        <v>#N/A</v>
      </c>
      <c r="D287" s="30" t="s">
        <v>39</v>
      </c>
      <c r="E287" s="30" t="s">
        <v>140</v>
      </c>
      <c r="F287" s="30" t="s">
        <v>47</v>
      </c>
      <c r="G287" s="30" t="s">
        <v>47</v>
      </c>
    </row>
    <row r="288">
      <c r="A288" s="87">
        <v>320222.0</v>
      </c>
      <c r="B288" s="176">
        <f t="array" ref="B288">INDEX('Tracker- Removed 2017'!A:A,match(A288,'Tracker- Removed 2017'!B:B,0))</f>
        <v>42855</v>
      </c>
      <c r="C288" s="159" t="str">
        <f t="array" ref="C288:G288">VLOOKUP(A288,'Tracker- Removed 2017'!B:Q,{2,8,9,11,13},false)</f>
        <v>#N/A</v>
      </c>
      <c r="D288" s="30" t="s">
        <v>39</v>
      </c>
      <c r="E288" s="30" t="s">
        <v>140</v>
      </c>
      <c r="F288" s="30" t="s">
        <v>47</v>
      </c>
      <c r="G288" s="30" t="s">
        <v>47</v>
      </c>
    </row>
    <row r="289">
      <c r="A289" s="87">
        <v>59014.0</v>
      </c>
      <c r="B289" s="176">
        <f t="array" ref="B289">INDEX('Tracker- Removed 2017'!A:A,match(A289,'Tracker- Removed 2017'!B:B,0))</f>
        <v>42855</v>
      </c>
      <c r="C289" s="159" t="str">
        <f t="array" ref="C289:G289">VLOOKUP(A289,'Tracker- Removed 2017'!B:Q,{2,8,9,11,13},false)</f>
        <v>#N/A</v>
      </c>
      <c r="D289" s="30" t="s">
        <v>39</v>
      </c>
      <c r="E289" s="30" t="s">
        <v>140</v>
      </c>
      <c r="F289" s="30" t="s">
        <v>47</v>
      </c>
      <c r="G289" s="30" t="s">
        <v>47</v>
      </c>
    </row>
    <row r="290">
      <c r="A290" s="75">
        <v>311916.0</v>
      </c>
      <c r="B290" s="176">
        <f t="array" ref="B290">INDEX('Tracker- Removed 2017'!A:A,match(A290,'Tracker- Removed 2017'!B:B,0))</f>
        <v>42855</v>
      </c>
      <c r="C290" s="159" t="str">
        <f t="array" ref="C290:G290">VLOOKUP(A290,'Tracker- Removed 2017'!B:Q,{2,8,9,11,13},false)</f>
        <v>#N/A</v>
      </c>
      <c r="D290" s="30" t="s">
        <v>39</v>
      </c>
      <c r="E290" s="30" t="s">
        <v>140</v>
      </c>
      <c r="F290" s="30" t="s">
        <v>47</v>
      </c>
      <c r="G290" s="30" t="s">
        <v>47</v>
      </c>
    </row>
    <row r="291">
      <c r="A291" s="87">
        <v>19260.0</v>
      </c>
      <c r="B291" s="176">
        <f t="array" ref="B291">INDEX('Tracker- Removed 2017'!A:A,match(A291,'Tracker- Removed 2017'!B:B,0))</f>
        <v>42855</v>
      </c>
      <c r="C291" s="159" t="str">
        <f t="array" ref="C291:G291">VLOOKUP(A291,'Tracker- Removed 2017'!B:Q,{2,8,9,11,13},false)</f>
        <v>#N/A</v>
      </c>
      <c r="D291" s="30" t="s">
        <v>39</v>
      </c>
      <c r="E291" s="30" t="s">
        <v>140</v>
      </c>
      <c r="F291" s="30" t="s">
        <v>47</v>
      </c>
      <c r="G291" s="30" t="s">
        <v>47</v>
      </c>
    </row>
    <row r="292">
      <c r="A292" s="87">
        <v>69414.0</v>
      </c>
      <c r="B292" s="176">
        <f t="array" ref="B292">INDEX('Tracker- Removed 2017'!A:A,match(A292,'Tracker- Removed 2017'!B:B,0))</f>
        <v>42855</v>
      </c>
      <c r="C292" s="159" t="str">
        <f t="array" ref="C292:G292">VLOOKUP(A292,'Tracker- Removed 2017'!B:Q,{2,8,9,11,13},false)</f>
        <v>#N/A</v>
      </c>
      <c r="D292" s="30" t="s">
        <v>39</v>
      </c>
      <c r="E292" s="30" t="s">
        <v>140</v>
      </c>
      <c r="F292" s="30" t="s">
        <v>47</v>
      </c>
      <c r="G292" s="30" t="s">
        <v>47</v>
      </c>
    </row>
    <row r="293">
      <c r="A293" s="87">
        <v>581820.0</v>
      </c>
      <c r="B293" s="176">
        <f t="array" ref="B293">INDEX('Tracker- Removed 2017'!A:A,match(A293,'Tracker- Removed 2017'!B:B,0))</f>
        <v>42855</v>
      </c>
      <c r="C293" s="159" t="str">
        <f t="array" ref="C293:G293">VLOOKUP(A293,'Tracker- Removed 2017'!B:Q,{2,8,9,11,13},false)</f>
        <v>#N/A</v>
      </c>
      <c r="D293" s="30" t="s">
        <v>39</v>
      </c>
      <c r="E293" s="30" t="s">
        <v>140</v>
      </c>
      <c r="F293" s="30" t="s">
        <v>47</v>
      </c>
      <c r="G293" s="30" t="s">
        <v>47</v>
      </c>
    </row>
    <row r="294">
      <c r="A294" s="87">
        <v>417914.0</v>
      </c>
      <c r="B294" s="176">
        <f t="array" ref="B294">INDEX('Tracker- Removed 2017'!A:A,match(A294,'Tracker- Removed 2017'!B:B,0))</f>
        <v>42855</v>
      </c>
      <c r="C294" s="159" t="str">
        <f t="array" ref="C294:G294">VLOOKUP(A294,'Tracker- Removed 2017'!B:Q,{2,8,9,11,13},false)</f>
        <v>#N/A</v>
      </c>
      <c r="D294" s="30" t="s">
        <v>39</v>
      </c>
      <c r="E294" s="30" t="s">
        <v>140</v>
      </c>
      <c r="F294" s="30" t="s">
        <v>47</v>
      </c>
      <c r="G294" s="30" t="s">
        <v>47</v>
      </c>
    </row>
    <row r="295">
      <c r="A295" s="87">
        <v>533716.0</v>
      </c>
      <c r="B295" s="176">
        <f t="array" ref="B295">INDEX('Tracker- Removed 2017'!A:A,match(A295,'Tracker- Removed 2017'!B:B,0))</f>
        <v>42855</v>
      </c>
      <c r="C295" s="159" t="str">
        <f t="array" ref="C295:G295">VLOOKUP(A295,'Tracker- Removed 2017'!B:Q,{2,8,9,11,13},false)</f>
        <v>#N/A</v>
      </c>
      <c r="D295" s="30" t="s">
        <v>39</v>
      </c>
      <c r="E295" s="30" t="s">
        <v>140</v>
      </c>
      <c r="F295" s="30" t="s">
        <v>47</v>
      </c>
      <c r="G295" s="30" t="s">
        <v>47</v>
      </c>
    </row>
    <row r="296">
      <c r="A296" s="87">
        <v>200824.0</v>
      </c>
      <c r="B296" s="176">
        <f t="array" ref="B296">INDEX('Tracker- Removed 2017'!A:A,match(A296,'Tracker- Removed 2017'!B:B,0))</f>
        <v>42855</v>
      </c>
      <c r="C296" s="159" t="str">
        <f t="array" ref="C296:G296">VLOOKUP(A296,'Tracker- Removed 2017'!B:Q,{2,8,9,11,13},false)</f>
        <v>#N/A</v>
      </c>
      <c r="D296" s="30" t="s">
        <v>39</v>
      </c>
      <c r="E296" s="30" t="s">
        <v>140</v>
      </c>
      <c r="F296" s="30" t="s">
        <v>47</v>
      </c>
      <c r="G296" s="30" t="s">
        <v>47</v>
      </c>
    </row>
    <row r="297">
      <c r="A297" s="87">
        <v>212384.0</v>
      </c>
      <c r="B297" s="176">
        <f t="array" ref="B297">INDEX('Tracker- Removed 2017'!A:A,match(A297,'Tracker- Removed 2017'!B:B,0))</f>
        <v>42855</v>
      </c>
      <c r="C297" s="159" t="str">
        <f t="array" ref="C297:G297">VLOOKUP(A297,'Tracker- Removed 2017'!B:Q,{2,8,9,11,13},false)</f>
        <v>#N/A</v>
      </c>
      <c r="D297" s="30" t="s">
        <v>39</v>
      </c>
      <c r="E297" s="30" t="s">
        <v>140</v>
      </c>
      <c r="F297" s="30" t="s">
        <v>47</v>
      </c>
      <c r="G297" s="30" t="s">
        <v>47</v>
      </c>
    </row>
    <row r="298">
      <c r="A298" s="87">
        <v>531952.0</v>
      </c>
      <c r="B298" s="176">
        <f t="array" ref="B298">INDEX('Tracker- Removed 2017'!A:A,match(A298,'Tracker- Removed 2017'!B:B,0))</f>
        <v>42855</v>
      </c>
      <c r="C298" s="159" t="str">
        <f t="array" ref="C298:G298">VLOOKUP(A298,'Tracker- Removed 2017'!B:Q,{2,8,9,11,13},false)</f>
        <v>#N/A</v>
      </c>
      <c r="D298" s="30" t="s">
        <v>39</v>
      </c>
      <c r="E298" s="30" t="s">
        <v>140</v>
      </c>
      <c r="F298" s="30" t="s">
        <v>47</v>
      </c>
      <c r="G298" s="30" t="s">
        <v>47</v>
      </c>
    </row>
    <row r="299">
      <c r="A299" s="87">
        <v>333902.0</v>
      </c>
      <c r="B299" s="176">
        <f t="array" ref="B299">INDEX('Tracker- Removed 2017'!A:A,match(A299,'Tracker- Removed 2017'!B:B,0))</f>
        <v>42855</v>
      </c>
      <c r="C299" s="159" t="str">
        <f t="array" ref="C299:G299">VLOOKUP(A299,'Tracker- Removed 2017'!B:Q,{2,8,9,11,13},false)</f>
        <v>#N/A</v>
      </c>
      <c r="D299" s="30" t="s">
        <v>39</v>
      </c>
      <c r="E299" s="30" t="s">
        <v>140</v>
      </c>
      <c r="F299" s="30" t="s">
        <v>47</v>
      </c>
      <c r="G299" s="30" t="s">
        <v>47</v>
      </c>
    </row>
    <row r="300">
      <c r="A300" s="75">
        <v>655298.0</v>
      </c>
      <c r="B300" s="176">
        <f t="array" ref="B300">INDEX('Tracker- Removed 2017'!A:A,match(A300,'Tracker- Removed 2017'!B:B,0))</f>
        <v>42855</v>
      </c>
      <c r="C300" s="159" t="str">
        <f t="array" ref="C300:G300">VLOOKUP(A300,'Tracker- Removed 2017'!B:Q,{2,8,9,11,13},false)</f>
        <v>#N/A</v>
      </c>
      <c r="D300" s="30" t="s">
        <v>39</v>
      </c>
      <c r="E300" s="30" t="s">
        <v>140</v>
      </c>
      <c r="F300" s="30" t="s">
        <v>47</v>
      </c>
      <c r="G300" s="30" t="s">
        <v>47</v>
      </c>
    </row>
    <row r="301">
      <c r="A301" s="87">
        <v>98958.0</v>
      </c>
      <c r="B301" s="176">
        <f t="array" ref="B301">INDEX('Tracker- Removed 2017'!A:A,match(A301,'Tracker- Removed 2017'!B:B,0))</f>
        <v>42855</v>
      </c>
      <c r="C301" s="159" t="str">
        <f t="array" ref="C301:G301">VLOOKUP(A301,'Tracker- Removed 2017'!B:Q,{2,8,9,11,13},false)</f>
        <v>#N/A</v>
      </c>
      <c r="D301" s="30" t="s">
        <v>39</v>
      </c>
      <c r="E301" s="30" t="s">
        <v>140</v>
      </c>
      <c r="F301" s="30" t="s">
        <v>47</v>
      </c>
      <c r="G301" s="30" t="s">
        <v>47</v>
      </c>
    </row>
    <row r="302">
      <c r="A302" s="87">
        <v>129572.0</v>
      </c>
      <c r="B302" s="176">
        <f t="array" ref="B302">INDEX('Tracker- Removed 2017'!A:A,match(A302,'Tracker- Removed 2017'!B:B,0))</f>
        <v>42855</v>
      </c>
      <c r="C302" s="159" t="str">
        <f t="array" ref="C302:G302">VLOOKUP(A302,'Tracker- Removed 2017'!B:Q,{2,8,9,11,13},false)</f>
        <v>#N/A</v>
      </c>
      <c r="D302" s="30" t="s">
        <v>39</v>
      </c>
      <c r="E302" s="30" t="s">
        <v>140</v>
      </c>
      <c r="F302" s="30" t="s">
        <v>47</v>
      </c>
      <c r="G302" s="30" t="s">
        <v>47</v>
      </c>
    </row>
    <row r="303">
      <c r="A303" s="87">
        <v>684778.0</v>
      </c>
      <c r="B303" s="176">
        <f t="array" ref="B303">INDEX('Tracker- Removed 2017'!A:A,match(A303,'Tracker- Removed 2017'!B:B,0))</f>
        <v>42855</v>
      </c>
      <c r="C303" s="159" t="str">
        <f t="array" ref="C303:G303">VLOOKUP(A303,'Tracker- Removed 2017'!B:Q,{2,8,9,11,13},false)</f>
        <v>#N/A</v>
      </c>
      <c r="D303" s="30" t="s">
        <v>39</v>
      </c>
      <c r="E303" s="30" t="s">
        <v>140</v>
      </c>
      <c r="F303" s="30" t="s">
        <v>47</v>
      </c>
      <c r="G303" s="30" t="s">
        <v>47</v>
      </c>
    </row>
    <row r="304">
      <c r="A304" s="87">
        <v>630984.0</v>
      </c>
      <c r="B304" s="176">
        <f t="array" ref="B304">INDEX('Tracker- Removed 2017'!A:A,match(A304,'Tracker- Removed 2017'!B:B,0))</f>
        <v>42855</v>
      </c>
      <c r="C304" s="159" t="str">
        <f t="array" ref="C304:G304">VLOOKUP(A304,'Tracker- Removed 2017'!B:Q,{2,8,9,11,13},false)</f>
        <v>#N/A</v>
      </c>
      <c r="D304" s="30" t="s">
        <v>39</v>
      </c>
      <c r="E304" s="30" t="s">
        <v>140</v>
      </c>
      <c r="F304" s="30" t="s">
        <v>47</v>
      </c>
      <c r="G304" s="30" t="s">
        <v>47</v>
      </c>
    </row>
    <row r="305">
      <c r="A305" s="87">
        <v>369132.0</v>
      </c>
      <c r="B305" s="176">
        <f t="array" ref="B305">INDEX('Tracker- Removed 2017'!A:A,match(A305,'Tracker- Removed 2017'!B:B,0))</f>
        <v>42855</v>
      </c>
      <c r="C305" s="159" t="str">
        <f t="array" ref="C305:G305">VLOOKUP(A305,'Tracker- Removed 2017'!B:Q,{2,8,9,11,13},false)</f>
        <v>#N/A</v>
      </c>
      <c r="D305" s="30" t="s">
        <v>39</v>
      </c>
      <c r="E305" s="30" t="s">
        <v>140</v>
      </c>
      <c r="F305" s="30" t="s">
        <v>47</v>
      </c>
      <c r="G305" s="30" t="s">
        <v>47</v>
      </c>
    </row>
    <row r="306">
      <c r="A306" s="87">
        <v>564268.0</v>
      </c>
      <c r="B306" s="176">
        <f t="array" ref="B306">INDEX('Tracker- Removed 2017'!A:A,match(A306,'Tracker- Removed 2017'!B:B,0))</f>
        <v>42855</v>
      </c>
      <c r="C306" s="159" t="str">
        <f t="array" ref="C306:G306">VLOOKUP(A306,'Tracker- Removed 2017'!B:Q,{2,8,9,11,13},false)</f>
        <v>#N/A</v>
      </c>
      <c r="D306" s="30" t="s">
        <v>39</v>
      </c>
      <c r="E306" s="30" t="s">
        <v>140</v>
      </c>
      <c r="F306" s="30" t="s">
        <v>47</v>
      </c>
      <c r="G306" s="30" t="s">
        <v>47</v>
      </c>
    </row>
    <row r="307">
      <c r="A307" s="87">
        <v>64851.0</v>
      </c>
      <c r="B307" s="176">
        <f t="array" ref="B307">INDEX('Tracker- Removed 2017'!A:A,match(A307,'Tracker- Removed 2017'!B:B,0))</f>
        <v>42855</v>
      </c>
      <c r="C307" s="159" t="str">
        <f t="array" ref="C307:G307">VLOOKUP(A307,'Tracker- Removed 2017'!B:Q,{2,8,9,11,13},false)</f>
        <v>#N/A</v>
      </c>
      <c r="D307" s="30" t="s">
        <v>39</v>
      </c>
      <c r="E307" s="30" t="s">
        <v>140</v>
      </c>
      <c r="F307" s="30" t="s">
        <v>47</v>
      </c>
      <c r="G307" s="30" t="s">
        <v>47</v>
      </c>
    </row>
    <row r="308">
      <c r="A308" s="87">
        <v>656974.0</v>
      </c>
      <c r="B308" s="176">
        <f t="array" ref="B308">INDEX('Tracker- Removed 2017'!A:A,match(A308,'Tracker- Removed 2017'!B:B,0))</f>
        <v>42855</v>
      </c>
      <c r="C308" s="159" t="str">
        <f t="array" ref="C308:G308">VLOOKUP(A308,'Tracker- Removed 2017'!B:Q,{2,8,9,11,13},false)</f>
        <v>#N/A</v>
      </c>
      <c r="D308" s="30" t="s">
        <v>39</v>
      </c>
      <c r="E308" s="30" t="s">
        <v>140</v>
      </c>
      <c r="F308" s="30" t="s">
        <v>47</v>
      </c>
      <c r="G308" s="30" t="s">
        <v>47</v>
      </c>
    </row>
    <row r="309">
      <c r="A309" s="87">
        <v>443658.0</v>
      </c>
      <c r="B309" s="176">
        <f t="array" ref="B309">INDEX('Tracker- Removed 2017'!A:A,match(A309,'Tracker- Removed 2017'!B:B,0))</f>
        <v>42855</v>
      </c>
      <c r="C309" s="159" t="str">
        <f t="array" ref="C309:G309">VLOOKUP(A309,'Tracker- Removed 2017'!B:Q,{2,8,9,11,13},false)</f>
        <v>#N/A</v>
      </c>
      <c r="D309" s="30" t="s">
        <v>39</v>
      </c>
      <c r="E309" s="30" t="s">
        <v>140</v>
      </c>
      <c r="F309" s="30" t="s">
        <v>47</v>
      </c>
      <c r="G309" s="30" t="s">
        <v>47</v>
      </c>
    </row>
    <row r="310">
      <c r="A310" s="87">
        <v>204486.0</v>
      </c>
      <c r="B310" s="176">
        <f t="array" ref="B310">INDEX('Tracker- Removed 2017'!A:A,match(A310,'Tracker- Removed 2017'!B:B,0))</f>
        <v>42855</v>
      </c>
      <c r="C310" s="159" t="str">
        <f t="array" ref="C310:G310">VLOOKUP(A310,'Tracker- Removed 2017'!B:Q,{2,8,9,11,13},false)</f>
        <v>#N/A</v>
      </c>
      <c r="D310" s="30" t="s">
        <v>39</v>
      </c>
      <c r="E310" s="30" t="s">
        <v>140</v>
      </c>
      <c r="F310" s="30" t="s">
        <v>47</v>
      </c>
      <c r="G310" s="30" t="s">
        <v>47</v>
      </c>
    </row>
    <row r="311">
      <c r="A311" s="87">
        <v>23742.0</v>
      </c>
      <c r="B311" s="176">
        <f t="array" ref="B311">INDEX('Tracker- Removed 2017'!A:A,match(A311,'Tracker- Removed 2017'!B:B,0))</f>
        <v>42855</v>
      </c>
      <c r="C311" s="159" t="str">
        <f t="array" ref="C311:G311">VLOOKUP(A311,'Tracker- Removed 2017'!B:Q,{2,8,9,11,13},false)</f>
        <v>#N/A</v>
      </c>
      <c r="D311" s="30" t="s">
        <v>39</v>
      </c>
      <c r="E311" s="30" t="s">
        <v>140</v>
      </c>
      <c r="F311" s="30" t="s">
        <v>47</v>
      </c>
      <c r="G311" s="30" t="s">
        <v>47</v>
      </c>
    </row>
    <row r="312">
      <c r="A312" s="87">
        <v>383204.0</v>
      </c>
      <c r="B312" s="176">
        <f t="array" ref="B312">INDEX('Tracker- Removed 2017'!A:A,match(A312,'Tracker- Removed 2017'!B:B,0))</f>
        <v>42855</v>
      </c>
      <c r="C312" s="159" t="str">
        <f t="array" ref="C312:G312">VLOOKUP(A312,'Tracker- Removed 2017'!B:Q,{2,8,9,11,13},false)</f>
        <v>#N/A</v>
      </c>
      <c r="D312" s="30" t="s">
        <v>39</v>
      </c>
      <c r="E312" s="30" t="s">
        <v>140</v>
      </c>
      <c r="F312" s="30" t="s">
        <v>47</v>
      </c>
      <c r="G312" s="30" t="s">
        <v>47</v>
      </c>
    </row>
    <row r="313">
      <c r="A313" s="87">
        <v>60351.0</v>
      </c>
      <c r="B313" s="176">
        <f t="array" ref="B313">INDEX('Tracker- Removed 2017'!A:A,match(A313,'Tracker- Removed 2017'!B:B,0))</f>
        <v>42855</v>
      </c>
      <c r="C313" s="159" t="str">
        <f t="array" ref="C313:G313">VLOOKUP(A313,'Tracker- Removed 2017'!B:Q,{2,8,9,11,13},false)</f>
        <v>#N/A</v>
      </c>
      <c r="D313" s="30" t="s">
        <v>39</v>
      </c>
      <c r="E313" s="30" t="s">
        <v>140</v>
      </c>
      <c r="F313" s="30" t="s">
        <v>47</v>
      </c>
      <c r="G313" s="30" t="s">
        <v>47</v>
      </c>
    </row>
    <row r="314">
      <c r="A314" s="87">
        <v>602702.0</v>
      </c>
      <c r="B314" s="176">
        <f t="array" ref="B314">INDEX('Tracker- Removed 2017'!A:A,match(A314,'Tracker- Removed 2017'!B:B,0))</f>
        <v>42855</v>
      </c>
      <c r="C314" s="159" t="str">
        <f t="array" ref="C314:G314">VLOOKUP(A314,'Tracker- Removed 2017'!B:Q,{2,8,9,11,13},false)</f>
        <v>#N/A</v>
      </c>
      <c r="D314" s="30" t="s">
        <v>39</v>
      </c>
      <c r="E314" s="30" t="s">
        <v>140</v>
      </c>
      <c r="F314" s="30" t="s">
        <v>47</v>
      </c>
      <c r="G314" s="30" t="s">
        <v>47</v>
      </c>
    </row>
    <row r="315">
      <c r="A315" s="87">
        <v>24800.0</v>
      </c>
      <c r="B315" s="176">
        <f t="array" ref="B315">INDEX('Tracker- Removed 2017'!A:A,match(A315,'Tracker- Removed 2017'!B:B,0))</f>
        <v>42855</v>
      </c>
      <c r="C315" s="159" t="str">
        <f t="array" ref="C315:G315">VLOOKUP(A315,'Tracker- Removed 2017'!B:Q,{2,8,9,11,13},false)</f>
        <v>#N/A</v>
      </c>
      <c r="D315" s="30" t="s">
        <v>2958</v>
      </c>
      <c r="E315" s="30" t="s">
        <v>3928</v>
      </c>
      <c r="F315" s="30" t="s">
        <v>47</v>
      </c>
      <c r="G315" s="30" t="s">
        <v>47</v>
      </c>
    </row>
    <row r="316">
      <c r="A316" s="87">
        <v>850098.0</v>
      </c>
      <c r="B316" s="176">
        <f t="array" ref="B316">INDEX('Tracker- Removed 2017'!A:A,match(A316,'Tracker- Removed 2017'!B:B,0))</f>
        <v>42855</v>
      </c>
      <c r="C316" s="159" t="str">
        <f t="array" ref="C316:G316">VLOOKUP(A316,'Tracker- Removed 2017'!B:Q,{2,8,9,11,13},false)</f>
        <v>#N/A</v>
      </c>
      <c r="D316" s="30" t="s">
        <v>3908</v>
      </c>
      <c r="E316" s="30" t="s">
        <v>3936</v>
      </c>
      <c r="F316" s="30" t="s">
        <v>47</v>
      </c>
      <c r="G316" s="30" t="s">
        <v>47</v>
      </c>
    </row>
    <row r="317">
      <c r="A317" s="87">
        <v>389772.0</v>
      </c>
      <c r="B317" s="176">
        <f t="array" ref="B317">INDEX('Tracker- Removed 2017'!A:A,match(A317,'Tracker- Removed 2017'!B:B,0))</f>
        <v>42855</v>
      </c>
      <c r="C317" s="159" t="str">
        <f t="array" ref="C317:G317">VLOOKUP(A317,'Tracker- Removed 2017'!B:Q,{2,8,9,11,13},false)</f>
        <v>#N/A</v>
      </c>
      <c r="D317" s="30" t="s">
        <v>538</v>
      </c>
      <c r="E317" s="30" t="s">
        <v>271</v>
      </c>
      <c r="F317" s="30" t="s">
        <v>47</v>
      </c>
      <c r="G317" s="30" t="s">
        <v>47</v>
      </c>
    </row>
    <row r="318">
      <c r="A318" s="87">
        <v>402082.0</v>
      </c>
      <c r="B318" s="176">
        <f t="array" ref="B318">INDEX('Tracker- Removed 2017'!A:A,match(A318,'Tracker- Removed 2017'!B:B,0))</f>
        <v>42855</v>
      </c>
      <c r="C318" s="159" t="str">
        <f t="array" ref="C318:G318">VLOOKUP(A318,'Tracker- Removed 2017'!B:Q,{2,8,9,11,13},false)</f>
        <v>#N/A</v>
      </c>
      <c r="D318" s="30" t="s">
        <v>538</v>
      </c>
      <c r="E318" s="30" t="s">
        <v>271</v>
      </c>
      <c r="F318" s="30" t="s">
        <v>47</v>
      </c>
      <c r="G318" s="30" t="s">
        <v>47</v>
      </c>
    </row>
    <row r="319">
      <c r="A319" s="87">
        <v>397800.0</v>
      </c>
      <c r="B319" s="176">
        <f t="array" ref="B319">INDEX('Tracker- Removed 2017'!A:A,match(A319,'Tracker- Removed 2017'!B:B,0))</f>
        <v>42855</v>
      </c>
      <c r="C319" s="159" t="str">
        <f t="array" ref="C319:G319">VLOOKUP(A319,'Tracker- Removed 2017'!B:Q,{2,8,9,11,13},false)</f>
        <v>#N/A</v>
      </c>
      <c r="D319" s="30" t="s">
        <v>538</v>
      </c>
      <c r="E319" s="30" t="s">
        <v>3932</v>
      </c>
      <c r="F319" s="30" t="s">
        <v>47</v>
      </c>
      <c r="G319" s="30" t="s">
        <v>47</v>
      </c>
    </row>
    <row r="320">
      <c r="A320" s="87">
        <v>782958.0</v>
      </c>
      <c r="B320" s="176">
        <f t="array" ref="B320">INDEX('Tracker- Removed 2017'!A:A,match(A320,'Tracker- Removed 2017'!B:B,0))</f>
        <v>42855</v>
      </c>
      <c r="C320" s="159" t="str">
        <f t="array" ref="C320:G320">VLOOKUP(A320,'Tracker- Removed 2017'!B:Q,{2,8,9,11,13},false)</f>
        <v>#N/A</v>
      </c>
      <c r="D320" s="30" t="s">
        <v>83</v>
      </c>
      <c r="E320" s="30" t="s">
        <v>3926</v>
      </c>
      <c r="F320" s="30" t="s">
        <v>47</v>
      </c>
      <c r="G320" s="30" t="s">
        <v>47</v>
      </c>
    </row>
    <row r="321">
      <c r="A321" s="87">
        <v>26116.0</v>
      </c>
      <c r="B321" s="176">
        <f t="array" ref="B321">INDEX('Tracker- Removed 2017'!A:A,match(A321,'Tracker- Removed 2017'!B:B,0))</f>
        <v>42855</v>
      </c>
      <c r="C321" s="159" t="str">
        <f t="array" ref="C321:G321">VLOOKUP(A321,'Tracker- Removed 2017'!B:Q,{2,8,9,11,13},false)</f>
        <v>#N/A</v>
      </c>
      <c r="D321" s="30" t="s">
        <v>189</v>
      </c>
      <c r="E321" s="30" t="s">
        <v>448</v>
      </c>
      <c r="F321" s="30" t="s">
        <v>47</v>
      </c>
      <c r="G321" s="30" t="s">
        <v>47</v>
      </c>
    </row>
    <row r="322">
      <c r="A322" s="87">
        <v>567564.0</v>
      </c>
      <c r="B322" s="176">
        <f t="array" ref="B322">INDEX('Tracker- Removed 2017'!A:A,match(A322,'Tracker- Removed 2017'!B:B,0))</f>
        <v>42855</v>
      </c>
      <c r="C322" s="159" t="str">
        <f t="array" ref="C322:G322">VLOOKUP(A322,'Tracker- Removed 2017'!B:Q,{2,8,9,11,13},false)</f>
        <v>#N/A</v>
      </c>
      <c r="D322" s="30" t="s">
        <v>3915</v>
      </c>
      <c r="E322" s="30" t="s">
        <v>3916</v>
      </c>
      <c r="F322" s="30" t="s">
        <v>47</v>
      </c>
      <c r="G322" s="30" t="s">
        <v>47</v>
      </c>
    </row>
    <row r="323">
      <c r="A323" s="87">
        <v>646070.0</v>
      </c>
      <c r="B323" s="176">
        <f t="array" ref="B323">INDEX('Tracker- Removed 2017'!A:A,match(A323,'Tracker- Removed 2017'!B:B,0))</f>
        <v>42855</v>
      </c>
      <c r="C323" s="159" t="str">
        <f t="array" ref="C323:G323">VLOOKUP(A323,'Tracker- Removed 2017'!B:Q,{2,8,9,11,13},false)</f>
        <v>#N/A</v>
      </c>
      <c r="D323" s="30" t="s">
        <v>3915</v>
      </c>
      <c r="E323" s="30" t="s">
        <v>3916</v>
      </c>
      <c r="F323" s="30" t="s">
        <v>47</v>
      </c>
      <c r="G323" s="30" t="s">
        <v>47</v>
      </c>
    </row>
    <row r="324">
      <c r="A324" s="87">
        <v>349678.0</v>
      </c>
      <c r="B324" s="176">
        <f t="array" ref="B324">INDEX('Tracker- Removed 2017'!A:A,match(A324,'Tracker- Removed 2017'!B:B,0))</f>
        <v>42855</v>
      </c>
      <c r="C324" s="159" t="str">
        <f t="array" ref="C324:G324">VLOOKUP(A324,'Tracker- Removed 2017'!B:Q,{2,8,9,11,13},false)</f>
        <v>#N/A</v>
      </c>
      <c r="D324" s="30" t="s">
        <v>3915</v>
      </c>
      <c r="E324" s="30" t="s">
        <v>261</v>
      </c>
      <c r="F324" s="30" t="s">
        <v>47</v>
      </c>
      <c r="G324" s="30" t="s">
        <v>47</v>
      </c>
    </row>
    <row r="325">
      <c r="A325" s="87">
        <v>381538.0</v>
      </c>
      <c r="B325" s="176">
        <f t="array" ref="B325">INDEX('Tracker- Removed 2017'!A:A,match(A325,'Tracker- Removed 2017'!B:B,0))</f>
        <v>42825</v>
      </c>
      <c r="C325" s="159" t="str">
        <f t="array" ref="C325:G325">VLOOKUP(A325,'Tracker- Removed 2017'!B:Q,{2,8,9,11,13},false)</f>
        <v>#N/A</v>
      </c>
      <c r="D325" s="30" t="s">
        <v>105</v>
      </c>
      <c r="E325" s="30" t="s">
        <v>3925</v>
      </c>
      <c r="F325" s="30" t="s">
        <v>47</v>
      </c>
      <c r="G325" s="30" t="s">
        <v>47</v>
      </c>
    </row>
    <row r="326">
      <c r="A326" s="87">
        <v>473324.0</v>
      </c>
      <c r="B326" s="176">
        <f t="array" ref="B326">INDEX('Tracker- Removed 2017'!A:A,match(A326,'Tracker- Removed 2017'!B:B,0))</f>
        <v>42825</v>
      </c>
      <c r="C326" s="159" t="str">
        <f t="array" ref="C326:G326">VLOOKUP(A326,'Tracker- Removed 2017'!B:Q,{2,8,9,11,13},false)</f>
        <v>#N/A</v>
      </c>
      <c r="D326" s="30" t="s">
        <v>105</v>
      </c>
      <c r="E326" s="30" t="s">
        <v>3925</v>
      </c>
      <c r="F326" s="30" t="s">
        <v>47</v>
      </c>
      <c r="G326" s="30" t="s">
        <v>47</v>
      </c>
    </row>
    <row r="327">
      <c r="A327" s="87">
        <v>47337.0</v>
      </c>
      <c r="B327" s="176">
        <f t="array" ref="B327">INDEX('Tracker- Removed 2017'!A:A,match(A327,'Tracker- Removed 2017'!B:B,0))</f>
        <v>42825</v>
      </c>
      <c r="C327" s="159" t="str">
        <f t="array" ref="C327:G327">VLOOKUP(A327,'Tracker- Removed 2017'!B:Q,{2,8,9,11,13},false)</f>
        <v>#N/A</v>
      </c>
      <c r="D327" s="30" t="s">
        <v>105</v>
      </c>
      <c r="E327" s="30" t="s">
        <v>198</v>
      </c>
      <c r="F327" s="30" t="s">
        <v>47</v>
      </c>
      <c r="G327" s="30" t="s">
        <v>47</v>
      </c>
    </row>
    <row r="328">
      <c r="A328" s="87">
        <v>548058.0</v>
      </c>
      <c r="B328" s="176">
        <f t="array" ref="B328">INDEX('Tracker- Removed 2017'!A:A,match(A328,'Tracker- Removed 2017'!B:B,0))</f>
        <v>42825</v>
      </c>
      <c r="C328" s="159" t="str">
        <f t="array" ref="C328:G328">VLOOKUP(A328,'Tracker- Removed 2017'!B:Q,{2,8,9,11,13},false)</f>
        <v>#N/A</v>
      </c>
      <c r="D328" s="30" t="s">
        <v>39</v>
      </c>
      <c r="E328" s="30" t="s">
        <v>214</v>
      </c>
      <c r="F328" s="30" t="s">
        <v>47</v>
      </c>
      <c r="G328" s="30" t="s">
        <v>47</v>
      </c>
    </row>
    <row r="329">
      <c r="A329" s="87">
        <v>59186.0</v>
      </c>
      <c r="B329" s="176">
        <f t="array" ref="B329">INDEX('Tracker- Removed 2017'!A:A,match(A329,'Tracker- Removed 2017'!B:B,0))</f>
        <v>42825</v>
      </c>
      <c r="C329" s="159" t="str">
        <f t="array" ref="C329:G329">VLOOKUP(A329,'Tracker- Removed 2017'!B:Q,{2,8,9,11,13},false)</f>
        <v>#N/A</v>
      </c>
      <c r="D329" s="30" t="s">
        <v>39</v>
      </c>
      <c r="E329" s="30" t="s">
        <v>214</v>
      </c>
      <c r="F329" s="30" t="s">
        <v>47</v>
      </c>
      <c r="G329" s="30" t="s">
        <v>47</v>
      </c>
    </row>
    <row r="330">
      <c r="A330" s="87">
        <v>428526.0</v>
      </c>
      <c r="B330" s="176">
        <f t="array" ref="B330">INDEX('Tracker- Removed 2017'!A:A,match(A330,'Tracker- Removed 2017'!B:B,0))</f>
        <v>42825</v>
      </c>
      <c r="C330" s="159" t="str">
        <f t="array" ref="C330:G330">VLOOKUP(A330,'Tracker- Removed 2017'!B:Q,{2,8,9,11,13},false)</f>
        <v>#N/A</v>
      </c>
      <c r="D330" s="30" t="s">
        <v>39</v>
      </c>
      <c r="E330" s="30" t="s">
        <v>214</v>
      </c>
      <c r="F330" s="30" t="s">
        <v>47</v>
      </c>
      <c r="G330" s="30" t="s">
        <v>47</v>
      </c>
    </row>
    <row r="331">
      <c r="A331" s="87">
        <v>528422.0</v>
      </c>
      <c r="B331" s="176">
        <f t="array" ref="B331">INDEX('Tracker- Removed 2017'!A:A,match(A331,'Tracker- Removed 2017'!B:B,0))</f>
        <v>42825</v>
      </c>
      <c r="C331" s="159" t="str">
        <f t="array" ref="C331:G331">VLOOKUP(A331,'Tracker- Removed 2017'!B:Q,{2,8,9,11,13},false)</f>
        <v>#N/A</v>
      </c>
      <c r="D331" s="30" t="s">
        <v>39</v>
      </c>
      <c r="E331" s="30" t="s">
        <v>214</v>
      </c>
      <c r="F331" s="30" t="s">
        <v>47</v>
      </c>
      <c r="G331" s="30" t="s">
        <v>47</v>
      </c>
    </row>
    <row r="332">
      <c r="A332" s="87">
        <v>250114.0</v>
      </c>
      <c r="B332" s="176">
        <f t="array" ref="B332">INDEX('Tracker- Removed 2017'!A:A,match(A332,'Tracker- Removed 2017'!B:B,0))</f>
        <v>42825</v>
      </c>
      <c r="C332" s="159" t="str">
        <f t="array" ref="C332:G332">VLOOKUP(A332,'Tracker- Removed 2017'!B:Q,{2,8,9,11,13},false)</f>
        <v>#N/A</v>
      </c>
      <c r="D332" s="30" t="s">
        <v>39</v>
      </c>
      <c r="E332" s="30" t="s">
        <v>214</v>
      </c>
      <c r="F332" s="30" t="s">
        <v>47</v>
      </c>
      <c r="G332" s="30" t="s">
        <v>47</v>
      </c>
    </row>
    <row r="333">
      <c r="A333" s="87">
        <v>63612.0</v>
      </c>
      <c r="B333" s="176">
        <f t="array" ref="B333">INDEX('Tracker- Removed 2017'!A:A,match(A333,'Tracker- Removed 2017'!B:B,0))</f>
        <v>42825</v>
      </c>
      <c r="C333" s="159" t="str">
        <f t="array" ref="C333:G333">VLOOKUP(A333,'Tracker- Removed 2017'!B:Q,{2,8,9,11,13},false)</f>
        <v>#N/A</v>
      </c>
      <c r="D333" s="30" t="s">
        <v>39</v>
      </c>
      <c r="E333" s="30" t="s">
        <v>140</v>
      </c>
      <c r="F333" s="30" t="s">
        <v>47</v>
      </c>
      <c r="G333" s="30" t="s">
        <v>47</v>
      </c>
    </row>
    <row r="334">
      <c r="A334" s="87">
        <v>427530.0</v>
      </c>
      <c r="B334" s="176">
        <f t="array" ref="B334">INDEX('Tracker- Removed 2017'!A:A,match(A334,'Tracker- Removed 2017'!B:B,0))</f>
        <v>42825</v>
      </c>
      <c r="C334" s="159" t="str">
        <f t="array" ref="C334:G334">VLOOKUP(A334,'Tracker- Removed 2017'!B:Q,{2,8,9,11,13},false)</f>
        <v>#N/A</v>
      </c>
      <c r="D334" s="30" t="s">
        <v>39</v>
      </c>
      <c r="E334" s="30" t="s">
        <v>140</v>
      </c>
      <c r="F334" s="30" t="s">
        <v>47</v>
      </c>
      <c r="G334" s="30" t="s">
        <v>47</v>
      </c>
    </row>
    <row r="335">
      <c r="A335" s="87">
        <v>318638.0</v>
      </c>
      <c r="B335" s="176">
        <f t="array" ref="B335">INDEX('Tracker- Removed 2017'!A:A,match(A335,'Tracker- Removed 2017'!B:B,0))</f>
        <v>42825</v>
      </c>
      <c r="C335" s="159" t="str">
        <f t="array" ref="C335:G335">VLOOKUP(A335,'Tracker- Removed 2017'!B:Q,{2,8,9,11,13},false)</f>
        <v>#N/A</v>
      </c>
      <c r="D335" s="30" t="s">
        <v>39</v>
      </c>
      <c r="E335" s="30" t="s">
        <v>140</v>
      </c>
      <c r="F335" s="30" t="s">
        <v>47</v>
      </c>
      <c r="G335" s="30" t="s">
        <v>47</v>
      </c>
    </row>
    <row r="336">
      <c r="A336" s="87">
        <v>459976.0</v>
      </c>
      <c r="B336" s="176">
        <f t="array" ref="B336">INDEX('Tracker- Removed 2017'!A:A,match(A336,'Tracker- Removed 2017'!B:B,0))</f>
        <v>42825</v>
      </c>
      <c r="C336" s="159" t="str">
        <f t="array" ref="C336:G336">VLOOKUP(A336,'Tracker- Removed 2017'!B:Q,{2,8,9,11,13},false)</f>
        <v>#N/A</v>
      </c>
      <c r="D336" s="30" t="s">
        <v>3908</v>
      </c>
      <c r="E336" s="30" t="s">
        <v>75</v>
      </c>
      <c r="F336" s="30" t="s">
        <v>47</v>
      </c>
      <c r="G336" s="30" t="s">
        <v>47</v>
      </c>
    </row>
    <row r="337">
      <c r="A337" s="87">
        <v>642530.0</v>
      </c>
      <c r="B337" s="176">
        <f t="array" ref="B337">INDEX('Tracker- Removed 2017'!A:A,match(A337,'Tracker- Removed 2017'!B:B,0))</f>
        <v>42825</v>
      </c>
      <c r="C337" s="159" t="str">
        <f t="array" ref="C337:G337">VLOOKUP(A337,'Tracker- Removed 2017'!B:Q,{2,8,9,11,13},false)</f>
        <v>#N/A</v>
      </c>
      <c r="D337" s="30" t="s">
        <v>3908</v>
      </c>
      <c r="E337" s="30" t="s">
        <v>75</v>
      </c>
      <c r="F337" s="30" t="s">
        <v>47</v>
      </c>
      <c r="G337" s="30" t="s">
        <v>47</v>
      </c>
    </row>
    <row r="338">
      <c r="A338" s="87">
        <v>524234.0</v>
      </c>
      <c r="B338" s="176">
        <f t="array" ref="B338">INDEX('Tracker- Removed 2017'!A:A,match(A338,'Tracker- Removed 2017'!B:B,0))</f>
        <v>42825</v>
      </c>
      <c r="C338" s="159" t="str">
        <f t="array" ref="C338:G338">VLOOKUP(A338,'Tracker- Removed 2017'!B:Q,{2,8,9,11,13},false)</f>
        <v>#N/A</v>
      </c>
      <c r="D338" s="30" t="s">
        <v>3908</v>
      </c>
      <c r="E338" s="30" t="s">
        <v>75</v>
      </c>
      <c r="F338" s="30" t="s">
        <v>47</v>
      </c>
      <c r="G338" s="30" t="s">
        <v>47</v>
      </c>
    </row>
    <row r="339">
      <c r="A339" s="87">
        <v>490498.0</v>
      </c>
      <c r="B339" s="176">
        <f t="array" ref="B339">INDEX('Tracker- Removed 2017'!A:A,match(A339,'Tracker- Removed 2017'!B:B,0))</f>
        <v>42825</v>
      </c>
      <c r="C339" s="159" t="str">
        <f t="array" ref="C339:G339">VLOOKUP(A339,'Tracker- Removed 2017'!B:Q,{2,8,9,11,13},false)</f>
        <v>#N/A</v>
      </c>
      <c r="D339" s="30" t="s">
        <v>3908</v>
      </c>
      <c r="E339" s="30" t="s">
        <v>75</v>
      </c>
      <c r="F339" s="30" t="s">
        <v>47</v>
      </c>
      <c r="G339" s="30" t="s">
        <v>47</v>
      </c>
    </row>
    <row r="340">
      <c r="A340" s="87">
        <v>262212.0</v>
      </c>
      <c r="B340" s="176">
        <f t="array" ref="B340">INDEX('Tracker- Removed 2017'!A:A,match(A340,'Tracker- Removed 2017'!B:B,0))</f>
        <v>42825</v>
      </c>
      <c r="C340" s="159" t="str">
        <f t="array" ref="C340:G340">VLOOKUP(A340,'Tracker- Removed 2017'!B:Q,{2,8,9,11,13},false)</f>
        <v>#N/A</v>
      </c>
      <c r="D340" s="30" t="s">
        <v>3908</v>
      </c>
      <c r="E340" s="30" t="s">
        <v>3909</v>
      </c>
      <c r="F340" s="30" t="s">
        <v>47</v>
      </c>
      <c r="G340" s="30" t="s">
        <v>47</v>
      </c>
    </row>
    <row r="341">
      <c r="A341" s="87">
        <v>693700.0</v>
      </c>
      <c r="B341" s="176">
        <f t="array" ref="B341">INDEX('Tracker- Removed 2017'!A:A,match(A341,'Tracker- Removed 2017'!B:B,0))</f>
        <v>42825</v>
      </c>
      <c r="C341" s="159" t="str">
        <f t="array" ref="C341:G341">VLOOKUP(A341,'Tracker- Removed 2017'!B:Q,{2,8,9,11,13},false)</f>
        <v>#N/A</v>
      </c>
      <c r="D341" s="30" t="s">
        <v>219</v>
      </c>
      <c r="E341" s="30" t="s">
        <v>3935</v>
      </c>
      <c r="F341" s="30" t="s">
        <v>47</v>
      </c>
      <c r="G341" s="30" t="s">
        <v>47</v>
      </c>
    </row>
    <row r="342">
      <c r="A342" s="87">
        <v>467362.0</v>
      </c>
      <c r="B342" s="176">
        <f t="array" ref="B342">INDEX('Tracker- Removed 2017'!A:A,match(A342,'Tracker- Removed 2017'!B:B,0))</f>
        <v>42794</v>
      </c>
      <c r="C342" s="159" t="str">
        <f t="array" ref="C342:G342">VLOOKUP(A342,'Tracker- Removed 2017'!B:Q,{2,8,9,11,13},false)</f>
        <v>#N/A</v>
      </c>
      <c r="D342" s="30" t="s">
        <v>63</v>
      </c>
      <c r="E342" s="30" t="s">
        <v>64</v>
      </c>
      <c r="F342" s="30" t="s">
        <v>47</v>
      </c>
      <c r="G342" s="30" t="s">
        <v>47</v>
      </c>
    </row>
    <row r="343">
      <c r="A343" s="87">
        <v>421806.0</v>
      </c>
      <c r="B343" s="176">
        <f t="array" ref="B343">INDEX('Tracker- Removed 2017'!A:A,match(A343,'Tracker- Removed 2017'!B:B,0))</f>
        <v>42794</v>
      </c>
      <c r="C343" s="159" t="str">
        <f t="array" ref="C343:G343">VLOOKUP(A343,'Tracker- Removed 2017'!B:Q,{2,8,9,11,13},false)</f>
        <v>#N/A</v>
      </c>
      <c r="D343" s="30" t="s">
        <v>39</v>
      </c>
      <c r="E343" s="30" t="s">
        <v>214</v>
      </c>
      <c r="F343" s="30" t="s">
        <v>47</v>
      </c>
      <c r="G343" s="30" t="s">
        <v>47</v>
      </c>
    </row>
    <row r="344">
      <c r="A344" s="87">
        <v>889558.0</v>
      </c>
      <c r="B344" s="176">
        <f t="array" ref="B344">INDEX('Tracker- Removed 2017'!A:A,match(A344,'Tracker- Removed 2017'!B:B,0))</f>
        <v>42794</v>
      </c>
      <c r="C344" s="159" t="str">
        <f t="array" ref="C344:G344">VLOOKUP(A344,'Tracker- Removed 2017'!B:Q,{2,8,9,11,13},false)</f>
        <v>#N/A</v>
      </c>
      <c r="D344" s="30" t="s">
        <v>39</v>
      </c>
      <c r="E344" s="30" t="s">
        <v>214</v>
      </c>
      <c r="F344" s="30" t="s">
        <v>47</v>
      </c>
      <c r="G344" s="30" t="s">
        <v>47</v>
      </c>
    </row>
    <row r="345">
      <c r="A345" s="87">
        <v>128950.0</v>
      </c>
      <c r="B345" s="176">
        <f t="array" ref="B345">INDEX('Tracker- Removed 2017'!A:A,match(A345,'Tracker- Removed 2017'!B:B,0))</f>
        <v>42794</v>
      </c>
      <c r="C345" s="159" t="str">
        <f t="array" ref="C345:G345">VLOOKUP(A345,'Tracker- Removed 2017'!B:Q,{2,8,9,11,13},false)</f>
        <v>#N/A</v>
      </c>
      <c r="D345" s="30" t="s">
        <v>39</v>
      </c>
      <c r="E345" s="30" t="s">
        <v>140</v>
      </c>
      <c r="F345" s="30" t="s">
        <v>47</v>
      </c>
      <c r="G345" s="30" t="s">
        <v>47</v>
      </c>
    </row>
    <row r="346">
      <c r="A346" s="87">
        <v>128082.0</v>
      </c>
      <c r="B346" s="176">
        <f t="array" ref="B346">INDEX('Tracker- Removed 2017'!A:A,match(A346,'Tracker- Removed 2017'!B:B,0))</f>
        <v>42794</v>
      </c>
      <c r="C346" s="159" t="str">
        <f t="array" ref="C346:G346">VLOOKUP(A346,'Tracker- Removed 2017'!B:Q,{2,8,9,11,13},false)</f>
        <v>#N/A</v>
      </c>
      <c r="D346" s="30" t="s">
        <v>3919</v>
      </c>
      <c r="E346" s="30" t="s">
        <v>263</v>
      </c>
      <c r="F346" s="30" t="s">
        <v>47</v>
      </c>
      <c r="G346" s="30" t="s">
        <v>47</v>
      </c>
    </row>
    <row r="347">
      <c r="A347" s="87">
        <v>454648.0</v>
      </c>
      <c r="B347" s="176">
        <f t="array" ref="B347">INDEX('Tracker- Removed 2017'!A:A,match(A347,'Tracker- Removed 2017'!B:B,0))</f>
        <v>42794</v>
      </c>
      <c r="C347" s="159" t="str">
        <f t="array" ref="C347:G347">VLOOKUP(A347,'Tracker- Removed 2017'!B:Q,{2,8,9,11,13},false)</f>
        <v>#N/A</v>
      </c>
      <c r="D347" s="30" t="s">
        <v>3908</v>
      </c>
      <c r="E347" s="30" t="s">
        <v>75</v>
      </c>
      <c r="F347" s="30" t="s">
        <v>47</v>
      </c>
      <c r="G347" s="30" t="s">
        <v>47</v>
      </c>
    </row>
    <row r="348">
      <c r="A348" s="87">
        <v>209610.0</v>
      </c>
      <c r="B348" s="176">
        <f t="array" ref="B348">INDEX('Tracker- Removed 2017'!A:A,match(A348,'Tracker- Removed 2017'!B:B,0))</f>
        <v>42794</v>
      </c>
      <c r="C348" s="159" t="str">
        <f t="array" ref="C348:G348">VLOOKUP(A348,'Tracker- Removed 2017'!B:Q,{2,8,9,11,13},false)</f>
        <v>#N/A</v>
      </c>
      <c r="D348" s="30" t="s">
        <v>3908</v>
      </c>
      <c r="E348" s="30" t="s">
        <v>75</v>
      </c>
      <c r="F348" s="30" t="s">
        <v>47</v>
      </c>
      <c r="G348" s="30" t="s">
        <v>47</v>
      </c>
    </row>
    <row r="349">
      <c r="A349" s="87">
        <v>333978.0</v>
      </c>
      <c r="B349" s="176">
        <f t="array" ref="B349">INDEX('Tracker- Removed 2017'!A:A,match(A349,'Tracker- Removed 2017'!B:B,0))</f>
        <v>42794</v>
      </c>
      <c r="C349" s="159" t="str">
        <f t="array" ref="C349:G349">VLOOKUP(A349,'Tracker- Removed 2017'!B:Q,{2,8,9,11,13},false)</f>
        <v>#N/A</v>
      </c>
      <c r="D349" s="30" t="s">
        <v>3908</v>
      </c>
      <c r="E349" s="30" t="s">
        <v>75</v>
      </c>
      <c r="F349" s="30" t="s">
        <v>47</v>
      </c>
      <c r="G349" s="30" t="s">
        <v>47</v>
      </c>
    </row>
    <row r="350">
      <c r="A350" s="87">
        <v>44439.0</v>
      </c>
      <c r="B350" s="176">
        <f t="array" ref="B350">INDEX('Tracker- Removed 2017'!A:A,match(A350,'Tracker- Removed 2017'!B:B,0))</f>
        <v>42794</v>
      </c>
      <c r="C350" s="159" t="str">
        <f t="array" ref="C350:G350">VLOOKUP(A350,'Tracker- Removed 2017'!B:Q,{2,8,9,11,13},false)</f>
        <v>#N/A</v>
      </c>
      <c r="D350" s="30" t="s">
        <v>538</v>
      </c>
      <c r="E350" s="30" t="s">
        <v>123</v>
      </c>
      <c r="F350" s="30" t="s">
        <v>47</v>
      </c>
      <c r="G350" s="30" t="s">
        <v>47</v>
      </c>
    </row>
    <row r="351">
      <c r="A351" s="87">
        <v>546196.0</v>
      </c>
      <c r="B351" s="176">
        <f t="array" ref="B351">INDEX('Tracker- Removed 2017'!A:A,match(A351,'Tracker- Removed 2017'!B:B,0))</f>
        <v>42794</v>
      </c>
      <c r="C351" s="159" t="str">
        <f t="array" ref="C351:G351">VLOOKUP(A351,'Tracker- Removed 2017'!B:Q,{2,8,9,11,13},false)</f>
        <v>#N/A</v>
      </c>
      <c r="D351" s="30" t="s">
        <v>538</v>
      </c>
      <c r="E351" s="30" t="s">
        <v>123</v>
      </c>
      <c r="F351" s="30" t="s">
        <v>47</v>
      </c>
      <c r="G351" s="30" t="s">
        <v>47</v>
      </c>
    </row>
    <row r="352">
      <c r="A352" s="87">
        <v>517980.0</v>
      </c>
      <c r="B352" s="176">
        <f t="array" ref="B352">INDEX('Tracker- Removed 2017'!A:A,match(A352,'Tracker- Removed 2017'!B:B,0))</f>
        <v>42794</v>
      </c>
      <c r="C352" s="159" t="str">
        <f t="array" ref="C352:G352">VLOOKUP(A352,'Tracker- Removed 2017'!B:Q,{2,8,9,11,13},false)</f>
        <v>#N/A</v>
      </c>
      <c r="D352" s="30" t="s">
        <v>189</v>
      </c>
      <c r="E352" s="30" t="s">
        <v>448</v>
      </c>
      <c r="F352" s="30" t="s">
        <v>47</v>
      </c>
      <c r="G352" s="30" t="s">
        <v>47</v>
      </c>
    </row>
    <row r="353">
      <c r="A353" s="87">
        <v>645826.0</v>
      </c>
      <c r="B353" s="176">
        <f t="array" ref="B353">INDEX('Tracker- Removed 2017'!A:A,match(A353,'Tracker- Removed 2017'!B:B,0))</f>
        <v>42794</v>
      </c>
      <c r="C353" s="159" t="str">
        <f t="array" ref="C353:G353">VLOOKUP(A353,'Tracker- Removed 2017'!B:Q,{2,8,9,11,13},false)</f>
        <v>#N/A</v>
      </c>
      <c r="D353" s="30" t="s">
        <v>3915</v>
      </c>
      <c r="E353" s="30" t="s">
        <v>184</v>
      </c>
      <c r="F353" s="30" t="s">
        <v>47</v>
      </c>
      <c r="G353" s="30" t="s">
        <v>47</v>
      </c>
    </row>
    <row r="354">
      <c r="A354" s="87">
        <v>50411.0</v>
      </c>
      <c r="B354" s="176">
        <f t="array" ref="B354">INDEX('Tracker- Removed 2017'!A:A,match(A354,'Tracker- Removed 2017'!B:B,0))</f>
        <v>42794</v>
      </c>
      <c r="C354" s="159" t="str">
        <f t="array" ref="C354:G354">VLOOKUP(A354,'Tracker- Removed 2017'!B:Q,{2,8,9,11,13},false)</f>
        <v>#N/A</v>
      </c>
      <c r="D354" s="30" t="s">
        <v>3915</v>
      </c>
      <c r="E354" s="30" t="s">
        <v>80</v>
      </c>
      <c r="F354" s="30" t="s">
        <v>47</v>
      </c>
      <c r="G354" s="30" t="s">
        <v>47</v>
      </c>
    </row>
    <row r="355">
      <c r="A355" s="87">
        <v>772712.0</v>
      </c>
      <c r="B355" s="176">
        <f t="array" ref="B355">INDEX('Tracker- Removed 2017'!A:A,match(A355,'Tracker- Removed 2017'!B:B,0))</f>
        <v>42794</v>
      </c>
      <c r="C355" s="159" t="str">
        <f t="array" ref="C355:G355">VLOOKUP(A355,'Tracker- Removed 2017'!B:Q,{2,8,9,11,13},false)</f>
        <v>#N/A</v>
      </c>
      <c r="D355" s="30" t="s">
        <v>3915</v>
      </c>
      <c r="E355" s="30" t="s">
        <v>80</v>
      </c>
      <c r="F355" s="30" t="s">
        <v>47</v>
      </c>
      <c r="G355" s="30" t="s">
        <v>47</v>
      </c>
    </row>
    <row r="356">
      <c r="A356" s="87">
        <v>109814.0</v>
      </c>
      <c r="B356" s="176">
        <f t="array" ref="B356">INDEX('Tracker- Removed 2017'!A:A,match(A356,'Tracker- Removed 2017'!B:B,0))</f>
        <v>42794</v>
      </c>
      <c r="C356" s="159" t="str">
        <f t="array" ref="C356:G356">VLOOKUP(A356,'Tracker- Removed 2017'!B:Q,{2,8,9,11,13},false)</f>
        <v>#N/A</v>
      </c>
      <c r="D356" s="30" t="s">
        <v>3915</v>
      </c>
      <c r="E356" s="30" t="s">
        <v>80</v>
      </c>
      <c r="F356" s="30" t="s">
        <v>47</v>
      </c>
      <c r="G356" s="30" t="s">
        <v>47</v>
      </c>
    </row>
    <row r="357">
      <c r="A357" s="87">
        <v>335258.0</v>
      </c>
      <c r="B357" s="176">
        <f t="array" ref="B357">INDEX('Tracker- Removed 2017'!A:A,match(A357,'Tracker- Removed 2017'!B:B,0))</f>
        <v>42766</v>
      </c>
      <c r="C357" s="159" t="str">
        <f t="array" ref="C357:G357">VLOOKUP(A357,'Tracker- Removed 2017'!B:Q,{2,8,9,11,13},false)</f>
        <v>#N/A</v>
      </c>
      <c r="D357" s="30" t="s">
        <v>105</v>
      </c>
      <c r="E357" s="30" t="s">
        <v>253</v>
      </c>
      <c r="F357" s="30" t="s">
        <v>47</v>
      </c>
      <c r="G357" s="30" t="s">
        <v>47</v>
      </c>
    </row>
    <row r="358">
      <c r="A358" s="87">
        <v>489444.0</v>
      </c>
      <c r="B358" s="176">
        <f t="array" ref="B358">INDEX('Tracker- Removed 2017'!A:A,match(A358,'Tracker- Removed 2017'!B:B,0))</f>
        <v>42766</v>
      </c>
      <c r="C358" s="159" t="str">
        <f t="array" ref="C358:G358">VLOOKUP(A358,'Tracker- Removed 2017'!B:Q,{2,8,9,11,13},false)</f>
        <v>#N/A</v>
      </c>
      <c r="D358" s="30" t="s">
        <v>105</v>
      </c>
      <c r="E358" s="30" t="s">
        <v>501</v>
      </c>
      <c r="F358" s="30" t="s">
        <v>47</v>
      </c>
      <c r="G358" s="30" t="s">
        <v>47</v>
      </c>
    </row>
    <row r="359">
      <c r="A359" s="87">
        <v>298504.0</v>
      </c>
      <c r="B359" s="176">
        <f t="array" ref="B359">INDEX('Tracker- Removed 2017'!A:A,match(A359,'Tracker- Removed 2017'!B:B,0))</f>
        <v>42766</v>
      </c>
      <c r="C359" s="159" t="str">
        <f t="array" ref="C359:G359">VLOOKUP(A359,'Tracker- Removed 2017'!B:Q,{2,8,9,11,13},false)</f>
        <v>#N/A</v>
      </c>
      <c r="D359" s="30" t="s">
        <v>3919</v>
      </c>
      <c r="E359" s="30" t="s">
        <v>263</v>
      </c>
      <c r="F359" s="30" t="s">
        <v>47</v>
      </c>
      <c r="G359" s="30" t="s">
        <v>47</v>
      </c>
    </row>
    <row r="360">
      <c r="A360" s="87">
        <v>297742.0</v>
      </c>
      <c r="B360" s="176">
        <f t="array" ref="B360">INDEX('Tracker- Removed 2017'!A:A,match(A360,'Tracker- Removed 2017'!B:B,0))</f>
        <v>42766</v>
      </c>
      <c r="C360" s="159" t="str">
        <f t="array" ref="C360:G360">VLOOKUP(A360,'Tracker- Removed 2017'!B:Q,{2,8,9,11,13},false)</f>
        <v>#N/A</v>
      </c>
      <c r="D360" s="30" t="s">
        <v>3919</v>
      </c>
      <c r="E360" s="30" t="s">
        <v>3920</v>
      </c>
      <c r="F360" s="30" t="s">
        <v>47</v>
      </c>
      <c r="G360" s="30" t="s">
        <v>47</v>
      </c>
    </row>
    <row r="361">
      <c r="A361" s="87">
        <v>297816.0</v>
      </c>
      <c r="B361" s="176">
        <f t="array" ref="B361">INDEX('Tracker- Removed 2017'!A:A,match(A361,'Tracker- Removed 2017'!B:B,0))</f>
        <v>42766</v>
      </c>
      <c r="C361" s="159" t="str">
        <f t="array" ref="C361:G361">VLOOKUP(A361,'Tracker- Removed 2017'!B:Q,{2,8,9,11,13},false)</f>
        <v>#N/A</v>
      </c>
      <c r="D361" s="30" t="s">
        <v>3919</v>
      </c>
      <c r="E361" s="30" t="s">
        <v>3921</v>
      </c>
      <c r="F361" s="30" t="s">
        <v>47</v>
      </c>
      <c r="G361" s="30" t="s">
        <v>47</v>
      </c>
    </row>
    <row r="362">
      <c r="A362" s="87">
        <v>394922.0</v>
      </c>
      <c r="B362" s="176">
        <f t="array" ref="B362">INDEX('Tracker- Removed 2017'!A:A,match(A362,'Tracker- Removed 2017'!B:B,0))</f>
        <v>42766</v>
      </c>
      <c r="C362" s="159" t="str">
        <f t="array" ref="C362:G362">VLOOKUP(A362,'Tracker- Removed 2017'!B:Q,{2,8,9,11,13},false)</f>
        <v>#N/A</v>
      </c>
      <c r="D362" s="30" t="s">
        <v>2958</v>
      </c>
      <c r="E362" s="30" t="s">
        <v>467</v>
      </c>
      <c r="F362" s="30" t="s">
        <v>47</v>
      </c>
      <c r="G362" s="30" t="s">
        <v>47</v>
      </c>
    </row>
    <row r="363">
      <c r="A363" s="87">
        <v>336046.0</v>
      </c>
      <c r="B363" s="176">
        <f t="array" ref="B363">INDEX('Tracker- Removed 2017'!A:A,match(A363,'Tracker- Removed 2017'!B:B,0))</f>
        <v>42766</v>
      </c>
      <c r="C363" s="159" t="str">
        <f t="array" ref="C363:G363">VLOOKUP(A363,'Tracker- Removed 2017'!B:Q,{2,8,9,11,13},false)</f>
        <v>#N/A</v>
      </c>
      <c r="D363" s="30" t="s">
        <v>2958</v>
      </c>
      <c r="E363" s="30" t="s">
        <v>3928</v>
      </c>
      <c r="F363" s="30" t="s">
        <v>47</v>
      </c>
      <c r="G363" s="30" t="s">
        <v>47</v>
      </c>
    </row>
    <row r="364">
      <c r="A364" s="87">
        <v>444030.0</v>
      </c>
      <c r="B364" s="176">
        <f t="array" ref="B364">INDEX('Tracker- Removed 2017'!A:A,match(A364,'Tracker- Removed 2017'!B:B,0))</f>
        <v>42766</v>
      </c>
      <c r="C364" s="159" t="str">
        <f t="array" ref="C364:G364">VLOOKUP(A364,'Tracker- Removed 2017'!B:Q,{2,8,9,11,13},false)</f>
        <v>#N/A</v>
      </c>
      <c r="D364" s="30" t="s">
        <v>538</v>
      </c>
      <c r="E364" s="30" t="s">
        <v>271</v>
      </c>
      <c r="F364" s="30" t="s">
        <v>47</v>
      </c>
      <c r="G364" s="30" t="s">
        <v>47</v>
      </c>
    </row>
    <row r="365">
      <c r="A365" s="87">
        <v>335896.0</v>
      </c>
      <c r="B365" s="176">
        <f t="array" ref="B365">INDEX('Tracker- Removed 2017'!A:A,match(A365,'Tracker- Removed 2017'!B:B,0))</f>
        <v>42766</v>
      </c>
      <c r="C365" s="159" t="str">
        <f t="array" ref="C365:G365">VLOOKUP(A365,'Tracker- Removed 2017'!B:Q,{2,8,9,11,13},false)</f>
        <v>#N/A</v>
      </c>
      <c r="D365" s="30" t="s">
        <v>538</v>
      </c>
      <c r="E365" s="30" t="s">
        <v>3932</v>
      </c>
      <c r="F365" s="30" t="s">
        <v>47</v>
      </c>
      <c r="G365" s="30" t="s">
        <v>47</v>
      </c>
    </row>
    <row r="366">
      <c r="A366" s="87">
        <v>336008.0</v>
      </c>
      <c r="B366" s="176">
        <f t="array" ref="B366">INDEX('Tracker- Removed 2017'!A:A,match(A366,'Tracker- Removed 2017'!B:B,0))</f>
        <v>42766</v>
      </c>
      <c r="C366" s="159" t="str">
        <f t="array" ref="C366:G366">VLOOKUP(A366,'Tracker- Removed 2017'!B:Q,{2,8,9,11,13},false)</f>
        <v>#N/A</v>
      </c>
      <c r="D366" s="30" t="s">
        <v>538</v>
      </c>
      <c r="E366" s="30" t="s">
        <v>127</v>
      </c>
      <c r="F366" s="30" t="s">
        <v>47</v>
      </c>
      <c r="G366" s="30" t="s">
        <v>47</v>
      </c>
    </row>
    <row r="367">
      <c r="A367" s="87">
        <v>500384.0</v>
      </c>
      <c r="B367" s="176">
        <f t="array" ref="B367">INDEX('Tracker- Removed 2017'!A:A,match(A367,'Tracker- Removed 2017'!B:B,0))</f>
        <v>42766</v>
      </c>
      <c r="C367" s="159" t="str">
        <f t="array" ref="C367:G367">VLOOKUP(A367,'Tracker- Removed 2017'!B:Q,{2,8,9,11,13},false)</f>
        <v>#N/A</v>
      </c>
      <c r="D367" s="30" t="s">
        <v>538</v>
      </c>
      <c r="E367" s="30" t="s">
        <v>127</v>
      </c>
      <c r="F367" s="30" t="s">
        <v>47</v>
      </c>
      <c r="G367" s="30" t="s">
        <v>47</v>
      </c>
    </row>
    <row r="368">
      <c r="A368" s="87">
        <v>497122.0</v>
      </c>
      <c r="B368" s="176">
        <f t="array" ref="B368">INDEX('Tracker- Removed 2017'!A:A,match(A368,'Tracker- Removed 2017'!B:B,0))</f>
        <v>42766</v>
      </c>
      <c r="C368" s="159" t="str">
        <f t="array" ref="C368:G368">VLOOKUP(A368,'Tracker- Removed 2017'!B:Q,{2,8,9,11,13},false)</f>
        <v>#N/A</v>
      </c>
      <c r="D368" s="30" t="s">
        <v>538</v>
      </c>
      <c r="E368" s="30" t="s">
        <v>127</v>
      </c>
      <c r="F368" s="30" t="s">
        <v>47</v>
      </c>
      <c r="G368" s="30" t="s">
        <v>47</v>
      </c>
    </row>
    <row r="369">
      <c r="A369" s="87">
        <v>385508.0</v>
      </c>
      <c r="B369" s="176">
        <f t="array" ref="B369">INDEX('Tracker- Removed 2017'!A:A,match(A369,'Tracker- Removed 2017'!B:B,0))</f>
        <v>42766</v>
      </c>
      <c r="C369" s="159" t="str">
        <f t="array" ref="C369:G369">VLOOKUP(A369,'Tracker- Removed 2017'!B:Q,{2,8,9,11,13},false)</f>
        <v>#N/A</v>
      </c>
      <c r="D369" s="30" t="s">
        <v>83</v>
      </c>
      <c r="E369" s="30" t="s">
        <v>3926</v>
      </c>
      <c r="F369" s="30" t="s">
        <v>47</v>
      </c>
      <c r="G369" s="30" t="s">
        <v>47</v>
      </c>
    </row>
    <row r="370">
      <c r="A370" s="87">
        <v>387748.0</v>
      </c>
      <c r="B370" s="176">
        <f t="array" ref="B370">INDEX('Tracker- Removed 2017'!A:A,match(A370,'Tracker- Removed 2017'!B:B,0))</f>
        <v>42766</v>
      </c>
      <c r="C370" s="159" t="str">
        <f t="array" ref="C370:G370">VLOOKUP(A370,'Tracker- Removed 2017'!B:Q,{2,8,9,11,13},false)</f>
        <v>#N/A</v>
      </c>
      <c r="D370" s="30" t="s">
        <v>83</v>
      </c>
      <c r="E370" s="30" t="s">
        <v>3926</v>
      </c>
      <c r="F370" s="30" t="s">
        <v>47</v>
      </c>
      <c r="G370" s="30" t="s">
        <v>47</v>
      </c>
    </row>
    <row r="371">
      <c r="A371" s="87">
        <v>290054.0</v>
      </c>
      <c r="B371" s="176">
        <f t="array" ref="B371">INDEX('Tracker- Removed 2017'!A:A,match(A371,'Tracker- Removed 2017'!B:B,0))</f>
        <v>42766</v>
      </c>
      <c r="C371" s="159" t="str">
        <f t="array" ref="C371:G371">VLOOKUP(A371,'Tracker- Removed 2017'!B:Q,{2,8,9,11,13},false)</f>
        <v>#N/A</v>
      </c>
      <c r="D371" s="30" t="s">
        <v>83</v>
      </c>
      <c r="E371" s="30" t="s">
        <v>3926</v>
      </c>
      <c r="F371" s="30" t="s">
        <v>47</v>
      </c>
      <c r="G371" s="30" t="s">
        <v>47</v>
      </c>
    </row>
    <row r="372">
      <c r="A372" s="87">
        <v>490480.0</v>
      </c>
      <c r="B372" s="176">
        <f t="array" ref="B372">INDEX('Tracker- Removed 2017'!A:A,match(A372,'Tracker- Removed 2017'!B:B,0))</f>
        <v>42766</v>
      </c>
      <c r="C372" s="159" t="str">
        <f t="array" ref="C372:G372">VLOOKUP(A372,'Tracker- Removed 2017'!B:Q,{2,8,9,11,13},false)</f>
        <v>#N/A</v>
      </c>
      <c r="D372" s="30" t="s">
        <v>83</v>
      </c>
      <c r="E372" s="30" t="s">
        <v>3926</v>
      </c>
      <c r="F372" s="30" t="s">
        <v>47</v>
      </c>
      <c r="G372" s="30" t="s">
        <v>47</v>
      </c>
    </row>
    <row r="373">
      <c r="A373" s="87">
        <v>490492.0</v>
      </c>
      <c r="B373" s="176">
        <f t="array" ref="B373">INDEX('Tracker- Removed 2017'!A:A,match(A373,'Tracker- Removed 2017'!B:B,0))</f>
        <v>42766</v>
      </c>
      <c r="C373" s="159" t="str">
        <f t="array" ref="C373:G373">VLOOKUP(A373,'Tracker- Removed 2017'!B:Q,{2,8,9,11,13},false)</f>
        <v>#N/A</v>
      </c>
      <c r="D373" s="30" t="s">
        <v>83</v>
      </c>
      <c r="E373" s="30" t="s">
        <v>3926</v>
      </c>
      <c r="F373" s="30" t="s">
        <v>47</v>
      </c>
      <c r="G373" s="30" t="s">
        <v>47</v>
      </c>
    </row>
    <row r="374">
      <c r="A374" s="87">
        <v>394796.0</v>
      </c>
      <c r="B374" s="176">
        <f t="array" ref="B374">INDEX('Tracker- Removed 2017'!A:A,match(A374,'Tracker- Removed 2017'!B:B,0))</f>
        <v>42766</v>
      </c>
      <c r="C374" s="159" t="str">
        <f t="array" ref="C374:G374">VLOOKUP(A374,'Tracker- Removed 2017'!B:Q,{2,8,9,11,13},false)</f>
        <v>#N/A</v>
      </c>
      <c r="D374" s="30" t="s">
        <v>83</v>
      </c>
      <c r="E374" s="30" t="s">
        <v>147</v>
      </c>
      <c r="F374" s="30" t="s">
        <v>47</v>
      </c>
      <c r="G374" s="30" t="s">
        <v>47</v>
      </c>
    </row>
    <row r="375">
      <c r="A375" s="87">
        <v>289412.0</v>
      </c>
      <c r="B375" s="176">
        <f t="array" ref="B375">INDEX('Tracker- Removed 2017'!A:A,match(A375,'Tracker- Removed 2017'!B:B,0))</f>
        <v>42766</v>
      </c>
      <c r="C375" s="159" t="str">
        <f t="array" ref="C375:G375">VLOOKUP(A375,'Tracker- Removed 2017'!B:Q,{2,8,9,11,13},false)</f>
        <v>#N/A</v>
      </c>
      <c r="D375" s="30" t="s">
        <v>83</v>
      </c>
      <c r="E375" s="30" t="s">
        <v>147</v>
      </c>
      <c r="F375" s="30" t="s">
        <v>47</v>
      </c>
      <c r="G375" s="30" t="s">
        <v>47</v>
      </c>
    </row>
    <row r="376">
      <c r="A376" s="87">
        <v>490458.0</v>
      </c>
      <c r="B376" s="176">
        <f t="array" ref="B376">INDEX('Tracker- Removed 2017'!A:A,match(A376,'Tracker- Removed 2017'!B:B,0))</f>
        <v>42766</v>
      </c>
      <c r="C376" s="159" t="str">
        <f t="array" ref="C376:G376">VLOOKUP(A376,'Tracker- Removed 2017'!B:Q,{2,8,9,11,13},false)</f>
        <v>#N/A</v>
      </c>
      <c r="D376" s="30" t="s">
        <v>83</v>
      </c>
      <c r="E376" s="30" t="s">
        <v>147</v>
      </c>
      <c r="F376" s="30" t="s">
        <v>47</v>
      </c>
      <c r="G376" s="30" t="s">
        <v>47</v>
      </c>
    </row>
    <row r="377">
      <c r="A377" s="87">
        <v>490466.0</v>
      </c>
      <c r="B377" s="176">
        <f t="array" ref="B377">INDEX('Tracker- Removed 2017'!A:A,match(A377,'Tracker- Removed 2017'!B:B,0))</f>
        <v>42766</v>
      </c>
      <c r="C377" s="159" t="str">
        <f t="array" ref="C377:G377">VLOOKUP(A377,'Tracker- Removed 2017'!B:Q,{2,8,9,11,13},false)</f>
        <v>#N/A</v>
      </c>
      <c r="D377" s="30" t="s">
        <v>83</v>
      </c>
      <c r="E377" s="30" t="s">
        <v>147</v>
      </c>
      <c r="F377" s="30" t="s">
        <v>47</v>
      </c>
      <c r="G377" s="30" t="s">
        <v>47</v>
      </c>
    </row>
    <row r="378">
      <c r="A378" s="87">
        <v>489506.0</v>
      </c>
      <c r="B378" s="176">
        <f t="array" ref="B378">INDEX('Tracker- Removed 2017'!A:A,match(A378,'Tracker- Removed 2017'!B:B,0))</f>
        <v>42766</v>
      </c>
      <c r="C378" s="159" t="str">
        <f t="array" ref="C378:G378">VLOOKUP(A378,'Tracker- Removed 2017'!B:Q,{2,8,9,11,13},false)</f>
        <v>#N/A</v>
      </c>
      <c r="D378" s="30" t="s">
        <v>83</v>
      </c>
      <c r="E378" s="30" t="s">
        <v>147</v>
      </c>
      <c r="F378" s="30" t="s">
        <v>47</v>
      </c>
      <c r="G378" s="30" t="s">
        <v>47</v>
      </c>
    </row>
    <row r="379">
      <c r="A379" s="87">
        <v>261936.0</v>
      </c>
      <c r="B379" s="176">
        <f t="array" ref="B379">INDEX('Tracker- Removed 2017'!A:A,match(A379,'Tracker- Removed 2017'!B:B,0))</f>
        <v>42766</v>
      </c>
      <c r="C379" s="159" t="str">
        <f t="array" ref="C379:G379">VLOOKUP(A379,'Tracker- Removed 2017'!B:Q,{2,8,9,11,13},false)</f>
        <v>#N/A</v>
      </c>
      <c r="D379" s="30" t="s">
        <v>83</v>
      </c>
      <c r="E379" s="30" t="s">
        <v>147</v>
      </c>
      <c r="F379" s="30" t="s">
        <v>47</v>
      </c>
      <c r="G379" s="30" t="s">
        <v>47</v>
      </c>
    </row>
    <row r="380">
      <c r="A380" s="87">
        <v>359806.0</v>
      </c>
      <c r="B380" s="176">
        <f t="array" ref="B380">INDEX('Tracker- Removed 2017'!A:A,match(A380,'Tracker- Removed 2017'!B:B,0))</f>
        <v>42766</v>
      </c>
      <c r="C380" s="159" t="str">
        <f t="array" ref="C380:G380">VLOOKUP(A380,'Tracker- Removed 2017'!B:Q,{2,8,9,11,13},false)</f>
        <v>#N/A</v>
      </c>
      <c r="D380" s="30" t="s">
        <v>83</v>
      </c>
      <c r="E380" s="30" t="s">
        <v>147</v>
      </c>
      <c r="F380" s="30" t="s">
        <v>47</v>
      </c>
      <c r="G380" s="30" t="s">
        <v>47</v>
      </c>
    </row>
    <row r="381">
      <c r="A381" s="87">
        <v>293954.0</v>
      </c>
      <c r="B381" s="176">
        <f t="array" ref="B381">INDEX('Tracker- Removed 2017'!A:A,match(A381,'Tracker- Removed 2017'!B:B,0))</f>
        <v>42766</v>
      </c>
      <c r="C381" s="159" t="str">
        <f t="array" ref="C381:G381">VLOOKUP(A381,'Tracker- Removed 2017'!B:Q,{2,8,9,11,13},false)</f>
        <v>#N/A</v>
      </c>
      <c r="D381" s="30" t="s">
        <v>83</v>
      </c>
      <c r="E381" s="30" t="s">
        <v>147</v>
      </c>
      <c r="F381" s="30" t="s">
        <v>47</v>
      </c>
      <c r="G381" s="30" t="s">
        <v>47</v>
      </c>
    </row>
    <row r="382">
      <c r="A382" s="87">
        <v>279348.0</v>
      </c>
      <c r="B382" s="176">
        <f t="array" ref="B382">INDEX('Tracker- Removed 2017'!A:A,match(A382,'Tracker- Removed 2017'!B:B,0))</f>
        <v>42766</v>
      </c>
      <c r="C382" s="159" t="str">
        <f t="array" ref="C382:G382">VLOOKUP(A382,'Tracker- Removed 2017'!B:Q,{2,8,9,11,13},false)</f>
        <v>#N/A</v>
      </c>
      <c r="D382" s="30" t="s">
        <v>83</v>
      </c>
      <c r="E382" s="30" t="s">
        <v>147</v>
      </c>
      <c r="F382" s="30" t="s">
        <v>47</v>
      </c>
      <c r="G382" s="30" t="s">
        <v>47</v>
      </c>
    </row>
    <row r="383">
      <c r="A383" s="87">
        <v>280014.0</v>
      </c>
      <c r="B383" s="176">
        <f t="array" ref="B383">INDEX('Tracker- Removed 2017'!A:A,match(A383,'Tracker- Removed 2017'!B:B,0))</f>
        <v>42766</v>
      </c>
      <c r="C383" s="159" t="str">
        <f t="array" ref="C383:G383">VLOOKUP(A383,'Tracker- Removed 2017'!B:Q,{2,8,9,11,13},false)</f>
        <v>#N/A</v>
      </c>
      <c r="D383" s="30" t="s">
        <v>83</v>
      </c>
      <c r="E383" s="30" t="s">
        <v>147</v>
      </c>
      <c r="F383" s="30" t="s">
        <v>47</v>
      </c>
      <c r="G383" s="30" t="s">
        <v>47</v>
      </c>
    </row>
    <row r="384">
      <c r="A384" s="87">
        <v>429968.0</v>
      </c>
      <c r="B384" s="176">
        <f t="array" ref="B384">INDEX('Tracker- Removed 2017'!A:A,match(A384,'Tracker- Removed 2017'!B:B,0))</f>
        <v>42766</v>
      </c>
      <c r="C384" s="159" t="str">
        <f t="array" ref="C384:G384">VLOOKUP(A384,'Tracker- Removed 2017'!B:Q,{2,8,9,11,13},false)</f>
        <v>#N/A</v>
      </c>
      <c r="D384" s="30" t="s">
        <v>83</v>
      </c>
      <c r="E384" s="30" t="s">
        <v>147</v>
      </c>
      <c r="F384" s="30" t="s">
        <v>47</v>
      </c>
      <c r="G384" s="30" t="s">
        <v>47</v>
      </c>
    </row>
    <row r="385">
      <c r="A385" s="87">
        <v>429958.0</v>
      </c>
      <c r="B385" s="176">
        <f t="array" ref="B385">INDEX('Tracker- Removed 2017'!A:A,match(A385,'Tracker- Removed 2017'!B:B,0))</f>
        <v>42766</v>
      </c>
      <c r="C385" s="159" t="str">
        <f t="array" ref="C385:G385">VLOOKUP(A385,'Tracker- Removed 2017'!B:Q,{2,8,9,11,13},false)</f>
        <v>#N/A</v>
      </c>
      <c r="D385" s="30" t="s">
        <v>83</v>
      </c>
      <c r="E385" s="30" t="s">
        <v>147</v>
      </c>
      <c r="F385" s="30" t="s">
        <v>47</v>
      </c>
      <c r="G385" s="30" t="s">
        <v>47</v>
      </c>
    </row>
    <row r="386">
      <c r="A386" s="87">
        <v>429988.0</v>
      </c>
      <c r="B386" s="176">
        <f t="array" ref="B386">INDEX('Tracker- Removed 2017'!A:A,match(A386,'Tracker- Removed 2017'!B:B,0))</f>
        <v>42766</v>
      </c>
      <c r="C386" s="159" t="str">
        <f t="array" ref="C386:G386">VLOOKUP(A386,'Tracker- Removed 2017'!B:Q,{2,8,9,11,13},false)</f>
        <v>#N/A</v>
      </c>
      <c r="D386" s="30" t="s">
        <v>83</v>
      </c>
      <c r="E386" s="30" t="s">
        <v>147</v>
      </c>
      <c r="F386" s="30" t="s">
        <v>47</v>
      </c>
      <c r="G386" s="30" t="s">
        <v>47</v>
      </c>
    </row>
    <row r="387">
      <c r="A387" s="87">
        <v>395634.0</v>
      </c>
      <c r="B387" s="176">
        <f t="array" ref="B387">INDEX('Tracker- Removed 2017'!A:A,match(A387,'Tracker- Removed 2017'!B:B,0))</f>
        <v>42766</v>
      </c>
      <c r="C387" s="159" t="str">
        <f t="array" ref="C387:G387">VLOOKUP(A387,'Tracker- Removed 2017'!B:Q,{2,8,9,11,13},false)</f>
        <v>#N/A</v>
      </c>
      <c r="D387" s="30" t="s">
        <v>83</v>
      </c>
      <c r="E387" s="30" t="s">
        <v>147</v>
      </c>
      <c r="F387" s="30" t="s">
        <v>47</v>
      </c>
      <c r="G387" s="30" t="s">
        <v>47</v>
      </c>
    </row>
    <row r="388">
      <c r="A388" s="87">
        <v>394762.0</v>
      </c>
      <c r="B388" s="176">
        <f t="array" ref="B388">INDEX('Tracker- Removed 2017'!A:A,match(A388,'Tracker- Removed 2017'!B:B,0))</f>
        <v>42766</v>
      </c>
      <c r="C388" s="159" t="str">
        <f t="array" ref="C388:G388">VLOOKUP(A388,'Tracker- Removed 2017'!B:Q,{2,8,9,11,13},false)</f>
        <v>#N/A</v>
      </c>
      <c r="D388" s="30" t="s">
        <v>83</v>
      </c>
      <c r="E388" s="30" t="s">
        <v>3934</v>
      </c>
      <c r="F388" s="30" t="s">
        <v>47</v>
      </c>
      <c r="G388" s="30" t="s">
        <v>47</v>
      </c>
    </row>
    <row r="389">
      <c r="A389" s="87">
        <v>394704.0</v>
      </c>
      <c r="B389" s="176">
        <f t="array" ref="B389">INDEX('Tracker- Removed 2017'!A:A,match(A389,'Tracker- Removed 2017'!B:B,0))</f>
        <v>42766</v>
      </c>
      <c r="C389" s="159" t="str">
        <f t="array" ref="C389:G389">VLOOKUP(A389,'Tracker- Removed 2017'!B:Q,{2,8,9,11,13},false)</f>
        <v>#N/A</v>
      </c>
      <c r="D389" s="30" t="s">
        <v>83</v>
      </c>
      <c r="E389" s="30" t="s">
        <v>3934</v>
      </c>
      <c r="F389" s="30" t="s">
        <v>47</v>
      </c>
      <c r="G389" s="30" t="s">
        <v>47</v>
      </c>
    </row>
    <row r="390">
      <c r="A390" s="87">
        <v>394974.0</v>
      </c>
      <c r="B390" s="176">
        <f t="array" ref="B390">INDEX('Tracker- Removed 2017'!A:A,match(A390,'Tracker- Removed 2017'!B:B,0))</f>
        <v>42766</v>
      </c>
      <c r="C390" s="159" t="str">
        <f t="array" ref="C390:G390">VLOOKUP(A390,'Tracker- Removed 2017'!B:Q,{2,8,9,11,13},false)</f>
        <v>#N/A</v>
      </c>
      <c r="D390" s="30" t="s">
        <v>83</v>
      </c>
      <c r="E390" s="30" t="s">
        <v>3934</v>
      </c>
      <c r="F390" s="30" t="s">
        <v>47</v>
      </c>
      <c r="G390" s="30" t="s">
        <v>47</v>
      </c>
    </row>
    <row r="391">
      <c r="A391" s="87">
        <v>394860.0</v>
      </c>
      <c r="B391" s="176">
        <f t="array" ref="B391">INDEX('Tracker- Removed 2017'!A:A,match(A391,'Tracker- Removed 2017'!B:B,0))</f>
        <v>42766</v>
      </c>
      <c r="C391" s="159" t="str">
        <f t="array" ref="C391:G391">VLOOKUP(A391,'Tracker- Removed 2017'!B:Q,{2,8,9,11,13},false)</f>
        <v>#N/A</v>
      </c>
      <c r="D391" s="30" t="s">
        <v>83</v>
      </c>
      <c r="E391" s="30" t="s">
        <v>3934</v>
      </c>
      <c r="F391" s="30" t="s">
        <v>47</v>
      </c>
      <c r="G391" s="30" t="s">
        <v>47</v>
      </c>
    </row>
    <row r="392">
      <c r="A392" s="87">
        <v>394736.0</v>
      </c>
      <c r="B392" s="176">
        <f t="array" ref="B392">INDEX('Tracker- Removed 2017'!A:A,match(A392,'Tracker- Removed 2017'!B:B,0))</f>
        <v>42766</v>
      </c>
      <c r="C392" s="159" t="str">
        <f t="array" ref="C392:G392">VLOOKUP(A392,'Tracker- Removed 2017'!B:Q,{2,8,9,11,13},false)</f>
        <v>#N/A</v>
      </c>
      <c r="D392" s="30" t="s">
        <v>83</v>
      </c>
      <c r="E392" s="30" t="s">
        <v>3934</v>
      </c>
      <c r="F392" s="30" t="s">
        <v>47</v>
      </c>
      <c r="G392" s="30" t="s">
        <v>47</v>
      </c>
    </row>
    <row r="393">
      <c r="A393" s="87">
        <v>430004.0</v>
      </c>
      <c r="B393" s="176">
        <f t="array" ref="B393">INDEX('Tracker- Removed 2017'!A:A,match(A393,'Tracker- Removed 2017'!B:B,0))</f>
        <v>42766</v>
      </c>
      <c r="C393" s="159" t="str">
        <f t="array" ref="C393:G393">VLOOKUP(A393,'Tracker- Removed 2017'!B:Q,{2,8,9,11,13},false)</f>
        <v>#N/A</v>
      </c>
      <c r="D393" s="30" t="s">
        <v>83</v>
      </c>
      <c r="E393" s="30" t="s">
        <v>3933</v>
      </c>
      <c r="F393" s="30" t="s">
        <v>47</v>
      </c>
      <c r="G393" s="30" t="s">
        <v>47</v>
      </c>
    </row>
    <row r="394">
      <c r="A394" s="87">
        <v>429994.0</v>
      </c>
      <c r="B394" s="176">
        <f t="array" ref="B394">INDEX('Tracker- Removed 2017'!A:A,match(A394,'Tracker- Removed 2017'!B:B,0))</f>
        <v>42766</v>
      </c>
      <c r="C394" s="159" t="str">
        <f t="array" ref="C394:G394">VLOOKUP(A394,'Tracker- Removed 2017'!B:Q,{2,8,9,11,13},false)</f>
        <v>#N/A</v>
      </c>
      <c r="D394" s="30" t="s">
        <v>83</v>
      </c>
      <c r="E394" s="30" t="s">
        <v>3933</v>
      </c>
      <c r="F394" s="30" t="s">
        <v>47</v>
      </c>
      <c r="G394" s="30" t="s">
        <v>47</v>
      </c>
    </row>
    <row r="395">
      <c r="A395" s="87">
        <v>395018.0</v>
      </c>
      <c r="B395" s="176">
        <f t="array" ref="B395">INDEX('Tracker- Removed 2017'!A:A,match(A395,'Tracker- Removed 2017'!B:B,0))</f>
        <v>42766</v>
      </c>
      <c r="C395" s="159" t="str">
        <f t="array" ref="C395:G395">VLOOKUP(A395,'Tracker- Removed 2017'!B:Q,{2,8,9,11,13},false)</f>
        <v>#N/A</v>
      </c>
      <c r="D395" s="30" t="s">
        <v>83</v>
      </c>
      <c r="E395" s="30" t="s">
        <v>3933</v>
      </c>
      <c r="F395" s="30" t="s">
        <v>47</v>
      </c>
      <c r="G395" s="30" t="s">
        <v>47</v>
      </c>
    </row>
    <row r="396">
      <c r="A396" s="87">
        <v>278671.0</v>
      </c>
      <c r="B396" s="176">
        <f t="array" ref="B396">INDEX('Tracker- Removed 2017'!A:A,match(A396,'Tracker- Removed 2017'!B:B,0))</f>
        <v>42766</v>
      </c>
      <c r="C396" s="159" t="str">
        <f t="array" ref="C396:G396">VLOOKUP(A396,'Tracker- Removed 2017'!B:Q,{2,8,9,11,13},false)</f>
        <v>#N/A</v>
      </c>
      <c r="D396" s="30" t="s">
        <v>83</v>
      </c>
      <c r="E396" s="30" t="s">
        <v>3933</v>
      </c>
      <c r="F396" s="30" t="s">
        <v>47</v>
      </c>
      <c r="G396" s="30" t="s">
        <v>47</v>
      </c>
    </row>
    <row r="397">
      <c r="A397" s="87">
        <v>429746.0</v>
      </c>
      <c r="B397" s="176">
        <f t="array" ref="B397">INDEX('Tracker- Removed 2017'!A:A,match(A397,'Tracker- Removed 2017'!B:B,0))</f>
        <v>42766</v>
      </c>
      <c r="C397" s="159" t="str">
        <f t="array" ref="C397:G397">VLOOKUP(A397,'Tracker- Removed 2017'!B:Q,{2,8,9,11,13},false)</f>
        <v>#N/A</v>
      </c>
      <c r="D397" s="30" t="s">
        <v>83</v>
      </c>
      <c r="E397" s="30" t="s">
        <v>330</v>
      </c>
      <c r="F397" s="30" t="s">
        <v>47</v>
      </c>
      <c r="G397" s="30" t="s">
        <v>47</v>
      </c>
    </row>
    <row r="398">
      <c r="A398" s="23">
        <v>278611.0</v>
      </c>
      <c r="B398" s="176">
        <f t="array" ref="B398">INDEX('Tracker- Removed 2017'!A:A,match(A398,'Tracker- Removed 2017'!B:B,0))</f>
        <v>42766</v>
      </c>
      <c r="C398" s="159" t="str">
        <f t="array" ref="C398:G398">VLOOKUP(A398,'Tracker- Removed 2017'!B:Q,{2,8,9,11,13},false)</f>
        <v>#N/A</v>
      </c>
      <c r="D398" s="30" t="s">
        <v>83</v>
      </c>
      <c r="E398" s="30" t="s">
        <v>330</v>
      </c>
      <c r="F398" s="30" t="s">
        <v>47</v>
      </c>
      <c r="G398" s="30" t="s">
        <v>47</v>
      </c>
    </row>
    <row r="399">
      <c r="A399" s="87">
        <v>430048.0</v>
      </c>
      <c r="B399" s="176">
        <f t="array" ref="B399">INDEX('Tracker- Removed 2017'!A:A,match(A399,'Tracker- Removed 2017'!B:B,0))</f>
        <v>42766</v>
      </c>
      <c r="C399" s="159" t="str">
        <f t="array" ref="C399:G399">VLOOKUP(A399,'Tracker- Removed 2017'!B:Q,{2,8,9,11,13},false)</f>
        <v>#N/A</v>
      </c>
      <c r="D399" s="30" t="s">
        <v>83</v>
      </c>
      <c r="E399" s="30" t="s">
        <v>330</v>
      </c>
      <c r="F399" s="30" t="s">
        <v>47</v>
      </c>
      <c r="G399" s="30" t="s">
        <v>47</v>
      </c>
    </row>
    <row r="400">
      <c r="A400" s="87">
        <v>429858.0</v>
      </c>
      <c r="B400" s="176">
        <f t="array" ref="B400">INDEX('Tracker- Removed 2017'!A:A,match(A400,'Tracker- Removed 2017'!B:B,0))</f>
        <v>42766</v>
      </c>
      <c r="C400" s="159" t="str">
        <f t="array" ref="C400:G400">VLOOKUP(A400,'Tracker- Removed 2017'!B:Q,{2,8,9,11,13},false)</f>
        <v>#N/A</v>
      </c>
      <c r="D400" s="30" t="s">
        <v>83</v>
      </c>
      <c r="E400" s="30" t="s">
        <v>330</v>
      </c>
      <c r="F400" s="30" t="s">
        <v>47</v>
      </c>
      <c r="G400" s="30" t="s">
        <v>47</v>
      </c>
    </row>
    <row r="401">
      <c r="A401" s="87">
        <v>429772.0</v>
      </c>
      <c r="B401" s="176">
        <f t="array" ref="B401">INDEX('Tracker- Removed 2017'!A:A,match(A401,'Tracker- Removed 2017'!B:B,0))</f>
        <v>42766</v>
      </c>
      <c r="C401" s="159" t="str">
        <f t="array" ref="C401:G401">VLOOKUP(A401,'Tracker- Removed 2017'!B:Q,{2,8,9,11,13},false)</f>
        <v>#N/A</v>
      </c>
      <c r="D401" s="30" t="s">
        <v>83</v>
      </c>
      <c r="E401" s="30" t="s">
        <v>330</v>
      </c>
      <c r="F401" s="30" t="s">
        <v>47</v>
      </c>
      <c r="G401" s="30" t="s">
        <v>47</v>
      </c>
    </row>
    <row r="402">
      <c r="A402" s="87">
        <v>429896.0</v>
      </c>
      <c r="B402" s="176">
        <f t="array" ref="B402">INDEX('Tracker- Removed 2017'!A:A,match(A402,'Tracker- Removed 2017'!B:B,0))</f>
        <v>42766</v>
      </c>
      <c r="C402" s="159" t="str">
        <f t="array" ref="C402:G402">VLOOKUP(A402,'Tracker- Removed 2017'!B:Q,{2,8,9,11,13},false)</f>
        <v>#N/A</v>
      </c>
      <c r="D402" s="30" t="s">
        <v>83</v>
      </c>
      <c r="E402" s="30" t="s">
        <v>330</v>
      </c>
      <c r="F402" s="30" t="s">
        <v>47</v>
      </c>
      <c r="G402" s="30" t="s">
        <v>47</v>
      </c>
    </row>
    <row r="403">
      <c r="A403" s="87">
        <v>388414.0</v>
      </c>
      <c r="B403" s="176">
        <f t="array" ref="B403">INDEX('Tracker- Removed 2017'!A:A,match(A403,'Tracker- Removed 2017'!B:B,0))</f>
        <v>42766</v>
      </c>
      <c r="C403" s="159" t="str">
        <f t="array" ref="C403:G403">VLOOKUP(A403,'Tracker- Removed 2017'!B:Q,{2,8,9,11,13},false)</f>
        <v>#N/A</v>
      </c>
      <c r="D403" s="30" t="s">
        <v>83</v>
      </c>
      <c r="E403" s="30" t="s">
        <v>153</v>
      </c>
      <c r="F403" s="30" t="s">
        <v>47</v>
      </c>
      <c r="G403" s="30" t="s">
        <v>47</v>
      </c>
    </row>
    <row r="404">
      <c r="A404" s="87">
        <v>389326.0</v>
      </c>
      <c r="B404" s="176">
        <f t="array" ref="B404">INDEX('Tracker- Removed 2017'!A:A,match(A404,'Tracker- Removed 2017'!B:B,0))</f>
        <v>42766</v>
      </c>
      <c r="C404" s="159" t="str">
        <f t="array" ref="C404:G404">VLOOKUP(A404,'Tracker- Removed 2017'!B:Q,{2,8,9,11,13},false)</f>
        <v>#N/A</v>
      </c>
      <c r="D404" s="30" t="s">
        <v>83</v>
      </c>
      <c r="E404" s="30" t="s">
        <v>153</v>
      </c>
      <c r="F404" s="30" t="s">
        <v>47</v>
      </c>
      <c r="G404" s="30" t="s">
        <v>47</v>
      </c>
    </row>
    <row r="405">
      <c r="A405" s="87">
        <v>382998.0</v>
      </c>
      <c r="B405" s="176">
        <f t="array" ref="B405">INDEX('Tracker- Removed 2017'!A:A,match(A405,'Tracker- Removed 2017'!B:B,0))</f>
        <v>42766</v>
      </c>
      <c r="C405" s="159" t="str">
        <f t="array" ref="C405:G405">VLOOKUP(A405,'Tracker- Removed 2017'!B:Q,{2,8,9,11,13},false)</f>
        <v>#N/A</v>
      </c>
      <c r="D405" s="30" t="s">
        <v>83</v>
      </c>
      <c r="E405" s="30" t="s">
        <v>153</v>
      </c>
      <c r="F405" s="30" t="s">
        <v>47</v>
      </c>
      <c r="G405" s="30" t="s">
        <v>47</v>
      </c>
    </row>
    <row r="406">
      <c r="A406" s="87">
        <v>388670.0</v>
      </c>
      <c r="B406" s="176">
        <f t="array" ref="B406">INDEX('Tracker- Removed 2017'!A:A,match(A406,'Tracker- Removed 2017'!B:B,0))</f>
        <v>42766</v>
      </c>
      <c r="C406" s="159" t="str">
        <f t="array" ref="C406:G406">VLOOKUP(A406,'Tracker- Removed 2017'!B:Q,{2,8,9,11,13},false)</f>
        <v>#N/A</v>
      </c>
      <c r="D406" s="30" t="s">
        <v>83</v>
      </c>
      <c r="E406" s="30" t="s">
        <v>153</v>
      </c>
      <c r="F406" s="30" t="s">
        <v>47</v>
      </c>
      <c r="G406" s="30" t="s">
        <v>47</v>
      </c>
    </row>
    <row r="407">
      <c r="A407" s="87">
        <v>293786.0</v>
      </c>
      <c r="B407" s="176">
        <f t="array" ref="B407">INDEX('Tracker- Removed 2017'!A:A,match(A407,'Tracker- Removed 2017'!B:B,0))</f>
        <v>42766</v>
      </c>
      <c r="C407" s="159" t="str">
        <f t="array" ref="C407:G407">VLOOKUP(A407,'Tracker- Removed 2017'!B:Q,{2,8,9,11,13},false)</f>
        <v>#N/A</v>
      </c>
      <c r="D407" s="30" t="s">
        <v>83</v>
      </c>
      <c r="E407" s="30" t="s">
        <v>153</v>
      </c>
      <c r="F407" s="30" t="s">
        <v>47</v>
      </c>
      <c r="G407" s="30" t="s">
        <v>47</v>
      </c>
    </row>
    <row r="408">
      <c r="A408" s="87">
        <v>389374.0</v>
      </c>
      <c r="B408" s="176">
        <f t="array" ref="B408">INDEX('Tracker- Removed 2017'!A:A,match(A408,'Tracker- Removed 2017'!B:B,0))</f>
        <v>42766</v>
      </c>
      <c r="C408" s="159" t="str">
        <f t="array" ref="C408:G408">VLOOKUP(A408,'Tracker- Removed 2017'!B:Q,{2,8,9,11,13},false)</f>
        <v>#N/A</v>
      </c>
      <c r="D408" s="30" t="s">
        <v>83</v>
      </c>
      <c r="E408" s="30" t="s">
        <v>153</v>
      </c>
      <c r="F408" s="30" t="s">
        <v>47</v>
      </c>
      <c r="G408" s="30" t="s">
        <v>47</v>
      </c>
    </row>
    <row r="409">
      <c r="A409" s="23">
        <v>389402.0</v>
      </c>
      <c r="B409" s="176">
        <f t="array" ref="B409">INDEX('Tracker- Removed 2017'!A:A,match(A409,'Tracker- Removed 2017'!B:B,0))</f>
        <v>42766</v>
      </c>
      <c r="C409" s="159" t="str">
        <f t="array" ref="C409:G409">VLOOKUP(A409,'Tracker- Removed 2017'!B:Q,{2,8,9,11,13},false)</f>
        <v>#N/A</v>
      </c>
      <c r="D409" s="30" t="s">
        <v>83</v>
      </c>
      <c r="E409" s="30" t="s">
        <v>153</v>
      </c>
      <c r="F409" s="30" t="s">
        <v>47</v>
      </c>
      <c r="G409" s="30" t="s">
        <v>47</v>
      </c>
    </row>
    <row r="410">
      <c r="A410" s="198">
        <v>388614.0</v>
      </c>
      <c r="B410" s="176">
        <f t="array" ref="B410">INDEX('Tracker- Removed 2017'!A:A,match(A410,'Tracker- Removed 2017'!B:B,0))</f>
        <v>42766</v>
      </c>
      <c r="C410" s="159" t="str">
        <f t="array" ref="C410:G410">VLOOKUP(A410,'Tracker- Removed 2017'!B:Q,{2,8,9,11,13},false)</f>
        <v>#N/A</v>
      </c>
      <c r="D410" s="190" t="s">
        <v>83</v>
      </c>
      <c r="E410" s="190" t="s">
        <v>153</v>
      </c>
      <c r="F410" s="30" t="s">
        <v>47</v>
      </c>
      <c r="G410" s="30" t="s">
        <v>47</v>
      </c>
    </row>
    <row r="411">
      <c r="A411" s="198">
        <v>626296.0</v>
      </c>
      <c r="B411" s="176">
        <f t="array" ref="B411">INDEX('Tracker- Removed 2017'!A:A,match(A411,'Tracker- Removed 2017'!B:B,0))</f>
        <v>42766</v>
      </c>
      <c r="C411" s="159" t="str">
        <f t="array" ref="C411:G411">VLOOKUP(A411,'Tracker- Removed 2017'!B:Q,{2,8,9,11,13},false)</f>
        <v>#N/A</v>
      </c>
      <c r="D411" s="191" t="s">
        <v>3915</v>
      </c>
      <c r="E411" s="191" t="s">
        <v>261</v>
      </c>
      <c r="F411" s="30" t="s">
        <v>47</v>
      </c>
      <c r="G411" s="30" t="s">
        <v>47</v>
      </c>
    </row>
    <row r="412">
      <c r="A412" s="198">
        <v>703126.0</v>
      </c>
      <c r="B412" s="176">
        <f t="array" ref="B412">INDEX('Tracker- Removed 2017'!A:A,match(A412,'Tracker- Removed 2017'!B:B,0))</f>
        <v>42741</v>
      </c>
      <c r="C412" s="159" t="str">
        <f t="array" ref="C412:G412">VLOOKUP(A412,'Tracker- Removed 2017'!B:Q,{2,8,9,11,13},false)</f>
        <v>#N/A</v>
      </c>
      <c r="D412" s="30" t="s">
        <v>105</v>
      </c>
      <c r="E412" s="30" t="s">
        <v>3925</v>
      </c>
      <c r="F412" s="30" t="s">
        <v>47</v>
      </c>
      <c r="G412" s="30" t="s">
        <v>47</v>
      </c>
    </row>
    <row r="413">
      <c r="A413" s="198">
        <v>703142.0</v>
      </c>
      <c r="B413" s="176">
        <f t="array" ref="B413">INDEX('Tracker- Removed 2017'!A:A,match(A413,'Tracker- Removed 2017'!B:B,0))</f>
        <v>42741</v>
      </c>
      <c r="C413" s="159" t="str">
        <f t="array" ref="C413:G413">VLOOKUP(A413,'Tracker- Removed 2017'!B:Q,{2,8,9,11,13},false)</f>
        <v>#N/A</v>
      </c>
      <c r="D413" s="30" t="s">
        <v>105</v>
      </c>
      <c r="E413" s="30" t="s">
        <v>3925</v>
      </c>
      <c r="F413" s="30" t="s">
        <v>47</v>
      </c>
      <c r="G413" s="30" t="s">
        <v>47</v>
      </c>
    </row>
    <row r="414">
      <c r="A414" s="198">
        <v>701036.0</v>
      </c>
      <c r="B414" s="176">
        <f t="array" ref="B414">INDEX('Tracker- Removed 2017'!A:A,match(A414,'Tracker- Removed 2017'!B:B,0))</f>
        <v>42741</v>
      </c>
      <c r="C414" s="159" t="str">
        <f t="array" ref="C414:G414">VLOOKUP(A414,'Tracker- Removed 2017'!B:Q,{2,8,9,11,13},false)</f>
        <v>#N/A</v>
      </c>
      <c r="D414" s="30" t="s">
        <v>105</v>
      </c>
      <c r="E414" s="30" t="s">
        <v>198</v>
      </c>
      <c r="F414" s="30" t="s">
        <v>47</v>
      </c>
      <c r="G414" s="30" t="s">
        <v>47</v>
      </c>
    </row>
    <row r="415">
      <c r="A415" s="23">
        <v>698450.0</v>
      </c>
      <c r="B415" s="176">
        <f t="array" ref="B415">INDEX('Tracker- Removed 2017'!A:A,match(A415,'Tracker- Removed 2017'!B:B,0))</f>
        <v>42741</v>
      </c>
      <c r="C415" s="159" t="str">
        <f t="array" ref="C415:G415">VLOOKUP(A415,'Tracker- Removed 2017'!B:Q,{2,8,9,11,13},false)</f>
        <v>#N/A</v>
      </c>
      <c r="D415" s="30" t="s">
        <v>105</v>
      </c>
      <c r="E415" s="30" t="s">
        <v>198</v>
      </c>
      <c r="F415" s="30" t="s">
        <v>47</v>
      </c>
      <c r="G415" s="30" t="s">
        <v>47</v>
      </c>
    </row>
    <row r="416">
      <c r="A416" s="87">
        <v>702982.0</v>
      </c>
      <c r="B416" s="176">
        <f t="array" ref="B416">INDEX('Tracker- Removed 2017'!A:A,match(A416,'Tracker- Removed 2017'!B:B,0))</f>
        <v>42741</v>
      </c>
      <c r="C416" s="159" t="str">
        <f t="array" ref="C416:G416">VLOOKUP(A416,'Tracker- Removed 2017'!B:Q,{2,8,9,11,13},false)</f>
        <v>#N/A</v>
      </c>
      <c r="D416" s="30" t="s">
        <v>105</v>
      </c>
      <c r="E416" s="30" t="s">
        <v>198</v>
      </c>
      <c r="F416" s="30" t="s">
        <v>47</v>
      </c>
      <c r="G416" s="30" t="s">
        <v>47</v>
      </c>
    </row>
    <row r="417">
      <c r="A417" s="87">
        <v>703152.0</v>
      </c>
      <c r="B417" s="176">
        <f t="array" ref="B417">INDEX('Tracker- Removed 2017'!A:A,match(A417,'Tracker- Removed 2017'!B:B,0))</f>
        <v>42741</v>
      </c>
      <c r="C417" s="159" t="str">
        <f t="array" ref="C417:G417">VLOOKUP(A417,'Tracker- Removed 2017'!B:Q,{2,8,9,11,13},false)</f>
        <v>#N/A</v>
      </c>
      <c r="D417" s="30" t="s">
        <v>105</v>
      </c>
      <c r="E417" s="30" t="s">
        <v>198</v>
      </c>
      <c r="F417" s="30" t="s">
        <v>47</v>
      </c>
      <c r="G417" s="30" t="s">
        <v>47</v>
      </c>
    </row>
    <row r="418">
      <c r="A418" s="23">
        <v>703240.0</v>
      </c>
      <c r="B418" s="176">
        <f t="array" ref="B418">INDEX('Tracker- Removed 2017'!A:A,match(A418,'Tracker- Removed 2017'!B:B,0))</f>
        <v>42741</v>
      </c>
      <c r="C418" s="159" t="str">
        <f t="array" ref="C418:G418">VLOOKUP(A418,'Tracker- Removed 2017'!B:Q,{2,8,9,11,13},false)</f>
        <v>#N/A</v>
      </c>
      <c r="D418" s="30" t="s">
        <v>105</v>
      </c>
      <c r="E418" s="30" t="s">
        <v>198</v>
      </c>
      <c r="F418" s="30" t="s">
        <v>47</v>
      </c>
      <c r="G418" s="30" t="s">
        <v>47</v>
      </c>
    </row>
    <row r="419">
      <c r="A419" s="23">
        <v>720838.0</v>
      </c>
      <c r="B419" s="176">
        <f t="array" ref="B419">INDEX('Tracker- Removed 2017'!A:A,match(A419,'Tracker- Removed 2017'!B:B,0))</f>
        <v>42741</v>
      </c>
      <c r="C419" s="159" t="str">
        <f t="array" ref="C419:G419">VLOOKUP(A419,'Tracker- Removed 2017'!B:Q,{2,8,9,11,13},false)</f>
        <v>#N/A</v>
      </c>
      <c r="D419" s="30" t="s">
        <v>105</v>
      </c>
      <c r="E419" s="30" t="s">
        <v>198</v>
      </c>
      <c r="F419" s="30" t="s">
        <v>47</v>
      </c>
      <c r="G419" s="30" t="s">
        <v>47</v>
      </c>
    </row>
    <row r="420">
      <c r="A420" s="23">
        <v>692050.0</v>
      </c>
      <c r="B420" s="176">
        <f t="array" ref="B420">INDEX('Tracker- Removed 2017'!A:A,match(A420,'Tracker- Removed 2017'!B:B,0))</f>
        <v>42741</v>
      </c>
      <c r="C420" s="159" t="str">
        <f t="array" ref="C420:G420">VLOOKUP(A420,'Tracker- Removed 2017'!B:Q,{2,8,9,11,13},false)</f>
        <v>#N/A</v>
      </c>
      <c r="D420" s="30" t="s">
        <v>105</v>
      </c>
      <c r="E420" s="30" t="s">
        <v>198</v>
      </c>
      <c r="F420" s="30" t="s">
        <v>47</v>
      </c>
      <c r="G420" s="30" t="s">
        <v>47</v>
      </c>
    </row>
    <row r="421">
      <c r="A421" s="23">
        <v>350334.0</v>
      </c>
      <c r="B421" s="176">
        <f t="array" ref="B421">INDEX('Tracker- Removed 2017'!A:A,match(A421,'Tracker- Removed 2017'!B:B,0))</f>
        <v>42741</v>
      </c>
      <c r="C421" s="159" t="str">
        <f t="array" ref="C421:G421">VLOOKUP(A421,'Tracker- Removed 2017'!B:Q,{2,8,9,11,13},false)</f>
        <v>#N/A</v>
      </c>
      <c r="D421" s="30" t="s">
        <v>105</v>
      </c>
      <c r="E421" s="30" t="s">
        <v>198</v>
      </c>
      <c r="F421" s="30" t="s">
        <v>47</v>
      </c>
      <c r="G421" s="30" t="s">
        <v>47</v>
      </c>
    </row>
    <row r="422">
      <c r="A422" s="23">
        <v>717438.0</v>
      </c>
      <c r="B422" s="176">
        <f t="array" ref="B422">INDEX('Tracker- Removed 2017'!A:A,match(A422,'Tracker- Removed 2017'!B:B,0))</f>
        <v>42741</v>
      </c>
      <c r="C422" s="159" t="str">
        <f t="array" ref="C422:G422">VLOOKUP(A422,'Tracker- Removed 2017'!B:Q,{2,8,9,11,13},false)</f>
        <v>#N/A</v>
      </c>
      <c r="D422" s="30" t="s">
        <v>105</v>
      </c>
      <c r="E422" s="30" t="s">
        <v>198</v>
      </c>
      <c r="F422" s="30" t="s">
        <v>47</v>
      </c>
      <c r="G422" s="30" t="s">
        <v>47</v>
      </c>
    </row>
    <row r="423">
      <c r="A423" s="23">
        <v>692334.0</v>
      </c>
      <c r="B423" s="176">
        <f t="array" ref="B423">INDEX('Tracker- Removed 2017'!A:A,match(A423,'Tracker- Removed 2017'!B:B,0))</f>
        <v>42741</v>
      </c>
      <c r="C423" s="159" t="str">
        <f t="array" ref="C423:G423">VLOOKUP(A423,'Tracker- Removed 2017'!B:Q,{2,8,9,11,13},false)</f>
        <v>#N/A</v>
      </c>
      <c r="D423" s="30" t="s">
        <v>105</v>
      </c>
      <c r="E423" s="30" t="s">
        <v>253</v>
      </c>
      <c r="F423" s="30" t="s">
        <v>47</v>
      </c>
      <c r="G423" s="30" t="s">
        <v>47</v>
      </c>
    </row>
    <row r="424">
      <c r="A424" s="23">
        <v>702952.0</v>
      </c>
      <c r="B424" s="176">
        <f t="array" ref="B424">INDEX('Tracker- Removed 2017'!A:A,match(A424,'Tracker- Removed 2017'!B:B,0))</f>
        <v>42741</v>
      </c>
      <c r="C424" s="159" t="str">
        <f t="array" ref="C424:G424">VLOOKUP(A424,'Tracker- Removed 2017'!B:Q,{2,8,9,11,13},false)</f>
        <v>#N/A</v>
      </c>
      <c r="D424" s="30" t="s">
        <v>105</v>
      </c>
      <c r="E424" s="30" t="s">
        <v>316</v>
      </c>
      <c r="F424" s="30" t="s">
        <v>47</v>
      </c>
      <c r="G424" s="30" t="s">
        <v>47</v>
      </c>
    </row>
    <row r="425">
      <c r="A425" s="87">
        <v>703974.0</v>
      </c>
      <c r="B425" s="176">
        <f t="array" ref="B425">INDEX('Tracker- Removed 2017'!A:A,match(A425,'Tracker- Removed 2017'!B:B,0))</f>
        <v>42741</v>
      </c>
      <c r="C425" s="159" t="str">
        <f t="array" ref="C425:G425">VLOOKUP(A425,'Tracker- Removed 2017'!B:Q,{2,8,9,11,13},false)</f>
        <v>#N/A</v>
      </c>
      <c r="D425" s="30" t="s">
        <v>105</v>
      </c>
      <c r="E425" s="30" t="s">
        <v>316</v>
      </c>
      <c r="F425" s="30" t="s">
        <v>47</v>
      </c>
      <c r="G425" s="30" t="s">
        <v>47</v>
      </c>
    </row>
    <row r="426">
      <c r="A426" s="87">
        <v>700966.0</v>
      </c>
      <c r="B426" s="176">
        <f t="array" ref="B426">INDEX('Tracker- Removed 2017'!A:A,match(A426,'Tracker- Removed 2017'!B:B,0))</f>
        <v>42741</v>
      </c>
      <c r="C426" s="159" t="str">
        <f t="array" ref="C426:G426">VLOOKUP(A426,'Tracker- Removed 2017'!B:Q,{2,8,9,11,13},false)</f>
        <v>#N/A</v>
      </c>
      <c r="D426" s="30" t="s">
        <v>39</v>
      </c>
      <c r="E426" s="30" t="s">
        <v>50</v>
      </c>
      <c r="F426" s="30" t="s">
        <v>47</v>
      </c>
      <c r="G426" s="30" t="s">
        <v>47</v>
      </c>
    </row>
    <row r="427">
      <c r="A427" s="23">
        <v>864162.0</v>
      </c>
      <c r="B427" s="176">
        <f t="array" ref="B427">INDEX('Tracker- Removed 2017'!A:A,match(A427,'Tracker- Removed 2017'!B:B,0))</f>
        <v>42741</v>
      </c>
      <c r="C427" s="159" t="str">
        <f t="array" ref="C427:G427">VLOOKUP(A427,'Tracker- Removed 2017'!B:Q,{2,8,9,11,13},false)</f>
        <v>#N/A</v>
      </c>
      <c r="D427" s="30" t="s">
        <v>3908</v>
      </c>
      <c r="E427" s="30" t="s">
        <v>75</v>
      </c>
      <c r="F427" s="30" t="s">
        <v>47</v>
      </c>
      <c r="G427" s="30" t="s">
        <v>47</v>
      </c>
    </row>
    <row r="428">
      <c r="A428" s="23">
        <v>901454.0</v>
      </c>
      <c r="B428" s="176">
        <f t="array" ref="B428">INDEX('Tracker- Removed 2017'!A:A,match(A428,'Tracker- Removed 2017'!B:B,0))</f>
        <v>42741</v>
      </c>
      <c r="C428" s="159" t="str">
        <f t="array" ref="C428:G428">VLOOKUP(A428,'Tracker- Removed 2017'!B:Q,{2,8,9,11,13},false)</f>
        <v>#N/A</v>
      </c>
      <c r="D428" s="30" t="s">
        <v>3908</v>
      </c>
      <c r="E428" s="30" t="s">
        <v>75</v>
      </c>
      <c r="F428" s="30" t="s">
        <v>47</v>
      </c>
      <c r="G428" s="30" t="s">
        <v>47</v>
      </c>
    </row>
    <row r="429">
      <c r="A429" s="23">
        <v>700810.0</v>
      </c>
      <c r="B429" s="176">
        <f t="array" ref="B429">INDEX('Tracker- Removed 2017'!A:A,match(A429,'Tracker- Removed 2017'!B:B,0))</f>
        <v>42741</v>
      </c>
      <c r="C429" s="159" t="str">
        <f t="array" ref="C429:G429">VLOOKUP(A429,'Tracker- Removed 2017'!B:Q,{2,8,9,11,13},false)</f>
        <v>#N/A</v>
      </c>
      <c r="D429" s="30" t="s">
        <v>83</v>
      </c>
      <c r="E429" s="30" t="s">
        <v>3926</v>
      </c>
      <c r="F429" s="30" t="s">
        <v>47</v>
      </c>
      <c r="G429" s="30" t="s">
        <v>47</v>
      </c>
    </row>
  </sheetData>
  <autoFilter ref="$A$3:$G$429"/>
  <mergeCells count="3">
    <mergeCell ref="B1:B2"/>
    <mergeCell ref="C1:F1"/>
    <mergeCell ref="C2:F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tr">
        <f>IFERROR(__xludf.DUMMYFUNCTION("IMPORTRANGE(""https://docs.google.com/spreadsheets/d/1-PGtQfbeuiWnM5yK4JbSPcN2oBJ9Xk5oQx_g5stVnf0/edit#gid=225839265"",""Retired 2020!A:N"")"),"date")</f>
        <v>date</v>
      </c>
      <c r="B1" s="140" t="str">
        <f>IFERROR(__xludf.DUMMYFUNCTION("""COMPUTED_VALUE"""),"courseid")</f>
        <v>courseid</v>
      </c>
      <c r="C1" s="140" t="str">
        <f>IFERROR(__xludf.DUMMYFUNCTION("""COMPUTED_VALUE"""),"language")</f>
        <v>language</v>
      </c>
      <c r="D1" t="str">
        <f>IFERROR(__xludf.DUMMYFUNCTION("""COMPUTED_VALUE"""),"Course Title")</f>
        <v>Course Title</v>
      </c>
      <c r="E1" t="str">
        <f>IFERROR(__xludf.DUMMYFUNCTION("""COMPUTED_VALUE"""),"Translated Title")</f>
        <v>Translated Title</v>
      </c>
      <c r="F1" t="str">
        <f>IFERROR(__xludf.DUMMYFUNCTION("""COMPUTED_VALUE"""),"Instructor")</f>
        <v>Instructor</v>
      </c>
      <c r="G1" t="str">
        <f>IFERROR(__xludf.DUMMYFUNCTION("""COMPUTED_VALUE"""),"reason")</f>
        <v>reason</v>
      </c>
      <c r="H1" s="142" t="str">
        <f>IFERROR(__xludf.DUMMYFUNCTION("""COMPUTED_VALUE"""),"Category")</f>
        <v>Category</v>
      </c>
      <c r="I1" s="142" t="str">
        <f>IFERROR(__xludf.DUMMYFUNCTION("""COMPUTED_VALUE"""),"Subcategory")</f>
        <v>Subcategory</v>
      </c>
      <c r="J1" t="str">
        <f>IFERROR(__xludf.DUMMYFUNCTION("""COMPUTED_VALUE"""),"replacement_courseid_1")</f>
        <v>replacement_courseid_1</v>
      </c>
      <c r="K1" t="str">
        <f>IFERROR(__xludf.DUMMYFUNCTION("""COMPUTED_VALUE"""),"Replacement Course Title 1")</f>
        <v>Replacement Course Title 1</v>
      </c>
      <c r="L1" t="str">
        <f>IFERROR(__xludf.DUMMYFUNCTION("""COMPUTED_VALUE"""),"replacement_courseid_2")</f>
        <v>replacement_courseid_2</v>
      </c>
      <c r="M1" t="str">
        <f>IFERROR(__xludf.DUMMYFUNCTION("""COMPUTED_VALUE"""),"Replacement Course Title 2")</f>
        <v>Replacement Course Title 2</v>
      </c>
      <c r="N1" t="str">
        <f>IFERROR(__xludf.DUMMYFUNCTION("""COMPUTED_VALUE"""),"Notes")</f>
        <v>Notes</v>
      </c>
    </row>
    <row r="2">
      <c r="A2" s="141">
        <f>IFERROR(__xludf.DUMMYFUNCTION("""COMPUTED_VALUE"""),44187.0)</f>
        <v>44187</v>
      </c>
      <c r="B2" s="140">
        <f>IFERROR(__xludf.DUMMYFUNCTION("""COMPUTED_VALUE"""),201334.0)</f>
        <v>201334</v>
      </c>
      <c r="C2" t="str">
        <f>IFERROR(__xludf.DUMMYFUNCTION("""COMPUTED_VALUE"""),"de")</f>
        <v>de</v>
      </c>
      <c r="D2" s="140" t="str">
        <f>IFERROR(__xludf.DUMMYFUNCTION("""COMPUTED_VALUE"""),"MS Project 2013 - 2019 Training (deutsch / german)")</f>
        <v>MS Project 2013 - 2019 Training (deutsch / german)</v>
      </c>
      <c r="E2" t="str">
        <f>IFERROR(__xludf.DUMMYFUNCTION("""COMPUTED_VALUE"""),"MS Project 2013 - 2019 Training (deutsch / german)")</f>
        <v>MS Project 2013 - 2019 Training (deutsch / german)</v>
      </c>
      <c r="F2" s="140" t="str">
        <f>IFERROR(__xludf.DUMMYFUNCTION("""COMPUTED_VALUE"""),"Andreas Raupach")</f>
        <v>Andreas Raupach</v>
      </c>
      <c r="G2" t="str">
        <f>IFERROR(__xludf.DUMMYFUNCTION("""COMPUTED_VALUE"""),"Instructor Request- No Detail")</f>
        <v>Instructor Request- No Detail</v>
      </c>
      <c r="H2" t="str">
        <f>IFERROR(__xludf.DUMMYFUNCTION("""COMPUTED_VALUE"""),"Project Management &amp; Operations")</f>
        <v>Project Management &amp; Operations</v>
      </c>
      <c r="I2" s="142" t="str">
        <f>IFERROR(__xludf.DUMMYFUNCTION("""COMPUTED_VALUE"""),"Project Management Tools")</f>
        <v>Project Management Tools</v>
      </c>
      <c r="K2" s="140" t="str">
        <f>IFERROR(__xludf.DUMMYFUNCTION("""COMPUTED_VALUE"""),"")</f>
        <v/>
      </c>
      <c r="M2" s="140" t="str">
        <f>IFERROR(__xludf.DUMMYFUNCTION("""COMPUTED_VALUE"""),"")</f>
        <v/>
      </c>
    </row>
    <row r="3">
      <c r="A3" s="141">
        <f>IFERROR(__xludf.DUMMYFUNCTION("""COMPUTED_VALUE"""),44183.0)</f>
        <v>44183</v>
      </c>
      <c r="B3" s="140">
        <f>IFERROR(__xludf.DUMMYFUNCTION("""COMPUTED_VALUE"""),2192682.0)</f>
        <v>2192682</v>
      </c>
      <c r="C3" t="str">
        <f>IFERROR(__xludf.DUMMYFUNCTION("""COMPUTED_VALUE"""),"de")</f>
        <v>de</v>
      </c>
      <c r="D3" s="140" t="str">
        <f>IFERROR(__xludf.DUMMYFUNCTION("""COMPUTED_VALUE"""),"Werde ein LinkedIn Superstar! Optimiere dein Profil!")</f>
        <v>Werde ein LinkedIn Superstar! Optimiere dein Profil!</v>
      </c>
      <c r="E3" t="str">
        <f>IFERROR(__xludf.DUMMYFUNCTION("""COMPUTED_VALUE"""),"Become a LinkedIn Superstar! Optimize your profile!")</f>
        <v>Become a LinkedIn Superstar! Optimize your profile!</v>
      </c>
      <c r="F3" s="140" t="str">
        <f>IFERROR(__xludf.DUMMYFUNCTION("""COMPUTED_VALUE"""),"Florian Kollin")</f>
        <v>Florian Kollin</v>
      </c>
      <c r="G3" t="str">
        <f>IFERROR(__xludf.DUMMYFUNCTION("""COMPUTED_VALUE"""),"Below Quality Standards- 3 Flags")</f>
        <v>Below Quality Standards- 3 Flags</v>
      </c>
      <c r="H3" t="str">
        <f>IFERROR(__xludf.DUMMYFUNCTION("""COMPUTED_VALUE"""),"Marketing")</f>
        <v>Marketing</v>
      </c>
      <c r="I3" s="142" t="str">
        <f>IFERROR(__xludf.DUMMYFUNCTION("""COMPUTED_VALUE"""),"Social Media Marketing")</f>
        <v>Social Media Marketing</v>
      </c>
      <c r="K3" s="140" t="str">
        <f>IFERROR(__xludf.DUMMYFUNCTION("""COMPUTED_VALUE"""),"")</f>
        <v/>
      </c>
      <c r="M3" s="140" t="str">
        <f>IFERROR(__xludf.DUMMYFUNCTION("""COMPUTED_VALUE"""),"")</f>
        <v/>
      </c>
      <c r="N3" s="140" t="str">
        <f>IFERROR(__xludf.DUMMYFUNCTION("""COMPUTED_VALUE"""),"No Alternatives in Collection- 8/03/2020")</f>
        <v>No Alternatives in Collection- 8/03/2020</v>
      </c>
    </row>
    <row r="4">
      <c r="A4" s="141">
        <f>IFERROR(__xludf.DUMMYFUNCTION("""COMPUTED_VALUE"""),44183.0)</f>
        <v>44183</v>
      </c>
      <c r="B4" s="140">
        <f>IFERROR(__xludf.DUMMYFUNCTION("""COMPUTED_VALUE"""),1271544.0)</f>
        <v>1271544</v>
      </c>
      <c r="C4" t="str">
        <f>IFERROR(__xludf.DUMMYFUNCTION("""COMPUTED_VALUE"""),"de")</f>
        <v>de</v>
      </c>
      <c r="D4" s="140" t="str">
        <f>IFERROR(__xludf.DUMMYFUNCTION("""COMPUTED_VALUE"""),"Maschinelles Lernen &amp; Künstliche Intelligenz in der Theorie")</f>
        <v>Maschinelles Lernen &amp; Künstliche Intelligenz in der Theorie</v>
      </c>
      <c r="E4" t="str">
        <f>IFERROR(__xludf.DUMMYFUNCTION("""COMPUTED_VALUE"""),"Machine Learning &amp; Artificial Intelligence in theory")</f>
        <v>Machine Learning &amp; Artificial Intelligence in theory</v>
      </c>
      <c r="F4" s="140" t="str">
        <f>IFERROR(__xludf.DUMMYFUNCTION("""COMPUTED_VALUE"""),"Cedric Mössner")</f>
        <v>Cedric Mössner</v>
      </c>
      <c r="G4" t="str">
        <f>IFERROR(__xludf.DUMMYFUNCTION("""COMPUTED_VALUE"""),"Below Quality Standards- 3 Flags")</f>
        <v>Below Quality Standards- 3 Flags</v>
      </c>
      <c r="H4" t="str">
        <f>IFERROR(__xludf.DUMMYFUNCTION("""COMPUTED_VALUE"""),"Data Science")</f>
        <v>Data Science</v>
      </c>
      <c r="I4" s="142" t="str">
        <f>IFERROR(__xludf.DUMMYFUNCTION("""COMPUTED_VALUE"""),"Machine Learning")</f>
        <v>Machine Learning</v>
      </c>
      <c r="J4" s="140">
        <f>IFERROR(__xludf.DUMMYFUNCTION("""COMPUTED_VALUE"""),1745078.0)</f>
        <v>1745078</v>
      </c>
      <c r="K4" s="140" t="str">
        <f>IFERROR(__xludf.DUMMYFUNCTION("""COMPUTED_VALUE"""),"Deep Learning, Neuronale Netze &amp; AI: Der Komplettkurs")</f>
        <v>Deep Learning, Neuronale Netze &amp; AI: Der Komplettkurs</v>
      </c>
      <c r="M4" s="140" t="str">
        <f>IFERROR(__xludf.DUMMYFUNCTION("""COMPUTED_VALUE"""),"")</f>
        <v/>
      </c>
    </row>
    <row r="5">
      <c r="A5" s="141">
        <f>IFERROR(__xludf.DUMMYFUNCTION("""COMPUTED_VALUE"""),44183.0)</f>
        <v>44183</v>
      </c>
      <c r="B5" s="140">
        <f>IFERROR(__xludf.DUMMYFUNCTION("""COMPUTED_VALUE"""),1590990.0)</f>
        <v>1590990</v>
      </c>
      <c r="C5" t="str">
        <f>IFERROR(__xludf.DUMMYFUNCTION("""COMPUTED_VALUE"""),"de")</f>
        <v>de</v>
      </c>
      <c r="D5" s="140" t="str">
        <f>IFERROR(__xludf.DUMMYFUNCTION("""COMPUTED_VALUE"""),"Agile &amp; Scrum in &lt; 60 min.")</f>
        <v>Agile &amp; Scrum in &lt; 60 min.</v>
      </c>
      <c r="E5" t="str">
        <f>IFERROR(__xludf.DUMMYFUNCTION("""COMPUTED_VALUE"""),"Agile &amp; Scrum in &lt; 60 min.")</f>
        <v>Agile &amp; Scrum in &lt; 60 min.</v>
      </c>
      <c r="F5" s="140" t="str">
        <f>IFERROR(__xludf.DUMMYFUNCTION("""COMPUTED_VALUE"""),"M. Agile")</f>
        <v>M. Agile</v>
      </c>
      <c r="G5" t="str">
        <f>IFERROR(__xludf.DUMMYFUNCTION("""COMPUTED_VALUE"""),"Below Quality Standards- 3 Flags")</f>
        <v>Below Quality Standards- 3 Flags</v>
      </c>
      <c r="H5" t="str">
        <f>IFERROR(__xludf.DUMMYFUNCTION("""COMPUTED_VALUE"""),"Project Management &amp; Operations")</f>
        <v>Project Management &amp; Operations</v>
      </c>
      <c r="I5" s="142" t="str">
        <f>IFERROR(__xludf.DUMMYFUNCTION("""COMPUTED_VALUE"""),"Agile &amp; Scrum")</f>
        <v>Agile &amp; Scrum</v>
      </c>
      <c r="J5" s="140">
        <f>IFERROR(__xludf.DUMMYFUNCTION("""COMPUTED_VALUE"""),2557436.0)</f>
        <v>2557436</v>
      </c>
      <c r="K5" s="140" t="str">
        <f>IFERROR(__xludf.DUMMYFUNCTION("""COMPUTED_VALUE"""),"Scrum &amp; Agile Meisterkurs mit Praxisbeispielen und PSM1-Test")</f>
        <v>Scrum &amp; Agile Meisterkurs mit Praxisbeispielen und PSM1-Test</v>
      </c>
      <c r="M5" s="140" t="str">
        <f>IFERROR(__xludf.DUMMYFUNCTION("""COMPUTED_VALUE"""),"")</f>
        <v/>
      </c>
    </row>
    <row r="6">
      <c r="A6" s="141">
        <f>IFERROR(__xludf.DUMMYFUNCTION("""COMPUTED_VALUE"""),44183.0)</f>
        <v>44183</v>
      </c>
      <c r="B6" s="140">
        <f>IFERROR(__xludf.DUMMYFUNCTION("""COMPUTED_VALUE"""),2402868.0)</f>
        <v>2402868</v>
      </c>
      <c r="C6" t="str">
        <f>IFERROR(__xludf.DUMMYFUNCTION("""COMPUTED_VALUE"""),"en")</f>
        <v>en</v>
      </c>
      <c r="D6" s="140" t="str">
        <f>IFERROR(__xludf.DUMMYFUNCTION("""COMPUTED_VALUE"""),"Setup &amp; Configure PowerMTA Server + IP Rotation on AWS Cloud")</f>
        <v>Setup &amp; Configure PowerMTA Server + IP Rotation on AWS Cloud</v>
      </c>
      <c r="F6" s="140" t="str">
        <f>IFERROR(__xludf.DUMMYFUNCTION("""COMPUTED_VALUE"""),"Hasan Aboul Hasan")</f>
        <v>Hasan Aboul Hasan</v>
      </c>
      <c r="G6" t="str">
        <f>IFERROR(__xludf.DUMMYFUNCTION("""COMPUTED_VALUE"""),"Instructor Request- No Detail")</f>
        <v>Instructor Request- No Detail</v>
      </c>
      <c r="H6" t="str">
        <f>IFERROR(__xludf.DUMMYFUNCTION("""COMPUTED_VALUE"""),"Marketing")</f>
        <v>Marketing</v>
      </c>
      <c r="I6" s="142" t="str">
        <f>IFERROR(__xludf.DUMMYFUNCTION("""COMPUTED_VALUE"""),"Digital Marketing")</f>
        <v>Digital Marketing</v>
      </c>
      <c r="K6" s="140" t="str">
        <f>IFERROR(__xludf.DUMMYFUNCTION("""COMPUTED_VALUE"""),"")</f>
        <v/>
      </c>
      <c r="M6" s="140" t="str">
        <f>IFERROR(__xludf.DUMMYFUNCTION("""COMPUTED_VALUE"""),"")</f>
        <v/>
      </c>
      <c r="N6" s="140" t="str">
        <f>IFERROR(__xludf.DUMMYFUNCTION("""COMPUTED_VALUE"""),"No Alternatives in Collection- 12/18/2020")</f>
        <v>No Alternatives in Collection- 12/18/2020</v>
      </c>
    </row>
    <row r="7">
      <c r="A7" s="141">
        <f>IFERROR(__xludf.DUMMYFUNCTION("""COMPUTED_VALUE"""),44183.0)</f>
        <v>44183</v>
      </c>
      <c r="B7" s="140">
        <f>IFERROR(__xludf.DUMMYFUNCTION("""COMPUTED_VALUE"""),1113520.0)</f>
        <v>1113520</v>
      </c>
      <c r="C7" t="str">
        <f>IFERROR(__xludf.DUMMYFUNCTION("""COMPUTED_VALUE"""),"en")</f>
        <v>en</v>
      </c>
      <c r="D7" s="140" t="str">
        <f>IFERROR(__xludf.DUMMYFUNCTION("""COMPUTED_VALUE"""),"Learning Path: Learn VMware VRealize Operations Manager")</f>
        <v>Learning Path: Learn VMware VRealize Operations Manager</v>
      </c>
      <c r="F7" s="140" t="str">
        <f>IFERROR(__xludf.DUMMYFUNCTION("""COMPUTED_VALUE"""),"Packt Publishing")</f>
        <v>Packt Publishing</v>
      </c>
      <c r="G7" t="str">
        <f>IFERROR(__xludf.DUMMYFUNCTION("""COMPUTED_VALUE"""),"Instructor Request- Opted Out")</f>
        <v>Instructor Request- Opted Out</v>
      </c>
      <c r="H7" t="str">
        <f>IFERROR(__xludf.DUMMYFUNCTION("""COMPUTED_VALUE"""),"IT Operations")</f>
        <v>IT Operations</v>
      </c>
      <c r="I7" s="142" t="str">
        <f>IFERROR(__xludf.DUMMYFUNCTION("""COMPUTED_VALUE"""),"Operating Systems &amp; Servers")</f>
        <v>Operating Systems &amp; Servers</v>
      </c>
      <c r="J7" s="140">
        <f>IFERROR(__xludf.DUMMYFUNCTION("""COMPUTED_VALUE"""),1225172.0)</f>
        <v>1225172</v>
      </c>
      <c r="K7" s="140" t="str">
        <f>IFERROR(__xludf.DUMMYFUNCTION("""COMPUTED_VALUE"""),"Clear and Simple VMware Certified Associate (RetiredVCA-DBT)")</f>
        <v>Clear and Simple VMware Certified Associate (RetiredVCA-DBT)</v>
      </c>
      <c r="M7" s="140" t="str">
        <f>IFERROR(__xludf.DUMMYFUNCTION("""COMPUTED_VALUE"""),"")</f>
        <v/>
      </c>
    </row>
    <row r="8">
      <c r="A8" s="141">
        <f>IFERROR(__xludf.DUMMYFUNCTION("""COMPUTED_VALUE"""),44183.0)</f>
        <v>44183</v>
      </c>
      <c r="B8" s="140">
        <f>IFERROR(__xludf.DUMMYFUNCTION("""COMPUTED_VALUE"""),1897948.0)</f>
        <v>1897948</v>
      </c>
      <c r="C8" t="str">
        <f>IFERROR(__xludf.DUMMYFUNCTION("""COMPUTED_VALUE"""),"en")</f>
        <v>en</v>
      </c>
      <c r="D8" s="140" t="str">
        <f>IFERROR(__xludf.DUMMYFUNCTION("""COMPUTED_VALUE"""),"Jupyter Notebook for Data Science")</f>
        <v>Jupyter Notebook for Data Science</v>
      </c>
      <c r="F8" s="140" t="str">
        <f>IFERROR(__xludf.DUMMYFUNCTION("""COMPUTED_VALUE"""),"Packt Publishing")</f>
        <v>Packt Publishing</v>
      </c>
      <c r="G8" t="str">
        <f>IFERROR(__xludf.DUMMYFUNCTION("""COMPUTED_VALUE"""),"Instructor Request- Opted Out")</f>
        <v>Instructor Request- Opted Out</v>
      </c>
      <c r="H8" t="str">
        <f>IFERROR(__xludf.DUMMYFUNCTION("""COMPUTED_VALUE"""),"Data Science")</f>
        <v>Data Science</v>
      </c>
      <c r="I8" s="142" t="str">
        <f>IFERROR(__xludf.DUMMYFUNCTION("""COMPUTED_VALUE"""),"Data Visualization")</f>
        <v>Data Visualization</v>
      </c>
      <c r="J8" s="140">
        <f>IFERROR(__xludf.DUMMYFUNCTION("""COMPUTED_VALUE"""),2327498.0)</f>
        <v>2327498</v>
      </c>
      <c r="K8" s="140" t="str">
        <f>IFERROR(__xludf.DUMMYFUNCTION("""COMPUTED_VALUE"""),"")</f>
        <v/>
      </c>
      <c r="M8" s="140" t="str">
        <f>IFERROR(__xludf.DUMMYFUNCTION("""COMPUTED_VALUE"""),"")</f>
        <v/>
      </c>
    </row>
    <row r="9">
      <c r="A9" s="141">
        <f>IFERROR(__xludf.DUMMYFUNCTION("""COMPUTED_VALUE"""),44183.0)</f>
        <v>44183</v>
      </c>
      <c r="B9" s="140">
        <f>IFERROR(__xludf.DUMMYFUNCTION("""COMPUTED_VALUE"""),2424796.0)</f>
        <v>2424796</v>
      </c>
      <c r="C9" t="str">
        <f>IFERROR(__xludf.DUMMYFUNCTION("""COMPUTED_VALUE"""),"en")</f>
        <v>en</v>
      </c>
      <c r="D9" s="140" t="str">
        <f>IFERROR(__xludf.DUMMYFUNCTION("""COMPUTED_VALUE"""),"API Testing, Automation with POSTMAN and RestAssured &amp; Java")</f>
        <v>API Testing, Automation with POSTMAN and RestAssured &amp; Java</v>
      </c>
      <c r="F9" s="140" t="str">
        <f>IFERROR(__xludf.DUMMYFUNCTION("""COMPUTED_VALUE"""),"Sergei Semenov")</f>
        <v>Sergei Semenov</v>
      </c>
      <c r="G9" t="str">
        <f>IFERROR(__xludf.DUMMYFUNCTION("""COMPUTED_VALUE"""),"Below Quality Standards- Low Rating")</f>
        <v>Below Quality Standards- Low Rating</v>
      </c>
      <c r="H9" t="str">
        <f>IFERROR(__xludf.DUMMYFUNCTION("""COMPUTED_VALUE"""),"Development")</f>
        <v>Development</v>
      </c>
      <c r="I9" s="142" t="str">
        <f>IFERROR(__xludf.DUMMYFUNCTION("""COMPUTED_VALUE"""),"Software Testing")</f>
        <v>Software Testing</v>
      </c>
      <c r="J9" s="140">
        <f>IFERROR(__xludf.DUMMYFUNCTION("""COMPUTED_VALUE"""),1265410.0)</f>
        <v>1265410</v>
      </c>
      <c r="K9" s="140" t="str">
        <f>IFERROR(__xludf.DUMMYFUNCTION("""COMPUTED_VALUE"""),"Postman: The Complete Guide - REST API Testing")</f>
        <v>Postman: The Complete Guide - REST API Testing</v>
      </c>
      <c r="L9" s="140">
        <f>IFERROR(__xludf.DUMMYFUNCTION("""COMPUTED_VALUE"""),1248784.0)</f>
        <v>1248784</v>
      </c>
      <c r="M9" s="140" t="str">
        <f>IFERROR(__xludf.DUMMYFUNCTION("""COMPUTED_VALUE"""),"REST API Testing, Automation using POSTMAN")</f>
        <v>REST API Testing, Automation using POSTMAN</v>
      </c>
    </row>
    <row r="10">
      <c r="A10" s="141">
        <f>IFERROR(__xludf.DUMMYFUNCTION("""COMPUTED_VALUE"""),44183.0)</f>
        <v>44183</v>
      </c>
      <c r="B10" s="140">
        <f>IFERROR(__xludf.DUMMYFUNCTION("""COMPUTED_VALUE"""),1592636.0)</f>
        <v>1592636</v>
      </c>
      <c r="C10" t="str">
        <f>IFERROR(__xludf.DUMMYFUNCTION("""COMPUTED_VALUE"""),"en")</f>
        <v>en</v>
      </c>
      <c r="D10" s="140" t="str">
        <f>IFERROR(__xludf.DUMMYFUNCTION("""COMPUTED_VALUE"""),"Learning Path: PowerShell: The Road to PowerShell DSC")</f>
        <v>Learning Path: PowerShell: The Road to PowerShell DSC</v>
      </c>
      <c r="F10" s="140" t="str">
        <f>IFERROR(__xludf.DUMMYFUNCTION("""COMPUTED_VALUE"""),"Packt Publishing")</f>
        <v>Packt Publishing</v>
      </c>
      <c r="G10" t="str">
        <f>IFERROR(__xludf.DUMMYFUNCTION("""COMPUTED_VALUE"""),"Instructor Request- Opted Out")</f>
        <v>Instructor Request- Opted Out</v>
      </c>
      <c r="H10" t="str">
        <f>IFERROR(__xludf.DUMMYFUNCTION("""COMPUTED_VALUE"""),"IT Operations")</f>
        <v>IT Operations</v>
      </c>
      <c r="I10" s="142" t="str">
        <f>IFERROR(__xludf.DUMMYFUNCTION("""COMPUTED_VALUE"""),"Operating Systems &amp; Servers")</f>
        <v>Operating Systems &amp; Servers</v>
      </c>
      <c r="J10" s="140">
        <f>IFERROR(__xludf.DUMMYFUNCTION("""COMPUTED_VALUE"""),2337452.0)</f>
        <v>2337452</v>
      </c>
      <c r="K10" s="140" t="str">
        <f>IFERROR(__xludf.DUMMYFUNCTION("""COMPUTED_VALUE"""),"PowerShell version 5.1 and 6: Step-by-Step")</f>
        <v>PowerShell version 5.1 and 6: Step-by-Step</v>
      </c>
      <c r="M10" s="140" t="str">
        <f>IFERROR(__xludf.DUMMYFUNCTION("""COMPUTED_VALUE"""),"")</f>
        <v/>
      </c>
    </row>
    <row r="11">
      <c r="A11" s="141">
        <f>IFERROR(__xludf.DUMMYFUNCTION("""COMPUTED_VALUE"""),44183.0)</f>
        <v>44183</v>
      </c>
      <c r="B11" s="140">
        <f>IFERROR(__xludf.DUMMYFUNCTION("""COMPUTED_VALUE"""),2418286.0)</f>
        <v>2418286</v>
      </c>
      <c r="C11" t="str">
        <f>IFERROR(__xludf.DUMMYFUNCTION("""COMPUTED_VALUE"""),"en")</f>
        <v>en</v>
      </c>
      <c r="D11" s="140" t="str">
        <f>IFERROR(__xludf.DUMMYFUNCTION("""COMPUTED_VALUE"""),"ICS/SCADA Network Security Monitoring (NSM)")</f>
        <v>ICS/SCADA Network Security Monitoring (NSM)</v>
      </c>
      <c r="F11" s="140" t="str">
        <f>IFERROR(__xludf.DUMMYFUNCTION("""COMPUTED_VALUE"""),"Ed Galarza")</f>
        <v>Ed Galarza</v>
      </c>
      <c r="G11" t="str">
        <f>IFERROR(__xludf.DUMMYFUNCTION("""COMPUTED_VALUE"""),"Below Quality Standards- Low Rating")</f>
        <v>Below Quality Standards- Low Rating</v>
      </c>
      <c r="H11" t="str">
        <f>IFERROR(__xludf.DUMMYFUNCTION("""COMPUTED_VALUE"""),"IT Operations")</f>
        <v>IT Operations</v>
      </c>
      <c r="I11" s="142" t="str">
        <f>IFERROR(__xludf.DUMMYFUNCTION("""COMPUTED_VALUE"""),"Network &amp; Security")</f>
        <v>Network &amp; Security</v>
      </c>
      <c r="J11" s="140">
        <f>IFERROR(__xludf.DUMMYFUNCTION("""COMPUTED_VALUE"""),442896.0)</f>
        <v>442896</v>
      </c>
      <c r="K11" s="140" t="str">
        <f>IFERROR(__xludf.DUMMYFUNCTION("""COMPUTED_VALUE"""),"Learn SCADA from Scratch - Design, Program and Interface")</f>
        <v>Learn SCADA from Scratch - Design, Program and Interface</v>
      </c>
      <c r="M11" s="140" t="str">
        <f>IFERROR(__xludf.DUMMYFUNCTION("""COMPUTED_VALUE"""),"")</f>
        <v/>
      </c>
    </row>
    <row r="12">
      <c r="A12" s="141">
        <f>IFERROR(__xludf.DUMMYFUNCTION("""COMPUTED_VALUE"""),44183.0)</f>
        <v>44183</v>
      </c>
      <c r="B12" s="140">
        <f>IFERROR(__xludf.DUMMYFUNCTION("""COMPUTED_VALUE"""),863976.0)</f>
        <v>863976</v>
      </c>
      <c r="C12" t="str">
        <f>IFERROR(__xludf.DUMMYFUNCTION("""COMPUTED_VALUE"""),"en")</f>
        <v>en</v>
      </c>
      <c r="D12" s="140" t="str">
        <f>IFERROR(__xludf.DUMMYFUNCTION("""COMPUTED_VALUE"""),"Using a Third Party API to Send SMS with PHP (SMS)")</f>
        <v>Using a Third Party API to Send SMS with PHP (SMS)</v>
      </c>
      <c r="F12" s="140" t="str">
        <f>IFERROR(__xludf.DUMMYFUNCTION("""COMPUTED_VALUE"""),"Edwin Diaz")</f>
        <v>Edwin Diaz</v>
      </c>
      <c r="G12" t="str">
        <f>IFERROR(__xludf.DUMMYFUNCTION("""COMPUTED_VALUE"""),"Below Quality Standards- 3 Flags")</f>
        <v>Below Quality Standards- 3 Flags</v>
      </c>
      <c r="H12" t="str">
        <f>IFERROR(__xludf.DUMMYFUNCTION("""COMPUTED_VALUE"""),"Development")</f>
        <v>Development</v>
      </c>
      <c r="I12" s="142" t="str">
        <f>IFERROR(__xludf.DUMMYFUNCTION("""COMPUTED_VALUE"""),"Web Development")</f>
        <v>Web Development</v>
      </c>
      <c r="K12" s="140" t="str">
        <f>IFERROR(__xludf.DUMMYFUNCTION("""COMPUTED_VALUE"""),"")</f>
        <v/>
      </c>
      <c r="M12" s="140" t="str">
        <f>IFERROR(__xludf.DUMMYFUNCTION("""COMPUTED_VALUE"""),"")</f>
        <v/>
      </c>
      <c r="N12" s="140" t="str">
        <f>IFERROR(__xludf.DUMMYFUNCTION("""COMPUTED_VALUE"""),"No Alternatives in Collection- 12/18/2020")</f>
        <v>No Alternatives in Collection- 12/18/2020</v>
      </c>
    </row>
    <row r="13">
      <c r="A13" s="141">
        <f>IFERROR(__xludf.DUMMYFUNCTION("""COMPUTED_VALUE"""),44183.0)</f>
        <v>44183</v>
      </c>
      <c r="B13" s="140">
        <f>IFERROR(__xludf.DUMMYFUNCTION("""COMPUTED_VALUE"""),1274262.0)</f>
        <v>1274262</v>
      </c>
      <c r="C13" t="str">
        <f>IFERROR(__xludf.DUMMYFUNCTION("""COMPUTED_VALUE"""),"ja")</f>
        <v>ja</v>
      </c>
      <c r="D13" s="140" t="str">
        <f>IFERROR(__xludf.DUMMYFUNCTION("""COMPUTED_VALUE"""),"みんなのディープラーニング講座 ゼロからChainerとPythonで学ぶ深層学習の基礎")</f>
        <v>みんなのディープラーニング講座 ゼロからChainerとPythonで学ぶ深層学習の基礎</v>
      </c>
      <c r="E13" t="str">
        <f>IFERROR(__xludf.DUMMYFUNCTION("""COMPUTED_VALUE"""),"Foundation of deep learning to learn in Chainer and Python from everyone of deep learning course zero")</f>
        <v>Foundation of deep learning to learn in Chainer and Python from everyone of deep learning course zero</v>
      </c>
      <c r="F13" s="140" t="str">
        <f>IFERROR(__xludf.DUMMYFUNCTION("""COMPUTED_VALUE"""),"我妻 幸長 Yukinaga Azuma")</f>
        <v>我妻 幸長 Yukinaga Azuma</v>
      </c>
      <c r="G13" t="str">
        <f>IFERROR(__xludf.DUMMYFUNCTION("""COMPUTED_VALUE"""),"Instructor Request- Outdated")</f>
        <v>Instructor Request- Outdated</v>
      </c>
      <c r="H13" t="str">
        <f>IFERROR(__xludf.DUMMYFUNCTION("""COMPUTED_VALUE"""),"Data Science")</f>
        <v>Data Science</v>
      </c>
      <c r="I13" s="142" t="str">
        <f>IFERROR(__xludf.DUMMYFUNCTION("""COMPUTED_VALUE"""),"Big Data")</f>
        <v>Big Data</v>
      </c>
      <c r="K13" s="140" t="str">
        <f>IFERROR(__xludf.DUMMYFUNCTION("""COMPUTED_VALUE"""),"")</f>
        <v/>
      </c>
      <c r="M13" s="140" t="str">
        <f>IFERROR(__xludf.DUMMYFUNCTION("""COMPUTED_VALUE"""),"")</f>
        <v/>
      </c>
      <c r="N13" s="140" t="str">
        <f>IFERROR(__xludf.DUMMYFUNCTION("""COMPUTED_VALUE"""),"Chainer is discontinued. We recommend Pytorch for moving forward.")</f>
        <v>Chainer is discontinued. We recommend Pytorch for moving forward.</v>
      </c>
    </row>
    <row r="14">
      <c r="A14" s="141">
        <f>IFERROR(__xludf.DUMMYFUNCTION("""COMPUTED_VALUE"""),44183.0)</f>
        <v>44183</v>
      </c>
      <c r="B14" s="140">
        <f>IFERROR(__xludf.DUMMYFUNCTION("""COMPUTED_VALUE"""),1614454.0)</f>
        <v>1614454</v>
      </c>
      <c r="C14" t="str">
        <f>IFERROR(__xludf.DUMMYFUNCTION("""COMPUTED_VALUE"""),"en")</f>
        <v>en</v>
      </c>
      <c r="D14" s="140" t="str">
        <f>IFERROR(__xludf.DUMMYFUNCTION("""COMPUTED_VALUE"""),"Azure MasterClass: Manage Azure Cloud with ARM Templates")</f>
        <v>Azure MasterClass: Manage Azure Cloud with ARM Templates</v>
      </c>
      <c r="F14" s="140" t="str">
        <f>IFERROR(__xludf.DUMMYFUNCTION("""COMPUTED_VALUE"""),"TetraNoodle Team")</f>
        <v>TetraNoodle Team</v>
      </c>
      <c r="G14" t="str">
        <f>IFERROR(__xludf.DUMMYFUNCTION("""COMPUTED_VALUE"""),"Below Quality Standards- Low Rating")</f>
        <v>Below Quality Standards- Low Rating</v>
      </c>
      <c r="H14" t="str">
        <f>IFERROR(__xludf.DUMMYFUNCTION("""COMPUTED_VALUE"""),"Development")</f>
        <v>Development</v>
      </c>
      <c r="I14" s="142" t="str">
        <f>IFERROR(__xludf.DUMMYFUNCTION("""COMPUTED_VALUE"""),"Development Tools")</f>
        <v>Development Tools</v>
      </c>
      <c r="K14" s="140" t="str">
        <f>IFERROR(__xludf.DUMMYFUNCTION("""COMPUTED_VALUE"""),"")</f>
        <v/>
      </c>
      <c r="M14" s="140" t="str">
        <f>IFERROR(__xludf.DUMMYFUNCTION("""COMPUTED_VALUE"""),"")</f>
        <v/>
      </c>
      <c r="N14" s="140" t="str">
        <f>IFERROR(__xludf.DUMMYFUNCTION("""COMPUTED_VALUE"""),"No Alternatives in Collection- 12/18/2020")</f>
        <v>No Alternatives in Collection- 12/18/2020</v>
      </c>
    </row>
    <row r="15">
      <c r="A15" s="141">
        <f>IFERROR(__xludf.DUMMYFUNCTION("""COMPUTED_VALUE"""),44183.0)</f>
        <v>44183</v>
      </c>
      <c r="B15" s="140">
        <f>IFERROR(__xludf.DUMMYFUNCTION("""COMPUTED_VALUE"""),1169070.0)</f>
        <v>1169070</v>
      </c>
      <c r="C15" t="str">
        <f>IFERROR(__xludf.DUMMYFUNCTION("""COMPUTED_VALUE"""),"de")</f>
        <v>de</v>
      </c>
      <c r="D15" s="140" t="str">
        <f>IFERROR(__xludf.DUMMYFUNCTION("""COMPUTED_VALUE"""),"Sicherheit im Internet - Grundlagen")</f>
        <v>Sicherheit im Internet - Grundlagen</v>
      </c>
      <c r="E15" t="str">
        <f>IFERROR(__xludf.DUMMYFUNCTION("""COMPUTED_VALUE"""),"Internet safety - Basics")</f>
        <v>Internet safety - Basics</v>
      </c>
      <c r="F15" s="140" t="str">
        <f>IFERROR(__xludf.DUMMYFUNCTION("""COMPUTED_VALUE"""),"Frank Hübner")</f>
        <v>Frank Hübner</v>
      </c>
      <c r="G15" t="str">
        <f>IFERROR(__xludf.DUMMYFUNCTION("""COMPUTED_VALUE"""),"Below Quality Standards- 3 Flags")</f>
        <v>Below Quality Standards- 3 Flags</v>
      </c>
      <c r="H15" t="str">
        <f>IFERROR(__xludf.DUMMYFUNCTION("""COMPUTED_VALUE"""),"Workplace &amp; Human Resources")</f>
        <v>Workplace &amp; Human Resources</v>
      </c>
      <c r="I15" s="142" t="str">
        <f>IFERROR(__xludf.DUMMYFUNCTION("""COMPUTED_VALUE"""),"Compliance")</f>
        <v>Compliance</v>
      </c>
      <c r="J15" s="140">
        <f>IFERROR(__xludf.DUMMYFUNCTION("""COMPUTED_VALUE"""),1468006.0)</f>
        <v>1468006</v>
      </c>
      <c r="K15" s="140" t="str">
        <f>IFERROR(__xludf.DUMMYFUNCTION("""COMPUTED_VALUE"""),"Sicherheit und Privatsphäre im Internet für Einsteiger")</f>
        <v>Sicherheit und Privatsphäre im Internet für Einsteiger</v>
      </c>
      <c r="M15" s="140" t="str">
        <f>IFERROR(__xludf.DUMMYFUNCTION("""COMPUTED_VALUE"""),"")</f>
        <v/>
      </c>
    </row>
    <row r="16">
      <c r="A16" s="141">
        <f>IFERROR(__xludf.DUMMYFUNCTION("""COMPUTED_VALUE"""),44183.0)</f>
        <v>44183</v>
      </c>
      <c r="B16" s="140">
        <f>IFERROR(__xludf.DUMMYFUNCTION("""COMPUTED_VALUE"""),1842542.0)</f>
        <v>1842542</v>
      </c>
      <c r="C16" t="str">
        <f>IFERROR(__xludf.DUMMYFUNCTION("""COMPUTED_VALUE"""),"ja")</f>
        <v>ja</v>
      </c>
      <c r="D16" s="140" t="str">
        <f>IFERROR(__xludf.DUMMYFUNCTION("""COMPUTED_VALUE"""),"英語の前置詞を攻略すれば、あなたも簡単に英会話を攻略できる！")</f>
        <v>英語の前置詞を攻略すれば、あなたも簡単に英会話を攻略できる！</v>
      </c>
      <c r="E16" t="str">
        <f>IFERROR(__xludf.DUMMYFUNCTION("""COMPUTED_VALUE"""),"If the capture of the prepositions of English, you also can easily capture the English!")</f>
        <v>If the capture of the prepositions of English, you also can easily capture the English!</v>
      </c>
      <c r="F16" s="140" t="str">
        <f>IFERROR(__xludf.DUMMYFUNCTION("""COMPUTED_VALUE"""),"Matsuro Manabe")</f>
        <v>Matsuro Manabe</v>
      </c>
      <c r="G16" t="str">
        <f>IFERROR(__xludf.DUMMYFUNCTION("""COMPUTED_VALUE"""),"Below Quality Standards- Low Rating")</f>
        <v>Below Quality Standards- Low Rating</v>
      </c>
      <c r="H16" t="str">
        <f>IFERROR(__xludf.DUMMYFUNCTION("""COMPUTED_VALUE"""),"Personal Development")</f>
        <v>Personal Development</v>
      </c>
      <c r="I16" s="142" t="str">
        <f>IFERROR(__xludf.DUMMYFUNCTION("""COMPUTED_VALUE"""),"Language Learning")</f>
        <v>Language Learning</v>
      </c>
      <c r="K16" s="140" t="str">
        <f>IFERROR(__xludf.DUMMYFUNCTION("""COMPUTED_VALUE"""),"")</f>
        <v/>
      </c>
      <c r="M16" s="140" t="str">
        <f>IFERROR(__xludf.DUMMYFUNCTION("""COMPUTED_VALUE"""),"")</f>
        <v/>
      </c>
      <c r="N16" s="140" t="str">
        <f>IFERROR(__xludf.DUMMYFUNCTION("""COMPUTED_VALUE"""),"No Alternatives in Collection- 8/03/2020")</f>
        <v>No Alternatives in Collection- 8/03/2020</v>
      </c>
    </row>
    <row r="17">
      <c r="A17" s="141">
        <f>IFERROR(__xludf.DUMMYFUNCTION("""COMPUTED_VALUE"""),44183.0)</f>
        <v>44183</v>
      </c>
      <c r="B17" s="140">
        <f>IFERROR(__xludf.DUMMYFUNCTION("""COMPUTED_VALUE"""),2412666.0)</f>
        <v>2412666</v>
      </c>
      <c r="C17" t="str">
        <f>IFERROR(__xludf.DUMMYFUNCTION("""COMPUTED_VALUE"""),"en")</f>
        <v>en</v>
      </c>
      <c r="D17" s="140" t="str">
        <f>IFERROR(__xludf.DUMMYFUNCTION("""COMPUTED_VALUE"""),"AZ-103 Microsoft Azure Administrator Practice Exam Questions")</f>
        <v>AZ-103 Microsoft Azure Administrator Practice Exam Questions</v>
      </c>
      <c r="F17" s="140" t="str">
        <f>IFERROR(__xludf.DUMMYFUNCTION("""COMPUTED_VALUE"""),"Andrew Bettany (MVP)")</f>
        <v>Andrew Bettany (MVP)</v>
      </c>
      <c r="G17" t="str">
        <f>IFERROR(__xludf.DUMMYFUNCTION("""COMPUTED_VALUE"""),"Below Quality Standards- Low Rating")</f>
        <v>Below Quality Standards- Low Rating</v>
      </c>
      <c r="H17" t="str">
        <f>IFERROR(__xludf.DUMMYFUNCTION("""COMPUTED_VALUE"""),"Cloud Computing")</f>
        <v>Cloud Computing</v>
      </c>
      <c r="I17" s="142" t="str">
        <f>IFERROR(__xludf.DUMMYFUNCTION("""COMPUTED_VALUE"""),"Cloud Certification")</f>
        <v>Cloud Certification</v>
      </c>
      <c r="J17" s="140">
        <f>IFERROR(__xludf.DUMMYFUNCTION("""COMPUTED_VALUE"""),2131244.0)</f>
        <v>2131244</v>
      </c>
      <c r="K17" s="140" t="str">
        <f>IFERROR(__xludf.DUMMYFUNCTION("""COMPUTED_VALUE"""),"AZ-104 Microsoft Azure Administrator Certification 2021")</f>
        <v>AZ-104 Microsoft Azure Administrator Certification 2021</v>
      </c>
      <c r="L17" s="140">
        <f>IFERROR(__xludf.DUMMYFUNCTION("""COMPUTED_VALUE"""),802576.0)</f>
        <v>802576</v>
      </c>
      <c r="M17" s="140" t="str">
        <f>IFERROR(__xludf.DUMMYFUNCTION("""COMPUTED_VALUE"""),"AZ-104 Microsoft Azure Administrator Exam Certification 2021")</f>
        <v>AZ-104 Microsoft Azure Administrator Exam Certification 2021</v>
      </c>
    </row>
    <row r="18">
      <c r="A18" s="141">
        <f>IFERROR(__xludf.DUMMYFUNCTION("""COMPUTED_VALUE"""),44183.0)</f>
        <v>44183</v>
      </c>
      <c r="B18" s="140">
        <f>IFERROR(__xludf.DUMMYFUNCTION("""COMPUTED_VALUE"""),2385028.0)</f>
        <v>2385028</v>
      </c>
      <c r="C18" t="str">
        <f>IFERROR(__xludf.DUMMYFUNCTION("""COMPUTED_VALUE"""),"de")</f>
        <v>de</v>
      </c>
      <c r="D18" s="140" t="str">
        <f>IFERROR(__xludf.DUMMYFUNCTION("""COMPUTED_VALUE"""),"Blockchain &amp; Kryptowährungen - Bitcoin und Co durchleuchtet")</f>
        <v>Blockchain &amp; Kryptowährungen - Bitcoin und Co durchleuchtet</v>
      </c>
      <c r="E18" t="str">
        <f>IFERROR(__xludf.DUMMYFUNCTION("""COMPUTED_VALUE"""),"rayed Bitcoin and Co - Block Chain &amp; crypto currencies")</f>
        <v>rayed Bitcoin and Co - Block Chain &amp; crypto currencies</v>
      </c>
      <c r="F18" s="140" t="str">
        <f>IFERROR(__xludf.DUMMYFUNCTION("""COMPUTED_VALUE"""),"Cedric Mössner")</f>
        <v>Cedric Mössner</v>
      </c>
      <c r="G18" t="str">
        <f>IFERROR(__xludf.DUMMYFUNCTION("""COMPUTED_VALUE"""),"Below Quality Standards- 3 Flags")</f>
        <v>Below Quality Standards- 3 Flags</v>
      </c>
      <c r="H18" t="str">
        <f>IFERROR(__xludf.DUMMYFUNCTION("""COMPUTED_VALUE"""),"Finance &amp; Accounting")</f>
        <v>Finance &amp; Accounting</v>
      </c>
      <c r="I18" s="142" t="str">
        <f>IFERROR(__xludf.DUMMYFUNCTION("""COMPUTED_VALUE"""),"Investing &amp; Trading")</f>
        <v>Investing &amp; Trading</v>
      </c>
      <c r="J18" s="140">
        <f>IFERROR(__xludf.DUMMYFUNCTION("""COMPUTED_VALUE"""),1427034.0)</f>
        <v>1427034</v>
      </c>
      <c r="K18" s="140" t="str">
        <f>IFERROR(__xludf.DUMMYFUNCTION("""COMPUTED_VALUE"""),"Krypto Academy - Beginner zum Tradingprofi (Kryptowährungen)")</f>
        <v>Krypto Academy - Beginner zum Tradingprofi (Kryptowährungen)</v>
      </c>
      <c r="M18" s="140" t="str">
        <f>IFERROR(__xludf.DUMMYFUNCTION("""COMPUTED_VALUE"""),"")</f>
        <v/>
      </c>
    </row>
    <row r="19">
      <c r="A19" s="141">
        <f>IFERROR(__xludf.DUMMYFUNCTION("""COMPUTED_VALUE"""),44183.0)</f>
        <v>44183</v>
      </c>
      <c r="B19" s="140">
        <f>IFERROR(__xludf.DUMMYFUNCTION("""COMPUTED_VALUE"""),1468234.0)</f>
        <v>1468234</v>
      </c>
      <c r="C19" t="str">
        <f>IFERROR(__xludf.DUMMYFUNCTION("""COMPUTED_VALUE"""),"en")</f>
        <v>en</v>
      </c>
      <c r="D19" s="140" t="str">
        <f>IFERROR(__xludf.DUMMYFUNCTION("""COMPUTED_VALUE"""),"Mastering C++ Standard Library Features")</f>
        <v>Mastering C++ Standard Library Features</v>
      </c>
      <c r="F19" s="140" t="str">
        <f>IFERROR(__xludf.DUMMYFUNCTION("""COMPUTED_VALUE"""),"Packt Publishing")</f>
        <v>Packt Publishing</v>
      </c>
      <c r="G19" t="str">
        <f>IFERROR(__xludf.DUMMYFUNCTION("""COMPUTED_VALUE"""),"Instructor Request- Opted Out")</f>
        <v>Instructor Request- Opted Out</v>
      </c>
      <c r="H19" t="str">
        <f>IFERROR(__xludf.DUMMYFUNCTION("""COMPUTED_VALUE"""),"Development")</f>
        <v>Development</v>
      </c>
      <c r="I19" s="142" t="str">
        <f>IFERROR(__xludf.DUMMYFUNCTION("""COMPUTED_VALUE"""),"Programming Languages")</f>
        <v>Programming Languages</v>
      </c>
      <c r="J19" s="140">
        <f>IFERROR(__xludf.DUMMYFUNCTION("""COMPUTED_VALUE"""),1026276.0)</f>
        <v>1026276</v>
      </c>
      <c r="K19" s="140" t="str">
        <f>IFERROR(__xludf.DUMMYFUNCTION("""COMPUTED_VALUE"""),"Complete Modern C++ (C++11/14/17)")</f>
        <v>Complete Modern C++ (C++11/14/17)</v>
      </c>
      <c r="M19" s="140" t="str">
        <f>IFERROR(__xludf.DUMMYFUNCTION("""COMPUTED_VALUE"""),"")</f>
        <v/>
      </c>
    </row>
    <row r="20">
      <c r="A20" s="141">
        <f>IFERROR(__xludf.DUMMYFUNCTION("""COMPUTED_VALUE"""),44183.0)</f>
        <v>44183</v>
      </c>
      <c r="B20" s="140">
        <f>IFERROR(__xludf.DUMMYFUNCTION("""COMPUTED_VALUE"""),1697824.0)</f>
        <v>1697824</v>
      </c>
      <c r="C20" t="str">
        <f>IFERROR(__xludf.DUMMYFUNCTION("""COMPUTED_VALUE"""),"en")</f>
        <v>en</v>
      </c>
      <c r="D20" s="140" t="str">
        <f>IFERROR(__xludf.DUMMYFUNCTION("""COMPUTED_VALUE"""),"Master Automation with Ansible and Puppet: 4-in-1")</f>
        <v>Master Automation with Ansible and Puppet: 4-in-1</v>
      </c>
      <c r="F20" s="140" t="str">
        <f>IFERROR(__xludf.DUMMYFUNCTION("""COMPUTED_VALUE"""),"Packt Publishing")</f>
        <v>Packt Publishing</v>
      </c>
      <c r="G20" t="str">
        <f>IFERROR(__xludf.DUMMYFUNCTION("""COMPUTED_VALUE"""),"Instructor Request- Opted Out")</f>
        <v>Instructor Request- Opted Out</v>
      </c>
      <c r="H20" t="str">
        <f>IFERROR(__xludf.DUMMYFUNCTION("""COMPUTED_VALUE"""),"Development")</f>
        <v>Development</v>
      </c>
      <c r="I20" s="142" t="str">
        <f>IFERROR(__xludf.DUMMYFUNCTION("""COMPUTED_VALUE"""),"Development Tools")</f>
        <v>Development Tools</v>
      </c>
      <c r="J20" s="140">
        <f>IFERROR(__xludf.DUMMYFUNCTION("""COMPUTED_VALUE"""),1691424.0)</f>
        <v>1691424</v>
      </c>
      <c r="K20" s="140" t="str">
        <f>IFERROR(__xludf.DUMMYFUNCTION("""COMPUTED_VALUE"""),"Puppet for the Absolute Beginners - Hands-on - DevOps")</f>
        <v>Puppet for the Absolute Beginners - Hands-on - DevOps</v>
      </c>
      <c r="M20" s="140" t="str">
        <f>IFERROR(__xludf.DUMMYFUNCTION("""COMPUTED_VALUE"""),"")</f>
        <v/>
      </c>
    </row>
    <row r="21">
      <c r="A21" s="141">
        <f>IFERROR(__xludf.DUMMYFUNCTION("""COMPUTED_VALUE"""),44183.0)</f>
        <v>44183</v>
      </c>
      <c r="B21" s="140">
        <f>IFERROR(__xludf.DUMMYFUNCTION("""COMPUTED_VALUE"""),30481.0)</f>
        <v>30481</v>
      </c>
      <c r="C21" t="str">
        <f>IFERROR(__xludf.DUMMYFUNCTION("""COMPUTED_VALUE"""),"en")</f>
        <v>en</v>
      </c>
      <c r="D21" s="140" t="str">
        <f>IFERROR(__xludf.DUMMYFUNCTION("""COMPUTED_VALUE"""),"The Startup Equity Calculator")</f>
        <v>The Startup Equity Calculator</v>
      </c>
      <c r="F21" s="140" t="str">
        <f>IFERROR(__xludf.DUMMYFUNCTION("""COMPUTED_VALUE"""),"Symon He")</f>
        <v>Symon He</v>
      </c>
      <c r="G21" t="str">
        <f>IFERROR(__xludf.DUMMYFUNCTION("""COMPUTED_VALUE"""),"Below Quality Standards- Low Rating")</f>
        <v>Below Quality Standards- Low Rating</v>
      </c>
      <c r="H21" t="str">
        <f>IFERROR(__xludf.DUMMYFUNCTION("""COMPUTED_VALUE"""),"Personal Development")</f>
        <v>Personal Development</v>
      </c>
      <c r="I21" s="142" t="str">
        <f>IFERROR(__xludf.DUMMYFUNCTION("""COMPUTED_VALUE"""),"Entrepreneurship")</f>
        <v>Entrepreneurship</v>
      </c>
      <c r="K21" s="140" t="str">
        <f>IFERROR(__xludf.DUMMYFUNCTION("""COMPUTED_VALUE"""),"")</f>
        <v/>
      </c>
      <c r="M21" s="140" t="str">
        <f>IFERROR(__xludf.DUMMYFUNCTION("""COMPUTED_VALUE"""),"")</f>
        <v/>
      </c>
      <c r="N21" s="140" t="str">
        <f>IFERROR(__xludf.DUMMYFUNCTION("""COMPUTED_VALUE"""),"No Alternatives in Collection- 12/18/2020")</f>
        <v>No Alternatives in Collection- 12/18/2020</v>
      </c>
    </row>
    <row r="22">
      <c r="A22" s="141">
        <f>IFERROR(__xludf.DUMMYFUNCTION("""COMPUTED_VALUE"""),44183.0)</f>
        <v>44183</v>
      </c>
      <c r="B22" s="140">
        <f>IFERROR(__xludf.DUMMYFUNCTION("""COMPUTED_VALUE"""),269064.0)</f>
        <v>269064</v>
      </c>
      <c r="C22" t="str">
        <f>IFERROR(__xludf.DUMMYFUNCTION("""COMPUTED_VALUE"""),"en")</f>
        <v>en</v>
      </c>
      <c r="D22" s="140" t="str">
        <f>IFERROR(__xludf.DUMMYFUNCTION("""COMPUTED_VALUE"""),"SAP Web Dynpro ABAP")</f>
        <v>SAP Web Dynpro ABAP</v>
      </c>
      <c r="F22" s="140" t="str">
        <f>IFERROR(__xludf.DUMMYFUNCTION("""COMPUTED_VALUE"""),"Thorsten Desef")</f>
        <v>Thorsten Desef</v>
      </c>
      <c r="G22" t="str">
        <f>IFERROR(__xludf.DUMMYFUNCTION("""COMPUTED_VALUE"""),"Below Quality Standards- Low Rating")</f>
        <v>Below Quality Standards- Low Rating</v>
      </c>
      <c r="H22" t="str">
        <f>IFERROR(__xludf.DUMMYFUNCTION("""COMPUTED_VALUE"""),"Development")</f>
        <v>Development</v>
      </c>
      <c r="I22" s="142" t="str">
        <f>IFERROR(__xludf.DUMMYFUNCTION("""COMPUTED_VALUE"""),"Programming Languages")</f>
        <v>Programming Languages</v>
      </c>
      <c r="J22" s="140">
        <f>IFERROR(__xludf.DUMMYFUNCTION("""COMPUTED_VALUE"""),20365.0)</f>
        <v>20365</v>
      </c>
      <c r="K22" s="140" t="str">
        <f>IFERROR(__xludf.DUMMYFUNCTION("""COMPUTED_VALUE"""),"SAP ABAP Programming For Beginners - Online Training")</f>
        <v>SAP ABAP Programming For Beginners - Online Training</v>
      </c>
      <c r="L22" s="140">
        <f>IFERROR(__xludf.DUMMYFUNCTION("""COMPUTED_VALUE"""),86390.0)</f>
        <v>86390</v>
      </c>
      <c r="M22" s="140" t="str">
        <f>IFERROR(__xludf.DUMMYFUNCTION("""COMPUTED_VALUE"""),"Learn SAP ABAP Objects - Online Training Course")</f>
        <v>Learn SAP ABAP Objects - Online Training Course</v>
      </c>
    </row>
    <row r="23">
      <c r="A23" s="141">
        <f>IFERROR(__xludf.DUMMYFUNCTION("""COMPUTED_VALUE"""),44183.0)</f>
        <v>44183</v>
      </c>
      <c r="B23" s="140">
        <f>IFERROR(__xludf.DUMMYFUNCTION("""COMPUTED_VALUE"""),1278320.0)</f>
        <v>1278320</v>
      </c>
      <c r="C23" t="str">
        <f>IFERROR(__xludf.DUMMYFUNCTION("""COMPUTED_VALUE"""),"pt")</f>
        <v>pt</v>
      </c>
      <c r="D23" s="140" t="str">
        <f>IFERROR(__xludf.DUMMYFUNCTION("""COMPUTED_VALUE"""),"Gerenciador de Negócios do Facebook - Edição 2020")</f>
        <v>Gerenciador de Negócios do Facebook - Edição 2020</v>
      </c>
      <c r="E23" t="str">
        <f>IFERROR(__xludf.DUMMYFUNCTION("""COMPUTED_VALUE"""),"Business Manager Facebook - Edition 2020")</f>
        <v>Business Manager Facebook - Edition 2020</v>
      </c>
      <c r="F23" s="140" t="str">
        <f>IFERROR(__xludf.DUMMYFUNCTION("""COMPUTED_VALUE"""),"Mariana Klein")</f>
        <v>Mariana Klein</v>
      </c>
      <c r="G23" t="str">
        <f>IFERROR(__xludf.DUMMYFUNCTION("""COMPUTED_VALUE"""),"Instructor Request- Opted Out")</f>
        <v>Instructor Request- Opted Out</v>
      </c>
      <c r="H23" t="str">
        <f>IFERROR(__xludf.DUMMYFUNCTION("""COMPUTED_VALUE"""),"Marketing")</f>
        <v>Marketing</v>
      </c>
      <c r="I23" s="142" t="str">
        <f>IFERROR(__xludf.DUMMYFUNCTION("""COMPUTED_VALUE"""),"Social Media Marketing")</f>
        <v>Social Media Marketing</v>
      </c>
      <c r="K23" s="140" t="str">
        <f>IFERROR(__xludf.DUMMYFUNCTION("""COMPUTED_VALUE"""),"")</f>
        <v/>
      </c>
      <c r="M23" s="140" t="str">
        <f>IFERROR(__xludf.DUMMYFUNCTION("""COMPUTED_VALUE"""),"")</f>
        <v/>
      </c>
      <c r="N23" s="140" t="str">
        <f>IFERROR(__xludf.DUMMYFUNCTION("""COMPUTED_VALUE"""),"No Alternatives in Collection- 8/03/2020")</f>
        <v>No Alternatives in Collection- 8/03/2020</v>
      </c>
    </row>
    <row r="24">
      <c r="A24" s="141">
        <f>IFERROR(__xludf.DUMMYFUNCTION("""COMPUTED_VALUE"""),44183.0)</f>
        <v>44183</v>
      </c>
      <c r="B24" s="140">
        <f>IFERROR(__xludf.DUMMYFUNCTION("""COMPUTED_VALUE"""),2367514.0)</f>
        <v>2367514</v>
      </c>
      <c r="C24" t="str">
        <f>IFERROR(__xludf.DUMMYFUNCTION("""COMPUTED_VALUE"""),"de")</f>
        <v>de</v>
      </c>
      <c r="D24" s="140" t="str">
        <f>IFERROR(__xludf.DUMMYFUNCTION("""COMPUTED_VALUE"""),"Statistik für Data Science und Business Analytics")</f>
        <v>Statistik für Data Science und Business Analytics</v>
      </c>
      <c r="E24" t="str">
        <f>IFERROR(__xludf.DUMMYFUNCTION("""COMPUTED_VALUE"""),"Statistics for data science and business analytics")</f>
        <v>Statistics for data science and business analytics</v>
      </c>
      <c r="F24" s="140" t="str">
        <f>IFERROR(__xludf.DUMMYFUNCTION("""COMPUTED_VALUE"""),"365 Careers")</f>
        <v>365 Careers</v>
      </c>
      <c r="G24" t="str">
        <f>IFERROR(__xludf.DUMMYFUNCTION("""COMPUTED_VALUE"""),"Below Quality Standards- 3 Flags")</f>
        <v>Below Quality Standards- 3 Flags</v>
      </c>
      <c r="H24" t="str">
        <f>IFERROR(__xludf.DUMMYFUNCTION("""COMPUTED_VALUE"""),"Data Science")</f>
        <v>Data Science</v>
      </c>
      <c r="I24" s="142" t="str">
        <f>IFERROR(__xludf.DUMMYFUNCTION("""COMPUTED_VALUE"""),"Analytics")</f>
        <v>Analytics</v>
      </c>
      <c r="K24" s="140" t="str">
        <f>IFERROR(__xludf.DUMMYFUNCTION("""COMPUTED_VALUE"""),"")</f>
        <v/>
      </c>
      <c r="M24" s="140" t="str">
        <f>IFERROR(__xludf.DUMMYFUNCTION("""COMPUTED_VALUE"""),"")</f>
        <v/>
      </c>
      <c r="N24" s="140" t="str">
        <f>IFERROR(__xludf.DUMMYFUNCTION("""COMPUTED_VALUE"""),"No Alternatives in Collection- 8/03/2020")</f>
        <v>No Alternatives in Collection- 8/03/2020</v>
      </c>
    </row>
    <row r="25">
      <c r="A25" s="141">
        <f>IFERROR(__xludf.DUMMYFUNCTION("""COMPUTED_VALUE"""),44183.0)</f>
        <v>44183</v>
      </c>
      <c r="B25" s="140">
        <f>IFERROR(__xludf.DUMMYFUNCTION("""COMPUTED_VALUE"""),1458964.0)</f>
        <v>1458964</v>
      </c>
      <c r="C25" t="str">
        <f>IFERROR(__xludf.DUMMYFUNCTION("""COMPUTED_VALUE"""),"en")</f>
        <v>en</v>
      </c>
      <c r="D25" s="140" t="str">
        <f>IFERROR(__xludf.DUMMYFUNCTION("""COMPUTED_VALUE"""),"LEARNING PATH: Python: Functional Programming with Python")</f>
        <v>LEARNING PATH: Python: Functional Programming with Python</v>
      </c>
      <c r="F25" s="140" t="str">
        <f>IFERROR(__xludf.DUMMYFUNCTION("""COMPUTED_VALUE"""),"Packt Publishing")</f>
        <v>Packt Publishing</v>
      </c>
      <c r="G25" t="str">
        <f>IFERROR(__xludf.DUMMYFUNCTION("""COMPUTED_VALUE"""),"Instructor Request- Opted Out")</f>
        <v>Instructor Request- Opted Out</v>
      </c>
      <c r="H25" t="str">
        <f>IFERROR(__xludf.DUMMYFUNCTION("""COMPUTED_VALUE"""),"Development")</f>
        <v>Development</v>
      </c>
      <c r="I25" s="142" t="str">
        <f>IFERROR(__xludf.DUMMYFUNCTION("""COMPUTED_VALUE"""),"Programming Languages")</f>
        <v>Programming Languages</v>
      </c>
      <c r="J25" s="140">
        <f>IFERROR(__xludf.DUMMYFUNCTION("""COMPUTED_VALUE"""),1213952.0)</f>
        <v>1213952</v>
      </c>
      <c r="K25" s="140" t="str">
        <f>IFERROR(__xludf.DUMMYFUNCTION("""COMPUTED_VALUE"""),"Python 3: Deep Dive (Part 1 - Functional)")</f>
        <v>Python 3: Deep Dive (Part 1 - Functional)</v>
      </c>
      <c r="M25" s="140" t="str">
        <f>IFERROR(__xludf.DUMMYFUNCTION("""COMPUTED_VALUE"""),"")</f>
        <v/>
      </c>
    </row>
    <row r="26">
      <c r="A26" s="141">
        <f>IFERROR(__xludf.DUMMYFUNCTION("""COMPUTED_VALUE"""),44183.0)</f>
        <v>44183</v>
      </c>
      <c r="B26" s="140">
        <f>IFERROR(__xludf.DUMMYFUNCTION("""COMPUTED_VALUE"""),1580400.0)</f>
        <v>1580400</v>
      </c>
      <c r="C26" t="str">
        <f>IFERROR(__xludf.DUMMYFUNCTION("""COMPUTED_VALUE"""),"en")</f>
        <v>en</v>
      </c>
      <c r="D26" s="140" t="str">
        <f>IFERROR(__xludf.DUMMYFUNCTION("""COMPUTED_VALUE"""),"ASIC Bootcamp for VLSI Engineer: STA Basic Concepts")</f>
        <v>ASIC Bootcamp for VLSI Engineer: STA Basic Concepts</v>
      </c>
      <c r="F26" s="140" t="str">
        <f>IFERROR(__xludf.DUMMYFUNCTION("""COMPUTED_VALUE"""),"Neil Jiang")</f>
        <v>Neil Jiang</v>
      </c>
      <c r="G26" t="str">
        <f>IFERROR(__xludf.DUMMYFUNCTION("""COMPUTED_VALUE"""),"Below Quality Standards- Low Rating")</f>
        <v>Below Quality Standards- Low Rating</v>
      </c>
      <c r="H26" t="str">
        <f>IFERROR(__xludf.DUMMYFUNCTION("""COMPUTED_VALUE"""),"IT Operations")</f>
        <v>IT Operations</v>
      </c>
      <c r="I26" s="142" t="str">
        <f>IFERROR(__xludf.DUMMYFUNCTION("""COMPUTED_VALUE"""),"Hardware")</f>
        <v>Hardware</v>
      </c>
      <c r="K26" s="140" t="str">
        <f>IFERROR(__xludf.DUMMYFUNCTION("""COMPUTED_VALUE"""),"")</f>
        <v/>
      </c>
      <c r="M26" s="140" t="str">
        <f>IFERROR(__xludf.DUMMYFUNCTION("""COMPUTED_VALUE"""),"")</f>
        <v/>
      </c>
      <c r="N26" s="140" t="str">
        <f>IFERROR(__xludf.DUMMYFUNCTION("""COMPUTED_VALUE"""),"No Alternatives in Collection- 12/18/2020")</f>
        <v>No Alternatives in Collection- 12/18/2020</v>
      </c>
    </row>
    <row r="27">
      <c r="A27" s="141">
        <f>IFERROR(__xludf.DUMMYFUNCTION("""COMPUTED_VALUE"""),44183.0)</f>
        <v>44183</v>
      </c>
      <c r="B27" s="140">
        <f>IFERROR(__xludf.DUMMYFUNCTION("""COMPUTED_VALUE"""),1361898.0)</f>
        <v>1361898</v>
      </c>
      <c r="C27" t="str">
        <f>IFERROR(__xludf.DUMMYFUNCTION("""COMPUTED_VALUE"""),"de")</f>
        <v>de</v>
      </c>
      <c r="D27" s="140" t="str">
        <f>IFERROR(__xludf.DUMMYFUNCTION("""COMPUTED_VALUE"""),"Bootstrap 4 Crash­kurs")</f>
        <v>Bootstrap 4 Crash­kurs</v>
      </c>
      <c r="E27" t="str">
        <f>IFERROR(__xludf.DUMMYFUNCTION("""COMPUTED_VALUE"""),"Bootstrap 4 Crash­kurs")</f>
        <v>Bootstrap 4 Crash­kurs</v>
      </c>
      <c r="F27" s="140" t="str">
        <f>IFERROR(__xludf.DUMMYFUNCTION("""COMPUTED_VALUE"""),"Stefan Sommerfeld")</f>
        <v>Stefan Sommerfeld</v>
      </c>
      <c r="G27" t="str">
        <f>IFERROR(__xludf.DUMMYFUNCTION("""COMPUTED_VALUE"""),"Below Quality Standards- 3 Flags")</f>
        <v>Below Quality Standards- 3 Flags</v>
      </c>
      <c r="H27" t="str">
        <f>IFERROR(__xludf.DUMMYFUNCTION("""COMPUTED_VALUE"""),"Development")</f>
        <v>Development</v>
      </c>
      <c r="I27" s="142" t="str">
        <f>IFERROR(__xludf.DUMMYFUNCTION("""COMPUTED_VALUE"""),"Web Development")</f>
        <v>Web Development</v>
      </c>
      <c r="J27" s="140">
        <f>IFERROR(__xludf.DUMMYFUNCTION("""COMPUTED_VALUE"""),1317696.0)</f>
        <v>1317696</v>
      </c>
      <c r="K27" s="140" t="str">
        <f>IFERROR(__xludf.DUMMYFUNCTION("""COMPUTED_VALUE"""),"Jetzt mit Bootstrap 4 starten - mit Praxisprojekt!")</f>
        <v>Jetzt mit Bootstrap 4 starten - mit Praxisprojekt!</v>
      </c>
      <c r="M27" s="140" t="str">
        <f>IFERROR(__xludf.DUMMYFUNCTION("""COMPUTED_VALUE"""),"")</f>
        <v/>
      </c>
    </row>
    <row r="28">
      <c r="A28" s="141">
        <f>IFERROR(__xludf.DUMMYFUNCTION("""COMPUTED_VALUE"""),44183.0)</f>
        <v>44183</v>
      </c>
      <c r="B28" s="140">
        <f>IFERROR(__xludf.DUMMYFUNCTION("""COMPUTED_VALUE"""),1344266.0)</f>
        <v>1344266</v>
      </c>
      <c r="C28" t="str">
        <f>IFERROR(__xludf.DUMMYFUNCTION("""COMPUTED_VALUE"""),"en")</f>
        <v>en</v>
      </c>
      <c r="D28" s="140" t="str">
        <f>IFERROR(__xludf.DUMMYFUNCTION("""COMPUTED_VALUE"""),"Learning Path: Functional Programming in JavaScript")</f>
        <v>Learning Path: Functional Programming in JavaScript</v>
      </c>
      <c r="F28" s="140" t="str">
        <f>IFERROR(__xludf.DUMMYFUNCTION("""COMPUTED_VALUE"""),"Packt Publishing")</f>
        <v>Packt Publishing</v>
      </c>
      <c r="G28" t="str">
        <f>IFERROR(__xludf.DUMMYFUNCTION("""COMPUTED_VALUE"""),"Instructor Request- Opted Out")</f>
        <v>Instructor Request- Opted Out</v>
      </c>
      <c r="H28" t="str">
        <f>IFERROR(__xludf.DUMMYFUNCTION("""COMPUTED_VALUE"""),"Development")</f>
        <v>Development</v>
      </c>
      <c r="I28" s="142" t="str">
        <f>IFERROR(__xludf.DUMMYFUNCTION("""COMPUTED_VALUE"""),"Programming Languages")</f>
        <v>Programming Languages</v>
      </c>
      <c r="J28" s="140">
        <f>IFERROR(__xludf.DUMMYFUNCTION("""COMPUTED_VALUE"""),2319848.0)</f>
        <v>2319848</v>
      </c>
      <c r="K28" s="140" t="str">
        <f>IFERROR(__xludf.DUMMYFUNCTION("""COMPUTED_VALUE"""),"Functional Programming in JavaScript: A Practical Guide")</f>
        <v>Functional Programming in JavaScript: A Practical Guide</v>
      </c>
      <c r="M28" s="140" t="str">
        <f>IFERROR(__xludf.DUMMYFUNCTION("""COMPUTED_VALUE"""),"")</f>
        <v/>
      </c>
    </row>
    <row r="29">
      <c r="A29" s="141">
        <f>IFERROR(__xludf.DUMMYFUNCTION("""COMPUTED_VALUE"""),44183.0)</f>
        <v>44183</v>
      </c>
      <c r="B29" s="140">
        <f>IFERROR(__xludf.DUMMYFUNCTION("""COMPUTED_VALUE"""),1248330.0)</f>
        <v>1248330</v>
      </c>
      <c r="C29" t="str">
        <f>IFERROR(__xludf.DUMMYFUNCTION("""COMPUTED_VALUE"""),"en")</f>
        <v>en</v>
      </c>
      <c r="D29" s="140" t="str">
        <f>IFERROR(__xludf.DUMMYFUNCTION("""COMPUTED_VALUE"""),"Become a Python Data Analyst")</f>
        <v>Become a Python Data Analyst</v>
      </c>
      <c r="F29" s="140" t="str">
        <f>IFERROR(__xludf.DUMMYFUNCTION("""COMPUTED_VALUE"""),"Packt Publishing")</f>
        <v>Packt Publishing</v>
      </c>
      <c r="G29" t="str">
        <f>IFERROR(__xludf.DUMMYFUNCTION("""COMPUTED_VALUE"""),"Instructor Request- Opted Out")</f>
        <v>Instructor Request- Opted Out</v>
      </c>
      <c r="H29" t="str">
        <f>IFERROR(__xludf.DUMMYFUNCTION("""COMPUTED_VALUE"""),"Data Science")</f>
        <v>Data Science</v>
      </c>
      <c r="I29" s="142" t="str">
        <f>IFERROR(__xludf.DUMMYFUNCTION("""COMPUTED_VALUE"""),"Analytics")</f>
        <v>Analytics</v>
      </c>
      <c r="J29" s="140">
        <f>IFERROR(__xludf.DUMMYFUNCTION("""COMPUTED_VALUE"""),567828.0)</f>
        <v>567828</v>
      </c>
      <c r="K29" s="140" t="str">
        <f>IFERROR(__xludf.DUMMYFUNCTION("""COMPUTED_VALUE"""),"2022 Complete Python Bootcamp From Zero to Hero in Python")</f>
        <v>2022 Complete Python Bootcamp From Zero to Hero in Python</v>
      </c>
      <c r="M29" s="140" t="str">
        <f>IFERROR(__xludf.DUMMYFUNCTION("""COMPUTED_VALUE"""),"")</f>
        <v/>
      </c>
    </row>
    <row r="30">
      <c r="A30" s="141">
        <f>IFERROR(__xludf.DUMMYFUNCTION("""COMPUTED_VALUE"""),44183.0)</f>
        <v>44183</v>
      </c>
      <c r="B30" s="140">
        <f>IFERROR(__xludf.DUMMYFUNCTION("""COMPUTED_VALUE"""),1112138.0)</f>
        <v>1112138</v>
      </c>
      <c r="C30" t="str">
        <f>IFERROR(__xludf.DUMMYFUNCTION("""COMPUTED_VALUE"""),"en")</f>
        <v>en</v>
      </c>
      <c r="D30" s="140" t="str">
        <f>IFERROR(__xludf.DUMMYFUNCTION("""COMPUTED_VALUE"""),"Drupal 8 for Beginners")</f>
        <v>Drupal 8 for Beginners</v>
      </c>
      <c r="F30" s="140" t="str">
        <f>IFERROR(__xludf.DUMMYFUNCTION("""COMPUTED_VALUE"""),"Packt Publishing")</f>
        <v>Packt Publishing</v>
      </c>
      <c r="G30" t="str">
        <f>IFERROR(__xludf.DUMMYFUNCTION("""COMPUTED_VALUE"""),"Instructor Request- Opted Out")</f>
        <v>Instructor Request- Opted Out</v>
      </c>
      <c r="H30" t="str">
        <f>IFERROR(__xludf.DUMMYFUNCTION("""COMPUTED_VALUE"""),"Development")</f>
        <v>Development</v>
      </c>
      <c r="I30" s="142" t="str">
        <f>IFERROR(__xludf.DUMMYFUNCTION("""COMPUTED_VALUE"""),"Web Development")</f>
        <v>Web Development</v>
      </c>
      <c r="J30" s="140">
        <f>IFERROR(__xludf.DUMMYFUNCTION("""COMPUTED_VALUE"""),1664030.0)</f>
        <v>1664030</v>
      </c>
      <c r="K30" s="140" t="str">
        <f>IFERROR(__xludf.DUMMYFUNCTION("""COMPUTED_VALUE"""),"Learn Drupal 8 module development with examples")</f>
        <v>Learn Drupal 8 module development with examples</v>
      </c>
      <c r="M30" s="140" t="str">
        <f>IFERROR(__xludf.DUMMYFUNCTION("""COMPUTED_VALUE"""),"")</f>
        <v/>
      </c>
    </row>
    <row r="31">
      <c r="A31" s="141">
        <f>IFERROR(__xludf.DUMMYFUNCTION("""COMPUTED_VALUE"""),44183.0)</f>
        <v>44183</v>
      </c>
      <c r="B31" s="140">
        <f>IFERROR(__xludf.DUMMYFUNCTION("""COMPUTED_VALUE"""),1220404.0)</f>
        <v>1220404</v>
      </c>
      <c r="C31" t="str">
        <f>IFERROR(__xludf.DUMMYFUNCTION("""COMPUTED_VALUE"""),"en")</f>
        <v>en</v>
      </c>
      <c r="D31" s="140" t="str">
        <f>IFERROR(__xludf.DUMMYFUNCTION("""COMPUTED_VALUE"""),"Learning Path: Automation with Ansible, Puppet, and Salt")</f>
        <v>Learning Path: Automation with Ansible, Puppet, and Salt</v>
      </c>
      <c r="F31" s="140" t="str">
        <f>IFERROR(__xludf.DUMMYFUNCTION("""COMPUTED_VALUE"""),"Packt Publishing")</f>
        <v>Packt Publishing</v>
      </c>
      <c r="G31" t="str">
        <f>IFERROR(__xludf.DUMMYFUNCTION("""COMPUTED_VALUE"""),"Instructor Request- Opted Out")</f>
        <v>Instructor Request- Opted Out</v>
      </c>
      <c r="H31" t="str">
        <f>IFERROR(__xludf.DUMMYFUNCTION("""COMPUTED_VALUE"""),"IT Operations")</f>
        <v>IT Operations</v>
      </c>
      <c r="I31" s="142" t="str">
        <f>IFERROR(__xludf.DUMMYFUNCTION("""COMPUTED_VALUE"""),"Operating Systems &amp; Servers")</f>
        <v>Operating Systems &amp; Servers</v>
      </c>
      <c r="J31" s="140">
        <f>IFERROR(__xludf.DUMMYFUNCTION("""COMPUTED_VALUE"""),1209412.0)</f>
        <v>1209412</v>
      </c>
      <c r="K31" s="140" t="str">
        <f>IFERROR(__xludf.DUMMYFUNCTION("""COMPUTED_VALUE"""),"Ansible for the Absolute Beginner - Hands-On - DevOps")</f>
        <v>Ansible for the Absolute Beginner - Hands-On - DevOps</v>
      </c>
      <c r="M31" s="140" t="str">
        <f>IFERROR(__xludf.DUMMYFUNCTION("""COMPUTED_VALUE"""),"")</f>
        <v/>
      </c>
    </row>
    <row r="32">
      <c r="A32" s="141">
        <f>IFERROR(__xludf.DUMMYFUNCTION("""COMPUTED_VALUE"""),44183.0)</f>
        <v>44183</v>
      </c>
      <c r="B32" s="140">
        <f>IFERROR(__xludf.DUMMYFUNCTION("""COMPUTED_VALUE"""),1071142.0)</f>
        <v>1071142</v>
      </c>
      <c r="C32" t="str">
        <f>IFERROR(__xludf.DUMMYFUNCTION("""COMPUTED_VALUE"""),"en")</f>
        <v>en</v>
      </c>
      <c r="D32" s="140" t="str">
        <f>IFERROR(__xludf.DUMMYFUNCTION("""COMPUTED_VALUE"""),"Unreal Engine 4.x Projects")</f>
        <v>Unreal Engine 4.x Projects</v>
      </c>
      <c r="F32" s="140" t="str">
        <f>IFERROR(__xludf.DUMMYFUNCTION("""COMPUTED_VALUE"""),"Packt Publishing")</f>
        <v>Packt Publishing</v>
      </c>
      <c r="G32" t="str">
        <f>IFERROR(__xludf.DUMMYFUNCTION("""COMPUTED_VALUE"""),"Instructor Request- Opted Out")</f>
        <v>Instructor Request- Opted Out</v>
      </c>
      <c r="H32" t="str">
        <f>IFERROR(__xludf.DUMMYFUNCTION("""COMPUTED_VALUE"""),"Development")</f>
        <v>Development</v>
      </c>
      <c r="I32" s="142" t="str">
        <f>IFERROR(__xludf.DUMMYFUNCTION("""COMPUTED_VALUE"""),"Game Development")</f>
        <v>Game Development</v>
      </c>
      <c r="J32" s="140">
        <f>IFERROR(__xludf.DUMMYFUNCTION("""COMPUTED_VALUE"""),660600.0)</f>
        <v>660600</v>
      </c>
      <c r="K32" s="140" t="str">
        <f>IFERROR(__xludf.DUMMYFUNCTION("""COMPUTED_VALUE"""),"Unreal Engine 5: The Complete Beginner's Course")</f>
        <v>Unreal Engine 5: The Complete Beginner's Course</v>
      </c>
      <c r="M32" s="140" t="str">
        <f>IFERROR(__xludf.DUMMYFUNCTION("""COMPUTED_VALUE"""),"")</f>
        <v/>
      </c>
    </row>
    <row r="33">
      <c r="A33" s="141">
        <f>IFERROR(__xludf.DUMMYFUNCTION("""COMPUTED_VALUE"""),44183.0)</f>
        <v>44183</v>
      </c>
      <c r="B33" s="140">
        <f>IFERROR(__xludf.DUMMYFUNCTION("""COMPUTED_VALUE"""),1586760.0)</f>
        <v>1586760</v>
      </c>
      <c r="C33" t="str">
        <f>IFERROR(__xludf.DUMMYFUNCTION("""COMPUTED_VALUE"""),"pt")</f>
        <v>pt</v>
      </c>
      <c r="D33" s="140" t="str">
        <f>IFERROR(__xludf.DUMMYFUNCTION("""COMPUTED_VALUE"""),"Instagram Ads para Empresas")</f>
        <v>Instagram Ads para Empresas</v>
      </c>
      <c r="E33" t="str">
        <f>IFERROR(__xludf.DUMMYFUNCTION("""COMPUTED_VALUE"""),"Instagram Ads for Companies")</f>
        <v>Instagram Ads for Companies</v>
      </c>
      <c r="F33" s="140" t="str">
        <f>IFERROR(__xludf.DUMMYFUNCTION("""COMPUTED_VALUE"""),"Mariana Klein")</f>
        <v>Mariana Klein</v>
      </c>
      <c r="G33" t="str">
        <f>IFERROR(__xludf.DUMMYFUNCTION("""COMPUTED_VALUE"""),"Instructor Request- Opted Out")</f>
        <v>Instructor Request- Opted Out</v>
      </c>
      <c r="H33" t="str">
        <f>IFERROR(__xludf.DUMMYFUNCTION("""COMPUTED_VALUE"""),"Marketing")</f>
        <v>Marketing</v>
      </c>
      <c r="I33" s="142" t="str">
        <f>IFERROR(__xludf.DUMMYFUNCTION("""COMPUTED_VALUE"""),"Social Media Marketing")</f>
        <v>Social Media Marketing</v>
      </c>
      <c r="J33" s="140">
        <f>IFERROR(__xludf.DUMMYFUNCTION("""COMPUTED_VALUE"""),2835898.0)</f>
        <v>2835898</v>
      </c>
      <c r="K33" s="140" t="str">
        <f>IFERROR(__xludf.DUMMYFUNCTION("""COMPUTED_VALUE"""),"Instagram Ads: Curso Completo de Anúncios no Instagram")</f>
        <v>Instagram Ads: Curso Completo de Anúncios no Instagram</v>
      </c>
      <c r="M33" s="140" t="str">
        <f>IFERROR(__xludf.DUMMYFUNCTION("""COMPUTED_VALUE"""),"")</f>
        <v/>
      </c>
    </row>
    <row r="34">
      <c r="A34" s="141">
        <f>IFERROR(__xludf.DUMMYFUNCTION("""COMPUTED_VALUE"""),44183.0)</f>
        <v>44183</v>
      </c>
      <c r="B34" s="140">
        <f>IFERROR(__xludf.DUMMYFUNCTION("""COMPUTED_VALUE"""),1117584.0)</f>
        <v>1117584</v>
      </c>
      <c r="C34" t="str">
        <f>IFERROR(__xludf.DUMMYFUNCTION("""COMPUTED_VALUE"""),"en")</f>
        <v>en</v>
      </c>
      <c r="D34" s="140" t="str">
        <f>IFERROR(__xludf.DUMMYFUNCTION("""COMPUTED_VALUE"""),"Getting Started with PHP 7")</f>
        <v>Getting Started with PHP 7</v>
      </c>
      <c r="F34" s="140" t="str">
        <f>IFERROR(__xludf.DUMMYFUNCTION("""COMPUTED_VALUE"""),"Packt Publishing")</f>
        <v>Packt Publishing</v>
      </c>
      <c r="G34" t="str">
        <f>IFERROR(__xludf.DUMMYFUNCTION("""COMPUTED_VALUE"""),"Instructor Request- Opted Out")</f>
        <v>Instructor Request- Opted Out</v>
      </c>
      <c r="H34" t="str">
        <f>IFERROR(__xludf.DUMMYFUNCTION("""COMPUTED_VALUE"""),"Development")</f>
        <v>Development</v>
      </c>
      <c r="I34" s="142" t="str">
        <f>IFERROR(__xludf.DUMMYFUNCTION("""COMPUTED_VALUE"""),"Programming Languages")</f>
        <v>Programming Languages</v>
      </c>
      <c r="J34" s="140">
        <f>IFERROR(__xludf.DUMMYFUNCTION("""COMPUTED_VALUE"""),405282.0)</f>
        <v>405282</v>
      </c>
      <c r="K34" s="140" t="str">
        <f>IFERROR(__xludf.DUMMYFUNCTION("""COMPUTED_VALUE"""),"PHP for Beginners - Become a PHP Master - CMS Project")</f>
        <v>PHP for Beginners - Become a PHP Master - CMS Project</v>
      </c>
      <c r="M34" s="140" t="str">
        <f>IFERROR(__xludf.DUMMYFUNCTION("""COMPUTED_VALUE"""),"")</f>
        <v/>
      </c>
    </row>
    <row r="35">
      <c r="A35" s="141">
        <f>IFERROR(__xludf.DUMMYFUNCTION("""COMPUTED_VALUE"""),44183.0)</f>
        <v>44183</v>
      </c>
      <c r="B35" s="140">
        <f>IFERROR(__xludf.DUMMYFUNCTION("""COMPUTED_VALUE"""),1034402.0)</f>
        <v>1034402</v>
      </c>
      <c r="C35" t="str">
        <f>IFERROR(__xludf.DUMMYFUNCTION("""COMPUTED_VALUE"""),"en")</f>
        <v>en</v>
      </c>
      <c r="D35" s="140" t="str">
        <f>IFERROR(__xludf.DUMMYFUNCTION("""COMPUTED_VALUE"""),"Mastering Puppet for Large Infrastructures")</f>
        <v>Mastering Puppet for Large Infrastructures</v>
      </c>
      <c r="F35" s="140" t="str">
        <f>IFERROR(__xludf.DUMMYFUNCTION("""COMPUTED_VALUE"""),"Packt Publishing")</f>
        <v>Packt Publishing</v>
      </c>
      <c r="G35" t="str">
        <f>IFERROR(__xludf.DUMMYFUNCTION("""COMPUTED_VALUE"""),"Instructor Request- Opted Out")</f>
        <v>Instructor Request- Opted Out</v>
      </c>
      <c r="H35" t="str">
        <f>IFERROR(__xludf.DUMMYFUNCTION("""COMPUTED_VALUE"""),"Development")</f>
        <v>Development</v>
      </c>
      <c r="I35" s="142" t="str">
        <f>IFERROR(__xludf.DUMMYFUNCTION("""COMPUTED_VALUE"""),"Development Tools")</f>
        <v>Development Tools</v>
      </c>
      <c r="J35" s="140">
        <f>IFERROR(__xludf.DUMMYFUNCTION("""COMPUTED_VALUE"""),1691424.0)</f>
        <v>1691424</v>
      </c>
      <c r="K35" s="140" t="str">
        <f>IFERROR(__xludf.DUMMYFUNCTION("""COMPUTED_VALUE"""),"Puppet for the Absolute Beginners - Hands-on - DevOps")</f>
        <v>Puppet for the Absolute Beginners - Hands-on - DevOps</v>
      </c>
      <c r="M35" s="140" t="str">
        <f>IFERROR(__xludf.DUMMYFUNCTION("""COMPUTED_VALUE"""),"")</f>
        <v/>
      </c>
    </row>
    <row r="36">
      <c r="A36" s="141">
        <f>IFERROR(__xludf.DUMMYFUNCTION("""COMPUTED_VALUE"""),44183.0)</f>
        <v>44183</v>
      </c>
      <c r="B36" s="140">
        <f>IFERROR(__xludf.DUMMYFUNCTION("""COMPUTED_VALUE"""),2044196.0)</f>
        <v>2044196</v>
      </c>
      <c r="C36" t="str">
        <f>IFERROR(__xludf.DUMMYFUNCTION("""COMPUTED_VALUE"""),"en")</f>
        <v>en</v>
      </c>
      <c r="D36" s="140" t="str">
        <f>IFERROR(__xludf.DUMMYFUNCTION("""COMPUTED_VALUE"""),"Netapp ONTAP WAFL explored")</f>
        <v>Netapp ONTAP WAFL explored</v>
      </c>
      <c r="F36" s="140" t="str">
        <f>IFERROR(__xludf.DUMMYFUNCTION("""COMPUTED_VALUE"""),"Peter van der weerd")</f>
        <v>Peter van der weerd</v>
      </c>
      <c r="G36" t="str">
        <f>IFERROR(__xludf.DUMMYFUNCTION("""COMPUTED_VALUE"""),"Instructor Request- Opted Out")</f>
        <v>Instructor Request- Opted Out</v>
      </c>
      <c r="H36" t="str">
        <f>IFERROR(__xludf.DUMMYFUNCTION("""COMPUTED_VALUE"""),"IT Operations")</f>
        <v>IT Operations</v>
      </c>
      <c r="I36" s="142" t="str">
        <f>IFERROR(__xludf.DUMMYFUNCTION("""COMPUTED_VALUE"""),"Operating Systems &amp; Servers")</f>
        <v>Operating Systems &amp; Servers</v>
      </c>
      <c r="K36" s="140" t="str">
        <f>IFERROR(__xludf.DUMMYFUNCTION("""COMPUTED_VALUE"""),"")</f>
        <v/>
      </c>
      <c r="M36" s="140" t="str">
        <f>IFERROR(__xludf.DUMMYFUNCTION("""COMPUTED_VALUE"""),"")</f>
        <v/>
      </c>
      <c r="N36" s="140" t="str">
        <f>IFERROR(__xludf.DUMMYFUNCTION("""COMPUTED_VALUE"""),"No Alternatives in Collection- 8/03/2020")</f>
        <v>No Alternatives in Collection- 8/03/2020</v>
      </c>
    </row>
    <row r="37">
      <c r="A37" s="141">
        <f>IFERROR(__xludf.DUMMYFUNCTION("""COMPUTED_VALUE"""),44183.0)</f>
        <v>44183</v>
      </c>
      <c r="B37" s="140">
        <f>IFERROR(__xludf.DUMMYFUNCTION("""COMPUTED_VALUE"""),1113516.0)</f>
        <v>1113516</v>
      </c>
      <c r="C37" t="str">
        <f>IFERROR(__xludf.DUMMYFUNCTION("""COMPUTED_VALUE"""),"en")</f>
        <v>en</v>
      </c>
      <c r="D37" s="140" t="str">
        <f>IFERROR(__xludf.DUMMYFUNCTION("""COMPUTED_VALUE"""),"Learning Path: Wireshark -The Advanced Network Analysis Tool")</f>
        <v>Learning Path: Wireshark -The Advanced Network Analysis Tool</v>
      </c>
      <c r="F37" s="140" t="str">
        <f>IFERROR(__xludf.DUMMYFUNCTION("""COMPUTED_VALUE"""),"Packt Publishing")</f>
        <v>Packt Publishing</v>
      </c>
      <c r="G37" t="str">
        <f>IFERROR(__xludf.DUMMYFUNCTION("""COMPUTED_VALUE"""),"Instructor Request- Opted Out")</f>
        <v>Instructor Request- Opted Out</v>
      </c>
      <c r="H37" t="str">
        <f>IFERROR(__xludf.DUMMYFUNCTION("""COMPUTED_VALUE"""),"IT Operations")</f>
        <v>IT Operations</v>
      </c>
      <c r="I37" s="142" t="str">
        <f>IFERROR(__xludf.DUMMYFUNCTION("""COMPUTED_VALUE"""),"Network &amp; Security")</f>
        <v>Network &amp; Security</v>
      </c>
      <c r="J37" s="140">
        <f>IFERROR(__xludf.DUMMYFUNCTION("""COMPUTED_VALUE"""),2351336.0)</f>
        <v>2351336</v>
      </c>
      <c r="K37" s="140" t="str">
        <f>IFERROR(__xludf.DUMMYFUNCTION("""COMPUTED_VALUE"""),"Wireshark: Packet Analysis and Ethical Hacking: Core Skills")</f>
        <v>Wireshark: Packet Analysis and Ethical Hacking: Core Skills</v>
      </c>
      <c r="M37" s="140" t="str">
        <f>IFERROR(__xludf.DUMMYFUNCTION("""COMPUTED_VALUE"""),"")</f>
        <v/>
      </c>
    </row>
    <row r="38">
      <c r="A38" s="141">
        <f>IFERROR(__xludf.DUMMYFUNCTION("""COMPUTED_VALUE"""),44183.0)</f>
        <v>44183</v>
      </c>
      <c r="B38" s="140">
        <f>IFERROR(__xludf.DUMMYFUNCTION("""COMPUTED_VALUE"""),1799724.0)</f>
        <v>1799724</v>
      </c>
      <c r="C38" t="str">
        <f>IFERROR(__xludf.DUMMYFUNCTION("""COMPUTED_VALUE"""),"en")</f>
        <v>en</v>
      </c>
      <c r="D38" s="140" t="str">
        <f>IFERROR(__xludf.DUMMYFUNCTION("""COMPUTED_VALUE"""),"Build Internet of Things with ESP8266 &amp; MicroPython")</f>
        <v>Build Internet of Things with ESP8266 &amp; MicroPython</v>
      </c>
      <c r="F38" s="140" t="str">
        <f>IFERROR(__xludf.DUMMYFUNCTION("""COMPUTED_VALUE"""),"MiUbi Systems")</f>
        <v>MiUbi Systems</v>
      </c>
      <c r="G38" t="str">
        <f>IFERROR(__xludf.DUMMYFUNCTION("""COMPUTED_VALUE"""),"Instructor Request- Opted Out")</f>
        <v>Instructor Request- Opted Out</v>
      </c>
      <c r="H38" t="str">
        <f>IFERROR(__xludf.DUMMYFUNCTION("""COMPUTED_VALUE"""),"IT Operations")</f>
        <v>IT Operations</v>
      </c>
      <c r="I38" s="142" t="str">
        <f>IFERROR(__xludf.DUMMYFUNCTION("""COMPUTED_VALUE"""),"Hardware")</f>
        <v>Hardware</v>
      </c>
      <c r="K38" s="140" t="str">
        <f>IFERROR(__xludf.DUMMYFUNCTION("""COMPUTED_VALUE"""),"")</f>
        <v/>
      </c>
      <c r="M38" s="140" t="str">
        <f>IFERROR(__xludf.DUMMYFUNCTION("""COMPUTED_VALUE"""),"")</f>
        <v/>
      </c>
      <c r="N38" s="140" t="str">
        <f>IFERROR(__xludf.DUMMYFUNCTION("""COMPUTED_VALUE"""),"No Alternatives in Collection- 8/03/2020")</f>
        <v>No Alternatives in Collection- 8/03/2020</v>
      </c>
    </row>
    <row r="39">
      <c r="A39" s="141">
        <f>IFERROR(__xludf.DUMMYFUNCTION("""COMPUTED_VALUE"""),44183.0)</f>
        <v>44183</v>
      </c>
      <c r="B39" s="140">
        <f>IFERROR(__xludf.DUMMYFUNCTION("""COMPUTED_VALUE"""),2137382.0)</f>
        <v>2137382</v>
      </c>
      <c r="C39" t="str">
        <f>IFERROR(__xludf.DUMMYFUNCTION("""COMPUTED_VALUE"""),"en")</f>
        <v>en</v>
      </c>
      <c r="D39" s="140" t="str">
        <f>IFERROR(__xludf.DUMMYFUNCTION("""COMPUTED_VALUE"""),"The Psychology of Color in Game Design &amp; Development")</f>
        <v>The Psychology of Color in Game Design &amp; Development</v>
      </c>
      <c r="F39" s="140" t="str">
        <f>IFERROR(__xludf.DUMMYFUNCTION("""COMPUTED_VALUE"""),"Emilio Padulo")</f>
        <v>Emilio Padulo</v>
      </c>
      <c r="G39" t="str">
        <f>IFERROR(__xludf.DUMMYFUNCTION("""COMPUTED_VALUE"""),"Instructor Request- Opted Out")</f>
        <v>Instructor Request- Opted Out</v>
      </c>
      <c r="H39" t="str">
        <f>IFERROR(__xludf.DUMMYFUNCTION("""COMPUTED_VALUE"""),"Design")</f>
        <v>Design</v>
      </c>
      <c r="I39" s="142" t="str">
        <f>IFERROR(__xludf.DUMMYFUNCTION("""COMPUTED_VALUE"""),"Game Design")</f>
        <v>Game Design</v>
      </c>
      <c r="J39" s="140">
        <f>IFERROR(__xludf.DUMMYFUNCTION("""COMPUTED_VALUE"""),1123198.0)</f>
        <v>1123198</v>
      </c>
      <c r="K39" s="140" t="str">
        <f>IFERROR(__xludf.DUMMYFUNCTION("""COMPUTED_VALUE"""),"Colors for Data Science A-Z: Data Visualization Color Theory")</f>
        <v>Colors for Data Science A-Z: Data Visualization Color Theory</v>
      </c>
      <c r="M39" s="140" t="str">
        <f>IFERROR(__xludf.DUMMYFUNCTION("""COMPUTED_VALUE"""),"")</f>
        <v/>
      </c>
    </row>
    <row r="40">
      <c r="A40" s="141">
        <f>IFERROR(__xludf.DUMMYFUNCTION("""COMPUTED_VALUE"""),44183.0)</f>
        <v>44183</v>
      </c>
      <c r="B40" s="140">
        <f>IFERROR(__xludf.DUMMYFUNCTION("""COMPUTED_VALUE"""),1547118.0)</f>
        <v>1547118</v>
      </c>
      <c r="C40" t="str">
        <f>IFERROR(__xludf.DUMMYFUNCTION("""COMPUTED_VALUE"""),"en")</f>
        <v>en</v>
      </c>
      <c r="D40" s="140" t="str">
        <f>IFERROR(__xludf.DUMMYFUNCTION("""COMPUTED_VALUE"""),"Learning Path: Powershell: Getting Started with Powershell 6")</f>
        <v>Learning Path: Powershell: Getting Started with Powershell 6</v>
      </c>
      <c r="F40" s="140" t="str">
        <f>IFERROR(__xludf.DUMMYFUNCTION("""COMPUTED_VALUE"""),"Packt Publishing")</f>
        <v>Packt Publishing</v>
      </c>
      <c r="G40" t="str">
        <f>IFERROR(__xludf.DUMMYFUNCTION("""COMPUTED_VALUE"""),"Instructor Request- Opted Out")</f>
        <v>Instructor Request- Opted Out</v>
      </c>
      <c r="H40" t="str">
        <f>IFERROR(__xludf.DUMMYFUNCTION("""COMPUTED_VALUE"""),"IT Operations")</f>
        <v>IT Operations</v>
      </c>
      <c r="I40" s="142" t="str">
        <f>IFERROR(__xludf.DUMMYFUNCTION("""COMPUTED_VALUE"""),"Operating Systems &amp; Servers")</f>
        <v>Operating Systems &amp; Servers</v>
      </c>
      <c r="J40" s="140">
        <f>IFERROR(__xludf.DUMMYFUNCTION("""COMPUTED_VALUE"""),2337452.0)</f>
        <v>2337452</v>
      </c>
      <c r="K40" s="140" t="str">
        <f>IFERROR(__xludf.DUMMYFUNCTION("""COMPUTED_VALUE"""),"PowerShell version 5.1 and 6: Step-by-Step")</f>
        <v>PowerShell version 5.1 and 6: Step-by-Step</v>
      </c>
      <c r="M40" s="140" t="str">
        <f>IFERROR(__xludf.DUMMYFUNCTION("""COMPUTED_VALUE"""),"")</f>
        <v/>
      </c>
    </row>
    <row r="41">
      <c r="A41" s="141">
        <f>IFERROR(__xludf.DUMMYFUNCTION("""COMPUTED_VALUE"""),44183.0)</f>
        <v>44183</v>
      </c>
      <c r="B41" s="140">
        <f>IFERROR(__xludf.DUMMYFUNCTION("""COMPUTED_VALUE"""),2258674.0)</f>
        <v>2258674</v>
      </c>
      <c r="C41" t="str">
        <f>IFERROR(__xludf.DUMMYFUNCTION("""COMPUTED_VALUE"""),"en")</f>
        <v>en</v>
      </c>
      <c r="D41" s="140" t="str">
        <f>IFERROR(__xludf.DUMMYFUNCTION("""COMPUTED_VALUE"""),"MongoDB Administration")</f>
        <v>MongoDB Administration</v>
      </c>
      <c r="F41" s="140" t="str">
        <f>IFERROR(__xludf.DUMMYFUNCTION("""COMPUTED_VALUE"""),"Packt Publishing")</f>
        <v>Packt Publishing</v>
      </c>
      <c r="G41" t="str">
        <f>IFERROR(__xludf.DUMMYFUNCTION("""COMPUTED_VALUE"""),"Instructor Request- Opted Out")</f>
        <v>Instructor Request- Opted Out</v>
      </c>
      <c r="H41" t="str">
        <f>IFERROR(__xludf.DUMMYFUNCTION("""COMPUTED_VALUE"""),"Data Science")</f>
        <v>Data Science</v>
      </c>
      <c r="I41" s="142" t="str">
        <f>IFERROR(__xludf.DUMMYFUNCTION("""COMPUTED_VALUE"""),"Big Data")</f>
        <v>Big Data</v>
      </c>
      <c r="J41" s="140">
        <f>IFERROR(__xludf.DUMMYFUNCTION("""COMPUTED_VALUE"""),1906852.0)</f>
        <v>1906852</v>
      </c>
      <c r="K41" s="140" t="str">
        <f>IFERROR(__xludf.DUMMYFUNCTION("""COMPUTED_VALUE"""),"MongoDB - The Complete Developer's Guide 2022")</f>
        <v>MongoDB - The Complete Developer's Guide 2022</v>
      </c>
      <c r="M41" s="140" t="str">
        <f>IFERROR(__xludf.DUMMYFUNCTION("""COMPUTED_VALUE"""),"")</f>
        <v/>
      </c>
    </row>
    <row r="42">
      <c r="A42" s="141">
        <f>IFERROR(__xludf.DUMMYFUNCTION("""COMPUTED_VALUE"""),44183.0)</f>
        <v>44183</v>
      </c>
      <c r="B42" s="140">
        <f>IFERROR(__xludf.DUMMYFUNCTION("""COMPUTED_VALUE"""),1423038.0)</f>
        <v>1423038</v>
      </c>
      <c r="C42" t="str">
        <f>IFERROR(__xludf.DUMMYFUNCTION("""COMPUTED_VALUE"""),"en")</f>
        <v>en</v>
      </c>
      <c r="D42" s="140" t="str">
        <f>IFERROR(__xludf.DUMMYFUNCTION("""COMPUTED_VALUE"""),"LEARNING PATH: Azure: Explore Azure Functions and Logic Apps")</f>
        <v>LEARNING PATH: Azure: Explore Azure Functions and Logic Apps</v>
      </c>
      <c r="F42" s="140" t="str">
        <f>IFERROR(__xludf.DUMMYFUNCTION("""COMPUTED_VALUE"""),"Packt Publishing")</f>
        <v>Packt Publishing</v>
      </c>
      <c r="G42" t="str">
        <f>IFERROR(__xludf.DUMMYFUNCTION("""COMPUTED_VALUE"""),"Instructor Request- Opted Out")</f>
        <v>Instructor Request- Opted Out</v>
      </c>
      <c r="H42" t="str">
        <f>IFERROR(__xludf.DUMMYFUNCTION("""COMPUTED_VALUE"""),"Development")</f>
        <v>Development</v>
      </c>
      <c r="I42" s="142" t="str">
        <f>IFERROR(__xludf.DUMMYFUNCTION("""COMPUTED_VALUE"""),"Database Design &amp; Development")</f>
        <v>Database Design &amp; Development</v>
      </c>
      <c r="J42" s="140">
        <f>IFERROR(__xludf.DUMMYFUNCTION("""COMPUTED_VALUE"""),1403814.0)</f>
        <v>1403814</v>
      </c>
      <c r="K42" s="140" t="str">
        <f>IFERROR(__xludf.DUMMYFUNCTION("""COMPUTED_VALUE"""),"Azure Serverless Functions and Logic Apps")</f>
        <v>Azure Serverless Functions and Logic Apps</v>
      </c>
      <c r="M42" s="140" t="str">
        <f>IFERROR(__xludf.DUMMYFUNCTION("""COMPUTED_VALUE"""),"")</f>
        <v/>
      </c>
    </row>
    <row r="43">
      <c r="A43" s="141">
        <f>IFERROR(__xludf.DUMMYFUNCTION("""COMPUTED_VALUE"""),44183.0)</f>
        <v>44183</v>
      </c>
      <c r="B43" s="140">
        <f>IFERROR(__xludf.DUMMYFUNCTION("""COMPUTED_VALUE"""),1172324.0)</f>
        <v>1172324</v>
      </c>
      <c r="C43" t="str">
        <f>IFERROR(__xludf.DUMMYFUNCTION("""COMPUTED_VALUE"""),"en")</f>
        <v>en</v>
      </c>
      <c r="D43" s="140" t="str">
        <f>IFERROR(__xludf.DUMMYFUNCTION("""COMPUTED_VALUE"""),"SQL Server 2016 Database Reporting")</f>
        <v>SQL Server 2016 Database Reporting</v>
      </c>
      <c r="F43" s="140" t="str">
        <f>IFERROR(__xludf.DUMMYFUNCTION("""COMPUTED_VALUE"""),"Packt Publishing")</f>
        <v>Packt Publishing</v>
      </c>
      <c r="G43" t="str">
        <f>IFERROR(__xludf.DUMMYFUNCTION("""COMPUTED_VALUE"""),"Instructor Request- Opted Out")</f>
        <v>Instructor Request- Opted Out</v>
      </c>
      <c r="H43" t="str">
        <f>IFERROR(__xludf.DUMMYFUNCTION("""COMPUTED_VALUE"""),"IT Operations")</f>
        <v>IT Operations</v>
      </c>
      <c r="I43" s="142" t="str">
        <f>IFERROR(__xludf.DUMMYFUNCTION("""COMPUTED_VALUE"""),"Operating Systems &amp; Servers")</f>
        <v>Operating Systems &amp; Servers</v>
      </c>
      <c r="J43" s="140">
        <f>IFERROR(__xludf.DUMMYFUNCTION("""COMPUTED_VALUE"""),1061212.0)</f>
        <v>1061212</v>
      </c>
      <c r="K43" s="140" t="str">
        <f>IFERROR(__xludf.DUMMYFUNCTION("""COMPUTED_VALUE"""),"Mastering SQL Server 2016 Integration Services (SSIS)-Part 1")</f>
        <v>Mastering SQL Server 2016 Integration Services (SSIS)-Part 1</v>
      </c>
      <c r="M43" s="140" t="str">
        <f>IFERROR(__xludf.DUMMYFUNCTION("""COMPUTED_VALUE"""),"")</f>
        <v/>
      </c>
    </row>
    <row r="44">
      <c r="A44" s="141">
        <f>IFERROR(__xludf.DUMMYFUNCTION("""COMPUTED_VALUE"""),44183.0)</f>
        <v>44183</v>
      </c>
      <c r="B44" s="140">
        <f>IFERROR(__xludf.DUMMYFUNCTION("""COMPUTED_VALUE"""),1848680.0)</f>
        <v>1848680</v>
      </c>
      <c r="C44" t="str">
        <f>IFERROR(__xludf.DUMMYFUNCTION("""COMPUTED_VALUE"""),"en")</f>
        <v>en</v>
      </c>
      <c r="D44" s="140" t="str">
        <f>IFERROR(__xludf.DUMMYFUNCTION("""COMPUTED_VALUE"""),"DevOps Fundamentals with Azure")</f>
        <v>DevOps Fundamentals with Azure</v>
      </c>
      <c r="F44" s="140" t="str">
        <f>IFERROR(__xludf.DUMMYFUNCTION("""COMPUTED_VALUE"""),"Packt Publishing")</f>
        <v>Packt Publishing</v>
      </c>
      <c r="G44" t="str">
        <f>IFERROR(__xludf.DUMMYFUNCTION("""COMPUTED_VALUE"""),"Instructor Request- Opted Out")</f>
        <v>Instructor Request- Opted Out</v>
      </c>
      <c r="H44" t="str">
        <f>IFERROR(__xludf.DUMMYFUNCTION("""COMPUTED_VALUE"""),"IT Operations")</f>
        <v>IT Operations</v>
      </c>
      <c r="I44" s="142" t="str">
        <f>IFERROR(__xludf.DUMMYFUNCTION("""COMPUTED_VALUE"""),"Network &amp; Security")</f>
        <v>Network &amp; Security</v>
      </c>
      <c r="J44" s="140">
        <f>IFERROR(__xludf.DUMMYFUNCTION("""COMPUTED_VALUE"""),2813427.0)</f>
        <v>2813427</v>
      </c>
      <c r="K44" s="140" t="str">
        <f>IFERROR(__xludf.DUMMYFUNCTION("""COMPUTED_VALUE"""),"Learn DevOps: Docker, Kubernetes, Terraform and Azure DevOps")</f>
        <v>Learn DevOps: Docker, Kubernetes, Terraform and Azure DevOps</v>
      </c>
      <c r="M44" s="140" t="str">
        <f>IFERROR(__xludf.DUMMYFUNCTION("""COMPUTED_VALUE"""),"")</f>
        <v/>
      </c>
    </row>
    <row r="45">
      <c r="A45" s="141">
        <f>IFERROR(__xludf.DUMMYFUNCTION("""COMPUTED_VALUE"""),44183.0)</f>
        <v>44183</v>
      </c>
      <c r="B45" s="140">
        <f>IFERROR(__xludf.DUMMYFUNCTION("""COMPUTED_VALUE"""),1237694.0)</f>
        <v>1237694</v>
      </c>
      <c r="C45" t="str">
        <f>IFERROR(__xludf.DUMMYFUNCTION("""COMPUTED_VALUE"""),"en")</f>
        <v>en</v>
      </c>
      <c r="D45" s="140" t="str">
        <f>IFERROR(__xludf.DUMMYFUNCTION("""COMPUTED_VALUE"""),"OpenStack: Design and Implement Cloud Infrastructure")</f>
        <v>OpenStack: Design and Implement Cloud Infrastructure</v>
      </c>
      <c r="F45" s="140" t="str">
        <f>IFERROR(__xludf.DUMMYFUNCTION("""COMPUTED_VALUE"""),"Packt Publishing")</f>
        <v>Packt Publishing</v>
      </c>
      <c r="G45" t="str">
        <f>IFERROR(__xludf.DUMMYFUNCTION("""COMPUTED_VALUE"""),"Instructor Request- Opted Out")</f>
        <v>Instructor Request- Opted Out</v>
      </c>
      <c r="H45" t="str">
        <f>IFERROR(__xludf.DUMMYFUNCTION("""COMPUTED_VALUE"""),"Cloud Computing")</f>
        <v>Cloud Computing</v>
      </c>
      <c r="I45" s="142" t="str">
        <f>IFERROR(__xludf.DUMMYFUNCTION("""COMPUTED_VALUE"""),"Cloud Development")</f>
        <v>Cloud Development</v>
      </c>
      <c r="J45" s="140">
        <f>IFERROR(__xludf.DUMMYFUNCTION("""COMPUTED_VALUE"""),1076804.0)</f>
        <v>1076804</v>
      </c>
      <c r="K45" s="140" t="str">
        <f>IFERROR(__xludf.DUMMYFUNCTION("""COMPUTED_VALUE"""),"OpenStack Essentials")</f>
        <v>OpenStack Essentials</v>
      </c>
      <c r="M45" s="140" t="str">
        <f>IFERROR(__xludf.DUMMYFUNCTION("""COMPUTED_VALUE"""),"")</f>
        <v/>
      </c>
    </row>
    <row r="46">
      <c r="A46" s="141">
        <f>IFERROR(__xludf.DUMMYFUNCTION("""COMPUTED_VALUE"""),44183.0)</f>
        <v>44183</v>
      </c>
      <c r="B46" s="140">
        <f>IFERROR(__xludf.DUMMYFUNCTION("""COMPUTED_VALUE"""),2159532.0)</f>
        <v>2159532</v>
      </c>
      <c r="C46" t="str">
        <f>IFERROR(__xludf.DUMMYFUNCTION("""COMPUTED_VALUE"""),"en")</f>
        <v>en</v>
      </c>
      <c r="D46" s="140" t="str">
        <f>IFERROR(__xludf.DUMMYFUNCTION("""COMPUTED_VALUE"""),"Rust: Building Reusable Code with Rust from Scratch")</f>
        <v>Rust: Building Reusable Code with Rust from Scratch</v>
      </c>
      <c r="F46" s="140" t="str">
        <f>IFERROR(__xludf.DUMMYFUNCTION("""COMPUTED_VALUE"""),"Packt Publishing")</f>
        <v>Packt Publishing</v>
      </c>
      <c r="G46" t="str">
        <f>IFERROR(__xludf.DUMMYFUNCTION("""COMPUTED_VALUE"""),"Instructor Request- Opted Out")</f>
        <v>Instructor Request- Opted Out</v>
      </c>
      <c r="H46" t="str">
        <f>IFERROR(__xludf.DUMMYFUNCTION("""COMPUTED_VALUE"""),"Development")</f>
        <v>Development</v>
      </c>
      <c r="I46" s="142" t="str">
        <f>IFERROR(__xludf.DUMMYFUNCTION("""COMPUTED_VALUE"""),"Programming Languages")</f>
        <v>Programming Languages</v>
      </c>
      <c r="J46" s="140">
        <f>IFERROR(__xludf.DUMMYFUNCTION("""COMPUTED_VALUE"""),624252.0)</f>
        <v>624252</v>
      </c>
      <c r="K46" s="140" t="str">
        <f>IFERROR(__xludf.DUMMYFUNCTION("""COMPUTED_VALUE"""),"The Rust Programming Language")</f>
        <v>The Rust Programming Language</v>
      </c>
      <c r="M46" s="140" t="str">
        <f>IFERROR(__xludf.DUMMYFUNCTION("""COMPUTED_VALUE"""),"")</f>
        <v/>
      </c>
    </row>
    <row r="47">
      <c r="A47" s="141">
        <f>IFERROR(__xludf.DUMMYFUNCTION("""COMPUTED_VALUE"""),44183.0)</f>
        <v>44183</v>
      </c>
      <c r="B47" s="140">
        <f>IFERROR(__xludf.DUMMYFUNCTION("""COMPUTED_VALUE"""),2207758.0)</f>
        <v>2207758</v>
      </c>
      <c r="C47" t="str">
        <f>IFERROR(__xludf.DUMMYFUNCTION("""COMPUTED_VALUE"""),"en")</f>
        <v>en</v>
      </c>
      <c r="D47" s="140" t="str">
        <f>IFERROR(__xludf.DUMMYFUNCTION("""COMPUTED_VALUE"""),"Level Design Master Class: All in One Complete Course")</f>
        <v>Level Design Master Class: All in One Complete Course</v>
      </c>
      <c r="F47" s="140" t="str">
        <f>IFERROR(__xludf.DUMMYFUNCTION("""COMPUTED_VALUE"""),"Emilio Padulo")</f>
        <v>Emilio Padulo</v>
      </c>
      <c r="G47" t="str">
        <f>IFERROR(__xludf.DUMMYFUNCTION("""COMPUTED_VALUE"""),"Instructor Request- Opted Out")</f>
        <v>Instructor Request- Opted Out</v>
      </c>
      <c r="H47" t="str">
        <f>IFERROR(__xludf.DUMMYFUNCTION("""COMPUTED_VALUE"""),"Design")</f>
        <v>Design</v>
      </c>
      <c r="I47" s="142" t="str">
        <f>IFERROR(__xludf.DUMMYFUNCTION("""COMPUTED_VALUE"""),"Game Design")</f>
        <v>Game Design</v>
      </c>
      <c r="J47" s="140">
        <f>IFERROR(__xludf.DUMMYFUNCTION("""COMPUTED_VALUE"""),526534.0)</f>
        <v>526534</v>
      </c>
      <c r="K47" s="140" t="str">
        <f>IFERROR(__xludf.DUMMYFUNCTION("""COMPUTED_VALUE"""),"Become a Game Designer the Complete Series Coding to Design")</f>
        <v>Become a Game Designer the Complete Series Coding to Design</v>
      </c>
      <c r="M47" s="140" t="str">
        <f>IFERROR(__xludf.DUMMYFUNCTION("""COMPUTED_VALUE"""),"")</f>
        <v/>
      </c>
    </row>
    <row r="48">
      <c r="A48" s="141">
        <f>IFERROR(__xludf.DUMMYFUNCTION("""COMPUTED_VALUE"""),44183.0)</f>
        <v>44183</v>
      </c>
      <c r="B48" s="140">
        <f>IFERROR(__xludf.DUMMYFUNCTION("""COMPUTED_VALUE"""),1839270.0)</f>
        <v>1839270</v>
      </c>
      <c r="C48" t="str">
        <f>IFERROR(__xludf.DUMMYFUNCTION("""COMPUTED_VALUE"""),"en")</f>
        <v>en</v>
      </c>
      <c r="D48" s="140" t="str">
        <f>IFERROR(__xludf.DUMMYFUNCTION("""COMPUTED_VALUE"""),"Primavera P6 Professional Training")</f>
        <v>Primavera P6 Professional Training</v>
      </c>
      <c r="F48" s="140" t="str">
        <f>IFERROR(__xludf.DUMMYFUNCTION("""COMPUTED_VALUE"""),"Mudessar Afraz")</f>
        <v>Mudessar Afraz</v>
      </c>
      <c r="G48" t="str">
        <f>IFERROR(__xludf.DUMMYFUNCTION("""COMPUTED_VALUE"""),"Instructor Request- No Detail")</f>
        <v>Instructor Request- No Detail</v>
      </c>
      <c r="H48" t="str">
        <f>IFERROR(__xludf.DUMMYFUNCTION("""COMPUTED_VALUE"""),"Project Management &amp; Operations")</f>
        <v>Project Management &amp; Operations</v>
      </c>
      <c r="I48" s="142" t="str">
        <f>IFERROR(__xludf.DUMMYFUNCTION("""COMPUTED_VALUE"""),"Project Management Tools")</f>
        <v>Project Management Tools</v>
      </c>
      <c r="J48" s="140">
        <f>IFERROR(__xludf.DUMMYFUNCTION("""COMPUTED_VALUE"""),850600.0)</f>
        <v>850600</v>
      </c>
      <c r="K48" s="140" t="str">
        <f>IFERROR(__xludf.DUMMYFUNCTION("""COMPUTED_VALUE"""),"Primavera P6 Foundations Course")</f>
        <v>Primavera P6 Foundations Course</v>
      </c>
      <c r="M48" s="140" t="str">
        <f>IFERROR(__xludf.DUMMYFUNCTION("""COMPUTED_VALUE"""),"")</f>
        <v/>
      </c>
    </row>
    <row r="49">
      <c r="A49" s="141">
        <f>IFERROR(__xludf.DUMMYFUNCTION("""COMPUTED_VALUE"""),44183.0)</f>
        <v>44183</v>
      </c>
      <c r="B49" s="140">
        <f>IFERROR(__xludf.DUMMYFUNCTION("""COMPUTED_VALUE"""),1290564.0)</f>
        <v>1290564</v>
      </c>
      <c r="C49" t="str">
        <f>IFERROR(__xludf.DUMMYFUNCTION("""COMPUTED_VALUE"""),"en")</f>
        <v>en</v>
      </c>
      <c r="D49" s="140" t="str">
        <f>IFERROR(__xludf.DUMMYFUNCTION("""COMPUTED_VALUE"""),"Getting Started with Azure Functions")</f>
        <v>Getting Started with Azure Functions</v>
      </c>
      <c r="F49" s="140" t="str">
        <f>IFERROR(__xludf.DUMMYFUNCTION("""COMPUTED_VALUE"""),"Packt Publishing")</f>
        <v>Packt Publishing</v>
      </c>
      <c r="G49" t="str">
        <f>IFERROR(__xludf.DUMMYFUNCTION("""COMPUTED_VALUE"""),"Instructor Request- Opted Out")</f>
        <v>Instructor Request- Opted Out</v>
      </c>
      <c r="H49" t="str">
        <f>IFERROR(__xludf.DUMMYFUNCTION("""COMPUTED_VALUE"""),"Development")</f>
        <v>Development</v>
      </c>
      <c r="I49" s="142" t="str">
        <f>IFERROR(__xludf.DUMMYFUNCTION("""COMPUTED_VALUE"""),"Programming Languages")</f>
        <v>Programming Languages</v>
      </c>
      <c r="J49" s="140">
        <f>IFERROR(__xludf.DUMMYFUNCTION("""COMPUTED_VALUE"""),1403814.0)</f>
        <v>1403814</v>
      </c>
      <c r="K49" s="140" t="str">
        <f>IFERROR(__xludf.DUMMYFUNCTION("""COMPUTED_VALUE"""),"Azure Serverless Functions and Logic Apps")</f>
        <v>Azure Serverless Functions and Logic Apps</v>
      </c>
      <c r="M49" s="140" t="str">
        <f>IFERROR(__xludf.DUMMYFUNCTION("""COMPUTED_VALUE"""),"")</f>
        <v/>
      </c>
    </row>
    <row r="50">
      <c r="A50" s="141">
        <f>IFERROR(__xludf.DUMMYFUNCTION("""COMPUTED_VALUE"""),44183.0)</f>
        <v>44183</v>
      </c>
      <c r="B50" s="140">
        <f>IFERROR(__xludf.DUMMYFUNCTION("""COMPUTED_VALUE"""),911356.0)</f>
        <v>911356</v>
      </c>
      <c r="C50" t="str">
        <f>IFERROR(__xludf.DUMMYFUNCTION("""COMPUTED_VALUE"""),"es")</f>
        <v>es</v>
      </c>
      <c r="D50" s="140" t="str">
        <f>IFERROR(__xludf.DUMMYFUNCTION("""COMPUTED_VALUE"""),"Aprende a Vender como un Experto y Duplica Tu Clientela")</f>
        <v>Aprende a Vender como un Experto y Duplica Tu Clientela</v>
      </c>
      <c r="E50" t="str">
        <f>IFERROR(__xludf.DUMMYFUNCTION("""COMPUTED_VALUE"""),"Learn to Sell as an expert and Duplicates Your Clientele")</f>
        <v>Learn to Sell as an expert and Duplicates Your Clientele</v>
      </c>
      <c r="F50" s="140" t="str">
        <f>IFERROR(__xludf.DUMMYFUNCTION("""COMPUTED_VALUE"""),"Jesús Planas")</f>
        <v>Jesús Planas</v>
      </c>
      <c r="G50" t="str">
        <f>IFERROR(__xludf.DUMMYFUNCTION("""COMPUTED_VALUE"""),"Instructor Request- Opted Out")</f>
        <v>Instructor Request- Opted Out</v>
      </c>
      <c r="H50" t="str">
        <f>IFERROR(__xludf.DUMMYFUNCTION("""COMPUTED_VALUE"""),"Sales")</f>
        <v>Sales</v>
      </c>
      <c r="I50" s="142" t="str">
        <f>IFERROR(__xludf.DUMMYFUNCTION("""COMPUTED_VALUE"""),"Sales Skills &amp; Tools")</f>
        <v>Sales Skills &amp; Tools</v>
      </c>
      <c r="K50" s="140" t="str">
        <f>IFERROR(__xludf.DUMMYFUNCTION("""COMPUTED_VALUE"""),"")</f>
        <v/>
      </c>
      <c r="M50" s="140" t="str">
        <f>IFERROR(__xludf.DUMMYFUNCTION("""COMPUTED_VALUE"""),"")</f>
        <v/>
      </c>
      <c r="N50" s="140" t="str">
        <f>IFERROR(__xludf.DUMMYFUNCTION("""COMPUTED_VALUE"""),"No Alternatives in Collection- 8/03/2020")</f>
        <v>No Alternatives in Collection- 8/03/2020</v>
      </c>
    </row>
    <row r="51">
      <c r="A51" s="141">
        <f>IFERROR(__xludf.DUMMYFUNCTION("""COMPUTED_VALUE"""),44183.0)</f>
        <v>44183</v>
      </c>
      <c r="B51" s="140">
        <f>IFERROR(__xludf.DUMMYFUNCTION("""COMPUTED_VALUE"""),1008888.0)</f>
        <v>1008888</v>
      </c>
      <c r="C51" t="str">
        <f>IFERROR(__xludf.DUMMYFUNCTION("""COMPUTED_VALUE"""),"en")</f>
        <v>en</v>
      </c>
      <c r="D51" s="140" t="str">
        <f>IFERROR(__xludf.DUMMYFUNCTION("""COMPUTED_VALUE"""),"Learning VMware vRealize Operations Manager")</f>
        <v>Learning VMware vRealize Operations Manager</v>
      </c>
      <c r="F51" s="140" t="str">
        <f>IFERROR(__xludf.DUMMYFUNCTION("""COMPUTED_VALUE"""),"Packt Publishing")</f>
        <v>Packt Publishing</v>
      </c>
      <c r="G51" t="str">
        <f>IFERROR(__xludf.DUMMYFUNCTION("""COMPUTED_VALUE"""),"Instructor Request- Opted Out")</f>
        <v>Instructor Request- Opted Out</v>
      </c>
      <c r="H51" t="str">
        <f>IFERROR(__xludf.DUMMYFUNCTION("""COMPUTED_VALUE"""),"IT Operations")</f>
        <v>IT Operations</v>
      </c>
      <c r="I51" s="142" t="str">
        <f>IFERROR(__xludf.DUMMYFUNCTION("""COMPUTED_VALUE"""),"Operating Systems &amp; Servers")</f>
        <v>Operating Systems &amp; Servers</v>
      </c>
      <c r="J51" s="140">
        <f>IFERROR(__xludf.DUMMYFUNCTION("""COMPUTED_VALUE"""),1225172.0)</f>
        <v>1225172</v>
      </c>
      <c r="K51" s="140" t="str">
        <f>IFERROR(__xludf.DUMMYFUNCTION("""COMPUTED_VALUE"""),"Clear and Simple VMware Certified Associate (RetiredVCA-DBT)")</f>
        <v>Clear and Simple VMware Certified Associate (RetiredVCA-DBT)</v>
      </c>
      <c r="M51" s="140" t="str">
        <f>IFERROR(__xludf.DUMMYFUNCTION("""COMPUTED_VALUE"""),"")</f>
        <v/>
      </c>
    </row>
    <row r="52">
      <c r="A52" s="141">
        <f>IFERROR(__xludf.DUMMYFUNCTION("""COMPUTED_VALUE"""),44183.0)</f>
        <v>44183</v>
      </c>
      <c r="B52" s="140">
        <f>IFERROR(__xludf.DUMMYFUNCTION("""COMPUTED_VALUE"""),2793098.0)</f>
        <v>2793098</v>
      </c>
      <c r="C52" t="str">
        <f>IFERROR(__xludf.DUMMYFUNCTION("""COMPUTED_VALUE"""),"en")</f>
        <v>en</v>
      </c>
      <c r="D52" s="140" t="str">
        <f>IFERROR(__xludf.DUMMYFUNCTION("""COMPUTED_VALUE"""),"The Complete PHP Masterclass - Go from Beginner to Artisan")</f>
        <v>The Complete PHP Masterclass - Go from Beginner to Artisan</v>
      </c>
      <c r="F52" s="140" t="str">
        <f>IFERROR(__xludf.DUMMYFUNCTION("""COMPUTED_VALUE"""),"Rick Mac Gillis")</f>
        <v>Rick Mac Gillis</v>
      </c>
      <c r="G52" t="str">
        <f>IFERROR(__xludf.DUMMYFUNCTION("""COMPUTED_VALUE"""),"Instructor Request- Opted Out")</f>
        <v>Instructor Request- Opted Out</v>
      </c>
      <c r="H52" t="str">
        <f>IFERROR(__xludf.DUMMYFUNCTION("""COMPUTED_VALUE"""),"Development")</f>
        <v>Development</v>
      </c>
      <c r="I52" s="142" t="str">
        <f>IFERROR(__xludf.DUMMYFUNCTION("""COMPUTED_VALUE"""),"Web Development")</f>
        <v>Web Development</v>
      </c>
      <c r="J52" s="140">
        <f>IFERROR(__xludf.DUMMYFUNCTION("""COMPUTED_VALUE"""),758582.0)</f>
        <v>758582</v>
      </c>
      <c r="K52" s="140" t="str">
        <f>IFERROR(__xludf.DUMMYFUNCTION("""COMPUTED_VALUE"""),"PHP with Laravel for beginners - Become a Master in Laravel")</f>
        <v>PHP with Laravel for beginners - Become a Master in Laravel</v>
      </c>
      <c r="M52" s="140" t="str">
        <f>IFERROR(__xludf.DUMMYFUNCTION("""COMPUTED_VALUE"""),"")</f>
        <v/>
      </c>
    </row>
    <row r="53">
      <c r="A53" s="141">
        <f>IFERROR(__xludf.DUMMYFUNCTION("""COMPUTED_VALUE"""),44183.0)</f>
        <v>44183</v>
      </c>
      <c r="B53" s="140">
        <f>IFERROR(__xludf.DUMMYFUNCTION("""COMPUTED_VALUE"""),368062.0)</f>
        <v>368062</v>
      </c>
      <c r="C53" t="str">
        <f>IFERROR(__xludf.DUMMYFUNCTION("""COMPUTED_VALUE"""),"en")</f>
        <v>en</v>
      </c>
      <c r="D53" s="140" t="str">
        <f>IFERROR(__xludf.DUMMYFUNCTION("""COMPUTED_VALUE"""),"Creating Reports with SQL Server 2012 Reporting Services")</f>
        <v>Creating Reports with SQL Server 2012 Reporting Services</v>
      </c>
      <c r="F53" s="140" t="str">
        <f>IFERROR(__xludf.DUMMYFUNCTION("""COMPUTED_VALUE"""),"Packt Publishing")</f>
        <v>Packt Publishing</v>
      </c>
      <c r="G53" t="str">
        <f>IFERROR(__xludf.DUMMYFUNCTION("""COMPUTED_VALUE"""),"Instructor Request- Opted Out")</f>
        <v>Instructor Request- Opted Out</v>
      </c>
      <c r="H53" t="str">
        <f>IFERROR(__xludf.DUMMYFUNCTION("""COMPUTED_VALUE"""),"IT Operations")</f>
        <v>IT Operations</v>
      </c>
      <c r="I53" s="142" t="str">
        <f>IFERROR(__xludf.DUMMYFUNCTION("""COMPUTED_VALUE"""),"Operating Systems &amp; Servers")</f>
        <v>Operating Systems &amp; Servers</v>
      </c>
      <c r="K53" s="140" t="str">
        <f>IFERROR(__xludf.DUMMYFUNCTION("""COMPUTED_VALUE"""),"")</f>
        <v/>
      </c>
      <c r="M53" s="140" t="str">
        <f>IFERROR(__xludf.DUMMYFUNCTION("""COMPUTED_VALUE"""),"")</f>
        <v/>
      </c>
      <c r="N53" s="140" t="str">
        <f>IFERROR(__xludf.DUMMYFUNCTION("""COMPUTED_VALUE"""),"No Alternatives in Collection- 8/03/2020")</f>
        <v>No Alternatives in Collection- 8/03/2020</v>
      </c>
    </row>
    <row r="54">
      <c r="A54" s="141">
        <f>IFERROR(__xludf.DUMMYFUNCTION("""COMPUTED_VALUE"""),44183.0)</f>
        <v>44183</v>
      </c>
      <c r="B54" s="140">
        <f>IFERROR(__xludf.DUMMYFUNCTION("""COMPUTED_VALUE"""),1457700.0)</f>
        <v>1457700</v>
      </c>
      <c r="C54" t="str">
        <f>IFERROR(__xludf.DUMMYFUNCTION("""COMPUTED_VALUE"""),"en")</f>
        <v>en</v>
      </c>
      <c r="D54" s="140" t="str">
        <f>IFERROR(__xludf.DUMMYFUNCTION("""COMPUTED_VALUE"""),"LEARNING PATH: Complete Roadway to Informatica Powercenter 9")</f>
        <v>LEARNING PATH: Complete Roadway to Informatica Powercenter 9</v>
      </c>
      <c r="F54" s="140" t="str">
        <f>IFERROR(__xludf.DUMMYFUNCTION("""COMPUTED_VALUE"""),"Packt Publishing")</f>
        <v>Packt Publishing</v>
      </c>
      <c r="G54" t="str">
        <f>IFERROR(__xludf.DUMMYFUNCTION("""COMPUTED_VALUE"""),"Instructor Request- Opted Out")</f>
        <v>Instructor Request- Opted Out</v>
      </c>
      <c r="H54" t="str">
        <f>IFERROR(__xludf.DUMMYFUNCTION("""COMPUTED_VALUE"""),"IT Operations")</f>
        <v>IT Operations</v>
      </c>
      <c r="I54" s="142" t="str">
        <f>IFERROR(__xludf.DUMMYFUNCTION("""COMPUTED_VALUE"""),"Operating Systems &amp; Servers")</f>
        <v>Operating Systems &amp; Servers</v>
      </c>
      <c r="J54" s="140">
        <f>IFERROR(__xludf.DUMMYFUNCTION("""COMPUTED_VALUE"""),2213960.0)</f>
        <v>2213960</v>
      </c>
      <c r="K54" s="140" t="str">
        <f>IFERROR(__xludf.DUMMYFUNCTION("""COMPUTED_VALUE"""),"Informatica PowerCenter - Beginner to Expert Level")</f>
        <v>Informatica PowerCenter - Beginner to Expert Level</v>
      </c>
      <c r="M54" s="140" t="str">
        <f>IFERROR(__xludf.DUMMYFUNCTION("""COMPUTED_VALUE"""),"")</f>
        <v/>
      </c>
    </row>
    <row r="55">
      <c r="A55" s="141">
        <f>IFERROR(__xludf.DUMMYFUNCTION("""COMPUTED_VALUE"""),44183.0)</f>
        <v>44183</v>
      </c>
      <c r="B55" s="140">
        <f>IFERROR(__xludf.DUMMYFUNCTION("""COMPUTED_VALUE"""),1281650.0)</f>
        <v>1281650</v>
      </c>
      <c r="C55" t="str">
        <f>IFERROR(__xludf.DUMMYFUNCTION("""COMPUTED_VALUE"""),"en")</f>
        <v>en</v>
      </c>
      <c r="D55" s="140" t="str">
        <f>IFERROR(__xludf.DUMMYFUNCTION("""COMPUTED_VALUE"""),"Building your First VR Experience with Unity")</f>
        <v>Building your First VR Experience with Unity</v>
      </c>
      <c r="F55" s="140" t="str">
        <f>IFERROR(__xludf.DUMMYFUNCTION("""COMPUTED_VALUE"""),"Packt Publishing")</f>
        <v>Packt Publishing</v>
      </c>
      <c r="G55" t="str">
        <f>IFERROR(__xludf.DUMMYFUNCTION("""COMPUTED_VALUE"""),"Instructor Request- Opted Out")</f>
        <v>Instructor Request- Opted Out</v>
      </c>
      <c r="H55" t="str">
        <f>IFERROR(__xludf.DUMMYFUNCTION("""COMPUTED_VALUE"""),"Design")</f>
        <v>Design</v>
      </c>
      <c r="I55" s="142" t="str">
        <f>IFERROR(__xludf.DUMMYFUNCTION("""COMPUTED_VALUE"""),"3D &amp; Animation")</f>
        <v>3D &amp; Animation</v>
      </c>
      <c r="J55" s="140">
        <f>IFERROR(__xludf.DUMMYFUNCTION("""COMPUTED_VALUE"""),1194910.0)</f>
        <v>1194910</v>
      </c>
      <c r="K55" s="140" t="str">
        <f>IFERROR(__xludf.DUMMYFUNCTION("""COMPUTED_VALUE"""),"")</f>
        <v/>
      </c>
      <c r="M55" s="140" t="str">
        <f>IFERROR(__xludf.DUMMYFUNCTION("""COMPUTED_VALUE"""),"")</f>
        <v/>
      </c>
    </row>
    <row r="56">
      <c r="A56" s="141">
        <f>IFERROR(__xludf.DUMMYFUNCTION("""COMPUTED_VALUE"""),44183.0)</f>
        <v>44183</v>
      </c>
      <c r="B56" s="140">
        <f>IFERROR(__xludf.DUMMYFUNCTION("""COMPUTED_VALUE"""),1510930.0)</f>
        <v>1510930</v>
      </c>
      <c r="C56" t="str">
        <f>IFERROR(__xludf.DUMMYFUNCTION("""COMPUTED_VALUE"""),"pt")</f>
        <v>pt</v>
      </c>
      <c r="D56" s="140" t="str">
        <f>IFERROR(__xludf.DUMMYFUNCTION("""COMPUTED_VALUE"""),"Métricas e Relatório de Mídias Sociais | Atualizado 2020")</f>
        <v>Métricas e Relatório de Mídias Sociais | Atualizado 2020</v>
      </c>
      <c r="E56" t="str">
        <f>IFERROR(__xludf.DUMMYFUNCTION("""COMPUTED_VALUE"""),"Metrics and Social Media Report | updated 2020")</f>
        <v>Metrics and Social Media Report | updated 2020</v>
      </c>
      <c r="F56" s="140" t="str">
        <f>IFERROR(__xludf.DUMMYFUNCTION("""COMPUTED_VALUE"""),"Mariana Klein")</f>
        <v>Mariana Klein</v>
      </c>
      <c r="G56" t="str">
        <f>IFERROR(__xludf.DUMMYFUNCTION("""COMPUTED_VALUE"""),"Instructor Request- Opted Out")</f>
        <v>Instructor Request- Opted Out</v>
      </c>
      <c r="H56" t="str">
        <f>IFERROR(__xludf.DUMMYFUNCTION("""COMPUTED_VALUE"""),"Marketing")</f>
        <v>Marketing</v>
      </c>
      <c r="I56" s="142" t="str">
        <f>IFERROR(__xludf.DUMMYFUNCTION("""COMPUTED_VALUE"""),"Social Media Marketing")</f>
        <v>Social Media Marketing</v>
      </c>
      <c r="K56" s="140" t="str">
        <f>IFERROR(__xludf.DUMMYFUNCTION("""COMPUTED_VALUE"""),"")</f>
        <v/>
      </c>
      <c r="M56" s="140" t="str">
        <f>IFERROR(__xludf.DUMMYFUNCTION("""COMPUTED_VALUE"""),"")</f>
        <v/>
      </c>
      <c r="N56" s="140" t="str">
        <f>IFERROR(__xludf.DUMMYFUNCTION("""COMPUTED_VALUE"""),"No Alternatives in Collection- 8/03/2020")</f>
        <v>No Alternatives in Collection- 8/03/2020</v>
      </c>
    </row>
    <row r="57">
      <c r="A57" s="141">
        <f>IFERROR(__xludf.DUMMYFUNCTION("""COMPUTED_VALUE"""),44183.0)</f>
        <v>44183</v>
      </c>
      <c r="B57" s="140">
        <f>IFERROR(__xludf.DUMMYFUNCTION("""COMPUTED_VALUE"""),1112362.0)</f>
        <v>1112362</v>
      </c>
      <c r="C57" t="str">
        <f>IFERROR(__xludf.DUMMYFUNCTION("""COMPUTED_VALUE"""),"en")</f>
        <v>en</v>
      </c>
      <c r="D57" s="140" t="str">
        <f>IFERROR(__xludf.DUMMYFUNCTION("""COMPUTED_VALUE"""),"Mastering Wireshark 2")</f>
        <v>Mastering Wireshark 2</v>
      </c>
      <c r="F57" s="140" t="str">
        <f>IFERROR(__xludf.DUMMYFUNCTION("""COMPUTED_VALUE"""),"Packt Publishing")</f>
        <v>Packt Publishing</v>
      </c>
      <c r="G57" t="str">
        <f>IFERROR(__xludf.DUMMYFUNCTION("""COMPUTED_VALUE"""),"Instructor Request- Opted Out")</f>
        <v>Instructor Request- Opted Out</v>
      </c>
      <c r="H57" t="str">
        <f>IFERROR(__xludf.DUMMYFUNCTION("""COMPUTED_VALUE"""),"IT Operations")</f>
        <v>IT Operations</v>
      </c>
      <c r="I57" s="142" t="str">
        <f>IFERROR(__xludf.DUMMYFUNCTION("""COMPUTED_VALUE"""),"Network &amp; Security")</f>
        <v>Network &amp; Security</v>
      </c>
      <c r="J57" s="140">
        <f>IFERROR(__xludf.DUMMYFUNCTION("""COMPUTED_VALUE"""),2351336.0)</f>
        <v>2351336</v>
      </c>
      <c r="K57" s="140" t="str">
        <f>IFERROR(__xludf.DUMMYFUNCTION("""COMPUTED_VALUE"""),"Wireshark: Packet Analysis and Ethical Hacking: Core Skills")</f>
        <v>Wireshark: Packet Analysis and Ethical Hacking: Core Skills</v>
      </c>
      <c r="M57" s="140" t="str">
        <f>IFERROR(__xludf.DUMMYFUNCTION("""COMPUTED_VALUE"""),"")</f>
        <v/>
      </c>
    </row>
    <row r="58">
      <c r="A58" s="141">
        <f>IFERROR(__xludf.DUMMYFUNCTION("""COMPUTED_VALUE"""),44183.0)</f>
        <v>44183</v>
      </c>
      <c r="B58" s="140">
        <f>IFERROR(__xludf.DUMMYFUNCTION("""COMPUTED_VALUE"""),2460442.0)</f>
        <v>2460442</v>
      </c>
      <c r="C58" t="str">
        <f>IFERROR(__xludf.DUMMYFUNCTION("""COMPUTED_VALUE"""),"en")</f>
        <v>en</v>
      </c>
      <c r="D58" s="140" t="str">
        <f>IFERROR(__xludf.DUMMYFUNCTION("""COMPUTED_VALUE"""),"The Complete iOS 14 / iOS 13 Developer Course - and SwiftUI!")</f>
        <v>The Complete iOS 14 / iOS 13 Developer Course - and SwiftUI!</v>
      </c>
      <c r="F58" s="140" t="str">
        <f>IFERROR(__xludf.DUMMYFUNCTION("""COMPUTED_VALUE"""),"Codestars by Rob Percival")</f>
        <v>Codestars by Rob Percival</v>
      </c>
      <c r="G58" t="str">
        <f>IFERROR(__xludf.DUMMYFUNCTION("""COMPUTED_VALUE"""),"Instructor Request- Exclusivity")</f>
        <v>Instructor Request- Exclusivity</v>
      </c>
      <c r="H58" t="str">
        <f>IFERROR(__xludf.DUMMYFUNCTION("""COMPUTED_VALUE"""),"Development")</f>
        <v>Development</v>
      </c>
      <c r="I58" s="142" t="str">
        <f>IFERROR(__xludf.DUMMYFUNCTION("""COMPUTED_VALUE"""),"Mobile Development")</f>
        <v>Mobile Development</v>
      </c>
      <c r="J58" s="140">
        <f>IFERROR(__xludf.DUMMYFUNCTION("""COMPUTED_VALUE"""),1778502.0)</f>
        <v>1778502</v>
      </c>
      <c r="K58" s="140" t="str">
        <f>IFERROR(__xludf.DUMMYFUNCTION("""COMPUTED_VALUE"""),"iOS &amp; Swift - The Complete iOS App Development Bootcamp")</f>
        <v>iOS &amp; Swift - The Complete iOS App Development Bootcamp</v>
      </c>
      <c r="M58" s="140" t="str">
        <f>IFERROR(__xludf.DUMMYFUNCTION("""COMPUTED_VALUE"""),"")</f>
        <v/>
      </c>
    </row>
    <row r="59">
      <c r="A59" s="141">
        <f>IFERROR(__xludf.DUMMYFUNCTION("""COMPUTED_VALUE"""),44183.0)</f>
        <v>44183</v>
      </c>
      <c r="B59" s="140">
        <f>IFERROR(__xludf.DUMMYFUNCTION("""COMPUTED_VALUE"""),286076.0)</f>
        <v>286076</v>
      </c>
      <c r="C59" t="str">
        <f>IFERROR(__xludf.DUMMYFUNCTION("""COMPUTED_VALUE"""),"en")</f>
        <v>en</v>
      </c>
      <c r="D59" s="140" t="str">
        <f>IFERROR(__xludf.DUMMYFUNCTION("""COMPUTED_VALUE"""),"Statistical Analysis with Excel 2013 Advanced Skills")</f>
        <v>Statistical Analysis with Excel 2013 Advanced Skills</v>
      </c>
      <c r="F59" s="140" t="str">
        <f>IFERROR(__xludf.DUMMYFUNCTION("""COMPUTED_VALUE"""),"John Wiley &amp; Sons")</f>
        <v>John Wiley &amp; Sons</v>
      </c>
      <c r="G59" t="str">
        <f>IFERROR(__xludf.DUMMYFUNCTION("""COMPUTED_VALUE"""),"Inactive Instructor")</f>
        <v>Inactive Instructor</v>
      </c>
      <c r="H59" t="str">
        <f>IFERROR(__xludf.DUMMYFUNCTION("""COMPUTED_VALUE"""),"Data Science")</f>
        <v>Data Science</v>
      </c>
      <c r="I59" s="142" t="str">
        <f>IFERROR(__xludf.DUMMYFUNCTION("""COMPUTED_VALUE"""),"Statistical Analysis")</f>
        <v>Statistical Analysis</v>
      </c>
      <c r="J59" s="140">
        <f>IFERROR(__xludf.DUMMYFUNCTION("""COMPUTED_VALUE"""),977438.0)</f>
        <v>977438</v>
      </c>
      <c r="K59" s="140" t="str">
        <f>IFERROR(__xludf.DUMMYFUNCTION("""COMPUTED_VALUE"""),"Microsoft Excel - Data Analysis with Excel Pivot Tables")</f>
        <v>Microsoft Excel - Data Analysis with Excel Pivot Tables</v>
      </c>
      <c r="L59" s="140">
        <f>IFERROR(__xludf.DUMMYFUNCTION("""COMPUTED_VALUE"""),793796.0)</f>
        <v>793796</v>
      </c>
      <c r="M59" s="140" t="str">
        <f>IFERROR(__xludf.DUMMYFUNCTION("""COMPUTED_VALUE"""),"Microsoft Excel - Excel from Beginner to Advanced")</f>
        <v>Microsoft Excel - Excel from Beginner to Advanced</v>
      </c>
    </row>
    <row r="60">
      <c r="A60" s="141">
        <f>IFERROR(__xludf.DUMMYFUNCTION("""COMPUTED_VALUE"""),44183.0)</f>
        <v>44183</v>
      </c>
      <c r="B60" s="140">
        <f>IFERROR(__xludf.DUMMYFUNCTION("""COMPUTED_VALUE"""),1604852.0)</f>
        <v>1604852</v>
      </c>
      <c r="C60" t="str">
        <f>IFERROR(__xludf.DUMMYFUNCTION("""COMPUTED_VALUE"""),"en")</f>
        <v>en</v>
      </c>
      <c r="D60" s="140" t="str">
        <f>IFERROR(__xludf.DUMMYFUNCTION("""COMPUTED_VALUE"""),"Mastering Clean Code in JavaScript")</f>
        <v>Mastering Clean Code in JavaScript</v>
      </c>
      <c r="F60" s="140" t="str">
        <f>IFERROR(__xludf.DUMMYFUNCTION("""COMPUTED_VALUE"""),"Packt Publishing")</f>
        <v>Packt Publishing</v>
      </c>
      <c r="G60" t="str">
        <f>IFERROR(__xludf.DUMMYFUNCTION("""COMPUTED_VALUE"""),"Instructor Request- Opted Out")</f>
        <v>Instructor Request- Opted Out</v>
      </c>
      <c r="H60" t="str">
        <f>IFERROR(__xludf.DUMMYFUNCTION("""COMPUTED_VALUE"""),"Development")</f>
        <v>Development</v>
      </c>
      <c r="I60" s="142" t="str">
        <f>IFERROR(__xludf.DUMMYFUNCTION("""COMPUTED_VALUE"""),"Programming Languages")</f>
        <v>Programming Languages</v>
      </c>
      <c r="K60" s="140" t="str">
        <f>IFERROR(__xludf.DUMMYFUNCTION("""COMPUTED_VALUE"""),"")</f>
        <v/>
      </c>
      <c r="M60" s="140" t="str">
        <f>IFERROR(__xludf.DUMMYFUNCTION("""COMPUTED_VALUE"""),"")</f>
        <v/>
      </c>
      <c r="N60" s="140" t="str">
        <f>IFERROR(__xludf.DUMMYFUNCTION("""COMPUTED_VALUE"""),"No Alternatives in Collection- 8/03/2020")</f>
        <v>No Alternatives in Collection- 8/03/2020</v>
      </c>
    </row>
    <row r="61">
      <c r="A61" s="141">
        <f>IFERROR(__xludf.DUMMYFUNCTION("""COMPUTED_VALUE"""),44183.0)</f>
        <v>44183</v>
      </c>
      <c r="B61" s="140">
        <f>IFERROR(__xludf.DUMMYFUNCTION("""COMPUTED_VALUE"""),1248588.0)</f>
        <v>1248588</v>
      </c>
      <c r="C61" t="str">
        <f>IFERROR(__xludf.DUMMYFUNCTION("""COMPUTED_VALUE"""),"en")</f>
        <v>en</v>
      </c>
      <c r="D61" s="140" t="str">
        <f>IFERROR(__xludf.DUMMYFUNCTION("""COMPUTED_VALUE"""),"IBM Cognos Connection and Workspace Advanced")</f>
        <v>IBM Cognos Connection and Workspace Advanced</v>
      </c>
      <c r="F61" s="140" t="str">
        <f>IFERROR(__xludf.DUMMYFUNCTION("""COMPUTED_VALUE"""),"Packt Publishing")</f>
        <v>Packt Publishing</v>
      </c>
      <c r="G61" t="str">
        <f>IFERROR(__xludf.DUMMYFUNCTION("""COMPUTED_VALUE"""),"Instructor Request- Opted Out")</f>
        <v>Instructor Request- Opted Out</v>
      </c>
      <c r="H61" t="str">
        <f>IFERROR(__xludf.DUMMYFUNCTION("""COMPUTED_VALUE"""),"Data Science")</f>
        <v>Data Science</v>
      </c>
      <c r="I61" s="142" t="str">
        <f>IFERROR(__xludf.DUMMYFUNCTION("""COMPUTED_VALUE"""),"Analytics")</f>
        <v>Analytics</v>
      </c>
      <c r="J61" s="140">
        <f>IFERROR(__xludf.DUMMYFUNCTION("""COMPUTED_VALUE"""),2887450.0)</f>
        <v>2887450</v>
      </c>
      <c r="K61" s="140" t="str">
        <f>IFERROR(__xludf.DUMMYFUNCTION("""COMPUTED_VALUE"""),"Complete IBM Cognos Analytics 11.2 Cloud Training Course")</f>
        <v>Complete IBM Cognos Analytics 11.2 Cloud Training Course</v>
      </c>
      <c r="M61" s="140" t="str">
        <f>IFERROR(__xludf.DUMMYFUNCTION("""COMPUTED_VALUE"""),"")</f>
        <v/>
      </c>
    </row>
    <row r="62">
      <c r="A62" s="141">
        <f>IFERROR(__xludf.DUMMYFUNCTION("""COMPUTED_VALUE"""),44183.0)</f>
        <v>44183</v>
      </c>
      <c r="B62" s="140">
        <f>IFERROR(__xludf.DUMMYFUNCTION("""COMPUTED_VALUE"""),513786.0)</f>
        <v>513786</v>
      </c>
      <c r="C62" t="str">
        <f>IFERROR(__xludf.DUMMYFUNCTION("""COMPUTED_VALUE"""),"en")</f>
        <v>en</v>
      </c>
      <c r="D62" s="140" t="str">
        <f>IFERROR(__xludf.DUMMYFUNCTION("""COMPUTED_VALUE"""),"Learn VirtualBox: Step by Step (Install 5 Operating Systems)")</f>
        <v>Learn VirtualBox: Step by Step (Install 5 Operating Systems)</v>
      </c>
      <c r="F62" s="140" t="str">
        <f>IFERROR(__xludf.DUMMYFUNCTION("""COMPUTED_VALUE"""),"Cody Ray Miller")</f>
        <v>Cody Ray Miller</v>
      </c>
      <c r="G62" t="str">
        <f>IFERROR(__xludf.DUMMYFUNCTION("""COMPUTED_VALUE"""),"Inactive Instructor")</f>
        <v>Inactive Instructor</v>
      </c>
      <c r="H62" t="str">
        <f>IFERROR(__xludf.DUMMYFUNCTION("""COMPUTED_VALUE"""),"IT Operations")</f>
        <v>IT Operations</v>
      </c>
      <c r="I62" s="142" t="str">
        <f>IFERROR(__xludf.DUMMYFUNCTION("""COMPUTED_VALUE"""),"Operating Systems &amp; Servers")</f>
        <v>Operating Systems &amp; Servers</v>
      </c>
      <c r="J62" s="140">
        <f>IFERROR(__xludf.DUMMYFUNCTION("""COMPUTED_VALUE"""),1662906.0)</f>
        <v>1662906</v>
      </c>
      <c r="K62" s="140" t="str">
        <f>IFERROR(__xludf.DUMMYFUNCTION("""COMPUTED_VALUE"""),"Ubuntu Linux on Windows With VirtualBox For Web Development")</f>
        <v>Ubuntu Linux on Windows With VirtualBox For Web Development</v>
      </c>
      <c r="L62" s="140">
        <f>IFERROR(__xludf.DUMMYFUNCTION("""COMPUTED_VALUE"""),744606.0)</f>
        <v>744606</v>
      </c>
      <c r="M62" s="140" t="str">
        <f>IFERROR(__xludf.DUMMYFUNCTION("""COMPUTED_VALUE"""),"Vagrant Quick Start: Virtualized Development Environments")</f>
        <v>Vagrant Quick Start: Virtualized Development Environments</v>
      </c>
    </row>
    <row r="63">
      <c r="A63" s="141">
        <f>IFERROR(__xludf.DUMMYFUNCTION("""COMPUTED_VALUE"""),44183.0)</f>
        <v>44183</v>
      </c>
      <c r="B63" s="140">
        <f>IFERROR(__xludf.DUMMYFUNCTION("""COMPUTED_VALUE"""),906630.0)</f>
        <v>906630</v>
      </c>
      <c r="C63" t="str">
        <f>IFERROR(__xludf.DUMMYFUNCTION("""COMPUTED_VALUE"""),"en")</f>
        <v>en</v>
      </c>
      <c r="D63" s="140" t="str">
        <f>IFERROR(__xludf.DUMMYFUNCTION("""COMPUTED_VALUE"""),"Angular 4 Java Developers")</f>
        <v>Angular 4 Java Developers</v>
      </c>
      <c r="F63" s="140" t="str">
        <f>IFERROR(__xludf.DUMMYFUNCTION("""COMPUTED_VALUE"""),"Dan Vega")</f>
        <v>Dan Vega</v>
      </c>
      <c r="G63" t="str">
        <f>IFERROR(__xludf.DUMMYFUNCTION("""COMPUTED_VALUE"""),"Instructor Request- No Detail")</f>
        <v>Instructor Request- No Detail</v>
      </c>
      <c r="H63" t="str">
        <f>IFERROR(__xludf.DUMMYFUNCTION("""COMPUTED_VALUE"""),"Development")</f>
        <v>Development</v>
      </c>
      <c r="I63" s="142" t="str">
        <f>IFERROR(__xludf.DUMMYFUNCTION("""COMPUTED_VALUE"""),"Web Development")</f>
        <v>Web Development</v>
      </c>
      <c r="J63" s="140">
        <f>IFERROR(__xludf.DUMMYFUNCTION("""COMPUTED_VALUE"""),1247828.0)</f>
        <v>1247828</v>
      </c>
      <c r="K63" s="140" t="str">
        <f>IFERROR(__xludf.DUMMYFUNCTION("""COMPUTED_VALUE"""),"The Complete Angular Course: Beginner to Advanced")</f>
        <v>The Complete Angular Course: Beginner to Advanced</v>
      </c>
      <c r="M63" s="140" t="str">
        <f>IFERROR(__xludf.DUMMYFUNCTION("""COMPUTED_VALUE"""),"")</f>
        <v/>
      </c>
    </row>
    <row r="64">
      <c r="A64" s="141">
        <f>IFERROR(__xludf.DUMMYFUNCTION("""COMPUTED_VALUE"""),44183.0)</f>
        <v>44183</v>
      </c>
      <c r="B64" s="140">
        <f>IFERROR(__xludf.DUMMYFUNCTION("""COMPUTED_VALUE"""),2460450.0)</f>
        <v>2460450</v>
      </c>
      <c r="C64" t="str">
        <f>IFERROR(__xludf.DUMMYFUNCTION("""COMPUTED_VALUE"""),"en")</f>
        <v>en</v>
      </c>
      <c r="D64" s="140" t="str">
        <f>IFERROR(__xludf.DUMMYFUNCTION("""COMPUTED_VALUE"""),"The Complete SwiftUI Developer Course")</f>
        <v>The Complete SwiftUI Developer Course</v>
      </c>
      <c r="F64" s="140" t="str">
        <f>IFERROR(__xludf.DUMMYFUNCTION("""COMPUTED_VALUE"""),"Codestars by Rob Percival")</f>
        <v>Codestars by Rob Percival</v>
      </c>
      <c r="G64" t="str">
        <f>IFERROR(__xludf.DUMMYFUNCTION("""COMPUTED_VALUE"""),"Instructor Request- Exclusivity")</f>
        <v>Instructor Request- Exclusivity</v>
      </c>
      <c r="H64" t="str">
        <f>IFERROR(__xludf.DUMMYFUNCTION("""COMPUTED_VALUE"""),"Development")</f>
        <v>Development</v>
      </c>
      <c r="I64" s="142" t="str">
        <f>IFERROR(__xludf.DUMMYFUNCTION("""COMPUTED_VALUE"""),"Mobile Development")</f>
        <v>Mobile Development</v>
      </c>
      <c r="J64" s="140">
        <f>IFERROR(__xludf.DUMMYFUNCTION("""COMPUTED_VALUE"""),1778502.0)</f>
        <v>1778502</v>
      </c>
      <c r="K64" s="140" t="str">
        <f>IFERROR(__xludf.DUMMYFUNCTION("""COMPUTED_VALUE"""),"iOS &amp; Swift - The Complete iOS App Development Bootcamp")</f>
        <v>iOS &amp; Swift - The Complete iOS App Development Bootcamp</v>
      </c>
      <c r="M64" s="140" t="str">
        <f>IFERROR(__xludf.DUMMYFUNCTION("""COMPUTED_VALUE"""),"")</f>
        <v/>
      </c>
    </row>
    <row r="65">
      <c r="A65" s="141">
        <f>IFERROR(__xludf.DUMMYFUNCTION("""COMPUTED_VALUE"""),44183.0)</f>
        <v>44183</v>
      </c>
      <c r="B65" s="140">
        <f>IFERROR(__xludf.DUMMYFUNCTION("""COMPUTED_VALUE"""),2025178.0)</f>
        <v>2025178</v>
      </c>
      <c r="C65" t="str">
        <f>IFERROR(__xludf.DUMMYFUNCTION("""COMPUTED_VALUE"""),"en")</f>
        <v>en</v>
      </c>
      <c r="D65" s="140" t="str">
        <f>IFERROR(__xludf.DUMMYFUNCTION("""COMPUTED_VALUE"""),"Jira 7: For Developer, Administrator &amp; Project Managers")</f>
        <v>Jira 7: For Developer, Administrator &amp; Project Managers</v>
      </c>
      <c r="F65" s="140" t="str">
        <f>IFERROR(__xludf.DUMMYFUNCTION("""COMPUTED_VALUE"""),"Packt Publishing")</f>
        <v>Packt Publishing</v>
      </c>
      <c r="G65" t="str">
        <f>IFERROR(__xludf.DUMMYFUNCTION("""COMPUTED_VALUE"""),"Instructor Request- Opted Out")</f>
        <v>Instructor Request- Opted Out</v>
      </c>
      <c r="H65" t="str">
        <f>IFERROR(__xludf.DUMMYFUNCTION("""COMPUTED_VALUE"""),"Office Productivity")</f>
        <v>Office Productivity</v>
      </c>
      <c r="I65" s="142" t="str">
        <f>IFERROR(__xludf.DUMMYFUNCTION("""COMPUTED_VALUE"""),"Collaboration")</f>
        <v>Collaboration</v>
      </c>
      <c r="J65" s="140">
        <f>IFERROR(__xludf.DUMMYFUNCTION("""COMPUTED_VALUE"""),1120038.0)</f>
        <v>1120038</v>
      </c>
      <c r="K65" s="140" t="str">
        <f>IFERROR(__xludf.DUMMYFUNCTION("""COMPUTED_VALUE"""),"Learn JIRA with real-world examples (+Confluence bonus)")</f>
        <v>Learn JIRA with real-world examples (+Confluence bonus)</v>
      </c>
      <c r="M65" s="140" t="str">
        <f>IFERROR(__xludf.DUMMYFUNCTION("""COMPUTED_VALUE"""),"")</f>
        <v/>
      </c>
    </row>
    <row r="66">
      <c r="A66" s="141">
        <f>IFERROR(__xludf.DUMMYFUNCTION("""COMPUTED_VALUE"""),44183.0)</f>
        <v>44183</v>
      </c>
      <c r="B66" s="140">
        <f>IFERROR(__xludf.DUMMYFUNCTION("""COMPUTED_VALUE"""),1219056.0)</f>
        <v>1219056</v>
      </c>
      <c r="C66" t="str">
        <f>IFERROR(__xludf.DUMMYFUNCTION("""COMPUTED_VALUE"""),"en")</f>
        <v>en</v>
      </c>
      <c r="D66" s="140" t="str">
        <f>IFERROR(__xludf.DUMMYFUNCTION("""COMPUTED_VALUE"""),"Learning Path: Microsoft System Center Configuration Manager")</f>
        <v>Learning Path: Microsoft System Center Configuration Manager</v>
      </c>
      <c r="F66" s="140" t="str">
        <f>IFERROR(__xludf.DUMMYFUNCTION("""COMPUTED_VALUE"""),"Packt Publishing")</f>
        <v>Packt Publishing</v>
      </c>
      <c r="G66" t="str">
        <f>IFERROR(__xludf.DUMMYFUNCTION("""COMPUTED_VALUE"""),"Instructor Request- Opted Out")</f>
        <v>Instructor Request- Opted Out</v>
      </c>
      <c r="H66" t="str">
        <f>IFERROR(__xludf.DUMMYFUNCTION("""COMPUTED_VALUE"""),"IT Operations")</f>
        <v>IT Operations</v>
      </c>
      <c r="I66" s="142" t="str">
        <f>IFERROR(__xludf.DUMMYFUNCTION("""COMPUTED_VALUE"""),"Operating Systems &amp; Servers")</f>
        <v>Operating Systems &amp; Servers</v>
      </c>
      <c r="J66" s="140">
        <f>IFERROR(__xludf.DUMMYFUNCTION("""COMPUTED_VALUE"""),1194706.0)</f>
        <v>1194706</v>
      </c>
      <c r="K66" s="140" t="str">
        <f>IFERROR(__xludf.DUMMYFUNCTION("""COMPUTED_VALUE"""),"Microsoft SCCM/Endpoint Configuration Manager for Beginners")</f>
        <v>Microsoft SCCM/Endpoint Configuration Manager for Beginners</v>
      </c>
      <c r="M66" s="140" t="str">
        <f>IFERROR(__xludf.DUMMYFUNCTION("""COMPUTED_VALUE"""),"")</f>
        <v/>
      </c>
    </row>
    <row r="67">
      <c r="A67" s="141">
        <f>IFERROR(__xludf.DUMMYFUNCTION("""COMPUTED_VALUE"""),44183.0)</f>
        <v>44183</v>
      </c>
      <c r="B67" s="140">
        <f>IFERROR(__xludf.DUMMYFUNCTION("""COMPUTED_VALUE"""),1542886.0)</f>
        <v>1542886</v>
      </c>
      <c r="C67" t="str">
        <f>IFERROR(__xludf.DUMMYFUNCTION("""COMPUTED_VALUE"""),"en")</f>
        <v>en</v>
      </c>
      <c r="D67" s="140" t="str">
        <f>IFERROR(__xludf.DUMMYFUNCTION("""COMPUTED_VALUE"""),"Dive Into Ansible - From Beginner to Expert in Ansible")</f>
        <v>Dive Into Ansible - From Beginner to Expert in Ansible</v>
      </c>
      <c r="F67" s="140" t="str">
        <f>IFERROR(__xludf.DUMMYFUNCTION("""COMPUTED_VALUE"""),"James Spurin")</f>
        <v>James Spurin</v>
      </c>
      <c r="G67" t="str">
        <f>IFERROR(__xludf.DUMMYFUNCTION("""COMPUTED_VALUE"""),"Instructor Request- Opted Out")</f>
        <v>Instructor Request- Opted Out</v>
      </c>
      <c r="H67" t="str">
        <f>IFERROR(__xludf.DUMMYFUNCTION("""COMPUTED_VALUE"""),"Development")</f>
        <v>Development</v>
      </c>
      <c r="I67" s="142" t="str">
        <f>IFERROR(__xludf.DUMMYFUNCTION("""COMPUTED_VALUE"""),"Development Tools")</f>
        <v>Development Tools</v>
      </c>
      <c r="J67" s="140">
        <f>IFERROR(__xludf.DUMMYFUNCTION("""COMPUTED_VALUE"""),1209412.0)</f>
        <v>1209412</v>
      </c>
      <c r="K67" s="140" t="str">
        <f>IFERROR(__xludf.DUMMYFUNCTION("""COMPUTED_VALUE"""),"Ansible for the Absolute Beginner - Hands-On - DevOps")</f>
        <v>Ansible for the Absolute Beginner - Hands-On - DevOps</v>
      </c>
      <c r="M67" s="140" t="str">
        <f>IFERROR(__xludf.DUMMYFUNCTION("""COMPUTED_VALUE"""),"")</f>
        <v/>
      </c>
    </row>
    <row r="68">
      <c r="A68" s="141">
        <f>IFERROR(__xludf.DUMMYFUNCTION("""COMPUTED_VALUE"""),44183.0)</f>
        <v>44183</v>
      </c>
      <c r="B68" s="140">
        <f>IFERROR(__xludf.DUMMYFUNCTION("""COMPUTED_VALUE"""),1507666.0)</f>
        <v>1507666</v>
      </c>
      <c r="C68" t="str">
        <f>IFERROR(__xludf.DUMMYFUNCTION("""COMPUTED_VALUE"""),"en")</f>
        <v>en</v>
      </c>
      <c r="D68" s="140" t="str">
        <f>IFERROR(__xludf.DUMMYFUNCTION("""COMPUTED_VALUE"""),"Mastering Microsoft Teams (2020)")</f>
        <v>Mastering Microsoft Teams (2020)</v>
      </c>
      <c r="F68" s="140" t="str">
        <f>IFERROR(__xludf.DUMMYFUNCTION("""COMPUTED_VALUE"""),"Chip Reaves")</f>
        <v>Chip Reaves</v>
      </c>
      <c r="G68" t="str">
        <f>IFERROR(__xludf.DUMMYFUNCTION("""COMPUTED_VALUE"""),"Course Ineligible")</f>
        <v>Course Ineligible</v>
      </c>
      <c r="H68" t="str">
        <f>IFERROR(__xludf.DUMMYFUNCTION("""COMPUTED_VALUE"""),"Office Productivity")</f>
        <v>Office Productivity</v>
      </c>
      <c r="I68" s="142" t="str">
        <f>IFERROR(__xludf.DUMMYFUNCTION("""COMPUTED_VALUE"""),"Collaboration")</f>
        <v>Collaboration</v>
      </c>
      <c r="J68" s="140">
        <f>IFERROR(__xludf.DUMMYFUNCTION("""COMPUTED_VALUE"""),1380500.0)</f>
        <v>1380500</v>
      </c>
      <c r="K68" s="140" t="str">
        <f>IFERROR(__xludf.DUMMYFUNCTION("""COMPUTED_VALUE"""),"Up and Running with Microsoft Teams")</f>
        <v>Up and Running with Microsoft Teams</v>
      </c>
      <c r="M68" s="140" t="str">
        <f>IFERROR(__xludf.DUMMYFUNCTION("""COMPUTED_VALUE"""),"")</f>
        <v/>
      </c>
    </row>
    <row r="69">
      <c r="A69" s="141">
        <f>IFERROR(__xludf.DUMMYFUNCTION("""COMPUTED_VALUE"""),44183.0)</f>
        <v>44183</v>
      </c>
      <c r="B69" s="140">
        <f>IFERROR(__xludf.DUMMYFUNCTION("""COMPUTED_VALUE"""),952454.0)</f>
        <v>952454</v>
      </c>
      <c r="C69" t="str">
        <f>IFERROR(__xludf.DUMMYFUNCTION("""COMPUTED_VALUE"""),"en")</f>
        <v>en</v>
      </c>
      <c r="D69" s="140" t="str">
        <f>IFERROR(__xludf.DUMMYFUNCTION("""COMPUTED_VALUE"""),"Software Defined Networking with VMware NSX")</f>
        <v>Software Defined Networking with VMware NSX</v>
      </c>
      <c r="F69" s="140" t="str">
        <f>IFERROR(__xludf.DUMMYFUNCTION("""COMPUTED_VALUE"""),"Packt Publishing")</f>
        <v>Packt Publishing</v>
      </c>
      <c r="G69" t="str">
        <f>IFERROR(__xludf.DUMMYFUNCTION("""COMPUTED_VALUE"""),"Instructor Request- Opted Out")</f>
        <v>Instructor Request- Opted Out</v>
      </c>
      <c r="H69" t="str">
        <f>IFERROR(__xludf.DUMMYFUNCTION("""COMPUTED_VALUE"""),"IT Operations")</f>
        <v>IT Operations</v>
      </c>
      <c r="I69" s="142" t="str">
        <f>IFERROR(__xludf.DUMMYFUNCTION("""COMPUTED_VALUE"""),"Network &amp; Security")</f>
        <v>Network &amp; Security</v>
      </c>
      <c r="J69" s="140">
        <f>IFERROR(__xludf.DUMMYFUNCTION("""COMPUTED_VALUE"""),989516.0)</f>
        <v>989516</v>
      </c>
      <c r="K69" s="140" t="str">
        <f>IFERROR(__xludf.DUMMYFUNCTION("""COMPUTED_VALUE"""),"Clear and Simple VMware NSX 6.2 and vSphere Virtual Networks")</f>
        <v>Clear and Simple VMware NSX 6.2 and vSphere Virtual Networks</v>
      </c>
      <c r="M69" s="140" t="str">
        <f>IFERROR(__xludf.DUMMYFUNCTION("""COMPUTED_VALUE"""),"")</f>
        <v/>
      </c>
    </row>
    <row r="70">
      <c r="A70" s="141">
        <f>IFERROR(__xludf.DUMMYFUNCTION("""COMPUTED_VALUE"""),44183.0)</f>
        <v>44183</v>
      </c>
      <c r="B70" s="140">
        <f>IFERROR(__xludf.DUMMYFUNCTION("""COMPUTED_VALUE"""),2561758.0)</f>
        <v>2561758</v>
      </c>
      <c r="C70" t="str">
        <f>IFERROR(__xludf.DUMMYFUNCTION("""COMPUTED_VALUE"""),"fr")</f>
        <v>fr</v>
      </c>
      <c r="D70" s="140" t="str">
        <f>IFERROR(__xludf.DUMMYFUNCTION("""COMPUTED_VALUE"""),"Statistique pour la Data Science")</f>
        <v>Statistique pour la Data Science</v>
      </c>
      <c r="E70" t="str">
        <f>IFERROR(__xludf.DUMMYFUNCTION("""COMPUTED_VALUE"""),"Statistics for Data Science")</f>
        <v>Statistics for Data Science</v>
      </c>
      <c r="F70" s="140" t="str">
        <f>IFERROR(__xludf.DUMMYFUNCTION("""COMPUTED_VALUE"""),"Charles Bordet")</f>
        <v>Charles Bordet</v>
      </c>
      <c r="G70" t="str">
        <f>IFERROR(__xludf.DUMMYFUNCTION("""COMPUTED_VALUE"""),"Instructor Request- Revenue")</f>
        <v>Instructor Request- Revenue</v>
      </c>
      <c r="H70" t="str">
        <f>IFERROR(__xludf.DUMMYFUNCTION("""COMPUTED_VALUE"""),"Data Science")</f>
        <v>Data Science</v>
      </c>
      <c r="I70" s="142" t="str">
        <f>IFERROR(__xludf.DUMMYFUNCTION("""COMPUTED_VALUE"""),"Statistical Analysis")</f>
        <v>Statistical Analysis</v>
      </c>
      <c r="K70" s="140" t="str">
        <f>IFERROR(__xludf.DUMMYFUNCTION("""COMPUTED_VALUE"""),"")</f>
        <v/>
      </c>
      <c r="M70" s="140" t="str">
        <f>IFERROR(__xludf.DUMMYFUNCTION("""COMPUTED_VALUE"""),"")</f>
        <v/>
      </c>
      <c r="N70" s="140" t="str">
        <f>IFERROR(__xludf.DUMMYFUNCTION("""COMPUTED_VALUE"""),"No Alternatives in Collection- 8/03/2020")</f>
        <v>No Alternatives in Collection- 8/03/2020</v>
      </c>
    </row>
    <row r="71">
      <c r="A71" s="141">
        <f>IFERROR(__xludf.DUMMYFUNCTION("""COMPUTED_VALUE"""),44183.0)</f>
        <v>44183</v>
      </c>
      <c r="B71" s="140">
        <f>IFERROR(__xludf.DUMMYFUNCTION("""COMPUTED_VALUE"""),2759464.0)</f>
        <v>2759464</v>
      </c>
      <c r="C71" t="str">
        <f>IFERROR(__xludf.DUMMYFUNCTION("""COMPUTED_VALUE"""),"en")</f>
        <v>en</v>
      </c>
      <c r="D71" s="140" t="str">
        <f>IFERROR(__xludf.DUMMYFUNCTION("""COMPUTED_VALUE"""),"Master CMake for Cross-Platform C++ Project Building")</f>
        <v>Master CMake for Cross-Platform C++ Project Building</v>
      </c>
      <c r="F71" s="140" t="str">
        <f>IFERROR(__xludf.DUMMYFUNCTION("""COMPUTED_VALUE"""),"Milan Yadav")</f>
        <v>Milan Yadav</v>
      </c>
      <c r="G71" t="str">
        <f>IFERROR(__xludf.DUMMYFUNCTION("""COMPUTED_VALUE"""),"Instructor Request- Opted Out")</f>
        <v>Instructor Request- Opted Out</v>
      </c>
      <c r="H71" t="str">
        <f>IFERROR(__xludf.DUMMYFUNCTION("""COMPUTED_VALUE"""),"Development")</f>
        <v>Development</v>
      </c>
      <c r="I71" s="142" t="str">
        <f>IFERROR(__xludf.DUMMYFUNCTION("""COMPUTED_VALUE"""),"Development Tools")</f>
        <v>Development Tools</v>
      </c>
      <c r="J71" s="140">
        <f>IFERROR(__xludf.DUMMYFUNCTION("""COMPUTED_VALUE"""),1467808.0)</f>
        <v>1467808</v>
      </c>
      <c r="K71" s="140" t="str">
        <f>IFERROR(__xludf.DUMMYFUNCTION("""COMPUTED_VALUE"""),"C Programming For Beginners - Master the C Language")</f>
        <v>C Programming For Beginners - Master the C Language</v>
      </c>
      <c r="M71" s="140" t="str">
        <f>IFERROR(__xludf.DUMMYFUNCTION("""COMPUTED_VALUE"""),"")</f>
        <v/>
      </c>
    </row>
    <row r="72">
      <c r="A72" s="141">
        <f>IFERROR(__xludf.DUMMYFUNCTION("""COMPUTED_VALUE"""),44183.0)</f>
        <v>44183</v>
      </c>
      <c r="B72" s="140">
        <f>IFERROR(__xludf.DUMMYFUNCTION("""COMPUTED_VALUE"""),1425372.0)</f>
        <v>1425372</v>
      </c>
      <c r="C72" t="str">
        <f>IFERROR(__xludf.DUMMYFUNCTION("""COMPUTED_VALUE"""),"en")</f>
        <v>en</v>
      </c>
      <c r="D72" s="140" t="str">
        <f>IFERROR(__xludf.DUMMYFUNCTION("""COMPUTED_VALUE"""),"Learning Pivotal Cloud Foundry for Web Developers")</f>
        <v>Learning Pivotal Cloud Foundry for Web Developers</v>
      </c>
      <c r="F72" s="140" t="str">
        <f>IFERROR(__xludf.DUMMYFUNCTION("""COMPUTED_VALUE"""),"Packt Publishing")</f>
        <v>Packt Publishing</v>
      </c>
      <c r="G72" t="str">
        <f>IFERROR(__xludf.DUMMYFUNCTION("""COMPUTED_VALUE"""),"Instructor Request- Opted Out")</f>
        <v>Instructor Request- Opted Out</v>
      </c>
      <c r="H72" t="str">
        <f>IFERROR(__xludf.DUMMYFUNCTION("""COMPUTED_VALUE"""),"Cloud Computing")</f>
        <v>Cloud Computing</v>
      </c>
      <c r="I72" s="142" t="str">
        <f>IFERROR(__xludf.DUMMYFUNCTION("""COMPUTED_VALUE"""),"Cloud Development")</f>
        <v>Cloud Development</v>
      </c>
      <c r="J72" s="140">
        <f>IFERROR(__xludf.DUMMYFUNCTION("""COMPUTED_VALUE"""),1346052.0)</f>
        <v>1346052</v>
      </c>
      <c r="K72" s="140" t="str">
        <f>IFERROR(__xludf.DUMMYFUNCTION("""COMPUTED_VALUE"""),"Learn to Develop for Cloud with Pivotal Cloud Foundry")</f>
        <v>Learn to Develop for Cloud with Pivotal Cloud Foundry</v>
      </c>
      <c r="M72" s="140" t="str">
        <f>IFERROR(__xludf.DUMMYFUNCTION("""COMPUTED_VALUE"""),"")</f>
        <v/>
      </c>
    </row>
    <row r="73">
      <c r="A73" s="141">
        <f>IFERROR(__xludf.DUMMYFUNCTION("""COMPUTED_VALUE"""),44183.0)</f>
        <v>44183</v>
      </c>
      <c r="B73" s="140">
        <f>IFERROR(__xludf.DUMMYFUNCTION("""COMPUTED_VALUE"""),1175244.0)</f>
        <v>1175244</v>
      </c>
      <c r="C73" t="str">
        <f>IFERROR(__xludf.DUMMYFUNCTION("""COMPUTED_VALUE"""),"en")</f>
        <v>en</v>
      </c>
      <c r="D73" s="140" t="str">
        <f>IFERROR(__xludf.DUMMYFUNCTION("""COMPUTED_VALUE"""),"Learning Salt")</f>
        <v>Learning Salt</v>
      </c>
      <c r="F73" s="140" t="str">
        <f>IFERROR(__xludf.DUMMYFUNCTION("""COMPUTED_VALUE"""),"Packt Publishing")</f>
        <v>Packt Publishing</v>
      </c>
      <c r="G73" t="str">
        <f>IFERROR(__xludf.DUMMYFUNCTION("""COMPUTED_VALUE"""),"Instructor Request- Opted Out")</f>
        <v>Instructor Request- Opted Out</v>
      </c>
      <c r="H73" t="str">
        <f>IFERROR(__xludf.DUMMYFUNCTION("""COMPUTED_VALUE"""),"IT Operations")</f>
        <v>IT Operations</v>
      </c>
      <c r="I73" s="142" t="str">
        <f>IFERROR(__xludf.DUMMYFUNCTION("""COMPUTED_VALUE"""),"Network &amp; Security")</f>
        <v>Network &amp; Security</v>
      </c>
      <c r="J73" s="140">
        <f>IFERROR(__xludf.DUMMYFUNCTION("""COMPUTED_VALUE"""),1220404.0)</f>
        <v>1220404</v>
      </c>
      <c r="K73" s="140" t="str">
        <f>IFERROR(__xludf.DUMMYFUNCTION("""COMPUTED_VALUE"""),"")</f>
        <v/>
      </c>
      <c r="M73" s="140" t="str">
        <f>IFERROR(__xludf.DUMMYFUNCTION("""COMPUTED_VALUE"""),"")</f>
        <v/>
      </c>
    </row>
    <row r="74">
      <c r="A74" s="141">
        <f>IFERROR(__xludf.DUMMYFUNCTION("""COMPUTED_VALUE"""),44183.0)</f>
        <v>44183</v>
      </c>
      <c r="B74" s="140">
        <f>IFERROR(__xludf.DUMMYFUNCTION("""COMPUTED_VALUE"""),1545948.0)</f>
        <v>1545948</v>
      </c>
      <c r="C74" t="str">
        <f>IFERROR(__xludf.DUMMYFUNCTION("""COMPUTED_VALUE"""),"pt")</f>
        <v>pt</v>
      </c>
      <c r="D74" s="140" t="str">
        <f>IFERROR(__xludf.DUMMYFUNCTION("""COMPUTED_VALUE"""),"Planejamento de Conteúdo para Mídias Sociais - Edição 2020")</f>
        <v>Planejamento de Conteúdo para Mídias Sociais - Edição 2020</v>
      </c>
      <c r="E74" t="str">
        <f>IFERROR(__xludf.DUMMYFUNCTION("""COMPUTED_VALUE"""),"Content Planning for Social Media - 2020 Edition")</f>
        <v>Content Planning for Social Media - 2020 Edition</v>
      </c>
      <c r="F74" s="140" t="str">
        <f>IFERROR(__xludf.DUMMYFUNCTION("""COMPUTED_VALUE"""),"Mariana Klein")</f>
        <v>Mariana Klein</v>
      </c>
      <c r="G74" t="str">
        <f>IFERROR(__xludf.DUMMYFUNCTION("""COMPUTED_VALUE"""),"Instructor Request- Opted Out")</f>
        <v>Instructor Request- Opted Out</v>
      </c>
      <c r="H74" t="str">
        <f>IFERROR(__xludf.DUMMYFUNCTION("""COMPUTED_VALUE"""),"Marketing")</f>
        <v>Marketing</v>
      </c>
      <c r="I74" s="142" t="str">
        <f>IFERROR(__xludf.DUMMYFUNCTION("""COMPUTED_VALUE"""),"Social Media Marketing")</f>
        <v>Social Media Marketing</v>
      </c>
      <c r="K74" s="140" t="str">
        <f>IFERROR(__xludf.DUMMYFUNCTION("""COMPUTED_VALUE"""),"")</f>
        <v/>
      </c>
      <c r="M74" s="140" t="str">
        <f>IFERROR(__xludf.DUMMYFUNCTION("""COMPUTED_VALUE"""),"")</f>
        <v/>
      </c>
      <c r="N74" s="140" t="str">
        <f>IFERROR(__xludf.DUMMYFUNCTION("""COMPUTED_VALUE"""),"No Alternatives in Collection- 8/03/2020")</f>
        <v>No Alternatives in Collection- 8/03/2020</v>
      </c>
    </row>
    <row r="75">
      <c r="A75" s="141">
        <f>IFERROR(__xludf.DUMMYFUNCTION("""COMPUTED_VALUE"""),44183.0)</f>
        <v>44183</v>
      </c>
      <c r="B75" s="140">
        <f>IFERROR(__xludf.DUMMYFUNCTION("""COMPUTED_VALUE"""),157542.0)</f>
        <v>157542</v>
      </c>
      <c r="C75" t="str">
        <f>IFERROR(__xludf.DUMMYFUNCTION("""COMPUTED_VALUE"""),"en")</f>
        <v>en</v>
      </c>
      <c r="D75" s="140" t="str">
        <f>IFERROR(__xludf.DUMMYFUNCTION("""COMPUTED_VALUE"""),"Microsoft PowerPoint - Advanced PowerPoint Training")</f>
        <v>Microsoft PowerPoint - Advanced PowerPoint Training</v>
      </c>
      <c r="F75" s="140" t="str">
        <f>IFERROR(__xludf.DUMMYFUNCTION("""COMPUTED_VALUE"""),"Taylor Croonquist")</f>
        <v>Taylor Croonquist</v>
      </c>
      <c r="G75" t="str">
        <f>IFERROR(__xludf.DUMMYFUNCTION("""COMPUTED_VALUE"""),"Instructor Request- Opted Out")</f>
        <v>Instructor Request- Opted Out</v>
      </c>
      <c r="H75" t="str">
        <f>IFERROR(__xludf.DUMMYFUNCTION("""COMPUTED_VALUE"""),"Office Productivity")</f>
        <v>Office Productivity</v>
      </c>
      <c r="I75" s="142" t="str">
        <f>IFERROR(__xludf.DUMMYFUNCTION("""COMPUTED_VALUE"""),"Presentations")</f>
        <v>Presentations</v>
      </c>
      <c r="J75" s="140">
        <f>IFERROR(__xludf.DUMMYFUNCTION("""COMPUTED_VALUE"""),2619774.0)</f>
        <v>2619774</v>
      </c>
      <c r="K75" s="140" t="str">
        <f>IFERROR(__xludf.DUMMYFUNCTION("""COMPUTED_VALUE"""),"Microsoft PowerPoint From Beginner to Advanced")</f>
        <v>Microsoft PowerPoint From Beginner to Advanced</v>
      </c>
      <c r="M75" s="140" t="str">
        <f>IFERROR(__xludf.DUMMYFUNCTION("""COMPUTED_VALUE"""),"")</f>
        <v/>
      </c>
    </row>
    <row r="76">
      <c r="A76" s="141">
        <f>IFERROR(__xludf.DUMMYFUNCTION("""COMPUTED_VALUE"""),44183.0)</f>
        <v>44183</v>
      </c>
      <c r="B76" s="140">
        <f>IFERROR(__xludf.DUMMYFUNCTION("""COMPUTED_VALUE"""),2207514.0)</f>
        <v>2207514</v>
      </c>
      <c r="C76" t="str">
        <f>IFERROR(__xludf.DUMMYFUNCTION("""COMPUTED_VALUE"""),"pt")</f>
        <v>pt</v>
      </c>
      <c r="D76" s="140" t="str">
        <f>IFERROR(__xludf.DUMMYFUNCTION("""COMPUTED_VALUE"""),"Meditação Mindfulness: aprendendo a meditar na prática")</f>
        <v>Meditação Mindfulness: aprendendo a meditar na prática</v>
      </c>
      <c r="E76" t="str">
        <f>IFERROR(__xludf.DUMMYFUNCTION("""COMPUTED_VALUE"""),"Mindfulness Meditation: learning to meditate in practice")</f>
        <v>Mindfulness Meditation: learning to meditate in practice</v>
      </c>
      <c r="F76" s="140" t="str">
        <f>IFERROR(__xludf.DUMMYFUNCTION("""COMPUTED_VALUE"""),"Beatriz Rustiguel")</f>
        <v>Beatriz Rustiguel</v>
      </c>
      <c r="G76" t="str">
        <f>IFERROR(__xludf.DUMMYFUNCTION("""COMPUTED_VALUE"""),"Instructor Request- Opted Out")</f>
        <v>Instructor Request- Opted Out</v>
      </c>
      <c r="H76" t="str">
        <f>IFERROR(__xludf.DUMMYFUNCTION("""COMPUTED_VALUE"""),"Personal Development")</f>
        <v>Personal Development</v>
      </c>
      <c r="I76" s="142" t="str">
        <f>IFERROR(__xludf.DUMMYFUNCTION("""COMPUTED_VALUE"""),"Stress Management")</f>
        <v>Stress Management</v>
      </c>
      <c r="K76" s="140" t="str">
        <f>IFERROR(__xludf.DUMMYFUNCTION("""COMPUTED_VALUE"""),"")</f>
        <v/>
      </c>
      <c r="M76" s="140" t="str">
        <f>IFERROR(__xludf.DUMMYFUNCTION("""COMPUTED_VALUE"""),"")</f>
        <v/>
      </c>
      <c r="N76" s="140" t="str">
        <f>IFERROR(__xludf.DUMMYFUNCTION("""COMPUTED_VALUE"""),"No Alternatives in Collection- 8/03/2020")</f>
        <v>No Alternatives in Collection- 8/03/2020</v>
      </c>
    </row>
    <row r="77">
      <c r="A77" s="141">
        <f>IFERROR(__xludf.DUMMYFUNCTION("""COMPUTED_VALUE"""),44183.0)</f>
        <v>44183</v>
      </c>
      <c r="B77" s="140">
        <f>IFERROR(__xludf.DUMMYFUNCTION("""COMPUTED_VALUE"""),1796540.0)</f>
        <v>1796540</v>
      </c>
      <c r="C77" t="str">
        <f>IFERROR(__xludf.DUMMYFUNCTION("""COMPUTED_VALUE"""),"en")</f>
        <v>en</v>
      </c>
      <c r="D77" s="140" t="str">
        <f>IFERROR(__xludf.DUMMYFUNCTION("""COMPUTED_VALUE"""),"Drone Programming Primer for Software Development")</f>
        <v>Drone Programming Primer for Software Development</v>
      </c>
      <c r="F77" s="140" t="str">
        <f>IFERROR(__xludf.DUMMYFUNCTION("""COMPUTED_VALUE"""),"Caleb Bergquist")</f>
        <v>Caleb Bergquist</v>
      </c>
      <c r="G77" t="str">
        <f>IFERROR(__xludf.DUMMYFUNCTION("""COMPUTED_VALUE"""),"Instructor Request- Opted Out")</f>
        <v>Instructor Request- Opted Out</v>
      </c>
      <c r="H77" t="str">
        <f>IFERROR(__xludf.DUMMYFUNCTION("""COMPUTED_VALUE"""),"IT Operations")</f>
        <v>IT Operations</v>
      </c>
      <c r="I77" s="142" t="str">
        <f>IFERROR(__xludf.DUMMYFUNCTION("""COMPUTED_VALUE"""),"Hardware")</f>
        <v>Hardware</v>
      </c>
      <c r="K77" s="140" t="str">
        <f>IFERROR(__xludf.DUMMYFUNCTION("""COMPUTED_VALUE"""),"")</f>
        <v/>
      </c>
      <c r="M77" s="140" t="str">
        <f>IFERROR(__xludf.DUMMYFUNCTION("""COMPUTED_VALUE"""),"")</f>
        <v/>
      </c>
      <c r="N77" s="140" t="str">
        <f>IFERROR(__xludf.DUMMYFUNCTION("""COMPUTED_VALUE"""),"No Alternatives in Collection- 8/03/2020")</f>
        <v>No Alternatives in Collection- 8/03/2020</v>
      </c>
    </row>
    <row r="78">
      <c r="A78" s="141">
        <f>IFERROR(__xludf.DUMMYFUNCTION("""COMPUTED_VALUE"""),44183.0)</f>
        <v>44183</v>
      </c>
      <c r="B78" s="140">
        <f>IFERROR(__xludf.DUMMYFUNCTION("""COMPUTED_VALUE"""),2397186.0)</f>
        <v>2397186</v>
      </c>
      <c r="C78" t="str">
        <f>IFERROR(__xludf.DUMMYFUNCTION("""COMPUTED_VALUE"""),"en")</f>
        <v>en</v>
      </c>
      <c r="D78" s="140" t="str">
        <f>IFERROR(__xludf.DUMMYFUNCTION("""COMPUTED_VALUE"""),"Mastering Palo Alto Networks")</f>
        <v>Mastering Palo Alto Networks</v>
      </c>
      <c r="F78" s="140" t="str">
        <f>IFERROR(__xludf.DUMMYFUNCTION("""COMPUTED_VALUE"""),"Packt Publishing")</f>
        <v>Packt Publishing</v>
      </c>
      <c r="G78" t="str">
        <f>IFERROR(__xludf.DUMMYFUNCTION("""COMPUTED_VALUE"""),"Instructor Request- Opted Out")</f>
        <v>Instructor Request- Opted Out</v>
      </c>
      <c r="H78" t="str">
        <f>IFERROR(__xludf.DUMMYFUNCTION("""COMPUTED_VALUE"""),"IT Operations")</f>
        <v>IT Operations</v>
      </c>
      <c r="I78" s="142" t="str">
        <f>IFERROR(__xludf.DUMMYFUNCTION("""COMPUTED_VALUE"""),"Network &amp; Security")</f>
        <v>Network &amp; Security</v>
      </c>
      <c r="K78" s="140" t="str">
        <f>IFERROR(__xludf.DUMMYFUNCTION("""COMPUTED_VALUE"""),"")</f>
        <v/>
      </c>
      <c r="M78" s="140" t="str">
        <f>IFERROR(__xludf.DUMMYFUNCTION("""COMPUTED_VALUE"""),"")</f>
        <v/>
      </c>
      <c r="N78" s="140" t="str">
        <f>IFERROR(__xludf.DUMMYFUNCTION("""COMPUTED_VALUE"""),"No Alternatives in Collection- 8/03/2020")</f>
        <v>No Alternatives in Collection- 8/03/2020</v>
      </c>
    </row>
    <row r="79">
      <c r="A79" s="141">
        <f>IFERROR(__xludf.DUMMYFUNCTION("""COMPUTED_VALUE"""),44183.0)</f>
        <v>44183</v>
      </c>
      <c r="B79" s="140">
        <f>IFERROR(__xludf.DUMMYFUNCTION("""COMPUTED_VALUE"""),572592.0)</f>
        <v>572592</v>
      </c>
      <c r="C79" t="str">
        <f>IFERROR(__xludf.DUMMYFUNCTION("""COMPUTED_VALUE"""),"en")</f>
        <v>en</v>
      </c>
      <c r="D79" s="140" t="str">
        <f>IFERROR(__xludf.DUMMYFUNCTION("""COMPUTED_VALUE"""),"Nailed It! Turn your B2B Sales Meetings into Opportunities")</f>
        <v>Nailed It! Turn your B2B Sales Meetings into Opportunities</v>
      </c>
      <c r="F79" s="140" t="str">
        <f>IFERROR(__xludf.DUMMYFUNCTION("""COMPUTED_VALUE"""),"Randy Whitcroft")</f>
        <v>Randy Whitcroft</v>
      </c>
      <c r="G79" t="str">
        <f>IFERROR(__xludf.DUMMYFUNCTION("""COMPUTED_VALUE"""),"Instructor Request- No Detail")</f>
        <v>Instructor Request- No Detail</v>
      </c>
      <c r="H79" t="str">
        <f>IFERROR(__xludf.DUMMYFUNCTION("""COMPUTED_VALUE"""),"Sales")</f>
        <v>Sales</v>
      </c>
      <c r="I79" s="142" t="str">
        <f>IFERROR(__xludf.DUMMYFUNCTION("""COMPUTED_VALUE"""),"Sales Skills &amp; Tools")</f>
        <v>Sales Skills &amp; Tools</v>
      </c>
      <c r="J79" s="140">
        <f>IFERROR(__xludf.DUMMYFUNCTION("""COMPUTED_VALUE"""),1449746.0)</f>
        <v>1449746</v>
      </c>
      <c r="K79" s="140" t="str">
        <f>IFERROR(__xludf.DUMMYFUNCTION("""COMPUTED_VALUE"""),"Business Development &amp; B2B Sales for Startups- Sales Valley")</f>
        <v>Business Development &amp; B2B Sales for Startups- Sales Valley</v>
      </c>
      <c r="M79" s="140" t="str">
        <f>IFERROR(__xludf.DUMMYFUNCTION("""COMPUTED_VALUE"""),"")</f>
        <v/>
      </c>
    </row>
    <row r="80">
      <c r="A80" s="141">
        <f>IFERROR(__xludf.DUMMYFUNCTION("""COMPUTED_VALUE"""),44183.0)</f>
        <v>44183</v>
      </c>
      <c r="B80" s="140">
        <f>IFERROR(__xludf.DUMMYFUNCTION("""COMPUTED_VALUE"""),896858.0)</f>
        <v>896858</v>
      </c>
      <c r="C80" t="str">
        <f>IFERROR(__xludf.DUMMYFUNCTION("""COMPUTED_VALUE"""),"en")</f>
        <v>en</v>
      </c>
      <c r="D80" s="140" t="str">
        <f>IFERROR(__xludf.DUMMYFUNCTION("""COMPUTED_VALUE"""),"The Complete WordPress Theme Development Course")</f>
        <v>The Complete WordPress Theme Development Course</v>
      </c>
      <c r="F80" s="140" t="str">
        <f>IFERROR(__xludf.DUMMYFUNCTION("""COMPUTED_VALUE"""),"Alexander Oni")</f>
        <v>Alexander Oni</v>
      </c>
      <c r="G80" t="str">
        <f>IFERROR(__xludf.DUMMYFUNCTION("""COMPUTED_VALUE"""),"Instructor Request- No Detail")</f>
        <v>Instructor Request- No Detail</v>
      </c>
      <c r="H80" t="str">
        <f>IFERROR(__xludf.DUMMYFUNCTION("""COMPUTED_VALUE"""),"Development")</f>
        <v>Development</v>
      </c>
      <c r="I80" s="142" t="str">
        <f>IFERROR(__xludf.DUMMYFUNCTION("""COMPUTED_VALUE"""),"Web Development")</f>
        <v>Web Development</v>
      </c>
      <c r="J80" s="140">
        <f>IFERROR(__xludf.DUMMYFUNCTION("""COMPUTED_VALUE"""),1178762.0)</f>
        <v>1178762</v>
      </c>
      <c r="K80" s="140" t="str">
        <f>IFERROR(__xludf.DUMMYFUNCTION("""COMPUTED_VALUE"""),"Complete WordPress Theme &amp; Plugin Development Course [2021]")</f>
        <v>Complete WordPress Theme &amp; Plugin Development Course [2021]</v>
      </c>
      <c r="L80" s="140">
        <f>IFERROR(__xludf.DUMMYFUNCTION("""COMPUTED_VALUE"""),1498332.0)</f>
        <v>1498332</v>
      </c>
      <c r="M80" s="140" t="str">
        <f>IFERROR(__xludf.DUMMYFUNCTION("""COMPUTED_VALUE"""),"The Complete Guide to Building Premium WordPress Themes")</f>
        <v>The Complete Guide to Building Premium WordPress Themes</v>
      </c>
    </row>
    <row r="81">
      <c r="A81" s="141">
        <f>IFERROR(__xludf.DUMMYFUNCTION("""COMPUTED_VALUE"""),44183.0)</f>
        <v>44183</v>
      </c>
      <c r="B81" s="140">
        <f>IFERROR(__xludf.DUMMYFUNCTION("""COMPUTED_VALUE"""),1900608.0)</f>
        <v>1900608</v>
      </c>
      <c r="C81" t="str">
        <f>IFERROR(__xludf.DUMMYFUNCTION("""COMPUTED_VALUE"""),"en")</f>
        <v>en</v>
      </c>
      <c r="D81" s="140" t="str">
        <f>IFERROR(__xludf.DUMMYFUNCTION("""COMPUTED_VALUE"""),"Netapp ONTAP 9 Troubleshooting")</f>
        <v>Netapp ONTAP 9 Troubleshooting</v>
      </c>
      <c r="F81" s="140" t="str">
        <f>IFERROR(__xludf.DUMMYFUNCTION("""COMPUTED_VALUE"""),"Peter van der weerd")</f>
        <v>Peter van der weerd</v>
      </c>
      <c r="G81" t="str">
        <f>IFERROR(__xludf.DUMMYFUNCTION("""COMPUTED_VALUE"""),"Instructor Request- Opted Out")</f>
        <v>Instructor Request- Opted Out</v>
      </c>
      <c r="H81" t="str">
        <f>IFERROR(__xludf.DUMMYFUNCTION("""COMPUTED_VALUE"""),"IT Operations")</f>
        <v>IT Operations</v>
      </c>
      <c r="I81" s="142" t="str">
        <f>IFERROR(__xludf.DUMMYFUNCTION("""COMPUTED_VALUE"""),"Operating Systems &amp; Servers")</f>
        <v>Operating Systems &amp; Servers</v>
      </c>
      <c r="J81" s="140">
        <f>IFERROR(__xludf.DUMMYFUNCTION("""COMPUTED_VALUE"""),735204.0)</f>
        <v>735204</v>
      </c>
      <c r="K81" s="140" t="str">
        <f>IFERROR(__xludf.DUMMYFUNCTION("""COMPUTED_VALUE"""),"NetApp ONTAP 9 Storage Essentials")</f>
        <v>NetApp ONTAP 9 Storage Essentials</v>
      </c>
      <c r="M81" s="140" t="str">
        <f>IFERROR(__xludf.DUMMYFUNCTION("""COMPUTED_VALUE"""),"")</f>
        <v/>
      </c>
    </row>
    <row r="82">
      <c r="A82" s="141">
        <f>IFERROR(__xludf.DUMMYFUNCTION("""COMPUTED_VALUE"""),44183.0)</f>
        <v>44183</v>
      </c>
      <c r="B82" s="140">
        <f>IFERROR(__xludf.DUMMYFUNCTION("""COMPUTED_VALUE"""),2126948.0)</f>
        <v>2126948</v>
      </c>
      <c r="C82" t="str">
        <f>IFERROR(__xludf.DUMMYFUNCTION("""COMPUTED_VALUE"""),"en")</f>
        <v>en</v>
      </c>
      <c r="D82" s="140" t="str">
        <f>IFERROR(__xludf.DUMMYFUNCTION("""COMPUTED_VALUE"""),"NativeScript + Angular: Build Native iOS, Android &amp; Web Apps")</f>
        <v>NativeScript + Angular: Build Native iOS, Android &amp; Web Apps</v>
      </c>
      <c r="F82" s="140" t="str">
        <f>IFERROR(__xludf.DUMMYFUNCTION("""COMPUTED_VALUE"""),"Academind by Maximilian Schwarzmüller")</f>
        <v>Academind by Maximilian Schwarzmüller</v>
      </c>
      <c r="G82" t="str">
        <f>IFERROR(__xludf.DUMMYFUNCTION("""COMPUTED_VALUE"""),"Instructor Request- Outdated")</f>
        <v>Instructor Request- Outdated</v>
      </c>
      <c r="H82" t="str">
        <f>IFERROR(__xludf.DUMMYFUNCTION("""COMPUTED_VALUE"""),"Development")</f>
        <v>Development</v>
      </c>
      <c r="I82" s="142" t="str">
        <f>IFERROR(__xludf.DUMMYFUNCTION("""COMPUTED_VALUE"""),"Mobile Development")</f>
        <v>Mobile Development</v>
      </c>
      <c r="K82" s="140" t="str">
        <f>IFERROR(__xludf.DUMMYFUNCTION("""COMPUTED_VALUE"""),"")</f>
        <v/>
      </c>
      <c r="M82" s="140" t="str">
        <f>IFERROR(__xludf.DUMMYFUNCTION("""COMPUTED_VALUE"""),"")</f>
        <v/>
      </c>
      <c r="N82" s="140" t="str">
        <f>IFERROR(__xludf.DUMMYFUNCTION("""COMPUTED_VALUE"""),"No Alternatives in Collection- 8/03/2020")</f>
        <v>No Alternatives in Collection- 8/03/2020</v>
      </c>
    </row>
    <row r="83">
      <c r="A83" s="141">
        <f>IFERROR(__xludf.DUMMYFUNCTION("""COMPUTED_VALUE"""),44183.0)</f>
        <v>44183</v>
      </c>
      <c r="B83" s="140">
        <f>IFERROR(__xludf.DUMMYFUNCTION("""COMPUTED_VALUE"""),1607442.0)</f>
        <v>1607442</v>
      </c>
      <c r="C83" t="str">
        <f>IFERROR(__xludf.DUMMYFUNCTION("""COMPUTED_VALUE"""),"en")</f>
        <v>en</v>
      </c>
      <c r="D83" s="140" t="str">
        <f>IFERROR(__xludf.DUMMYFUNCTION("""COMPUTED_VALUE"""),"Cybersecurity Attacks (Red Team Activity)")</f>
        <v>Cybersecurity Attacks (Red Team Activity)</v>
      </c>
      <c r="F83" s="140" t="str">
        <f>IFERROR(__xludf.DUMMYFUNCTION("""COMPUTED_VALUE"""),"Packt Publishing")</f>
        <v>Packt Publishing</v>
      </c>
      <c r="G83" t="str">
        <f>IFERROR(__xludf.DUMMYFUNCTION("""COMPUTED_VALUE"""),"Instructor Request- Opted Out")</f>
        <v>Instructor Request- Opted Out</v>
      </c>
      <c r="H83" t="str">
        <f>IFERROR(__xludf.DUMMYFUNCTION("""COMPUTED_VALUE"""),"IT Operations")</f>
        <v>IT Operations</v>
      </c>
      <c r="I83" s="142" t="str">
        <f>IFERROR(__xludf.DUMMYFUNCTION("""COMPUTED_VALUE"""),"Network &amp; Security")</f>
        <v>Network &amp; Security</v>
      </c>
      <c r="J83" s="140">
        <f>IFERROR(__xludf.DUMMYFUNCTION("""COMPUTED_VALUE"""),1228390.0)</f>
        <v>1228390</v>
      </c>
      <c r="K83" s="140" t="str">
        <f>IFERROR(__xludf.DUMMYFUNCTION("""COMPUTED_VALUE"""),"Real-World Ethical Hacking: Hands-on Cybersecurity")</f>
        <v>Real-World Ethical Hacking: Hands-on Cybersecurity</v>
      </c>
      <c r="M83" s="140" t="str">
        <f>IFERROR(__xludf.DUMMYFUNCTION("""COMPUTED_VALUE"""),"")</f>
        <v/>
      </c>
    </row>
    <row r="84">
      <c r="A84" s="141">
        <f>IFERROR(__xludf.DUMMYFUNCTION("""COMPUTED_VALUE"""),44183.0)</f>
        <v>44183</v>
      </c>
      <c r="B84" s="140">
        <f>IFERROR(__xludf.DUMMYFUNCTION("""COMPUTED_VALUE"""),1532638.0)</f>
        <v>1532638</v>
      </c>
      <c r="C84" t="str">
        <f>IFERROR(__xludf.DUMMYFUNCTION("""COMPUTED_VALUE"""),"de")</f>
        <v>de</v>
      </c>
      <c r="D84" s="140" t="str">
        <f>IFERROR(__xludf.DUMMYFUNCTION("""COMPUTED_VALUE"""),"Microsoft Excel - vom Einsteiger zum Fortgeschrittenen")</f>
        <v>Microsoft Excel - vom Einsteiger zum Fortgeschrittenen</v>
      </c>
      <c r="E84" t="str">
        <f>IFERROR(__xludf.DUMMYFUNCTION("""COMPUTED_VALUE"""),"Microsoft Excel - from beginners to advanced")</f>
        <v>Microsoft Excel - from beginners to advanced</v>
      </c>
      <c r="F84" s="140" t="str">
        <f>IFERROR(__xludf.DUMMYFUNCTION("""COMPUTED_VALUE"""),"Björn Walther")</f>
        <v>Björn Walther</v>
      </c>
      <c r="G84" t="str">
        <f>IFERROR(__xludf.DUMMYFUNCTION("""COMPUTED_VALUE"""),"Instructor Request- Opted Out")</f>
        <v>Instructor Request- Opted Out</v>
      </c>
      <c r="H84" t="str">
        <f>IFERROR(__xludf.DUMMYFUNCTION("""COMPUTED_VALUE"""),"Office Productivity")</f>
        <v>Office Productivity</v>
      </c>
      <c r="I84" s="142" t="str">
        <f>IFERROR(__xludf.DUMMYFUNCTION("""COMPUTED_VALUE"""),"Email &amp; Productivity")</f>
        <v>Email &amp; Productivity</v>
      </c>
      <c r="J84" s="140">
        <f>IFERROR(__xludf.DUMMYFUNCTION("""COMPUTED_VALUE"""),1580318.0)</f>
        <v>1580318</v>
      </c>
      <c r="K84" s="140" t="str">
        <f>IFERROR(__xludf.DUMMYFUNCTION("""COMPUTED_VALUE"""),"Microsoft Excel - Excel für Anfänger")</f>
        <v>Microsoft Excel - Excel für Anfänger</v>
      </c>
      <c r="M84" s="140" t="str">
        <f>IFERROR(__xludf.DUMMYFUNCTION("""COMPUTED_VALUE"""),"")</f>
        <v/>
      </c>
    </row>
    <row r="85">
      <c r="A85" s="141">
        <f>IFERROR(__xludf.DUMMYFUNCTION("""COMPUTED_VALUE"""),44183.0)</f>
        <v>44183</v>
      </c>
      <c r="B85" s="140">
        <f>IFERROR(__xludf.DUMMYFUNCTION("""COMPUTED_VALUE"""),2552715.0)</f>
        <v>2552715</v>
      </c>
      <c r="C85" t="str">
        <f>IFERROR(__xludf.DUMMYFUNCTION("""COMPUTED_VALUE"""),"en")</f>
        <v>en</v>
      </c>
      <c r="D85" s="140" t="str">
        <f>IFERROR(__xludf.DUMMYFUNCTION("""COMPUTED_VALUE"""),"Master Math by Coding in Python")</f>
        <v>Master Math by Coding in Python</v>
      </c>
      <c r="F85" s="140" t="str">
        <f>IFERROR(__xludf.DUMMYFUNCTION("""COMPUTED_VALUE"""),"Codestars by Rob Percival")</f>
        <v>Codestars by Rob Percival</v>
      </c>
      <c r="G85" t="str">
        <f>IFERROR(__xludf.DUMMYFUNCTION("""COMPUTED_VALUE"""),"Instructor Request- Exclusivity")</f>
        <v>Instructor Request- Exclusivity</v>
      </c>
      <c r="H85" t="str">
        <f>IFERROR(__xludf.DUMMYFUNCTION("""COMPUTED_VALUE"""),"Development")</f>
        <v>Development</v>
      </c>
      <c r="I85" s="142" t="str">
        <f>IFERROR(__xludf.DUMMYFUNCTION("""COMPUTED_VALUE"""),"Programming Languages")</f>
        <v>Programming Languages</v>
      </c>
      <c r="J85" s="140">
        <f>IFERROR(__xludf.DUMMYFUNCTION("""COMPUTED_VALUE"""),3160664.0)</f>
        <v>3160664</v>
      </c>
      <c r="K85" s="140" t="str">
        <f>IFERROR(__xludf.DUMMYFUNCTION("""COMPUTED_VALUE"""),"Master statistics &amp; machine learning: intuition, math, code")</f>
        <v>Master statistics &amp; machine learning: intuition, math, code</v>
      </c>
      <c r="M85" s="140" t="str">
        <f>IFERROR(__xludf.DUMMYFUNCTION("""COMPUTED_VALUE"""),"")</f>
        <v/>
      </c>
    </row>
    <row r="86">
      <c r="A86" s="141">
        <f>IFERROR(__xludf.DUMMYFUNCTION("""COMPUTED_VALUE"""),44183.0)</f>
        <v>44183</v>
      </c>
      <c r="B86" s="140">
        <f>IFERROR(__xludf.DUMMYFUNCTION("""COMPUTED_VALUE"""),1313548.0)</f>
        <v>1313548</v>
      </c>
      <c r="C86" t="str">
        <f>IFERROR(__xludf.DUMMYFUNCTION("""COMPUTED_VALUE"""),"es")</f>
        <v>es</v>
      </c>
      <c r="D86" s="140" t="str">
        <f>IFERROR(__xludf.DUMMYFUNCTION("""COMPUTED_VALUE"""),"Curso Forex Básico - Ejemplos EN VIVO de Trading Real")</f>
        <v>Curso Forex Básico - Ejemplos EN VIVO de Trading Real</v>
      </c>
      <c r="E86" t="str">
        <f>IFERROR(__xludf.DUMMYFUNCTION("""COMPUTED_VALUE"""),"Basic Course Forex - Trading Examples LIVE Real")</f>
        <v>Basic Course Forex - Trading Examples LIVE Real</v>
      </c>
      <c r="F86" s="140" t="str">
        <f>IFERROR(__xludf.DUMMYFUNCTION("""COMPUTED_VALUE"""),"Jesús Planas")</f>
        <v>Jesús Planas</v>
      </c>
      <c r="G86" t="str">
        <f>IFERROR(__xludf.DUMMYFUNCTION("""COMPUTED_VALUE"""),"Instructor Request- Opted Out")</f>
        <v>Instructor Request- Opted Out</v>
      </c>
      <c r="H86" t="str">
        <f>IFERROR(__xludf.DUMMYFUNCTION("""COMPUTED_VALUE"""),"Finance &amp; Accounting")</f>
        <v>Finance &amp; Accounting</v>
      </c>
      <c r="I86" s="142" t="str">
        <f>IFERROR(__xludf.DUMMYFUNCTION("""COMPUTED_VALUE"""),"Investing &amp; Trading")</f>
        <v>Investing &amp; Trading</v>
      </c>
      <c r="J86" s="140">
        <f>IFERROR(__xludf.DUMMYFUNCTION("""COMPUTED_VALUE"""),1909300.0)</f>
        <v>1909300</v>
      </c>
      <c r="K86" s="140" t="str">
        <f>IFERROR(__xludf.DUMMYFUNCTION("""COMPUTED_VALUE"""),"Invertir en [ FOREX] y ACCIONES EEUU - 0 a Experto (16hs)")</f>
        <v>Invertir en [ FOREX] y ACCIONES EEUU - 0 a Experto (16hs)</v>
      </c>
      <c r="M86" s="140" t="str">
        <f>IFERROR(__xludf.DUMMYFUNCTION("""COMPUTED_VALUE"""),"")</f>
        <v/>
      </c>
    </row>
    <row r="87">
      <c r="A87" s="141">
        <f>IFERROR(__xludf.DUMMYFUNCTION("""COMPUTED_VALUE"""),44183.0)</f>
        <v>44183</v>
      </c>
      <c r="B87" s="140">
        <f>IFERROR(__xludf.DUMMYFUNCTION("""COMPUTED_VALUE"""),2577178.0)</f>
        <v>2577178</v>
      </c>
      <c r="C87" t="str">
        <f>IFERROR(__xludf.DUMMYFUNCTION("""COMPUTED_VALUE"""),"en")</f>
        <v>en</v>
      </c>
      <c r="D87" s="140" t="str">
        <f>IFERROR(__xludf.DUMMYFUNCTION("""COMPUTED_VALUE"""),"Vision Creation Practitioner Certificate [Accredited]")</f>
        <v>Vision Creation Practitioner Certificate [Accredited]</v>
      </c>
      <c r="F87" s="140" t="str">
        <f>IFERROR(__xludf.DUMMYFUNCTION("""COMPUTED_VALUE"""),"Braco Pobric")</f>
        <v>Braco Pobric</v>
      </c>
      <c r="G87" t="str">
        <f>IFERROR(__xludf.DUMMYFUNCTION("""COMPUTED_VALUE"""),"Instructor Request- No Detail")</f>
        <v>Instructor Request- No Detail</v>
      </c>
      <c r="H87" t="str">
        <f>IFERROR(__xludf.DUMMYFUNCTION("""COMPUTED_VALUE"""),"Leadership &amp; Management")</f>
        <v>Leadership &amp; Management</v>
      </c>
      <c r="I87" s="142" t="str">
        <f>IFERROR(__xludf.DUMMYFUNCTION("""COMPUTED_VALUE"""),"Communication")</f>
        <v>Communication</v>
      </c>
      <c r="J87" s="140">
        <f>IFERROR(__xludf.DUMMYFUNCTION("""COMPUTED_VALUE"""),2830804.0)</f>
        <v>2830804</v>
      </c>
      <c r="K87" s="140" t="str">
        <f>IFERROR(__xludf.DUMMYFUNCTION("""COMPUTED_VALUE"""),"Creating Team Vision, Mission &amp; Values")</f>
        <v>Creating Team Vision, Mission &amp; Values</v>
      </c>
      <c r="M87" s="140" t="str">
        <f>IFERROR(__xludf.DUMMYFUNCTION("""COMPUTED_VALUE"""),"")</f>
        <v/>
      </c>
    </row>
    <row r="88">
      <c r="A88" s="141">
        <f>IFERROR(__xludf.DUMMYFUNCTION("""COMPUTED_VALUE"""),44183.0)</f>
        <v>44183</v>
      </c>
      <c r="B88" s="140">
        <f>IFERROR(__xludf.DUMMYFUNCTION("""COMPUTED_VALUE"""),1019912.0)</f>
        <v>1019912</v>
      </c>
      <c r="C88" t="str">
        <f>IFERROR(__xludf.DUMMYFUNCTION("""COMPUTED_VALUE"""),"en")</f>
        <v>en</v>
      </c>
      <c r="D88" s="140" t="str">
        <f>IFERROR(__xludf.DUMMYFUNCTION("""COMPUTED_VALUE"""),"WordPress E-commerce: Build 2 Websites &amp; Dropshipping Store")</f>
        <v>WordPress E-commerce: Build 2 Websites &amp; Dropshipping Store</v>
      </c>
      <c r="F88" s="140" t="str">
        <f>IFERROR(__xludf.DUMMYFUNCTION("""COMPUTED_VALUE"""),"Alexander Oni")</f>
        <v>Alexander Oni</v>
      </c>
      <c r="G88" t="str">
        <f>IFERROR(__xludf.DUMMYFUNCTION("""COMPUTED_VALUE"""),"Instructor Request- No Detail")</f>
        <v>Instructor Request- No Detail</v>
      </c>
      <c r="H88" t="str">
        <f>IFERROR(__xludf.DUMMYFUNCTION("""COMPUTED_VALUE"""),"Development")</f>
        <v>Development</v>
      </c>
      <c r="I88" s="142" t="str">
        <f>IFERROR(__xludf.DUMMYFUNCTION("""COMPUTED_VALUE"""),"Web Development")</f>
        <v>Web Development</v>
      </c>
      <c r="J88" s="140">
        <f>IFERROR(__xludf.DUMMYFUNCTION("""COMPUTED_VALUE"""),1340862.0)</f>
        <v>1340862</v>
      </c>
      <c r="K88" s="140" t="str">
        <f>IFERROR(__xludf.DUMMYFUNCTION("""COMPUTED_VALUE"""),"WordPress E-Commerce Development w/ WooCommerce &amp; Storefront")</f>
        <v>WordPress E-Commerce Development w/ WooCommerce &amp; Storefront</v>
      </c>
      <c r="L88" s="140">
        <f>IFERROR(__xludf.DUMMYFUNCTION("""COMPUTED_VALUE"""),1215660.0)</f>
        <v>1215660</v>
      </c>
      <c r="M88" s="140" t="str">
        <f>IFERROR(__xludf.DUMMYFUNCTION("""COMPUTED_VALUE"""),"How to build an ecommerce store with wordpress &amp; woocommerce")</f>
        <v>How to build an ecommerce store with wordpress &amp; woocommerce</v>
      </c>
    </row>
    <row r="89">
      <c r="A89" s="141">
        <f>IFERROR(__xludf.DUMMYFUNCTION("""COMPUTED_VALUE"""),44183.0)</f>
        <v>44183</v>
      </c>
      <c r="B89" s="140">
        <f>IFERROR(__xludf.DUMMYFUNCTION("""COMPUTED_VALUE"""),2997692.0)</f>
        <v>2997692</v>
      </c>
      <c r="C89" t="str">
        <f>IFERROR(__xludf.DUMMYFUNCTION("""COMPUTED_VALUE"""),"en")</f>
        <v>en</v>
      </c>
      <c r="D89" s="140" t="str">
        <f>IFERROR(__xludf.DUMMYFUNCTION("""COMPUTED_VALUE"""),"Serverless Framework Bootcamp: Node.js, AWS &amp; Microservices")</f>
        <v>Serverless Framework Bootcamp: Node.js, AWS &amp; Microservices</v>
      </c>
      <c r="F89" s="140" t="str">
        <f>IFERROR(__xludf.DUMMYFUNCTION("""COMPUTED_VALUE"""),"Ariel Weinberger")</f>
        <v>Ariel Weinberger</v>
      </c>
      <c r="G89" t="str">
        <f>IFERROR(__xludf.DUMMYFUNCTION("""COMPUTED_VALUE"""),"Instructor Request- Opted Out")</f>
        <v>Instructor Request- Opted Out</v>
      </c>
      <c r="H89" t="str">
        <f>IFERROR(__xludf.DUMMYFUNCTION("""COMPUTED_VALUE"""),"Cloud Computing")</f>
        <v>Cloud Computing</v>
      </c>
      <c r="I89" s="142" t="str">
        <f>IFERROR(__xludf.DUMMYFUNCTION("""COMPUTED_VALUE"""),"Cloud Development")</f>
        <v>Cloud Development</v>
      </c>
      <c r="K89" s="140" t="str">
        <f>IFERROR(__xludf.DUMMYFUNCTION("""COMPUTED_VALUE"""),"")</f>
        <v/>
      </c>
      <c r="M89" s="140" t="str">
        <f>IFERROR(__xludf.DUMMYFUNCTION("""COMPUTED_VALUE"""),"")</f>
        <v/>
      </c>
      <c r="N89" s="140" t="str">
        <f>IFERROR(__xludf.DUMMYFUNCTION("""COMPUTED_VALUE"""),"No Alternatives in Collection- 12/18/2020")</f>
        <v>No Alternatives in Collection- 12/18/2020</v>
      </c>
    </row>
    <row r="90">
      <c r="A90" s="141">
        <f>IFERROR(__xludf.DUMMYFUNCTION("""COMPUTED_VALUE"""),44183.0)</f>
        <v>44183</v>
      </c>
      <c r="B90" s="140">
        <f>IFERROR(__xludf.DUMMYFUNCTION("""COMPUTED_VALUE"""),2053219.0)</f>
        <v>2053219</v>
      </c>
      <c r="C90" t="str">
        <f>IFERROR(__xludf.DUMMYFUNCTION("""COMPUTED_VALUE"""),"en")</f>
        <v>en</v>
      </c>
      <c r="D90" s="140" t="str">
        <f>IFERROR(__xludf.DUMMYFUNCTION("""COMPUTED_VALUE"""),"NestJS Zero to Hero - Modern TypeScript Back-end Development")</f>
        <v>NestJS Zero to Hero - Modern TypeScript Back-end Development</v>
      </c>
      <c r="F90" s="140" t="str">
        <f>IFERROR(__xludf.DUMMYFUNCTION("""COMPUTED_VALUE"""),"Ariel Weinberger")</f>
        <v>Ariel Weinberger</v>
      </c>
      <c r="G90" t="str">
        <f>IFERROR(__xludf.DUMMYFUNCTION("""COMPUTED_VALUE"""),"Instructor Request- Opted Out")</f>
        <v>Instructor Request- Opted Out</v>
      </c>
      <c r="H90" t="str">
        <f>IFERROR(__xludf.DUMMYFUNCTION("""COMPUTED_VALUE"""),"Development")</f>
        <v>Development</v>
      </c>
      <c r="I90" s="142" t="str">
        <f>IFERROR(__xludf.DUMMYFUNCTION("""COMPUTED_VALUE"""),"Web Development")</f>
        <v>Web Development</v>
      </c>
      <c r="K90" s="140" t="str">
        <f>IFERROR(__xludf.DUMMYFUNCTION("""COMPUTED_VALUE"""),"")</f>
        <v/>
      </c>
      <c r="M90" s="140" t="str">
        <f>IFERROR(__xludf.DUMMYFUNCTION("""COMPUTED_VALUE"""),"")</f>
        <v/>
      </c>
      <c r="N90" s="140" t="str">
        <f>IFERROR(__xludf.DUMMYFUNCTION("""COMPUTED_VALUE"""),"No Alternatives in Collection- 12/18/2020")</f>
        <v>No Alternatives in Collection- 12/18/2020</v>
      </c>
    </row>
    <row r="91">
      <c r="A91" s="141">
        <f>IFERROR(__xludf.DUMMYFUNCTION("""COMPUTED_VALUE"""),44183.0)</f>
        <v>44183</v>
      </c>
      <c r="B91" s="140">
        <f>IFERROR(__xludf.DUMMYFUNCTION("""COMPUTED_VALUE"""),53908.0)</f>
        <v>53908</v>
      </c>
      <c r="C91" t="str">
        <f>IFERROR(__xludf.DUMMYFUNCTION("""COMPUTED_VALUE"""),"en")</f>
        <v>en</v>
      </c>
      <c r="D91" s="140" t="str">
        <f>IFERROR(__xludf.DUMMYFUNCTION("""COMPUTED_VALUE"""),"Routing Configuration &amp; Router Administration for Cisco CCNA")</f>
        <v>Routing Configuration &amp; Router Administration for Cisco CCNA</v>
      </c>
      <c r="F91" s="140" t="str">
        <f>IFERROR(__xludf.DUMMYFUNCTION("""COMPUTED_VALUE"""),"Lazaro Diaz")</f>
        <v>Lazaro Diaz</v>
      </c>
      <c r="G91" t="str">
        <f>IFERROR(__xludf.DUMMYFUNCTION("""COMPUTED_VALUE"""),"Instructor Request- Opted Out")</f>
        <v>Instructor Request- Opted Out</v>
      </c>
      <c r="H91" t="str">
        <f>IFERROR(__xludf.DUMMYFUNCTION("""COMPUTED_VALUE"""),"IT Operations")</f>
        <v>IT Operations</v>
      </c>
      <c r="I91" s="142" t="str">
        <f>IFERROR(__xludf.DUMMYFUNCTION("""COMPUTED_VALUE"""),"IT Certifications")</f>
        <v>IT Certifications</v>
      </c>
      <c r="J91" s="140">
        <f>IFERROR(__xludf.DUMMYFUNCTION("""COMPUTED_VALUE"""),359100.0)</f>
        <v>359100</v>
      </c>
      <c r="K91" s="140" t="str">
        <f>IFERROR(__xludf.DUMMYFUNCTION("""COMPUTED_VALUE"""),"CCNA 2020 - CCNA 200-301 exam - a complete guide - Cisco")</f>
        <v>CCNA 2020 - CCNA 200-301 exam - a complete guide - Cisco</v>
      </c>
      <c r="L91" s="140">
        <f>IFERROR(__xludf.DUMMYFUNCTION("""COMPUTED_VALUE"""),1311648.0)</f>
        <v>1311648</v>
      </c>
      <c r="M91" s="140" t="str">
        <f>IFERROR(__xludf.DUMMYFUNCTION("""COMPUTED_VALUE"""),"Cisco Troubleshooting Labs For CCNA, CCNP, and CCIE Students")</f>
        <v>Cisco Troubleshooting Labs For CCNA, CCNP, and CCIE Students</v>
      </c>
    </row>
    <row r="92">
      <c r="A92" s="141">
        <f>IFERROR(__xludf.DUMMYFUNCTION("""COMPUTED_VALUE"""),44183.0)</f>
        <v>44183</v>
      </c>
      <c r="B92" s="140">
        <f>IFERROR(__xludf.DUMMYFUNCTION("""COMPUTED_VALUE"""),1621194.0)</f>
        <v>1621194</v>
      </c>
      <c r="C92" t="str">
        <f>IFERROR(__xludf.DUMMYFUNCTION("""COMPUTED_VALUE"""),"en")</f>
        <v>en</v>
      </c>
      <c r="D92" s="140" t="str">
        <f>IFERROR(__xludf.DUMMYFUNCTION("""COMPUTED_VALUE"""),"Designing and Building Custom Apps using Dynamics 365")</f>
        <v>Designing and Building Custom Apps using Dynamics 365</v>
      </c>
      <c r="F92" s="140" t="str">
        <f>IFERROR(__xludf.DUMMYFUNCTION("""COMPUTED_VALUE"""),"Packt Publishing")</f>
        <v>Packt Publishing</v>
      </c>
      <c r="G92" t="str">
        <f>IFERROR(__xludf.DUMMYFUNCTION("""COMPUTED_VALUE"""),"Instructor Request- Opted Out")</f>
        <v>Instructor Request- Opted Out</v>
      </c>
      <c r="H92" t="str">
        <f>IFERROR(__xludf.DUMMYFUNCTION("""COMPUTED_VALUE"""),"Development")</f>
        <v>Development</v>
      </c>
      <c r="I92" s="142" t="str">
        <f>IFERROR(__xludf.DUMMYFUNCTION("""COMPUTED_VALUE"""),"Development Tools")</f>
        <v>Development Tools</v>
      </c>
      <c r="J92" s="140">
        <f>IFERROR(__xludf.DUMMYFUNCTION("""COMPUTED_VALUE"""),1240964.0)</f>
        <v>1240964</v>
      </c>
      <c r="K92" s="140" t="str">
        <f>IFERROR(__xludf.DUMMYFUNCTION("""COMPUTED_VALUE"""),"Microsoft Dynamics 365 (CRM, NAV, AX) Intro Training Course")</f>
        <v>Microsoft Dynamics 365 (CRM, NAV, AX) Intro Training Course</v>
      </c>
      <c r="M92" s="140" t="str">
        <f>IFERROR(__xludf.DUMMYFUNCTION("""COMPUTED_VALUE"""),"")</f>
        <v/>
      </c>
    </row>
    <row r="93">
      <c r="A93" s="141">
        <f>IFERROR(__xludf.DUMMYFUNCTION("""COMPUTED_VALUE"""),44183.0)</f>
        <v>44183</v>
      </c>
      <c r="B93" s="140">
        <f>IFERROR(__xludf.DUMMYFUNCTION("""COMPUTED_VALUE"""),1081670.0)</f>
        <v>1081670</v>
      </c>
      <c r="C93" t="str">
        <f>IFERROR(__xludf.DUMMYFUNCTION("""COMPUTED_VALUE"""),"en")</f>
        <v>en</v>
      </c>
      <c r="D93" s="140" t="str">
        <f>IFERROR(__xludf.DUMMYFUNCTION("""COMPUTED_VALUE"""),"UAS/Drone Remote Pilot Test Prep for Part 107 (Init &amp; Recur)")</f>
        <v>UAS/Drone Remote Pilot Test Prep for Part 107 (Init &amp; Recur)</v>
      </c>
      <c r="F93" s="140" t="str">
        <f>IFERROR(__xludf.DUMMYFUNCTION("""COMPUTED_VALUE"""),"Greg Reverdiau")</f>
        <v>Greg Reverdiau</v>
      </c>
      <c r="G93" t="str">
        <f>IFERROR(__xludf.DUMMYFUNCTION("""COMPUTED_VALUE"""),"Instructor Request- No Detail")</f>
        <v>Instructor Request- No Detail</v>
      </c>
      <c r="H93" t="str">
        <f>IFERROR(__xludf.DUMMYFUNCTION("""COMPUTED_VALUE"""),"IT Operations")</f>
        <v>IT Operations</v>
      </c>
      <c r="I93" s="142" t="str">
        <f>IFERROR(__xludf.DUMMYFUNCTION("""COMPUTED_VALUE"""),"Hardware")</f>
        <v>Hardware</v>
      </c>
      <c r="K93" s="140" t="str">
        <f>IFERROR(__xludf.DUMMYFUNCTION("""COMPUTED_VALUE"""),"")</f>
        <v/>
      </c>
      <c r="M93" s="140" t="str">
        <f>IFERROR(__xludf.DUMMYFUNCTION("""COMPUTED_VALUE"""),"")</f>
        <v/>
      </c>
      <c r="N93" s="140" t="str">
        <f>IFERROR(__xludf.DUMMYFUNCTION("""COMPUTED_VALUE"""),"No Alternatives in Collection- 12/18/2020")</f>
        <v>No Alternatives in Collection- 12/18/2020</v>
      </c>
    </row>
    <row r="94">
      <c r="A94" s="141">
        <f>IFERROR(__xludf.DUMMYFUNCTION("""COMPUTED_VALUE"""),44179.0)</f>
        <v>44179</v>
      </c>
      <c r="B94" s="140">
        <f>IFERROR(__xludf.DUMMYFUNCTION("""COMPUTED_VALUE"""),1852950.0)</f>
        <v>1852950</v>
      </c>
      <c r="C94" t="str">
        <f>IFERROR(__xludf.DUMMYFUNCTION("""COMPUTED_VALUE"""),"ES")</f>
        <v>ES</v>
      </c>
      <c r="D94" s="140" t="str">
        <f>IFERROR(__xludf.DUMMYFUNCTION("""COMPUTED_VALUE"""),"Gestión de Proyectos | Certificación en Gestión de Proyectos")</f>
        <v>Gestión de Proyectos | Certificación en Gestión de Proyectos</v>
      </c>
      <c r="E94" t="str">
        <f>IFERROR(__xludf.DUMMYFUNCTION("""COMPUTED_VALUE"""),"Project Management | Certification in Project Management")</f>
        <v>Project Management | Certification in Project Management</v>
      </c>
      <c r="F94" s="140" t="str">
        <f>IFERROR(__xludf.DUMMYFUNCTION("""COMPUTED_VALUE"""),"Mauricio Rubio - Agile Guru &amp; Founder of AgileKB | AgileLee &amp; Ureducation")</f>
        <v>Mauricio Rubio - Agile Guru &amp; Founder of AgileKB | AgileLee &amp; Ureducation</v>
      </c>
      <c r="G94" t="str">
        <f>IFERROR(__xludf.DUMMYFUNCTION("""COMPUTED_VALUE"""),"Course in English")</f>
        <v>Course in English</v>
      </c>
      <c r="H94" t="str">
        <f>IFERROR(__xludf.DUMMYFUNCTION("""COMPUTED_VALUE"""),"Project Management &amp; Operations")</f>
        <v>Project Management &amp; Operations</v>
      </c>
      <c r="I94" s="142" t="str">
        <f>IFERROR(__xludf.DUMMYFUNCTION("""COMPUTED_VALUE"""),"Project Management")</f>
        <v>Project Management</v>
      </c>
      <c r="K94" s="140" t="str">
        <f>IFERROR(__xludf.DUMMYFUNCTION("""COMPUTED_VALUE"""),"")</f>
        <v/>
      </c>
      <c r="M94" s="140" t="str">
        <f>IFERROR(__xludf.DUMMYFUNCTION("""COMPUTED_VALUE"""),"")</f>
        <v/>
      </c>
      <c r="N94" s="140" t="str">
        <f>IFERROR(__xludf.DUMMYFUNCTION("""COMPUTED_VALUE"""),"No alternate needed")</f>
        <v>No alternate needed</v>
      </c>
    </row>
    <row r="95">
      <c r="A95" s="141">
        <f>IFERROR(__xludf.DUMMYFUNCTION("""COMPUTED_VALUE"""),44179.0)</f>
        <v>44179</v>
      </c>
      <c r="B95" s="140">
        <f>IFERROR(__xludf.DUMMYFUNCTION("""COMPUTED_VALUE"""),1729872.0)</f>
        <v>1729872</v>
      </c>
      <c r="C95" t="str">
        <f>IFERROR(__xludf.DUMMYFUNCTION("""COMPUTED_VALUE"""),"ES")</f>
        <v>ES</v>
      </c>
      <c r="D95" s="140" t="str">
        <f>IFERROR(__xludf.DUMMYFUNCTION("""COMPUTED_VALUE"""),"Ágil: Curso Express de Ágil | Gestión de Proyectos Ágil")</f>
        <v>Ágil: Curso Express de Ágil | Gestión de Proyectos Ágil</v>
      </c>
      <c r="E95" t="str">
        <f>IFERROR(__xludf.DUMMYFUNCTION("""COMPUTED_VALUE"""),"Agile: Agil Express Course | Agile Project Management")</f>
        <v>Agile: Agil Express Course | Agile Project Management</v>
      </c>
      <c r="F95" s="140" t="str">
        <f>IFERROR(__xludf.DUMMYFUNCTION("""COMPUTED_VALUE"""),"Mauricio Rubio - Agile Guru &amp; Founder of AgileKB | AgileLee &amp; Ureducation")</f>
        <v>Mauricio Rubio - Agile Guru &amp; Founder of AgileKB | AgileLee &amp; Ureducation</v>
      </c>
      <c r="G95" t="str">
        <f>IFERROR(__xludf.DUMMYFUNCTION("""COMPUTED_VALUE"""),"Course in English")</f>
        <v>Course in English</v>
      </c>
      <c r="H95" t="str">
        <f>IFERROR(__xludf.DUMMYFUNCTION("""COMPUTED_VALUE"""),"Project Management &amp; Operations")</f>
        <v>Project Management &amp; Operations</v>
      </c>
      <c r="I95" s="142" t="str">
        <f>IFERROR(__xludf.DUMMYFUNCTION("""COMPUTED_VALUE"""),"Agile &amp; Scrum")</f>
        <v>Agile &amp; Scrum</v>
      </c>
      <c r="K95" s="140" t="str">
        <f>IFERROR(__xludf.DUMMYFUNCTION("""COMPUTED_VALUE"""),"")</f>
        <v/>
      </c>
      <c r="M95" s="140" t="str">
        <f>IFERROR(__xludf.DUMMYFUNCTION("""COMPUTED_VALUE"""),"")</f>
        <v/>
      </c>
      <c r="N95" s="140" t="str">
        <f>IFERROR(__xludf.DUMMYFUNCTION("""COMPUTED_VALUE"""),"No alternate needed")</f>
        <v>No alternate needed</v>
      </c>
    </row>
    <row r="96">
      <c r="A96" s="141">
        <f>IFERROR(__xludf.DUMMYFUNCTION("""COMPUTED_VALUE"""),44168.0)</f>
        <v>44168</v>
      </c>
      <c r="B96" s="140">
        <f>IFERROR(__xludf.DUMMYFUNCTION("""COMPUTED_VALUE"""),3040996.0)</f>
        <v>3040996</v>
      </c>
      <c r="C96" t="str">
        <f>IFERROR(__xludf.DUMMYFUNCTION("""COMPUTED_VALUE"""),"EN")</f>
        <v>EN</v>
      </c>
      <c r="D96" s="140" t="str">
        <f>IFERROR(__xludf.DUMMYFUNCTION("""COMPUTED_VALUE"""),"1Z0-931: Oracle Autonomous DB Cloud 2019 Specialist")</f>
        <v>1Z0-931: Oracle Autonomous DB Cloud 2019 Specialist</v>
      </c>
      <c r="F96" s="140" t="str">
        <f>IFERROR(__xludf.DUMMYFUNCTION("""COMPUTED_VALUE"""),"Kaustav khan - Microsoft Certified Trainer &amp; IT Instructor")</f>
        <v>Kaustav khan - Microsoft Certified Trainer &amp; IT Instructor</v>
      </c>
      <c r="G96" t="str">
        <f>IFERROR(__xludf.DUMMYFUNCTION("""COMPUTED_VALUE"""),"Instructor Practices")</f>
        <v>Instructor Practices</v>
      </c>
      <c r="H96" t="str">
        <f>IFERROR(__xludf.DUMMYFUNCTION("""COMPUTED_VALUE"""),"Cloud Computing")</f>
        <v>Cloud Computing</v>
      </c>
      <c r="I96" s="142" t="str">
        <f>IFERROR(__xludf.DUMMYFUNCTION("""COMPUTED_VALUE"""),"Cloud Certifications")</f>
        <v>Cloud Certifications</v>
      </c>
      <c r="K96" s="140" t="str">
        <f>IFERROR(__xludf.DUMMYFUNCTION("""COMPUTED_VALUE"""),"")</f>
        <v/>
      </c>
      <c r="M96" s="140" t="str">
        <f>IFERROR(__xludf.DUMMYFUNCTION("""COMPUTED_VALUE"""),"")</f>
        <v/>
      </c>
    </row>
    <row r="97">
      <c r="A97" s="141">
        <f>IFERROR(__xludf.DUMMYFUNCTION("""COMPUTED_VALUE"""),44166.0)</f>
        <v>44166</v>
      </c>
      <c r="B97" s="140">
        <f>IFERROR(__xludf.DUMMYFUNCTION("""COMPUTED_VALUE"""),3314642.0)</f>
        <v>3314642</v>
      </c>
      <c r="C97" t="str">
        <f>IFERROR(__xludf.DUMMYFUNCTION("""COMPUTED_VALUE"""),"EN")</f>
        <v>EN</v>
      </c>
      <c r="D97" s="140" t="str">
        <f>IFERROR(__xludf.DUMMYFUNCTION("""COMPUTED_VALUE"""),"AZ-900: Microsoft Certified Azure Fundamentals")</f>
        <v>AZ-900: Microsoft Certified Azure Fundamentals</v>
      </c>
      <c r="F97" s="140" t="str">
        <f>IFERROR(__xludf.DUMMYFUNCTION("""COMPUTED_VALUE"""),"Lawrence Manickam")</f>
        <v>Lawrence Manickam</v>
      </c>
      <c r="G97" t="str">
        <f>IFERROR(__xludf.DUMMYFUNCTION("""COMPUTED_VALUE"""),"Instructor Practices")</f>
        <v>Instructor Practices</v>
      </c>
      <c r="H97" t="str">
        <f>IFERROR(__xludf.DUMMYFUNCTION("""COMPUTED_VALUE"""),"IT Operations")</f>
        <v>IT Operations</v>
      </c>
      <c r="I97" s="142" t="str">
        <f>IFERROR(__xludf.DUMMYFUNCTION("""COMPUTED_VALUE"""),"IT Certifications")</f>
        <v>IT Certifications</v>
      </c>
      <c r="J97" s="140">
        <f>IFERROR(__xludf.DUMMYFUNCTION("""COMPUTED_VALUE"""),1704776.0)</f>
        <v>1704776</v>
      </c>
      <c r="K97" s="140" t="str">
        <f>IFERROR(__xludf.DUMMYFUNCTION("""COMPUTED_VALUE"""),"Microsoft Azure - Beginner's Guide + AZ-900 -  2021")</f>
        <v>Microsoft Azure - Beginner's Guide + AZ-900 -  2021</v>
      </c>
      <c r="L97" s="140">
        <f>IFERROR(__xludf.DUMMYFUNCTION("""COMPUTED_VALUE"""),2394982.0)</f>
        <v>2394982</v>
      </c>
      <c r="M97" s="140" t="str">
        <f>IFERROR(__xludf.DUMMYFUNCTION("""COMPUTED_VALUE"""),"AZ-900: Microsoft Azure Fundamentals Exam Prep - OCT 2021")</f>
        <v>AZ-900: Microsoft Azure Fundamentals Exam Prep - OCT 2021</v>
      </c>
      <c r="N97" s="140" t="str">
        <f>IFERROR(__xludf.DUMMYFUNCTION("""COMPUTED_VALUE"""),"Inappropriate Ins. Behavior")</f>
        <v>Inappropriate Ins. Behavior</v>
      </c>
    </row>
    <row r="98">
      <c r="A98" s="141">
        <f>IFERROR(__xludf.DUMMYFUNCTION("""COMPUTED_VALUE"""),44166.0)</f>
        <v>44166</v>
      </c>
      <c r="B98" s="140">
        <f>IFERROR(__xludf.DUMMYFUNCTION("""COMPUTED_VALUE"""),3402164.0)</f>
        <v>3402164</v>
      </c>
      <c r="C98" s="140" t="str">
        <f>IFERROR(__xludf.DUMMYFUNCTION("""COMPUTED_VALUE"""),"EN")</f>
        <v>EN</v>
      </c>
      <c r="D98" s="140" t="str">
        <f>IFERROR(__xludf.DUMMYFUNCTION("""COMPUTED_VALUE"""),"Docker and Kubernetes: The Complete Reference")</f>
        <v>Docker and Kubernetes: The Complete Reference</v>
      </c>
      <c r="F98" s="140" t="str">
        <f>IFERROR(__xludf.DUMMYFUNCTION("""COMPUTED_VALUE"""),"Lawrence Manickam")</f>
        <v>Lawrence Manickam</v>
      </c>
      <c r="G98" t="str">
        <f>IFERROR(__xludf.DUMMYFUNCTION("""COMPUTED_VALUE"""),"Instructor Practices")</f>
        <v>Instructor Practices</v>
      </c>
      <c r="H98" t="str">
        <f>IFERROR(__xludf.DUMMYFUNCTION("""COMPUTED_VALUE"""),"Development")</f>
        <v>Development</v>
      </c>
      <c r="I98" s="142" t="str">
        <f>IFERROR(__xludf.DUMMYFUNCTION("""COMPUTED_VALUE"""),"Development Tools")</f>
        <v>Development Tools</v>
      </c>
      <c r="J98" s="140">
        <f>IFERROR(__xludf.DUMMYFUNCTION("""COMPUTED_VALUE"""),1793828.0)</f>
        <v>1793828</v>
      </c>
      <c r="K98" s="140" t="str">
        <f>IFERROR(__xludf.DUMMYFUNCTION("""COMPUTED_VALUE"""),"Docker and Kubernetes: The Complete Guide")</f>
        <v>Docker and Kubernetes: The Complete Guide</v>
      </c>
      <c r="L98" s="140">
        <f>IFERROR(__xludf.DUMMYFUNCTION("""COMPUTED_VALUE"""),1035000.0)</f>
        <v>1035000</v>
      </c>
      <c r="M98" s="140" t="str">
        <f>IFERROR(__xludf.DUMMYFUNCTION("""COMPUTED_VALUE"""),"Docker Mastery: with Kubernetes +Swarm from a Docker Captain")</f>
        <v>Docker Mastery: with Kubernetes +Swarm from a Docker Captain</v>
      </c>
      <c r="N98" s="140" t="str">
        <f>IFERROR(__xludf.DUMMYFUNCTION("""COMPUTED_VALUE"""),"Inappropriate Ins. Behavior")</f>
        <v>Inappropriate Ins. Behavior</v>
      </c>
    </row>
    <row r="99">
      <c r="A99" s="141">
        <f>IFERROR(__xludf.DUMMYFUNCTION("""COMPUTED_VALUE"""),44165.0)</f>
        <v>44165</v>
      </c>
      <c r="B99" s="140">
        <f>IFERROR(__xludf.DUMMYFUNCTION("""COMPUTED_VALUE"""),1173134.0)</f>
        <v>1173134</v>
      </c>
      <c r="C99" s="140" t="str">
        <f>IFERROR(__xludf.DUMMYFUNCTION("""COMPUTED_VALUE"""),"EN")</f>
        <v>EN</v>
      </c>
      <c r="D99" s="140" t="str">
        <f>IFERROR(__xludf.DUMMYFUNCTION("""COMPUTED_VALUE"""),"Website Traffic Without SEO: 3 Traffic Boosting Case Studies")</f>
        <v>Website Traffic Without SEO: 3 Traffic Boosting Case Studies</v>
      </c>
      <c r="F99" s="140" t="str">
        <f>IFERROR(__xludf.DUMMYFUNCTION("""COMPUTED_VALUE"""),"Christine Maisel")</f>
        <v>Christine Maisel</v>
      </c>
      <c r="G99" t="str">
        <f>IFERROR(__xludf.DUMMYFUNCTION("""COMPUTED_VALUE"""),"Below Quality Standards- 3 Flags")</f>
        <v>Below Quality Standards- 3 Flags</v>
      </c>
      <c r="H99" t="str">
        <f>IFERROR(__xludf.DUMMYFUNCTION("""COMPUTED_VALUE"""),"Design")</f>
        <v>Design</v>
      </c>
      <c r="I99" s="142" t="str">
        <f>IFERROR(__xludf.DUMMYFUNCTION("""COMPUTED_VALUE"""),"3D &amp; Animation")</f>
        <v>3D &amp; Animation</v>
      </c>
      <c r="J99" s="140">
        <f>IFERROR(__xludf.DUMMYFUNCTION("""COMPUTED_VALUE"""),1613102.0)</f>
        <v>1613102</v>
      </c>
      <c r="K99" s="140" t="str">
        <f>IFERROR(__xludf.DUMMYFUNCTION("""COMPUTED_VALUE"""),"The Complete Google Analytics Training for Beginners 2022")</f>
        <v>The Complete Google Analytics Training for Beginners 2022</v>
      </c>
      <c r="M99" s="140" t="str">
        <f>IFERROR(__xludf.DUMMYFUNCTION("""COMPUTED_VALUE"""),"")</f>
        <v/>
      </c>
    </row>
    <row r="100">
      <c r="A100" s="141">
        <f>IFERROR(__xludf.DUMMYFUNCTION("""COMPUTED_VALUE"""),44165.0)</f>
        <v>44165</v>
      </c>
      <c r="B100" s="140">
        <f>IFERROR(__xludf.DUMMYFUNCTION("""COMPUTED_VALUE"""),119262.0)</f>
        <v>119262</v>
      </c>
      <c r="C100" s="140" t="str">
        <f>IFERROR(__xludf.DUMMYFUNCTION("""COMPUTED_VALUE"""),"EN")</f>
        <v>EN</v>
      </c>
      <c r="D100" s="140" t="str">
        <f>IFERROR(__xludf.DUMMYFUNCTION("""COMPUTED_VALUE"""),"Comprehensive Ruby on Rails")</f>
        <v>Comprehensive Ruby on Rails</v>
      </c>
      <c r="F100" s="140" t="str">
        <f>IFERROR(__xludf.DUMMYFUNCTION("""COMPUTED_VALUE"""),"Jordan Hudgens")</f>
        <v>Jordan Hudgens</v>
      </c>
      <c r="G100" t="str">
        <f>IFERROR(__xludf.DUMMYFUNCTION("""COMPUTED_VALUE"""),"Below Quality Standards- 3 Flags")</f>
        <v>Below Quality Standards- 3 Flags</v>
      </c>
      <c r="H100" t="str">
        <f>IFERROR(__xludf.DUMMYFUNCTION("""COMPUTED_VALUE"""),"Design")</f>
        <v>Design</v>
      </c>
      <c r="I100" s="142" t="str">
        <f>IFERROR(__xludf.DUMMYFUNCTION("""COMPUTED_VALUE"""),"3D &amp; Animation")</f>
        <v>3D &amp; Animation</v>
      </c>
      <c r="J100" s="140">
        <f>IFERROR(__xludf.DUMMYFUNCTION("""COMPUTED_VALUE"""),519442.0)</f>
        <v>519442</v>
      </c>
      <c r="K100" s="140" t="str">
        <f>IFERROR(__xludf.DUMMYFUNCTION("""COMPUTED_VALUE"""),"The Complete Ruby on Rails Developer Course")</f>
        <v>The Complete Ruby on Rails Developer Course</v>
      </c>
      <c r="M100" s="140" t="str">
        <f>IFERROR(__xludf.DUMMYFUNCTION("""COMPUTED_VALUE"""),"")</f>
        <v/>
      </c>
    </row>
    <row r="101">
      <c r="A101" s="141">
        <f>IFERROR(__xludf.DUMMYFUNCTION("""COMPUTED_VALUE"""),44165.0)</f>
        <v>44165</v>
      </c>
      <c r="B101" s="140">
        <f>IFERROR(__xludf.DUMMYFUNCTION("""COMPUTED_VALUE"""),1340966.0)</f>
        <v>1340966</v>
      </c>
      <c r="C101" s="140" t="str">
        <f>IFERROR(__xludf.DUMMYFUNCTION("""COMPUTED_VALUE"""),"EN")</f>
        <v>EN</v>
      </c>
      <c r="D101" s="140" t="str">
        <f>IFERROR(__xludf.DUMMYFUNCTION("""COMPUTED_VALUE"""),"Python Ethical Hacking | Build a Keylogger in Python 3")</f>
        <v>Python Ethical Hacking | Build a Keylogger in Python 3</v>
      </c>
      <c r="F101" s="140" t="str">
        <f>IFERROR(__xludf.DUMMYFUNCTION("""COMPUTED_VALUE"""),"Phillip Aaron")</f>
        <v>Phillip Aaron</v>
      </c>
      <c r="G101" t="str">
        <f>IFERROR(__xludf.DUMMYFUNCTION("""COMPUTED_VALUE"""),"Below Quality Standards- 3 Flags")</f>
        <v>Below Quality Standards- 3 Flags</v>
      </c>
      <c r="H101" t="str">
        <f>IFERROR(__xludf.DUMMYFUNCTION("""COMPUTED_VALUE"""),"IT Operations")</f>
        <v>IT Operations</v>
      </c>
      <c r="I101" s="142" t="str">
        <f>IFERROR(__xludf.DUMMYFUNCTION("""COMPUTED_VALUE"""),"IT Certifications")</f>
        <v>IT Certifications</v>
      </c>
      <c r="K101" s="140" t="str">
        <f>IFERROR(__xludf.DUMMYFUNCTION("""COMPUTED_VALUE"""),"")</f>
        <v/>
      </c>
      <c r="M101" s="140" t="str">
        <f>IFERROR(__xludf.DUMMYFUNCTION("""COMPUTED_VALUE"""),"")</f>
        <v/>
      </c>
      <c r="N101" s="140" t="str">
        <f>IFERROR(__xludf.DUMMYFUNCTION("""COMPUTED_VALUE"""),"No Alternatives in Collection- 06/24")</f>
        <v>No Alternatives in Collection- 06/24</v>
      </c>
    </row>
    <row r="102">
      <c r="A102" s="141">
        <f>IFERROR(__xludf.DUMMYFUNCTION("""COMPUTED_VALUE"""),44165.0)</f>
        <v>44165</v>
      </c>
      <c r="B102" s="140">
        <f>IFERROR(__xludf.DUMMYFUNCTION("""COMPUTED_VALUE"""),1464666.0)</f>
        <v>1464666</v>
      </c>
      <c r="C102" s="140" t="str">
        <f>IFERROR(__xludf.DUMMYFUNCTION("""COMPUTED_VALUE"""),"EN")</f>
        <v>EN</v>
      </c>
      <c r="D102" s="140" t="str">
        <f>IFERROR(__xludf.DUMMYFUNCTION("""COMPUTED_VALUE"""),"Basics of BIND DNS Server")</f>
        <v>Basics of BIND DNS Server</v>
      </c>
      <c r="F102" s="140" t="str">
        <f>IFERROR(__xludf.DUMMYFUNCTION("""COMPUTED_VALUE"""),"Yogesh Mehta")</f>
        <v>Yogesh Mehta</v>
      </c>
      <c r="G102" t="str">
        <f>IFERROR(__xludf.DUMMYFUNCTION("""COMPUTED_VALUE"""),"Below Quality Standards- Low Rating")</f>
        <v>Below Quality Standards- Low Rating</v>
      </c>
      <c r="H102" t="str">
        <f>IFERROR(__xludf.DUMMYFUNCTION("""COMPUTED_VALUE"""),"Development")</f>
        <v>Development</v>
      </c>
      <c r="I102" s="142" t="str">
        <f>IFERROR(__xludf.DUMMYFUNCTION("""COMPUTED_VALUE"""),"Development Tools")</f>
        <v>Development Tools</v>
      </c>
      <c r="K102" s="140" t="str">
        <f>IFERROR(__xludf.DUMMYFUNCTION("""COMPUTED_VALUE"""),"")</f>
        <v/>
      </c>
      <c r="M102" s="140" t="str">
        <f>IFERROR(__xludf.DUMMYFUNCTION("""COMPUTED_VALUE"""),"")</f>
        <v/>
      </c>
      <c r="N102" s="140" t="str">
        <f>IFERROR(__xludf.DUMMYFUNCTION("""COMPUTED_VALUE"""),"No Alternatives in Collection- 06/24")</f>
        <v>No Alternatives in Collection- 06/24</v>
      </c>
    </row>
    <row r="103">
      <c r="A103" s="141">
        <f>IFERROR(__xludf.DUMMYFUNCTION("""COMPUTED_VALUE"""),44165.0)</f>
        <v>44165</v>
      </c>
      <c r="B103" s="140">
        <f>IFERROR(__xludf.DUMMYFUNCTION("""COMPUTED_VALUE"""),1334144.0)</f>
        <v>1334144</v>
      </c>
      <c r="C103" s="140" t="str">
        <f>IFERROR(__xludf.DUMMYFUNCTION("""COMPUTED_VALUE"""),"EN")</f>
        <v>EN</v>
      </c>
      <c r="D103" s="140" t="str">
        <f>IFERROR(__xludf.DUMMYFUNCTION("""COMPUTED_VALUE"""),"Intro To Dynamic Programming - Coding Interview Preparation")</f>
        <v>Intro To Dynamic Programming - Coding Interview Preparation</v>
      </c>
      <c r="F103" s="140" t="str">
        <f>IFERROR(__xludf.DUMMYFUNCTION("""COMPUTED_VALUE"""),"El Farouk Yasser")</f>
        <v>El Farouk Yasser</v>
      </c>
      <c r="G103" t="str">
        <f>IFERROR(__xludf.DUMMYFUNCTION("""COMPUTED_VALUE"""),"Below Quality Standards- Low Rating")</f>
        <v>Below Quality Standards- Low Rating</v>
      </c>
      <c r="H103" t="str">
        <f>IFERROR(__xludf.DUMMYFUNCTION("""COMPUTED_VALUE"""),"Leadership &amp; Management")</f>
        <v>Leadership &amp; Management</v>
      </c>
      <c r="I103" s="142" t="str">
        <f>IFERROR(__xludf.DUMMYFUNCTION("""COMPUTED_VALUE"""),"Communication")</f>
        <v>Communication</v>
      </c>
      <c r="J103" s="140">
        <f>IFERROR(__xludf.DUMMYFUNCTION("""COMPUTED_VALUE"""),2170852.0)</f>
        <v>2170852</v>
      </c>
      <c r="K103" s="140" t="str">
        <f>IFERROR(__xludf.DUMMYFUNCTION("""COMPUTED_VALUE"""),"Master the art of Dynamic Programming")</f>
        <v>Master the art of Dynamic Programming</v>
      </c>
      <c r="M103" s="140" t="str">
        <f>IFERROR(__xludf.DUMMYFUNCTION("""COMPUTED_VALUE"""),"")</f>
        <v/>
      </c>
    </row>
    <row r="104">
      <c r="A104" s="141">
        <f>IFERROR(__xludf.DUMMYFUNCTION("""COMPUTED_VALUE"""),44165.0)</f>
        <v>44165</v>
      </c>
      <c r="B104" s="140">
        <f>IFERROR(__xludf.DUMMYFUNCTION("""COMPUTED_VALUE"""),826202.0)</f>
        <v>826202</v>
      </c>
      <c r="C104" s="140" t="str">
        <f>IFERROR(__xludf.DUMMYFUNCTION("""COMPUTED_VALUE"""),"EN")</f>
        <v>EN</v>
      </c>
      <c r="D104" s="140" t="str">
        <f>IFERROR(__xludf.DUMMYFUNCTION("""COMPUTED_VALUE"""),"Design a Unique Bookstore-Quality Photo Book with Blurb")</f>
        <v>Design a Unique Bookstore-Quality Photo Book with Blurb</v>
      </c>
      <c r="F104" s="140" t="str">
        <f>IFERROR(__xludf.DUMMYFUNCTION("""COMPUTED_VALUE"""),"Kasia Zmokla")</f>
        <v>Kasia Zmokla</v>
      </c>
      <c r="G104" t="str">
        <f>IFERROR(__xludf.DUMMYFUNCTION("""COMPUTED_VALUE"""),"Instructor Request- No Detail")</f>
        <v>Instructor Request- No Detail</v>
      </c>
      <c r="H104" t="str">
        <f>IFERROR(__xludf.DUMMYFUNCTION("""COMPUTED_VALUE"""),"Development")</f>
        <v>Development</v>
      </c>
      <c r="I104" s="142" t="str">
        <f>IFERROR(__xludf.DUMMYFUNCTION("""COMPUTED_VALUE"""),"Web Development")</f>
        <v>Web Development</v>
      </c>
      <c r="J104" s="140">
        <f>IFERROR(__xludf.DUMMYFUNCTION("""COMPUTED_VALUE"""),1189136.0)</f>
        <v>1189136</v>
      </c>
      <c r="K104" s="140" t="str">
        <f>IFERROR(__xludf.DUMMYFUNCTION("""COMPUTED_VALUE"""),"Adobe Lightroom Masterclass - Beginner to Expert")</f>
        <v>Adobe Lightroom Masterclass - Beginner to Expert</v>
      </c>
      <c r="M104" s="140" t="str">
        <f>IFERROR(__xludf.DUMMYFUNCTION("""COMPUTED_VALUE"""),"")</f>
        <v/>
      </c>
    </row>
    <row r="105">
      <c r="A105" s="141">
        <f>IFERROR(__xludf.DUMMYFUNCTION("""COMPUTED_VALUE"""),44165.0)</f>
        <v>44165</v>
      </c>
      <c r="B105" s="140">
        <f>IFERROR(__xludf.DUMMYFUNCTION("""COMPUTED_VALUE"""),2432038.0)</f>
        <v>2432038</v>
      </c>
      <c r="C105" s="140" t="str">
        <f>IFERROR(__xludf.DUMMYFUNCTION("""COMPUTED_VALUE"""),"EN")</f>
        <v>EN</v>
      </c>
      <c r="D105" s="140" t="str">
        <f>IFERROR(__xludf.DUMMYFUNCTION("""COMPUTED_VALUE"""),"Object Process Methodology (OPM) for MBSE")</f>
        <v>Object Process Methodology (OPM) for MBSE</v>
      </c>
      <c r="F105" s="140" t="str">
        <f>IFERROR(__xludf.DUMMYFUNCTION("""COMPUTED_VALUE"""),"Joshua Sutherland")</f>
        <v>Joshua Sutherland</v>
      </c>
      <c r="G105" t="str">
        <f>IFERROR(__xludf.DUMMYFUNCTION("""COMPUTED_VALUE"""),"Below Quality Standards- Low Rating")</f>
        <v>Below Quality Standards- Low Rating</v>
      </c>
      <c r="K105" s="140" t="str">
        <f>IFERROR(__xludf.DUMMYFUNCTION("""COMPUTED_VALUE"""),"")</f>
        <v/>
      </c>
      <c r="M105" s="140" t="str">
        <f>IFERROR(__xludf.DUMMYFUNCTION("""COMPUTED_VALUE"""),"")</f>
        <v/>
      </c>
      <c r="N105" s="140" t="str">
        <f>IFERROR(__xludf.DUMMYFUNCTION("""COMPUTED_VALUE"""),"No Alternatives in Collection- 06/24")</f>
        <v>No Alternatives in Collection- 06/24</v>
      </c>
    </row>
    <row r="106">
      <c r="A106" s="141">
        <f>IFERROR(__xludf.DUMMYFUNCTION("""COMPUTED_VALUE"""),44165.0)</f>
        <v>44165</v>
      </c>
      <c r="B106" s="140">
        <f>IFERROR(__xludf.DUMMYFUNCTION("""COMPUTED_VALUE"""),1955644.0)</f>
        <v>1955644</v>
      </c>
      <c r="C106" s="140" t="str">
        <f>IFERROR(__xludf.DUMMYFUNCTION("""COMPUTED_VALUE"""),"EN")</f>
        <v>EN</v>
      </c>
      <c r="D106" s="140" t="str">
        <f>IFERROR(__xludf.DUMMYFUNCTION("""COMPUTED_VALUE"""),"Tutorial: Set up Multi Org Hyperledger Fabric v1.4 Network")</f>
        <v>Tutorial: Set up Multi Org Hyperledger Fabric v1.4 Network</v>
      </c>
      <c r="F106" s="140" t="str">
        <f>IFERROR(__xludf.DUMMYFUNCTION("""COMPUTED_VALUE"""),"Rajeev Sakhuja")</f>
        <v>Rajeev Sakhuja</v>
      </c>
      <c r="G106" t="str">
        <f>IFERROR(__xludf.DUMMYFUNCTION("""COMPUTED_VALUE"""),"Below Quality Standards- 3 Flags")</f>
        <v>Below Quality Standards- 3 Flags</v>
      </c>
      <c r="H106" t="str">
        <f>IFERROR(__xludf.DUMMYFUNCTION("""COMPUTED_VALUE"""),"Development")</f>
        <v>Development</v>
      </c>
      <c r="I106" s="142" t="str">
        <f>IFERROR(__xludf.DUMMYFUNCTION("""COMPUTED_VALUE"""),"Programming Languages")</f>
        <v>Programming Languages</v>
      </c>
      <c r="J106" s="140">
        <f>IFERROR(__xludf.DUMMYFUNCTION("""COMPUTED_VALUE"""),1332572.0)</f>
        <v>1332572</v>
      </c>
      <c r="K106" s="140" t="str">
        <f>IFERROR(__xludf.DUMMYFUNCTION("""COMPUTED_VALUE"""),"Blockchain Development on Hyperledger Fabric using Composer")</f>
        <v>Blockchain Development on Hyperledger Fabric using Composer</v>
      </c>
      <c r="M106" s="140" t="str">
        <f>IFERROR(__xludf.DUMMYFUNCTION("""COMPUTED_VALUE"""),"")</f>
        <v/>
      </c>
    </row>
    <row r="107">
      <c r="A107" s="141">
        <f>IFERROR(__xludf.DUMMYFUNCTION("""COMPUTED_VALUE"""),44165.0)</f>
        <v>44165</v>
      </c>
      <c r="B107" s="140">
        <f>IFERROR(__xludf.DUMMYFUNCTION("""COMPUTED_VALUE"""),633466.0)</f>
        <v>633466</v>
      </c>
      <c r="C107" s="140" t="str">
        <f>IFERROR(__xludf.DUMMYFUNCTION("""COMPUTED_VALUE"""),"EN")</f>
        <v>EN</v>
      </c>
      <c r="D107" s="140" t="str">
        <f>IFERROR(__xludf.DUMMYFUNCTION("""COMPUTED_VALUE"""),"From 0 to 1: Design Patterns - 24 That Matter - In Java")</f>
        <v>From 0 to 1: Design Patterns - 24 That Matter - In Java</v>
      </c>
      <c r="F107" s="140" t="str">
        <f>IFERROR(__xludf.DUMMYFUNCTION("""COMPUTED_VALUE"""),"Loony Corn")</f>
        <v>Loony Corn</v>
      </c>
      <c r="G107" t="str">
        <f>IFERROR(__xludf.DUMMYFUNCTION("""COMPUTED_VALUE"""),"Below Quality Standards- Low Rating")</f>
        <v>Below Quality Standards- Low Rating</v>
      </c>
      <c r="H107" t="str">
        <f>IFERROR(__xludf.DUMMYFUNCTION("""COMPUTED_VALUE"""),"IT Operations")</f>
        <v>IT Operations</v>
      </c>
      <c r="I107" s="142" t="str">
        <f>IFERROR(__xludf.DUMMYFUNCTION("""COMPUTED_VALUE"""),"IT Certifications")</f>
        <v>IT Certifications</v>
      </c>
      <c r="J107" s="140">
        <f>IFERROR(__xludf.DUMMYFUNCTION("""COMPUTED_VALUE"""),1358570.0)</f>
        <v>1358570</v>
      </c>
      <c r="K107" s="140" t="str">
        <f>IFERROR(__xludf.DUMMYFUNCTION("""COMPUTED_VALUE"""),"Design Patterns in Java")</f>
        <v>Design Patterns in Java</v>
      </c>
      <c r="M107" s="140" t="str">
        <f>IFERROR(__xludf.DUMMYFUNCTION("""COMPUTED_VALUE"""),"")</f>
        <v/>
      </c>
    </row>
    <row r="108">
      <c r="A108" s="141">
        <f>IFERROR(__xludf.DUMMYFUNCTION("""COMPUTED_VALUE"""),44165.0)</f>
        <v>44165</v>
      </c>
      <c r="B108" s="140">
        <f>IFERROR(__xludf.DUMMYFUNCTION("""COMPUTED_VALUE"""),2353322.0)</f>
        <v>2353322</v>
      </c>
      <c r="C108" s="140" t="str">
        <f>IFERROR(__xludf.DUMMYFUNCTION("""COMPUTED_VALUE"""),"EN")</f>
        <v>EN</v>
      </c>
      <c r="D108" s="140" t="str">
        <f>IFERROR(__xludf.DUMMYFUNCTION("""COMPUTED_VALUE"""),"The Voice Course: UX, UI, Strategy &amp; Design")</f>
        <v>The Voice Course: UX, UI, Strategy &amp; Design</v>
      </c>
      <c r="F108" s="140" t="str">
        <f>IFERROR(__xludf.DUMMYFUNCTION("""COMPUTED_VALUE"""),"Sina Kahen")</f>
        <v>Sina Kahen</v>
      </c>
      <c r="G108" t="str">
        <f>IFERROR(__xludf.DUMMYFUNCTION("""COMPUTED_VALUE"""),"Instructor Request- No Detail")</f>
        <v>Instructor Request- No Detail</v>
      </c>
      <c r="H108" t="str">
        <f>IFERROR(__xludf.DUMMYFUNCTION("""COMPUTED_VALUE"""),"Development")</f>
        <v>Development</v>
      </c>
      <c r="I108" s="142" t="str">
        <f>IFERROR(__xludf.DUMMYFUNCTION("""COMPUTED_VALUE"""),"Mobile Development")</f>
        <v>Mobile Development</v>
      </c>
      <c r="J108" s="140">
        <f>IFERROR(__xludf.DUMMYFUNCTION("""COMPUTED_VALUE"""),1347834.0)</f>
        <v>1347834</v>
      </c>
      <c r="K108" s="140" t="str">
        <f>IFERROR(__xludf.DUMMYFUNCTION("""COMPUTED_VALUE"""),"Practical Hands-on Guide for Alexa Skill Development (2020)")</f>
        <v>Practical Hands-on Guide for Alexa Skill Development (2020)</v>
      </c>
      <c r="M108" s="140" t="str">
        <f>IFERROR(__xludf.DUMMYFUNCTION("""COMPUTED_VALUE"""),"")</f>
        <v/>
      </c>
    </row>
    <row r="109">
      <c r="A109" s="141">
        <f>IFERROR(__xludf.DUMMYFUNCTION("""COMPUTED_VALUE"""),44165.0)</f>
        <v>44165</v>
      </c>
      <c r="B109" s="140">
        <f>IFERROR(__xludf.DUMMYFUNCTION("""COMPUTED_VALUE"""),1123752.0)</f>
        <v>1123752</v>
      </c>
      <c r="C109" s="140" t="str">
        <f>IFERROR(__xludf.DUMMYFUNCTION("""COMPUTED_VALUE"""),"EN")</f>
        <v>EN</v>
      </c>
      <c r="D109" s="140" t="str">
        <f>IFERROR(__xludf.DUMMYFUNCTION("""COMPUTED_VALUE"""),"Parametric Families For Autodesk Revit BIM LOD 200-400")</f>
        <v>Parametric Families For Autodesk Revit BIM LOD 200-400</v>
      </c>
      <c r="F109" s="140" t="str">
        <f>IFERROR(__xludf.DUMMYFUNCTION("""COMPUTED_VALUE"""),"Enrique Galicia")</f>
        <v>Enrique Galicia</v>
      </c>
      <c r="G109" t="str">
        <f>IFERROR(__xludf.DUMMYFUNCTION("""COMPUTED_VALUE"""),"Instructor Request- Opted Out")</f>
        <v>Instructor Request- Opted Out</v>
      </c>
      <c r="H109" t="str">
        <f>IFERROR(__xludf.DUMMYFUNCTION("""COMPUTED_VALUE"""),"IT Operations")</f>
        <v>IT Operations</v>
      </c>
      <c r="I109" s="142" t="str">
        <f>IFERROR(__xludf.DUMMYFUNCTION("""COMPUTED_VALUE"""),"Operating Systems &amp; Servers")</f>
        <v>Operating Systems &amp; Servers</v>
      </c>
      <c r="K109" s="140" t="str">
        <f>IFERROR(__xludf.DUMMYFUNCTION("""COMPUTED_VALUE"""),"")</f>
        <v/>
      </c>
      <c r="M109" s="140" t="str">
        <f>IFERROR(__xludf.DUMMYFUNCTION("""COMPUTED_VALUE"""),"")</f>
        <v/>
      </c>
      <c r="N109" s="140" t="str">
        <f>IFERROR(__xludf.DUMMYFUNCTION("""COMPUTED_VALUE"""),"No Alternatives in Collection- 06/24")</f>
        <v>No Alternatives in Collection- 06/24</v>
      </c>
    </row>
    <row r="110">
      <c r="A110" s="141">
        <f>IFERROR(__xludf.DUMMYFUNCTION("""COMPUTED_VALUE"""),44165.0)</f>
        <v>44165</v>
      </c>
      <c r="B110" s="140">
        <f>IFERROR(__xludf.DUMMYFUNCTION("""COMPUTED_VALUE"""),2861944.0)</f>
        <v>2861944</v>
      </c>
      <c r="C110" s="140" t="str">
        <f>IFERROR(__xludf.DUMMYFUNCTION("""COMPUTED_VALUE"""),"EN")</f>
        <v>EN</v>
      </c>
      <c r="D110" s="140" t="str">
        <f>IFERROR(__xludf.DUMMYFUNCTION("""COMPUTED_VALUE"""),"MS-900:Microsoft 365&amp; Office 365 Administration Fundamentals")</f>
        <v>MS-900:Microsoft 365&amp; Office 365 Administration Fundamentals</v>
      </c>
      <c r="F110" s="140" t="str">
        <f>IFERROR(__xludf.DUMMYFUNCTION("""COMPUTED_VALUE"""),"Satish Reddy | Over 15,000 Students | Microsoft Certified Trainer")</f>
        <v>Satish Reddy | Over 15,000 Students | Microsoft Certified Trainer</v>
      </c>
      <c r="G110" t="str">
        <f>IFERROR(__xludf.DUMMYFUNCTION("""COMPUTED_VALUE"""),"Instructor Request- Opted Out")</f>
        <v>Instructor Request- Opted Out</v>
      </c>
      <c r="H110" t="str">
        <f>IFERROR(__xludf.DUMMYFUNCTION("""COMPUTED_VALUE"""),"Office Productivity")</f>
        <v>Office Productivity</v>
      </c>
      <c r="I110" s="142" t="str">
        <f>IFERROR(__xludf.DUMMYFUNCTION("""COMPUTED_VALUE"""),"Presentations")</f>
        <v>Presentations</v>
      </c>
      <c r="J110" s="140">
        <f>IFERROR(__xludf.DUMMYFUNCTION("""COMPUTED_VALUE"""),2689300.0)</f>
        <v>2689300</v>
      </c>
      <c r="K110" s="140" t="str">
        <f>IFERROR(__xludf.DUMMYFUNCTION("""COMPUTED_VALUE"""),"Microsoft MS-900 Certification: M365 Fundamentals")</f>
        <v>Microsoft MS-900 Certification: M365 Fundamentals</v>
      </c>
      <c r="M110" s="140" t="str">
        <f>IFERROR(__xludf.DUMMYFUNCTION("""COMPUTED_VALUE"""),"")</f>
        <v/>
      </c>
    </row>
    <row r="111">
      <c r="A111" s="141">
        <f>IFERROR(__xludf.DUMMYFUNCTION("""COMPUTED_VALUE"""),44165.0)</f>
        <v>44165</v>
      </c>
      <c r="B111" s="140">
        <f>IFERROR(__xludf.DUMMYFUNCTION("""COMPUTED_VALUE"""),1250542.0)</f>
        <v>1250542</v>
      </c>
      <c r="C111" s="140" t="str">
        <f>IFERROR(__xludf.DUMMYFUNCTION("""COMPUTED_VALUE"""),"EN")</f>
        <v>EN</v>
      </c>
      <c r="D111" s="140" t="str">
        <f>IFERROR(__xludf.DUMMYFUNCTION("""COMPUTED_VALUE"""),"Tools for Dealing with Rejection for B2B Sales Reps")</f>
        <v>Tools for Dealing with Rejection for B2B Sales Reps</v>
      </c>
      <c r="F111" s="140" t="str">
        <f>IFERROR(__xludf.DUMMYFUNCTION("""COMPUTED_VALUE"""),"Derek Shebby")</f>
        <v>Derek Shebby</v>
      </c>
      <c r="G111" t="str">
        <f>IFERROR(__xludf.DUMMYFUNCTION("""COMPUTED_VALUE"""),"Instructor Request- No Detail")</f>
        <v>Instructor Request- No Detail</v>
      </c>
      <c r="H111" t="str">
        <f>IFERROR(__xludf.DUMMYFUNCTION("""COMPUTED_VALUE"""),"IT Operations")</f>
        <v>IT Operations</v>
      </c>
      <c r="I111" s="142" t="str">
        <f>IFERROR(__xludf.DUMMYFUNCTION("""COMPUTED_VALUE"""),"Hardware")</f>
        <v>Hardware</v>
      </c>
      <c r="K111" s="140" t="str">
        <f>IFERROR(__xludf.DUMMYFUNCTION("""COMPUTED_VALUE"""),"")</f>
        <v/>
      </c>
      <c r="M111" s="140" t="str">
        <f>IFERROR(__xludf.DUMMYFUNCTION("""COMPUTED_VALUE"""),"")</f>
        <v/>
      </c>
      <c r="N111" s="140" t="str">
        <f>IFERROR(__xludf.DUMMYFUNCTION("""COMPUTED_VALUE"""),"No Alternatives in Collection- 06/24")</f>
        <v>No Alternatives in Collection- 06/24</v>
      </c>
    </row>
    <row r="112">
      <c r="A112" s="141">
        <f>IFERROR(__xludf.DUMMYFUNCTION("""COMPUTED_VALUE"""),44165.0)</f>
        <v>44165</v>
      </c>
      <c r="B112" s="140">
        <f>IFERROR(__xludf.DUMMYFUNCTION("""COMPUTED_VALUE"""),1015186.0)</f>
        <v>1015186</v>
      </c>
      <c r="C112" s="140" t="str">
        <f>IFERROR(__xludf.DUMMYFUNCTION("""COMPUTED_VALUE"""),"EN")</f>
        <v>EN</v>
      </c>
      <c r="D112" s="140" t="str">
        <f>IFERROR(__xludf.DUMMYFUNCTION("""COMPUTED_VALUE"""),"Jewelry Making For Beginners: Alcohol Ink Pendant Necklace")</f>
        <v>Jewelry Making For Beginners: Alcohol Ink Pendant Necklace</v>
      </c>
      <c r="F112" s="140" t="str">
        <f>IFERROR(__xludf.DUMMYFUNCTION("""COMPUTED_VALUE"""),"Kellie Chasse")</f>
        <v>Kellie Chasse</v>
      </c>
      <c r="G112" t="str">
        <f>IFERROR(__xludf.DUMMYFUNCTION("""COMPUTED_VALUE"""),"Instructor Request- No Detail")</f>
        <v>Instructor Request- No Detail</v>
      </c>
      <c r="H112" t="str">
        <f>IFERROR(__xludf.DUMMYFUNCTION("""COMPUTED_VALUE"""),"Development")</f>
        <v>Development</v>
      </c>
      <c r="I112" s="142" t="str">
        <f>IFERROR(__xludf.DUMMYFUNCTION("""COMPUTED_VALUE"""),"Programming Languages")</f>
        <v>Programming Languages</v>
      </c>
      <c r="K112" s="140" t="str">
        <f>IFERROR(__xludf.DUMMYFUNCTION("""COMPUTED_VALUE"""),"")</f>
        <v/>
      </c>
      <c r="M112" s="140" t="str">
        <f>IFERROR(__xludf.DUMMYFUNCTION("""COMPUTED_VALUE"""),"")</f>
        <v/>
      </c>
      <c r="N112" s="140" t="str">
        <f>IFERROR(__xludf.DUMMYFUNCTION("""COMPUTED_VALUE"""),"No Alternatives in Collection- 06/24")</f>
        <v>No Alternatives in Collection- 06/24</v>
      </c>
    </row>
    <row r="113">
      <c r="A113" s="141">
        <f>IFERROR(__xludf.DUMMYFUNCTION("""COMPUTED_VALUE"""),44165.0)</f>
        <v>44165</v>
      </c>
      <c r="B113" s="140">
        <f>IFERROR(__xludf.DUMMYFUNCTION("""COMPUTED_VALUE"""),1283856.0)</f>
        <v>1283856</v>
      </c>
      <c r="C113" s="140" t="str">
        <f>IFERROR(__xludf.DUMMYFUNCTION("""COMPUTED_VALUE"""),"EN")</f>
        <v>EN</v>
      </c>
      <c r="D113" s="140" t="str">
        <f>IFERROR(__xludf.DUMMYFUNCTION("""COMPUTED_VALUE"""),"Proposal Tips from a B2B Sales Pro")</f>
        <v>Proposal Tips from a B2B Sales Pro</v>
      </c>
      <c r="F113" s="140" t="str">
        <f>IFERROR(__xludf.DUMMYFUNCTION("""COMPUTED_VALUE"""),"Derek Shebby")</f>
        <v>Derek Shebby</v>
      </c>
      <c r="G113" t="str">
        <f>IFERROR(__xludf.DUMMYFUNCTION("""COMPUTED_VALUE"""),"Instructor Request- No Detail")</f>
        <v>Instructor Request- No Detail</v>
      </c>
      <c r="H113" t="str">
        <f>IFERROR(__xludf.DUMMYFUNCTION("""COMPUTED_VALUE"""),"Design")</f>
        <v>Design</v>
      </c>
      <c r="I113" s="142" t="str">
        <f>IFERROR(__xludf.DUMMYFUNCTION("""COMPUTED_VALUE"""),"Design Tools")</f>
        <v>Design Tools</v>
      </c>
      <c r="K113" s="140" t="str">
        <f>IFERROR(__xludf.DUMMYFUNCTION("""COMPUTED_VALUE"""),"")</f>
        <v/>
      </c>
      <c r="M113" s="140" t="str">
        <f>IFERROR(__xludf.DUMMYFUNCTION("""COMPUTED_VALUE"""),"")</f>
        <v/>
      </c>
      <c r="N113" s="140" t="str">
        <f>IFERROR(__xludf.DUMMYFUNCTION("""COMPUTED_VALUE"""),"No Alternatives in Collection- 06/24")</f>
        <v>No Alternatives in Collection- 06/24</v>
      </c>
    </row>
    <row r="114">
      <c r="A114" s="141">
        <f>IFERROR(__xludf.DUMMYFUNCTION("""COMPUTED_VALUE"""),44165.0)</f>
        <v>44165</v>
      </c>
      <c r="B114" s="140">
        <f>IFERROR(__xludf.DUMMYFUNCTION("""COMPUTED_VALUE"""),2672428.0)</f>
        <v>2672428</v>
      </c>
      <c r="C114" s="140" t="str">
        <f>IFERROR(__xludf.DUMMYFUNCTION("""COMPUTED_VALUE"""),"EN")</f>
        <v>EN</v>
      </c>
      <c r="D114" s="140" t="str">
        <f>IFERROR(__xludf.DUMMYFUNCTION("""COMPUTED_VALUE"""),"SAP UI5 Development Re-Introduction")</f>
        <v>SAP UI5 Development Re-Introduction</v>
      </c>
      <c r="F114" s="140" t="str">
        <f>IFERROR(__xludf.DUMMYFUNCTION("""COMPUTED_VALUE"""),"Michael Hu")</f>
        <v>Michael Hu</v>
      </c>
      <c r="G114" t="str">
        <f>IFERROR(__xludf.DUMMYFUNCTION("""COMPUTED_VALUE"""),"Instructor Request- No Detail")</f>
        <v>Instructor Request- No Detail</v>
      </c>
      <c r="H114" t="str">
        <f>IFERROR(__xludf.DUMMYFUNCTION("""COMPUTED_VALUE"""),"Marketing")</f>
        <v>Marketing</v>
      </c>
      <c r="I114" s="142" t="str">
        <f>IFERROR(__xludf.DUMMYFUNCTION("""COMPUTED_VALUE"""),"Paid Advertising")</f>
        <v>Paid Advertising</v>
      </c>
      <c r="K114" s="140" t="str">
        <f>IFERROR(__xludf.DUMMYFUNCTION("""COMPUTED_VALUE"""),"")</f>
        <v/>
      </c>
      <c r="M114" s="140" t="str">
        <f>IFERROR(__xludf.DUMMYFUNCTION("""COMPUTED_VALUE"""),"")</f>
        <v/>
      </c>
      <c r="N114" s="140" t="str">
        <f>IFERROR(__xludf.DUMMYFUNCTION("""COMPUTED_VALUE"""),"No Alternatives in Collection- 06/24")</f>
        <v>No Alternatives in Collection- 06/24</v>
      </c>
    </row>
    <row r="115">
      <c r="A115" s="141">
        <f>IFERROR(__xludf.DUMMYFUNCTION("""COMPUTED_VALUE"""),44165.0)</f>
        <v>44165</v>
      </c>
      <c r="B115" s="140">
        <f>IFERROR(__xludf.DUMMYFUNCTION("""COMPUTED_VALUE"""),1957644.0)</f>
        <v>1957644</v>
      </c>
      <c r="C115" s="140" t="str">
        <f>IFERROR(__xludf.DUMMYFUNCTION("""COMPUTED_VALUE"""),"EN")</f>
        <v>EN</v>
      </c>
      <c r="D115" s="140" t="str">
        <f>IFERROR(__xludf.DUMMYFUNCTION("""COMPUTED_VALUE"""),"Microsoft Dynamics 365 &amp; PowerApps Developer Course - Part 1")</f>
        <v>Microsoft Dynamics 365 &amp; PowerApps Developer Course - Part 1</v>
      </c>
      <c r="F115" s="140" t="str">
        <f>IFERROR(__xludf.DUMMYFUNCTION("""COMPUTED_VALUE"""),"Satish Reddy | Over 15,000 Students | Microsoft Certified Trainer")</f>
        <v>Satish Reddy | Over 15,000 Students | Microsoft Certified Trainer</v>
      </c>
      <c r="G115" t="str">
        <f>IFERROR(__xludf.DUMMYFUNCTION("""COMPUTED_VALUE"""),"Instructor Request- Opted Out")</f>
        <v>Instructor Request- Opted Out</v>
      </c>
      <c r="H115" t="str">
        <f>IFERROR(__xludf.DUMMYFUNCTION("""COMPUTED_VALUE"""),"Development")</f>
        <v>Development</v>
      </c>
      <c r="I115" s="142" t="str">
        <f>IFERROR(__xludf.DUMMYFUNCTION("""COMPUTED_VALUE"""),"Web Development")</f>
        <v>Web Development</v>
      </c>
      <c r="K115" s="140" t="str">
        <f>IFERROR(__xludf.DUMMYFUNCTION("""COMPUTED_VALUE"""),"")</f>
        <v/>
      </c>
      <c r="M115" s="140" t="str">
        <f>IFERROR(__xludf.DUMMYFUNCTION("""COMPUTED_VALUE"""),"")</f>
        <v/>
      </c>
      <c r="N115" s="140" t="str">
        <f>IFERROR(__xludf.DUMMYFUNCTION("""COMPUTED_VALUE"""),"No Alternatives in Collection- 06/24")</f>
        <v>No Alternatives in Collection- 06/24</v>
      </c>
    </row>
    <row r="116">
      <c r="A116" s="141">
        <f>IFERROR(__xludf.DUMMYFUNCTION("""COMPUTED_VALUE"""),44165.0)</f>
        <v>44165</v>
      </c>
      <c r="B116" s="140">
        <f>IFERROR(__xludf.DUMMYFUNCTION("""COMPUTED_VALUE"""),2107052.0)</f>
        <v>2107052</v>
      </c>
      <c r="C116" s="140" t="str">
        <f>IFERROR(__xludf.DUMMYFUNCTION("""COMPUTED_VALUE"""),"EN")</f>
        <v>EN</v>
      </c>
      <c r="D116" s="140" t="str">
        <f>IFERROR(__xludf.DUMMYFUNCTION("""COMPUTED_VALUE"""),"Microsoft Dynamics 365 &amp; PowerApps Developer Course - Part 2")</f>
        <v>Microsoft Dynamics 365 &amp; PowerApps Developer Course - Part 2</v>
      </c>
      <c r="F116" s="140" t="str">
        <f>IFERROR(__xludf.DUMMYFUNCTION("""COMPUTED_VALUE"""),"Satish Reddy | Over 15,000 Students | Microsoft Certified Trainer")</f>
        <v>Satish Reddy | Over 15,000 Students | Microsoft Certified Trainer</v>
      </c>
      <c r="G116" t="str">
        <f>IFERROR(__xludf.DUMMYFUNCTION("""COMPUTED_VALUE"""),"Instructor Request- Opted Out")</f>
        <v>Instructor Request- Opted Out</v>
      </c>
      <c r="H116" t="str">
        <f>IFERROR(__xludf.DUMMYFUNCTION("""COMPUTED_VALUE"""),"Development")</f>
        <v>Development</v>
      </c>
      <c r="I116" s="142" t="str">
        <f>IFERROR(__xludf.DUMMYFUNCTION("""COMPUTED_VALUE"""),"Web Development")</f>
        <v>Web Development</v>
      </c>
      <c r="K116" s="140" t="str">
        <f>IFERROR(__xludf.DUMMYFUNCTION("""COMPUTED_VALUE"""),"")</f>
        <v/>
      </c>
      <c r="M116" s="140" t="str">
        <f>IFERROR(__xludf.DUMMYFUNCTION("""COMPUTED_VALUE"""),"")</f>
        <v/>
      </c>
      <c r="N116" s="140" t="str">
        <f>IFERROR(__xludf.DUMMYFUNCTION("""COMPUTED_VALUE"""),"No Alternatives in Collection- 06/24")</f>
        <v>No Alternatives in Collection- 06/24</v>
      </c>
    </row>
    <row r="117">
      <c r="A117" s="141">
        <f>IFERROR(__xludf.DUMMYFUNCTION("""COMPUTED_VALUE"""),44165.0)</f>
        <v>44165</v>
      </c>
      <c r="B117" s="140">
        <f>IFERROR(__xludf.DUMMYFUNCTION("""COMPUTED_VALUE"""),1137208.0)</f>
        <v>1137208</v>
      </c>
      <c r="C117" s="140" t="str">
        <f>IFERROR(__xludf.DUMMYFUNCTION("""COMPUTED_VALUE"""),"EN")</f>
        <v>EN</v>
      </c>
      <c r="D117" s="140" t="str">
        <f>IFERROR(__xludf.DUMMYFUNCTION("""COMPUTED_VALUE"""),"The Foundations of Fiction (Writing Mastery)")</f>
        <v>The Foundations of Fiction (Writing Mastery)</v>
      </c>
      <c r="F117" s="140" t="str">
        <f>IFERROR(__xludf.DUMMYFUNCTION("""COMPUTED_VALUE"""),"Jessica Brody")</f>
        <v>Jessica Brody</v>
      </c>
      <c r="G117" t="str">
        <f>IFERROR(__xludf.DUMMYFUNCTION("""COMPUTED_VALUE"""),"Instructor Request- Opted Out")</f>
        <v>Instructor Request- Opted Out</v>
      </c>
      <c r="K117" s="140" t="str">
        <f>IFERROR(__xludf.DUMMYFUNCTION("""COMPUTED_VALUE"""),"")</f>
        <v/>
      </c>
      <c r="M117" s="140" t="str">
        <f>IFERROR(__xludf.DUMMYFUNCTION("""COMPUTED_VALUE"""),"")</f>
        <v/>
      </c>
      <c r="N117" s="140" t="str">
        <f>IFERROR(__xludf.DUMMYFUNCTION("""COMPUTED_VALUE"""),"No Alternatives in Collection- 06/24")</f>
        <v>No Alternatives in Collection- 06/24</v>
      </c>
    </row>
    <row r="118">
      <c r="A118" s="141">
        <f>IFERROR(__xludf.DUMMYFUNCTION("""COMPUTED_VALUE"""),44165.0)</f>
        <v>44165</v>
      </c>
      <c r="B118" s="140">
        <f>IFERROR(__xludf.DUMMYFUNCTION("""COMPUTED_VALUE"""),1326772.0)</f>
        <v>1326772</v>
      </c>
      <c r="C118" s="140" t="str">
        <f>IFERROR(__xludf.DUMMYFUNCTION("""COMPUTED_VALUE"""),"EN")</f>
        <v>EN</v>
      </c>
      <c r="D118" s="140" t="str">
        <f>IFERROR(__xludf.DUMMYFUNCTION("""COMPUTED_VALUE"""),"Increase Your Sales Commissions by Winning the Numbers Game")</f>
        <v>Increase Your Sales Commissions by Winning the Numbers Game</v>
      </c>
      <c r="F118" s="140" t="str">
        <f>IFERROR(__xludf.DUMMYFUNCTION("""COMPUTED_VALUE"""),"Derek Shebby")</f>
        <v>Derek Shebby</v>
      </c>
      <c r="G118" t="str">
        <f>IFERROR(__xludf.DUMMYFUNCTION("""COMPUTED_VALUE"""),"Instructor Request- No Detail")</f>
        <v>Instructor Request- No Detail</v>
      </c>
      <c r="H118" t="str">
        <f>IFERROR(__xludf.DUMMYFUNCTION("""COMPUTED_VALUE"""),"Development")</f>
        <v>Development</v>
      </c>
      <c r="I118" s="142" t="str">
        <f>IFERROR(__xludf.DUMMYFUNCTION("""COMPUTED_VALUE"""),"Programming Languages")</f>
        <v>Programming Languages</v>
      </c>
      <c r="J118" s="140">
        <f>IFERROR(__xludf.DUMMYFUNCTION("""COMPUTED_VALUE"""),336450.0)</f>
        <v>336450</v>
      </c>
      <c r="K118" s="140" t="str">
        <f>IFERROR(__xludf.DUMMYFUNCTION("""COMPUTED_VALUE"""),"Sales Skills Mastery - An Immediate Increase In Your Results")</f>
        <v>Sales Skills Mastery - An Immediate Increase In Your Results</v>
      </c>
      <c r="M118" s="140" t="str">
        <f>IFERROR(__xludf.DUMMYFUNCTION("""COMPUTED_VALUE"""),"")</f>
        <v/>
      </c>
    </row>
    <row r="119">
      <c r="A119" s="141">
        <f>IFERROR(__xludf.DUMMYFUNCTION("""COMPUTED_VALUE"""),44165.0)</f>
        <v>44165</v>
      </c>
      <c r="B119" s="140">
        <f>IFERROR(__xludf.DUMMYFUNCTION("""COMPUTED_VALUE"""),1927274.0)</f>
        <v>1927274</v>
      </c>
      <c r="C119" s="140" t="str">
        <f>IFERROR(__xludf.DUMMYFUNCTION("""COMPUTED_VALUE"""),"EN")</f>
        <v>EN</v>
      </c>
      <c r="D119" s="140" t="str">
        <f>IFERROR(__xludf.DUMMYFUNCTION("""COMPUTED_VALUE"""),"Write a Bestselling Novel in 15 Steps (Writing Mastery)")</f>
        <v>Write a Bestselling Novel in 15 Steps (Writing Mastery)</v>
      </c>
      <c r="F119" s="140" t="str">
        <f>IFERROR(__xludf.DUMMYFUNCTION("""COMPUTED_VALUE"""),"Jessica Brody")</f>
        <v>Jessica Brody</v>
      </c>
      <c r="G119" t="str">
        <f>IFERROR(__xludf.DUMMYFUNCTION("""COMPUTED_VALUE"""),"Instructor Request- Opted Out")</f>
        <v>Instructor Request- Opted Out</v>
      </c>
      <c r="H119" t="str">
        <f>IFERROR(__xludf.DUMMYFUNCTION("""COMPUTED_VALUE"""),"Development")</f>
        <v>Development</v>
      </c>
      <c r="I119" s="142" t="str">
        <f>IFERROR(__xludf.DUMMYFUNCTION("""COMPUTED_VALUE"""),"Web Development")</f>
        <v>Web Development</v>
      </c>
      <c r="K119" s="140" t="str">
        <f>IFERROR(__xludf.DUMMYFUNCTION("""COMPUTED_VALUE"""),"")</f>
        <v/>
      </c>
      <c r="M119" s="140" t="str">
        <f>IFERROR(__xludf.DUMMYFUNCTION("""COMPUTED_VALUE"""),"")</f>
        <v/>
      </c>
      <c r="N119" s="140" t="str">
        <f>IFERROR(__xludf.DUMMYFUNCTION("""COMPUTED_VALUE"""),"No Alternatives in Collection- 06/24")</f>
        <v>No Alternatives in Collection- 06/24</v>
      </c>
    </row>
    <row r="120">
      <c r="A120" s="141">
        <f>IFERROR(__xludf.DUMMYFUNCTION("""COMPUTED_VALUE"""),44165.0)</f>
        <v>44165</v>
      </c>
      <c r="B120" s="140">
        <f>IFERROR(__xludf.DUMMYFUNCTION("""COMPUTED_VALUE"""),1361276.0)</f>
        <v>1361276</v>
      </c>
      <c r="C120" s="140" t="str">
        <f>IFERROR(__xludf.DUMMYFUNCTION("""COMPUTED_VALUE"""),"EN")</f>
        <v>EN</v>
      </c>
      <c r="D120" s="140" t="str">
        <f>IFERROR(__xludf.DUMMYFUNCTION("""COMPUTED_VALUE"""),"Cold Calling for B2B Sales: How to Prospect on Foot")</f>
        <v>Cold Calling for B2B Sales: How to Prospect on Foot</v>
      </c>
      <c r="F120" s="140" t="str">
        <f>IFERROR(__xludf.DUMMYFUNCTION("""COMPUTED_VALUE"""),"Derek Shebby")</f>
        <v>Derek Shebby</v>
      </c>
      <c r="G120" t="str">
        <f>IFERROR(__xludf.DUMMYFUNCTION("""COMPUTED_VALUE"""),"Instructor Request- No Detail")</f>
        <v>Instructor Request- No Detail</v>
      </c>
      <c r="H120" t="str">
        <f>IFERROR(__xludf.DUMMYFUNCTION("""COMPUTED_VALUE"""),"Data Science")</f>
        <v>Data Science</v>
      </c>
      <c r="I120" s="142" t="str">
        <f>IFERROR(__xludf.DUMMYFUNCTION("""COMPUTED_VALUE"""),"Data Visualization")</f>
        <v>Data Visualization</v>
      </c>
      <c r="J120" s="140">
        <f>IFERROR(__xludf.DUMMYFUNCTION("""COMPUTED_VALUE"""),1426364.0)</f>
        <v>1426364</v>
      </c>
      <c r="K120" s="140" t="str">
        <f>IFERROR(__xludf.DUMMYFUNCTION("""COMPUTED_VALUE"""),"Sales Machine: The Sales Training B2B Master Course")</f>
        <v>Sales Machine: The Sales Training B2B Master Course</v>
      </c>
      <c r="M120" s="140" t="str">
        <f>IFERROR(__xludf.DUMMYFUNCTION("""COMPUTED_VALUE"""),"")</f>
        <v/>
      </c>
    </row>
    <row r="121">
      <c r="A121" s="141">
        <f>IFERROR(__xludf.DUMMYFUNCTION("""COMPUTED_VALUE"""),44165.0)</f>
        <v>44165</v>
      </c>
      <c r="B121" s="140">
        <f>IFERROR(__xludf.DUMMYFUNCTION("""COMPUTED_VALUE"""),1315784.0)</f>
        <v>1315784</v>
      </c>
      <c r="C121" s="140" t="str">
        <f>IFERROR(__xludf.DUMMYFUNCTION("""COMPUTED_VALUE"""),"EN")</f>
        <v>EN</v>
      </c>
      <c r="D121" s="140" t="str">
        <f>IFERROR(__xludf.DUMMYFUNCTION("""COMPUTED_VALUE"""),"B2B Sales Training: Why Some Customers Buy &amp; Others Don’t")</f>
        <v>B2B Sales Training: Why Some Customers Buy &amp; Others Don’t</v>
      </c>
      <c r="F121" s="140" t="str">
        <f>IFERROR(__xludf.DUMMYFUNCTION("""COMPUTED_VALUE"""),"Derek Shebby")</f>
        <v>Derek Shebby</v>
      </c>
      <c r="G121" t="str">
        <f>IFERROR(__xludf.DUMMYFUNCTION("""COMPUTED_VALUE"""),"Instructor Request- No Detail")</f>
        <v>Instructor Request- No Detail</v>
      </c>
      <c r="H121" t="str">
        <f>IFERROR(__xludf.DUMMYFUNCTION("""COMPUTED_VALUE"""),"Development")</f>
        <v>Development</v>
      </c>
      <c r="I121" s="142" t="str">
        <f>IFERROR(__xludf.DUMMYFUNCTION("""COMPUTED_VALUE"""),"Programming Languages")</f>
        <v>Programming Languages</v>
      </c>
      <c r="J121" s="140">
        <f>IFERROR(__xludf.DUMMYFUNCTION("""COMPUTED_VALUE"""),1426364.0)</f>
        <v>1426364</v>
      </c>
      <c r="K121" s="140" t="str">
        <f>IFERROR(__xludf.DUMMYFUNCTION("""COMPUTED_VALUE"""),"Sales Machine: The Sales Training B2B Master Course")</f>
        <v>Sales Machine: The Sales Training B2B Master Course</v>
      </c>
      <c r="M121" s="140" t="str">
        <f>IFERROR(__xludf.DUMMYFUNCTION("""COMPUTED_VALUE"""),"")</f>
        <v/>
      </c>
    </row>
    <row r="122">
      <c r="A122" s="141">
        <f>IFERROR(__xludf.DUMMYFUNCTION("""COMPUTED_VALUE"""),44165.0)</f>
        <v>44165</v>
      </c>
      <c r="B122" s="140">
        <f>IFERROR(__xludf.DUMMYFUNCTION("""COMPUTED_VALUE"""),520302.0)</f>
        <v>520302</v>
      </c>
      <c r="C122" s="140" t="str">
        <f>IFERROR(__xludf.DUMMYFUNCTION("""COMPUTED_VALUE"""),"EN")</f>
        <v>EN</v>
      </c>
      <c r="D122" s="140" t="str">
        <f>IFERROR(__xludf.DUMMYFUNCTION("""COMPUTED_VALUE"""),"Learn to make an HTML 5 website with a video background")</f>
        <v>Learn to make an HTML 5 website with a video background</v>
      </c>
      <c r="F122" s="140" t="str">
        <f>IFERROR(__xludf.DUMMYFUNCTION("""COMPUTED_VALUE"""),"John Bura")</f>
        <v>John Bura</v>
      </c>
      <c r="G122" t="str">
        <f>IFERROR(__xludf.DUMMYFUNCTION("""COMPUTED_VALUE"""),"Inactive Instructor")</f>
        <v>Inactive Instructor</v>
      </c>
      <c r="H122" t="str">
        <f>IFERROR(__xludf.DUMMYFUNCTION("""COMPUTED_VALUE"""),"Design")</f>
        <v>Design</v>
      </c>
      <c r="I122" s="142" t="str">
        <f>IFERROR(__xludf.DUMMYFUNCTION("""COMPUTED_VALUE"""),"Graphic Design")</f>
        <v>Graphic Design</v>
      </c>
      <c r="K122" s="140" t="str">
        <f>IFERROR(__xludf.DUMMYFUNCTION("""COMPUTED_VALUE"""),"")</f>
        <v/>
      </c>
      <c r="M122" s="140" t="str">
        <f>IFERROR(__xludf.DUMMYFUNCTION("""COMPUTED_VALUE"""),"")</f>
        <v/>
      </c>
      <c r="N122" s="140" t="str">
        <f>IFERROR(__xludf.DUMMYFUNCTION("""COMPUTED_VALUE"""),"No Alternatives in Collection- 06/24")</f>
        <v>No Alternatives in Collection- 06/24</v>
      </c>
    </row>
    <row r="123">
      <c r="A123" s="141">
        <f>IFERROR(__xludf.DUMMYFUNCTION("""COMPUTED_VALUE"""),44165.0)</f>
        <v>44165</v>
      </c>
      <c r="B123" s="140">
        <f>IFERROR(__xludf.DUMMYFUNCTION("""COMPUTED_VALUE"""),2313630.0)</f>
        <v>2313630</v>
      </c>
      <c r="C123" s="140" t="str">
        <f>IFERROR(__xludf.DUMMYFUNCTION("""COMPUTED_VALUE"""),"PT")</f>
        <v>PT</v>
      </c>
      <c r="D123" s="140" t="str">
        <f>IFERROR(__xludf.DUMMYFUNCTION("""COMPUTED_VALUE"""),"Ethical Hacking - RASTREAMENTO DE PESSOAS")</f>
        <v>Ethical Hacking - RASTREAMENTO DE PESSOAS</v>
      </c>
      <c r="E123" t="str">
        <f>IFERROR(__xludf.DUMMYFUNCTION("""COMPUTED_VALUE"""),"Ethical Hacking - TRACKING PEOPLE")</f>
        <v>Ethical Hacking - TRACKING PEOPLE</v>
      </c>
      <c r="F123" s="140" t="str">
        <f>IFERROR(__xludf.DUMMYFUNCTION("""COMPUTED_VALUE"""),"Ivan N. Gonçalves")</f>
        <v>Ivan N. Gonçalves</v>
      </c>
      <c r="G123" t="str">
        <f>IFERROR(__xludf.DUMMYFUNCTION("""COMPUTED_VALUE"""),"Below Quality Standards- 3 Flags")</f>
        <v>Below Quality Standards- 3 Flags</v>
      </c>
      <c r="H123" t="str">
        <f>IFERROR(__xludf.DUMMYFUNCTION("""COMPUTED_VALUE"""),"Development")</f>
        <v>Development</v>
      </c>
      <c r="I123" s="142" t="str">
        <f>IFERROR(__xludf.DUMMYFUNCTION("""COMPUTED_VALUE"""),"Web Development")</f>
        <v>Web Development</v>
      </c>
      <c r="K123" s="140" t="str">
        <f>IFERROR(__xludf.DUMMYFUNCTION("""COMPUTED_VALUE"""),"")</f>
        <v/>
      </c>
      <c r="M123" s="140" t="str">
        <f>IFERROR(__xludf.DUMMYFUNCTION("""COMPUTED_VALUE"""),"")</f>
        <v/>
      </c>
      <c r="N123" s="140" t="str">
        <f>IFERROR(__xludf.DUMMYFUNCTION("""COMPUTED_VALUE"""),"No Alternatives in Collection- 8/03/2020")</f>
        <v>No Alternatives in Collection- 8/03/2020</v>
      </c>
    </row>
    <row r="124">
      <c r="A124" s="141">
        <f>IFERROR(__xludf.DUMMYFUNCTION("""COMPUTED_VALUE"""),44165.0)</f>
        <v>44165</v>
      </c>
      <c r="B124" s="140">
        <f>IFERROR(__xludf.DUMMYFUNCTION("""COMPUTED_VALUE"""),902674.0)</f>
        <v>902674</v>
      </c>
      <c r="C124" s="140" t="str">
        <f>IFERROR(__xludf.DUMMYFUNCTION("""COMPUTED_VALUE"""),"PT")</f>
        <v>PT</v>
      </c>
      <c r="D124" s="140" t="str">
        <f>IFERROR(__xludf.DUMMYFUNCTION("""COMPUTED_VALUE"""),"Aprenda Inglês com Conversas: Comunique-se Com Confiança!")</f>
        <v>Aprenda Inglês com Conversas: Comunique-se Com Confiança!</v>
      </c>
      <c r="E124" t="str">
        <f>IFERROR(__xludf.DUMMYFUNCTION("""COMPUTED_VALUE"""),"Learn English with Conversation: Communicate With Confidence!")</f>
        <v>Learn English with Conversation: Communicate With Confidence!</v>
      </c>
      <c r="F124" s="140" t="str">
        <f>IFERROR(__xludf.DUMMYFUNCTION("""COMPUTED_VALUE"""),"Gabriel Silva")</f>
        <v>Gabriel Silva</v>
      </c>
      <c r="G124" t="str">
        <f>IFERROR(__xludf.DUMMYFUNCTION("""COMPUTED_VALUE"""),"Below Quality Standards- 3 Flags")</f>
        <v>Below Quality Standards- 3 Flags</v>
      </c>
      <c r="H124" t="str">
        <f>IFERROR(__xludf.DUMMYFUNCTION("""COMPUTED_VALUE"""),"Design")</f>
        <v>Design</v>
      </c>
      <c r="I124" s="142" t="str">
        <f>IFERROR(__xludf.DUMMYFUNCTION("""COMPUTED_VALUE"""),"Web Design")</f>
        <v>Web Design</v>
      </c>
      <c r="J124" s="140">
        <f>IFERROR(__xludf.DUMMYFUNCTION("""COMPUTED_VALUE"""),983670.0)</f>
        <v>983670</v>
      </c>
      <c r="K124" s="140" t="str">
        <f>IFERROR(__xludf.DUMMYFUNCTION("""COMPUTED_VALUE"""),"")</f>
        <v/>
      </c>
      <c r="M124" s="140" t="str">
        <f>IFERROR(__xludf.DUMMYFUNCTION("""COMPUTED_VALUE"""),"")</f>
        <v/>
      </c>
    </row>
    <row r="125">
      <c r="A125" s="141">
        <f>IFERROR(__xludf.DUMMYFUNCTION("""COMPUTED_VALUE"""),44165.0)</f>
        <v>44165</v>
      </c>
      <c r="B125" s="140">
        <f>IFERROR(__xludf.DUMMYFUNCTION("""COMPUTED_VALUE"""),1321874.0)</f>
        <v>1321874</v>
      </c>
      <c r="C125" s="140" t="str">
        <f>IFERROR(__xludf.DUMMYFUNCTION("""COMPUTED_VALUE"""),"ES")</f>
        <v>ES</v>
      </c>
      <c r="D125" s="140" t="str">
        <f>IFERROR(__xludf.DUMMYFUNCTION("""COMPUTED_VALUE"""),"Curso de Solidworks 2017 (CURSO DESACTUALIZADO)")</f>
        <v>Curso de Solidworks 2017 (CURSO DESACTUALIZADO)</v>
      </c>
      <c r="E125" t="str">
        <f>IFERROR(__xludf.DUMMYFUNCTION("""COMPUTED_VALUE"""),"Course Solidworks 2017 (COURSE outdated)")</f>
        <v>Course Solidworks 2017 (COURSE outdated)</v>
      </c>
      <c r="F125" s="140" t="str">
        <f>IFERROR(__xludf.DUMMYFUNCTION("""COMPUTED_VALUE"""),"Prof. Diego Armando Gaona Ramírez.")</f>
        <v>Prof. Diego Armando Gaona Ramírez.</v>
      </c>
      <c r="G125" t="str">
        <f>IFERROR(__xludf.DUMMYFUNCTION("""COMPUTED_VALUE"""),"Instructor Request- Opted Out")</f>
        <v>Instructor Request- Opted Out</v>
      </c>
      <c r="H125" t="str">
        <f>IFERROR(__xludf.DUMMYFUNCTION("""COMPUTED_VALUE"""),"Development")</f>
        <v>Development</v>
      </c>
      <c r="I125" s="142" t="str">
        <f>IFERROR(__xludf.DUMMYFUNCTION("""COMPUTED_VALUE"""),"Database Design &amp; Development")</f>
        <v>Database Design &amp; Development</v>
      </c>
      <c r="J125" s="140">
        <f>IFERROR(__xludf.DUMMYFUNCTION("""COMPUTED_VALUE"""),1505418.0)</f>
        <v>1505418</v>
      </c>
      <c r="K125" s="140" t="str">
        <f>IFERROR(__xludf.DUMMYFUNCTION("""COMPUTED_VALUE"""),"Curso de SolidWorks desde Cero y Completo")</f>
        <v>Curso de SolidWorks desde Cero y Completo</v>
      </c>
      <c r="M125" s="140" t="str">
        <f>IFERROR(__xludf.DUMMYFUNCTION("""COMPUTED_VALUE"""),"")</f>
        <v/>
      </c>
    </row>
    <row r="126">
      <c r="A126" s="141">
        <f>IFERROR(__xludf.DUMMYFUNCTION("""COMPUTED_VALUE"""),44165.0)</f>
        <v>44165</v>
      </c>
      <c r="B126" s="140">
        <f>IFERROR(__xludf.DUMMYFUNCTION("""COMPUTED_VALUE"""),1755064.0)</f>
        <v>1755064</v>
      </c>
      <c r="C126" s="140" t="str">
        <f>IFERROR(__xludf.DUMMYFUNCTION("""COMPUTED_VALUE"""),"PT")</f>
        <v>PT</v>
      </c>
      <c r="D126" s="140" t="str">
        <f>IFERROR(__xludf.DUMMYFUNCTION("""COMPUTED_VALUE"""),"Guia para a Certificação DBA Oracle / Oracle DBA Cert. Guide")</f>
        <v>Guia para a Certificação DBA Oracle / Oracle DBA Cert. Guide</v>
      </c>
      <c r="E126" t="str">
        <f>IFERROR(__xludf.DUMMYFUNCTION("""COMPUTED_VALUE"""),"Guide to DBA Certification Oracle / Oracle DBA Cert. guide")</f>
        <v>Guide to DBA Certification Oracle / Oracle DBA Cert. guide</v>
      </c>
      <c r="F126" s="140" t="str">
        <f>IFERROR(__xludf.DUMMYFUNCTION("""COMPUTED_VALUE"""),"Andrade Bueno Treinamentos")</f>
        <v>Andrade Bueno Treinamentos</v>
      </c>
      <c r="G126" t="str">
        <f>IFERROR(__xludf.DUMMYFUNCTION("""COMPUTED_VALUE"""),"Instructor Request- Opted Out")</f>
        <v>Instructor Request- Opted Out</v>
      </c>
      <c r="H126" t="str">
        <f>IFERROR(__xludf.DUMMYFUNCTION("""COMPUTED_VALUE"""),"Leadership &amp; Management")</f>
        <v>Leadership &amp; Management</v>
      </c>
      <c r="I126" s="142" t="str">
        <f>IFERROR(__xludf.DUMMYFUNCTION("""COMPUTED_VALUE"""),"Management")</f>
        <v>Management</v>
      </c>
      <c r="K126" s="140" t="str">
        <f>IFERROR(__xludf.DUMMYFUNCTION("""COMPUTED_VALUE"""),"")</f>
        <v/>
      </c>
      <c r="M126" s="140" t="str">
        <f>IFERROR(__xludf.DUMMYFUNCTION("""COMPUTED_VALUE"""),"")</f>
        <v/>
      </c>
      <c r="N126" s="140" t="str">
        <f>IFERROR(__xludf.DUMMYFUNCTION("""COMPUTED_VALUE"""),"No Alternatives in Collection- 8/03/2020")</f>
        <v>No Alternatives in Collection- 8/03/2020</v>
      </c>
    </row>
    <row r="127">
      <c r="A127" s="141">
        <f>IFERROR(__xludf.DUMMYFUNCTION("""COMPUTED_VALUE"""),44165.0)</f>
        <v>44165</v>
      </c>
      <c r="B127" s="140">
        <f>IFERROR(__xludf.DUMMYFUNCTION("""COMPUTED_VALUE"""),1356238.0)</f>
        <v>1356238</v>
      </c>
      <c r="C127" s="140" t="str">
        <f>IFERROR(__xludf.DUMMYFUNCTION("""COMPUTED_VALUE"""),"JP")</f>
        <v>JP</v>
      </c>
      <c r="D127" s="140" t="str">
        <f>IFERROR(__xludf.DUMMYFUNCTION("""COMPUTED_VALUE"""),"【キカガク流】現場で使えるChainerによるディープラーニング入門")</f>
        <v>【キカガク流】現場で使えるChainerによるディープラーニング入門</v>
      </c>
      <c r="E127" t="str">
        <f>IFERROR(__xludf.DUMMYFUNCTION("""COMPUTED_VALUE"""),"Chainer deep learning Introduction to that can be used in [Kikagaku flow] site")</f>
        <v>Chainer deep learning Introduction to that can be used in [Kikagaku flow] site</v>
      </c>
      <c r="F127" s="140" t="str">
        <f>IFERROR(__xludf.DUMMYFUNCTION("""COMPUTED_VALUE"""),"今西 航平")</f>
        <v>今西 航平</v>
      </c>
      <c r="G127" t="str">
        <f>IFERROR(__xludf.DUMMYFUNCTION("""COMPUTED_VALUE"""),"Instructor Request- Outdated")</f>
        <v>Instructor Request- Outdated</v>
      </c>
      <c r="H127" t="str">
        <f>IFERROR(__xludf.DUMMYFUNCTION("""COMPUTED_VALUE"""),"IT Operations")</f>
        <v>IT Operations</v>
      </c>
      <c r="I127" s="142" t="str">
        <f>IFERROR(__xludf.DUMMYFUNCTION("""COMPUTED_VALUE"""),"IT Certifications")</f>
        <v>IT Certifications</v>
      </c>
      <c r="K127" s="140" t="str">
        <f>IFERROR(__xludf.DUMMYFUNCTION("""COMPUTED_VALUE"""),"")</f>
        <v/>
      </c>
      <c r="M127" s="140" t="str">
        <f>IFERROR(__xludf.DUMMYFUNCTION("""COMPUTED_VALUE"""),"")</f>
        <v/>
      </c>
      <c r="N127" s="140" t="str">
        <f>IFERROR(__xludf.DUMMYFUNCTION("""COMPUTED_VALUE"""),"chainer is no longer supported. 
https://preferred.jp/en/news/pr20191205/")</f>
        <v>chainer is no longer supported. 
https://preferred.jp/en/news/pr20191205/</v>
      </c>
    </row>
    <row r="128">
      <c r="A128" s="141">
        <f>IFERROR(__xludf.DUMMYFUNCTION("""COMPUTED_VALUE"""),44165.0)</f>
        <v>44165</v>
      </c>
      <c r="B128" s="140">
        <f>IFERROR(__xludf.DUMMYFUNCTION("""COMPUTED_VALUE"""),1440260.0)</f>
        <v>1440260</v>
      </c>
      <c r="C128" s="140" t="str">
        <f>IFERROR(__xludf.DUMMYFUNCTION("""COMPUTED_VALUE"""),"PT")</f>
        <v>PT</v>
      </c>
      <c r="D128" s="140" t="str">
        <f>IFERROR(__xludf.DUMMYFUNCTION("""COMPUTED_VALUE"""),"Formação em Robótica Educacional (Com kits Openrobotics)")</f>
        <v>Formação em Robótica Educacional (Com kits Openrobotics)</v>
      </c>
      <c r="E128" t="str">
        <f>IFERROR(__xludf.DUMMYFUNCTION("""COMPUTED_VALUE"""),"Training educational robotics (Openrobotics With starter)")</f>
        <v>Training educational robotics (Openrobotics With starter)</v>
      </c>
      <c r="F128" s="140" t="str">
        <f>IFERROR(__xludf.DUMMYFUNCTION("""COMPUTED_VALUE"""),"Agnaldo Martins")</f>
        <v>Agnaldo Martins</v>
      </c>
      <c r="G128" t="str">
        <f>IFERROR(__xludf.DUMMYFUNCTION("""COMPUTED_VALUE"""),"Instructor Request- No Detail")</f>
        <v>Instructor Request- No Detail</v>
      </c>
      <c r="H128" t="str">
        <f>IFERROR(__xludf.DUMMYFUNCTION("""COMPUTED_VALUE"""),"Project Management &amp; Operations")</f>
        <v>Project Management &amp; Operations</v>
      </c>
      <c r="I128" s="142" t="str">
        <f>IFERROR(__xludf.DUMMYFUNCTION("""COMPUTED_VALUE"""),"Operations Management")</f>
        <v>Operations Management</v>
      </c>
      <c r="K128" s="140" t="str">
        <f>IFERROR(__xludf.DUMMYFUNCTION("""COMPUTED_VALUE"""),"")</f>
        <v/>
      </c>
      <c r="M128" s="140" t="str">
        <f>IFERROR(__xludf.DUMMYFUNCTION("""COMPUTED_VALUE"""),"")</f>
        <v/>
      </c>
      <c r="N128" s="140" t="str">
        <f>IFERROR(__xludf.DUMMYFUNCTION("""COMPUTED_VALUE"""),"No Alternatives in Collection- 8/03/2020")</f>
        <v>No Alternatives in Collection- 8/03/2020</v>
      </c>
    </row>
    <row r="129">
      <c r="A129" s="141">
        <f>IFERROR(__xludf.DUMMYFUNCTION("""COMPUTED_VALUE"""),44165.0)</f>
        <v>44165</v>
      </c>
      <c r="B129" s="140">
        <f>IFERROR(__xludf.DUMMYFUNCTION("""COMPUTED_VALUE"""),1567348.0)</f>
        <v>1567348</v>
      </c>
      <c r="C129" s="140" t="str">
        <f>IFERROR(__xludf.DUMMYFUNCTION("""COMPUTED_VALUE"""),"FR")</f>
        <v>FR</v>
      </c>
      <c r="D129" s="140" t="str">
        <f>IFERROR(__xludf.DUMMYFUNCTION("""COMPUTED_VALUE"""),"Unreal Engine 4 : Le Guide Complet")</f>
        <v>Unreal Engine 4 : Le Guide Complet</v>
      </c>
      <c r="E129" t="str">
        <f>IFERROR(__xludf.DUMMYFUNCTION("""COMPUTED_VALUE"""),"Unreal Engine 4: The Complet Guide")</f>
        <v>Unreal Engine 4: The Complet Guide</v>
      </c>
      <c r="F129" s="140" t="str">
        <f>IFERROR(__xludf.DUMMYFUNCTION("""COMPUTED_VALUE"""),"Michael Gerard")</f>
        <v>Michael Gerard</v>
      </c>
      <c r="G129" t="str">
        <f>IFERROR(__xludf.DUMMYFUNCTION("""COMPUTED_VALUE"""),"Instructor Request- Outdated")</f>
        <v>Instructor Request- Outdated</v>
      </c>
      <c r="H129" t="str">
        <f>IFERROR(__xludf.DUMMYFUNCTION("""COMPUTED_VALUE"""),"Leadership &amp; Management")</f>
        <v>Leadership &amp; Management</v>
      </c>
      <c r="I129" s="142" t="str">
        <f>IFERROR(__xludf.DUMMYFUNCTION("""COMPUTED_VALUE"""),"Leadership")</f>
        <v>Leadership</v>
      </c>
      <c r="J129" s="140">
        <f>IFERROR(__xludf.DUMMYFUNCTION("""COMPUTED_VALUE"""),3380600.0)</f>
        <v>3380600</v>
      </c>
      <c r="K129" s="140" t="str">
        <f>IFERROR(__xludf.DUMMYFUNCTION("""COMPUTED_VALUE"""),"Unreal Engine 4 : Le Guide Complet (2020)")</f>
        <v>Unreal Engine 4 : Le Guide Complet (2020)</v>
      </c>
      <c r="M129" s="140" t="str">
        <f>IFERROR(__xludf.DUMMYFUNCTION("""COMPUTED_VALUE"""),"")</f>
        <v/>
      </c>
    </row>
    <row r="130">
      <c r="A130" s="141">
        <f>IFERROR(__xludf.DUMMYFUNCTION("""COMPUTED_VALUE"""),44160.0)</f>
        <v>44160</v>
      </c>
      <c r="B130" s="140">
        <f>IFERROR(__xludf.DUMMYFUNCTION("""COMPUTED_VALUE"""),2585816.0)</f>
        <v>2585816</v>
      </c>
      <c r="C130" s="140" t="str">
        <f>IFERROR(__xludf.DUMMYFUNCTION("""COMPUTED_VALUE"""),"EN")</f>
        <v>EN</v>
      </c>
      <c r="D130" s="140" t="str">
        <f>IFERROR(__xludf.DUMMYFUNCTION("""COMPUTED_VALUE"""),"ServiceNow Certified System Administrator Practice Exam 2020")</f>
        <v>ServiceNow Certified System Administrator Practice Exam 2020</v>
      </c>
      <c r="F130" s="140" t="str">
        <f>IFERROR(__xludf.DUMMYFUNCTION("""COMPUTED_VALUE"""),"Catalin Popa")</f>
        <v>Catalin Popa</v>
      </c>
      <c r="G130" t="str">
        <f>IFERROR(__xludf.DUMMYFUNCTION("""COMPUTED_VALUE"""),"Instructor Practices")</f>
        <v>Instructor Practices</v>
      </c>
      <c r="H130" t="str">
        <f>IFERROR(__xludf.DUMMYFUNCTION("""COMPUTED_VALUE"""),"IT Operations")</f>
        <v>IT Operations</v>
      </c>
      <c r="I130" s="142" t="str">
        <f>IFERROR(__xludf.DUMMYFUNCTION("""COMPUTED_VALUE"""),"IT Certifications")</f>
        <v>IT Certifications</v>
      </c>
      <c r="J130" s="140">
        <f>IFERROR(__xludf.DUMMYFUNCTION("""COMPUTED_VALUE"""),1480108.0)</f>
        <v>1480108</v>
      </c>
      <c r="K130" s="140" t="str">
        <f>IFERROR(__xludf.DUMMYFUNCTION("""COMPUTED_VALUE"""),"The Complete ServiceNow System Administrator Course")</f>
        <v>The Complete ServiceNow System Administrator Course</v>
      </c>
      <c r="M130" s="140" t="str">
        <f>IFERROR(__xludf.DUMMYFUNCTION("""COMPUTED_VALUE"""),"")</f>
        <v/>
      </c>
    </row>
    <row r="131">
      <c r="A131" s="141">
        <f>IFERROR(__xludf.DUMMYFUNCTION("""COMPUTED_VALUE"""),44160.0)</f>
        <v>44160</v>
      </c>
      <c r="B131" s="140">
        <f>IFERROR(__xludf.DUMMYFUNCTION("""COMPUTED_VALUE"""),2619288.0)</f>
        <v>2619288</v>
      </c>
      <c r="C131" s="140" t="str">
        <f>IFERROR(__xludf.DUMMYFUNCTION("""COMPUTED_VALUE"""),"EN")</f>
        <v>EN</v>
      </c>
      <c r="D131" s="140" t="str">
        <f>IFERROR(__xludf.DUMMYFUNCTION("""COMPUTED_VALUE"""),"ServiceNow System Administrator from 0 to Hero")</f>
        <v>ServiceNow System Administrator from 0 to Hero</v>
      </c>
      <c r="F131" s="140" t="str">
        <f>IFERROR(__xludf.DUMMYFUNCTION("""COMPUTED_VALUE"""),"Catalin Popa")</f>
        <v>Catalin Popa</v>
      </c>
      <c r="G131" t="str">
        <f>IFERROR(__xludf.DUMMYFUNCTION("""COMPUTED_VALUE"""),"Instructor Practices")</f>
        <v>Instructor Practices</v>
      </c>
      <c r="H131" t="str">
        <f>IFERROR(__xludf.DUMMYFUNCTION("""COMPUTED_VALUE"""),"IT Operations")</f>
        <v>IT Operations</v>
      </c>
      <c r="I131" s="142" t="str">
        <f>IFERROR(__xludf.DUMMYFUNCTION("""COMPUTED_VALUE"""),"IT Certifications")</f>
        <v>IT Certifications</v>
      </c>
      <c r="J131" s="140">
        <f>IFERROR(__xludf.DUMMYFUNCTION("""COMPUTED_VALUE"""),1480108.0)</f>
        <v>1480108</v>
      </c>
      <c r="K131" s="140" t="str">
        <f>IFERROR(__xludf.DUMMYFUNCTION("""COMPUTED_VALUE"""),"The Complete ServiceNow System Administrator Course")</f>
        <v>The Complete ServiceNow System Administrator Course</v>
      </c>
      <c r="M131" s="140" t="str">
        <f>IFERROR(__xludf.DUMMYFUNCTION("""COMPUTED_VALUE"""),"")</f>
        <v/>
      </c>
    </row>
    <row r="132">
      <c r="A132" s="141">
        <f>IFERROR(__xludf.DUMMYFUNCTION("""COMPUTED_VALUE"""),44160.0)</f>
        <v>44160</v>
      </c>
      <c r="B132" s="140">
        <f>IFERROR(__xludf.DUMMYFUNCTION("""COMPUTED_VALUE"""),3149586.0)</f>
        <v>3149586</v>
      </c>
      <c r="C132" s="140" t="str">
        <f>IFERROR(__xludf.DUMMYFUNCTION("""COMPUTED_VALUE"""),"EN")</f>
        <v>EN</v>
      </c>
      <c r="D132" s="140" t="str">
        <f>IFERROR(__xludf.DUMMYFUNCTION("""COMPUTED_VALUE"""),"ServiceNow Certified Application Developer Practice Exam")</f>
        <v>ServiceNow Certified Application Developer Practice Exam</v>
      </c>
      <c r="F132" s="140" t="str">
        <f>IFERROR(__xludf.DUMMYFUNCTION("""COMPUTED_VALUE"""),"Catalin Popa")</f>
        <v>Catalin Popa</v>
      </c>
      <c r="G132" t="str">
        <f>IFERROR(__xludf.DUMMYFUNCTION("""COMPUTED_VALUE"""),"Instructor Practices")</f>
        <v>Instructor Practices</v>
      </c>
      <c r="H132" t="str">
        <f>IFERROR(__xludf.DUMMYFUNCTION("""COMPUTED_VALUE"""),"IT Operations")</f>
        <v>IT Operations</v>
      </c>
      <c r="I132" s="142" t="str">
        <f>IFERROR(__xludf.DUMMYFUNCTION("""COMPUTED_VALUE"""),"IT Certifications")</f>
        <v>IT Certifications</v>
      </c>
      <c r="J132" s="140">
        <f>IFERROR(__xludf.DUMMYFUNCTION("""COMPUTED_VALUE"""),756266.0)</f>
        <v>756266</v>
      </c>
      <c r="K132" s="140" t="str">
        <f>IFERROR(__xludf.DUMMYFUNCTION("""COMPUTED_VALUE"""),"The Complete ServiceNow Developer Course")</f>
        <v>The Complete ServiceNow Developer Course</v>
      </c>
      <c r="M132" s="140" t="str">
        <f>IFERROR(__xludf.DUMMYFUNCTION("""COMPUTED_VALUE"""),"")</f>
        <v/>
      </c>
    </row>
    <row r="133">
      <c r="A133" s="141">
        <f>IFERROR(__xludf.DUMMYFUNCTION("""COMPUTED_VALUE"""),44160.0)</f>
        <v>44160</v>
      </c>
      <c r="B133" s="140">
        <f>IFERROR(__xludf.DUMMYFUNCTION("""COMPUTED_VALUE"""),3023210.0)</f>
        <v>3023210</v>
      </c>
      <c r="C133" s="140" t="str">
        <f>IFERROR(__xludf.DUMMYFUNCTION("""COMPUTED_VALUE"""),"EN")</f>
        <v>EN</v>
      </c>
      <c r="D133" s="140" t="str">
        <f>IFERROR(__xludf.DUMMYFUNCTION("""COMPUTED_VALUE"""),"SAP ERP: Become an SAP S/4 HANA Certified Consultant")</f>
        <v>SAP ERP: Become an SAP S/4 HANA Certified Consultant</v>
      </c>
      <c r="F133" t="str">
        <f>IFERROR(__xludf.DUMMYFUNCTION("""COMPUTED_VALUE"""),"George Boyle")</f>
        <v>George Boyle</v>
      </c>
      <c r="G133" t="str">
        <f>IFERROR(__xludf.DUMMYFUNCTION("""COMPUTED_VALUE"""),"Instructor Practices")</f>
        <v>Instructor Practices</v>
      </c>
      <c r="H133" t="str">
        <f>IFERROR(__xludf.DUMMYFUNCTION("""COMPUTED_VALUE"""),"Finance &amp; Accounting")</f>
        <v>Finance &amp; Accounting</v>
      </c>
      <c r="I133" s="142" t="str">
        <f>IFERROR(__xludf.DUMMYFUNCTION("""COMPUTED_VALUE"""),"Accounting Software")</f>
        <v>Accounting Software</v>
      </c>
      <c r="K133" s="140" t="str">
        <f>IFERROR(__xludf.DUMMYFUNCTION("""COMPUTED_VALUE"""),"")</f>
        <v/>
      </c>
      <c r="M133" s="140" t="str">
        <f>IFERROR(__xludf.DUMMYFUNCTION("""COMPUTED_VALUE"""),"")</f>
        <v/>
      </c>
    </row>
    <row r="134">
      <c r="A134" s="141">
        <f>IFERROR(__xludf.DUMMYFUNCTION("""COMPUTED_VALUE"""),44160.0)</f>
        <v>44160</v>
      </c>
      <c r="B134" s="140">
        <f>IFERROR(__xludf.DUMMYFUNCTION("""COMPUTED_VALUE"""),3090870.0)</f>
        <v>3090870</v>
      </c>
      <c r="C134" s="140" t="str">
        <f>IFERROR(__xludf.DUMMYFUNCTION("""COMPUTED_VALUE"""),"EN")</f>
        <v>EN</v>
      </c>
      <c r="D134" s="140" t="str">
        <f>IFERROR(__xludf.DUMMYFUNCTION("""COMPUTED_VALUE"""),"Management Consulting Essential Training")</f>
        <v>Management Consulting Essential Training</v>
      </c>
      <c r="F134" t="str">
        <f>IFERROR(__xludf.DUMMYFUNCTION("""COMPUTED_VALUE"""),"John Burress")</f>
        <v>John Burress</v>
      </c>
      <c r="G134" t="str">
        <f>IFERROR(__xludf.DUMMYFUNCTION("""COMPUTED_VALUE"""),"Instructor Practices")</f>
        <v>Instructor Practices</v>
      </c>
      <c r="H134" t="str">
        <f>IFERROR(__xludf.DUMMYFUNCTION("""COMPUTED_VALUE"""),"Leadership &amp; Management")</f>
        <v>Leadership &amp; Management</v>
      </c>
      <c r="I134" s="142" t="str">
        <f>IFERROR(__xludf.DUMMYFUNCTION("""COMPUTED_VALUE"""),"Strategy")</f>
        <v>Strategy</v>
      </c>
      <c r="J134" s="140">
        <f>IFERROR(__xludf.DUMMYFUNCTION("""COMPUTED_VALUE"""),1647046.0)</f>
        <v>1647046</v>
      </c>
      <c r="K134" s="140" t="str">
        <f>IFERROR(__xludf.DUMMYFUNCTION("""COMPUTED_VALUE"""),"Strategy for Management Consultants &amp; Business Analysts")</f>
        <v>Strategy for Management Consultants &amp; Business Analysts</v>
      </c>
      <c r="L134" s="140">
        <f>IFERROR(__xludf.DUMMYFUNCTION("""COMPUTED_VALUE"""),2413388.0)</f>
        <v>2413388</v>
      </c>
      <c r="M134" s="140" t="str">
        <f>IFERROR(__xludf.DUMMYFUNCTION("""COMPUTED_VALUE"""),"Management Consulting Approach to Problem Solving")</f>
        <v>Management Consulting Approach to Problem Solving</v>
      </c>
    </row>
    <row r="135">
      <c r="A135" s="141">
        <f>IFERROR(__xludf.DUMMYFUNCTION("""COMPUTED_VALUE"""),44160.0)</f>
        <v>44160</v>
      </c>
      <c r="B135" s="140">
        <f>IFERROR(__xludf.DUMMYFUNCTION("""COMPUTED_VALUE"""),3116626.0)</f>
        <v>3116626</v>
      </c>
      <c r="C135" s="140" t="str">
        <f>IFERROR(__xludf.DUMMYFUNCTION("""COMPUTED_VALUE"""),"EN")</f>
        <v>EN</v>
      </c>
      <c r="D135" s="140" t="str">
        <f>IFERROR(__xludf.DUMMYFUNCTION("""COMPUTED_VALUE"""),"Management Consulting Skills Mastery")</f>
        <v>Management Consulting Skills Mastery</v>
      </c>
      <c r="F135" t="str">
        <f>IFERROR(__xludf.DUMMYFUNCTION("""COMPUTED_VALUE"""),"John Burress")</f>
        <v>John Burress</v>
      </c>
      <c r="G135" t="str">
        <f>IFERROR(__xludf.DUMMYFUNCTION("""COMPUTED_VALUE"""),"Instructor Practices")</f>
        <v>Instructor Practices</v>
      </c>
      <c r="H135" t="str">
        <f>IFERROR(__xludf.DUMMYFUNCTION("""COMPUTED_VALUE"""),"Project Management &amp; Operations")</f>
        <v>Project Management &amp; Operations</v>
      </c>
      <c r="I135" s="142" t="str">
        <f>IFERROR(__xludf.DUMMYFUNCTION("""COMPUTED_VALUE"""),"Operations Management")</f>
        <v>Operations Management</v>
      </c>
      <c r="J135" s="140">
        <f>IFERROR(__xludf.DUMMYFUNCTION("""COMPUTED_VALUE"""),1647046.0)</f>
        <v>1647046</v>
      </c>
      <c r="K135" s="140" t="str">
        <f>IFERROR(__xludf.DUMMYFUNCTION("""COMPUTED_VALUE"""),"Strategy for Management Consultants &amp; Business Analysts")</f>
        <v>Strategy for Management Consultants &amp; Business Analysts</v>
      </c>
      <c r="L135" s="140">
        <f>IFERROR(__xludf.DUMMYFUNCTION("""COMPUTED_VALUE"""),2413388.0)</f>
        <v>2413388</v>
      </c>
      <c r="M135" s="140" t="str">
        <f>IFERROR(__xludf.DUMMYFUNCTION("""COMPUTED_VALUE"""),"Management Consulting Approach to Problem Solving")</f>
        <v>Management Consulting Approach to Problem Solving</v>
      </c>
    </row>
    <row r="136">
      <c r="A136" s="141">
        <f>IFERROR(__xludf.DUMMYFUNCTION("""COMPUTED_VALUE"""),44155.0)</f>
        <v>44155</v>
      </c>
      <c r="B136" s="140">
        <f>IFERROR(__xludf.DUMMYFUNCTION("""COMPUTED_VALUE"""),2768620.0)</f>
        <v>2768620</v>
      </c>
      <c r="C136" s="140" t="str">
        <f>IFERROR(__xludf.DUMMYFUNCTION("""COMPUTED_VALUE"""),"ZH")</f>
        <v>ZH</v>
      </c>
      <c r="D136" s="140" t="str">
        <f>IFERROR(__xludf.DUMMYFUNCTION("""COMPUTED_VALUE"""),"顔認証システムを作ってみよう！画像から個人を特定 - 自宅で再現する本格派顔認識システム")</f>
        <v>顔認証システムを作ってみよう！画像から個人を特定 - 自宅で再現する本格派顔認識システム</v>
      </c>
      <c r="E136" t="str">
        <f>IFERROR(__xludf.DUMMYFUNCTION("""COMPUTED_VALUE"""),"Let's make a face authentication system! Identifying individuals from images-A full-scale face recognition system that reproduces at home")</f>
        <v>Let's make a face authentication system! Identifying individuals from images-A full-scale face recognition system that reproduces at home</v>
      </c>
      <c r="F136" t="str">
        <f>IFERROR(__xludf.DUMMYFUNCTION("""COMPUTED_VALUE"""),"内山 充康")</f>
        <v>内山 充康</v>
      </c>
      <c r="G136" t="str">
        <f>IFERROR(__xludf.DUMMYFUNCTION("""COMPUTED_VALUE"""),"Chinese Course")</f>
        <v>Chinese Course</v>
      </c>
      <c r="H136" t="str">
        <f>IFERROR(__xludf.DUMMYFUNCTION("""COMPUTED_VALUE"""),"Data Science")</f>
        <v>Data Science</v>
      </c>
      <c r="I136" s="142" t="str">
        <f>IFERROR(__xludf.DUMMYFUNCTION("""COMPUTED_VALUE"""),"Machine Learning")</f>
        <v>Machine Learning</v>
      </c>
      <c r="K136" s="140" t="str">
        <f>IFERROR(__xludf.DUMMYFUNCTION("""COMPUTED_VALUE"""),"")</f>
        <v/>
      </c>
      <c r="M136" s="140" t="str">
        <f>IFERROR(__xludf.DUMMYFUNCTION("""COMPUTED_VALUE"""),"")</f>
        <v/>
      </c>
      <c r="N136" s="140" t="str">
        <f>IFERROR(__xludf.DUMMYFUNCTION("""COMPUTED_VALUE"""),"No Alternative Needed Here")</f>
        <v>No Alternative Needed Here</v>
      </c>
    </row>
    <row r="137">
      <c r="A137" s="141">
        <f>IFERROR(__xludf.DUMMYFUNCTION("""COMPUTED_VALUE"""),44153.0)</f>
        <v>44153</v>
      </c>
      <c r="B137" s="140">
        <f>IFERROR(__xludf.DUMMYFUNCTION("""COMPUTED_VALUE"""),2669034.0)</f>
        <v>2669034</v>
      </c>
      <c r="C137" s="140" t="str">
        <f>IFERROR(__xludf.DUMMYFUNCTION("""COMPUTED_VALUE"""),"EN")</f>
        <v>EN</v>
      </c>
      <c r="D137" s="140" t="str">
        <f>IFERROR(__xludf.DUMMYFUNCTION("""COMPUTED_VALUE"""),"Agile Leadership™ Exam Prep 2020 - Pass on your FIRST try!")</f>
        <v>Agile Leadership™ Exam Prep 2020 - Pass on your FIRST try!</v>
      </c>
      <c r="F137" t="str">
        <f>IFERROR(__xludf.DUMMYFUNCTION("""COMPUTED_VALUE"""),"Hiro Takashimya")</f>
        <v>Hiro Takashimya</v>
      </c>
      <c r="G137" t="str">
        <f>IFERROR(__xludf.DUMMYFUNCTION("""COMPUTED_VALUE"""),"Instructor Practices")</f>
        <v>Instructor Practices</v>
      </c>
      <c r="H137" s="142" t="str">
        <f>IFERROR(__xludf.DUMMYFUNCTION("""COMPUTED_VALUE"""),"Project Management &amp; Operations")</f>
        <v>Project Management &amp; Operations</v>
      </c>
      <c r="I137" s="142" t="str">
        <f>IFERROR(__xludf.DUMMYFUNCTION("""COMPUTED_VALUE"""),"Project Management Certifications")</f>
        <v>Project Management Certifications</v>
      </c>
      <c r="K137" s="140" t="str">
        <f>IFERROR(__xludf.DUMMYFUNCTION("""COMPUTED_VALUE"""),"")</f>
        <v/>
      </c>
      <c r="M137" s="140" t="str">
        <f>IFERROR(__xludf.DUMMYFUNCTION("""COMPUTED_VALUE"""),"")</f>
        <v/>
      </c>
    </row>
    <row r="138">
      <c r="A138" s="141">
        <f>IFERROR(__xludf.DUMMYFUNCTION("""COMPUTED_VALUE"""),44153.0)</f>
        <v>44153</v>
      </c>
      <c r="B138" s="140">
        <f>IFERROR(__xludf.DUMMYFUNCTION("""COMPUTED_VALUE"""),1279958.0)</f>
        <v>1279958</v>
      </c>
      <c r="C138" s="140" t="str">
        <f>IFERROR(__xludf.DUMMYFUNCTION("""COMPUTED_VALUE"""),"EN")</f>
        <v>EN</v>
      </c>
      <c r="D138" s="140" t="str">
        <f>IFERROR(__xludf.DUMMYFUNCTION("""COMPUTED_VALUE"""),"Fundamentals of Logic &amp; Reasoning Skills")</f>
        <v>Fundamentals of Logic &amp; Reasoning Skills</v>
      </c>
      <c r="F138" t="str">
        <f>IFERROR(__xludf.DUMMYFUNCTION("""COMPUTED_VALUE"""),"Examizy Media")</f>
        <v>Examizy Media</v>
      </c>
      <c r="G138" t="str">
        <f>IFERROR(__xludf.DUMMYFUNCTION("""COMPUTED_VALUE"""),"Instructor Practices")</f>
        <v>Instructor Practices</v>
      </c>
      <c r="H138" s="142" t="str">
        <f>IFERROR(__xludf.DUMMYFUNCTION("""COMPUTED_VALUE"""),"Leadership &amp; Management")</f>
        <v>Leadership &amp; Management</v>
      </c>
      <c r="I138" s="142" t="str">
        <f>IFERROR(__xludf.DUMMYFUNCTION("""COMPUTED_VALUE"""),"Leadership")</f>
        <v>Leadership</v>
      </c>
      <c r="K138" s="140" t="str">
        <f>IFERROR(__xludf.DUMMYFUNCTION("""COMPUTED_VALUE"""),"")</f>
        <v/>
      </c>
      <c r="M138" s="140" t="str">
        <f>IFERROR(__xludf.DUMMYFUNCTION("""COMPUTED_VALUE"""),"")</f>
        <v/>
      </c>
    </row>
    <row r="139">
      <c r="A139" s="141">
        <f>IFERROR(__xludf.DUMMYFUNCTION("""COMPUTED_VALUE"""),44141.0)</f>
        <v>44141</v>
      </c>
      <c r="B139" s="140">
        <f>IFERROR(__xludf.DUMMYFUNCTION("""COMPUTED_VALUE"""),1384448.0)</f>
        <v>1384448</v>
      </c>
      <c r="C139" s="140" t="str">
        <f>IFERROR(__xludf.DUMMYFUNCTION("""COMPUTED_VALUE"""),"EN")</f>
        <v>EN</v>
      </c>
      <c r="D139" t="str">
        <f>IFERROR(__xludf.DUMMYFUNCTION("""COMPUTED_VALUE"""),"Power BI Masterclass - beginners to advanced")</f>
        <v>Power BI Masterclass - beginners to advanced</v>
      </c>
      <c r="F139" t="str">
        <f>IFERROR(__xludf.DUMMYFUNCTION("""COMPUTED_VALUE"""),"Dan We")</f>
        <v>Dan We</v>
      </c>
      <c r="G139" t="str">
        <f>IFERROR(__xludf.DUMMYFUNCTION("""COMPUTED_VALUE"""),"Instructor Practices")</f>
        <v>Instructor Practices</v>
      </c>
      <c r="H139" s="142" t="str">
        <f>IFERROR(__xludf.DUMMYFUNCTION("""COMPUTED_VALUE"""),"Data Science")</f>
        <v>Data Science</v>
      </c>
      <c r="I139" s="142" t="str">
        <f>IFERROR(__xludf.DUMMYFUNCTION("""COMPUTED_VALUE"""),"Analytics")</f>
        <v>Analytics</v>
      </c>
      <c r="J139" s="140">
        <f>IFERROR(__xludf.DUMMYFUNCTION("""COMPUTED_VALUE"""),1208634.0)</f>
        <v>1208634</v>
      </c>
      <c r="K139" s="140" t="str">
        <f>IFERROR(__xludf.DUMMYFUNCTION("""COMPUTED_VALUE"""),"Microsoft Power BI - A Complete Introduction [2022 EDITION]")</f>
        <v>Microsoft Power BI - A Complete Introduction [2022 EDITION]</v>
      </c>
      <c r="L139" s="140">
        <f>IFERROR(__xludf.DUMMYFUNCTION("""COMPUTED_VALUE"""),1570206.0)</f>
        <v>1570206</v>
      </c>
      <c r="M139" s="140" t="str">
        <f>IFERROR(__xludf.DUMMYFUNCTION("""COMPUTED_VALUE"""),"Microsoft Power BI Desktop for Business Intelligence")</f>
        <v>Microsoft Power BI Desktop for Business Intelligence</v>
      </c>
    </row>
    <row r="140">
      <c r="A140" s="141">
        <f>IFERROR(__xludf.DUMMYFUNCTION("""COMPUTED_VALUE"""),44141.0)</f>
        <v>44141</v>
      </c>
      <c r="B140" s="140">
        <f>IFERROR(__xludf.DUMMYFUNCTION("""COMPUTED_VALUE"""),2606644.0)</f>
        <v>2606644</v>
      </c>
      <c r="C140" s="140" t="str">
        <f>IFERROR(__xludf.DUMMYFUNCTION("""COMPUTED_VALUE"""),"EN")</f>
        <v>EN</v>
      </c>
      <c r="D140" t="str">
        <f>IFERROR(__xludf.DUMMYFUNCTION("""COMPUTED_VALUE"""),"Power BI Masterclass - How to use CALCULATE in DAX")</f>
        <v>Power BI Masterclass - How to use CALCULATE in DAX</v>
      </c>
      <c r="F140" t="str">
        <f>IFERROR(__xludf.DUMMYFUNCTION("""COMPUTED_VALUE"""),"Dan We")</f>
        <v>Dan We</v>
      </c>
      <c r="G140" t="str">
        <f>IFERROR(__xludf.DUMMYFUNCTION("""COMPUTED_VALUE"""),"Instructor Practices")</f>
        <v>Instructor Practices</v>
      </c>
      <c r="H140" s="142" t="str">
        <f>IFERROR(__xludf.DUMMYFUNCTION("""COMPUTED_VALUE"""),"Data Science")</f>
        <v>Data Science</v>
      </c>
      <c r="I140" s="142" t="str">
        <f>IFERROR(__xludf.DUMMYFUNCTION("""COMPUTED_VALUE"""),"Analytics")</f>
        <v>Analytics</v>
      </c>
      <c r="J140" s="140">
        <f>IFERROR(__xludf.DUMMYFUNCTION("""COMPUTED_VALUE"""),1686164.0)</f>
        <v>1686164</v>
      </c>
      <c r="K140" s="140" t="str">
        <f>IFERROR(__xludf.DUMMYFUNCTION("""COMPUTED_VALUE"""),"Power BI Master Class-Data Models and DAX Formulas 2021")</f>
        <v>Power BI Master Class-Data Models and DAX Formulas 2021</v>
      </c>
      <c r="L140" s="140">
        <f>IFERROR(__xludf.DUMMYFUNCTION("""COMPUTED_VALUE"""),3123256.0)</f>
        <v>3123256</v>
      </c>
      <c r="M140" s="140" t="str">
        <f>IFERROR(__xludf.DUMMYFUNCTION("""COMPUTED_VALUE"""),"Advanced DAX for Microsoft Power BI Desktop")</f>
        <v>Advanced DAX for Microsoft Power BI Desktop</v>
      </c>
    </row>
    <row r="141">
      <c r="A141" s="141">
        <f>IFERROR(__xludf.DUMMYFUNCTION("""COMPUTED_VALUE"""),44141.0)</f>
        <v>44141</v>
      </c>
      <c r="B141" s="140">
        <f>IFERROR(__xludf.DUMMYFUNCTION("""COMPUTED_VALUE"""),1420274.0)</f>
        <v>1420274</v>
      </c>
      <c r="C141" s="140" t="str">
        <f>IFERROR(__xludf.DUMMYFUNCTION("""COMPUTED_VALUE"""),"EN")</f>
        <v>EN</v>
      </c>
      <c r="D141" t="str">
        <f>IFERROR(__xludf.DUMMYFUNCTION("""COMPUTED_VALUE"""),"Microsoft Power BI Masterclass - Expand Excellence")</f>
        <v>Microsoft Power BI Masterclass - Expand Excellence</v>
      </c>
      <c r="F141" t="str">
        <f>IFERROR(__xludf.DUMMYFUNCTION("""COMPUTED_VALUE"""),"Dan We")</f>
        <v>Dan We</v>
      </c>
      <c r="G141" t="str">
        <f>IFERROR(__xludf.DUMMYFUNCTION("""COMPUTED_VALUE"""),"Instructor Practices")</f>
        <v>Instructor Practices</v>
      </c>
      <c r="H141" s="142" t="str">
        <f>IFERROR(__xludf.DUMMYFUNCTION("""COMPUTED_VALUE"""),"Data Science")</f>
        <v>Data Science</v>
      </c>
      <c r="I141" s="142" t="str">
        <f>IFERROR(__xludf.DUMMYFUNCTION("""COMPUTED_VALUE"""),"Analytics")</f>
        <v>Analytics</v>
      </c>
      <c r="J141" s="140">
        <f>IFERROR(__xludf.DUMMYFUNCTION("""COMPUTED_VALUE"""),1007240.0)</f>
        <v>1007240</v>
      </c>
      <c r="K141" s="140" t="str">
        <f>IFERROR(__xludf.DUMMYFUNCTION("""COMPUTED_VALUE"""),"Power BI A-Z: Hands-On Power BI Training For Data Science!")</f>
        <v>Power BI A-Z: Hands-On Power BI Training For Data Science!</v>
      </c>
      <c r="L141" s="140">
        <f>IFERROR(__xludf.DUMMYFUNCTION("""COMPUTED_VALUE"""),468172.0)</f>
        <v>468172</v>
      </c>
      <c r="M141" s="140" t="str">
        <f>IFERROR(__xludf.DUMMYFUNCTION("""COMPUTED_VALUE"""),"Complete Introduction to Microsoft Power BI [2021 Edition]")</f>
        <v>Complete Introduction to Microsoft Power BI [2021 Edition]</v>
      </c>
    </row>
    <row r="142">
      <c r="A142" s="141">
        <f>IFERROR(__xludf.DUMMYFUNCTION("""COMPUTED_VALUE"""),44141.0)</f>
        <v>44141</v>
      </c>
      <c r="B142" s="140">
        <f>IFERROR(__xludf.DUMMYFUNCTION("""COMPUTED_VALUE"""),1813020.0)</f>
        <v>1813020</v>
      </c>
      <c r="C142" s="140" t="str">
        <f>IFERROR(__xludf.DUMMYFUNCTION("""COMPUTED_VALUE"""),"EN")</f>
        <v>EN</v>
      </c>
      <c r="D142" t="str">
        <f>IFERROR(__xludf.DUMMYFUNCTION("""COMPUTED_VALUE"""),"Microsoft Power BI Masterclass 7 Learn DAX, R, and Gateways")</f>
        <v>Microsoft Power BI Masterclass 7 Learn DAX, R, and Gateways</v>
      </c>
      <c r="F142" t="str">
        <f>IFERROR(__xludf.DUMMYFUNCTION("""COMPUTED_VALUE"""),"Dan We")</f>
        <v>Dan We</v>
      </c>
      <c r="G142" t="str">
        <f>IFERROR(__xludf.DUMMYFUNCTION("""COMPUTED_VALUE"""),"Instructor Practices")</f>
        <v>Instructor Practices</v>
      </c>
      <c r="H142" s="142" t="str">
        <f>IFERROR(__xludf.DUMMYFUNCTION("""COMPUTED_VALUE"""),"Data Science")</f>
        <v>Data Science</v>
      </c>
      <c r="I142" s="142" t="str">
        <f>IFERROR(__xludf.DUMMYFUNCTION("""COMPUTED_VALUE"""),"Analytics")</f>
        <v>Analytics</v>
      </c>
      <c r="J142" s="140">
        <f>IFERROR(__xludf.DUMMYFUNCTION("""COMPUTED_VALUE"""),468172.0)</f>
        <v>468172</v>
      </c>
      <c r="K142" s="140" t="str">
        <f>IFERROR(__xludf.DUMMYFUNCTION("""COMPUTED_VALUE"""),"Complete Introduction to Microsoft Power BI [2021 Edition]")</f>
        <v>Complete Introduction to Microsoft Power BI [2021 Edition]</v>
      </c>
      <c r="L142" s="140">
        <f>IFERROR(__xludf.DUMMYFUNCTION("""COMPUTED_VALUE"""),1007240.0)</f>
        <v>1007240</v>
      </c>
      <c r="M142" s="140" t="str">
        <f>IFERROR(__xludf.DUMMYFUNCTION("""COMPUTED_VALUE"""),"Power BI A-Z: Hands-On Power BI Training For Data Science!")</f>
        <v>Power BI A-Z: Hands-On Power BI Training For Data Science!</v>
      </c>
    </row>
    <row r="143">
      <c r="A143" s="141">
        <f>IFERROR(__xludf.DUMMYFUNCTION("""COMPUTED_VALUE"""),44141.0)</f>
        <v>44141</v>
      </c>
      <c r="B143" s="140">
        <f>IFERROR(__xludf.DUMMYFUNCTION("""COMPUTED_VALUE"""),2045342.0)</f>
        <v>2045342</v>
      </c>
      <c r="C143" s="140" t="str">
        <f>IFERROR(__xludf.DUMMYFUNCTION("""COMPUTED_VALUE"""),"DE")</f>
        <v>DE</v>
      </c>
      <c r="D143" t="str">
        <f>IFERROR(__xludf.DUMMYFUNCTION("""COMPUTED_VALUE"""),"Einführung in Berechnungen mit Microsoft Power BI Desktop")</f>
        <v>Einführung in Berechnungen mit Microsoft Power BI Desktop</v>
      </c>
      <c r="E143" t="str">
        <f>IFERROR(__xludf.DUMMYFUNCTION("""COMPUTED_VALUE"""),"Introduction in calculations with Microsoft Power Bi Desktop")</f>
        <v>Introduction in calculations with Microsoft Power Bi Desktop</v>
      </c>
      <c r="F143" t="str">
        <f>IFERROR(__xludf.DUMMYFUNCTION("""COMPUTED_VALUE"""),"Dan We")</f>
        <v>Dan We</v>
      </c>
      <c r="G143" t="str">
        <f>IFERROR(__xludf.DUMMYFUNCTION("""COMPUTED_VALUE"""),"Instructor Practices")</f>
        <v>Instructor Practices</v>
      </c>
      <c r="H143" s="142" t="str">
        <f>IFERROR(__xludf.DUMMYFUNCTION("""COMPUTED_VALUE"""),"Data Science")</f>
        <v>Data Science</v>
      </c>
      <c r="I143" s="142" t="str">
        <f>IFERROR(__xludf.DUMMYFUNCTION("""COMPUTED_VALUE"""),"Analytics")</f>
        <v>Analytics</v>
      </c>
      <c r="J143" s="145">
        <f>IFERROR(__xludf.DUMMYFUNCTION("""COMPUTED_VALUE"""),2872370.0)</f>
        <v>2872370</v>
      </c>
      <c r="K143" s="140" t="str">
        <f>IFERROR(__xludf.DUMMYFUNCTION("""COMPUTED_VALUE"""),"Microsoft Power BI – Die vollständige Einführung von A-Z")</f>
        <v>Microsoft Power BI – Die vollständige Einführung von A-Z</v>
      </c>
      <c r="M143" s="140" t="str">
        <f>IFERROR(__xludf.DUMMYFUNCTION("""COMPUTED_VALUE"""),"")</f>
        <v/>
      </c>
    </row>
    <row r="144">
      <c r="A144" s="141">
        <f>IFERROR(__xludf.DUMMYFUNCTION("""COMPUTED_VALUE"""),44141.0)</f>
        <v>44141</v>
      </c>
      <c r="B144" s="140">
        <f>IFERROR(__xludf.DUMMYFUNCTION("""COMPUTED_VALUE"""),2249880.0)</f>
        <v>2249880</v>
      </c>
      <c r="C144" s="140" t="str">
        <f>IFERROR(__xludf.DUMMYFUNCTION("""COMPUTED_VALUE"""),"DE")</f>
        <v>DE</v>
      </c>
      <c r="D144" t="str">
        <f>IFERROR(__xludf.DUMMYFUNCTION("""COMPUTED_VALUE"""),"Effizientes Arbeiten mit Microsoft Power BI Desktop")</f>
        <v>Effizientes Arbeiten mit Microsoft Power BI Desktop</v>
      </c>
      <c r="E144" t="str">
        <f>IFERROR(__xludf.DUMMYFUNCTION("""COMPUTED_VALUE"""),"Efficient work with Microsoft Power Bi Desktop")</f>
        <v>Efficient work with Microsoft Power Bi Desktop</v>
      </c>
      <c r="F144" t="str">
        <f>IFERROR(__xludf.DUMMYFUNCTION("""COMPUTED_VALUE"""),"Dan We")</f>
        <v>Dan We</v>
      </c>
      <c r="G144" t="str">
        <f>IFERROR(__xludf.DUMMYFUNCTION("""COMPUTED_VALUE"""),"Instructor Practices")</f>
        <v>Instructor Practices</v>
      </c>
      <c r="H144" s="142" t="str">
        <f>IFERROR(__xludf.DUMMYFUNCTION("""COMPUTED_VALUE"""),"Data Science")</f>
        <v>Data Science</v>
      </c>
      <c r="I144" s="142" t="str">
        <f>IFERROR(__xludf.DUMMYFUNCTION("""COMPUTED_VALUE"""),"Analytics")</f>
        <v>Analytics</v>
      </c>
      <c r="J144" s="145">
        <f>IFERROR(__xludf.DUMMYFUNCTION("""COMPUTED_VALUE"""),2872370.0)</f>
        <v>2872370</v>
      </c>
      <c r="K144" s="140" t="str">
        <f>IFERROR(__xludf.DUMMYFUNCTION("""COMPUTED_VALUE"""),"Microsoft Power BI – Die vollständige Einführung von A-Z")</f>
        <v>Microsoft Power BI – Die vollständige Einführung von A-Z</v>
      </c>
      <c r="M144" s="140" t="str">
        <f>IFERROR(__xludf.DUMMYFUNCTION("""COMPUTED_VALUE"""),"")</f>
        <v/>
      </c>
    </row>
    <row r="145">
      <c r="A145" s="141">
        <f>IFERROR(__xludf.DUMMYFUNCTION("""COMPUTED_VALUE"""),44141.0)</f>
        <v>44141</v>
      </c>
      <c r="B145" s="140">
        <f>IFERROR(__xludf.DUMMYFUNCTION("""COMPUTED_VALUE"""),1964086.0)</f>
        <v>1964086</v>
      </c>
      <c r="C145" s="140" t="str">
        <f>IFERROR(__xludf.DUMMYFUNCTION("""COMPUTED_VALUE"""),"DE")</f>
        <v>DE</v>
      </c>
      <c r="D145" t="str">
        <f>IFERROR(__xludf.DUMMYFUNCTION("""COMPUTED_VALUE"""),"Einführung in Microsoft Power BI Desktop")</f>
        <v>Einführung in Microsoft Power BI Desktop</v>
      </c>
      <c r="E145" t="str">
        <f>IFERROR(__xludf.DUMMYFUNCTION("""COMPUTED_VALUE"""),"Introduction to Microsoft Power Bi Desktop")</f>
        <v>Introduction to Microsoft Power Bi Desktop</v>
      </c>
      <c r="F145" t="str">
        <f>IFERROR(__xludf.DUMMYFUNCTION("""COMPUTED_VALUE"""),"Dan We")</f>
        <v>Dan We</v>
      </c>
      <c r="G145" t="str">
        <f>IFERROR(__xludf.DUMMYFUNCTION("""COMPUTED_VALUE"""),"Instructor Practices")</f>
        <v>Instructor Practices</v>
      </c>
      <c r="H145" s="142" t="str">
        <f>IFERROR(__xludf.DUMMYFUNCTION("""COMPUTED_VALUE"""),"Data Science")</f>
        <v>Data Science</v>
      </c>
      <c r="I145" s="142" t="str">
        <f>IFERROR(__xludf.DUMMYFUNCTION("""COMPUTED_VALUE"""),"Analytics")</f>
        <v>Analytics</v>
      </c>
      <c r="J145" s="145">
        <f>IFERROR(__xludf.DUMMYFUNCTION("""COMPUTED_VALUE"""),2872370.0)</f>
        <v>2872370</v>
      </c>
      <c r="K145" s="140" t="str">
        <f>IFERROR(__xludf.DUMMYFUNCTION("""COMPUTED_VALUE"""),"Microsoft Power BI – Die vollständige Einführung von A-Z")</f>
        <v>Microsoft Power BI – Die vollständige Einführung von A-Z</v>
      </c>
      <c r="M145" s="140" t="str">
        <f>IFERROR(__xludf.DUMMYFUNCTION("""COMPUTED_VALUE"""),"")</f>
        <v/>
      </c>
    </row>
    <row r="146">
      <c r="A146" s="141">
        <f>IFERROR(__xludf.DUMMYFUNCTION("""COMPUTED_VALUE"""),44140.0)</f>
        <v>44140</v>
      </c>
      <c r="B146" s="140">
        <f>IFERROR(__xludf.DUMMYFUNCTION("""COMPUTED_VALUE"""),1964086.0)</f>
        <v>1964086</v>
      </c>
      <c r="C146" s="140" t="str">
        <f>IFERROR(__xludf.DUMMYFUNCTION("""COMPUTED_VALUE"""),"EN")</f>
        <v>EN</v>
      </c>
      <c r="D146" t="str">
        <f>IFERROR(__xludf.DUMMYFUNCTION("""COMPUTED_VALUE"""),"Ultimate Mulesoft Certified Platform Architect Course - MCPA")</f>
        <v>Ultimate Mulesoft Certified Platform Architect Course - MCPA</v>
      </c>
      <c r="F146" t="str">
        <f>IFERROR(__xludf.DUMMYFUNCTION("""COMPUTED_VALUE"""),"Prasad Pokala")</f>
        <v>Prasad Pokala</v>
      </c>
      <c r="G146" t="str">
        <f>IFERROR(__xludf.DUMMYFUNCTION("""COMPUTED_VALUE"""),"Instructor Practices")</f>
        <v>Instructor Practices</v>
      </c>
      <c r="H146" s="142" t="str">
        <f>IFERROR(__xludf.DUMMYFUNCTION("""COMPUTED_VALUE"""),"Development")</f>
        <v>Development</v>
      </c>
      <c r="I146" s="142" t="str">
        <f>IFERROR(__xludf.DUMMYFUNCTION("""COMPUTED_VALUE"""),"Development Tools")</f>
        <v>Development Tools</v>
      </c>
      <c r="K146" s="140" t="str">
        <f>IFERROR(__xludf.DUMMYFUNCTION("""COMPUTED_VALUE"""),"")</f>
        <v/>
      </c>
      <c r="M146" s="140" t="str">
        <f>IFERROR(__xludf.DUMMYFUNCTION("""COMPUTED_VALUE"""),"")</f>
        <v/>
      </c>
    </row>
    <row r="147">
      <c r="A147" s="141">
        <f>IFERROR(__xludf.DUMMYFUNCTION("""COMPUTED_VALUE"""),44139.0)</f>
        <v>44139</v>
      </c>
      <c r="B147" s="140">
        <f>IFERROR(__xludf.DUMMYFUNCTION("""COMPUTED_VALUE"""),2854328.0)</f>
        <v>2854328</v>
      </c>
      <c r="C147" s="140" t="str">
        <f>IFERROR(__xludf.DUMMYFUNCTION("""COMPUTED_VALUE"""),"EN")</f>
        <v>EN</v>
      </c>
      <c r="D147" t="str">
        <f>IFERROR(__xludf.DUMMYFUNCTION("""COMPUTED_VALUE"""),"Microsoft Azure AZ- 900 Certification Exam Practice Tests")</f>
        <v>Microsoft Azure AZ- 900 Certification Exam Practice Tests</v>
      </c>
      <c r="F147" t="str">
        <f>IFERROR(__xludf.DUMMYFUNCTION("""COMPUTED_VALUE"""),"Durga N Mondal")</f>
        <v>Durga N Mondal</v>
      </c>
      <c r="G147" t="str">
        <f>IFERROR(__xludf.DUMMYFUNCTION("""COMPUTED_VALUE"""),"Instructor Practices")</f>
        <v>Instructor Practices</v>
      </c>
      <c r="H147" s="142" t="str">
        <f>IFERROR(__xludf.DUMMYFUNCTION("""COMPUTED_VALUE"""),"Cloud Computing")</f>
        <v>Cloud Computing</v>
      </c>
      <c r="I147" s="142" t="str">
        <f>IFERROR(__xludf.DUMMYFUNCTION("""COMPUTED_VALUE"""),"Cloud Certification")</f>
        <v>Cloud Certification</v>
      </c>
      <c r="J147" s="140">
        <f>IFERROR(__xludf.DUMMYFUNCTION("""COMPUTED_VALUE"""),2514204.0)</f>
        <v>2514204</v>
      </c>
      <c r="K147" s="140" t="str">
        <f>IFERROR(__xludf.DUMMYFUNCTION("""COMPUTED_VALUE"""),"AZ-900: Microsoft Azure Fundamentals Original Practice Tests")</f>
        <v>AZ-900: Microsoft Azure Fundamentals Original Practice Tests</v>
      </c>
      <c r="L147" s="140">
        <f>IFERROR(__xludf.DUMMYFUNCTION("""COMPUTED_VALUE"""),3325392.0)</f>
        <v>3325392</v>
      </c>
      <c r="M147" s="140" t="str">
        <f>IFERROR(__xludf.DUMMYFUNCTION("""COMPUTED_VALUE"""),"AZ-900 - Microsoft Azure Fundamentals Practice Tests 2021")</f>
        <v>AZ-900 - Microsoft Azure Fundamentals Practice Tests 2021</v>
      </c>
    </row>
    <row r="148">
      <c r="A148" s="141">
        <f>IFERROR(__xludf.DUMMYFUNCTION("""COMPUTED_VALUE"""),44139.0)</f>
        <v>44139</v>
      </c>
      <c r="B148" s="140">
        <f>IFERROR(__xludf.DUMMYFUNCTION("""COMPUTED_VALUE"""),3174210.0)</f>
        <v>3174210</v>
      </c>
      <c r="C148" s="140" t="str">
        <f>IFERROR(__xludf.DUMMYFUNCTION("""COMPUTED_VALUE"""),"EN")</f>
        <v>EN</v>
      </c>
      <c r="D148" t="str">
        <f>IFERROR(__xludf.DUMMYFUNCTION("""COMPUTED_VALUE"""),"Microsoft Azure AZ-104 Certification Exam Practice Tests")</f>
        <v>Microsoft Azure AZ-104 Certification Exam Practice Tests</v>
      </c>
      <c r="F148" t="str">
        <f>IFERROR(__xludf.DUMMYFUNCTION("""COMPUTED_VALUE"""),"Durga N Mondal")</f>
        <v>Durga N Mondal</v>
      </c>
      <c r="G148" t="str">
        <f>IFERROR(__xludf.DUMMYFUNCTION("""COMPUTED_VALUE"""),"Instructor Practices")</f>
        <v>Instructor Practices</v>
      </c>
      <c r="H148" s="142" t="str">
        <f>IFERROR(__xludf.DUMMYFUNCTION("""COMPUTED_VALUE"""),"IT Operations")</f>
        <v>IT Operations</v>
      </c>
      <c r="I148" s="142" t="str">
        <f>IFERROR(__xludf.DUMMYFUNCTION("""COMPUTED_VALUE"""),"IT Certifications")</f>
        <v>IT Certifications</v>
      </c>
      <c r="J148" s="140">
        <f>IFERROR(__xludf.DUMMYFUNCTION("""COMPUTED_VALUE"""),2779654.0)</f>
        <v>2779654</v>
      </c>
      <c r="K148" s="140" t="str">
        <f>IFERROR(__xludf.DUMMYFUNCTION("""COMPUTED_VALUE"""),"AZ-104 Microsoft Azure Administrator Practice Exam Questions")</f>
        <v>AZ-104 Microsoft Azure Administrator Practice Exam Questions</v>
      </c>
      <c r="M148" s="140" t="str">
        <f>IFERROR(__xludf.DUMMYFUNCTION("""COMPUTED_VALUE"""),"")</f>
        <v/>
      </c>
    </row>
    <row r="149">
      <c r="A149" s="141">
        <f>IFERROR(__xludf.DUMMYFUNCTION("""COMPUTED_VALUE"""),44134.0)</f>
        <v>44134</v>
      </c>
      <c r="B149" s="140">
        <f>IFERROR(__xludf.DUMMYFUNCTION("""COMPUTED_VALUE"""),2004034.0)</f>
        <v>2004034</v>
      </c>
      <c r="C149" s="140" t="str">
        <f>IFERROR(__xludf.DUMMYFUNCTION("""COMPUTED_VALUE"""),"EN")</f>
        <v>EN</v>
      </c>
      <c r="D149" t="str">
        <f>IFERROR(__xludf.DUMMYFUNCTION("""COMPUTED_VALUE"""),"Cybersecurity Data Science")</f>
        <v>Cybersecurity Data Science</v>
      </c>
      <c r="F149" t="str">
        <f>IFERROR(__xludf.DUMMYFUNCTION("""COMPUTED_VALUE"""),"Emmanuel Tsukerman")</f>
        <v>Emmanuel Tsukerman</v>
      </c>
      <c r="G149" t="str">
        <f>IFERROR(__xludf.DUMMYFUNCTION("""COMPUTED_VALUE"""),"Instructor Request- Opted Out")</f>
        <v>Instructor Request- Opted Out</v>
      </c>
      <c r="H149" s="142" t="str">
        <f>IFERROR(__xludf.DUMMYFUNCTION("""COMPUTED_VALUE"""),"IT Operations")</f>
        <v>IT Operations</v>
      </c>
      <c r="I149" s="142" t="str">
        <f>IFERROR(__xludf.DUMMYFUNCTION("""COMPUTED_VALUE"""),"Network &amp; Security")</f>
        <v>Network &amp; Security</v>
      </c>
      <c r="K149" s="140" t="str">
        <f>IFERROR(__xludf.DUMMYFUNCTION("""COMPUTED_VALUE"""),"")</f>
        <v/>
      </c>
      <c r="M149" s="140" t="str">
        <f>IFERROR(__xludf.DUMMYFUNCTION("""COMPUTED_VALUE"""),"")</f>
        <v/>
      </c>
      <c r="N149" s="140" t="str">
        <f>IFERROR(__xludf.DUMMYFUNCTION("""COMPUTED_VALUE"""),"No alternative in collection - 04/30/2020")</f>
        <v>No alternative in collection - 04/30/2020</v>
      </c>
    </row>
    <row r="150">
      <c r="A150" s="141">
        <f>IFERROR(__xludf.DUMMYFUNCTION("""COMPUTED_VALUE"""),44134.0)</f>
        <v>44134</v>
      </c>
      <c r="B150" s="140">
        <f>IFERROR(__xludf.DUMMYFUNCTION("""COMPUTED_VALUE"""),881094.0)</f>
        <v>881094</v>
      </c>
      <c r="C150" s="140" t="str">
        <f>IFERROR(__xludf.DUMMYFUNCTION("""COMPUTED_VALUE"""),"EN")</f>
        <v>EN</v>
      </c>
      <c r="D150" t="str">
        <f>IFERROR(__xludf.DUMMYFUNCTION("""COMPUTED_VALUE"""),"Copywriting Blueprint: Write Epic Marketing and Sales Copy")</f>
        <v>Copywriting Blueprint: Write Epic Marketing and Sales Copy</v>
      </c>
      <c r="F150" t="str">
        <f>IFERROR(__xludf.DUMMYFUNCTION("""COMPUTED_VALUE"""),"Joeel &amp; Natalie Rivera")</f>
        <v>Joeel &amp; Natalie Rivera</v>
      </c>
      <c r="G150" t="str">
        <f>IFERROR(__xludf.DUMMYFUNCTION("""COMPUTED_VALUE"""),"Below Quality Standards- 3 Flags")</f>
        <v>Below Quality Standards- 3 Flags</v>
      </c>
      <c r="H150" s="142" t="str">
        <f>IFERROR(__xludf.DUMMYFUNCTION("""COMPUTED_VALUE"""),"Marketing")</f>
        <v>Marketing</v>
      </c>
      <c r="I150" s="142" t="str">
        <f>IFERROR(__xludf.DUMMYFUNCTION("""COMPUTED_VALUE"""),"Content Marketing")</f>
        <v>Content Marketing</v>
      </c>
      <c r="J150" s="140">
        <f>IFERROR(__xludf.DUMMYFUNCTION("""COMPUTED_VALUE"""),1575836.0)</f>
        <v>1575836</v>
      </c>
      <c r="K150" s="140" t="str">
        <f>IFERROR(__xludf.DUMMYFUNCTION("""COMPUTED_VALUE"""),"The Complete Copywriting Course : Write to Sell Like a Pro")</f>
        <v>The Complete Copywriting Course : Write to Sell Like a Pro</v>
      </c>
      <c r="M150" s="140" t="str">
        <f>IFERROR(__xludf.DUMMYFUNCTION("""COMPUTED_VALUE"""),"")</f>
        <v/>
      </c>
    </row>
    <row r="151">
      <c r="A151" s="141">
        <f>IFERROR(__xludf.DUMMYFUNCTION("""COMPUTED_VALUE"""),44134.0)</f>
        <v>44134</v>
      </c>
      <c r="B151" s="140">
        <f>IFERROR(__xludf.DUMMYFUNCTION("""COMPUTED_VALUE"""),1904538.0)</f>
        <v>1904538</v>
      </c>
      <c r="C151" s="140" t="str">
        <f>IFERROR(__xludf.DUMMYFUNCTION("""COMPUTED_VALUE"""),"JP")</f>
        <v>JP</v>
      </c>
      <c r="D151" t="str">
        <f>IFERROR(__xludf.DUMMYFUNCTION("""COMPUTED_VALUE"""),"英語のひとことフレーズ555選")</f>
        <v>英語のひとことフレーズ555選</v>
      </c>
      <c r="E151" t="str">
        <f>IFERROR(__xludf.DUMMYFUNCTION("""COMPUTED_VALUE"""),"English word phrases 555 election")</f>
        <v>English word phrases 555 election</v>
      </c>
      <c r="F151" t="str">
        <f>IFERROR(__xludf.DUMMYFUNCTION("""COMPUTED_VALUE"""),"Matsuro Manabe")</f>
        <v>Matsuro Manabe</v>
      </c>
      <c r="G151" t="str">
        <f>IFERROR(__xludf.DUMMYFUNCTION("""COMPUTED_VALUE"""),"Below Quality Standards- Low Rating")</f>
        <v>Below Quality Standards- Low Rating</v>
      </c>
      <c r="H151" s="142" t="str">
        <f>IFERROR(__xludf.DUMMYFUNCTION("""COMPUTED_VALUE"""),"Personal Development")</f>
        <v>Personal Development</v>
      </c>
      <c r="I151" s="142" t="str">
        <f>IFERROR(__xludf.DUMMYFUNCTION("""COMPUTED_VALUE"""),"Language Learning")</f>
        <v>Language Learning</v>
      </c>
      <c r="J151" s="140">
        <f>IFERROR(__xludf.DUMMYFUNCTION("""COMPUTED_VALUE"""),481060.0)</f>
        <v>481060</v>
      </c>
      <c r="K151" s="140" t="str">
        <f>IFERROR(__xludf.DUMMYFUNCTION("""COMPUTED_VALUE"""),"")</f>
        <v/>
      </c>
      <c r="L151">
        <f>IFERROR(__xludf.DUMMYFUNCTION("""COMPUTED_VALUE"""),1597448.0)</f>
        <v>1597448</v>
      </c>
      <c r="M151" s="140" t="str">
        <f>IFERROR(__xludf.DUMMYFUNCTION("""COMPUTED_VALUE"""),"英語の発音レベルアップ：カタカナ英語をやめて、ネイティブのような発音に！")</f>
        <v>英語の発音レベルアップ：カタカナ英語をやめて、ネイティブのような発音に！</v>
      </c>
    </row>
    <row r="152">
      <c r="A152" s="141">
        <f>IFERROR(__xludf.DUMMYFUNCTION("""COMPUTED_VALUE"""),44134.0)</f>
        <v>44134</v>
      </c>
      <c r="B152" s="140">
        <f>IFERROR(__xludf.DUMMYFUNCTION("""COMPUTED_VALUE"""),1123740.0)</f>
        <v>1123740</v>
      </c>
      <c r="C152" s="140" t="str">
        <f>IFERROR(__xludf.DUMMYFUNCTION("""COMPUTED_VALUE"""),"EN")</f>
        <v>EN</v>
      </c>
      <c r="D152" t="str">
        <f>IFERROR(__xludf.DUMMYFUNCTION("""COMPUTED_VALUE"""),"BIM Modeling Structure LOD 300-350 Autodesk Revit and Dynamo")</f>
        <v>BIM Modeling Structure LOD 300-350 Autodesk Revit and Dynamo</v>
      </c>
      <c r="F152" t="str">
        <f>IFERROR(__xludf.DUMMYFUNCTION("""COMPUTED_VALUE"""),"Enrique Galicia")</f>
        <v>Enrique Galicia</v>
      </c>
      <c r="G152" t="str">
        <f>IFERROR(__xludf.DUMMYFUNCTION("""COMPUTED_VALUE"""),"Instructor Request- Opted Out")</f>
        <v>Instructor Request- Opted Out</v>
      </c>
      <c r="H152" s="142" t="str">
        <f>IFERROR(__xludf.DUMMYFUNCTION("""COMPUTED_VALUE"""),"IT Operations")</f>
        <v>IT Operations</v>
      </c>
      <c r="I152" s="142" t="str">
        <f>IFERROR(__xludf.DUMMYFUNCTION("""COMPUTED_VALUE"""),"Hardware")</f>
        <v>Hardware</v>
      </c>
      <c r="K152" s="140" t="str">
        <f>IFERROR(__xludf.DUMMYFUNCTION("""COMPUTED_VALUE"""),"")</f>
        <v/>
      </c>
      <c r="M152" s="140" t="str">
        <f>IFERROR(__xludf.DUMMYFUNCTION("""COMPUTED_VALUE"""),"")</f>
        <v/>
      </c>
      <c r="N152" s="140" t="str">
        <f>IFERROR(__xludf.DUMMYFUNCTION("""COMPUTED_VALUE"""),"No alternative in collection - 04/30/2020")</f>
        <v>No alternative in collection - 04/30/2020</v>
      </c>
    </row>
    <row r="153">
      <c r="A153" s="141">
        <f>IFERROR(__xludf.DUMMYFUNCTION("""COMPUTED_VALUE"""),44134.0)</f>
        <v>44134</v>
      </c>
      <c r="B153" s="140">
        <f>IFERROR(__xludf.DUMMYFUNCTION("""COMPUTED_VALUE"""),1360384.0)</f>
        <v>1360384</v>
      </c>
      <c r="C153" s="140" t="str">
        <f>IFERROR(__xludf.DUMMYFUNCTION("""COMPUTED_VALUE"""),"EN")</f>
        <v>EN</v>
      </c>
      <c r="D153" t="str">
        <f>IFERROR(__xludf.DUMMYFUNCTION("""COMPUTED_VALUE"""),"HDPCD:Spark using Python (pyspark)")</f>
        <v>HDPCD:Spark using Python (pyspark)</v>
      </c>
      <c r="F153" t="str">
        <f>IFERROR(__xludf.DUMMYFUNCTION("""COMPUTED_VALUE"""),"Durga Viswanatha Raju Gadiraju")</f>
        <v>Durga Viswanatha Raju Gadiraju</v>
      </c>
      <c r="G153" t="str">
        <f>IFERROR(__xludf.DUMMYFUNCTION("""COMPUTED_VALUE"""),"Below Quality Standards- Low Rating")</f>
        <v>Below Quality Standards- Low Rating</v>
      </c>
      <c r="H153" s="142" t="str">
        <f>IFERROR(__xludf.DUMMYFUNCTION("""COMPUTED_VALUE"""),"Development")</f>
        <v>Development</v>
      </c>
      <c r="I153" s="142" t="str">
        <f>IFERROR(__xludf.DUMMYFUNCTION("""COMPUTED_VALUE"""),"Programming Languages")</f>
        <v>Programming Languages</v>
      </c>
      <c r="J153" s="140">
        <f>IFERROR(__xludf.DUMMYFUNCTION("""COMPUTED_VALUE"""),980798.0)</f>
        <v>980798</v>
      </c>
      <c r="K153" s="140" t="str">
        <f>IFERROR(__xludf.DUMMYFUNCTION("""COMPUTED_VALUE"""),"Spark and Python for Big Data with PySpark")</f>
        <v>Spark and Python for Big Data with PySpark</v>
      </c>
      <c r="M153" s="140" t="str">
        <f>IFERROR(__xludf.DUMMYFUNCTION("""COMPUTED_VALUE"""),"")</f>
        <v/>
      </c>
    </row>
    <row r="154">
      <c r="A154" s="141">
        <f>IFERROR(__xludf.DUMMYFUNCTION("""COMPUTED_VALUE"""),44134.0)</f>
        <v>44134</v>
      </c>
      <c r="B154" s="140">
        <f>IFERROR(__xludf.DUMMYFUNCTION("""COMPUTED_VALUE"""),713784.0)</f>
        <v>713784</v>
      </c>
      <c r="C154" s="140" t="str">
        <f>IFERROR(__xludf.DUMMYFUNCTION("""COMPUTED_VALUE"""),"EN")</f>
        <v>EN</v>
      </c>
      <c r="D154" t="str">
        <f>IFERROR(__xludf.DUMMYFUNCTION("""COMPUTED_VALUE"""),"Office365 and AzureAD for Developers")</f>
        <v>Office365 and AzureAD for Developers</v>
      </c>
      <c r="F154" t="str">
        <f>IFERROR(__xludf.DUMMYFUNCTION("""COMPUTED_VALUE"""),"Sahil Malik")</f>
        <v>Sahil Malik</v>
      </c>
      <c r="G154" t="str">
        <f>IFERROR(__xludf.DUMMYFUNCTION("""COMPUTED_VALUE"""),"Below Quality Standards- 3 Flags")</f>
        <v>Below Quality Standards- 3 Flags</v>
      </c>
      <c r="H154" s="142" t="str">
        <f>IFERROR(__xludf.DUMMYFUNCTION("""COMPUTED_VALUE"""),"Cloud Computing")</f>
        <v>Cloud Computing</v>
      </c>
      <c r="I154" s="142" t="str">
        <f>IFERROR(__xludf.DUMMYFUNCTION("""COMPUTED_VALUE"""),"Cloud Development")</f>
        <v>Cloud Development</v>
      </c>
      <c r="K154" s="140" t="str">
        <f>IFERROR(__xludf.DUMMYFUNCTION("""COMPUTED_VALUE"""),"")</f>
        <v/>
      </c>
      <c r="M154" s="140" t="str">
        <f>IFERROR(__xludf.DUMMYFUNCTION("""COMPUTED_VALUE"""),"")</f>
        <v/>
      </c>
      <c r="N154" s="140" t="str">
        <f>IFERROR(__xludf.DUMMYFUNCTION("""COMPUTED_VALUE"""),"No alternative in collection - 04/30/2020")</f>
        <v>No alternative in collection - 04/30/2020</v>
      </c>
    </row>
    <row r="155">
      <c r="A155" s="141">
        <f>IFERROR(__xludf.DUMMYFUNCTION("""COMPUTED_VALUE"""),44134.0)</f>
        <v>44134</v>
      </c>
      <c r="B155" s="140">
        <f>IFERROR(__xludf.DUMMYFUNCTION("""COMPUTED_VALUE"""),760210.0)</f>
        <v>760210</v>
      </c>
      <c r="C155" s="140" t="str">
        <f>IFERROR(__xludf.DUMMYFUNCTION("""COMPUTED_VALUE"""),"EN")</f>
        <v>EN</v>
      </c>
      <c r="D155" t="str">
        <f>IFERROR(__xludf.DUMMYFUNCTION("""COMPUTED_VALUE"""),"Build an Advanced Keylogger using C++ for Ethical Hacking!")</f>
        <v>Build an Advanced Keylogger using C++ for Ethical Hacking!</v>
      </c>
      <c r="F155" t="str">
        <f>IFERROR(__xludf.DUMMYFUNCTION("""COMPUTED_VALUE"""),"Ermin Kreponic")</f>
        <v>Ermin Kreponic</v>
      </c>
      <c r="G155" t="str">
        <f>IFERROR(__xludf.DUMMYFUNCTION("""COMPUTED_VALUE"""),"Below Quality Standards- Low Rating")</f>
        <v>Below Quality Standards- Low Rating</v>
      </c>
      <c r="H155" s="142" t="str">
        <f>IFERROR(__xludf.DUMMYFUNCTION("""COMPUTED_VALUE"""),"IT Operations")</f>
        <v>IT Operations</v>
      </c>
      <c r="I155" s="142" t="str">
        <f>IFERROR(__xludf.DUMMYFUNCTION("""COMPUTED_VALUE"""),"Network &amp; Security")</f>
        <v>Network &amp; Security</v>
      </c>
      <c r="K155" s="140" t="str">
        <f>IFERROR(__xludf.DUMMYFUNCTION("""COMPUTED_VALUE"""),"")</f>
        <v/>
      </c>
      <c r="M155" s="140" t="str">
        <f>IFERROR(__xludf.DUMMYFUNCTION("""COMPUTED_VALUE"""),"")</f>
        <v/>
      </c>
      <c r="N155" s="140" t="str">
        <f>IFERROR(__xludf.DUMMYFUNCTION("""COMPUTED_VALUE"""),"No alternative in collection - 04/30/2020")</f>
        <v>No alternative in collection - 04/30/2020</v>
      </c>
    </row>
    <row r="156">
      <c r="A156" s="141">
        <f>IFERROR(__xludf.DUMMYFUNCTION("""COMPUTED_VALUE"""),44134.0)</f>
        <v>44134</v>
      </c>
      <c r="B156" s="140">
        <f>IFERROR(__xludf.DUMMYFUNCTION("""COMPUTED_VALUE"""),810196.0)</f>
        <v>810196</v>
      </c>
      <c r="C156" s="140" t="str">
        <f>IFERROR(__xludf.DUMMYFUNCTION("""COMPUTED_VALUE"""),"EN")</f>
        <v>EN</v>
      </c>
      <c r="D156" t="str">
        <f>IFERROR(__xludf.DUMMYFUNCTION("""COMPUTED_VALUE"""),"Web Content Optimization - Building an audience of true fans")</f>
        <v>Web Content Optimization - Building an audience of true fans</v>
      </c>
      <c r="F156" t="str">
        <f>IFERROR(__xludf.DUMMYFUNCTION("""COMPUTED_VALUE"""),"Nick Usborne")</f>
        <v>Nick Usborne</v>
      </c>
      <c r="G156" t="str">
        <f>IFERROR(__xludf.DUMMYFUNCTION("""COMPUTED_VALUE"""),"Below Quality Standards- 3 Flags")</f>
        <v>Below Quality Standards- 3 Flags</v>
      </c>
      <c r="H156" s="142" t="str">
        <f>IFERROR(__xludf.DUMMYFUNCTION("""COMPUTED_VALUE"""),"Marketing")</f>
        <v>Marketing</v>
      </c>
      <c r="I156" s="142" t="str">
        <f>IFERROR(__xludf.DUMMYFUNCTION("""COMPUTED_VALUE"""),"Content Marketing")</f>
        <v>Content Marketing</v>
      </c>
      <c r="K156" s="140" t="str">
        <f>IFERROR(__xludf.DUMMYFUNCTION("""COMPUTED_VALUE"""),"")</f>
        <v/>
      </c>
      <c r="M156" s="140" t="str">
        <f>IFERROR(__xludf.DUMMYFUNCTION("""COMPUTED_VALUE"""),"")</f>
        <v/>
      </c>
      <c r="N156" s="140" t="str">
        <f>IFERROR(__xludf.DUMMYFUNCTION("""COMPUTED_VALUE"""),"No alternative in collection - 04/30/2020")</f>
        <v>No alternative in collection - 04/30/2020</v>
      </c>
    </row>
    <row r="157">
      <c r="A157" s="141">
        <f>IFERROR(__xludf.DUMMYFUNCTION("""COMPUTED_VALUE"""),44134.0)</f>
        <v>44134</v>
      </c>
      <c r="B157" s="140">
        <f>IFERROR(__xludf.DUMMYFUNCTION("""COMPUTED_VALUE"""),1629428.0)</f>
        <v>1629428</v>
      </c>
      <c r="C157" s="140" t="str">
        <f>IFERROR(__xludf.DUMMYFUNCTION("""COMPUTED_VALUE"""),"EN")</f>
        <v>EN</v>
      </c>
      <c r="D157" t="str">
        <f>IFERROR(__xludf.DUMMYFUNCTION("""COMPUTED_VALUE"""),"How To Create Highly Successful Retargeting Campaigns (2020)")</f>
        <v>How To Create Highly Successful Retargeting Campaigns (2020)</v>
      </c>
      <c r="F157" t="str">
        <f>IFERROR(__xludf.DUMMYFUNCTION("""COMPUTED_VALUE"""),"Andrew White")</f>
        <v>Andrew White</v>
      </c>
      <c r="G157" t="str">
        <f>IFERROR(__xludf.DUMMYFUNCTION("""COMPUTED_VALUE"""),"Below Quality Standards- 3 Flags")</f>
        <v>Below Quality Standards- 3 Flags</v>
      </c>
      <c r="H157" s="142" t="str">
        <f>IFERROR(__xludf.DUMMYFUNCTION("""COMPUTED_VALUE"""),"Marketing")</f>
        <v>Marketing</v>
      </c>
      <c r="I157" s="142" t="str">
        <f>IFERROR(__xludf.DUMMYFUNCTION("""COMPUTED_VALUE"""),"Digital Marketing")</f>
        <v>Digital Marketing</v>
      </c>
      <c r="K157" s="140" t="str">
        <f>IFERROR(__xludf.DUMMYFUNCTION("""COMPUTED_VALUE"""),"")</f>
        <v/>
      </c>
      <c r="M157" s="140" t="str">
        <f>IFERROR(__xludf.DUMMYFUNCTION("""COMPUTED_VALUE"""),"")</f>
        <v/>
      </c>
      <c r="N157" s="140" t="str">
        <f>IFERROR(__xludf.DUMMYFUNCTION("""COMPUTED_VALUE"""),"No alternative in collection - 04/30/2020")</f>
        <v>No alternative in collection - 04/30/2020</v>
      </c>
    </row>
    <row r="158">
      <c r="A158" s="141">
        <f>IFERROR(__xludf.DUMMYFUNCTION("""COMPUTED_VALUE"""),44134.0)</f>
        <v>44134</v>
      </c>
      <c r="B158" s="140">
        <f>IFERROR(__xludf.DUMMYFUNCTION("""COMPUTED_VALUE"""),632154.0)</f>
        <v>632154</v>
      </c>
      <c r="C158" s="140" t="str">
        <f>IFERROR(__xludf.DUMMYFUNCTION("""COMPUTED_VALUE"""),"EN")</f>
        <v>EN</v>
      </c>
      <c r="D158" t="str">
        <f>IFERROR(__xludf.DUMMYFUNCTION("""COMPUTED_VALUE"""),"Learn Computer Vision and Image Processing in LabVIEW")</f>
        <v>Learn Computer Vision and Image Processing in LabVIEW</v>
      </c>
      <c r="F158" t="str">
        <f>IFERROR(__xludf.DUMMYFUNCTION("""COMPUTED_VALUE"""),"Augmented Startups")</f>
        <v>Augmented Startups</v>
      </c>
      <c r="G158" t="str">
        <f>IFERROR(__xludf.DUMMYFUNCTION("""COMPUTED_VALUE"""),"Below Quality Standards- Low Rating")</f>
        <v>Below Quality Standards- Low Rating</v>
      </c>
      <c r="H158" s="142" t="str">
        <f>IFERROR(__xludf.DUMMYFUNCTION("""COMPUTED_VALUE"""),"Development")</f>
        <v>Development</v>
      </c>
      <c r="I158" s="142" t="str">
        <f>IFERROR(__xludf.DUMMYFUNCTION("""COMPUTED_VALUE"""),"Programming Languages")</f>
        <v>Programming Languages</v>
      </c>
      <c r="K158" s="140" t="str">
        <f>IFERROR(__xludf.DUMMYFUNCTION("""COMPUTED_VALUE"""),"")</f>
        <v/>
      </c>
      <c r="M158" s="140" t="str">
        <f>IFERROR(__xludf.DUMMYFUNCTION("""COMPUTED_VALUE"""),"")</f>
        <v/>
      </c>
      <c r="N158" s="140" t="str">
        <f>IFERROR(__xludf.DUMMYFUNCTION("""COMPUTED_VALUE"""),"No alternative in collection - 04/30/2020")</f>
        <v>No alternative in collection - 04/30/2020</v>
      </c>
    </row>
    <row r="159">
      <c r="A159" s="141">
        <f>IFERROR(__xludf.DUMMYFUNCTION("""COMPUTED_VALUE"""),44134.0)</f>
        <v>44134</v>
      </c>
      <c r="B159" s="140">
        <f>IFERROR(__xludf.DUMMYFUNCTION("""COMPUTED_VALUE"""),1514120.0)</f>
        <v>1514120</v>
      </c>
      <c r="C159" s="140" t="str">
        <f>IFERROR(__xludf.DUMMYFUNCTION("""COMPUTED_VALUE"""),"EN")</f>
        <v>EN</v>
      </c>
      <c r="D159" t="str">
        <f>IFERROR(__xludf.DUMMYFUNCTION("""COMPUTED_VALUE"""),"CompTIA Cloud+ Certification Exam Prep CV002 - 2019")</f>
        <v>CompTIA Cloud+ Certification Exam Prep CV002 - 2019</v>
      </c>
      <c r="F159" t="str">
        <f>IFERROR(__xludf.DUMMYFUNCTION("""COMPUTED_VALUE"""),"Anand Nednur")</f>
        <v>Anand Nednur</v>
      </c>
      <c r="G159" t="str">
        <f>IFERROR(__xludf.DUMMYFUNCTION("""COMPUTED_VALUE"""),"Below Quality Standards- 3 Flags")</f>
        <v>Below Quality Standards- 3 Flags</v>
      </c>
      <c r="H159" s="142" t="str">
        <f>IFERROR(__xludf.DUMMYFUNCTION("""COMPUTED_VALUE"""),"IT Operations")</f>
        <v>IT Operations</v>
      </c>
      <c r="I159" s="142" t="str">
        <f>IFERROR(__xludf.DUMMYFUNCTION("""COMPUTED_VALUE"""),"IT Certifications")</f>
        <v>IT Certifications</v>
      </c>
      <c r="J159" s="140">
        <f>IFERROR(__xludf.DUMMYFUNCTION("""COMPUTED_VALUE"""),2834322.0)</f>
        <v>2834322</v>
      </c>
      <c r="K159" s="140" t="str">
        <f>IFERROR(__xludf.DUMMYFUNCTION("""COMPUTED_VALUE"""),"TOTAL: Cloud Computing / CompTIA Cloud+ Cert. (CV0-002)")</f>
        <v>TOTAL: Cloud Computing / CompTIA Cloud+ Cert. (CV0-002)</v>
      </c>
      <c r="M159" s="140" t="str">
        <f>IFERROR(__xludf.DUMMYFUNCTION("""COMPUTED_VALUE"""),"")</f>
        <v/>
      </c>
    </row>
    <row r="160">
      <c r="A160" s="141">
        <f>IFERROR(__xludf.DUMMYFUNCTION("""COMPUTED_VALUE"""),44134.0)</f>
        <v>44134</v>
      </c>
      <c r="B160" s="140">
        <f>IFERROR(__xludf.DUMMYFUNCTION("""COMPUTED_VALUE"""),2069569.0)</f>
        <v>2069569</v>
      </c>
      <c r="C160" s="140" t="str">
        <f>IFERROR(__xludf.DUMMYFUNCTION("""COMPUTED_VALUE"""),"EN")</f>
        <v>EN</v>
      </c>
      <c r="D160" t="str">
        <f>IFERROR(__xludf.DUMMYFUNCTION("""COMPUTED_VALUE"""),"Creativity for Coders: How to Create Ideas from Scratch")</f>
        <v>Creativity for Coders: How to Create Ideas from Scratch</v>
      </c>
      <c r="F160" t="str">
        <f>IFERROR(__xludf.DUMMYFUNCTION("""COMPUTED_VALUE"""),"Yann Burrett")</f>
        <v>Yann Burrett</v>
      </c>
      <c r="G160" t="str">
        <f>IFERROR(__xludf.DUMMYFUNCTION("""COMPUTED_VALUE"""),"Instructor Request- No Detail")</f>
        <v>Instructor Request- No Detail</v>
      </c>
      <c r="H160" s="142" t="str">
        <f>IFERROR(__xludf.DUMMYFUNCTION("""COMPUTED_VALUE"""),"Personal Development")</f>
        <v>Personal Development</v>
      </c>
      <c r="I160" s="142" t="str">
        <f>IFERROR(__xludf.DUMMYFUNCTION("""COMPUTED_VALUE"""),"Arts &amp; Creativity")</f>
        <v>Arts &amp; Creativity</v>
      </c>
      <c r="J160" s="140">
        <f>IFERROR(__xludf.DUMMYFUNCTION("""COMPUTED_VALUE"""),881980.0)</f>
        <v>881980</v>
      </c>
      <c r="K160" s="140" t="str">
        <f>IFERROR(__xludf.DUMMYFUNCTION("""COMPUTED_VALUE"""),"Pre-Programming: Everything you need to know before you code")</f>
        <v>Pre-Programming: Everything you need to know before you code</v>
      </c>
      <c r="M160" s="140" t="str">
        <f>IFERROR(__xludf.DUMMYFUNCTION("""COMPUTED_VALUE"""),"")</f>
        <v/>
      </c>
    </row>
    <row r="161">
      <c r="A161" s="141">
        <f>IFERROR(__xludf.DUMMYFUNCTION("""COMPUTED_VALUE"""),44134.0)</f>
        <v>44134</v>
      </c>
      <c r="B161" s="140">
        <f>IFERROR(__xludf.DUMMYFUNCTION("""COMPUTED_VALUE"""),1785170.0)</f>
        <v>1785170</v>
      </c>
      <c r="C161" s="140" t="str">
        <f>IFERROR(__xludf.DUMMYFUNCTION("""COMPUTED_VALUE"""),"EN")</f>
        <v>EN</v>
      </c>
      <c r="D161" t="str">
        <f>IFERROR(__xludf.DUMMYFUNCTION("""COMPUTED_VALUE"""),"Go: The Complete Developer's Guide to Golang: 4-in-1")</f>
        <v>Go: The Complete Developer's Guide to Golang: 4-in-1</v>
      </c>
      <c r="F161" t="str">
        <f>IFERROR(__xludf.DUMMYFUNCTION("""COMPUTED_VALUE"""),"Packt Publishing")</f>
        <v>Packt Publishing</v>
      </c>
      <c r="G161" t="str">
        <f>IFERROR(__xludf.DUMMYFUNCTION("""COMPUTED_VALUE"""),"Instructor Request- Opted Out")</f>
        <v>Instructor Request- Opted Out</v>
      </c>
      <c r="H161" s="142" t="str">
        <f>IFERROR(__xludf.DUMMYFUNCTION("""COMPUTED_VALUE"""),"Development")</f>
        <v>Development</v>
      </c>
      <c r="I161" s="142" t="str">
        <f>IFERROR(__xludf.DUMMYFUNCTION("""COMPUTED_VALUE"""),"Programming Languages")</f>
        <v>Programming Languages</v>
      </c>
      <c r="J161" s="140">
        <f>IFERROR(__xludf.DUMMYFUNCTION("""COMPUTED_VALUE"""),1309202.0)</f>
        <v>1309202</v>
      </c>
      <c r="K161" s="140" t="str">
        <f>IFERROR(__xludf.DUMMYFUNCTION("""COMPUTED_VALUE"""),"Go: The Complete Developer's Guide (Golang)")</f>
        <v>Go: The Complete Developer's Guide (Golang)</v>
      </c>
      <c r="M161" s="140" t="str">
        <f>IFERROR(__xludf.DUMMYFUNCTION("""COMPUTED_VALUE"""),"")</f>
        <v/>
      </c>
    </row>
    <row r="162">
      <c r="A162" s="141">
        <f>IFERROR(__xludf.DUMMYFUNCTION("""COMPUTED_VALUE"""),44134.0)</f>
        <v>44134</v>
      </c>
      <c r="B162" s="140">
        <f>IFERROR(__xludf.DUMMYFUNCTION("""COMPUTED_VALUE"""),1315568.0)</f>
        <v>1315568</v>
      </c>
      <c r="C162" s="140" t="str">
        <f>IFERROR(__xludf.DUMMYFUNCTION("""COMPUTED_VALUE"""),"EN")</f>
        <v>EN</v>
      </c>
      <c r="D162" t="str">
        <f>IFERROR(__xludf.DUMMYFUNCTION("""COMPUTED_VALUE"""),"The Complete Android &amp; Java Bootcamp - Material Design UI/UX")</f>
        <v>The Complete Android &amp; Java Bootcamp - Material Design UI/UX</v>
      </c>
      <c r="F162" t="str">
        <f>IFERROR(__xludf.DUMMYFUNCTION("""COMPUTED_VALUE"""),"Paulo Dichone | Android, Java, Flutter Developer and Teacher")</f>
        <v>Paulo Dichone | Android, Java, Flutter Developer and Teacher</v>
      </c>
      <c r="G162" t="str">
        <f>IFERROR(__xludf.DUMMYFUNCTION("""COMPUTED_VALUE"""),"Instructor Request- No Detail")</f>
        <v>Instructor Request- No Detail</v>
      </c>
      <c r="H162" s="142" t="str">
        <f>IFERROR(__xludf.DUMMYFUNCTION("""COMPUTED_VALUE"""),"Development")</f>
        <v>Development</v>
      </c>
      <c r="I162" s="142" t="str">
        <f>IFERROR(__xludf.DUMMYFUNCTION("""COMPUTED_VALUE"""),"Mobile Development")</f>
        <v>Mobile Development</v>
      </c>
      <c r="J162" s="140">
        <f>IFERROR(__xludf.DUMMYFUNCTION("""COMPUTED_VALUE"""),919872.0)</f>
        <v>919872</v>
      </c>
      <c r="K162" s="140" t="str">
        <f>IFERROR(__xludf.DUMMYFUNCTION("""COMPUTED_VALUE"""),"Android Java Masterclass - Become an App Developer")</f>
        <v>Android Java Masterclass - Become an App Developer</v>
      </c>
      <c r="M162" s="140" t="str">
        <f>IFERROR(__xludf.DUMMYFUNCTION("""COMPUTED_VALUE"""),"")</f>
        <v/>
      </c>
    </row>
    <row r="163">
      <c r="A163" s="141">
        <f>IFERROR(__xludf.DUMMYFUNCTION("""COMPUTED_VALUE"""),44134.0)</f>
        <v>44134</v>
      </c>
      <c r="B163" s="140">
        <f>IFERROR(__xludf.DUMMYFUNCTION("""COMPUTED_VALUE"""),518410.0)</f>
        <v>518410</v>
      </c>
      <c r="C163" s="140" t="str">
        <f>IFERROR(__xludf.DUMMYFUNCTION("""COMPUTED_VALUE"""),"EN")</f>
        <v>EN</v>
      </c>
      <c r="D163" t="str">
        <f>IFERROR(__xludf.DUMMYFUNCTION("""COMPUTED_VALUE"""),"Fundamentals of Structural Analysis")</f>
        <v>Fundamentals of Structural Analysis</v>
      </c>
      <c r="F163" t="str">
        <f>IFERROR(__xludf.DUMMYFUNCTION("""COMPUTED_VALUE"""),"Dr Seán Carroll")</f>
        <v>Dr Seán Carroll</v>
      </c>
      <c r="G163" t="str">
        <f>IFERROR(__xludf.DUMMYFUNCTION("""COMPUTED_VALUE"""),"Instructor Request- Opted Out")</f>
        <v>Instructor Request- Opted Out</v>
      </c>
      <c r="H163" s="142" t="str">
        <f>IFERROR(__xludf.DUMMYFUNCTION("""COMPUTED_VALUE"""),"IT Operations")</f>
        <v>IT Operations</v>
      </c>
      <c r="I163" s="142" t="str">
        <f>IFERROR(__xludf.DUMMYFUNCTION("""COMPUTED_VALUE"""),"Hardware")</f>
        <v>Hardware</v>
      </c>
      <c r="K163" s="140" t="str">
        <f>IFERROR(__xludf.DUMMYFUNCTION("""COMPUTED_VALUE"""),"")</f>
        <v/>
      </c>
      <c r="M163" s="140" t="str">
        <f>IFERROR(__xludf.DUMMYFUNCTION("""COMPUTED_VALUE"""),"")</f>
        <v/>
      </c>
      <c r="N163" s="140" t="str">
        <f>IFERROR(__xludf.DUMMYFUNCTION("""COMPUTED_VALUE"""),"No alternative in collection - 04/30/2020")</f>
        <v>No alternative in collection - 04/30/2020</v>
      </c>
    </row>
    <row r="164">
      <c r="A164" s="141">
        <f>IFERROR(__xludf.DUMMYFUNCTION("""COMPUTED_VALUE"""),44134.0)</f>
        <v>44134</v>
      </c>
      <c r="B164" s="140">
        <f>IFERROR(__xludf.DUMMYFUNCTION("""COMPUTED_VALUE"""),2856880.0)</f>
        <v>2856880</v>
      </c>
      <c r="C164" s="140" t="str">
        <f>IFERROR(__xludf.DUMMYFUNCTION("""COMPUTED_VALUE"""),"JP")</f>
        <v>JP</v>
      </c>
      <c r="D164" t="str">
        <f>IFERROR(__xludf.DUMMYFUNCTION("""COMPUTED_VALUE"""),"【IoT101】知識ゼロから作って学ぶIoT入門")</f>
        <v>【IoT101】知識ゼロから作って学ぶIoT入門</v>
      </c>
      <c r="E164" t="str">
        <f>IFERROR(__xludf.DUMMYFUNCTION("""COMPUTED_VALUE"""),"[IoT101] IoT Introduction to learn to make from knowledge zero")</f>
        <v>[IoT101] IoT Introduction to learn to make from knowledge zero</v>
      </c>
      <c r="F164" t="str">
        <f>IFERROR(__xludf.DUMMYFUNCTION("""COMPUTED_VALUE"""),"山川 正美")</f>
        <v>山川 正美</v>
      </c>
      <c r="G164" t="str">
        <f>IFERROR(__xludf.DUMMYFUNCTION("""COMPUTED_VALUE"""),"Instructor Request- Opted Out")</f>
        <v>Instructor Request- Opted Out</v>
      </c>
      <c r="H164" s="142" t="str">
        <f>IFERROR(__xludf.DUMMYFUNCTION("""COMPUTED_VALUE"""),"Development")</f>
        <v>Development</v>
      </c>
      <c r="I164" s="142" t="str">
        <f>IFERROR(__xludf.DUMMYFUNCTION("""COMPUTED_VALUE"""),"Development Tools")</f>
        <v>Development Tools</v>
      </c>
      <c r="K164" s="140" t="str">
        <f>IFERROR(__xludf.DUMMYFUNCTION("""COMPUTED_VALUE"""),"")</f>
        <v/>
      </c>
      <c r="M164" s="140" t="str">
        <f>IFERROR(__xludf.DUMMYFUNCTION("""COMPUTED_VALUE"""),"")</f>
        <v/>
      </c>
      <c r="N164" s="140" t="str">
        <f>IFERROR(__xludf.DUMMYFUNCTION("""COMPUTED_VALUE"""),"No Alternatives in Collection- 8/03/2020")</f>
        <v>No Alternatives in Collection- 8/03/2020</v>
      </c>
    </row>
    <row r="165">
      <c r="A165" s="141">
        <f>IFERROR(__xludf.DUMMYFUNCTION("""COMPUTED_VALUE"""),44134.0)</f>
        <v>44134</v>
      </c>
      <c r="B165" s="140">
        <f>IFERROR(__xludf.DUMMYFUNCTION("""COMPUTED_VALUE"""),872210.0)</f>
        <v>872210</v>
      </c>
      <c r="C165" s="140" t="str">
        <f>IFERROR(__xludf.DUMMYFUNCTION("""COMPUTED_VALUE"""),"EN")</f>
        <v>EN</v>
      </c>
      <c r="D165" t="str">
        <f>IFERROR(__xludf.DUMMYFUNCTION("""COMPUTED_VALUE"""),"Copywriting Blunders: Do You Make these 10 Common Mistakes?")</f>
        <v>Copywriting Blunders: Do You Make these 10 Common Mistakes?</v>
      </c>
      <c r="F165" t="str">
        <f>IFERROR(__xludf.DUMMYFUNCTION("""COMPUTED_VALUE"""),"Alan Sharpe")</f>
        <v>Alan Sharpe</v>
      </c>
      <c r="G165" t="str">
        <f>IFERROR(__xludf.DUMMYFUNCTION("""COMPUTED_VALUE"""),"Instructor Request- Outdated")</f>
        <v>Instructor Request- Outdated</v>
      </c>
      <c r="H165" s="142" t="str">
        <f>IFERROR(__xludf.DUMMYFUNCTION("""COMPUTED_VALUE"""),"Marketing")</f>
        <v>Marketing</v>
      </c>
      <c r="I165" s="142" t="str">
        <f>IFERROR(__xludf.DUMMYFUNCTION("""COMPUTED_VALUE"""),"Content Marketing")</f>
        <v>Content Marketing</v>
      </c>
      <c r="J165" s="140">
        <f>IFERROR(__xludf.DUMMYFUNCTION("""COMPUTED_VALUE"""),736456.0)</f>
        <v>736456</v>
      </c>
      <c r="K165" s="140" t="str">
        <f>IFERROR(__xludf.DUMMYFUNCTION("""COMPUTED_VALUE"""),"Ninja Writing: The Four Levels Of Writing Mastery")</f>
        <v>Ninja Writing: The Four Levels Of Writing Mastery</v>
      </c>
      <c r="M165" s="140" t="str">
        <f>IFERROR(__xludf.DUMMYFUNCTION("""COMPUTED_VALUE"""),"")</f>
        <v/>
      </c>
    </row>
    <row r="166">
      <c r="A166" s="141">
        <f>IFERROR(__xludf.DUMMYFUNCTION("""COMPUTED_VALUE"""),44134.0)</f>
        <v>44134</v>
      </c>
      <c r="B166" s="140">
        <f>IFERROR(__xludf.DUMMYFUNCTION("""COMPUTED_VALUE"""),2374674.0)</f>
        <v>2374674</v>
      </c>
      <c r="C166" s="140" t="str">
        <f>IFERROR(__xludf.DUMMYFUNCTION("""COMPUTED_VALUE"""),"DE")</f>
        <v>DE</v>
      </c>
      <c r="D166" t="str">
        <f>IFERROR(__xludf.DUMMYFUNCTION("""COMPUTED_VALUE"""),"Grafische Anwendungen in C# mit der WPF für Anfänger")</f>
        <v>Grafische Anwendungen in C# mit der WPF für Anfänger</v>
      </c>
      <c r="E166" t="str">
        <f>IFERROR(__xludf.DUMMYFUNCTION("""COMPUTED_VALUE"""),"Graphical applications in C # using the WPF for beginners")</f>
        <v>Graphical applications in C # using the WPF for beginners</v>
      </c>
      <c r="F166" t="str">
        <f>IFERROR(__xludf.DUMMYFUNCTION("""COMPUTED_VALUE"""),"Sönke Cordts")</f>
        <v>Sönke Cordts</v>
      </c>
      <c r="G166" t="str">
        <f>IFERROR(__xludf.DUMMYFUNCTION("""COMPUTED_VALUE"""),"Instructor Request- Opted Out")</f>
        <v>Instructor Request- Opted Out</v>
      </c>
      <c r="H166" s="142" t="str">
        <f>IFERROR(__xludf.DUMMYFUNCTION("""COMPUTED_VALUE"""),"Development")</f>
        <v>Development</v>
      </c>
      <c r="I166" s="142" t="str">
        <f>IFERROR(__xludf.DUMMYFUNCTION("""COMPUTED_VALUE"""),"Programming Languages")</f>
        <v>Programming Languages</v>
      </c>
      <c r="J166" s="140">
        <f>IFERROR(__xludf.DUMMYFUNCTION("""COMPUTED_VALUE"""),1603358.0)</f>
        <v>1603358</v>
      </c>
      <c r="K166" s="140" t="str">
        <f>IFERROR(__xludf.DUMMYFUNCTION("""COMPUTED_VALUE"""),"Die komplette C# Masterclass - von 0 auf 100 in 6 Wochen")</f>
        <v>Die komplette C# Masterclass - von 0 auf 100 in 6 Wochen</v>
      </c>
      <c r="M166" s="140" t="str">
        <f>IFERROR(__xludf.DUMMYFUNCTION("""COMPUTED_VALUE"""),"")</f>
        <v/>
      </c>
    </row>
    <row r="167">
      <c r="A167" s="141">
        <f>IFERROR(__xludf.DUMMYFUNCTION("""COMPUTED_VALUE"""),44134.0)</f>
        <v>44134</v>
      </c>
      <c r="B167" s="140">
        <f>IFERROR(__xludf.DUMMYFUNCTION("""COMPUTED_VALUE"""),2095610.0)</f>
        <v>2095610</v>
      </c>
      <c r="C167" s="140" t="str">
        <f>IFERROR(__xludf.DUMMYFUNCTION("""COMPUTED_VALUE"""),"EN")</f>
        <v>EN</v>
      </c>
      <c r="D167" t="str">
        <f>IFERROR(__xludf.DUMMYFUNCTION("""COMPUTED_VALUE"""),"PLC Object Oriented Programming :Advanced Infrastructure")</f>
        <v>PLC Object Oriented Programming :Advanced Infrastructure</v>
      </c>
      <c r="F167" t="str">
        <f>IFERROR(__xludf.DUMMYFUNCTION("""COMPUTED_VALUE"""),"Mouhammad Hamsho")</f>
        <v>Mouhammad Hamsho</v>
      </c>
      <c r="G167" t="str">
        <f>IFERROR(__xludf.DUMMYFUNCTION("""COMPUTED_VALUE"""),"Instructor Request- Exclusivity")</f>
        <v>Instructor Request- Exclusivity</v>
      </c>
      <c r="H167" s="142" t="str">
        <f>IFERROR(__xludf.DUMMYFUNCTION("""COMPUTED_VALUE"""),"IT Operations")</f>
        <v>IT Operations</v>
      </c>
      <c r="I167" s="142" t="str">
        <f>IFERROR(__xludf.DUMMYFUNCTION("""COMPUTED_VALUE"""),"Hardware")</f>
        <v>Hardware</v>
      </c>
      <c r="K167" s="140" t="str">
        <f>IFERROR(__xludf.DUMMYFUNCTION("""COMPUTED_VALUE"""),"")</f>
        <v/>
      </c>
      <c r="M167" s="140" t="str">
        <f>IFERROR(__xludf.DUMMYFUNCTION("""COMPUTED_VALUE"""),"")</f>
        <v/>
      </c>
      <c r="N167" s="140" t="str">
        <f>IFERROR(__xludf.DUMMYFUNCTION("""COMPUTED_VALUE"""),"No alternative in collection - 04/30/2020")</f>
        <v>No alternative in collection - 04/30/2020</v>
      </c>
    </row>
    <row r="168">
      <c r="A168" s="141">
        <f>IFERROR(__xludf.DUMMYFUNCTION("""COMPUTED_VALUE"""),44134.0)</f>
        <v>44134</v>
      </c>
      <c r="B168" s="140">
        <f>IFERROR(__xludf.DUMMYFUNCTION("""COMPUTED_VALUE"""),1324950.0)</f>
        <v>1324950</v>
      </c>
      <c r="C168" s="140" t="str">
        <f>IFERROR(__xludf.DUMMYFUNCTION("""COMPUTED_VALUE"""),"EN")</f>
        <v>EN</v>
      </c>
      <c r="D168" t="str">
        <f>IFERROR(__xludf.DUMMYFUNCTION("""COMPUTED_VALUE"""),"Ethereum Developer Masterclass: Build Real World Projects")</f>
        <v>Ethereum Developer Masterclass: Build Real World Projects</v>
      </c>
      <c r="F168" t="str">
        <f>IFERROR(__xludf.DUMMYFUNCTION("""COMPUTED_VALUE"""),"Thomas Wiesner")</f>
        <v>Thomas Wiesner</v>
      </c>
      <c r="G168" t="str">
        <f>IFERROR(__xludf.DUMMYFUNCTION("""COMPUTED_VALUE"""),"Instructor Request- Opted Out")</f>
        <v>Instructor Request- Opted Out</v>
      </c>
      <c r="H168" s="142" t="str">
        <f>IFERROR(__xludf.DUMMYFUNCTION("""COMPUTED_VALUE"""),"Development")</f>
        <v>Development</v>
      </c>
      <c r="I168" s="142" t="str">
        <f>IFERROR(__xludf.DUMMYFUNCTION("""COMPUTED_VALUE"""),"Database Design &amp; Development")</f>
        <v>Database Design &amp; Development</v>
      </c>
      <c r="K168" s="140" t="str">
        <f>IFERROR(__xludf.DUMMYFUNCTION("""COMPUTED_VALUE"""),"")</f>
        <v/>
      </c>
      <c r="M168" s="140" t="str">
        <f>IFERROR(__xludf.DUMMYFUNCTION("""COMPUTED_VALUE"""),"")</f>
        <v/>
      </c>
      <c r="N168" s="140" t="str">
        <f>IFERROR(__xludf.DUMMYFUNCTION("""COMPUTED_VALUE"""),"No alternative in collection - 04/30/2020")</f>
        <v>No alternative in collection - 04/30/2020</v>
      </c>
    </row>
    <row r="169">
      <c r="A169" s="141">
        <f>IFERROR(__xludf.DUMMYFUNCTION("""COMPUTED_VALUE"""),44134.0)</f>
        <v>44134</v>
      </c>
      <c r="B169" s="140">
        <f>IFERROR(__xludf.DUMMYFUNCTION("""COMPUTED_VALUE"""),848226.0)</f>
        <v>848226</v>
      </c>
      <c r="C169" s="140" t="str">
        <f>IFERROR(__xludf.DUMMYFUNCTION("""COMPUTED_VALUE"""),"EN")</f>
        <v>EN</v>
      </c>
      <c r="D169" t="str">
        <f>IFERROR(__xludf.DUMMYFUNCTION("""COMPUTED_VALUE"""),"30 Copywriting Secrets from the Best Ad Campaign of All Time")</f>
        <v>30 Copywriting Secrets from the Best Ad Campaign of All Time</v>
      </c>
      <c r="F169" t="str">
        <f>IFERROR(__xludf.DUMMYFUNCTION("""COMPUTED_VALUE"""),"Alan Sharpe")</f>
        <v>Alan Sharpe</v>
      </c>
      <c r="G169" t="str">
        <f>IFERROR(__xludf.DUMMYFUNCTION("""COMPUTED_VALUE"""),"Instructor Request- Outdated")</f>
        <v>Instructor Request- Outdated</v>
      </c>
      <c r="H169" s="142" t="str">
        <f>IFERROR(__xludf.DUMMYFUNCTION("""COMPUTED_VALUE"""),"Marketing")</f>
        <v>Marketing</v>
      </c>
      <c r="I169" s="142" t="str">
        <f>IFERROR(__xludf.DUMMYFUNCTION("""COMPUTED_VALUE"""),"Paid Advertising")</f>
        <v>Paid Advertising</v>
      </c>
      <c r="J169" s="140">
        <f>IFERROR(__xludf.DUMMYFUNCTION("""COMPUTED_VALUE"""),325666.0)</f>
        <v>325666</v>
      </c>
      <c r="K169" s="140" t="str">
        <f>IFERROR(__xludf.DUMMYFUNCTION("""COMPUTED_VALUE"""),"Copywriting secrets - How to write copy that sells")</f>
        <v>Copywriting secrets - How to write copy that sells</v>
      </c>
      <c r="M169" s="140" t="str">
        <f>IFERROR(__xludf.DUMMYFUNCTION("""COMPUTED_VALUE"""),"")</f>
        <v/>
      </c>
    </row>
    <row r="170">
      <c r="A170" s="141">
        <f>IFERROR(__xludf.DUMMYFUNCTION("""COMPUTED_VALUE"""),44134.0)</f>
        <v>44134</v>
      </c>
      <c r="B170" s="140">
        <f>IFERROR(__xludf.DUMMYFUNCTION("""COMPUTED_VALUE"""),1647296.0)</f>
        <v>1647296</v>
      </c>
      <c r="C170" s="140" t="str">
        <f>IFERROR(__xludf.DUMMYFUNCTION("""COMPUTED_VALUE"""),"EN")</f>
        <v>EN</v>
      </c>
      <c r="D170" t="str">
        <f>IFERROR(__xludf.DUMMYFUNCTION("""COMPUTED_VALUE"""),"Discovering Godot: Make Video Games in Python-like GDScript")</f>
        <v>Discovering Godot: Make Video Games in Python-like GDScript</v>
      </c>
      <c r="F170" t="str">
        <f>IFERROR(__xludf.DUMMYFUNCTION("""COMPUTED_VALUE"""),"Ben Tristem")</f>
        <v>Ben Tristem</v>
      </c>
      <c r="G170" t="str">
        <f>IFERROR(__xludf.DUMMYFUNCTION("""COMPUTED_VALUE"""),"Instructor Request- No Detail")</f>
        <v>Instructor Request- No Detail</v>
      </c>
      <c r="H170" s="142" t="str">
        <f>IFERROR(__xludf.DUMMYFUNCTION("""COMPUTED_VALUE"""),"Development")</f>
        <v>Development</v>
      </c>
      <c r="I170" s="142" t="str">
        <f>IFERROR(__xludf.DUMMYFUNCTION("""COMPUTED_VALUE"""),"Game Development")</f>
        <v>Game Development</v>
      </c>
      <c r="K170" s="140" t="str">
        <f>IFERROR(__xludf.DUMMYFUNCTION("""COMPUTED_VALUE"""),"")</f>
        <v/>
      </c>
      <c r="M170" s="140" t="str">
        <f>IFERROR(__xludf.DUMMYFUNCTION("""COMPUTED_VALUE"""),"")</f>
        <v/>
      </c>
      <c r="N170" s="140" t="str">
        <f>IFERROR(__xludf.DUMMYFUNCTION("""COMPUTED_VALUE"""),"No Alternatives in Collection- 9/20/2020")</f>
        <v>No Alternatives in Collection- 9/20/2020</v>
      </c>
    </row>
    <row r="171">
      <c r="A171" s="141">
        <f>IFERROR(__xludf.DUMMYFUNCTION("""COMPUTED_VALUE"""),44134.0)</f>
        <v>44134</v>
      </c>
      <c r="B171" s="140">
        <f>IFERROR(__xludf.DUMMYFUNCTION("""COMPUTED_VALUE"""),1939364.0)</f>
        <v>1939364</v>
      </c>
      <c r="C171" s="140" t="str">
        <f>IFERROR(__xludf.DUMMYFUNCTION("""COMPUTED_VALUE"""),"EN")</f>
        <v>EN</v>
      </c>
      <c r="D171" t="str">
        <f>IFERROR(__xludf.DUMMYFUNCTION("""COMPUTED_VALUE"""),"PLC at home using Arduino and CODESYS-Automation Control lab")</f>
        <v>PLC at home using Arduino and CODESYS-Automation Control lab</v>
      </c>
      <c r="F171" t="str">
        <f>IFERROR(__xludf.DUMMYFUNCTION("""COMPUTED_VALUE"""),"Mouhammad Hamsho")</f>
        <v>Mouhammad Hamsho</v>
      </c>
      <c r="G171" t="str">
        <f>IFERROR(__xludf.DUMMYFUNCTION("""COMPUTED_VALUE"""),"Instructor Request- Exclusivity")</f>
        <v>Instructor Request- Exclusivity</v>
      </c>
      <c r="H171" s="142" t="str">
        <f>IFERROR(__xludf.DUMMYFUNCTION("""COMPUTED_VALUE"""),"IT Operations")</f>
        <v>IT Operations</v>
      </c>
      <c r="I171" s="142" t="str">
        <f>IFERROR(__xludf.DUMMYFUNCTION("""COMPUTED_VALUE"""),"Hardware")</f>
        <v>Hardware</v>
      </c>
      <c r="K171" s="140" t="str">
        <f>IFERROR(__xludf.DUMMYFUNCTION("""COMPUTED_VALUE"""),"")</f>
        <v/>
      </c>
      <c r="M171" s="140" t="str">
        <f>IFERROR(__xludf.DUMMYFUNCTION("""COMPUTED_VALUE"""),"")</f>
        <v/>
      </c>
      <c r="N171" s="140" t="str">
        <f>IFERROR(__xludf.DUMMYFUNCTION("""COMPUTED_VALUE"""),"No alternative in collection - 04/30/2020")</f>
        <v>No alternative in collection - 04/30/2020</v>
      </c>
    </row>
    <row r="172">
      <c r="A172" s="141">
        <f>IFERROR(__xludf.DUMMYFUNCTION("""COMPUTED_VALUE"""),44134.0)</f>
        <v>44134</v>
      </c>
      <c r="B172" s="140">
        <f>IFERROR(__xludf.DUMMYFUNCTION("""COMPUTED_VALUE"""),2109522.0)</f>
        <v>2109522</v>
      </c>
      <c r="C172" s="140" t="str">
        <f>IFERROR(__xludf.DUMMYFUNCTION("""COMPUTED_VALUE"""),"EN")</f>
        <v>EN</v>
      </c>
      <c r="D172" t="str">
        <f>IFERROR(__xludf.DUMMYFUNCTION("""COMPUTED_VALUE"""),"Selenium WebDriver with Docker, Jenkins &amp; AWS")</f>
        <v>Selenium WebDriver with Docker, Jenkins &amp; AWS</v>
      </c>
      <c r="F172" t="str">
        <f>IFERROR(__xludf.DUMMYFUNCTION("""COMPUTED_VALUE"""),"Vinoth Selvaraj")</f>
        <v>Vinoth Selvaraj</v>
      </c>
      <c r="G172" t="str">
        <f>IFERROR(__xludf.DUMMYFUNCTION("""COMPUTED_VALUE"""),"Instructor Request- Opted Out")</f>
        <v>Instructor Request- Opted Out</v>
      </c>
      <c r="H172" s="142" t="str">
        <f>IFERROR(__xludf.DUMMYFUNCTION("""COMPUTED_VALUE"""),"Development")</f>
        <v>Development</v>
      </c>
      <c r="I172" s="142" t="str">
        <f>IFERROR(__xludf.DUMMYFUNCTION("""COMPUTED_VALUE"""),"Software Testing")</f>
        <v>Software Testing</v>
      </c>
      <c r="K172" s="140" t="str">
        <f>IFERROR(__xludf.DUMMYFUNCTION("""COMPUTED_VALUE"""),"")</f>
        <v/>
      </c>
      <c r="M172" s="140" t="str">
        <f>IFERROR(__xludf.DUMMYFUNCTION("""COMPUTED_VALUE"""),"")</f>
        <v/>
      </c>
      <c r="N172" s="140" t="str">
        <f>IFERROR(__xludf.DUMMYFUNCTION("""COMPUTED_VALUE"""),"No alternative in collection - 04/30/2020")</f>
        <v>No alternative in collection - 04/30/2020</v>
      </c>
    </row>
    <row r="173">
      <c r="A173" s="141">
        <f>IFERROR(__xludf.DUMMYFUNCTION("""COMPUTED_VALUE"""),44134.0)</f>
        <v>44134</v>
      </c>
      <c r="B173" s="140">
        <f>IFERROR(__xludf.DUMMYFUNCTION("""COMPUTED_VALUE"""),2355482.0)</f>
        <v>2355482</v>
      </c>
      <c r="C173" s="140" t="str">
        <f>IFERROR(__xludf.DUMMYFUNCTION("""COMPUTED_VALUE"""),"EN")</f>
        <v>EN</v>
      </c>
      <c r="D173" t="str">
        <f>IFERROR(__xludf.DUMMYFUNCTION("""COMPUTED_VALUE"""),"Inspirational Leadership Skills")</f>
        <v>Inspirational Leadership Skills</v>
      </c>
      <c r="F173" t="str">
        <f>IFERROR(__xludf.DUMMYFUNCTION("""COMPUTED_VALUE"""),"Chris Croft")</f>
        <v>Chris Croft</v>
      </c>
      <c r="G173" t="str">
        <f>IFERROR(__xludf.DUMMYFUNCTION("""COMPUTED_VALUE"""),"Instructor Request- No Detail")</f>
        <v>Instructor Request- No Detail</v>
      </c>
      <c r="H173" s="142" t="str">
        <f>IFERROR(__xludf.DUMMYFUNCTION("""COMPUTED_VALUE"""),"Leadership &amp; Management")</f>
        <v>Leadership &amp; Management</v>
      </c>
      <c r="I173" s="142" t="str">
        <f>IFERROR(__xludf.DUMMYFUNCTION("""COMPUTED_VALUE"""),"Leadership")</f>
        <v>Leadership</v>
      </c>
      <c r="J173" s="140">
        <f>IFERROR(__xludf.DUMMYFUNCTION("""COMPUTED_VALUE"""),613808.0)</f>
        <v>613808</v>
      </c>
      <c r="K173" s="140" t="str">
        <f>IFERROR(__xludf.DUMMYFUNCTION("""COMPUTED_VALUE"""),"Leadership: Practical Leadership Skills")</f>
        <v>Leadership: Practical Leadership Skills</v>
      </c>
      <c r="M173" s="140" t="str">
        <f>IFERROR(__xludf.DUMMYFUNCTION("""COMPUTED_VALUE"""),"")</f>
        <v/>
      </c>
    </row>
    <row r="174">
      <c r="A174" s="141">
        <f>IFERROR(__xludf.DUMMYFUNCTION("""COMPUTED_VALUE"""),44134.0)</f>
        <v>44134</v>
      </c>
      <c r="B174" s="140">
        <f>IFERROR(__xludf.DUMMYFUNCTION("""COMPUTED_VALUE"""),2430284.0)</f>
        <v>2430284</v>
      </c>
      <c r="C174" s="140" t="str">
        <f>IFERROR(__xludf.DUMMYFUNCTION("""COMPUTED_VALUE"""),"EN")</f>
        <v>EN</v>
      </c>
      <c r="D174" t="str">
        <f>IFERROR(__xludf.DUMMYFUNCTION("""COMPUTED_VALUE"""),"Java 8 and Beyond for SDET")</f>
        <v>Java 8 and Beyond for SDET</v>
      </c>
      <c r="F174" t="str">
        <f>IFERROR(__xludf.DUMMYFUNCTION("""COMPUTED_VALUE"""),"Vinoth Selvaraj")</f>
        <v>Vinoth Selvaraj</v>
      </c>
      <c r="G174" t="str">
        <f>IFERROR(__xludf.DUMMYFUNCTION("""COMPUTED_VALUE"""),"Instructor Request- Opted Out")</f>
        <v>Instructor Request- Opted Out</v>
      </c>
      <c r="H174" s="142" t="str">
        <f>IFERROR(__xludf.DUMMYFUNCTION("""COMPUTED_VALUE"""),"Development")</f>
        <v>Development</v>
      </c>
      <c r="I174" s="142" t="str">
        <f>IFERROR(__xludf.DUMMYFUNCTION("""COMPUTED_VALUE"""),"Software Testing")</f>
        <v>Software Testing</v>
      </c>
      <c r="K174" s="140" t="str">
        <f>IFERROR(__xludf.DUMMYFUNCTION("""COMPUTED_VALUE"""),"")</f>
        <v/>
      </c>
      <c r="M174" s="140" t="str">
        <f>IFERROR(__xludf.DUMMYFUNCTION("""COMPUTED_VALUE"""),"")</f>
        <v/>
      </c>
      <c r="N174" s="140" t="str">
        <f>IFERROR(__xludf.DUMMYFUNCTION("""COMPUTED_VALUE"""),"No alternative in collection - 04/30/2020")</f>
        <v>No alternative in collection - 04/30/2020</v>
      </c>
    </row>
    <row r="175">
      <c r="A175" s="141">
        <f>IFERROR(__xludf.DUMMYFUNCTION("""COMPUTED_VALUE"""),44134.0)</f>
        <v>44134</v>
      </c>
      <c r="B175" s="140">
        <f>IFERROR(__xludf.DUMMYFUNCTION("""COMPUTED_VALUE"""),520308.0)</f>
        <v>520308</v>
      </c>
      <c r="C175" s="140" t="str">
        <f>IFERROR(__xludf.DUMMYFUNCTION("""COMPUTED_VALUE"""),"EN")</f>
        <v>EN</v>
      </c>
      <c r="D175" t="str">
        <f>IFERROR(__xludf.DUMMYFUNCTION("""COMPUTED_VALUE"""),"Learn to make a colorful one page website")</f>
        <v>Learn to make a colorful one page website</v>
      </c>
      <c r="F175" t="str">
        <f>IFERROR(__xludf.DUMMYFUNCTION("""COMPUTED_VALUE"""),"John Bura")</f>
        <v>John Bura</v>
      </c>
      <c r="G175" t="str">
        <f>IFERROR(__xludf.DUMMYFUNCTION("""COMPUTED_VALUE"""),"Inactive Instructor")</f>
        <v>Inactive Instructor</v>
      </c>
      <c r="H175" s="142" t="str">
        <f>IFERROR(__xludf.DUMMYFUNCTION("""COMPUTED_VALUE"""),"Development")</f>
        <v>Development</v>
      </c>
      <c r="I175" s="142" t="str">
        <f>IFERROR(__xludf.DUMMYFUNCTION("""COMPUTED_VALUE"""),"Web Development")</f>
        <v>Web Development</v>
      </c>
      <c r="K175" s="140" t="str">
        <f>IFERROR(__xludf.DUMMYFUNCTION("""COMPUTED_VALUE"""),"")</f>
        <v/>
      </c>
      <c r="M175" s="140" t="str">
        <f>IFERROR(__xludf.DUMMYFUNCTION("""COMPUTED_VALUE"""),"")</f>
        <v/>
      </c>
      <c r="N175" s="140" t="str">
        <f>IFERROR(__xludf.DUMMYFUNCTION("""COMPUTED_VALUE"""),"No alternative in collection - 04/30/2020")</f>
        <v>No alternative in collection - 04/30/2020</v>
      </c>
    </row>
    <row r="176">
      <c r="A176" s="141">
        <f>IFERROR(__xludf.DUMMYFUNCTION("""COMPUTED_VALUE"""),44119.0)</f>
        <v>44119</v>
      </c>
      <c r="B176" s="140">
        <f>IFERROR(__xludf.DUMMYFUNCTION("""COMPUTED_VALUE"""),3197956.0)</f>
        <v>3197956</v>
      </c>
      <c r="C176" s="140" t="str">
        <f>IFERROR(__xludf.DUMMYFUNCTION("""COMPUTED_VALUE"""),"EN")</f>
        <v>EN</v>
      </c>
      <c r="D176" t="str">
        <f>IFERROR(__xludf.DUMMYFUNCTION("""COMPUTED_VALUE"""),"SAP HANA SQL Scripting - Step 1")</f>
        <v>SAP HANA SQL Scripting - Step 1</v>
      </c>
      <c r="F176" t="str">
        <f>IFERROR(__xludf.DUMMYFUNCTION("""COMPUTED_VALUE"""),"Time4HANA T4H")</f>
        <v>Time4HANA T4H</v>
      </c>
      <c r="G176" t="str">
        <f>IFERROR(__xludf.DUMMYFUNCTION("""COMPUTED_VALUE"""),"Instructor Practices")</f>
        <v>Instructor Practices</v>
      </c>
      <c r="H176" s="142" t="str">
        <f>IFERROR(__xludf.DUMMYFUNCTION("""COMPUTED_VALUE"""),"Data Science")</f>
        <v>Data Science</v>
      </c>
      <c r="I176" s="142" t="str">
        <f>IFERROR(__xludf.DUMMYFUNCTION("""COMPUTED_VALUE"""),"Analytics")</f>
        <v>Analytics</v>
      </c>
      <c r="K176" s="140" t="str">
        <f>IFERROR(__xludf.DUMMYFUNCTION("""COMPUTED_VALUE"""),"")</f>
        <v/>
      </c>
      <c r="M176" s="140" t="str">
        <f>IFERROR(__xludf.DUMMYFUNCTION("""COMPUTED_VALUE"""),"")</f>
        <v/>
      </c>
    </row>
    <row r="177">
      <c r="A177" s="141">
        <f>IFERROR(__xludf.DUMMYFUNCTION("""COMPUTED_VALUE"""),44119.0)</f>
        <v>44119</v>
      </c>
      <c r="B177" s="140">
        <f>IFERROR(__xludf.DUMMYFUNCTION("""COMPUTED_VALUE"""),3314694.0)</f>
        <v>3314694</v>
      </c>
      <c r="C177" s="140" t="str">
        <f>IFERROR(__xludf.DUMMYFUNCTION("""COMPUTED_VALUE"""),"EN")</f>
        <v>EN</v>
      </c>
      <c r="D177" t="str">
        <f>IFERROR(__xludf.DUMMYFUNCTION("""COMPUTED_VALUE"""),"Scrum Master II™ Exam Prep 2020 - Pass on your FIRST try!")</f>
        <v>Scrum Master II™ Exam Prep 2020 - Pass on your FIRST try!</v>
      </c>
      <c r="F177" t="str">
        <f>IFERROR(__xludf.DUMMYFUNCTION("""COMPUTED_VALUE"""),"Scrum Doan")</f>
        <v>Scrum Doan</v>
      </c>
      <c r="G177" t="str">
        <f>IFERROR(__xludf.DUMMYFUNCTION("""COMPUTED_VALUE"""),"Instructor Practices")</f>
        <v>Instructor Practices</v>
      </c>
      <c r="H177" s="142" t="str">
        <f>IFERROR(__xludf.DUMMYFUNCTION("""COMPUTED_VALUE"""),"IT Operations")</f>
        <v>IT Operations</v>
      </c>
      <c r="I177" s="142" t="str">
        <f>IFERROR(__xludf.DUMMYFUNCTION("""COMPUTED_VALUE"""),"IT Certifications")</f>
        <v>IT Certifications</v>
      </c>
      <c r="K177" s="140" t="str">
        <f>IFERROR(__xludf.DUMMYFUNCTION("""COMPUTED_VALUE"""),"")</f>
        <v/>
      </c>
      <c r="M177" s="140" t="str">
        <f>IFERROR(__xludf.DUMMYFUNCTION("""COMPUTED_VALUE"""),"")</f>
        <v/>
      </c>
    </row>
    <row r="178">
      <c r="A178" s="141">
        <f>IFERROR(__xludf.DUMMYFUNCTION("""COMPUTED_VALUE"""),44111.0)</f>
        <v>44111</v>
      </c>
      <c r="B178" s="140">
        <f>IFERROR(__xludf.DUMMYFUNCTION("""COMPUTED_VALUE"""),1640438.0)</f>
        <v>1640438</v>
      </c>
      <c r="C178" s="140" t="str">
        <f>IFERROR(__xludf.DUMMYFUNCTION("""COMPUTED_VALUE"""),"DE")</f>
        <v>DE</v>
      </c>
      <c r="D178" t="str">
        <f>IFERROR(__xludf.DUMMYFUNCTION("""COMPUTED_VALUE"""),"Photoshop 1x1 - Photoshop für Anfänger und Fortgeschrittene")</f>
        <v>Photoshop 1x1 - Photoshop für Anfänger und Fortgeschrittene</v>
      </c>
      <c r="E178" t="str">
        <f>IFERROR(__xludf.DUMMYFUNCTION("""COMPUTED_VALUE"""),"Photoshop 1x1 - Photoshop for beginners and advanced")</f>
        <v>Photoshop 1x1 - Photoshop for beginners and advanced</v>
      </c>
      <c r="F178" t="str">
        <f>IFERROR(__xludf.DUMMYFUNCTION("""COMPUTED_VALUE"""),"Matthias Butz")</f>
        <v>Matthias Butz</v>
      </c>
      <c r="G178" t="str">
        <f>IFERROR(__xludf.DUMMYFUNCTION("""COMPUTED_VALUE"""),"Instructor Request- Opted Out")</f>
        <v>Instructor Request- Opted Out</v>
      </c>
      <c r="H178" s="142" t="str">
        <f>IFERROR(__xludf.DUMMYFUNCTION("""COMPUTED_VALUE"""),"Design")</f>
        <v>Design</v>
      </c>
      <c r="I178" s="142" t="str">
        <f>IFERROR(__xludf.DUMMYFUNCTION("""COMPUTED_VALUE"""),"Graphic Design")</f>
        <v>Graphic Design</v>
      </c>
      <c r="K178" s="140" t="str">
        <f>IFERROR(__xludf.DUMMYFUNCTION("""COMPUTED_VALUE"""),"")</f>
        <v/>
      </c>
      <c r="M178" s="140" t="str">
        <f>IFERROR(__xludf.DUMMYFUNCTION("""COMPUTED_VALUE"""),"")</f>
        <v/>
      </c>
    </row>
    <row r="179">
      <c r="A179" s="141">
        <f>IFERROR(__xludf.DUMMYFUNCTION("""COMPUTED_VALUE"""),44111.0)</f>
        <v>44111</v>
      </c>
      <c r="B179" s="140">
        <f>IFERROR(__xludf.DUMMYFUNCTION("""COMPUTED_VALUE"""),1619072.0)</f>
        <v>1619072</v>
      </c>
      <c r="C179" s="140" t="str">
        <f>IFERROR(__xludf.DUMMYFUNCTION("""COMPUTED_VALUE"""),"ES")</f>
        <v>ES</v>
      </c>
      <c r="D179" s="140" t="str">
        <f>IFERROR(__xludf.DUMMYFUNCTION("""COMPUTED_VALUE"""),"Curso de Arabe 2020")</f>
        <v>Curso de Arabe 2020</v>
      </c>
      <c r="E179" s="140" t="str">
        <f>IFERROR(__xludf.DUMMYFUNCTION("""COMPUTED_VALUE"""),"Course Arabe 2020")</f>
        <v>Course Arabe 2020</v>
      </c>
      <c r="F179" t="str">
        <f>IFERROR(__xludf.DUMMYFUNCTION("""COMPUTED_VALUE"""),"iQra Musulmana")</f>
        <v>iQra Musulmana</v>
      </c>
      <c r="G179" t="str">
        <f>IFERROR(__xludf.DUMMYFUNCTION("""COMPUTED_VALUE"""),"Instructor Request- Opted Out")</f>
        <v>Instructor Request- Opted Out</v>
      </c>
      <c r="H179" s="142" t="str">
        <f>IFERROR(__xludf.DUMMYFUNCTION("""COMPUTED_VALUE"""),"Personal Development")</f>
        <v>Personal Development</v>
      </c>
      <c r="I179" s="142" t="str">
        <f>IFERROR(__xludf.DUMMYFUNCTION("""COMPUTED_VALUE"""),"Language Learning")</f>
        <v>Language Learning</v>
      </c>
      <c r="K179" s="140" t="str">
        <f>IFERROR(__xludf.DUMMYFUNCTION("""COMPUTED_VALUE"""),"")</f>
        <v/>
      </c>
      <c r="M179" s="140" t="str">
        <f>IFERROR(__xludf.DUMMYFUNCTION("""COMPUTED_VALUE"""),"")</f>
        <v/>
      </c>
    </row>
    <row r="180">
      <c r="A180" s="141">
        <f>IFERROR(__xludf.DUMMYFUNCTION("""COMPUTED_VALUE"""),44111.0)</f>
        <v>44111</v>
      </c>
      <c r="B180" s="140">
        <f>IFERROR(__xludf.DUMMYFUNCTION("""COMPUTED_VALUE"""),1426556.0)</f>
        <v>1426556</v>
      </c>
      <c r="C180" s="140" t="str">
        <f>IFERROR(__xludf.DUMMYFUNCTION("""COMPUTED_VALUE"""),"ES")</f>
        <v>ES</v>
      </c>
      <c r="D180" s="140" t="str">
        <f>IFERROR(__xludf.DUMMYFUNCTION("""COMPUTED_VALUE"""),"Aprende Árabe #1 El Alfabeto")</f>
        <v>Aprende Árabe #1 El Alfabeto</v>
      </c>
      <c r="E180" s="140" t="str">
        <f>IFERROR(__xludf.DUMMYFUNCTION("""COMPUTED_VALUE"""),"Learn Arabic Alphabet # 1")</f>
        <v>Learn Arabic Alphabet # 1</v>
      </c>
      <c r="F180" t="str">
        <f>IFERROR(__xludf.DUMMYFUNCTION("""COMPUTED_VALUE"""),"iQra Musulmana")</f>
        <v>iQra Musulmana</v>
      </c>
      <c r="G180" t="str">
        <f>IFERROR(__xludf.DUMMYFUNCTION("""COMPUTED_VALUE"""),"Instructor Request- Opted Out")</f>
        <v>Instructor Request- Opted Out</v>
      </c>
      <c r="H180" s="142" t="str">
        <f>IFERROR(__xludf.DUMMYFUNCTION("""COMPUTED_VALUE"""),"Personal Development")</f>
        <v>Personal Development</v>
      </c>
      <c r="I180" s="142" t="str">
        <f>IFERROR(__xludf.DUMMYFUNCTION("""COMPUTED_VALUE"""),"Language Learning")</f>
        <v>Language Learning</v>
      </c>
      <c r="K180" s="140" t="str">
        <f>IFERROR(__xludf.DUMMYFUNCTION("""COMPUTED_VALUE"""),"")</f>
        <v/>
      </c>
      <c r="M180" s="140" t="str">
        <f>IFERROR(__xludf.DUMMYFUNCTION("""COMPUTED_VALUE"""),"")</f>
        <v/>
      </c>
    </row>
    <row r="181">
      <c r="A181" s="141">
        <f>IFERROR(__xludf.DUMMYFUNCTION("""COMPUTED_VALUE"""),44111.0)</f>
        <v>44111</v>
      </c>
      <c r="B181" s="140">
        <f>IFERROR(__xludf.DUMMYFUNCTION("""COMPUTED_VALUE"""),1298186.0)</f>
        <v>1298186</v>
      </c>
      <c r="C181" s="140" t="str">
        <f>IFERROR(__xludf.DUMMYFUNCTION("""COMPUTED_VALUE"""),"PT")</f>
        <v>PT</v>
      </c>
      <c r="D181" s="140" t="str">
        <f>IFERROR(__xludf.DUMMYFUNCTION("""COMPUTED_VALUE"""),"Como FALAR EM PÚBLICO e FAZER APRESENTAÇÕES!")</f>
        <v>Como FALAR EM PÚBLICO e FAZER APRESENTAÇÕES!</v>
      </c>
      <c r="E181" t="str">
        <f>IFERROR(__xludf.DUMMYFUNCTION("""COMPUTED_VALUE"""),"How to speak in public and make presentations!")</f>
        <v>How to speak in public and make presentations!</v>
      </c>
      <c r="F181" s="142" t="str">
        <f>IFERROR(__xludf.DUMMYFUNCTION("""COMPUTED_VALUE"""),"Livia Bello")</f>
        <v>Livia Bello</v>
      </c>
      <c r="G181" t="str">
        <f>IFERROR(__xludf.DUMMYFUNCTION("""COMPUTED_VALUE"""),"Instructor Request- Opted Out")</f>
        <v>Instructor Request- Opted Out</v>
      </c>
      <c r="H181" s="142" t="str">
        <f>IFERROR(__xludf.DUMMYFUNCTION("""COMPUTED_VALUE"""),"Leadership &amp; Management")</f>
        <v>Leadership &amp; Management</v>
      </c>
      <c r="I181" s="142" t="str">
        <f>IFERROR(__xludf.DUMMYFUNCTION("""COMPUTED_VALUE"""),"Communication")</f>
        <v>Communication</v>
      </c>
      <c r="K181" s="140" t="str">
        <f>IFERROR(__xludf.DUMMYFUNCTION("""COMPUTED_VALUE"""),"")</f>
        <v/>
      </c>
      <c r="M181" s="140" t="str">
        <f>IFERROR(__xludf.DUMMYFUNCTION("""COMPUTED_VALUE"""),"")</f>
        <v/>
      </c>
    </row>
    <row r="182">
      <c r="A182" s="141">
        <f>IFERROR(__xludf.DUMMYFUNCTION("""COMPUTED_VALUE"""),44104.0)</f>
        <v>44104</v>
      </c>
      <c r="B182" s="140">
        <f>IFERROR(__xludf.DUMMYFUNCTION("""COMPUTED_VALUE"""),2124660.0)</f>
        <v>2124660</v>
      </c>
      <c r="C182" s="140" t="str">
        <f>IFERROR(__xludf.DUMMYFUNCTION("""COMPUTED_VALUE"""),"EN")</f>
        <v>EN</v>
      </c>
      <c r="D182" s="140" t="str">
        <f>IFERROR(__xludf.DUMMYFUNCTION("""COMPUTED_VALUE"""),"Arduino Graphic TFT LCD with touch screen master class")</f>
        <v>Arduino Graphic TFT LCD with touch screen master class</v>
      </c>
      <c r="F182" s="142" t="str">
        <f>IFERROR(__xludf.DUMMYFUNCTION("""COMPUTED_VALUE"""),"Navid khan")</f>
        <v>Navid khan</v>
      </c>
      <c r="G182" t="str">
        <f>IFERROR(__xludf.DUMMYFUNCTION("""COMPUTED_VALUE"""),"Below Quality Standards- 3 Flags")</f>
        <v>Below Quality Standards- 3 Flags</v>
      </c>
      <c r="H182" s="142" t="str">
        <f>IFERROR(__xludf.DUMMYFUNCTION("""COMPUTED_VALUE"""),"IT Operations")</f>
        <v>IT Operations</v>
      </c>
      <c r="I182" s="142" t="str">
        <f>IFERROR(__xludf.DUMMYFUNCTION("""COMPUTED_VALUE"""),"Hardware")</f>
        <v>Hardware</v>
      </c>
      <c r="J182" s="140">
        <f>IFERROR(__xludf.DUMMYFUNCTION("""COMPUTED_VALUE"""),1067344.0)</f>
        <v>1067344</v>
      </c>
      <c r="K182" s="140" t="str">
        <f>IFERROR(__xludf.DUMMYFUNCTION("""COMPUTED_VALUE"""),"Arduino Programming and Hardware Fundamentals with Hackster")</f>
        <v>Arduino Programming and Hardware Fundamentals with Hackster</v>
      </c>
      <c r="M182" s="140" t="str">
        <f>IFERROR(__xludf.DUMMYFUNCTION("""COMPUTED_VALUE"""),"")</f>
        <v/>
      </c>
    </row>
    <row r="183">
      <c r="A183" s="141">
        <f>IFERROR(__xludf.DUMMYFUNCTION("""COMPUTED_VALUE"""),44104.0)</f>
        <v>44104</v>
      </c>
      <c r="B183" s="140">
        <f>IFERROR(__xludf.DUMMYFUNCTION("""COMPUTED_VALUE"""),1608596.0)</f>
        <v>1608596</v>
      </c>
      <c r="C183" s="140" t="str">
        <f>IFERROR(__xludf.DUMMYFUNCTION("""COMPUTED_VALUE"""),"EN")</f>
        <v>EN</v>
      </c>
      <c r="D183" s="140" t="str">
        <f>IFERROR(__xludf.DUMMYFUNCTION("""COMPUTED_VALUE"""),"Certified Secure Web Application Engineer (CSWAE)")</f>
        <v>Certified Secure Web Application Engineer (CSWAE)</v>
      </c>
      <c r="F183" s="142" t="str">
        <f>IFERROR(__xludf.DUMMYFUNCTION("""COMPUTED_VALUE"""),"Integrity Training")</f>
        <v>Integrity Training</v>
      </c>
      <c r="G183" t="str">
        <f>IFERROR(__xludf.DUMMYFUNCTION("""COMPUTED_VALUE"""),"Below Quality Standards- Low Rating")</f>
        <v>Below Quality Standards- Low Rating</v>
      </c>
      <c r="H183" s="142" t="str">
        <f>IFERROR(__xludf.DUMMYFUNCTION("""COMPUTED_VALUE"""),"IT Operations")</f>
        <v>IT Operations</v>
      </c>
      <c r="I183" s="142" t="str">
        <f>IFERROR(__xludf.DUMMYFUNCTION("""COMPUTED_VALUE"""),"IT Certifications")</f>
        <v>IT Certifications</v>
      </c>
      <c r="K183" s="140" t="str">
        <f>IFERROR(__xludf.DUMMYFUNCTION("""COMPUTED_VALUE"""),"")</f>
        <v/>
      </c>
      <c r="M183" s="140" t="str">
        <f>IFERROR(__xludf.DUMMYFUNCTION("""COMPUTED_VALUE"""),"")</f>
        <v/>
      </c>
      <c r="N183" s="140" t="str">
        <f>IFERROR(__xludf.DUMMYFUNCTION("""COMPUTED_VALUE"""),"No Alternatives in Collection-9/16/2020")</f>
        <v>No Alternatives in Collection-9/16/2020</v>
      </c>
    </row>
    <row r="184">
      <c r="A184" s="141">
        <f>IFERROR(__xludf.DUMMYFUNCTION("""COMPUTED_VALUE"""),44104.0)</f>
        <v>44104</v>
      </c>
      <c r="B184" s="140">
        <f>IFERROR(__xludf.DUMMYFUNCTION("""COMPUTED_VALUE"""),1222590.0)</f>
        <v>1222590</v>
      </c>
      <c r="C184" s="140" t="str">
        <f>IFERROR(__xludf.DUMMYFUNCTION("""COMPUTED_VALUE"""),"EN")</f>
        <v>EN</v>
      </c>
      <c r="D184" s="140" t="str">
        <f>IFERROR(__xludf.DUMMYFUNCTION("""COMPUTED_VALUE"""),"Hands-On Sketch Masterclass - Learn Web and Mobile Design")</f>
        <v>Hands-On Sketch Masterclass - Learn Web and Mobile Design</v>
      </c>
      <c r="F184" s="142" t="str">
        <f>IFERROR(__xludf.DUMMYFUNCTION("""COMPUTED_VALUE"""),"Arend Pryor")</f>
        <v>Arend Pryor</v>
      </c>
      <c r="G184" t="str">
        <f>IFERROR(__xludf.DUMMYFUNCTION("""COMPUTED_VALUE"""),"Instructor Request- Opted Out")</f>
        <v>Instructor Request- Opted Out</v>
      </c>
      <c r="H184" s="142" t="str">
        <f>IFERROR(__xludf.DUMMYFUNCTION("""COMPUTED_VALUE"""),"Design")</f>
        <v>Design</v>
      </c>
      <c r="I184" s="142" t="str">
        <f>IFERROR(__xludf.DUMMYFUNCTION("""COMPUTED_VALUE"""),"Design Tools")</f>
        <v>Design Tools</v>
      </c>
      <c r="J184" s="140">
        <f>IFERROR(__xludf.DUMMYFUNCTION("""COMPUTED_VALUE"""),1855830.0)</f>
        <v>1855830</v>
      </c>
      <c r="K184" s="140" t="str">
        <f>IFERROR(__xludf.DUMMYFUNCTION("""COMPUTED_VALUE"""),"The Complete Sketch 5 Course - Design Apps &amp; Websites 2020")</f>
        <v>The Complete Sketch 5 Course - Design Apps &amp; Websites 2020</v>
      </c>
      <c r="M184" s="140" t="str">
        <f>IFERROR(__xludf.DUMMYFUNCTION("""COMPUTED_VALUE"""),"")</f>
        <v/>
      </c>
    </row>
    <row r="185">
      <c r="A185" s="141">
        <f>IFERROR(__xludf.DUMMYFUNCTION("""COMPUTED_VALUE"""),44104.0)</f>
        <v>44104</v>
      </c>
      <c r="B185" s="140">
        <f>IFERROR(__xludf.DUMMYFUNCTION("""COMPUTED_VALUE"""),1696326.0)</f>
        <v>1696326</v>
      </c>
      <c r="C185" s="140" t="str">
        <f>IFERROR(__xludf.DUMMYFUNCTION("""COMPUTED_VALUE"""),"EN")</f>
        <v>EN</v>
      </c>
      <c r="D185" s="140" t="str">
        <f>IFERROR(__xludf.DUMMYFUNCTION("""COMPUTED_VALUE"""),"Polymer 3 - Code Like A Google Developer")</f>
        <v>Polymer 3 - Code Like A Google Developer</v>
      </c>
      <c r="F185" s="142" t="str">
        <f>IFERROR(__xludf.DUMMYFUNCTION("""COMPUTED_VALUE"""),"Joe Santos Garcia")</f>
        <v>Joe Santos Garcia</v>
      </c>
      <c r="G185" t="str">
        <f>IFERROR(__xludf.DUMMYFUNCTION("""COMPUTED_VALUE"""),"Below Quality Standards- 3 Flags")</f>
        <v>Below Quality Standards- 3 Flags</v>
      </c>
      <c r="H185" s="142" t="str">
        <f>IFERROR(__xludf.DUMMYFUNCTION("""COMPUTED_VALUE"""),"Development")</f>
        <v>Development</v>
      </c>
      <c r="I185" s="142" t="str">
        <f>IFERROR(__xludf.DUMMYFUNCTION("""COMPUTED_VALUE"""),"Web Development")</f>
        <v>Web Development</v>
      </c>
      <c r="K185" s="140" t="str">
        <f>IFERROR(__xludf.DUMMYFUNCTION("""COMPUTED_VALUE"""),"")</f>
        <v/>
      </c>
      <c r="M185" s="140" t="str">
        <f>IFERROR(__xludf.DUMMYFUNCTION("""COMPUTED_VALUE"""),"")</f>
        <v/>
      </c>
      <c r="N185" s="140" t="str">
        <f>IFERROR(__xludf.DUMMYFUNCTION("""COMPUTED_VALUE"""),"No Alternatives in Collection- 9/20/2020")</f>
        <v>No Alternatives in Collection- 9/20/2020</v>
      </c>
    </row>
    <row r="186">
      <c r="A186" s="141">
        <f>IFERROR(__xludf.DUMMYFUNCTION("""COMPUTED_VALUE"""),44104.0)</f>
        <v>44104</v>
      </c>
      <c r="B186" s="140">
        <f>IFERROR(__xludf.DUMMYFUNCTION("""COMPUTED_VALUE"""),14978.0)</f>
        <v>14978</v>
      </c>
      <c r="C186" s="140" t="str">
        <f>IFERROR(__xludf.DUMMYFUNCTION("""COMPUTED_VALUE"""),"EN")</f>
        <v>EN</v>
      </c>
      <c r="D186" s="140" t="str">
        <f>IFERROR(__xludf.DUMMYFUNCTION("""COMPUTED_VALUE"""),"Vet Your Startup Ideas With the Startup Matrix")</f>
        <v>Vet Your Startup Ideas With the Startup Matrix</v>
      </c>
      <c r="F186" s="142" t="str">
        <f>IFERROR(__xludf.DUMMYFUNCTION("""COMPUTED_VALUE"""),"Bronson Taylor")</f>
        <v>Bronson Taylor</v>
      </c>
      <c r="G186" t="str">
        <f>IFERROR(__xludf.DUMMYFUNCTION("""COMPUTED_VALUE"""),"Below Quality Standards- 3 Flags")</f>
        <v>Below Quality Standards- 3 Flags</v>
      </c>
      <c r="H186" s="142" t="str">
        <f>IFERROR(__xludf.DUMMYFUNCTION("""COMPUTED_VALUE"""),"Leadership &amp; Management")</f>
        <v>Leadership &amp; Management</v>
      </c>
      <c r="I186" s="142" t="str">
        <f>IFERROR(__xludf.DUMMYFUNCTION("""COMPUTED_VALUE"""),"Strategy")</f>
        <v>Strategy</v>
      </c>
      <c r="J186" s="140">
        <f>IFERROR(__xludf.DUMMYFUNCTION("""COMPUTED_VALUE"""),823902.0)</f>
        <v>823902</v>
      </c>
      <c r="K186" s="140" t="str">
        <f>IFERROR(__xludf.DUMMYFUNCTION("""COMPUTED_VALUE"""),"How to Find, Evaluate and Launch New Startup Ideas")</f>
        <v>How to Find, Evaluate and Launch New Startup Ideas</v>
      </c>
      <c r="L186">
        <f>IFERROR(__xludf.DUMMYFUNCTION("""COMPUTED_VALUE"""),1154754.0)</f>
        <v>1154754</v>
      </c>
      <c r="M186" s="140" t="str">
        <f>IFERROR(__xludf.DUMMYFUNCTION("""COMPUTED_VALUE"""),"Financial Modeling for Startups &amp; Small Businesses")</f>
        <v>Financial Modeling for Startups &amp; Small Businesses</v>
      </c>
    </row>
    <row r="187">
      <c r="A187" s="141">
        <f>IFERROR(__xludf.DUMMYFUNCTION("""COMPUTED_VALUE"""),44104.0)</f>
        <v>44104</v>
      </c>
      <c r="B187" s="140">
        <f>IFERROR(__xludf.DUMMYFUNCTION("""COMPUTED_VALUE"""),2245416.0)</f>
        <v>2245416</v>
      </c>
      <c r="C187" s="140" t="str">
        <f>IFERROR(__xludf.DUMMYFUNCTION("""COMPUTED_VALUE"""),"EN")</f>
        <v>EN</v>
      </c>
      <c r="D187" s="140" t="str">
        <f>IFERROR(__xludf.DUMMYFUNCTION("""COMPUTED_VALUE"""),"Performance Testing Using Gatling")</f>
        <v>Performance Testing Using Gatling</v>
      </c>
      <c r="F187" s="142" t="str">
        <f>IFERROR(__xludf.DUMMYFUNCTION("""COMPUTED_VALUE"""),"Anuradha Agarwal")</f>
        <v>Anuradha Agarwal</v>
      </c>
      <c r="G187" t="str">
        <f>IFERROR(__xludf.DUMMYFUNCTION("""COMPUTED_VALUE"""),"Below Quality Standards- 3 Flags")</f>
        <v>Below Quality Standards- 3 Flags</v>
      </c>
      <c r="H187" s="142" t="str">
        <f>IFERROR(__xludf.DUMMYFUNCTION("""COMPUTED_VALUE"""),"Development")</f>
        <v>Development</v>
      </c>
      <c r="I187" s="142" t="str">
        <f>IFERROR(__xludf.DUMMYFUNCTION("""COMPUTED_VALUE"""),"Development Tools")</f>
        <v>Development Tools</v>
      </c>
      <c r="J187" s="140">
        <f>IFERROR(__xludf.DUMMYFUNCTION("""COMPUTED_VALUE"""),1933116.0)</f>
        <v>1933116</v>
      </c>
      <c r="K187" s="140" t="str">
        <f>IFERROR(__xludf.DUMMYFUNCTION("""COMPUTED_VALUE"""),"Gatling Fundamentals for Stress, Load &amp; Performance Testing")</f>
        <v>Gatling Fundamentals for Stress, Load &amp; Performance Testing</v>
      </c>
      <c r="M187" s="140" t="str">
        <f>IFERROR(__xludf.DUMMYFUNCTION("""COMPUTED_VALUE"""),"")</f>
        <v/>
      </c>
    </row>
    <row r="188">
      <c r="A188" s="141">
        <f>IFERROR(__xludf.DUMMYFUNCTION("""COMPUTED_VALUE"""),44104.0)</f>
        <v>44104</v>
      </c>
      <c r="B188" s="140">
        <f>IFERROR(__xludf.DUMMYFUNCTION("""COMPUTED_VALUE"""),1643774.0)</f>
        <v>1643774</v>
      </c>
      <c r="C188" s="140" t="str">
        <f>IFERROR(__xludf.DUMMYFUNCTION("""COMPUTED_VALUE"""),"EN")</f>
        <v>EN</v>
      </c>
      <c r="D188" s="140" t="str">
        <f>IFERROR(__xludf.DUMMYFUNCTION("""COMPUTED_VALUE"""),"Azure MasterClass: Analyze Data With Azure Stream Analytics")</f>
        <v>Azure MasterClass: Analyze Data With Azure Stream Analytics</v>
      </c>
      <c r="F188" s="142" t="str">
        <f>IFERROR(__xludf.DUMMYFUNCTION("""COMPUTED_VALUE"""),"TetraNoodle Team")</f>
        <v>TetraNoodle Team</v>
      </c>
      <c r="G188" t="str">
        <f>IFERROR(__xludf.DUMMYFUNCTION("""COMPUTED_VALUE"""),"Below Quality Standards- Low Rating")</f>
        <v>Below Quality Standards- Low Rating</v>
      </c>
      <c r="H188" s="142" t="str">
        <f>IFERROR(__xludf.DUMMYFUNCTION("""COMPUTED_VALUE"""),"Development")</f>
        <v>Development</v>
      </c>
      <c r="I188" s="142" t="str">
        <f>IFERROR(__xludf.DUMMYFUNCTION("""COMPUTED_VALUE"""),"Development Tools")</f>
        <v>Development Tools</v>
      </c>
      <c r="J188" s="140">
        <f>IFERROR(__xludf.DUMMYFUNCTION("""COMPUTED_VALUE"""),2537858.0)</f>
        <v>2537858</v>
      </c>
      <c r="K188" s="140" t="str">
        <f>IFERROR(__xludf.DUMMYFUNCTION("""COMPUTED_VALUE"""),"Azure Data Engineer Technologies for Beginners [Bundle]")</f>
        <v>Azure Data Engineer Technologies for Beginners [Bundle]</v>
      </c>
      <c r="M188" s="140" t="str">
        <f>IFERROR(__xludf.DUMMYFUNCTION("""COMPUTED_VALUE"""),"")</f>
        <v/>
      </c>
    </row>
    <row r="189">
      <c r="A189" s="141">
        <f>IFERROR(__xludf.DUMMYFUNCTION("""COMPUTED_VALUE"""),44104.0)</f>
        <v>44104</v>
      </c>
      <c r="B189" s="140">
        <f>IFERROR(__xludf.DUMMYFUNCTION("""COMPUTED_VALUE"""),2566564.0)</f>
        <v>2566564</v>
      </c>
      <c r="C189" s="140" t="str">
        <f>IFERROR(__xludf.DUMMYFUNCTION("""COMPUTED_VALUE"""),"EN")</f>
        <v>EN</v>
      </c>
      <c r="D189" s="140" t="str">
        <f>IFERROR(__xludf.DUMMYFUNCTION("""COMPUTED_VALUE"""),"GraphQL with Spring Boot - Foundation I")</f>
        <v>GraphQL with Spring Boot - Foundation I</v>
      </c>
      <c r="F189" s="142" t="str">
        <f>IFERROR(__xludf.DUMMYFUNCTION("""COMPUTED_VALUE"""),"Butch Clark")</f>
        <v>Butch Clark</v>
      </c>
      <c r="G189" t="str">
        <f>IFERROR(__xludf.DUMMYFUNCTION("""COMPUTED_VALUE"""),"Below Quality Standards- Low Rating")</f>
        <v>Below Quality Standards- Low Rating</v>
      </c>
      <c r="H189" s="142" t="str">
        <f>IFERROR(__xludf.DUMMYFUNCTION("""COMPUTED_VALUE"""),"Development")</f>
        <v>Development</v>
      </c>
      <c r="I189" s="142" t="str">
        <f>IFERROR(__xludf.DUMMYFUNCTION("""COMPUTED_VALUE"""),"Web Development")</f>
        <v>Web Development</v>
      </c>
      <c r="K189" s="140" t="str">
        <f>IFERROR(__xludf.DUMMYFUNCTION("""COMPUTED_VALUE"""),"")</f>
        <v/>
      </c>
      <c r="M189" s="140" t="str">
        <f>IFERROR(__xludf.DUMMYFUNCTION("""COMPUTED_VALUE"""),"")</f>
        <v/>
      </c>
      <c r="N189" s="140" t="str">
        <f>IFERROR(__xludf.DUMMYFUNCTION("""COMPUTED_VALUE"""),"No Alternatives in Collection-9/16/2020")</f>
        <v>No Alternatives in Collection-9/16/2020</v>
      </c>
    </row>
    <row r="190">
      <c r="A190" s="141">
        <f>IFERROR(__xludf.DUMMYFUNCTION("""COMPUTED_VALUE"""),44104.0)</f>
        <v>44104</v>
      </c>
      <c r="B190" s="140">
        <f>IFERROR(__xludf.DUMMYFUNCTION("""COMPUTED_VALUE"""),1005062.0)</f>
        <v>1005062</v>
      </c>
      <c r="C190" s="140" t="str">
        <f>IFERROR(__xludf.DUMMYFUNCTION("""COMPUTED_VALUE"""),"EN")</f>
        <v>EN</v>
      </c>
      <c r="D190" s="140" t="str">
        <f>IFERROR(__xludf.DUMMYFUNCTION("""COMPUTED_VALUE"""),"Turkish language course - from beginner to fluent speaker!")</f>
        <v>Turkish language course - from beginner to fluent speaker!</v>
      </c>
      <c r="F190" s="142" t="str">
        <f>IFERROR(__xludf.DUMMYFUNCTION("""COMPUTED_VALUE"""),"ABC Tuts")</f>
        <v>ABC Tuts</v>
      </c>
      <c r="G190" t="str">
        <f>IFERROR(__xludf.DUMMYFUNCTION("""COMPUTED_VALUE"""),"Below Quality Standards- Low Rating")</f>
        <v>Below Quality Standards- Low Rating</v>
      </c>
      <c r="H190" s="142" t="str">
        <f>IFERROR(__xludf.DUMMYFUNCTION("""COMPUTED_VALUE"""),"Personal Development")</f>
        <v>Personal Development</v>
      </c>
      <c r="I190" s="142" t="str">
        <f>IFERROR(__xludf.DUMMYFUNCTION("""COMPUTED_VALUE"""),"Language Learning")</f>
        <v>Language Learning</v>
      </c>
      <c r="K190" s="140" t="str">
        <f>IFERROR(__xludf.DUMMYFUNCTION("""COMPUTED_VALUE"""),"")</f>
        <v/>
      </c>
      <c r="M190" s="140" t="str">
        <f>IFERROR(__xludf.DUMMYFUNCTION("""COMPUTED_VALUE"""),"")</f>
        <v/>
      </c>
      <c r="N190" s="140" t="str">
        <f>IFERROR(__xludf.DUMMYFUNCTION("""COMPUTED_VALUE"""),"No Alternatives in Collection- 9/20/2020")</f>
        <v>No Alternatives in Collection- 9/20/2020</v>
      </c>
    </row>
    <row r="191">
      <c r="A191" s="141">
        <f>IFERROR(__xludf.DUMMYFUNCTION("""COMPUTED_VALUE"""),44104.0)</f>
        <v>44104</v>
      </c>
      <c r="B191" s="140">
        <f>IFERROR(__xludf.DUMMYFUNCTION("""COMPUTED_VALUE"""),1269108.0)</f>
        <v>1269108</v>
      </c>
      <c r="C191" s="140" t="str">
        <f>IFERROR(__xludf.DUMMYFUNCTION("""COMPUTED_VALUE"""),"EN")</f>
        <v>EN</v>
      </c>
      <c r="D191" s="140" t="str">
        <f>IFERROR(__xludf.DUMMYFUNCTION("""COMPUTED_VALUE"""),"Angular automation with Protractor + Typescript + Cucumber")</f>
        <v>Angular automation with Protractor + Typescript + Cucumber</v>
      </c>
      <c r="F191" s="142" t="str">
        <f>IFERROR(__xludf.DUMMYFUNCTION("""COMPUTED_VALUE"""),"Karthik KK")</f>
        <v>Karthik KK</v>
      </c>
      <c r="G191" t="str">
        <f>IFERROR(__xludf.DUMMYFUNCTION("""COMPUTED_VALUE"""),"Below Quality Standards- Low Rating")</f>
        <v>Below Quality Standards- Low Rating</v>
      </c>
      <c r="H191" s="142" t="str">
        <f>IFERROR(__xludf.DUMMYFUNCTION("""COMPUTED_VALUE"""),"Development")</f>
        <v>Development</v>
      </c>
      <c r="I191" s="142" t="str">
        <f>IFERROR(__xludf.DUMMYFUNCTION("""COMPUTED_VALUE"""),"Web Development")</f>
        <v>Web Development</v>
      </c>
      <c r="J191" s="140">
        <f>IFERROR(__xludf.DUMMYFUNCTION("""COMPUTED_VALUE"""),1699476.0)</f>
        <v>1699476</v>
      </c>
      <c r="K191" s="140" t="str">
        <f>IFERROR(__xludf.DUMMYFUNCTION("""COMPUTED_VALUE"""),"Learn Protractor(Angular Testing) from scratch +Framework")</f>
        <v>Learn Protractor(Angular Testing) from scratch +Framework</v>
      </c>
      <c r="M191" s="140" t="str">
        <f>IFERROR(__xludf.DUMMYFUNCTION("""COMPUTED_VALUE"""),"")</f>
        <v/>
      </c>
    </row>
    <row r="192">
      <c r="A192" s="141">
        <f>IFERROR(__xludf.DUMMYFUNCTION("""COMPUTED_VALUE"""),44104.0)</f>
        <v>44104</v>
      </c>
      <c r="B192" s="140">
        <f>IFERROR(__xludf.DUMMYFUNCTION("""COMPUTED_VALUE"""),2424040.0)</f>
        <v>2424040</v>
      </c>
      <c r="C192" s="140" t="str">
        <f>IFERROR(__xludf.DUMMYFUNCTION("""COMPUTED_VALUE"""),"EN")</f>
        <v>EN</v>
      </c>
      <c r="D192" s="140" t="str">
        <f>IFERROR(__xludf.DUMMYFUNCTION("""COMPUTED_VALUE"""),"SALES LEADERSHIP Sales Management Training &amp; Coach Training")</f>
        <v>SALES LEADERSHIP Sales Management Training &amp; Coach Training</v>
      </c>
      <c r="F192" s="142" t="str">
        <f>IFERROR(__xludf.DUMMYFUNCTION("""COMPUTED_VALUE"""),"Keith Rosen")</f>
        <v>Keith Rosen</v>
      </c>
      <c r="G192" t="str">
        <f>IFERROR(__xludf.DUMMYFUNCTION("""COMPUTED_VALUE"""),"Instructor Request- Opted Out")</f>
        <v>Instructor Request- Opted Out</v>
      </c>
      <c r="H192" s="142" t="str">
        <f>IFERROR(__xludf.DUMMYFUNCTION("""COMPUTED_VALUE"""),"Sales")</f>
        <v>Sales</v>
      </c>
      <c r="I192" s="142" t="str">
        <f>IFERROR(__xludf.DUMMYFUNCTION("""COMPUTED_VALUE"""),"Sales Skills &amp; Tools")</f>
        <v>Sales Skills &amp; Tools</v>
      </c>
      <c r="K192" s="140" t="str">
        <f>IFERROR(__xludf.DUMMYFUNCTION("""COMPUTED_VALUE"""),"")</f>
        <v/>
      </c>
      <c r="M192" s="140" t="str">
        <f>IFERROR(__xludf.DUMMYFUNCTION("""COMPUTED_VALUE"""),"")</f>
        <v/>
      </c>
      <c r="N192" s="140" t="str">
        <f>IFERROR(__xludf.DUMMYFUNCTION("""COMPUTED_VALUE"""),"No alternative in collection - 04/29/2020")</f>
        <v>No alternative in collection - 04/29/2020</v>
      </c>
    </row>
    <row r="193">
      <c r="A193" s="141">
        <f>IFERROR(__xludf.DUMMYFUNCTION("""COMPUTED_VALUE"""),44104.0)</f>
        <v>44104</v>
      </c>
      <c r="B193" s="140">
        <f>IFERROR(__xludf.DUMMYFUNCTION("""COMPUTED_VALUE"""),1886016.0)</f>
        <v>1886016</v>
      </c>
      <c r="C193" s="140" t="str">
        <f>IFERROR(__xludf.DUMMYFUNCTION("""COMPUTED_VALUE"""),"EN")</f>
        <v>EN</v>
      </c>
      <c r="D193" s="140" t="str">
        <f>IFERROR(__xludf.DUMMYFUNCTION("""COMPUTED_VALUE"""),"CheckPoint Firewall R80.10 - Complete Training Bootcamp")</f>
        <v>CheckPoint Firewall R80.10 - Complete Training Bootcamp</v>
      </c>
      <c r="F193" s="142" t="str">
        <f>IFERROR(__xludf.DUMMYFUNCTION("""COMPUTED_VALUE"""),"XaaS Technologies | 80.000+ Students")</f>
        <v>XaaS Technologies | 80.000+ Students</v>
      </c>
      <c r="G193" t="str">
        <f>IFERROR(__xludf.DUMMYFUNCTION("""COMPUTED_VALUE"""),"Instructor Request- No Detail")</f>
        <v>Instructor Request- No Detail</v>
      </c>
      <c r="H193" s="142" t="str">
        <f>IFERROR(__xludf.DUMMYFUNCTION("""COMPUTED_VALUE"""),"IT Operations")</f>
        <v>IT Operations</v>
      </c>
      <c r="I193" s="142" t="str">
        <f>IFERROR(__xludf.DUMMYFUNCTION("""COMPUTED_VALUE"""),"Network &amp; Security")</f>
        <v>Network &amp; Security</v>
      </c>
      <c r="K193" s="140" t="str">
        <f>IFERROR(__xludf.DUMMYFUNCTION("""COMPUTED_VALUE"""),"")</f>
        <v/>
      </c>
      <c r="M193" s="140" t="str">
        <f>IFERROR(__xludf.DUMMYFUNCTION("""COMPUTED_VALUE"""),"")</f>
        <v/>
      </c>
      <c r="N193" s="140" t="str">
        <f>IFERROR(__xludf.DUMMYFUNCTION("""COMPUTED_VALUE"""),"No alternative in collection - 04/29/2020")</f>
        <v>No alternative in collection - 04/29/2020</v>
      </c>
    </row>
    <row r="194">
      <c r="A194" s="141">
        <f>IFERROR(__xludf.DUMMYFUNCTION("""COMPUTED_VALUE"""),44104.0)</f>
        <v>44104</v>
      </c>
      <c r="B194" s="140">
        <f>IFERROR(__xludf.DUMMYFUNCTION("""COMPUTED_VALUE"""),689338.0)</f>
        <v>689338</v>
      </c>
      <c r="C194" s="140" t="str">
        <f>IFERROR(__xludf.DUMMYFUNCTION("""COMPUTED_VALUE"""),"EN")</f>
        <v>EN</v>
      </c>
      <c r="D194" s="140" t="str">
        <f>IFERROR(__xludf.DUMMYFUNCTION("""COMPUTED_VALUE"""),"Complete, practical SDN and OpenFlow Fundamentals: over 8hrs")</f>
        <v>Complete, practical SDN and OpenFlow Fundamentals: over 8hrs</v>
      </c>
      <c r="F194" s="142" t="str">
        <f>IFERROR(__xludf.DUMMYFUNCTION("""COMPUTED_VALUE"""),"David Bombal")</f>
        <v>David Bombal</v>
      </c>
      <c r="G194" t="str">
        <f>IFERROR(__xludf.DUMMYFUNCTION("""COMPUTED_VALUE"""),"Instructor Request- Outdated")</f>
        <v>Instructor Request- Outdated</v>
      </c>
      <c r="H194" s="142" t="str">
        <f>IFERROR(__xludf.DUMMYFUNCTION("""COMPUTED_VALUE"""),"IT Operations")</f>
        <v>IT Operations</v>
      </c>
      <c r="I194" s="142" t="str">
        <f>IFERROR(__xludf.DUMMYFUNCTION("""COMPUTED_VALUE"""),"Network &amp; Security")</f>
        <v>Network &amp; Security</v>
      </c>
      <c r="K194" s="140" t="str">
        <f>IFERROR(__xludf.DUMMYFUNCTION("""COMPUTED_VALUE"""),"")</f>
        <v/>
      </c>
      <c r="M194" s="140" t="str">
        <f>IFERROR(__xludf.DUMMYFUNCTION("""COMPUTED_VALUE"""),"")</f>
        <v/>
      </c>
      <c r="N194" s="140" t="str">
        <f>IFERROR(__xludf.DUMMYFUNCTION("""COMPUTED_VALUE"""),"No alternative in collection - 04/29/2020")</f>
        <v>No alternative in collection - 04/29/2020</v>
      </c>
    </row>
    <row r="195">
      <c r="A195" s="141">
        <f>IFERROR(__xludf.DUMMYFUNCTION("""COMPUTED_VALUE"""),44104.0)</f>
        <v>44104</v>
      </c>
      <c r="B195" s="140">
        <f>IFERROR(__xludf.DUMMYFUNCTION("""COMPUTED_VALUE"""),1478894.0)</f>
        <v>1478894</v>
      </c>
      <c r="C195" s="140" t="str">
        <f>IFERROR(__xludf.DUMMYFUNCTION("""COMPUTED_VALUE"""),"EN")</f>
        <v>EN</v>
      </c>
      <c r="D195" s="140" t="str">
        <f>IFERROR(__xludf.DUMMYFUNCTION("""COMPUTED_VALUE"""),"Elasticsearch 6 and Elastic Stack - In Depth and Hands On!")</f>
        <v>Elasticsearch 6 and Elastic Stack - In Depth and Hands On!</v>
      </c>
      <c r="F195" s="142" t="str">
        <f>IFERROR(__xludf.DUMMYFUNCTION("""COMPUTED_VALUE"""),"Sundog Education by Frank Kane")</f>
        <v>Sundog Education by Frank Kane</v>
      </c>
      <c r="G195" t="str">
        <f>IFERROR(__xludf.DUMMYFUNCTION("""COMPUTED_VALUE"""),"Instructor Request- Outdated")</f>
        <v>Instructor Request- Outdated</v>
      </c>
      <c r="H195" s="142" t="str">
        <f>IFERROR(__xludf.DUMMYFUNCTION("""COMPUTED_VALUE"""),"Data Science")</f>
        <v>Data Science</v>
      </c>
      <c r="I195" s="142" t="str">
        <f>IFERROR(__xludf.DUMMYFUNCTION("""COMPUTED_VALUE"""),"Big Data")</f>
        <v>Big Data</v>
      </c>
      <c r="J195" s="140">
        <f>IFERROR(__xludf.DUMMYFUNCTION("""COMPUTED_VALUE"""),2365836.0)</f>
        <v>2365836</v>
      </c>
      <c r="K195" s="140" t="str">
        <f>IFERROR(__xludf.DUMMYFUNCTION("""COMPUTED_VALUE"""),"Elasticsearch 7 and the Elastic Stack: In Depth and Hands On")</f>
        <v>Elasticsearch 7 and the Elastic Stack: In Depth and Hands On</v>
      </c>
      <c r="M195" s="140" t="str">
        <f>IFERROR(__xludf.DUMMYFUNCTION("""COMPUTED_VALUE"""),"")</f>
        <v/>
      </c>
    </row>
    <row r="196">
      <c r="A196" s="141">
        <f>IFERROR(__xludf.DUMMYFUNCTION("""COMPUTED_VALUE"""),44104.0)</f>
        <v>44104</v>
      </c>
      <c r="B196" s="140">
        <f>IFERROR(__xludf.DUMMYFUNCTION("""COMPUTED_VALUE"""),2729224.0)</f>
        <v>2729224</v>
      </c>
      <c r="C196" s="140" t="str">
        <f>IFERROR(__xludf.DUMMYFUNCTION("""COMPUTED_VALUE"""),"EN")</f>
        <v>EN</v>
      </c>
      <c r="D196" s="140" t="str">
        <f>IFERROR(__xludf.DUMMYFUNCTION("""COMPUTED_VALUE"""),"Hyperion Financial Management Advanced Course")</f>
        <v>Hyperion Financial Management Advanced Course</v>
      </c>
      <c r="F196" s="142" t="str">
        <f>IFERROR(__xludf.DUMMYFUNCTION("""COMPUTED_VALUE"""),"Padmaja Vemireddy")</f>
        <v>Padmaja Vemireddy</v>
      </c>
      <c r="G196" t="str">
        <f>IFERROR(__xludf.DUMMYFUNCTION("""COMPUTED_VALUE"""),"Instructor Request- Exclusivity")</f>
        <v>Instructor Request- Exclusivity</v>
      </c>
      <c r="H196" s="142" t="str">
        <f>IFERROR(__xludf.DUMMYFUNCTION("""COMPUTED_VALUE"""),"Development")</f>
        <v>Development</v>
      </c>
      <c r="I196" s="142" t="str">
        <f>IFERROR(__xludf.DUMMYFUNCTION("""COMPUTED_VALUE"""),"Web Development")</f>
        <v>Web Development</v>
      </c>
      <c r="K196" s="140" t="str">
        <f>IFERROR(__xludf.DUMMYFUNCTION("""COMPUTED_VALUE"""),"")</f>
        <v/>
      </c>
      <c r="M196" s="140" t="str">
        <f>IFERROR(__xludf.DUMMYFUNCTION("""COMPUTED_VALUE"""),"")</f>
        <v/>
      </c>
      <c r="N196" s="140" t="str">
        <f>IFERROR(__xludf.DUMMYFUNCTION("""COMPUTED_VALUE"""),"No alternative in collection - 04/29/2020")</f>
        <v>No alternative in collection - 04/29/2020</v>
      </c>
    </row>
    <row r="197">
      <c r="A197" s="141">
        <f>IFERROR(__xludf.DUMMYFUNCTION("""COMPUTED_VALUE"""),44104.0)</f>
        <v>44104</v>
      </c>
      <c r="B197" s="140">
        <f>IFERROR(__xludf.DUMMYFUNCTION("""COMPUTED_VALUE"""),1186064.0)</f>
        <v>1186064</v>
      </c>
      <c r="C197" s="140" t="str">
        <f>IFERROR(__xludf.DUMMYFUNCTION("""COMPUTED_VALUE"""),"EN")</f>
        <v>EN</v>
      </c>
      <c r="D197" s="140" t="str">
        <f>IFERROR(__xludf.DUMMYFUNCTION("""COMPUTED_VALUE"""),"GNS3, Docker, Open vSwitch, SDN, OpenDaylight and OpenFlow")</f>
        <v>GNS3, Docker, Open vSwitch, SDN, OpenDaylight and OpenFlow</v>
      </c>
      <c r="F197" s="142" t="str">
        <f>IFERROR(__xludf.DUMMYFUNCTION("""COMPUTED_VALUE"""),"David Bombal")</f>
        <v>David Bombal</v>
      </c>
      <c r="G197" t="str">
        <f>IFERROR(__xludf.DUMMYFUNCTION("""COMPUTED_VALUE"""),"Instructor Request- Outdated")</f>
        <v>Instructor Request- Outdated</v>
      </c>
      <c r="H197" s="142" t="str">
        <f>IFERROR(__xludf.DUMMYFUNCTION("""COMPUTED_VALUE"""),"IT Operations")</f>
        <v>IT Operations</v>
      </c>
      <c r="I197" s="142" t="str">
        <f>IFERROR(__xludf.DUMMYFUNCTION("""COMPUTED_VALUE"""),"Network &amp; Security")</f>
        <v>Network &amp; Security</v>
      </c>
      <c r="K197" s="140" t="str">
        <f>IFERROR(__xludf.DUMMYFUNCTION("""COMPUTED_VALUE"""),"")</f>
        <v/>
      </c>
      <c r="M197" s="140" t="str">
        <f>IFERROR(__xludf.DUMMYFUNCTION("""COMPUTED_VALUE"""),"")</f>
        <v/>
      </c>
      <c r="N197" s="140" t="str">
        <f>IFERROR(__xludf.DUMMYFUNCTION("""COMPUTED_VALUE"""),"No alternative in collection - 04/29/2020")</f>
        <v>No alternative in collection - 04/29/2020</v>
      </c>
    </row>
    <row r="198">
      <c r="A198" s="141">
        <f>IFERROR(__xludf.DUMMYFUNCTION("""COMPUTED_VALUE"""),44104.0)</f>
        <v>44104</v>
      </c>
      <c r="B198" s="140">
        <f>IFERROR(__xludf.DUMMYFUNCTION("""COMPUTED_VALUE"""),2085548.0)</f>
        <v>2085548</v>
      </c>
      <c r="C198" s="140" t="str">
        <f>IFERROR(__xludf.DUMMYFUNCTION("""COMPUTED_VALUE"""),"EN")</f>
        <v>EN</v>
      </c>
      <c r="D198" s="140" t="str">
        <f>IFERROR(__xludf.DUMMYFUNCTION("""COMPUTED_VALUE"""),"Mastering Price Action Trading with Supply and Demand")</f>
        <v>Mastering Price Action Trading with Supply and Demand</v>
      </c>
      <c r="F198" s="142" t="str">
        <f>IFERROR(__xludf.DUMMYFUNCTION("""COMPUTED_VALUE"""),"Market Stalkers")</f>
        <v>Market Stalkers</v>
      </c>
      <c r="G198" t="str">
        <f>IFERROR(__xludf.DUMMYFUNCTION("""COMPUTED_VALUE"""),"Instructor Request- Opted Out")</f>
        <v>Instructor Request- Opted Out</v>
      </c>
      <c r="H198" s="142" t="str">
        <f>IFERROR(__xludf.DUMMYFUNCTION("""COMPUTED_VALUE"""),"Finance &amp; Accounting")</f>
        <v>Finance &amp; Accounting</v>
      </c>
      <c r="I198" s="142" t="str">
        <f>IFERROR(__xludf.DUMMYFUNCTION("""COMPUTED_VALUE"""),"Investing &amp; Trading")</f>
        <v>Investing &amp; Trading</v>
      </c>
      <c r="J198" s="140">
        <f>IFERROR(__xludf.DUMMYFUNCTION("""COMPUTED_VALUE"""),1587644.0)</f>
        <v>1587644</v>
      </c>
      <c r="K198" s="140" t="str">
        <f>IFERROR(__xludf.DUMMYFUNCTION("""COMPUTED_VALUE"""),"Advanced Stock Trading Course + Strategies")</f>
        <v>Advanced Stock Trading Course + Strategies</v>
      </c>
      <c r="L198">
        <f>IFERROR(__xludf.DUMMYFUNCTION("""COMPUTED_VALUE"""),1255136.0)</f>
        <v>1255136</v>
      </c>
      <c r="M198" s="140" t="str">
        <f>IFERROR(__xludf.DUMMYFUNCTION("""COMPUTED_VALUE"""),"Technical Analysis MasterClass:Trading By Technical Analysis")</f>
        <v>Technical Analysis MasterClass:Trading By Technical Analysis</v>
      </c>
    </row>
    <row r="199">
      <c r="A199" s="141">
        <f>IFERROR(__xludf.DUMMYFUNCTION("""COMPUTED_VALUE"""),44104.0)</f>
        <v>44104</v>
      </c>
      <c r="B199" s="140">
        <f>IFERROR(__xludf.DUMMYFUNCTION("""COMPUTED_VALUE"""),965162.0)</f>
        <v>965162</v>
      </c>
      <c r="C199" s="140" t="str">
        <f>IFERROR(__xludf.DUMMYFUNCTION("""COMPUTED_VALUE"""),"EN")</f>
        <v>EN</v>
      </c>
      <c r="D199" s="140" t="str">
        <f>IFERROR(__xludf.DUMMYFUNCTION("""COMPUTED_VALUE"""),"OOP Object Oriented Programming In PHP 7")</f>
        <v>OOP Object Oriented Programming In PHP 7</v>
      </c>
      <c r="F199" s="142" t="str">
        <f>IFERROR(__xludf.DUMMYFUNCTION("""COMPUTED_VALUE"""),"Saira Sadiq")</f>
        <v>Saira Sadiq</v>
      </c>
      <c r="G199" t="str">
        <f>IFERROR(__xludf.DUMMYFUNCTION("""COMPUTED_VALUE"""),"Instructor Request- Opted Out")</f>
        <v>Instructor Request- Opted Out</v>
      </c>
      <c r="H199" s="142" t="str">
        <f>IFERROR(__xludf.DUMMYFUNCTION("""COMPUTED_VALUE"""),"Development")</f>
        <v>Development</v>
      </c>
      <c r="I199" s="142" t="str">
        <f>IFERROR(__xludf.DUMMYFUNCTION("""COMPUTED_VALUE"""),"Programming Languages")</f>
        <v>Programming Languages</v>
      </c>
      <c r="J199" s="140">
        <f>IFERROR(__xludf.DUMMYFUNCTION("""COMPUTED_VALUE"""),1117584.0)</f>
        <v>1117584</v>
      </c>
      <c r="K199" s="140" t="str">
        <f>IFERROR(__xludf.DUMMYFUNCTION("""COMPUTED_VALUE"""),"")</f>
        <v/>
      </c>
      <c r="M199" s="140" t="str">
        <f>IFERROR(__xludf.DUMMYFUNCTION("""COMPUTED_VALUE"""),"")</f>
        <v/>
      </c>
    </row>
    <row r="200">
      <c r="A200" s="141">
        <f>IFERROR(__xludf.DUMMYFUNCTION("""COMPUTED_VALUE"""),44104.0)</f>
        <v>44104</v>
      </c>
      <c r="B200" s="140">
        <f>IFERROR(__xludf.DUMMYFUNCTION("""COMPUTED_VALUE"""),1014442.0)</f>
        <v>1014442</v>
      </c>
      <c r="C200" s="140" t="str">
        <f>IFERROR(__xludf.DUMMYFUNCTION("""COMPUTED_VALUE"""),"EN")</f>
        <v>EN</v>
      </c>
      <c r="D200" s="140" t="str">
        <f>IFERROR(__xludf.DUMMYFUNCTION("""COMPUTED_VALUE"""),"Java Memory Management")</f>
        <v>Java Memory Management</v>
      </c>
      <c r="F200" s="142" t="str">
        <f>IFERROR(__xludf.DUMMYFUNCTION("""COMPUTED_VALUE"""),"Matt Greencroft")</f>
        <v>Matt Greencroft</v>
      </c>
      <c r="G200" t="str">
        <f>IFERROR(__xludf.DUMMYFUNCTION("""COMPUTED_VALUE"""),"Instructor Request- Outdated")</f>
        <v>Instructor Request- Outdated</v>
      </c>
      <c r="H200" s="142" t="str">
        <f>IFERROR(__xludf.DUMMYFUNCTION("""COMPUTED_VALUE"""),"Development")</f>
        <v>Development</v>
      </c>
      <c r="I200" s="142" t="str">
        <f>IFERROR(__xludf.DUMMYFUNCTION("""COMPUTED_VALUE"""),"Mobile Development")</f>
        <v>Mobile Development</v>
      </c>
      <c r="J200" s="140">
        <f>IFERROR(__xludf.DUMMYFUNCTION("""COMPUTED_VALUE"""),2241936.0)</f>
        <v>2241936</v>
      </c>
      <c r="K200" s="140" t="str">
        <f>IFERROR(__xludf.DUMMYFUNCTION("""COMPUTED_VALUE"""),"Java Application Performance and Memory Management")</f>
        <v>Java Application Performance and Memory Management</v>
      </c>
      <c r="M200" s="140" t="str">
        <f>IFERROR(__xludf.DUMMYFUNCTION("""COMPUTED_VALUE"""),"")</f>
        <v/>
      </c>
    </row>
    <row r="201">
      <c r="A201" s="141">
        <f>IFERROR(__xludf.DUMMYFUNCTION("""COMPUTED_VALUE"""),44104.0)</f>
        <v>44104</v>
      </c>
      <c r="B201" s="140">
        <f>IFERROR(__xludf.DUMMYFUNCTION("""COMPUTED_VALUE"""),1044708.0)</f>
        <v>1044708</v>
      </c>
      <c r="C201" s="140" t="str">
        <f>IFERROR(__xludf.DUMMYFUNCTION("""COMPUTED_VALUE"""),"EN")</f>
        <v>EN</v>
      </c>
      <c r="D201" s="140" t="str">
        <f>IFERROR(__xludf.DUMMYFUNCTION("""COMPUTED_VALUE"""),"QuickBooks Pro 2017 Training: Manage Small Business Finances")</f>
        <v>QuickBooks Pro 2017 Training: Manage Small Business Finances</v>
      </c>
      <c r="F201" s="142" t="str">
        <f>IFERROR(__xludf.DUMMYFUNCTION("""COMPUTED_VALUE"""),"Simon Sez IT")</f>
        <v>Simon Sez IT</v>
      </c>
      <c r="G201" t="str">
        <f>IFERROR(__xludf.DUMMYFUNCTION("""COMPUTED_VALUE"""),"Instructor Request- No Detail")</f>
        <v>Instructor Request- No Detail</v>
      </c>
      <c r="H201" s="142" t="str">
        <f>IFERROR(__xludf.DUMMYFUNCTION("""COMPUTED_VALUE"""),"Finance &amp; Accounting")</f>
        <v>Finance &amp; Accounting</v>
      </c>
      <c r="I201" s="142" t="str">
        <f>IFERROR(__xludf.DUMMYFUNCTION("""COMPUTED_VALUE"""),"Accounting Software")</f>
        <v>Accounting Software</v>
      </c>
      <c r="J201" s="140">
        <f>IFERROR(__xludf.DUMMYFUNCTION("""COMPUTED_VALUE"""),128082.0)</f>
        <v>128082</v>
      </c>
      <c r="K201" s="140" t="str">
        <f>IFERROR(__xludf.DUMMYFUNCTION("""COMPUTED_VALUE"""),"")</f>
        <v/>
      </c>
      <c r="M201" s="140" t="str">
        <f>IFERROR(__xludf.DUMMYFUNCTION("""COMPUTED_VALUE"""),"")</f>
        <v/>
      </c>
    </row>
    <row r="202">
      <c r="A202" s="141">
        <f>IFERROR(__xludf.DUMMYFUNCTION("""COMPUTED_VALUE"""),44104.0)</f>
        <v>44104</v>
      </c>
      <c r="B202" s="140">
        <f>IFERROR(__xludf.DUMMYFUNCTION("""COMPUTED_VALUE"""),1022582.0)</f>
        <v>1022582</v>
      </c>
      <c r="C202" s="140" t="str">
        <f>IFERROR(__xludf.DUMMYFUNCTION("""COMPUTED_VALUE"""),"EN")</f>
        <v>EN</v>
      </c>
      <c r="D202" s="140" t="str">
        <f>IFERROR(__xludf.DUMMYFUNCTION("""COMPUTED_VALUE"""),"Vue.js Essentials - 3 Course Bundle")</f>
        <v>Vue.js Essentials - 3 Course Bundle</v>
      </c>
      <c r="F202" s="142" t="str">
        <f>IFERROR(__xludf.DUMMYFUNCTION("""COMPUTED_VALUE"""),"Anthony Gore")</f>
        <v>Anthony Gore</v>
      </c>
      <c r="G202" t="str">
        <f>IFERROR(__xludf.DUMMYFUNCTION("""COMPUTED_VALUE"""),"Instructor Request- No Detail")</f>
        <v>Instructor Request- No Detail</v>
      </c>
      <c r="H202" s="142" t="str">
        <f>IFERROR(__xludf.DUMMYFUNCTION("""COMPUTED_VALUE"""),"Development")</f>
        <v>Development</v>
      </c>
      <c r="I202" s="142" t="str">
        <f>IFERROR(__xludf.DUMMYFUNCTION("""COMPUTED_VALUE"""),"Web Development")</f>
        <v>Web Development</v>
      </c>
      <c r="J202" s="140">
        <f>IFERROR(__xludf.DUMMYFUNCTION("""COMPUTED_VALUE"""),995016.0)</f>
        <v>995016</v>
      </c>
      <c r="K202" s="140" t="str">
        <f>IFERROR(__xludf.DUMMYFUNCTION("""COMPUTED_VALUE"""),"Vue - The Complete Guide (w/ Router, Vuex, Composition API)")</f>
        <v>Vue - The Complete Guide (w/ Router, Vuex, Composition API)</v>
      </c>
      <c r="M202" s="140" t="str">
        <f>IFERROR(__xludf.DUMMYFUNCTION("""COMPUTED_VALUE"""),"")</f>
        <v/>
      </c>
    </row>
    <row r="203">
      <c r="A203" s="141">
        <f>IFERROR(__xludf.DUMMYFUNCTION("""COMPUTED_VALUE"""),44104.0)</f>
        <v>44104</v>
      </c>
      <c r="B203" s="140">
        <f>IFERROR(__xludf.DUMMYFUNCTION("""COMPUTED_VALUE"""),1080408.0)</f>
        <v>1080408</v>
      </c>
      <c r="C203" s="140" t="str">
        <f>IFERROR(__xludf.DUMMYFUNCTION("""COMPUTED_VALUE"""),"EN")</f>
        <v>EN</v>
      </c>
      <c r="D203" s="140" t="str">
        <f>IFERROR(__xludf.DUMMYFUNCTION("""COMPUTED_VALUE"""),"Artificial Intelligence: Reinforcement Learning in Python")</f>
        <v>Artificial Intelligence: Reinforcement Learning in Python</v>
      </c>
      <c r="F203" s="142" t="str">
        <f>IFERROR(__xludf.DUMMYFUNCTION("""COMPUTED_VALUE"""),"Lazy Programmer Team")</f>
        <v>Lazy Programmer Team</v>
      </c>
      <c r="G203" t="str">
        <f>IFERROR(__xludf.DUMMYFUNCTION("""COMPUTED_VALUE"""),"Instructor Request- No Detail")</f>
        <v>Instructor Request- No Detail</v>
      </c>
      <c r="H203" s="142" t="str">
        <f>IFERROR(__xludf.DUMMYFUNCTION("""COMPUTED_VALUE"""),"Data Science")</f>
        <v>Data Science</v>
      </c>
      <c r="I203" s="142" t="str">
        <f>IFERROR(__xludf.DUMMYFUNCTION("""COMPUTED_VALUE"""),"Big Data")</f>
        <v>Big Data</v>
      </c>
      <c r="J203" s="140">
        <f>IFERROR(__xludf.DUMMYFUNCTION("""COMPUTED_VALUE"""),671576.0)</f>
        <v>671576</v>
      </c>
      <c r="K203" s="140" t="str">
        <f>IFERROR(__xludf.DUMMYFUNCTION("""COMPUTED_VALUE"""),"Machine Learning, Data Science and Deep Learning with Python")</f>
        <v>Machine Learning, Data Science and Deep Learning with Python</v>
      </c>
      <c r="M203" s="140" t="str">
        <f>IFERROR(__xludf.DUMMYFUNCTION("""COMPUTED_VALUE"""),"")</f>
        <v/>
      </c>
    </row>
    <row r="204">
      <c r="A204" s="141">
        <f>IFERROR(__xludf.DUMMYFUNCTION("""COMPUTED_VALUE"""),44104.0)</f>
        <v>44104</v>
      </c>
      <c r="B204" s="140">
        <f>IFERROR(__xludf.DUMMYFUNCTION("""COMPUTED_VALUE"""),956038.0)</f>
        <v>956038</v>
      </c>
      <c r="C204" s="140" t="str">
        <f>IFERROR(__xludf.DUMMYFUNCTION("""COMPUTED_VALUE"""),"EN")</f>
        <v>EN</v>
      </c>
      <c r="D204" s="140" t="str">
        <f>IFERROR(__xludf.DUMMYFUNCTION("""COMPUTED_VALUE"""),"Cumulus Linux Fundamentals, plus Ansible automation")</f>
        <v>Cumulus Linux Fundamentals, plus Ansible automation</v>
      </c>
      <c r="F204" s="142" t="str">
        <f>IFERROR(__xludf.DUMMYFUNCTION("""COMPUTED_VALUE"""),"David Bombal")</f>
        <v>David Bombal</v>
      </c>
      <c r="G204" t="str">
        <f>IFERROR(__xludf.DUMMYFUNCTION("""COMPUTED_VALUE"""),"Instructor Request- Outdated")</f>
        <v>Instructor Request- Outdated</v>
      </c>
      <c r="H204" s="142" t="str">
        <f>IFERROR(__xludf.DUMMYFUNCTION("""COMPUTED_VALUE"""),"Development")</f>
        <v>Development</v>
      </c>
      <c r="I204" s="142" t="str">
        <f>IFERROR(__xludf.DUMMYFUNCTION("""COMPUTED_VALUE"""),"Development Tools")</f>
        <v>Development Tools</v>
      </c>
      <c r="K204" s="140" t="str">
        <f>IFERROR(__xludf.DUMMYFUNCTION("""COMPUTED_VALUE"""),"")</f>
        <v/>
      </c>
      <c r="M204" s="140" t="str">
        <f>IFERROR(__xludf.DUMMYFUNCTION("""COMPUTED_VALUE"""),"")</f>
        <v/>
      </c>
      <c r="N204" s="140" t="str">
        <f>IFERROR(__xludf.DUMMYFUNCTION("""COMPUTED_VALUE"""),"No alternative in collection - 04/29/2020")</f>
        <v>No alternative in collection - 04/29/2020</v>
      </c>
    </row>
    <row r="205">
      <c r="A205" s="141">
        <f>IFERROR(__xludf.DUMMYFUNCTION("""COMPUTED_VALUE"""),44104.0)</f>
        <v>44104</v>
      </c>
      <c r="B205" s="140">
        <f>IFERROR(__xludf.DUMMYFUNCTION("""COMPUTED_VALUE"""),1758260.0)</f>
        <v>1758260</v>
      </c>
      <c r="C205" s="140" t="str">
        <f>IFERROR(__xludf.DUMMYFUNCTION("""COMPUTED_VALUE"""),"EN")</f>
        <v>EN</v>
      </c>
      <c r="D205" s="140" t="str">
        <f>IFERROR(__xludf.DUMMYFUNCTION("""COMPUTED_VALUE"""),"Advanced Machine Learning &amp; Data Analysis Projects Bootcamp")</f>
        <v>Advanced Machine Learning &amp; Data Analysis Projects Bootcamp</v>
      </c>
      <c r="F205" s="142" t="str">
        <f>IFERROR(__xludf.DUMMYFUNCTION("""COMPUTED_VALUE"""),"Mammoth Interactive")</f>
        <v>Mammoth Interactive</v>
      </c>
      <c r="G205" t="str">
        <f>IFERROR(__xludf.DUMMYFUNCTION("""COMPUTED_VALUE"""),"Instructor Request- No Detail")</f>
        <v>Instructor Request- No Detail</v>
      </c>
      <c r="H205" s="142" t="str">
        <f>IFERROR(__xludf.DUMMYFUNCTION("""COMPUTED_VALUE"""),"Data Science")</f>
        <v>Data Science</v>
      </c>
      <c r="I205" s="142" t="str">
        <f>IFERROR(__xludf.DUMMYFUNCTION("""COMPUTED_VALUE"""),"Machine Learning")</f>
        <v>Machine Learning</v>
      </c>
      <c r="J205" s="140">
        <f>IFERROR(__xludf.DUMMYFUNCTION("""COMPUTED_VALUE"""),1758260.0)</f>
        <v>1758260</v>
      </c>
      <c r="K205" s="140" t="str">
        <f>IFERROR(__xludf.DUMMYFUNCTION("""COMPUTED_VALUE"""),"")</f>
        <v/>
      </c>
      <c r="L205">
        <f>IFERROR(__xludf.DUMMYFUNCTION("""COMPUTED_VALUE"""),2511476.0)</f>
        <v>2511476</v>
      </c>
      <c r="M205" s="140" t="str">
        <f>IFERROR(__xludf.DUMMYFUNCTION("""COMPUTED_VALUE"""),"Complete Machine Learning &amp; Data Science Bootcamp 2022")</f>
        <v>Complete Machine Learning &amp; Data Science Bootcamp 2022</v>
      </c>
    </row>
    <row r="206">
      <c r="A206" s="141">
        <f>IFERROR(__xludf.DUMMYFUNCTION("""COMPUTED_VALUE"""),44104.0)</f>
        <v>44104</v>
      </c>
      <c r="B206" s="140">
        <f>IFERROR(__xludf.DUMMYFUNCTION("""COMPUTED_VALUE"""),957388.0)</f>
        <v>957388</v>
      </c>
      <c r="C206" s="140" t="str">
        <f>IFERROR(__xludf.DUMMYFUNCTION("""COMPUTED_VALUE"""),"EN")</f>
        <v>EN</v>
      </c>
      <c r="D206" s="140" t="str">
        <f>IFERROR(__xludf.DUMMYFUNCTION("""COMPUTED_VALUE"""),"Broker U - Gateway to Becoming a Freight Broker")</f>
        <v>Broker U - Gateway to Becoming a Freight Broker</v>
      </c>
      <c r="F206" s="142" t="str">
        <f>IFERROR(__xludf.DUMMYFUNCTION("""COMPUTED_VALUE"""),"Roger Garza")</f>
        <v>Roger Garza</v>
      </c>
      <c r="G206" t="str">
        <f>IFERROR(__xludf.DUMMYFUNCTION("""COMPUTED_VALUE"""),"Instructor Request- Opted Out")</f>
        <v>Instructor Request- Opted Out</v>
      </c>
      <c r="H206" s="142" t="str">
        <f>IFERROR(__xludf.DUMMYFUNCTION("""COMPUTED_VALUE"""),"Project Management &amp; Operations")</f>
        <v>Project Management &amp; Operations</v>
      </c>
      <c r="I206" s="142" t="str">
        <f>IFERROR(__xludf.DUMMYFUNCTION("""COMPUTED_VALUE"""),"Operations Management")</f>
        <v>Operations Management</v>
      </c>
      <c r="J206" s="140">
        <f>IFERROR(__xludf.DUMMYFUNCTION("""COMPUTED_VALUE"""),1713366.0)</f>
        <v>1713366</v>
      </c>
      <c r="K206" s="140" t="str">
        <f>IFERROR(__xludf.DUMMYFUNCTION("""COMPUTED_VALUE"""),"")</f>
        <v/>
      </c>
      <c r="M206" s="140" t="str">
        <f>IFERROR(__xludf.DUMMYFUNCTION("""COMPUTED_VALUE"""),"")</f>
        <v/>
      </c>
    </row>
    <row r="207">
      <c r="A207" s="141">
        <f>IFERROR(__xludf.DUMMYFUNCTION("""COMPUTED_VALUE"""),44104.0)</f>
        <v>44104</v>
      </c>
      <c r="B207" s="140">
        <f>IFERROR(__xludf.DUMMYFUNCTION("""COMPUTED_VALUE"""),1153742.0)</f>
        <v>1153742</v>
      </c>
      <c r="C207" s="140" t="str">
        <f>IFERROR(__xludf.DUMMYFUNCTION("""COMPUTED_VALUE"""),"EN")</f>
        <v>EN</v>
      </c>
      <c r="D207" s="140" t="str">
        <f>IFERROR(__xludf.DUMMYFUNCTION("""COMPUTED_VALUE"""),"Advanced AI: Deep Reinforcement Learning in Python")</f>
        <v>Advanced AI: Deep Reinforcement Learning in Python</v>
      </c>
      <c r="F207" s="142" t="str">
        <f>IFERROR(__xludf.DUMMYFUNCTION("""COMPUTED_VALUE"""),"Lazy Programmer Team")</f>
        <v>Lazy Programmer Team</v>
      </c>
      <c r="G207" t="str">
        <f>IFERROR(__xludf.DUMMYFUNCTION("""COMPUTED_VALUE"""),"Instructor Request- No Detail")</f>
        <v>Instructor Request- No Detail</v>
      </c>
      <c r="H207" s="142" t="str">
        <f>IFERROR(__xludf.DUMMYFUNCTION("""COMPUTED_VALUE"""),"Data Science")</f>
        <v>Data Science</v>
      </c>
      <c r="I207" s="142" t="str">
        <f>IFERROR(__xludf.DUMMYFUNCTION("""COMPUTED_VALUE"""),"Big Data")</f>
        <v>Big Data</v>
      </c>
      <c r="J207" s="140">
        <f>IFERROR(__xludf.DUMMYFUNCTION("""COMPUTED_VALUE"""),671576.0)</f>
        <v>671576</v>
      </c>
      <c r="K207" s="140" t="str">
        <f>IFERROR(__xludf.DUMMYFUNCTION("""COMPUTED_VALUE"""),"Machine Learning, Data Science and Deep Learning with Python")</f>
        <v>Machine Learning, Data Science and Deep Learning with Python</v>
      </c>
      <c r="M207" s="140" t="str">
        <f>IFERROR(__xludf.DUMMYFUNCTION("""COMPUTED_VALUE"""),"")</f>
        <v/>
      </c>
    </row>
    <row r="208">
      <c r="A208" s="141">
        <f>IFERROR(__xludf.DUMMYFUNCTION("""COMPUTED_VALUE"""),44104.0)</f>
        <v>44104</v>
      </c>
      <c r="B208" s="140">
        <f>IFERROR(__xludf.DUMMYFUNCTION("""COMPUTED_VALUE"""),1304990.0)</f>
        <v>1304990</v>
      </c>
      <c r="C208" s="140" t="str">
        <f>IFERROR(__xludf.DUMMYFUNCTION("""COMPUTED_VALUE"""),"EN")</f>
        <v>EN</v>
      </c>
      <c r="D208" s="140" t="str">
        <f>IFERROR(__xludf.DUMMYFUNCTION("""COMPUTED_VALUE"""),"SDN, NFV, Whitebox switching and OpenFlow Intro 2017 Updates")</f>
        <v>SDN, NFV, Whitebox switching and OpenFlow Intro 2017 Updates</v>
      </c>
      <c r="F208" s="142" t="str">
        <f>IFERROR(__xludf.DUMMYFUNCTION("""COMPUTED_VALUE"""),"David Bombal")</f>
        <v>David Bombal</v>
      </c>
      <c r="G208" t="str">
        <f>IFERROR(__xludf.DUMMYFUNCTION("""COMPUTED_VALUE"""),"Instructor Request- Outdated")</f>
        <v>Instructor Request- Outdated</v>
      </c>
      <c r="H208" s="142" t="str">
        <f>IFERROR(__xludf.DUMMYFUNCTION("""COMPUTED_VALUE"""),"IT Operations")</f>
        <v>IT Operations</v>
      </c>
      <c r="I208" s="142" t="str">
        <f>IFERROR(__xludf.DUMMYFUNCTION("""COMPUTED_VALUE"""),"Network &amp; Security")</f>
        <v>Network &amp; Security</v>
      </c>
      <c r="K208" s="140" t="str">
        <f>IFERROR(__xludf.DUMMYFUNCTION("""COMPUTED_VALUE"""),"")</f>
        <v/>
      </c>
      <c r="M208" s="140" t="str">
        <f>IFERROR(__xludf.DUMMYFUNCTION("""COMPUTED_VALUE"""),"")</f>
        <v/>
      </c>
      <c r="N208" s="140" t="str">
        <f>IFERROR(__xludf.DUMMYFUNCTION("""COMPUTED_VALUE"""),"No alternative in collection - 04/29/2020")</f>
        <v>No alternative in collection - 04/29/2020</v>
      </c>
    </row>
    <row r="209">
      <c r="A209" s="141">
        <f>IFERROR(__xludf.DUMMYFUNCTION("""COMPUTED_VALUE"""),44104.0)</f>
        <v>44104</v>
      </c>
      <c r="B209" s="140">
        <f>IFERROR(__xludf.DUMMYFUNCTION("""COMPUTED_VALUE"""),1064214.0)</f>
        <v>1064214</v>
      </c>
      <c r="C209" s="140" t="str">
        <f>IFERROR(__xludf.DUMMYFUNCTION("""COMPUTED_VALUE"""),"EN")</f>
        <v>EN</v>
      </c>
      <c r="D209" s="140" t="str">
        <f>IFERROR(__xludf.DUMMYFUNCTION("""COMPUTED_VALUE"""),"Overlay SDN Solutions (Network Virtualization) Introduction")</f>
        <v>Overlay SDN Solutions (Network Virtualization) Introduction</v>
      </c>
      <c r="F209" s="142" t="str">
        <f>IFERROR(__xludf.DUMMYFUNCTION("""COMPUTED_VALUE"""),"David Bombal")</f>
        <v>David Bombal</v>
      </c>
      <c r="G209" t="str">
        <f>IFERROR(__xludf.DUMMYFUNCTION("""COMPUTED_VALUE"""),"Instructor Request- Outdated")</f>
        <v>Instructor Request- Outdated</v>
      </c>
      <c r="H209" s="142" t="str">
        <f>IFERROR(__xludf.DUMMYFUNCTION("""COMPUTED_VALUE"""),"IT Operations")</f>
        <v>IT Operations</v>
      </c>
      <c r="I209" s="142" t="str">
        <f>IFERROR(__xludf.DUMMYFUNCTION("""COMPUTED_VALUE"""),"Network &amp; Security")</f>
        <v>Network &amp; Security</v>
      </c>
      <c r="K209" s="140" t="str">
        <f>IFERROR(__xludf.DUMMYFUNCTION("""COMPUTED_VALUE"""),"")</f>
        <v/>
      </c>
      <c r="M209" s="140" t="str">
        <f>IFERROR(__xludf.DUMMYFUNCTION("""COMPUTED_VALUE"""),"")</f>
        <v/>
      </c>
      <c r="N209" s="140" t="str">
        <f>IFERROR(__xludf.DUMMYFUNCTION("""COMPUTED_VALUE"""),"No alternative in collection - 04/29/2020")</f>
        <v>No alternative in collection - 04/29/2020</v>
      </c>
    </row>
    <row r="210">
      <c r="A210" s="141">
        <f>IFERROR(__xludf.DUMMYFUNCTION("""COMPUTED_VALUE"""),44104.0)</f>
        <v>44104</v>
      </c>
      <c r="B210" s="140">
        <f>IFERROR(__xludf.DUMMYFUNCTION("""COMPUTED_VALUE"""),770744.0)</f>
        <v>770744</v>
      </c>
      <c r="C210" s="140" t="str">
        <f>IFERROR(__xludf.DUMMYFUNCTION("""COMPUTED_VALUE"""),"EN")</f>
        <v>EN</v>
      </c>
      <c r="D210" s="140" t="str">
        <f>IFERROR(__xludf.DUMMYFUNCTION("""COMPUTED_VALUE"""),"Dramatic Black and White Photography in the Digital Age")</f>
        <v>Dramatic Black and White Photography in the Digital Age</v>
      </c>
      <c r="F210" s="142" t="str">
        <f>IFERROR(__xludf.DUMMYFUNCTION("""COMPUTED_VALUE"""),"Kasia Zmokla")</f>
        <v>Kasia Zmokla</v>
      </c>
      <c r="G210" t="str">
        <f>IFERROR(__xludf.DUMMYFUNCTION("""COMPUTED_VALUE"""),"Instructor Request- Opted Out")</f>
        <v>Instructor Request- Opted Out</v>
      </c>
      <c r="H210" s="142" t="str">
        <f>IFERROR(__xludf.DUMMYFUNCTION("""COMPUTED_VALUE"""),"Personal Development")</f>
        <v>Personal Development</v>
      </c>
      <c r="I210" s="142" t="str">
        <f>IFERROR(__xludf.DUMMYFUNCTION("""COMPUTED_VALUE"""),"Arts &amp; Creativity")</f>
        <v>Arts &amp; Creativity</v>
      </c>
      <c r="K210" s="140" t="str">
        <f>IFERROR(__xludf.DUMMYFUNCTION("""COMPUTED_VALUE"""),"")</f>
        <v/>
      </c>
      <c r="M210" s="140" t="str">
        <f>IFERROR(__xludf.DUMMYFUNCTION("""COMPUTED_VALUE"""),"")</f>
        <v/>
      </c>
      <c r="N210" s="140" t="str">
        <f>IFERROR(__xludf.DUMMYFUNCTION("""COMPUTED_VALUE"""),"No Alternatives in Collection- 9/20/2020")</f>
        <v>No Alternatives in Collection- 9/20/2020</v>
      </c>
    </row>
    <row r="211">
      <c r="A211" s="141">
        <f>IFERROR(__xludf.DUMMYFUNCTION("""COMPUTED_VALUE"""),44095.0)</f>
        <v>44095</v>
      </c>
      <c r="B211" s="140">
        <f>IFERROR(__xludf.DUMMYFUNCTION("""COMPUTED_VALUE"""),2276371.0)</f>
        <v>2276371</v>
      </c>
      <c r="C211" s="140" t="str">
        <f>IFERROR(__xludf.DUMMYFUNCTION("""COMPUTED_VALUE"""),"EN")</f>
        <v>EN</v>
      </c>
      <c r="D211" s="140" t="str">
        <f>IFERROR(__xludf.DUMMYFUNCTION("""COMPUTED_VALUE"""),"Identity and Access Management Course")</f>
        <v>Identity and Access Management Course</v>
      </c>
      <c r="F211" s="142" t="str">
        <f>IFERROR(__xludf.DUMMYFUNCTION("""COMPUTED_VALUE"""),"Cyber Courses")</f>
        <v>Cyber Courses</v>
      </c>
      <c r="G211" t="str">
        <f>IFERROR(__xludf.DUMMYFUNCTION("""COMPUTED_VALUE"""),"Copyright")</f>
        <v>Copyright</v>
      </c>
      <c r="H211" s="142" t="str">
        <f>IFERROR(__xludf.DUMMYFUNCTION("""COMPUTED_VALUE"""),"IT Operations")</f>
        <v>IT Operations</v>
      </c>
      <c r="I211" s="142" t="str">
        <f>IFERROR(__xludf.DUMMYFUNCTION("""COMPUTED_VALUE"""),"Network &amp; Security")</f>
        <v>Network &amp; Security</v>
      </c>
      <c r="K211" s="140" t="str">
        <f>IFERROR(__xludf.DUMMYFUNCTION("""COMPUTED_VALUE"""),"")</f>
        <v/>
      </c>
      <c r="M211" s="140" t="str">
        <f>IFERROR(__xludf.DUMMYFUNCTION("""COMPUTED_VALUE"""),"")</f>
        <v/>
      </c>
    </row>
    <row r="212">
      <c r="A212" s="141">
        <f>IFERROR(__xludf.DUMMYFUNCTION("""COMPUTED_VALUE"""),44082.0)</f>
        <v>44082</v>
      </c>
      <c r="B212" s="140">
        <f>IFERROR(__xludf.DUMMYFUNCTION("""COMPUTED_VALUE"""),2773144.0)</f>
        <v>2773144</v>
      </c>
      <c r="C212" s="140" t="str">
        <f>IFERROR(__xludf.DUMMYFUNCTION("""COMPUTED_VALUE"""),"EN")</f>
        <v>EN</v>
      </c>
      <c r="D212" s="140" t="str">
        <f>IFERROR(__xludf.DUMMYFUNCTION("""COMPUTED_VALUE"""),"The Complete C++ Developer Course")</f>
        <v>The Complete C++ Developer Course</v>
      </c>
      <c r="F212" s="142" t="str">
        <f>IFERROR(__xludf.DUMMYFUNCTION("""COMPUTED_VALUE"""),"Codestars by Rob Percival")</f>
        <v>Codestars by Rob Percival</v>
      </c>
      <c r="G212" t="str">
        <f>IFERROR(__xludf.DUMMYFUNCTION("""COMPUTED_VALUE"""),"Instructor Request- Course Opt Out")</f>
        <v>Instructor Request- Course Opt Out</v>
      </c>
      <c r="H212" s="142" t="str">
        <f>IFERROR(__xludf.DUMMYFUNCTION("""COMPUTED_VALUE"""),"Development")</f>
        <v>Development</v>
      </c>
      <c r="I212" s="142" t="str">
        <f>IFERROR(__xludf.DUMMYFUNCTION("""COMPUTED_VALUE"""),"Programming Languages")</f>
        <v>Programming Languages</v>
      </c>
      <c r="K212" s="140" t="str">
        <f>IFERROR(__xludf.DUMMYFUNCTION("""COMPUTED_VALUE"""),"")</f>
        <v/>
      </c>
      <c r="M212" s="140" t="str">
        <f>IFERROR(__xludf.DUMMYFUNCTION("""COMPUTED_VALUE"""),"")</f>
        <v/>
      </c>
      <c r="N212" s="140" t="str">
        <f>IFERROR(__xludf.DUMMYFUNCTION("""COMPUTED_VALUE"""),"Added to collection through IP check, instructor wanted the course removed")</f>
        <v>Added to collection through IP check, instructor wanted the course removed</v>
      </c>
    </row>
    <row r="213">
      <c r="A213" s="141">
        <f>IFERROR(__xludf.DUMMYFUNCTION("""COMPUTED_VALUE"""),44075.0)</f>
        <v>44075</v>
      </c>
      <c r="B213">
        <f>IFERROR(__xludf.DUMMYFUNCTION("""COMPUTED_VALUE"""),2609452.0)</f>
        <v>2609452</v>
      </c>
      <c r="C213" s="140" t="str">
        <f>IFERROR(__xludf.DUMMYFUNCTION("""COMPUTED_VALUE"""),"EN")</f>
        <v>EN</v>
      </c>
      <c r="D213" s="140" t="str">
        <f>IFERROR(__xludf.DUMMYFUNCTION("""COMPUTED_VALUE"""),"SAP PM Plant Maintenance (beginner to advanced level)")</f>
        <v>SAP PM Plant Maintenance (beginner to advanced level)</v>
      </c>
      <c r="F213" s="142" t="str">
        <f>IFERROR(__xludf.DUMMYFUNCTION("""COMPUTED_VALUE"""),"Uplatz Training")</f>
        <v>Uplatz Training</v>
      </c>
      <c r="G213" t="str">
        <f>IFERROR(__xludf.DUMMYFUNCTION("""COMPUTED_VALUE"""),"Copyright")</f>
        <v>Copyright</v>
      </c>
      <c r="H213" s="142" t="str">
        <f>IFERROR(__xludf.DUMMYFUNCTION("""COMPUTED_VALUE"""),"Project Management &amp; Operations")</f>
        <v>Project Management &amp; Operations</v>
      </c>
      <c r="I213" s="142" t="str">
        <f>IFERROR(__xludf.DUMMYFUNCTION("""COMPUTED_VALUE"""),"Operations Management")</f>
        <v>Operations Management</v>
      </c>
      <c r="K213" s="140" t="str">
        <f>IFERROR(__xludf.DUMMYFUNCTION("""COMPUTED_VALUE"""),"")</f>
        <v/>
      </c>
      <c r="M213" s="140" t="str">
        <f>IFERROR(__xludf.DUMMYFUNCTION("""COMPUTED_VALUE"""),"")</f>
        <v/>
      </c>
    </row>
    <row r="214">
      <c r="A214" s="141">
        <f>IFERROR(__xludf.DUMMYFUNCTION("""COMPUTED_VALUE"""),44074.0)</f>
        <v>44074</v>
      </c>
      <c r="B214">
        <f>IFERROR(__xludf.DUMMYFUNCTION("""COMPUTED_VALUE"""),2300654.0)</f>
        <v>2300654</v>
      </c>
      <c r="C214" s="140" t="str">
        <f>IFERROR(__xludf.DUMMYFUNCTION("""COMPUTED_VALUE"""),"DE")</f>
        <v>DE</v>
      </c>
      <c r="D214" s="140" t="str">
        <f>IFERROR(__xludf.DUMMYFUNCTION("""COMPUTED_VALUE"""),"Spring und Hibernate für Anfänger (mit Spring Boot 2)")</f>
        <v>Spring und Hibernate für Anfänger (mit Spring Boot 2)</v>
      </c>
      <c r="E214" t="str">
        <f>IFERROR(__xludf.DUMMYFUNCTION("""COMPUTED_VALUE"""),"Spring and Hibernate for beginners (with Spring Boat 2)")</f>
        <v>Spring and Hibernate for beginners (with Spring Boat 2)</v>
      </c>
      <c r="F214" s="142" t="str">
        <f>IFERROR(__xludf.DUMMYFUNCTION("""COMPUTED_VALUE"""),"Christian Oette")</f>
        <v>Christian Oette</v>
      </c>
      <c r="G214" t="str">
        <f>IFERROR(__xludf.DUMMYFUNCTION("""COMPUTED_VALUE"""),"Instructor Request- Opted Out")</f>
        <v>Instructor Request- Opted Out</v>
      </c>
      <c r="H214" s="142" t="str">
        <f>IFERROR(__xludf.DUMMYFUNCTION("""COMPUTED_VALUE"""),"Data Science")</f>
        <v>Data Science</v>
      </c>
      <c r="I214" s="142" t="str">
        <f>IFERROR(__xludf.DUMMYFUNCTION("""COMPUTED_VALUE"""),"Big Data")</f>
        <v>Big Data</v>
      </c>
      <c r="K214" s="140" t="str">
        <f>IFERROR(__xludf.DUMMYFUNCTION("""COMPUTED_VALUE"""),"")</f>
        <v/>
      </c>
      <c r="M214" s="140" t="str">
        <f>IFERROR(__xludf.DUMMYFUNCTION("""COMPUTED_VALUE"""),"")</f>
        <v/>
      </c>
      <c r="N214" s="140" t="str">
        <f>IFERROR(__xludf.DUMMYFUNCTION("""COMPUTED_VALUE"""),"No Alternatives in Collection- 7/30/2020")</f>
        <v>No Alternatives in Collection- 7/30/2020</v>
      </c>
    </row>
    <row r="215">
      <c r="A215" s="141">
        <f>IFERROR(__xludf.DUMMYFUNCTION("""COMPUTED_VALUE"""),44074.0)</f>
        <v>44074</v>
      </c>
      <c r="B215">
        <f>IFERROR(__xludf.DUMMYFUNCTION("""COMPUTED_VALUE"""),1586632.0)</f>
        <v>1586632</v>
      </c>
      <c r="C215" s="140" t="str">
        <f>IFERROR(__xludf.DUMMYFUNCTION("""COMPUTED_VALUE"""),"DE")</f>
        <v>DE</v>
      </c>
      <c r="D215" s="140" t="str">
        <f>IFERROR(__xludf.DUMMYFUNCTION("""COMPUTED_VALUE"""),"Linux Foundation Certified System Admin (LFCS) - Teil 2/2")</f>
        <v>Linux Foundation Certified System Admin (LFCS) - Teil 2/2</v>
      </c>
      <c r="E215" t="str">
        <f>IFERROR(__xludf.DUMMYFUNCTION("""COMPUTED_VALUE"""),"Linux Foundation Certified System Admin (LFCS) - Teil 2/2")</f>
        <v>Linux Foundation Certified System Admin (LFCS) - Teil 2/2</v>
      </c>
      <c r="F215" s="142" t="str">
        <f>IFERROR(__xludf.DUMMYFUNCTION("""COMPUTED_VALUE"""),"Tom Wechsler")</f>
        <v>Tom Wechsler</v>
      </c>
      <c r="G215" t="str">
        <f>IFERROR(__xludf.DUMMYFUNCTION("""COMPUTED_VALUE"""),"Instructor Request- No Detail")</f>
        <v>Instructor Request- No Detail</v>
      </c>
      <c r="H215" s="142" t="str">
        <f>IFERROR(__xludf.DUMMYFUNCTION("""COMPUTED_VALUE"""),"IT Operations")</f>
        <v>IT Operations</v>
      </c>
      <c r="I215" s="142" t="str">
        <f>IFERROR(__xludf.DUMMYFUNCTION("""COMPUTED_VALUE"""),"IT Certifications")</f>
        <v>IT Certifications</v>
      </c>
      <c r="K215" s="140" t="str">
        <f>IFERROR(__xludf.DUMMYFUNCTION("""COMPUTED_VALUE"""),"")</f>
        <v/>
      </c>
      <c r="M215" s="140" t="str">
        <f>IFERROR(__xludf.DUMMYFUNCTION("""COMPUTED_VALUE"""),"")</f>
        <v/>
      </c>
      <c r="N215" s="140" t="str">
        <f>IFERROR(__xludf.DUMMYFUNCTION("""COMPUTED_VALUE"""),"No Alternatives in Collection- 7/29/2020")</f>
        <v>No Alternatives in Collection- 7/29/2020</v>
      </c>
    </row>
    <row r="216">
      <c r="A216" s="141">
        <f>IFERROR(__xludf.DUMMYFUNCTION("""COMPUTED_VALUE"""),44074.0)</f>
        <v>44074</v>
      </c>
      <c r="B216">
        <f>IFERROR(__xludf.DUMMYFUNCTION("""COMPUTED_VALUE"""),1947082.0)</f>
        <v>1947082</v>
      </c>
      <c r="C216" s="140" t="str">
        <f>IFERROR(__xludf.DUMMYFUNCTION("""COMPUTED_VALUE"""),"DE")</f>
        <v>DE</v>
      </c>
      <c r="D216" s="140" t="str">
        <f>IFERROR(__xludf.DUMMYFUNCTION("""COMPUTED_VALUE"""),"Professionelle Restful APIs mit Java und Spring Boot 2")</f>
        <v>Professionelle Restful APIs mit Java und Spring Boot 2</v>
      </c>
      <c r="E216" t="str">
        <f>IFERROR(__xludf.DUMMYFUNCTION("""COMPUTED_VALUE"""),"Professional Restful APIs with Java and Spring Boat 2")</f>
        <v>Professional Restful APIs with Java and Spring Boat 2</v>
      </c>
      <c r="F216" s="142" t="str">
        <f>IFERROR(__xludf.DUMMYFUNCTION("""COMPUTED_VALUE"""),"Christian Oette")</f>
        <v>Christian Oette</v>
      </c>
      <c r="G216" t="str">
        <f>IFERROR(__xludf.DUMMYFUNCTION("""COMPUTED_VALUE"""),"Instructor Request- Opted Out")</f>
        <v>Instructor Request- Opted Out</v>
      </c>
      <c r="H216" s="142" t="str">
        <f>IFERROR(__xludf.DUMMYFUNCTION("""COMPUTED_VALUE"""),"Development")</f>
        <v>Development</v>
      </c>
      <c r="I216" s="142" t="str">
        <f>IFERROR(__xludf.DUMMYFUNCTION("""COMPUTED_VALUE"""),"Programming Languages")</f>
        <v>Programming Languages</v>
      </c>
      <c r="K216" s="140" t="str">
        <f>IFERROR(__xludf.DUMMYFUNCTION("""COMPUTED_VALUE"""),"")</f>
        <v/>
      </c>
      <c r="M216" s="140" t="str">
        <f>IFERROR(__xludf.DUMMYFUNCTION("""COMPUTED_VALUE"""),"")</f>
        <v/>
      </c>
      <c r="N216" s="140" t="str">
        <f>IFERROR(__xludf.DUMMYFUNCTION("""COMPUTED_VALUE"""),"No Alternatives in Collection - 4/28")</f>
        <v>No Alternatives in Collection - 4/28</v>
      </c>
    </row>
    <row r="217">
      <c r="A217" s="141">
        <f>IFERROR(__xludf.DUMMYFUNCTION("""COMPUTED_VALUE"""),44074.0)</f>
        <v>44074</v>
      </c>
      <c r="B217">
        <f>IFERROR(__xludf.DUMMYFUNCTION("""COMPUTED_VALUE"""),1811140.0)</f>
        <v>1811140</v>
      </c>
      <c r="C217" s="140" t="str">
        <f>IFERROR(__xludf.DUMMYFUNCTION("""COMPUTED_VALUE"""),"DE")</f>
        <v>DE</v>
      </c>
      <c r="D217" s="140" t="str">
        <f>IFERROR(__xludf.DUMMYFUNCTION("""COMPUTED_VALUE"""),"Infrastructure as a service mit Microsoft Azure Grundkurs")</f>
        <v>Infrastructure as a service mit Microsoft Azure Grundkurs</v>
      </c>
      <c r="E217" t="str">
        <f>IFERROR(__xludf.DUMMYFUNCTION("""COMPUTED_VALUE"""),"Infrastructure as a service with Microsoft Azure Basic Course")</f>
        <v>Infrastructure as a service with Microsoft Azure Basic Course</v>
      </c>
      <c r="F217" s="142" t="str">
        <f>IFERROR(__xludf.DUMMYFUNCTION("""COMPUTED_VALUE"""),"Tom Wechsler")</f>
        <v>Tom Wechsler</v>
      </c>
      <c r="G217" t="str">
        <f>IFERROR(__xludf.DUMMYFUNCTION("""COMPUTED_VALUE"""),"Instructor Request- No Detail")</f>
        <v>Instructor Request- No Detail</v>
      </c>
      <c r="H217" s="142" t="str">
        <f>IFERROR(__xludf.DUMMYFUNCTION("""COMPUTED_VALUE"""),"Development")</f>
        <v>Development</v>
      </c>
      <c r="I217" s="142" t="str">
        <f>IFERROR(__xludf.DUMMYFUNCTION("""COMPUTED_VALUE"""),"Development Tools")</f>
        <v>Development Tools</v>
      </c>
      <c r="K217" s="140" t="str">
        <f>IFERROR(__xludf.DUMMYFUNCTION("""COMPUTED_VALUE"""),"")</f>
        <v/>
      </c>
      <c r="M217" s="140" t="str">
        <f>IFERROR(__xludf.DUMMYFUNCTION("""COMPUTED_VALUE"""),"")</f>
        <v/>
      </c>
      <c r="N217" s="140" t="str">
        <f>IFERROR(__xludf.DUMMYFUNCTION("""COMPUTED_VALUE"""),"No Alternatives in Collection- 7/29/2020")</f>
        <v>No Alternatives in Collection- 7/29/2020</v>
      </c>
    </row>
    <row r="218">
      <c r="A218" s="141">
        <f>IFERROR(__xludf.DUMMYFUNCTION("""COMPUTED_VALUE"""),44074.0)</f>
        <v>44074</v>
      </c>
      <c r="B218">
        <f>IFERROR(__xludf.DUMMYFUNCTION("""COMPUTED_VALUE"""),1302834.0)</f>
        <v>1302834</v>
      </c>
      <c r="C218" s="140" t="str">
        <f>IFERROR(__xludf.DUMMYFUNCTION("""COMPUTED_VALUE"""),"DE")</f>
        <v>DE</v>
      </c>
      <c r="D218" s="140" t="str">
        <f>IFERROR(__xludf.DUMMYFUNCTION("""COMPUTED_VALUE"""),"Einführung in die Linux-Befehlszeile")</f>
        <v>Einführung in die Linux-Befehlszeile</v>
      </c>
      <c r="E218" t="str">
        <f>IFERROR(__xludf.DUMMYFUNCTION("""COMPUTED_VALUE"""),"Introduction to the Linux command line")</f>
        <v>Introduction to the Linux command line</v>
      </c>
      <c r="F218" s="142" t="str">
        <f>IFERROR(__xludf.DUMMYFUNCTION("""COMPUTED_VALUE"""),"Tom Wechsler")</f>
        <v>Tom Wechsler</v>
      </c>
      <c r="G218" t="str">
        <f>IFERROR(__xludf.DUMMYFUNCTION("""COMPUTED_VALUE"""),"Instructor Request- No Detail")</f>
        <v>Instructor Request- No Detail</v>
      </c>
      <c r="H218" s="142" t="str">
        <f>IFERROR(__xludf.DUMMYFUNCTION("""COMPUTED_VALUE"""),"IT Operations")</f>
        <v>IT Operations</v>
      </c>
      <c r="I218" s="142" t="str">
        <f>IFERROR(__xludf.DUMMYFUNCTION("""COMPUTED_VALUE"""),"Operating Systems &amp; Servers")</f>
        <v>Operating Systems &amp; Servers</v>
      </c>
      <c r="J218" s="140">
        <f>IFERROR(__xludf.DUMMYFUNCTION("""COMPUTED_VALUE"""),777208.0)</f>
        <v>777208</v>
      </c>
      <c r="K218" s="140" t="str">
        <f>IFERROR(__xludf.DUMMYFUNCTION("""COMPUTED_VALUE"""),"Linux für Einsteiger – Das ultimative Einsteiger-Training!")</f>
        <v>Linux für Einsteiger – Das ultimative Einsteiger-Training!</v>
      </c>
      <c r="M218" s="140" t="str">
        <f>IFERROR(__xludf.DUMMYFUNCTION("""COMPUTED_VALUE"""),"")</f>
        <v/>
      </c>
    </row>
    <row r="219">
      <c r="A219" s="141">
        <f>IFERROR(__xludf.DUMMYFUNCTION("""COMPUTED_VALUE"""),44074.0)</f>
        <v>44074</v>
      </c>
      <c r="B219">
        <f>IFERROR(__xludf.DUMMYFUNCTION("""COMPUTED_VALUE"""),746278.0)</f>
        <v>746278</v>
      </c>
      <c r="C219" s="140" t="str">
        <f>IFERROR(__xludf.DUMMYFUNCTION("""COMPUTED_VALUE"""),"DE")</f>
        <v>DE</v>
      </c>
      <c r="D219" s="140" t="str">
        <f>IFERROR(__xludf.DUMMYFUNCTION("""COMPUTED_VALUE"""),"Wie du deinen WordPress Blog mit HTML in den Griff bekommst!")</f>
        <v>Wie du deinen WordPress Blog mit HTML in den Griff bekommst!</v>
      </c>
      <c r="E219" t="str">
        <f>IFERROR(__xludf.DUMMYFUNCTION("""COMPUTED_VALUE"""),"How did your WordPress blog with HTML get a grip!")</f>
        <v>How did your WordPress blog with HTML get a grip!</v>
      </c>
      <c r="F219" s="142" t="str">
        <f>IFERROR(__xludf.DUMMYFUNCTION("""COMPUTED_VALUE"""),"Jonas Tietgen")</f>
        <v>Jonas Tietgen</v>
      </c>
      <c r="G219" t="str">
        <f>IFERROR(__xludf.DUMMYFUNCTION("""COMPUTED_VALUE"""),"Instructor Request- No Detail")</f>
        <v>Instructor Request- No Detail</v>
      </c>
      <c r="H219" s="142" t="str">
        <f>IFERROR(__xludf.DUMMYFUNCTION("""COMPUTED_VALUE"""),"Development")</f>
        <v>Development</v>
      </c>
      <c r="I219" s="142" t="str">
        <f>IFERROR(__xludf.DUMMYFUNCTION("""COMPUTED_VALUE"""),"Web Development")</f>
        <v>Web Development</v>
      </c>
      <c r="K219" s="140" t="str">
        <f>IFERROR(__xludf.DUMMYFUNCTION("""COMPUTED_VALUE"""),"")</f>
        <v/>
      </c>
      <c r="M219" s="140" t="str">
        <f>IFERROR(__xludf.DUMMYFUNCTION("""COMPUTED_VALUE"""),"")</f>
        <v/>
      </c>
      <c r="N219" s="140" t="str">
        <f>IFERROR(__xludf.DUMMYFUNCTION("""COMPUTED_VALUE"""),"No Alternatives in Collection- 7/29/2020")</f>
        <v>No Alternatives in Collection- 7/29/2020</v>
      </c>
    </row>
    <row r="220">
      <c r="A220" s="141">
        <f>IFERROR(__xludf.DUMMYFUNCTION("""COMPUTED_VALUE"""),44074.0)</f>
        <v>44074</v>
      </c>
      <c r="B220">
        <f>IFERROR(__xludf.DUMMYFUNCTION("""COMPUTED_VALUE"""),2141542.0)</f>
        <v>2141542</v>
      </c>
      <c r="C220" s="140" t="str">
        <f>IFERROR(__xludf.DUMMYFUNCTION("""COMPUTED_VALUE"""),"DE")</f>
        <v>DE</v>
      </c>
      <c r="D220" s="140" t="str">
        <f>IFERROR(__xludf.DUMMYFUNCTION("""COMPUTED_VALUE"""),"Kali Linux für angehende Hacker und PenTester")</f>
        <v>Kali Linux für angehende Hacker und PenTester</v>
      </c>
      <c r="E220" t="str">
        <f>IFERROR(__xludf.DUMMYFUNCTION("""COMPUTED_VALUE"""),"Kali Linux for aspiring hackers and pentester")</f>
        <v>Kali Linux for aspiring hackers and pentester</v>
      </c>
      <c r="F220" s="142" t="str">
        <f>IFERROR(__xludf.DUMMYFUNCTION("""COMPUTED_VALUE"""),"Tom Wechsler")</f>
        <v>Tom Wechsler</v>
      </c>
      <c r="G220" t="str">
        <f>IFERROR(__xludf.DUMMYFUNCTION("""COMPUTED_VALUE"""),"Instructor Request- No Detail")</f>
        <v>Instructor Request- No Detail</v>
      </c>
      <c r="H220" s="142" t="str">
        <f>IFERROR(__xludf.DUMMYFUNCTION("""COMPUTED_VALUE"""),"IT Operations")</f>
        <v>IT Operations</v>
      </c>
      <c r="I220" s="142" t="str">
        <f>IFERROR(__xludf.DUMMYFUNCTION("""COMPUTED_VALUE"""),"Network &amp; Security")</f>
        <v>Network &amp; Security</v>
      </c>
      <c r="J220" s="140">
        <f>IFERROR(__xludf.DUMMYFUNCTION("""COMPUTED_VALUE"""),1360976.0)</f>
        <v>1360976</v>
      </c>
      <c r="K220" s="140" t="str">
        <f>IFERROR(__xludf.DUMMYFUNCTION("""COMPUTED_VALUE"""),"Ethical Hacking mit Python in der Praxis: Der Komplettkurs")</f>
        <v>Ethical Hacking mit Python in der Praxis: Der Komplettkurs</v>
      </c>
      <c r="M220" s="140" t="str">
        <f>IFERROR(__xludf.DUMMYFUNCTION("""COMPUTED_VALUE"""),"")</f>
        <v/>
      </c>
    </row>
    <row r="221">
      <c r="A221" s="141">
        <f>IFERROR(__xludf.DUMMYFUNCTION("""COMPUTED_VALUE"""),44074.0)</f>
        <v>44074</v>
      </c>
      <c r="B221">
        <f>IFERROR(__xludf.DUMMYFUNCTION("""COMPUTED_VALUE"""),1887946.0)</f>
        <v>1887946</v>
      </c>
      <c r="C221" s="140" t="str">
        <f>IFERROR(__xludf.DUMMYFUNCTION("""COMPUTED_VALUE"""),"DE")</f>
        <v>DE</v>
      </c>
      <c r="D221" s="140" t="str">
        <f>IFERROR(__xludf.DUMMYFUNCTION("""COMPUTED_VALUE"""),"Linux für Junior System Administratoren")</f>
        <v>Linux für Junior System Administratoren</v>
      </c>
      <c r="E221" t="str">
        <f>IFERROR(__xludf.DUMMYFUNCTION("""COMPUTED_VALUE"""),"Linux for junior system administrators")</f>
        <v>Linux for junior system administrators</v>
      </c>
      <c r="F221" s="142" t="str">
        <f>IFERROR(__xludf.DUMMYFUNCTION("""COMPUTED_VALUE"""),"Tom Wechsler")</f>
        <v>Tom Wechsler</v>
      </c>
      <c r="G221" t="str">
        <f>IFERROR(__xludf.DUMMYFUNCTION("""COMPUTED_VALUE"""),"Instructor Request- No Detail")</f>
        <v>Instructor Request- No Detail</v>
      </c>
      <c r="H221" s="142" t="str">
        <f>IFERROR(__xludf.DUMMYFUNCTION("""COMPUTED_VALUE"""),"Office Productivity")</f>
        <v>Office Productivity</v>
      </c>
      <c r="I221" s="142" t="str">
        <f>IFERROR(__xludf.DUMMYFUNCTION("""COMPUTED_VALUE"""),"Operating Systems")</f>
        <v>Operating Systems</v>
      </c>
      <c r="J221" s="140">
        <f>IFERROR(__xludf.DUMMYFUNCTION("""COMPUTED_VALUE"""),777208.0)</f>
        <v>777208</v>
      </c>
      <c r="K221" s="140" t="str">
        <f>IFERROR(__xludf.DUMMYFUNCTION("""COMPUTED_VALUE"""),"Linux für Einsteiger – Das ultimative Einsteiger-Training!")</f>
        <v>Linux für Einsteiger – Das ultimative Einsteiger-Training!</v>
      </c>
      <c r="M221" s="140" t="str">
        <f>IFERROR(__xludf.DUMMYFUNCTION("""COMPUTED_VALUE"""),"")</f>
        <v/>
      </c>
    </row>
    <row r="222">
      <c r="A222" s="141">
        <f>IFERROR(__xludf.DUMMYFUNCTION("""COMPUTED_VALUE"""),44074.0)</f>
        <v>44074</v>
      </c>
      <c r="B222">
        <f>IFERROR(__xludf.DUMMYFUNCTION("""COMPUTED_VALUE"""),1729276.0)</f>
        <v>1729276</v>
      </c>
      <c r="C222" s="140" t="str">
        <f>IFERROR(__xludf.DUMMYFUNCTION("""COMPUTED_VALUE"""),"EN")</f>
        <v>EN</v>
      </c>
      <c r="D222" s="140" t="str">
        <f>IFERROR(__xludf.DUMMYFUNCTION("""COMPUTED_VALUE"""),"Youtube SEO Course :How TO Rank #1 On YouTube in 2020")</f>
        <v>Youtube SEO Course :How TO Rank #1 On YouTube in 2020</v>
      </c>
      <c r="F222" s="142" t="str">
        <f>IFERROR(__xludf.DUMMYFUNCTION("""COMPUTED_VALUE"""),"Liaqat Ali")</f>
        <v>Liaqat Ali</v>
      </c>
      <c r="G222" t="str">
        <f>IFERROR(__xludf.DUMMYFUNCTION("""COMPUTED_VALUE"""),"Below Quality Standards- Low Rating")</f>
        <v>Below Quality Standards- Low Rating</v>
      </c>
      <c r="H222" s="142" t="str">
        <f>IFERROR(__xludf.DUMMYFUNCTION("""COMPUTED_VALUE"""),"Marketing")</f>
        <v>Marketing</v>
      </c>
      <c r="I222" s="142" t="str">
        <f>IFERROR(__xludf.DUMMYFUNCTION("""COMPUTED_VALUE"""),"Video &amp; Mobile Marketing")</f>
        <v>Video &amp; Mobile Marketing</v>
      </c>
      <c r="J222" s="140">
        <f>IFERROR(__xludf.DUMMYFUNCTION("""COMPUTED_VALUE"""),703140.0)</f>
        <v>703140</v>
      </c>
      <c r="K222" s="140" t="str">
        <f>IFERROR(__xludf.DUMMYFUNCTION("""COMPUTED_VALUE"""),"YouTube Masterclass - Your Complete Guide to YouTube")</f>
        <v>YouTube Masterclass - Your Complete Guide to YouTube</v>
      </c>
      <c r="M222" s="140" t="str">
        <f>IFERROR(__xludf.DUMMYFUNCTION("""COMPUTED_VALUE"""),"")</f>
        <v/>
      </c>
    </row>
    <row r="223">
      <c r="A223" s="141">
        <f>IFERROR(__xludf.DUMMYFUNCTION("""COMPUTED_VALUE"""),44074.0)</f>
        <v>44074</v>
      </c>
      <c r="B223">
        <f>IFERROR(__xludf.DUMMYFUNCTION("""COMPUTED_VALUE"""),283640.0)</f>
        <v>283640</v>
      </c>
      <c r="C223" s="140" t="str">
        <f>IFERROR(__xludf.DUMMYFUNCTION("""COMPUTED_VALUE"""),"EN")</f>
        <v>EN</v>
      </c>
      <c r="D223" s="140" t="str">
        <f>IFERROR(__xludf.DUMMYFUNCTION("""COMPUTED_VALUE"""),"Fraud Analytics: Case study using Logistic Regression")</f>
        <v>Fraud Analytics: Case study using Logistic Regression</v>
      </c>
      <c r="F223" s="142" t="str">
        <f>IFERROR(__xludf.DUMMYFUNCTION("""COMPUTED_VALUE"""),"Jigsaw Academy")</f>
        <v>Jigsaw Academy</v>
      </c>
      <c r="G223" t="str">
        <f>IFERROR(__xludf.DUMMYFUNCTION("""COMPUTED_VALUE"""),"Below Quality Standards- Low Rating")</f>
        <v>Below Quality Standards- Low Rating</v>
      </c>
      <c r="H223" s="142" t="str">
        <f>IFERROR(__xludf.DUMMYFUNCTION("""COMPUTED_VALUE"""),"Data Science")</f>
        <v>Data Science</v>
      </c>
      <c r="I223" s="142" t="str">
        <f>IFERROR(__xludf.DUMMYFUNCTION("""COMPUTED_VALUE"""),"Analytics")</f>
        <v>Analytics</v>
      </c>
      <c r="J223" s="140">
        <f>IFERROR(__xludf.DUMMYFUNCTION("""COMPUTED_VALUE"""),1542818.0)</f>
        <v>1542818</v>
      </c>
      <c r="K223" s="140" t="str">
        <f>IFERROR(__xludf.DUMMYFUNCTION("""COMPUTED_VALUE"""),"Real-time Credit card Fraud Detection using Spark 2.2")</f>
        <v>Real-time Credit card Fraud Detection using Spark 2.2</v>
      </c>
      <c r="M223" s="140" t="str">
        <f>IFERROR(__xludf.DUMMYFUNCTION("""COMPUTED_VALUE"""),"")</f>
        <v/>
      </c>
    </row>
    <row r="224">
      <c r="A224" s="141">
        <f>IFERROR(__xludf.DUMMYFUNCTION("""COMPUTED_VALUE"""),44074.0)</f>
        <v>44074</v>
      </c>
      <c r="B224">
        <f>IFERROR(__xludf.DUMMYFUNCTION("""COMPUTED_VALUE"""),1251736.0)</f>
        <v>1251736</v>
      </c>
      <c r="C224" s="140" t="str">
        <f>IFERROR(__xludf.DUMMYFUNCTION("""COMPUTED_VALUE"""),"EN")</f>
        <v>EN</v>
      </c>
      <c r="D224" s="140" t="str">
        <f>IFERROR(__xludf.DUMMYFUNCTION("""COMPUTED_VALUE"""),"Advanced Project Management (1/4): Project Initiation")</f>
        <v>Advanced Project Management (1/4): Project Initiation</v>
      </c>
      <c r="F224" s="142" t="str">
        <f>IFERROR(__xludf.DUMMYFUNCTION("""COMPUTED_VALUE"""),"Jamal Moustafaev, BBA, MBA, PMP")</f>
        <v>Jamal Moustafaev, BBA, MBA, PMP</v>
      </c>
      <c r="G224" t="str">
        <f>IFERROR(__xludf.DUMMYFUNCTION("""COMPUTED_VALUE"""),"Below Quality Standards- 3 Flags")</f>
        <v>Below Quality Standards- 3 Flags</v>
      </c>
      <c r="H224" s="142" t="str">
        <f>IFERROR(__xludf.DUMMYFUNCTION("""COMPUTED_VALUE"""),"Project Management &amp; Operations")</f>
        <v>Project Management &amp; Operations</v>
      </c>
      <c r="I224" s="142" t="str">
        <f>IFERROR(__xludf.DUMMYFUNCTION("""COMPUTED_VALUE"""),"Project Management Fundamentals")</f>
        <v>Project Management Fundamentals</v>
      </c>
      <c r="J224" s="140">
        <f>IFERROR(__xludf.DUMMYFUNCTION("""COMPUTED_VALUE"""),946742.0)</f>
        <v>946742</v>
      </c>
      <c r="K224" s="140" t="str">
        <f>IFERROR(__xludf.DUMMYFUNCTION("""COMPUTED_VALUE"""),"Beginning Project Management: Project Management Level One")</f>
        <v>Beginning Project Management: Project Management Level One</v>
      </c>
      <c r="M224" s="140" t="str">
        <f>IFERROR(__xludf.DUMMYFUNCTION("""COMPUTED_VALUE"""),"")</f>
        <v/>
      </c>
    </row>
    <row r="225">
      <c r="A225" s="141">
        <f>IFERROR(__xludf.DUMMYFUNCTION("""COMPUTED_VALUE"""),44074.0)</f>
        <v>44074</v>
      </c>
      <c r="B225">
        <f>IFERROR(__xludf.DUMMYFUNCTION("""COMPUTED_VALUE"""),2442012.0)</f>
        <v>2442012</v>
      </c>
      <c r="C225" s="140" t="str">
        <f>IFERROR(__xludf.DUMMYFUNCTION("""COMPUTED_VALUE"""),"EN")</f>
        <v>EN</v>
      </c>
      <c r="D225" s="140" t="str">
        <f>IFERROR(__xludf.DUMMYFUNCTION("""COMPUTED_VALUE"""),"AWS Certified SysOps Administrator Associate Practice Exams")</f>
        <v>AWS Certified SysOps Administrator Associate Practice Exams</v>
      </c>
      <c r="F225" s="142" t="str">
        <f>IFERROR(__xludf.DUMMYFUNCTION("""COMPUTED_VALUE"""),"Miles Karabas")</f>
        <v>Miles Karabas</v>
      </c>
      <c r="G225" t="str">
        <f>IFERROR(__xludf.DUMMYFUNCTION("""COMPUTED_VALUE"""),"Below Quality Standards- Low Rating")</f>
        <v>Below Quality Standards- Low Rating</v>
      </c>
      <c r="H225" s="142" t="str">
        <f>IFERROR(__xludf.DUMMYFUNCTION("""COMPUTED_VALUE"""),"IT Operations")</f>
        <v>IT Operations</v>
      </c>
      <c r="I225" s="142" t="str">
        <f>IFERROR(__xludf.DUMMYFUNCTION("""COMPUTED_VALUE"""),"IT Certifications")</f>
        <v>IT Certifications</v>
      </c>
      <c r="K225" s="140" t="str">
        <f>IFERROR(__xludf.DUMMYFUNCTION("""COMPUTED_VALUE"""),"")</f>
        <v/>
      </c>
      <c r="M225" s="140" t="str">
        <f>IFERROR(__xludf.DUMMYFUNCTION("""COMPUTED_VALUE"""),"")</f>
        <v/>
      </c>
      <c r="N225" s="140" t="str">
        <f>IFERROR(__xludf.DUMMYFUNCTION("""COMPUTED_VALUE"""),"No Alternatives in Collection- 7/30/2020")</f>
        <v>No Alternatives in Collection- 7/30/2020</v>
      </c>
    </row>
    <row r="226">
      <c r="A226" s="141">
        <f>IFERROR(__xludf.DUMMYFUNCTION("""COMPUTED_VALUE"""),44074.0)</f>
        <v>44074</v>
      </c>
      <c r="B226">
        <f>IFERROR(__xludf.DUMMYFUNCTION("""COMPUTED_VALUE"""),1870670.0)</f>
        <v>1870670</v>
      </c>
      <c r="C226" s="140" t="str">
        <f>IFERROR(__xludf.DUMMYFUNCTION("""COMPUTED_VALUE"""),"EN")</f>
        <v>EN</v>
      </c>
      <c r="D226" s="140" t="str">
        <f>IFERROR(__xludf.DUMMYFUNCTION("""COMPUTED_VALUE"""),"AWS Certified Solutions Architect Associate (SAA-C01) Prep")</f>
        <v>AWS Certified Solutions Architect Associate (SAA-C01) Prep</v>
      </c>
      <c r="F226" s="142" t="str">
        <f>IFERROR(__xludf.DUMMYFUNCTION("""COMPUTED_VALUE"""),"Whizlabs Learning Center")</f>
        <v>Whizlabs Learning Center</v>
      </c>
      <c r="G226" t="str">
        <f>IFERROR(__xludf.DUMMYFUNCTION("""COMPUTED_VALUE"""),"Below Quality Standards- Low Rating")</f>
        <v>Below Quality Standards- Low Rating</v>
      </c>
      <c r="H226" s="142" t="str">
        <f>IFERROR(__xludf.DUMMYFUNCTION("""COMPUTED_VALUE"""),"IT Operations")</f>
        <v>IT Operations</v>
      </c>
      <c r="I226" s="142" t="str">
        <f>IFERROR(__xludf.DUMMYFUNCTION("""COMPUTED_VALUE"""),"IT Certifications")</f>
        <v>IT Certifications</v>
      </c>
      <c r="J226" s="140">
        <f>IFERROR(__xludf.DUMMYFUNCTION("""COMPUTED_VALUE"""),1135330.0)</f>
        <v>1135330</v>
      </c>
      <c r="K226" s="140" t="str">
        <f>IFERROR(__xludf.DUMMYFUNCTION("""COMPUTED_VALUE"""),"Part 1: AWS Certified Solutions Architect SAA C02")</f>
        <v>Part 1: AWS Certified Solutions Architect SAA C02</v>
      </c>
      <c r="L226">
        <f>IFERROR(__xludf.DUMMYFUNCTION("""COMPUTED_VALUE"""),1198532.0)</f>
        <v>1198532</v>
      </c>
      <c r="M226" s="140" t="str">
        <f>IFERROR(__xludf.DUMMYFUNCTION("""COMPUTED_VALUE"""),"Part 2: AWS Certified Solutions Architect SAA C02")</f>
        <v>Part 2: AWS Certified Solutions Architect SAA C02</v>
      </c>
    </row>
    <row r="227">
      <c r="A227" s="141">
        <f>IFERROR(__xludf.DUMMYFUNCTION("""COMPUTED_VALUE"""),44074.0)</f>
        <v>44074</v>
      </c>
      <c r="B227">
        <f>IFERROR(__xludf.DUMMYFUNCTION("""COMPUTED_VALUE"""),2086224.0)</f>
        <v>2086224</v>
      </c>
      <c r="C227" s="140" t="str">
        <f>IFERROR(__xludf.DUMMYFUNCTION("""COMPUTED_VALUE"""),"EN")</f>
        <v>EN</v>
      </c>
      <c r="D227" s="140" t="str">
        <f>IFERROR(__xludf.DUMMYFUNCTION("""COMPUTED_VALUE"""),"Serverless Computing with Azure Functions")</f>
        <v>Serverless Computing with Azure Functions</v>
      </c>
      <c r="F227" s="142" t="str">
        <f>IFERROR(__xludf.DUMMYFUNCTION("""COMPUTED_VALUE"""),"Packt Publishing")</f>
        <v>Packt Publishing</v>
      </c>
      <c r="G227" t="str">
        <f>IFERROR(__xludf.DUMMYFUNCTION("""COMPUTED_VALUE"""),"Instructor Request- Opted Out")</f>
        <v>Instructor Request- Opted Out</v>
      </c>
      <c r="H227" s="142" t="str">
        <f>IFERROR(__xludf.DUMMYFUNCTION("""COMPUTED_VALUE"""),"Development")</f>
        <v>Development</v>
      </c>
      <c r="I227" s="142" t="str">
        <f>IFERROR(__xludf.DUMMYFUNCTION("""COMPUTED_VALUE"""),"Development Tools")</f>
        <v>Development Tools</v>
      </c>
      <c r="J227" s="140">
        <f>IFERROR(__xludf.DUMMYFUNCTION("""COMPUTED_VALUE"""),1403814.0)</f>
        <v>1403814</v>
      </c>
      <c r="K227" s="140" t="str">
        <f>IFERROR(__xludf.DUMMYFUNCTION("""COMPUTED_VALUE"""),"Azure Serverless Functions and Logic Apps")</f>
        <v>Azure Serverless Functions and Logic Apps</v>
      </c>
      <c r="M227" s="140" t="str">
        <f>IFERROR(__xludf.DUMMYFUNCTION("""COMPUTED_VALUE"""),"")</f>
        <v/>
      </c>
    </row>
    <row r="228">
      <c r="A228" s="141">
        <f>IFERROR(__xludf.DUMMYFUNCTION("""COMPUTED_VALUE"""),44074.0)</f>
        <v>44074</v>
      </c>
      <c r="B228">
        <f>IFERROR(__xludf.DUMMYFUNCTION("""COMPUTED_VALUE"""),2191358.0)</f>
        <v>2191358</v>
      </c>
      <c r="C228" s="140" t="str">
        <f>IFERROR(__xludf.DUMMYFUNCTION("""COMPUTED_VALUE"""),"EN")</f>
        <v>EN</v>
      </c>
      <c r="D228" s="140" t="str">
        <f>IFERROR(__xludf.DUMMYFUNCTION("""COMPUTED_VALUE"""),"Performance Testing using Gatling - Beginner Level")</f>
        <v>Performance Testing using Gatling - Beginner Level</v>
      </c>
      <c r="F228" s="142" t="str">
        <f>IFERROR(__xludf.DUMMYFUNCTION("""COMPUTED_VALUE"""),"Anuradha Agarwal")</f>
        <v>Anuradha Agarwal</v>
      </c>
      <c r="G228" t="str">
        <f>IFERROR(__xludf.DUMMYFUNCTION("""COMPUTED_VALUE"""),"Instructor Request- No Detail")</f>
        <v>Instructor Request- No Detail</v>
      </c>
      <c r="H228" s="142" t="str">
        <f>IFERROR(__xludf.DUMMYFUNCTION("""COMPUTED_VALUE"""),"Development")</f>
        <v>Development</v>
      </c>
      <c r="I228" s="142" t="str">
        <f>IFERROR(__xludf.DUMMYFUNCTION("""COMPUTED_VALUE"""),"Development Tools")</f>
        <v>Development Tools</v>
      </c>
      <c r="J228" s="140">
        <f>IFERROR(__xludf.DUMMYFUNCTION("""COMPUTED_VALUE"""),1933116.0)</f>
        <v>1933116</v>
      </c>
      <c r="K228" s="140" t="str">
        <f>IFERROR(__xludf.DUMMYFUNCTION("""COMPUTED_VALUE"""),"Gatling Fundamentals for Stress, Load &amp; Performance Testing")</f>
        <v>Gatling Fundamentals for Stress, Load &amp; Performance Testing</v>
      </c>
      <c r="M228" s="140" t="str">
        <f>IFERROR(__xludf.DUMMYFUNCTION("""COMPUTED_VALUE"""),"")</f>
        <v/>
      </c>
    </row>
    <row r="229">
      <c r="A229" s="141">
        <f>IFERROR(__xludf.DUMMYFUNCTION("""COMPUTED_VALUE"""),44074.0)</f>
        <v>44074</v>
      </c>
      <c r="B229">
        <f>IFERROR(__xludf.DUMMYFUNCTION("""COMPUTED_VALUE"""),1082996.0)</f>
        <v>1082996</v>
      </c>
      <c r="C229" s="140" t="str">
        <f>IFERROR(__xludf.DUMMYFUNCTION("""COMPUTED_VALUE"""),"EN")</f>
        <v>EN</v>
      </c>
      <c r="D229" s="140" t="str">
        <f>IFERROR(__xludf.DUMMYFUNCTION("""COMPUTED_VALUE"""),"Pimcore 4 Developer: Implement a Blog from a Bootstrap Theme")</f>
        <v>Pimcore 4 Developer: Implement a Blog from a Bootstrap Theme</v>
      </c>
      <c r="F229" s="142" t="str">
        <f>IFERROR(__xludf.DUMMYFUNCTION("""COMPUTED_VALUE"""),"Thomas Wiesner")</f>
        <v>Thomas Wiesner</v>
      </c>
      <c r="G229" t="str">
        <f>IFERROR(__xludf.DUMMYFUNCTION("""COMPUTED_VALUE"""),"Instructor Request- Opted Out")</f>
        <v>Instructor Request- Opted Out</v>
      </c>
      <c r="H229" s="142" t="str">
        <f>IFERROR(__xludf.DUMMYFUNCTION("""COMPUTED_VALUE"""),"Development")</f>
        <v>Development</v>
      </c>
      <c r="I229" s="142" t="str">
        <f>IFERROR(__xludf.DUMMYFUNCTION("""COMPUTED_VALUE"""),"Web Development")</f>
        <v>Web Development</v>
      </c>
      <c r="K229" s="140" t="str">
        <f>IFERROR(__xludf.DUMMYFUNCTION("""COMPUTED_VALUE"""),"")</f>
        <v/>
      </c>
      <c r="M229" s="140" t="str">
        <f>IFERROR(__xludf.DUMMYFUNCTION("""COMPUTED_VALUE"""),"")</f>
        <v/>
      </c>
      <c r="N229" s="140" t="str">
        <f>IFERROR(__xludf.DUMMYFUNCTION("""COMPUTED_VALUE"""),"No Alternatives in Collection- 7/30/2020")</f>
        <v>No Alternatives in Collection- 7/30/2020</v>
      </c>
    </row>
    <row r="230">
      <c r="A230" s="141">
        <f>IFERROR(__xludf.DUMMYFUNCTION("""COMPUTED_VALUE"""),44074.0)</f>
        <v>44074</v>
      </c>
      <c r="B230">
        <f>IFERROR(__xludf.DUMMYFUNCTION("""COMPUTED_VALUE"""),1474634.0)</f>
        <v>1474634</v>
      </c>
      <c r="C230" s="140" t="str">
        <f>IFERROR(__xludf.DUMMYFUNCTION("""COMPUTED_VALUE"""),"EN")</f>
        <v>EN</v>
      </c>
      <c r="D230" s="140" t="str">
        <f>IFERROR(__xludf.DUMMYFUNCTION("""COMPUTED_VALUE"""),"Fusion 360 Simulations, Modal Analysis and Event Simulations")</f>
        <v>Fusion 360 Simulations, Modal Analysis and Event Simulations</v>
      </c>
      <c r="F230" s="142" t="str">
        <f>IFERROR(__xludf.DUMMYFUNCTION("""COMPUTED_VALUE"""),"Sean Thomas")</f>
        <v>Sean Thomas</v>
      </c>
      <c r="G230" t="str">
        <f>IFERROR(__xludf.DUMMYFUNCTION("""COMPUTED_VALUE"""),"Instructor Request- Opted Out")</f>
        <v>Instructor Request- Opted Out</v>
      </c>
      <c r="H230" s="142" t="str">
        <f>IFERROR(__xludf.DUMMYFUNCTION("""COMPUTED_VALUE"""),"IT Operations")</f>
        <v>IT Operations</v>
      </c>
      <c r="I230" s="142" t="str">
        <f>IFERROR(__xludf.DUMMYFUNCTION("""COMPUTED_VALUE"""),"Hardware")</f>
        <v>Hardware</v>
      </c>
      <c r="J230" s="140">
        <f>IFERROR(__xludf.DUMMYFUNCTION("""COMPUTED_VALUE"""),1145520.0)</f>
        <v>1145520</v>
      </c>
      <c r="K230" s="140" t="str">
        <f>IFERROR(__xludf.DUMMYFUNCTION("""COMPUTED_VALUE"""),"Fusion 360 for 3D Printing - Designing with Components")</f>
        <v>Fusion 360 for 3D Printing - Designing with Components</v>
      </c>
      <c r="M230" s="140" t="str">
        <f>IFERROR(__xludf.DUMMYFUNCTION("""COMPUTED_VALUE"""),"")</f>
        <v/>
      </c>
    </row>
    <row r="231">
      <c r="A231" s="141">
        <f>IFERROR(__xludf.DUMMYFUNCTION("""COMPUTED_VALUE"""),44074.0)</f>
        <v>44074</v>
      </c>
      <c r="B231">
        <f>IFERROR(__xludf.DUMMYFUNCTION("""COMPUTED_VALUE"""),2117824.0)</f>
        <v>2117824</v>
      </c>
      <c r="C231" s="140" t="str">
        <f>IFERROR(__xludf.DUMMYFUNCTION("""COMPUTED_VALUE"""),"EN")</f>
        <v>EN</v>
      </c>
      <c r="D231" s="140" t="str">
        <f>IFERROR(__xludf.DUMMYFUNCTION("""COMPUTED_VALUE"""),"Hard Surface Character Creation in Zbrush")</f>
        <v>Hard Surface Character Creation in Zbrush</v>
      </c>
      <c r="F231" s="142" t="str">
        <f>IFERROR(__xludf.DUMMYFUNCTION("""COMPUTED_VALUE"""),"Victory3D LLC")</f>
        <v>Victory3D LLC</v>
      </c>
      <c r="G231" t="str">
        <f>IFERROR(__xludf.DUMMYFUNCTION("""COMPUTED_VALUE"""),"Instructor Request- Opted Out")</f>
        <v>Instructor Request- Opted Out</v>
      </c>
      <c r="H231" s="142" t="str">
        <f>IFERROR(__xludf.DUMMYFUNCTION("""COMPUTED_VALUE"""),"Design")</f>
        <v>Design</v>
      </c>
      <c r="I231" s="142" t="str">
        <f>IFERROR(__xludf.DUMMYFUNCTION("""COMPUTED_VALUE"""),"Game Design")</f>
        <v>Game Design</v>
      </c>
      <c r="J231" s="140">
        <f>IFERROR(__xludf.DUMMYFUNCTION("""COMPUTED_VALUE"""),1977936.0)</f>
        <v>1977936</v>
      </c>
      <c r="K231" s="140" t="str">
        <f>IFERROR(__xludf.DUMMYFUNCTION("""COMPUTED_VALUE"""),"Complete Game Character Workflow 01 Character Modeling")</f>
        <v>Complete Game Character Workflow 01 Character Modeling</v>
      </c>
      <c r="L231">
        <f>IFERROR(__xludf.DUMMYFUNCTION("""COMPUTED_VALUE"""),1472960.0)</f>
        <v>1472960</v>
      </c>
      <c r="M231" s="140" t="str">
        <f>IFERROR(__xludf.DUMMYFUNCTION("""COMPUTED_VALUE"""),"")</f>
        <v/>
      </c>
    </row>
    <row r="232">
      <c r="A232" s="141">
        <f>IFERROR(__xludf.DUMMYFUNCTION("""COMPUTED_VALUE"""),44074.0)</f>
        <v>44074</v>
      </c>
      <c r="B232">
        <f>IFERROR(__xludf.DUMMYFUNCTION("""COMPUTED_VALUE"""),2206088.0)</f>
        <v>2206088</v>
      </c>
      <c r="C232" s="140" t="str">
        <f>IFERROR(__xludf.DUMMYFUNCTION("""COMPUTED_VALUE"""),"EN")</f>
        <v>EN</v>
      </c>
      <c r="D232" s="140" t="str">
        <f>IFERROR(__xludf.DUMMYFUNCTION("""COMPUTED_VALUE"""),"Selenium Java : Beginner to Advanced [Live Project]")</f>
        <v>Selenium Java : Beginner to Advanced [Live Project]</v>
      </c>
      <c r="F232" s="142" t="str">
        <f>IFERROR(__xludf.DUMMYFUNCTION("""COMPUTED_VALUE"""),"Arun Motoori")</f>
        <v>Arun Motoori</v>
      </c>
      <c r="G232" t="str">
        <f>IFERROR(__xludf.DUMMYFUNCTION("""COMPUTED_VALUE"""),"Instructor Request- Revenue")</f>
        <v>Instructor Request- Revenue</v>
      </c>
      <c r="H232" s="142" t="str">
        <f>IFERROR(__xludf.DUMMYFUNCTION("""COMPUTED_VALUE"""),"Development")</f>
        <v>Development</v>
      </c>
      <c r="I232" s="142" t="str">
        <f>IFERROR(__xludf.DUMMYFUNCTION("""COMPUTED_VALUE"""),"Software Testing")</f>
        <v>Software Testing</v>
      </c>
      <c r="J232" s="140">
        <f>IFERROR(__xludf.DUMMYFUNCTION("""COMPUTED_VALUE"""),354176.0)</f>
        <v>354176</v>
      </c>
      <c r="K232" s="140" t="str">
        <f>IFERROR(__xludf.DUMMYFUNCTION("""COMPUTED_VALUE"""),"Selenium WebDriver with Java -Basics to Advanced+Frameworks")</f>
        <v>Selenium WebDriver with Java -Basics to Advanced+Frameworks</v>
      </c>
      <c r="M232" s="140" t="str">
        <f>IFERROR(__xludf.DUMMYFUNCTION("""COMPUTED_VALUE"""),"")</f>
        <v/>
      </c>
    </row>
    <row r="233">
      <c r="A233" s="141">
        <f>IFERROR(__xludf.DUMMYFUNCTION("""COMPUTED_VALUE"""),44074.0)</f>
        <v>44074</v>
      </c>
      <c r="B233">
        <f>IFERROR(__xludf.DUMMYFUNCTION("""COMPUTED_VALUE"""),876870.0)</f>
        <v>876870</v>
      </c>
      <c r="C233" s="140" t="str">
        <f>IFERROR(__xludf.DUMMYFUNCTION("""COMPUTED_VALUE"""),"EN")</f>
        <v>EN</v>
      </c>
      <c r="D233" s="140" t="str">
        <f>IFERROR(__xludf.DUMMYFUNCTION("""COMPUTED_VALUE"""),"Internet Mapping with Geoserver, Postgres, and Openlayers 3")</f>
        <v>Internet Mapping with Geoserver, Postgres, and Openlayers 3</v>
      </c>
      <c r="F233" s="142" t="str">
        <f>IFERROR(__xludf.DUMMYFUNCTION("""COMPUTED_VALUE"""),"Arthur Lembo")</f>
        <v>Arthur Lembo</v>
      </c>
      <c r="G233" t="str">
        <f>IFERROR(__xludf.DUMMYFUNCTION("""COMPUTED_VALUE"""),"Instructor Request- Opted Out")</f>
        <v>Instructor Request- Opted Out</v>
      </c>
      <c r="H233" s="142" t="str">
        <f>IFERROR(__xludf.DUMMYFUNCTION("""COMPUTED_VALUE"""),"Development")</f>
        <v>Development</v>
      </c>
      <c r="I233" s="142" t="str">
        <f>IFERROR(__xludf.DUMMYFUNCTION("""COMPUTED_VALUE"""),"Database Design &amp; Development")</f>
        <v>Database Design &amp; Development</v>
      </c>
      <c r="J233" s="140">
        <f>IFERROR(__xludf.DUMMYFUNCTION("""COMPUTED_VALUE"""),1030486.0)</f>
        <v>1030486</v>
      </c>
      <c r="K233" s="140" t="str">
        <f>IFERROR(__xludf.DUMMYFUNCTION("""COMPUTED_VALUE"""),"[Intermediate] Spatial Data Analysis with R, QGIS &amp; More")</f>
        <v>[Intermediate] Spatial Data Analysis with R, QGIS &amp; More</v>
      </c>
      <c r="M233" s="140" t="str">
        <f>IFERROR(__xludf.DUMMYFUNCTION("""COMPUTED_VALUE"""),"")</f>
        <v/>
      </c>
    </row>
    <row r="234">
      <c r="A234" s="141">
        <f>IFERROR(__xludf.DUMMYFUNCTION("""COMPUTED_VALUE"""),44074.0)</f>
        <v>44074</v>
      </c>
      <c r="B234">
        <f>IFERROR(__xludf.DUMMYFUNCTION("""COMPUTED_VALUE"""),2046188.0)</f>
        <v>2046188</v>
      </c>
      <c r="C234" s="140" t="str">
        <f>IFERROR(__xludf.DUMMYFUNCTION("""COMPUTED_VALUE"""),"EN")</f>
        <v>EN</v>
      </c>
      <c r="D234" s="140" t="str">
        <f>IFERROR(__xludf.DUMMYFUNCTION("""COMPUTED_VALUE"""),"Learn MSBI , SSIS , SSRS and SSAS Step by Step")</f>
        <v>Learn MSBI , SSIS , SSRS and SSAS Step by Step</v>
      </c>
      <c r="F234" s="142" t="str">
        <f>IFERROR(__xludf.DUMMYFUNCTION("""COMPUTED_VALUE"""),"Shivprasad Koirala")</f>
        <v>Shivprasad Koirala</v>
      </c>
      <c r="G234" t="str">
        <f>IFERROR(__xludf.DUMMYFUNCTION("""COMPUTED_VALUE"""),"Instructor Request- No Detail")</f>
        <v>Instructor Request- No Detail</v>
      </c>
      <c r="H234" s="142" t="str">
        <f>IFERROR(__xludf.DUMMYFUNCTION("""COMPUTED_VALUE"""),"Data Science")</f>
        <v>Data Science</v>
      </c>
      <c r="I234" s="142" t="str">
        <f>IFERROR(__xludf.DUMMYFUNCTION("""COMPUTED_VALUE"""),"Analytics")</f>
        <v>Analytics</v>
      </c>
      <c r="J234" s="140">
        <f>IFERROR(__xludf.DUMMYFUNCTION("""COMPUTED_VALUE"""),2299046.0)</f>
        <v>2299046</v>
      </c>
      <c r="K234" s="140" t="str">
        <f>IFERROR(__xludf.DUMMYFUNCTION("""COMPUTED_VALUE"""),"Microsoft Power BI - Up &amp; Running With Power BI Service 2021")</f>
        <v>Microsoft Power BI - Up &amp; Running With Power BI Service 2021</v>
      </c>
      <c r="M234" s="140" t="str">
        <f>IFERROR(__xludf.DUMMYFUNCTION("""COMPUTED_VALUE"""),"")</f>
        <v/>
      </c>
    </row>
    <row r="235">
      <c r="A235" s="141">
        <f>IFERROR(__xludf.DUMMYFUNCTION("""COMPUTED_VALUE"""),44074.0)</f>
        <v>44074</v>
      </c>
      <c r="B235">
        <f>IFERROR(__xludf.DUMMYFUNCTION("""COMPUTED_VALUE"""),1389480.0)</f>
        <v>1389480</v>
      </c>
      <c r="C235" s="140" t="str">
        <f>IFERROR(__xludf.DUMMYFUNCTION("""COMPUTED_VALUE"""),"EN")</f>
        <v>EN</v>
      </c>
      <c r="D235" s="140" t="str">
        <f>IFERROR(__xludf.DUMMYFUNCTION("""COMPUTED_VALUE"""),"The Complete Prezi Course for Prezi Next 2019")</f>
        <v>The Complete Prezi Course for Prezi Next 2019</v>
      </c>
      <c r="F235" s="142" t="str">
        <f>IFERROR(__xludf.DUMMYFUNCTION("""COMPUTED_VALUE"""),"Robin Pierman")</f>
        <v>Robin Pierman</v>
      </c>
      <c r="G235" t="str">
        <f>IFERROR(__xludf.DUMMYFUNCTION("""COMPUTED_VALUE"""),"Instructor Request- Outdated")</f>
        <v>Instructor Request- Outdated</v>
      </c>
      <c r="H235" s="142" t="str">
        <f>IFERROR(__xludf.DUMMYFUNCTION("""COMPUTED_VALUE"""),"Office Productivity")</f>
        <v>Office Productivity</v>
      </c>
      <c r="I235" s="142" t="str">
        <f>IFERROR(__xludf.DUMMYFUNCTION("""COMPUTED_VALUE"""),"Presentations")</f>
        <v>Presentations</v>
      </c>
      <c r="J235" s="140">
        <f>IFERROR(__xludf.DUMMYFUNCTION("""COMPUTED_VALUE"""),109602.0)</f>
        <v>109602</v>
      </c>
      <c r="K235" s="140" t="str">
        <f>IFERROR(__xludf.DUMMYFUNCTION("""COMPUTED_VALUE"""),"How to Create Epic Presentations &amp; Videos with Prezi")</f>
        <v>How to Create Epic Presentations &amp; Videos with Prezi</v>
      </c>
      <c r="M235" s="140" t="str">
        <f>IFERROR(__xludf.DUMMYFUNCTION("""COMPUTED_VALUE"""),"")</f>
        <v/>
      </c>
    </row>
    <row r="236">
      <c r="A236" s="141">
        <f>IFERROR(__xludf.DUMMYFUNCTION("""COMPUTED_VALUE"""),44074.0)</f>
        <v>44074</v>
      </c>
      <c r="B236">
        <f>IFERROR(__xludf.DUMMYFUNCTION("""COMPUTED_VALUE"""),649690.0)</f>
        <v>649690</v>
      </c>
      <c r="C236" s="140" t="str">
        <f>IFERROR(__xludf.DUMMYFUNCTION("""COMPUTED_VALUE"""),"EN")</f>
        <v>EN</v>
      </c>
      <c r="D236" s="140" t="str">
        <f>IFERROR(__xludf.DUMMYFUNCTION("""COMPUTED_VALUE"""),"Using Open Source Tools to Create an Enterprise GIS")</f>
        <v>Using Open Source Tools to Create an Enterprise GIS</v>
      </c>
      <c r="F236" s="142" t="str">
        <f>IFERROR(__xludf.DUMMYFUNCTION("""COMPUTED_VALUE"""),"Arthur Lembo")</f>
        <v>Arthur Lembo</v>
      </c>
      <c r="G236" t="str">
        <f>IFERROR(__xludf.DUMMYFUNCTION("""COMPUTED_VALUE"""),"Instructor Request- Opted Out")</f>
        <v>Instructor Request- Opted Out</v>
      </c>
      <c r="H236" s="142" t="str">
        <f>IFERROR(__xludf.DUMMYFUNCTION("""COMPUTED_VALUE"""),"Development")</f>
        <v>Development</v>
      </c>
      <c r="I236" s="142" t="str">
        <f>IFERROR(__xludf.DUMMYFUNCTION("""COMPUTED_VALUE"""),"Database Design &amp; Development")</f>
        <v>Database Design &amp; Development</v>
      </c>
      <c r="K236" s="140" t="str">
        <f>IFERROR(__xludf.DUMMYFUNCTION("""COMPUTED_VALUE"""),"")</f>
        <v/>
      </c>
      <c r="M236" s="140" t="str">
        <f>IFERROR(__xludf.DUMMYFUNCTION("""COMPUTED_VALUE"""),"")</f>
        <v/>
      </c>
      <c r="N236" s="140" t="str">
        <f>IFERROR(__xludf.DUMMYFUNCTION("""COMPUTED_VALUE"""),"No Alternatives in Collection - 3/16")</f>
        <v>No Alternatives in Collection - 3/16</v>
      </c>
    </row>
    <row r="237">
      <c r="A237" s="141">
        <f>IFERROR(__xludf.DUMMYFUNCTION("""COMPUTED_VALUE"""),44074.0)</f>
        <v>44074</v>
      </c>
      <c r="B237">
        <f>IFERROR(__xludf.DUMMYFUNCTION("""COMPUTED_VALUE"""),2476602.0)</f>
        <v>2476602</v>
      </c>
      <c r="C237" s="140" t="str">
        <f>IFERROR(__xludf.DUMMYFUNCTION("""COMPUTED_VALUE"""),"EN")</f>
        <v>EN</v>
      </c>
      <c r="D237" s="140" t="str">
        <f>IFERROR(__xludf.DUMMYFUNCTION("""COMPUTED_VALUE"""),"VPN Tunneling Protocols on MikroTik with LABS")</f>
        <v>VPN Tunneling Protocols on MikroTik with LABS</v>
      </c>
      <c r="F237" s="142" t="str">
        <f>IFERROR(__xludf.DUMMYFUNCTION("""COMPUTED_VALUE"""),"Maher Haddad")</f>
        <v>Maher Haddad</v>
      </c>
      <c r="G237" t="str">
        <f>IFERROR(__xludf.DUMMYFUNCTION("""COMPUTED_VALUE"""),"Instructor Request- No Detail")</f>
        <v>Instructor Request- No Detail</v>
      </c>
      <c r="H237" s="142" t="str">
        <f>IFERROR(__xludf.DUMMYFUNCTION("""COMPUTED_VALUE"""),"IT Operations")</f>
        <v>IT Operations</v>
      </c>
      <c r="I237" s="142" t="str">
        <f>IFERROR(__xludf.DUMMYFUNCTION("""COMPUTED_VALUE"""),"Network &amp; Security")</f>
        <v>Network &amp; Security</v>
      </c>
      <c r="K237" s="140" t="str">
        <f>IFERROR(__xludf.DUMMYFUNCTION("""COMPUTED_VALUE"""),"")</f>
        <v/>
      </c>
      <c r="M237" s="140" t="str">
        <f>IFERROR(__xludf.DUMMYFUNCTION("""COMPUTED_VALUE"""),"")</f>
        <v/>
      </c>
      <c r="N237" s="140" t="str">
        <f>IFERROR(__xludf.DUMMYFUNCTION("""COMPUTED_VALUE"""),"No Alternatives in Collection - 3/16")</f>
        <v>No Alternatives in Collection - 3/16</v>
      </c>
    </row>
    <row r="238">
      <c r="A238" s="141">
        <f>IFERROR(__xludf.DUMMYFUNCTION("""COMPUTED_VALUE"""),44074.0)</f>
        <v>44074</v>
      </c>
      <c r="B238">
        <f>IFERROR(__xludf.DUMMYFUNCTION("""COMPUTED_VALUE"""),1342868.0)</f>
        <v>1342868</v>
      </c>
      <c r="C238" s="140" t="str">
        <f>IFERROR(__xludf.DUMMYFUNCTION("""COMPUTED_VALUE"""),"EN")</f>
        <v>EN</v>
      </c>
      <c r="D238" s="140" t="str">
        <f>IFERROR(__xludf.DUMMYFUNCTION("""COMPUTED_VALUE"""),"Fusion 360 Simulations, Complete Static Structural Training")</f>
        <v>Fusion 360 Simulations, Complete Static Structural Training</v>
      </c>
      <c r="F238" s="142" t="str">
        <f>IFERROR(__xludf.DUMMYFUNCTION("""COMPUTED_VALUE"""),"Sean Thomas")</f>
        <v>Sean Thomas</v>
      </c>
      <c r="G238" t="str">
        <f>IFERROR(__xludf.DUMMYFUNCTION("""COMPUTED_VALUE"""),"Instructor Request- Opted Out")</f>
        <v>Instructor Request- Opted Out</v>
      </c>
      <c r="H238" s="142" t="str">
        <f>IFERROR(__xludf.DUMMYFUNCTION("""COMPUTED_VALUE"""),"IT Operations")</f>
        <v>IT Operations</v>
      </c>
      <c r="I238" s="142" t="str">
        <f>IFERROR(__xludf.DUMMYFUNCTION("""COMPUTED_VALUE"""),"Hardware")</f>
        <v>Hardware</v>
      </c>
      <c r="J238" s="140">
        <f>IFERROR(__xludf.DUMMYFUNCTION("""COMPUTED_VALUE"""),1145520.0)</f>
        <v>1145520</v>
      </c>
      <c r="K238" s="140" t="str">
        <f>IFERROR(__xludf.DUMMYFUNCTION("""COMPUTED_VALUE"""),"Fusion 360 for 3D Printing - Designing with Components")</f>
        <v>Fusion 360 for 3D Printing - Designing with Components</v>
      </c>
      <c r="M238" s="140" t="str">
        <f>IFERROR(__xludf.DUMMYFUNCTION("""COMPUTED_VALUE"""),"")</f>
        <v/>
      </c>
    </row>
    <row r="239">
      <c r="A239" s="141">
        <f>IFERROR(__xludf.DUMMYFUNCTION("""COMPUTED_VALUE"""),44074.0)</f>
        <v>44074</v>
      </c>
      <c r="B239">
        <f>IFERROR(__xludf.DUMMYFUNCTION("""COMPUTED_VALUE"""),2039164.0)</f>
        <v>2039164</v>
      </c>
      <c r="C239" s="140" t="str">
        <f>IFERROR(__xludf.DUMMYFUNCTION("""COMPUTED_VALUE"""),"EN")</f>
        <v>EN</v>
      </c>
      <c r="D239" s="140" t="str">
        <f>IFERROR(__xludf.DUMMYFUNCTION("""COMPUTED_VALUE"""),"An Introduction to Stata")</f>
        <v>An Introduction to Stata</v>
      </c>
      <c r="F239" s="142" t="str">
        <f>IFERROR(__xludf.DUMMYFUNCTION("""COMPUTED_VALUE"""),"Najib Mozahem")</f>
        <v>Najib Mozahem</v>
      </c>
      <c r="G239" t="str">
        <f>IFERROR(__xludf.DUMMYFUNCTION("""COMPUTED_VALUE"""),"Instructor Request- Opted Out")</f>
        <v>Instructor Request- Opted Out</v>
      </c>
      <c r="H239" s="142" t="str">
        <f>IFERROR(__xludf.DUMMYFUNCTION("""COMPUTED_VALUE"""),"Data Science")</f>
        <v>Data Science</v>
      </c>
      <c r="I239" s="142" t="str">
        <f>IFERROR(__xludf.DUMMYFUNCTION("""COMPUTED_VALUE"""),"Machine Learning")</f>
        <v>Machine Learning</v>
      </c>
      <c r="J239" s="140">
        <f>IFERROR(__xludf.DUMMYFUNCTION("""COMPUTED_VALUE"""),891774.0)</f>
        <v>891774</v>
      </c>
      <c r="K239" s="140" t="str">
        <f>IFERROR(__xludf.DUMMYFUNCTION("""COMPUTED_VALUE"""),"")</f>
        <v/>
      </c>
      <c r="M239" s="140" t="str">
        <f>IFERROR(__xludf.DUMMYFUNCTION("""COMPUTED_VALUE"""),"")</f>
        <v/>
      </c>
    </row>
    <row r="240">
      <c r="A240" s="141">
        <f>IFERROR(__xludf.DUMMYFUNCTION("""COMPUTED_VALUE"""),44074.0)</f>
        <v>44074</v>
      </c>
      <c r="B240">
        <f>IFERROR(__xludf.DUMMYFUNCTION("""COMPUTED_VALUE"""),2430492.0)</f>
        <v>2430492</v>
      </c>
      <c r="C240" s="140" t="str">
        <f>IFERROR(__xludf.DUMMYFUNCTION("""COMPUTED_VALUE"""),"EN")</f>
        <v>EN</v>
      </c>
      <c r="D240" s="140" t="str">
        <f>IFERROR(__xludf.DUMMYFUNCTION("""COMPUTED_VALUE"""),"Tensorflow 2.0: Deep Learning and Artificial Intelligence")</f>
        <v>Tensorflow 2.0: Deep Learning and Artificial Intelligence</v>
      </c>
      <c r="F240" s="142" t="str">
        <f>IFERROR(__xludf.DUMMYFUNCTION("""COMPUTED_VALUE"""),"Lazy Programmer Inc.")</f>
        <v>Lazy Programmer Inc.</v>
      </c>
      <c r="G240" t="str">
        <f>IFERROR(__xludf.DUMMYFUNCTION("""COMPUTED_VALUE"""),"Instructor Request- No Detail")</f>
        <v>Instructor Request- No Detail</v>
      </c>
      <c r="H240" s="142" t="str">
        <f>IFERROR(__xludf.DUMMYFUNCTION("""COMPUTED_VALUE"""),"Data Science")</f>
        <v>Data Science</v>
      </c>
      <c r="I240" s="142" t="str">
        <f>IFERROR(__xludf.DUMMYFUNCTION("""COMPUTED_VALUE"""),"Machine Learning")</f>
        <v>Machine Learning</v>
      </c>
      <c r="J240" s="140">
        <f>IFERROR(__xludf.DUMMYFUNCTION("""COMPUTED_VALUE"""),2373842.0)</f>
        <v>2373842</v>
      </c>
      <c r="K240" s="140" t="str">
        <f>IFERROR(__xludf.DUMMYFUNCTION("""COMPUTED_VALUE"""),"Complete Tensorflow 2 and Keras Deep Learning Bootcamp")</f>
        <v>Complete Tensorflow 2 and Keras Deep Learning Bootcamp</v>
      </c>
      <c r="M240" s="140" t="str">
        <f>IFERROR(__xludf.DUMMYFUNCTION("""COMPUTED_VALUE"""),"")</f>
        <v/>
      </c>
    </row>
    <row r="241">
      <c r="A241" s="141">
        <f>IFERROR(__xludf.DUMMYFUNCTION("""COMPUTED_VALUE"""),44074.0)</f>
        <v>44074</v>
      </c>
      <c r="B241">
        <f>IFERROR(__xludf.DUMMYFUNCTION("""COMPUTED_VALUE"""),2060897.0)</f>
        <v>2060897</v>
      </c>
      <c r="C241" s="140" t="str">
        <f>IFERROR(__xludf.DUMMYFUNCTION("""COMPUTED_VALUE"""),"EN")</f>
        <v>EN</v>
      </c>
      <c r="D241" s="140" t="str">
        <f>IFERROR(__xludf.DUMMYFUNCTION("""COMPUTED_VALUE"""),"Job Search Mastery: Create Your Dream Job &amp; Networking Guide")</f>
        <v>Job Search Mastery: Create Your Dream Job &amp; Networking Guide</v>
      </c>
      <c r="F241" s="142" t="str">
        <f>IFERROR(__xludf.DUMMYFUNCTION("""COMPUTED_VALUE"""),"Brandon Fong")</f>
        <v>Brandon Fong</v>
      </c>
      <c r="G241" t="str">
        <f>IFERROR(__xludf.DUMMYFUNCTION("""COMPUTED_VALUE"""),"Instructor Request- No Detail")</f>
        <v>Instructor Request- No Detail</v>
      </c>
      <c r="H241" s="142" t="str">
        <f>IFERROR(__xludf.DUMMYFUNCTION("""COMPUTED_VALUE"""),"Personal Development")</f>
        <v>Personal Development</v>
      </c>
      <c r="I241" s="142" t="str">
        <f>IFERROR(__xludf.DUMMYFUNCTION("""COMPUTED_VALUE"""),"Personal Growth")</f>
        <v>Personal Growth</v>
      </c>
      <c r="J241" s="140">
        <f>IFERROR(__xludf.DUMMYFUNCTION("""COMPUTED_VALUE"""),266590.0)</f>
        <v>266590</v>
      </c>
      <c r="K241" s="140" t="str">
        <f>IFERROR(__xludf.DUMMYFUNCTION("""COMPUTED_VALUE"""),"[2022] Career Hacking: World's Bestselling Job Search Course")</f>
        <v>[2022] Career Hacking: World's Bestselling Job Search Course</v>
      </c>
      <c r="M241" s="140" t="str">
        <f>IFERROR(__xludf.DUMMYFUNCTION("""COMPUTED_VALUE"""),"")</f>
        <v/>
      </c>
    </row>
    <row r="242">
      <c r="A242" s="141">
        <f>IFERROR(__xludf.DUMMYFUNCTION("""COMPUTED_VALUE"""),44074.0)</f>
        <v>44074</v>
      </c>
      <c r="B242">
        <f>IFERROR(__xludf.DUMMYFUNCTION("""COMPUTED_VALUE"""),2021266.0)</f>
        <v>2021266</v>
      </c>
      <c r="C242" s="140" t="str">
        <f>IFERROR(__xludf.DUMMYFUNCTION("""COMPUTED_VALUE"""),"EN")</f>
        <v>EN</v>
      </c>
      <c r="D242" s="140" t="str">
        <f>IFERROR(__xludf.DUMMYFUNCTION("""COMPUTED_VALUE"""),"Learn Bootstrap 4 By Creating An Advanced Bootstrap Theme")</f>
        <v>Learn Bootstrap 4 By Creating An Advanced Bootstrap Theme</v>
      </c>
      <c r="F242" s="142" t="str">
        <f>IFERROR(__xludf.DUMMYFUNCTION("""COMPUTED_VALUE"""),"Drew Ryan")</f>
        <v>Drew Ryan</v>
      </c>
      <c r="G242" t="str">
        <f>IFERROR(__xludf.DUMMYFUNCTION("""COMPUTED_VALUE"""),"Instructor Request- Opted Out")</f>
        <v>Instructor Request- Opted Out</v>
      </c>
      <c r="H242" s="142" t="str">
        <f>IFERROR(__xludf.DUMMYFUNCTION("""COMPUTED_VALUE"""),"Development")</f>
        <v>Development</v>
      </c>
      <c r="I242" s="142" t="str">
        <f>IFERROR(__xludf.DUMMYFUNCTION("""COMPUTED_VALUE"""),"Web Development")</f>
        <v>Web Development</v>
      </c>
      <c r="J242" s="140">
        <f>IFERROR(__xludf.DUMMYFUNCTION("""COMPUTED_VALUE"""),1968412.0)</f>
        <v>1968412</v>
      </c>
      <c r="K242" s="140" t="str">
        <f>IFERROR(__xludf.DUMMYFUNCTION("""COMPUTED_VALUE"""),"The Bootstrap 4 Bootcamp")</f>
        <v>The Bootstrap 4 Bootcamp</v>
      </c>
      <c r="L242">
        <f>IFERROR(__xludf.DUMMYFUNCTION("""COMPUTED_VALUE"""),1313502.0)</f>
        <v>1313502</v>
      </c>
      <c r="M242" s="140" t="str">
        <f>IFERROR(__xludf.DUMMYFUNCTION("""COMPUTED_VALUE"""),"Bootstrap 4 From Scratch With 5 Projects")</f>
        <v>Bootstrap 4 From Scratch With 5 Projects</v>
      </c>
    </row>
    <row r="243">
      <c r="A243" s="141">
        <f>IFERROR(__xludf.DUMMYFUNCTION("""COMPUTED_VALUE"""),44074.0)</f>
        <v>44074</v>
      </c>
      <c r="B243">
        <f>IFERROR(__xludf.DUMMYFUNCTION("""COMPUTED_VALUE"""),1835718.0)</f>
        <v>1835718</v>
      </c>
      <c r="C243" s="140" t="str">
        <f>IFERROR(__xludf.DUMMYFUNCTION("""COMPUTED_VALUE"""),"EN")</f>
        <v>EN</v>
      </c>
      <c r="D243" s="140" t="str">
        <f>IFERROR(__xludf.DUMMYFUNCTION("""COMPUTED_VALUE"""),"3D Game Character Creature - Full Complete Pipeline")</f>
        <v>3D Game Character Creature - Full Complete Pipeline</v>
      </c>
      <c r="F243" s="142" t="str">
        <f>IFERROR(__xludf.DUMMYFUNCTION("""COMPUTED_VALUE"""),"Victory3D LLC")</f>
        <v>Victory3D LLC</v>
      </c>
      <c r="G243" t="str">
        <f>IFERROR(__xludf.DUMMYFUNCTION("""COMPUTED_VALUE"""),"Instructor Request- Opted Out")</f>
        <v>Instructor Request- Opted Out</v>
      </c>
      <c r="H243" s="142" t="str">
        <f>IFERROR(__xludf.DUMMYFUNCTION("""COMPUTED_VALUE"""),"Design")</f>
        <v>Design</v>
      </c>
      <c r="I243" s="142" t="str">
        <f>IFERROR(__xludf.DUMMYFUNCTION("""COMPUTED_VALUE"""),"Game Design")</f>
        <v>Game Design</v>
      </c>
      <c r="J243" s="140">
        <f>IFERROR(__xludf.DUMMYFUNCTION("""COMPUTED_VALUE"""),1528508.0)</f>
        <v>1528508</v>
      </c>
      <c r="K243" s="140" t="str">
        <f>IFERROR(__xludf.DUMMYFUNCTION("""COMPUTED_VALUE"""),"Game Character Course - ZBrush to Substance Painter and more")</f>
        <v>Game Character Course - ZBrush to Substance Painter and more</v>
      </c>
      <c r="M243" s="140" t="str">
        <f>IFERROR(__xludf.DUMMYFUNCTION("""COMPUTED_VALUE"""),"")</f>
        <v/>
      </c>
    </row>
    <row r="244">
      <c r="A244" s="141">
        <f>IFERROR(__xludf.DUMMYFUNCTION("""COMPUTED_VALUE"""),44074.0)</f>
        <v>44074</v>
      </c>
      <c r="B244">
        <f>IFERROR(__xludf.DUMMYFUNCTION("""COMPUTED_VALUE"""),2441328.0)</f>
        <v>2441328</v>
      </c>
      <c r="C244" s="140" t="str">
        <f>IFERROR(__xludf.DUMMYFUNCTION("""COMPUTED_VALUE"""),"EN")</f>
        <v>EN</v>
      </c>
      <c r="D244" s="140" t="str">
        <f>IFERROR(__xludf.DUMMYFUNCTION("""COMPUTED_VALUE"""),"Garbage Collection Algorithms")</f>
        <v>Garbage Collection Algorithms</v>
      </c>
      <c r="F244" s="142" t="str">
        <f>IFERROR(__xludf.DUMMYFUNCTION("""COMPUTED_VALUE"""),"Dmitry Soshnikov")</f>
        <v>Dmitry Soshnikov</v>
      </c>
      <c r="G244" t="str">
        <f>IFERROR(__xludf.DUMMYFUNCTION("""COMPUTED_VALUE"""),"Instructor Request- No Detail")</f>
        <v>Instructor Request- No Detail</v>
      </c>
      <c r="H244" s="142" t="str">
        <f>IFERROR(__xludf.DUMMYFUNCTION("""COMPUTED_VALUE"""),"Development")</f>
        <v>Development</v>
      </c>
      <c r="I244" s="142" t="str">
        <f>IFERROR(__xludf.DUMMYFUNCTION("""COMPUTED_VALUE"""),"Web Development")</f>
        <v>Web Development</v>
      </c>
      <c r="J244" s="140">
        <f>IFERROR(__xludf.DUMMYFUNCTION("""COMPUTED_VALUE"""),1014442.0)</f>
        <v>1014442</v>
      </c>
      <c r="K244" s="140" t="str">
        <f>IFERROR(__xludf.DUMMYFUNCTION("""COMPUTED_VALUE"""),"")</f>
        <v/>
      </c>
      <c r="L244">
        <f>IFERROR(__xludf.DUMMYFUNCTION("""COMPUTED_VALUE"""),587144.0)</f>
        <v>587144</v>
      </c>
      <c r="M244" s="140" t="str">
        <f>IFERROR(__xludf.DUMMYFUNCTION("""COMPUTED_VALUE"""),"C# Memory Tricks: Learn How To Master The Garbage Collector")</f>
        <v>C# Memory Tricks: Learn How To Master The Garbage Collector</v>
      </c>
    </row>
    <row r="245">
      <c r="A245" s="141">
        <f>IFERROR(__xludf.DUMMYFUNCTION("""COMPUTED_VALUE"""),44074.0)</f>
        <v>44074</v>
      </c>
      <c r="B245">
        <f>IFERROR(__xludf.DUMMYFUNCTION("""COMPUTED_VALUE"""),2441106.0)</f>
        <v>2441106</v>
      </c>
      <c r="C245" s="140" t="str">
        <f>IFERROR(__xludf.DUMMYFUNCTION("""COMPUTED_VALUE"""),"JP")</f>
        <v>JP</v>
      </c>
      <c r="D245" s="140" t="str">
        <f>IFERROR(__xludf.DUMMYFUNCTION("""COMPUTED_VALUE"""),"【AIのビジネス活用をお考えの方向け】人工知能を利用したビジネス活用・人材・スキルを学ぶ講座")</f>
        <v>【AIのビジネス活用をお考えの方向け】人工知能を利用したビジネス活用・人材・スキルを学ぶ講座</v>
      </c>
      <c r="E245" t="str">
        <f>IFERROR(__xludf.DUMMYFUNCTION("""COMPUTED_VALUE"""),"[Only direction we think the business use of AI] courses to learn the business use and human resources and skills using artificial intelligence")</f>
        <v>[Only direction we think the business use of AI] courses to learn the business use and human resources and skills using artificial intelligence</v>
      </c>
      <c r="F245" s="142" t="str">
        <f>IFERROR(__xludf.DUMMYFUNCTION("""COMPUTED_VALUE"""),"Edutech Partners Shibata")</f>
        <v>Edutech Partners Shibata</v>
      </c>
      <c r="G245" t="str">
        <f>IFERROR(__xludf.DUMMYFUNCTION("""COMPUTED_VALUE"""),"Instructor Request- Reviews")</f>
        <v>Instructor Request- Reviews</v>
      </c>
      <c r="H245" s="142" t="str">
        <f>IFERROR(__xludf.DUMMYFUNCTION("""COMPUTED_VALUE"""),"Workplace &amp; Human Resources")</f>
        <v>Workplace &amp; Human Resources</v>
      </c>
      <c r="I245" s="142" t="str">
        <f>IFERROR(__xludf.DUMMYFUNCTION("""COMPUTED_VALUE"""),"Human Resources Fundamentals")</f>
        <v>Human Resources Fundamentals</v>
      </c>
      <c r="K245" s="140" t="str">
        <f>IFERROR(__xludf.DUMMYFUNCTION("""COMPUTED_VALUE"""),"")</f>
        <v/>
      </c>
      <c r="M245" s="140" t="str">
        <f>IFERROR(__xludf.DUMMYFUNCTION("""COMPUTED_VALUE"""),"")</f>
        <v/>
      </c>
      <c r="N245" s="140" t="str">
        <f>IFERROR(__xludf.DUMMYFUNCTION("""COMPUTED_VALUE"""),"No Alternatives Available- 4/1")</f>
        <v>No Alternatives Available- 4/1</v>
      </c>
    </row>
    <row r="246">
      <c r="A246" s="141">
        <f>IFERROR(__xludf.DUMMYFUNCTION("""COMPUTED_VALUE"""),44074.0)</f>
        <v>44074</v>
      </c>
      <c r="B246">
        <f>IFERROR(__xludf.DUMMYFUNCTION("""COMPUTED_VALUE"""),1418918.0)</f>
        <v>1418918</v>
      </c>
      <c r="C246" s="140" t="str">
        <f>IFERROR(__xludf.DUMMYFUNCTION("""COMPUTED_VALUE"""),"PT")</f>
        <v>PT</v>
      </c>
      <c r="D246" s="140" t="str">
        <f>IFERROR(__xludf.DUMMYFUNCTION("""COMPUTED_VALUE"""),"Curso Maya 2018: Formação Completa do Básico ao Avançado.")</f>
        <v>Curso Maya 2018: Formação Completa do Básico ao Avançado.</v>
      </c>
      <c r="E246" t="str">
        <f>IFERROR(__xludf.DUMMYFUNCTION("""COMPUTED_VALUE"""),"Course Maya 2018: Training Complete Basic to Advanced.")</f>
        <v>Course Maya 2018: Training Complete Basic to Advanced.</v>
      </c>
      <c r="F246" s="142" t="str">
        <f>IFERROR(__xludf.DUMMYFUNCTION("""COMPUTED_VALUE"""),"Luiz Henrique D'Almeida")</f>
        <v>Luiz Henrique D'Almeida</v>
      </c>
      <c r="G246" t="str">
        <f>IFERROR(__xludf.DUMMYFUNCTION("""COMPUTED_VALUE"""),"Instructor Request- Opted Out")</f>
        <v>Instructor Request- Opted Out</v>
      </c>
      <c r="H246" s="142" t="str">
        <f>IFERROR(__xludf.DUMMYFUNCTION("""COMPUTED_VALUE"""),"Design")</f>
        <v>Design</v>
      </c>
      <c r="I246" s="142" t="str">
        <f>IFERROR(__xludf.DUMMYFUNCTION("""COMPUTED_VALUE"""),"3D &amp; Animation")</f>
        <v>3D &amp; Animation</v>
      </c>
      <c r="J246" s="140">
        <f>IFERROR(__xludf.DUMMYFUNCTION("""COMPUTED_VALUE"""),1390244.0)</f>
        <v>1390244</v>
      </c>
      <c r="K246" s="140" t="str">
        <f>IFERROR(__xludf.DUMMYFUNCTION("""COMPUTED_VALUE"""),"Autodesk Maya : Design 3D do Básico ao Avançado Rápido")</f>
        <v>Autodesk Maya : Design 3D do Básico ao Avançado Rápido</v>
      </c>
      <c r="M246" s="140" t="str">
        <f>IFERROR(__xludf.DUMMYFUNCTION("""COMPUTED_VALUE"""),"")</f>
        <v/>
      </c>
    </row>
    <row r="247">
      <c r="A247" s="141">
        <f>IFERROR(__xludf.DUMMYFUNCTION("""COMPUTED_VALUE"""),44074.0)</f>
        <v>44074</v>
      </c>
      <c r="B247">
        <f>IFERROR(__xludf.DUMMYFUNCTION("""COMPUTED_VALUE"""),1887746.0)</f>
        <v>1887746</v>
      </c>
      <c r="C247" s="140" t="str">
        <f>IFERROR(__xludf.DUMMYFUNCTION("""COMPUTED_VALUE"""),"PT")</f>
        <v>PT</v>
      </c>
      <c r="D247" s="140" t="str">
        <f>IFERROR(__xludf.DUMMYFUNCTION("""COMPUTED_VALUE"""),"Fundamentos do Design Gráfico")</f>
        <v>Fundamentos do Design Gráfico</v>
      </c>
      <c r="E247" t="str">
        <f>IFERROR(__xludf.DUMMYFUNCTION("""COMPUTED_VALUE"""),"Basics of Graphic Design")</f>
        <v>Basics of Graphic Design</v>
      </c>
      <c r="F247" s="142" t="str">
        <f>IFERROR(__xludf.DUMMYFUNCTION("""COMPUTED_VALUE"""),"Margareth Domingues")</f>
        <v>Margareth Domingues</v>
      </c>
      <c r="G247" t="str">
        <f>IFERROR(__xludf.DUMMYFUNCTION("""COMPUTED_VALUE"""),"Instructor Request- Opted Out")</f>
        <v>Instructor Request- Opted Out</v>
      </c>
      <c r="H247" s="142" t="str">
        <f>IFERROR(__xludf.DUMMYFUNCTION("""COMPUTED_VALUE"""),"Design")</f>
        <v>Design</v>
      </c>
      <c r="I247" s="142" t="str">
        <f>IFERROR(__xludf.DUMMYFUNCTION("""COMPUTED_VALUE"""),"Graphic Design")</f>
        <v>Graphic Design</v>
      </c>
      <c r="K247" s="140" t="str">
        <f>IFERROR(__xludf.DUMMYFUNCTION("""COMPUTED_VALUE"""),"")</f>
        <v/>
      </c>
      <c r="M247" s="140" t="str">
        <f>IFERROR(__xludf.DUMMYFUNCTION("""COMPUTED_VALUE"""),"")</f>
        <v/>
      </c>
      <c r="N247" s="140" t="str">
        <f>IFERROR(__xludf.DUMMYFUNCTION("""COMPUTED_VALUE"""),"No Alternatives in Collection- 7/30/2020")</f>
        <v>No Alternatives in Collection- 7/30/2020</v>
      </c>
    </row>
    <row r="248">
      <c r="A248" s="141">
        <f>IFERROR(__xludf.DUMMYFUNCTION("""COMPUTED_VALUE"""),44071.0)</f>
        <v>44071</v>
      </c>
      <c r="B248">
        <f>IFERROR(__xludf.DUMMYFUNCTION("""COMPUTED_VALUE"""),2015078.0)</f>
        <v>2015078</v>
      </c>
      <c r="C248" s="140" t="str">
        <f>IFERROR(__xludf.DUMMYFUNCTION("""COMPUTED_VALUE"""),"EN")</f>
        <v>EN</v>
      </c>
      <c r="D248" s="140" t="str">
        <f>IFERROR(__xludf.DUMMYFUNCTION("""COMPUTED_VALUE"""),"CompTIA Security+ (SY0-501) Practice Exams with Simulations")</f>
        <v>CompTIA Security+ (SY0-501) Practice Exams with Simulations</v>
      </c>
      <c r="F248" s="142" t="str">
        <f>IFERROR(__xludf.DUMMYFUNCTION("""COMPUTED_VALUE"""),"Jason Dion • 200,000+ Students Worldwide")</f>
        <v>Jason Dion • 200,000+ Students Worldwide</v>
      </c>
      <c r="G248" t="str">
        <f>IFERROR(__xludf.DUMMYFUNCTION("""COMPUTED_VALUE"""),"Copyright")</f>
        <v>Copyright</v>
      </c>
      <c r="H248" s="142" t="str">
        <f>IFERROR(__xludf.DUMMYFUNCTION("""COMPUTED_VALUE"""),"IT Operations")</f>
        <v>IT Operations</v>
      </c>
      <c r="I248" s="142" t="str">
        <f>IFERROR(__xludf.DUMMYFUNCTION("""COMPUTED_VALUE"""),"IT Certifications")</f>
        <v>IT Certifications</v>
      </c>
      <c r="K248" s="140" t="str">
        <f>IFERROR(__xludf.DUMMYFUNCTION("""COMPUTED_VALUE"""),"")</f>
        <v/>
      </c>
      <c r="M248" s="140" t="str">
        <f>IFERROR(__xludf.DUMMYFUNCTION("""COMPUTED_VALUE"""),"")</f>
        <v/>
      </c>
      <c r="N248" s="140" t="str">
        <f>IFERROR(__xludf.DUMMYFUNCTION("""COMPUTED_VALUE"""),"Instructor is taking care of DCMA claim. We expect to add these courses back soon. (8/28)")</f>
        <v>Instructor is taking care of DCMA claim. We expect to add these courses back soon. (8/28)</v>
      </c>
    </row>
    <row r="249">
      <c r="A249" s="141">
        <f>IFERROR(__xludf.DUMMYFUNCTION("""COMPUTED_VALUE"""),44071.0)</f>
        <v>44071</v>
      </c>
      <c r="B249">
        <f>IFERROR(__xludf.DUMMYFUNCTION("""COMPUTED_VALUE"""),1349686.0)</f>
        <v>1349686</v>
      </c>
      <c r="C249" s="140" t="str">
        <f>IFERROR(__xludf.DUMMYFUNCTION("""COMPUTED_VALUE"""),"EN")</f>
        <v>EN</v>
      </c>
      <c r="D249" s="140" t="str">
        <f>IFERROR(__xludf.DUMMYFUNCTION("""COMPUTED_VALUE"""),"CompTIA CySA+ (CS0-001) 5 Practice Certification Exams")</f>
        <v>CompTIA CySA+ (CS0-001) 5 Practice Certification Exams</v>
      </c>
      <c r="F249" s="142" t="str">
        <f>IFERROR(__xludf.DUMMYFUNCTION("""COMPUTED_VALUE"""),"Jason Dion • 200,000+ Students Worldwide")</f>
        <v>Jason Dion • 200,000+ Students Worldwide</v>
      </c>
      <c r="G249" t="str">
        <f>IFERROR(__xludf.DUMMYFUNCTION("""COMPUTED_VALUE"""),"Copyright")</f>
        <v>Copyright</v>
      </c>
      <c r="H249" s="142" t="str">
        <f>IFERROR(__xludf.DUMMYFUNCTION("""COMPUTED_VALUE"""),"IT Operations")</f>
        <v>IT Operations</v>
      </c>
      <c r="I249" s="142" t="str">
        <f>IFERROR(__xludf.DUMMYFUNCTION("""COMPUTED_VALUE"""),"IT Certifications")</f>
        <v>IT Certifications</v>
      </c>
      <c r="K249" s="140" t="str">
        <f>IFERROR(__xludf.DUMMYFUNCTION("""COMPUTED_VALUE"""),"")</f>
        <v/>
      </c>
      <c r="M249" s="140" t="str">
        <f>IFERROR(__xludf.DUMMYFUNCTION("""COMPUTED_VALUE"""),"")</f>
        <v/>
      </c>
      <c r="N249" s="140" t="str">
        <f>IFERROR(__xludf.DUMMYFUNCTION("""COMPUTED_VALUE"""),"Instructor is taking care of DCMA claim. We expect to add these courses back soon. (8/28)")</f>
        <v>Instructor is taking care of DCMA claim. We expect to add these courses back soon. (8/28)</v>
      </c>
    </row>
    <row r="250">
      <c r="A250" s="141">
        <f>IFERROR(__xludf.DUMMYFUNCTION("""COMPUTED_VALUE"""),44070.0)</f>
        <v>44070</v>
      </c>
      <c r="B250">
        <f>IFERROR(__xludf.DUMMYFUNCTION("""COMPUTED_VALUE"""),3019942.0)</f>
        <v>3019942</v>
      </c>
      <c r="C250" s="140" t="str">
        <f>IFERROR(__xludf.DUMMYFUNCTION("""COMPUTED_VALUE"""),"EN")</f>
        <v>EN</v>
      </c>
      <c r="D250" s="140" t="str">
        <f>IFERROR(__xludf.DUMMYFUNCTION("""COMPUTED_VALUE"""),"Oracle Cloud Infrastructure 2019 Cloud Operations Associate")</f>
        <v>Oracle Cloud Infrastructure 2019 Cloud Operations Associate</v>
      </c>
      <c r="F250" s="142" t="str">
        <f>IFERROR(__xludf.DUMMYFUNCTION("""COMPUTED_VALUE"""),"OracleHome Academy")</f>
        <v>OracleHome Academy</v>
      </c>
      <c r="G250" t="str">
        <f>IFERROR(__xludf.DUMMYFUNCTION("""COMPUTED_VALUE"""),"Copyright")</f>
        <v>Copyright</v>
      </c>
      <c r="H250" s="142" t="str">
        <f>IFERROR(__xludf.DUMMYFUNCTION("""COMPUTED_VALUE"""),"IT Operations")</f>
        <v>IT Operations</v>
      </c>
      <c r="I250" s="142" t="str">
        <f>IFERROR(__xludf.DUMMYFUNCTION("""COMPUTED_VALUE"""),"IT Certifications")</f>
        <v>IT Certifications</v>
      </c>
      <c r="K250" s="140" t="str">
        <f>IFERROR(__xludf.DUMMYFUNCTION("""COMPUTED_VALUE"""),"")</f>
        <v/>
      </c>
      <c r="M250" s="140" t="str">
        <f>IFERROR(__xludf.DUMMYFUNCTION("""COMPUTED_VALUE"""),"")</f>
        <v/>
      </c>
    </row>
    <row r="251">
      <c r="A251" s="141">
        <f>IFERROR(__xludf.DUMMYFUNCTION("""COMPUTED_VALUE"""),44070.0)</f>
        <v>44070</v>
      </c>
      <c r="B251">
        <f>IFERROR(__xludf.DUMMYFUNCTION("""COMPUTED_VALUE"""),2961426.0)</f>
        <v>2961426</v>
      </c>
      <c r="C251" s="140" t="str">
        <f>IFERROR(__xludf.DUMMYFUNCTION("""COMPUTED_VALUE"""),"EN")</f>
        <v>EN</v>
      </c>
      <c r="D251" s="140" t="str">
        <f>IFERROR(__xludf.DUMMYFUNCTION("""COMPUTED_VALUE"""),"Oracle Cloud Infrastructure Developer 2020 Associate")</f>
        <v>Oracle Cloud Infrastructure Developer 2020 Associate</v>
      </c>
      <c r="F251" s="142" t="str">
        <f>IFERROR(__xludf.DUMMYFUNCTION("""COMPUTED_VALUE"""),"OracleHome Academy")</f>
        <v>OracleHome Academy</v>
      </c>
      <c r="G251" t="str">
        <f>IFERROR(__xludf.DUMMYFUNCTION("""COMPUTED_VALUE"""),"Copyright")</f>
        <v>Copyright</v>
      </c>
      <c r="H251" s="142" t="str">
        <f>IFERROR(__xludf.DUMMYFUNCTION("""COMPUTED_VALUE"""),"IT Operations")</f>
        <v>IT Operations</v>
      </c>
      <c r="I251" s="142" t="str">
        <f>IFERROR(__xludf.DUMMYFUNCTION("""COMPUTED_VALUE"""),"IT Certifications")</f>
        <v>IT Certifications</v>
      </c>
      <c r="K251" s="140" t="str">
        <f>IFERROR(__xludf.DUMMYFUNCTION("""COMPUTED_VALUE"""),"")</f>
        <v/>
      </c>
      <c r="M251" s="140" t="str">
        <f>IFERROR(__xludf.DUMMYFUNCTION("""COMPUTED_VALUE"""),"")</f>
        <v/>
      </c>
    </row>
    <row r="252">
      <c r="A252" s="141">
        <f>IFERROR(__xludf.DUMMYFUNCTION("""COMPUTED_VALUE"""),44070.0)</f>
        <v>44070</v>
      </c>
      <c r="B252">
        <f>IFERROR(__xludf.DUMMYFUNCTION("""COMPUTED_VALUE"""),3081480.0)</f>
        <v>3081480</v>
      </c>
      <c r="C252" s="140" t="str">
        <f>IFERROR(__xludf.DUMMYFUNCTION("""COMPUTED_VALUE"""),"EN")</f>
        <v>EN</v>
      </c>
      <c r="D252" s="140" t="str">
        <f>IFERROR(__xludf.DUMMYFUNCTION("""COMPUTED_VALUE"""),"Oracle Cloud Infrastructure 2019 Architect Professional")</f>
        <v>Oracle Cloud Infrastructure 2019 Architect Professional</v>
      </c>
      <c r="F252" s="142" t="str">
        <f>IFERROR(__xludf.DUMMYFUNCTION("""COMPUTED_VALUE"""),"OracleHome Academy")</f>
        <v>OracleHome Academy</v>
      </c>
      <c r="G252" t="str">
        <f>IFERROR(__xludf.DUMMYFUNCTION("""COMPUTED_VALUE"""),"Copyright")</f>
        <v>Copyright</v>
      </c>
      <c r="H252" s="142" t="str">
        <f>IFERROR(__xludf.DUMMYFUNCTION("""COMPUTED_VALUE"""),"IT Operations")</f>
        <v>IT Operations</v>
      </c>
      <c r="I252" s="142" t="str">
        <f>IFERROR(__xludf.DUMMYFUNCTION("""COMPUTED_VALUE"""),"IT Certifications")</f>
        <v>IT Certifications</v>
      </c>
      <c r="K252" s="140" t="str">
        <f>IFERROR(__xludf.DUMMYFUNCTION("""COMPUTED_VALUE"""),"")</f>
        <v/>
      </c>
      <c r="M252" s="140" t="str">
        <f>IFERROR(__xludf.DUMMYFUNCTION("""COMPUTED_VALUE"""),"")</f>
        <v/>
      </c>
    </row>
    <row r="253">
      <c r="A253" s="141">
        <f>IFERROR(__xludf.DUMMYFUNCTION("""COMPUTED_VALUE"""),44070.0)</f>
        <v>44070</v>
      </c>
      <c r="B253">
        <f>IFERROR(__xludf.DUMMYFUNCTION("""COMPUTED_VALUE"""),2615816.0)</f>
        <v>2615816</v>
      </c>
      <c r="C253" s="140" t="str">
        <f>IFERROR(__xludf.DUMMYFUNCTION("""COMPUTED_VALUE"""),"EN")</f>
        <v>EN</v>
      </c>
      <c r="D253" s="140" t="str">
        <f>IFERROR(__xludf.DUMMYFUNCTION("""COMPUTED_VALUE"""),"Oracle Cloud Infrastructure Foundations 2020 Associate")</f>
        <v>Oracle Cloud Infrastructure Foundations 2020 Associate</v>
      </c>
      <c r="F253" s="142" t="str">
        <f>IFERROR(__xludf.DUMMYFUNCTION("""COMPUTED_VALUE"""),"OracleHome Academy")</f>
        <v>OracleHome Academy</v>
      </c>
      <c r="G253" t="str">
        <f>IFERROR(__xludf.DUMMYFUNCTION("""COMPUTED_VALUE"""),"Copyright")</f>
        <v>Copyright</v>
      </c>
      <c r="H253" s="142" t="str">
        <f>IFERROR(__xludf.DUMMYFUNCTION("""COMPUTED_VALUE"""),"IT Operations")</f>
        <v>IT Operations</v>
      </c>
      <c r="I253" s="142" t="str">
        <f>IFERROR(__xludf.DUMMYFUNCTION("""COMPUTED_VALUE"""),"IT Certifications")</f>
        <v>IT Certifications</v>
      </c>
      <c r="J253" s="140">
        <f>IFERROR(__xludf.DUMMYFUNCTION("""COMPUTED_VALUE"""),3065398.0)</f>
        <v>3065398</v>
      </c>
      <c r="K253" s="140" t="str">
        <f>IFERROR(__xludf.DUMMYFUNCTION("""COMPUTED_VALUE"""),"Oracle Cloud Infrastructure Foundations 2020 Practice sets")</f>
        <v>Oracle Cloud Infrastructure Foundations 2020 Practice sets</v>
      </c>
      <c r="M253" s="140" t="str">
        <f>IFERROR(__xludf.DUMMYFUNCTION("""COMPUTED_VALUE"""),"")</f>
        <v/>
      </c>
    </row>
    <row r="254">
      <c r="A254" s="141">
        <f>IFERROR(__xludf.DUMMYFUNCTION("""COMPUTED_VALUE"""),44070.0)</f>
        <v>44070</v>
      </c>
      <c r="B254">
        <f>IFERROR(__xludf.DUMMYFUNCTION("""COMPUTED_VALUE"""),3069844.0)</f>
        <v>3069844</v>
      </c>
      <c r="C254" s="140" t="str">
        <f>IFERROR(__xludf.DUMMYFUNCTION("""COMPUTED_VALUE"""),"EN")</f>
        <v>EN</v>
      </c>
      <c r="D254" s="140" t="str">
        <f>IFERROR(__xludf.DUMMYFUNCTION("""COMPUTED_VALUE"""),"Oracle Autonomous Database Cloud 2019 Specialist 1Z0-931")</f>
        <v>Oracle Autonomous Database Cloud 2019 Specialist 1Z0-931</v>
      </c>
      <c r="F254" s="142" t="str">
        <f>IFERROR(__xludf.DUMMYFUNCTION("""COMPUTED_VALUE"""),"OracleHome Academy")</f>
        <v>OracleHome Academy</v>
      </c>
      <c r="G254" t="str">
        <f>IFERROR(__xludf.DUMMYFUNCTION("""COMPUTED_VALUE"""),"Copyright")</f>
        <v>Copyright</v>
      </c>
      <c r="H254" s="142" t="str">
        <f>IFERROR(__xludf.DUMMYFUNCTION("""COMPUTED_VALUE"""),"IT Operations")</f>
        <v>IT Operations</v>
      </c>
      <c r="I254" s="142" t="str">
        <f>IFERROR(__xludf.DUMMYFUNCTION("""COMPUTED_VALUE"""),"IT Certifications")</f>
        <v>IT Certifications</v>
      </c>
      <c r="K254" s="140" t="str">
        <f>IFERROR(__xludf.DUMMYFUNCTION("""COMPUTED_VALUE"""),"")</f>
        <v/>
      </c>
      <c r="M254" s="140" t="str">
        <f>IFERROR(__xludf.DUMMYFUNCTION("""COMPUTED_VALUE"""),"")</f>
        <v/>
      </c>
    </row>
    <row r="255">
      <c r="A255" s="141">
        <f>IFERROR(__xludf.DUMMYFUNCTION("""COMPUTED_VALUE"""),44070.0)</f>
        <v>44070</v>
      </c>
      <c r="B255">
        <f>IFERROR(__xludf.DUMMYFUNCTION("""COMPUTED_VALUE"""),3047326.0)</f>
        <v>3047326</v>
      </c>
      <c r="C255" s="140" t="str">
        <f>IFERROR(__xludf.DUMMYFUNCTION("""COMPUTED_VALUE"""),"EN")</f>
        <v>EN</v>
      </c>
      <c r="D255" s="140" t="str">
        <f>IFERROR(__xludf.DUMMYFUNCTION("""COMPUTED_VALUE"""),"Oracle Cloud Infrastructure 2019 Architect Associate")</f>
        <v>Oracle Cloud Infrastructure 2019 Architect Associate</v>
      </c>
      <c r="F255" s="142" t="str">
        <f>IFERROR(__xludf.DUMMYFUNCTION("""COMPUTED_VALUE"""),"OracleHome Academy")</f>
        <v>OracleHome Academy</v>
      </c>
      <c r="G255" t="str">
        <f>IFERROR(__xludf.DUMMYFUNCTION("""COMPUTED_VALUE"""),"Copyright")</f>
        <v>Copyright</v>
      </c>
      <c r="H255" s="142" t="str">
        <f>IFERROR(__xludf.DUMMYFUNCTION("""COMPUTED_VALUE"""),"IT Operations")</f>
        <v>IT Operations</v>
      </c>
      <c r="I255" s="142" t="str">
        <f>IFERROR(__xludf.DUMMYFUNCTION("""COMPUTED_VALUE"""),"IT Certifications")</f>
        <v>IT Certifications</v>
      </c>
      <c r="K255" s="140" t="str">
        <f>IFERROR(__xludf.DUMMYFUNCTION("""COMPUTED_VALUE"""),"")</f>
        <v/>
      </c>
      <c r="M255" s="140" t="str">
        <f>IFERROR(__xludf.DUMMYFUNCTION("""COMPUTED_VALUE"""),"")</f>
        <v/>
      </c>
    </row>
    <row r="256">
      <c r="A256" s="141">
        <f>IFERROR(__xludf.DUMMYFUNCTION("""COMPUTED_VALUE"""),44049.0)</f>
        <v>44049</v>
      </c>
      <c r="B256">
        <f>IFERROR(__xludf.DUMMYFUNCTION("""COMPUTED_VALUE"""),1024854.0)</f>
        <v>1024854</v>
      </c>
      <c r="C256" s="140" t="str">
        <f>IFERROR(__xludf.DUMMYFUNCTION("""COMPUTED_VALUE"""),"EN")</f>
        <v>EN</v>
      </c>
      <c r="D256" s="140" t="str">
        <f>IFERROR(__xludf.DUMMYFUNCTION("""COMPUTED_VALUE"""),"CAPM Exam Prep: Earn Your CAPM Certification")</f>
        <v>CAPM Exam Prep: Earn Your CAPM Certification</v>
      </c>
      <c r="F256" t="str">
        <f>IFERROR(__xludf.DUMMYFUNCTION("""COMPUTED_VALUE"""),"Joseph Phillips")</f>
        <v>Joseph Phillips</v>
      </c>
      <c r="G256" t="str">
        <f>IFERROR(__xludf.DUMMYFUNCTION("""COMPUTED_VALUE"""),"Instructor Request- Outdated")</f>
        <v>Instructor Request- Outdated</v>
      </c>
      <c r="H256" s="142" t="str">
        <f>IFERROR(__xludf.DUMMYFUNCTION("""COMPUTED_VALUE"""),"Project Management &amp; Operations")</f>
        <v>Project Management &amp; Operations</v>
      </c>
      <c r="I256" s="142" t="str">
        <f>IFERROR(__xludf.DUMMYFUNCTION("""COMPUTED_VALUE"""),"Project Management Certifications")</f>
        <v>Project Management Certifications</v>
      </c>
      <c r="J256" s="140">
        <f>IFERROR(__xludf.DUMMYFUNCTION("""COMPUTED_VALUE"""),1411586.0)</f>
        <v>1411586</v>
      </c>
      <c r="K256" s="140" t="str">
        <f>IFERROR(__xludf.DUMMYFUNCTION("""COMPUTED_VALUE"""),"CAPM Exam Prep Seminar - PMBOK Guide, Sixth Edition")</f>
        <v>CAPM Exam Prep Seminar - PMBOK Guide, Sixth Edition</v>
      </c>
      <c r="M256" s="140" t="str">
        <f>IFERROR(__xludf.DUMMYFUNCTION("""COMPUTED_VALUE"""),"")</f>
        <v/>
      </c>
    </row>
    <row r="257">
      <c r="A257" s="141">
        <f>IFERROR(__xludf.DUMMYFUNCTION("""COMPUTED_VALUE"""),44049.0)</f>
        <v>44049</v>
      </c>
      <c r="B257">
        <f>IFERROR(__xludf.DUMMYFUNCTION("""COMPUTED_VALUE"""),979552.0)</f>
        <v>979552</v>
      </c>
      <c r="C257" s="140" t="str">
        <f>IFERROR(__xludf.DUMMYFUNCTION("""COMPUTED_VALUE"""),"EN")</f>
        <v>EN</v>
      </c>
      <c r="D257" s="140" t="str">
        <f>IFERROR(__xludf.DUMMYFUNCTION("""COMPUTED_VALUE"""),"PMP Exam Prep: Earn Your PMP Certification")</f>
        <v>PMP Exam Prep: Earn Your PMP Certification</v>
      </c>
      <c r="F257" t="str">
        <f>IFERROR(__xludf.DUMMYFUNCTION("""COMPUTED_VALUE"""),"Joseph Phillips")</f>
        <v>Joseph Phillips</v>
      </c>
      <c r="G257" t="str">
        <f>IFERROR(__xludf.DUMMYFUNCTION("""COMPUTED_VALUE"""),"Instructor Request- Outdated")</f>
        <v>Instructor Request- Outdated</v>
      </c>
      <c r="H257" s="142" t="str">
        <f>IFERROR(__xludf.DUMMYFUNCTION("""COMPUTED_VALUE"""),"Project Management &amp; Operations")</f>
        <v>Project Management &amp; Operations</v>
      </c>
      <c r="I257" s="142" t="str">
        <f>IFERROR(__xludf.DUMMYFUNCTION("""COMPUTED_VALUE"""),"Project Management Certifications")</f>
        <v>Project Management Certifications</v>
      </c>
      <c r="J257" s="140">
        <f>IFERROR(__xludf.DUMMYFUNCTION("""COMPUTED_VALUE"""),1361790.0)</f>
        <v>1361790</v>
      </c>
      <c r="K257" s="140" t="str">
        <f>IFERROR(__xludf.DUMMYFUNCTION("""COMPUTED_VALUE"""),"PMP Exam Prep Seminar - 2021 Exam Content with 35 PDUs")</f>
        <v>PMP Exam Prep Seminar - 2021 Exam Content with 35 PDUs</v>
      </c>
      <c r="M257" s="140" t="str">
        <f>IFERROR(__xludf.DUMMYFUNCTION("""COMPUTED_VALUE"""),"")</f>
        <v/>
      </c>
    </row>
    <row r="258">
      <c r="A258" s="141">
        <f>IFERROR(__xludf.DUMMYFUNCTION("""COMPUTED_VALUE"""),44046.0)</f>
        <v>44046</v>
      </c>
      <c r="B258">
        <f>IFERROR(__xludf.DUMMYFUNCTION("""COMPUTED_VALUE"""),1075796.0)</f>
        <v>1075796</v>
      </c>
      <c r="C258" s="140" t="str">
        <f>IFERROR(__xludf.DUMMYFUNCTION("""COMPUTED_VALUE"""),"EN")</f>
        <v>EN</v>
      </c>
      <c r="D258" s="140" t="str">
        <f>IFERROR(__xludf.DUMMYFUNCTION("""COMPUTED_VALUE"""),"Learn By Example : Apache Storm")</f>
        <v>Learn By Example : Apache Storm</v>
      </c>
      <c r="F258" t="str">
        <f>IFERROR(__xludf.DUMMYFUNCTION("""COMPUTED_VALUE"""),"Loony Corn")</f>
        <v>Loony Corn</v>
      </c>
      <c r="G258" t="str">
        <f>IFERROR(__xludf.DUMMYFUNCTION("""COMPUTED_VALUE"""),"Below Quality Standards- Low Rating")</f>
        <v>Below Quality Standards- Low Rating</v>
      </c>
      <c r="H258" s="142" t="str">
        <f>IFERROR(__xludf.DUMMYFUNCTION("""COMPUTED_VALUE"""),"Data Science")</f>
        <v>Data Science</v>
      </c>
      <c r="I258" s="140" t="str">
        <f>IFERROR(__xludf.DUMMYFUNCTION("""COMPUTED_VALUE"""),"Big Data")</f>
        <v>Big Data</v>
      </c>
      <c r="K258" s="140" t="str">
        <f>IFERROR(__xludf.DUMMYFUNCTION("""COMPUTED_VALUE"""),"")</f>
        <v/>
      </c>
      <c r="M258" s="140" t="str">
        <f>IFERROR(__xludf.DUMMYFUNCTION("""COMPUTED_VALUE"""),"")</f>
        <v/>
      </c>
      <c r="N258" s="140" t="str">
        <f>IFERROR(__xludf.DUMMYFUNCTION("""COMPUTED_VALUE"""),"No Alternatives in Collection- 06/23")</f>
        <v>No Alternatives in Collection- 06/23</v>
      </c>
    </row>
    <row r="259">
      <c r="A259" s="141">
        <f>IFERROR(__xludf.DUMMYFUNCTION("""COMPUTED_VALUE"""),44046.0)</f>
        <v>44046</v>
      </c>
      <c r="B259">
        <f>IFERROR(__xludf.DUMMYFUNCTION("""COMPUTED_VALUE"""),1387970.0)</f>
        <v>1387970</v>
      </c>
      <c r="C259" s="140" t="str">
        <f>IFERROR(__xludf.DUMMYFUNCTION("""COMPUTED_VALUE"""),"EN")</f>
        <v>EN</v>
      </c>
      <c r="D259" s="140" t="str">
        <f>IFERROR(__xludf.DUMMYFUNCTION("""COMPUTED_VALUE"""),"Powerful Excel Gantt charts -Effortless Project Management !")</f>
        <v>Powerful Excel Gantt charts -Effortless Project Management !</v>
      </c>
      <c r="F259" t="str">
        <f>IFERROR(__xludf.DUMMYFUNCTION("""COMPUTED_VALUE"""),"Amey Vidvans")</f>
        <v>Amey Vidvans</v>
      </c>
      <c r="G259" t="str">
        <f>IFERROR(__xludf.DUMMYFUNCTION("""COMPUTED_VALUE"""),"Below Quality Standards- Low Rating")</f>
        <v>Below Quality Standards- Low Rating</v>
      </c>
      <c r="H259" s="142" t="str">
        <f>IFERROR(__xludf.DUMMYFUNCTION("""COMPUTED_VALUE"""),"Office Productivity")</f>
        <v>Office Productivity</v>
      </c>
      <c r="I259" s="140" t="str">
        <f>IFERROR(__xludf.DUMMYFUNCTION("""COMPUTED_VALUE"""),"Spreadsheets")</f>
        <v>Spreadsheets</v>
      </c>
      <c r="J259" s="140">
        <f>IFERROR(__xludf.DUMMYFUNCTION("""COMPUTED_VALUE"""),1918248.0)</f>
        <v>1918248</v>
      </c>
      <c r="K259" s="140" t="str">
        <f>IFERROR(__xludf.DUMMYFUNCTION("""COMPUTED_VALUE"""),"Project Management: Master Project Management - PMP/PMI")</f>
        <v>Project Management: Master Project Management - PMP/PMI</v>
      </c>
      <c r="M259" s="140" t="str">
        <f>IFERROR(__xludf.DUMMYFUNCTION("""COMPUTED_VALUE"""),"")</f>
        <v/>
      </c>
    </row>
    <row r="260">
      <c r="A260" s="141">
        <f>IFERROR(__xludf.DUMMYFUNCTION("""COMPUTED_VALUE"""),44046.0)</f>
        <v>44046</v>
      </c>
      <c r="B260">
        <f>IFERROR(__xludf.DUMMYFUNCTION("""COMPUTED_VALUE"""),1432432.0)</f>
        <v>1432432</v>
      </c>
      <c r="C260" s="140" t="str">
        <f>IFERROR(__xludf.DUMMYFUNCTION("""COMPUTED_VALUE"""),"EN")</f>
        <v>EN</v>
      </c>
      <c r="D260" s="140" t="str">
        <f>IFERROR(__xludf.DUMMYFUNCTION("""COMPUTED_VALUE"""),"Management Consulting Presentation Masterclass")</f>
        <v>Management Consulting Presentation Masterclass</v>
      </c>
      <c r="F260" t="str">
        <f>IFERROR(__xludf.DUMMYFUNCTION("""COMPUTED_VALUE"""),"Riley Brydenand")</f>
        <v>Riley Brydenand</v>
      </c>
      <c r="G260" t="str">
        <f>IFERROR(__xludf.DUMMYFUNCTION("""COMPUTED_VALUE"""),"Below Quality Standards- Low Rating")</f>
        <v>Below Quality Standards- Low Rating</v>
      </c>
      <c r="H260" s="142" t="str">
        <f>IFERROR(__xludf.DUMMYFUNCTION("""COMPUTED_VALUE"""),"Project Management &amp; Operations")</f>
        <v>Project Management &amp; Operations</v>
      </c>
      <c r="I260" s="140" t="str">
        <f>IFERROR(__xludf.DUMMYFUNCTION("""COMPUTED_VALUE"""),"Project Management Fundamentals")</f>
        <v>Project Management Fundamentals</v>
      </c>
      <c r="J260" s="140">
        <f>IFERROR(__xludf.DUMMYFUNCTION("""COMPUTED_VALUE"""),1802404.0)</f>
        <v>1802404</v>
      </c>
      <c r="K260" s="140" t="str">
        <f>IFERROR(__xludf.DUMMYFUNCTION("""COMPUTED_VALUE"""),"The Complete Communication Skills Master Class for Life")</f>
        <v>The Complete Communication Skills Master Class for Life</v>
      </c>
      <c r="M260" s="140" t="str">
        <f>IFERROR(__xludf.DUMMYFUNCTION("""COMPUTED_VALUE"""),"")</f>
        <v/>
      </c>
    </row>
    <row r="261">
      <c r="A261" s="141">
        <f>IFERROR(__xludf.DUMMYFUNCTION("""COMPUTED_VALUE"""),44046.0)</f>
        <v>44046</v>
      </c>
      <c r="B261">
        <f>IFERROR(__xludf.DUMMYFUNCTION("""COMPUTED_VALUE"""),1134580.0)</f>
        <v>1134580</v>
      </c>
      <c r="C261" s="140" t="str">
        <f>IFERROR(__xludf.DUMMYFUNCTION("""COMPUTED_VALUE"""),"EN")</f>
        <v>EN</v>
      </c>
      <c r="D261" s="140" t="str">
        <f>IFERROR(__xludf.DUMMYFUNCTION("""COMPUTED_VALUE"""),"ElasticSearch, LogStash, Kibana ELK #1 - Learn ElasticSearch")</f>
        <v>ElasticSearch, LogStash, Kibana ELK #1 - Learn ElasticSearch</v>
      </c>
      <c r="F261" t="str">
        <f>IFERROR(__xludf.DUMMYFUNCTION("""COMPUTED_VALUE"""),"TetraNoodle Team")</f>
        <v>TetraNoodle Team</v>
      </c>
      <c r="G261" t="str">
        <f>IFERROR(__xludf.DUMMYFUNCTION("""COMPUTED_VALUE"""),"Below Quality Standards- Low Rating")</f>
        <v>Below Quality Standards- Low Rating</v>
      </c>
      <c r="H261" s="142" t="str">
        <f>IFERROR(__xludf.DUMMYFUNCTION("""COMPUTED_VALUE"""),"Data Science")</f>
        <v>Data Science</v>
      </c>
      <c r="I261" s="140" t="str">
        <f>IFERROR(__xludf.DUMMYFUNCTION("""COMPUTED_VALUE"""),"Data Visualization")</f>
        <v>Data Visualization</v>
      </c>
      <c r="J261" s="140">
        <f>IFERROR(__xludf.DUMMYFUNCTION("""COMPUTED_VALUE"""),693188.0)</f>
        <v>693188</v>
      </c>
      <c r="K261" s="140" t="str">
        <f>IFERROR(__xludf.DUMMYFUNCTION("""COMPUTED_VALUE"""),"Complete Guide to Elasticsearch")</f>
        <v>Complete Guide to Elasticsearch</v>
      </c>
      <c r="M261" s="140" t="str">
        <f>IFERROR(__xludf.DUMMYFUNCTION("""COMPUTED_VALUE"""),"")</f>
        <v/>
      </c>
    </row>
    <row r="262">
      <c r="A262" s="141">
        <f>IFERROR(__xludf.DUMMYFUNCTION("""COMPUTED_VALUE"""),44046.0)</f>
        <v>44046</v>
      </c>
      <c r="B262">
        <f>IFERROR(__xludf.DUMMYFUNCTION("""COMPUTED_VALUE"""),166070.0)</f>
        <v>166070</v>
      </c>
      <c r="C262" s="140" t="str">
        <f>IFERROR(__xludf.DUMMYFUNCTION("""COMPUTED_VALUE"""),"EN")</f>
        <v>EN</v>
      </c>
      <c r="D262" s="140" t="str">
        <f>IFERROR(__xludf.DUMMYFUNCTION("""COMPUTED_VALUE"""),"The Ultimate Guide to Funnel Optimization")</f>
        <v>The Ultimate Guide to Funnel Optimization</v>
      </c>
      <c r="F262" t="str">
        <f>IFERROR(__xludf.DUMMYFUNCTION("""COMPUTED_VALUE"""),"Sean Johnson")</f>
        <v>Sean Johnson</v>
      </c>
      <c r="G262" t="str">
        <f>IFERROR(__xludf.DUMMYFUNCTION("""COMPUTED_VALUE"""),"Below Quality Standards- 3 Flags")</f>
        <v>Below Quality Standards- 3 Flags</v>
      </c>
      <c r="H262" s="142" t="str">
        <f>IFERROR(__xludf.DUMMYFUNCTION("""COMPUTED_VALUE"""),"Marketing")</f>
        <v>Marketing</v>
      </c>
      <c r="I262" s="140" t="str">
        <f>IFERROR(__xludf.DUMMYFUNCTION("""COMPUTED_VALUE"""),"Paid Advertising")</f>
        <v>Paid Advertising</v>
      </c>
      <c r="J262" s="140">
        <f>IFERROR(__xludf.DUMMYFUNCTION("""COMPUTED_VALUE"""),1600628.0)</f>
        <v>1600628</v>
      </c>
      <c r="K262" s="140" t="str">
        <f>IFERROR(__xludf.DUMMYFUNCTION("""COMPUTED_VALUE"""),"Email Marketing with Mailchimp + Sales Funnels &amp; Copywriting")</f>
        <v>Email Marketing with Mailchimp + Sales Funnels &amp; Copywriting</v>
      </c>
      <c r="M262" s="140" t="str">
        <f>IFERROR(__xludf.DUMMYFUNCTION("""COMPUTED_VALUE"""),"")</f>
        <v/>
      </c>
    </row>
    <row r="263">
      <c r="A263" s="141">
        <f>IFERROR(__xludf.DUMMYFUNCTION("""COMPUTED_VALUE"""),44046.0)</f>
        <v>44046</v>
      </c>
      <c r="B263">
        <f>IFERROR(__xludf.DUMMYFUNCTION("""COMPUTED_VALUE"""),1536746.0)</f>
        <v>1536746</v>
      </c>
      <c r="C263" s="140" t="str">
        <f>IFERROR(__xludf.DUMMYFUNCTION("""COMPUTED_VALUE"""),"EN")</f>
        <v>EN</v>
      </c>
      <c r="D263" s="140" t="str">
        <f>IFERROR(__xludf.DUMMYFUNCTION("""COMPUTED_VALUE"""),"How To VLOG on YouTube! Create, Edit, &amp; Publish Your Videos")</f>
        <v>How To VLOG on YouTube! Create, Edit, &amp; Publish Your Videos</v>
      </c>
      <c r="F263" t="str">
        <f>IFERROR(__xludf.DUMMYFUNCTION("""COMPUTED_VALUE"""),"Joe Parys")</f>
        <v>Joe Parys</v>
      </c>
      <c r="G263" t="str">
        <f>IFERROR(__xludf.DUMMYFUNCTION("""COMPUTED_VALUE"""),"Below Quality Standards- Low Rating")</f>
        <v>Below Quality Standards- Low Rating</v>
      </c>
      <c r="H263" s="142" t="str">
        <f>IFERROR(__xludf.DUMMYFUNCTION("""COMPUTED_VALUE"""),"Marketing")</f>
        <v>Marketing</v>
      </c>
      <c r="I263" s="140" t="str">
        <f>IFERROR(__xludf.DUMMYFUNCTION("""COMPUTED_VALUE"""),"Social Media Marketing")</f>
        <v>Social Media Marketing</v>
      </c>
      <c r="J263" s="140">
        <f>IFERROR(__xludf.DUMMYFUNCTION("""COMPUTED_VALUE"""),703140.0)</f>
        <v>703140</v>
      </c>
      <c r="K263" s="140" t="str">
        <f>IFERROR(__xludf.DUMMYFUNCTION("""COMPUTED_VALUE"""),"YouTube Masterclass - Your Complete Guide to YouTube")</f>
        <v>YouTube Masterclass - Your Complete Guide to YouTube</v>
      </c>
      <c r="M263" s="140" t="str">
        <f>IFERROR(__xludf.DUMMYFUNCTION("""COMPUTED_VALUE"""),"")</f>
        <v/>
      </c>
    </row>
    <row r="264">
      <c r="A264" s="141">
        <f>IFERROR(__xludf.DUMMYFUNCTION("""COMPUTED_VALUE"""),44046.0)</f>
        <v>44046</v>
      </c>
      <c r="B264">
        <f>IFERROR(__xludf.DUMMYFUNCTION("""COMPUTED_VALUE"""),1447172.0)</f>
        <v>1447172</v>
      </c>
      <c r="C264" s="140" t="str">
        <f>IFERROR(__xludf.DUMMYFUNCTION("""COMPUTED_VALUE"""),"EN")</f>
        <v>EN</v>
      </c>
      <c r="D264" s="140" t="str">
        <f>IFERROR(__xludf.DUMMYFUNCTION("""COMPUTED_VALUE"""),"Host on Amazon S3 For Pennies And Save Your Hosting Budget")</f>
        <v>Host on Amazon S3 For Pennies And Save Your Hosting Budget</v>
      </c>
      <c r="F264" t="str">
        <f>IFERROR(__xludf.DUMMYFUNCTION("""COMPUTED_VALUE"""),"Skill Pride .")</f>
        <v>Skill Pride .</v>
      </c>
      <c r="G264" t="str">
        <f>IFERROR(__xludf.DUMMYFUNCTION("""COMPUTED_VALUE"""),"Below Quality Standards- 3 Flags")</f>
        <v>Below Quality Standards- 3 Flags</v>
      </c>
      <c r="H264" s="142" t="str">
        <f>IFERROR(__xludf.DUMMYFUNCTION("""COMPUTED_VALUE"""),"Development")</f>
        <v>Development</v>
      </c>
      <c r="I264" s="140" t="str">
        <f>IFERROR(__xludf.DUMMYFUNCTION("""COMPUTED_VALUE"""),"Development Tools")</f>
        <v>Development Tools</v>
      </c>
      <c r="J264" s="140">
        <f>IFERROR(__xludf.DUMMYFUNCTION("""COMPUTED_VALUE"""),446736.0)</f>
        <v>446736</v>
      </c>
      <c r="K264" s="140" t="str">
        <f>IFERROR(__xludf.DUMMYFUNCTION("""COMPUTED_VALUE"""),"Amazon s3 Mastery - THE How-To' Guides For Amazon S3")</f>
        <v>Amazon s3 Mastery - THE How-To' Guides For Amazon S3</v>
      </c>
      <c r="M264" s="140" t="str">
        <f>IFERROR(__xludf.DUMMYFUNCTION("""COMPUTED_VALUE"""),"")</f>
        <v/>
      </c>
    </row>
    <row r="265">
      <c r="A265" s="141">
        <f>IFERROR(__xludf.DUMMYFUNCTION("""COMPUTED_VALUE"""),44046.0)</f>
        <v>44046</v>
      </c>
      <c r="B265">
        <f>IFERROR(__xludf.DUMMYFUNCTION("""COMPUTED_VALUE"""),1561726.0)</f>
        <v>1561726</v>
      </c>
      <c r="C265" s="140" t="str">
        <f>IFERROR(__xludf.DUMMYFUNCTION("""COMPUTED_VALUE"""),"DE")</f>
        <v>DE</v>
      </c>
      <c r="D265" s="140" t="str">
        <f>IFERROR(__xludf.DUMMYFUNCTION("""COMPUTED_VALUE"""),"Sketch von A bis Z: Werde App-Designer")</f>
        <v>Sketch von A bis Z: Werde App-Designer</v>
      </c>
      <c r="E265" t="str">
        <f>IFERROR(__xludf.DUMMYFUNCTION("""COMPUTED_VALUE"""),"Sketch A to Z: Become an App Designer")</f>
        <v>Sketch A to Z: Become an App Designer</v>
      </c>
      <c r="F265" t="str">
        <f>IFERROR(__xludf.DUMMYFUNCTION("""COMPUTED_VALUE"""),"Luca Kiedrowski")</f>
        <v>Luca Kiedrowski</v>
      </c>
      <c r="G265" t="str">
        <f>IFERROR(__xludf.DUMMYFUNCTION("""COMPUTED_VALUE"""),"Below Quality Standards- 3 Flags")</f>
        <v>Below Quality Standards- 3 Flags</v>
      </c>
      <c r="H265" s="142" t="str">
        <f>IFERROR(__xludf.DUMMYFUNCTION("""COMPUTED_VALUE"""),"Design")</f>
        <v>Design</v>
      </c>
      <c r="I265" s="140" t="str">
        <f>IFERROR(__xludf.DUMMYFUNCTION("""COMPUTED_VALUE"""),"Mobile Design")</f>
        <v>Mobile Design</v>
      </c>
      <c r="K265" s="140" t="str">
        <f>IFERROR(__xludf.DUMMYFUNCTION("""COMPUTED_VALUE"""),"")</f>
        <v/>
      </c>
      <c r="M265" s="140" t="str">
        <f>IFERROR(__xludf.DUMMYFUNCTION("""COMPUTED_VALUE"""),"")</f>
        <v/>
      </c>
      <c r="N265" s="140" t="str">
        <f>IFERROR(__xludf.DUMMYFUNCTION("""COMPUTED_VALUE"""),"No Alternatives in Collection- 7/29/2020")</f>
        <v>No Alternatives in Collection- 7/29/2020</v>
      </c>
    </row>
    <row r="266">
      <c r="A266" s="141">
        <f>IFERROR(__xludf.DUMMYFUNCTION("""COMPUTED_VALUE"""),44046.0)</f>
        <v>44046</v>
      </c>
      <c r="B266">
        <f>IFERROR(__xludf.DUMMYFUNCTION("""COMPUTED_VALUE"""),2215444.0)</f>
        <v>2215444</v>
      </c>
      <c r="C266" s="140" t="str">
        <f>IFERROR(__xludf.DUMMYFUNCTION("""COMPUTED_VALUE"""),"EN")</f>
        <v>EN</v>
      </c>
      <c r="D266" s="140" t="str">
        <f>IFERROR(__xludf.DUMMYFUNCTION("""COMPUTED_VALUE"""),"Todd Lammle's ICND1 100-105 Certification Practice Tests")</f>
        <v>Todd Lammle's ICND1 100-105 Certification Practice Tests</v>
      </c>
      <c r="F266" t="str">
        <f>IFERROR(__xludf.DUMMYFUNCTION("""COMPUTED_VALUE"""),"Todd Lammle")</f>
        <v>Todd Lammle</v>
      </c>
      <c r="G266" t="str">
        <f>IFERROR(__xludf.DUMMYFUNCTION("""COMPUTED_VALUE"""),"Below Quality Standards- 3 Flags")</f>
        <v>Below Quality Standards- 3 Flags</v>
      </c>
      <c r="H266" s="142" t="str">
        <f>IFERROR(__xludf.DUMMYFUNCTION("""COMPUTED_VALUE"""),"IT Operations")</f>
        <v>IT Operations</v>
      </c>
      <c r="I266" s="140" t="str">
        <f>IFERROR(__xludf.DUMMYFUNCTION("""COMPUTED_VALUE"""),"IT Certifications")</f>
        <v>IT Certifications</v>
      </c>
      <c r="J266" s="140">
        <f>IFERROR(__xludf.DUMMYFUNCTION("""COMPUTED_VALUE"""),1206148.0)</f>
        <v>1206148</v>
      </c>
      <c r="K266" s="140" t="str">
        <f>IFERROR(__xludf.DUMMYFUNCTION("""COMPUTED_VALUE"""),"CCNA 200-301 IP Addressing and Subnetting - Exam Prep")</f>
        <v>CCNA 200-301 IP Addressing and Subnetting - Exam Prep</v>
      </c>
      <c r="M266" s="140" t="str">
        <f>IFERROR(__xludf.DUMMYFUNCTION("""COMPUTED_VALUE"""),"")</f>
        <v/>
      </c>
    </row>
    <row r="267">
      <c r="A267" s="141">
        <f>IFERROR(__xludf.DUMMYFUNCTION("""COMPUTED_VALUE"""),44046.0)</f>
        <v>44046</v>
      </c>
      <c r="B267">
        <f>IFERROR(__xludf.DUMMYFUNCTION("""COMPUTED_VALUE"""),2228688.0)</f>
        <v>2228688</v>
      </c>
      <c r="C267" s="140" t="str">
        <f>IFERROR(__xludf.DUMMYFUNCTION("""COMPUTED_VALUE"""),"EN")</f>
        <v>EN</v>
      </c>
      <c r="D267" s="140" t="str">
        <f>IFERROR(__xludf.DUMMYFUNCTION("""COMPUTED_VALUE"""),"Certified Information Security Manager 2020 - CISM")</f>
        <v>Certified Information Security Manager 2020 - CISM</v>
      </c>
      <c r="F267" t="str">
        <f>IFERROR(__xludf.DUMMYFUNCTION("""COMPUTED_VALUE"""),"Dhabaleshwar Das")</f>
        <v>Dhabaleshwar Das</v>
      </c>
      <c r="G267" t="str">
        <f>IFERROR(__xludf.DUMMYFUNCTION("""COMPUTED_VALUE"""),"Below Quality Standards- 3 Flags")</f>
        <v>Below Quality Standards- 3 Flags</v>
      </c>
      <c r="H267" s="142" t="str">
        <f>IFERROR(__xludf.DUMMYFUNCTION("""COMPUTED_VALUE"""),"IT Operations")</f>
        <v>IT Operations</v>
      </c>
      <c r="I267" s="140" t="str">
        <f>IFERROR(__xludf.DUMMYFUNCTION("""COMPUTED_VALUE"""),"IT Certifications")</f>
        <v>IT Certifications</v>
      </c>
      <c r="J267" s="140">
        <f>IFERROR(__xludf.DUMMYFUNCTION("""COMPUTED_VALUE"""),2311262.0)</f>
        <v>2311262</v>
      </c>
      <c r="K267" s="140" t="str">
        <f>IFERROR(__xludf.DUMMYFUNCTION("""COMPUTED_VALUE"""),"CISM Certification: FULL 150 question CISM practice test '22")</f>
        <v>CISM Certification: FULL 150 question CISM practice test '22</v>
      </c>
      <c r="M267" s="140" t="str">
        <f>IFERROR(__xludf.DUMMYFUNCTION("""COMPUTED_VALUE"""),"")</f>
        <v/>
      </c>
    </row>
    <row r="268">
      <c r="A268" s="141">
        <f>IFERROR(__xludf.DUMMYFUNCTION("""COMPUTED_VALUE"""),44046.0)</f>
        <v>44046</v>
      </c>
      <c r="B268">
        <f>IFERROR(__xludf.DUMMYFUNCTION("""COMPUTED_VALUE"""),1155592.0)</f>
        <v>1155592</v>
      </c>
      <c r="C268" s="140" t="str">
        <f>IFERROR(__xludf.DUMMYFUNCTION("""COMPUTED_VALUE"""),"EN")</f>
        <v>EN</v>
      </c>
      <c r="D268" s="140" t="str">
        <f>IFERROR(__xludf.DUMMYFUNCTION("""COMPUTED_VALUE"""),"ElasticSearch, LogStash, Kibana ELK #3 - Learn Kibana")</f>
        <v>ElasticSearch, LogStash, Kibana ELK #3 - Learn Kibana</v>
      </c>
      <c r="F268" t="str">
        <f>IFERROR(__xludf.DUMMYFUNCTION("""COMPUTED_VALUE"""),"TetraNoodle Team")</f>
        <v>TetraNoodle Team</v>
      </c>
      <c r="G268" t="str">
        <f>IFERROR(__xludf.DUMMYFUNCTION("""COMPUTED_VALUE"""),"Below Quality Standards- Low Rating")</f>
        <v>Below Quality Standards- Low Rating</v>
      </c>
      <c r="H268" s="142" t="str">
        <f>IFERROR(__xludf.DUMMYFUNCTION("""COMPUTED_VALUE"""),"Data Science")</f>
        <v>Data Science</v>
      </c>
      <c r="I268" s="140" t="str">
        <f>IFERROR(__xludf.DUMMYFUNCTION("""COMPUTED_VALUE"""),"Data Visualization")</f>
        <v>Data Visualization</v>
      </c>
      <c r="J268" s="140">
        <f>IFERROR(__xludf.DUMMYFUNCTION("""COMPUTED_VALUE"""),1245870.0)</f>
        <v>1245870</v>
      </c>
      <c r="K268" s="140" t="str">
        <f>IFERROR(__xludf.DUMMYFUNCTION("""COMPUTED_VALUE"""),"Complete Elasticsearch Masterclass with Logstash and Kibana")</f>
        <v>Complete Elasticsearch Masterclass with Logstash and Kibana</v>
      </c>
      <c r="M268" s="140" t="str">
        <f>IFERROR(__xludf.DUMMYFUNCTION("""COMPUTED_VALUE"""),"")</f>
        <v/>
      </c>
    </row>
    <row r="269">
      <c r="A269" s="141">
        <f>IFERROR(__xludf.DUMMYFUNCTION("""COMPUTED_VALUE"""),44046.0)</f>
        <v>44046</v>
      </c>
      <c r="B269">
        <f>IFERROR(__xludf.DUMMYFUNCTION("""COMPUTED_VALUE"""),977080.0)</f>
        <v>977080</v>
      </c>
      <c r="C269" s="140" t="str">
        <f>IFERROR(__xludf.DUMMYFUNCTION("""COMPUTED_VALUE"""),"ES")</f>
        <v>ES</v>
      </c>
      <c r="D269" s="140" t="str">
        <f>IFERROR(__xludf.DUMMYFUNCTION("""COMPUTED_VALUE"""),"Storytelling para negocios, impacta contando historias")</f>
        <v>Storytelling para negocios, impacta contando historias</v>
      </c>
      <c r="E269" t="str">
        <f>IFERROR(__xludf.DUMMYFUNCTION("""COMPUTED_VALUE"""),"Storytelling for business, impacts telling stories")</f>
        <v>Storytelling for business, impacts telling stories</v>
      </c>
      <c r="F269" t="str">
        <f>IFERROR(__xludf.DUMMYFUNCTION("""COMPUTED_VALUE"""),"Marco Antonio Velasco Toledo")</f>
        <v>Marco Antonio Velasco Toledo</v>
      </c>
      <c r="G269" t="str">
        <f>IFERROR(__xludf.DUMMYFUNCTION("""COMPUTED_VALUE"""),"Below Quality Standards- 3 Flags")</f>
        <v>Below Quality Standards- 3 Flags</v>
      </c>
      <c r="H269" s="142" t="str">
        <f>IFERROR(__xludf.DUMMYFUNCTION("""COMPUTED_VALUE"""),"Leadership &amp; Management")</f>
        <v>Leadership &amp; Management</v>
      </c>
      <c r="I269" s="140" t="str">
        <f>IFERROR(__xludf.DUMMYFUNCTION("""COMPUTED_VALUE"""),"Communication")</f>
        <v>Communication</v>
      </c>
      <c r="J269" s="140">
        <f>IFERROR(__xludf.DUMMYFUNCTION("""COMPUTED_VALUE"""),1744780.0)</f>
        <v>1744780</v>
      </c>
      <c r="K269" s="140" t="str">
        <f>IFERROR(__xludf.DUMMYFUNCTION("""COMPUTED_VALUE"""),"Secretos de las Presentaciones Efectivas : Storytelling")</f>
        <v>Secretos de las Presentaciones Efectivas : Storytelling</v>
      </c>
      <c r="M269" s="140" t="str">
        <f>IFERROR(__xludf.DUMMYFUNCTION("""COMPUTED_VALUE"""),"")</f>
        <v/>
      </c>
    </row>
    <row r="270">
      <c r="A270" s="141">
        <f>IFERROR(__xludf.DUMMYFUNCTION("""COMPUTED_VALUE"""),44046.0)</f>
        <v>44046</v>
      </c>
      <c r="B270">
        <f>IFERROR(__xludf.DUMMYFUNCTION("""COMPUTED_VALUE"""),635120.0)</f>
        <v>635120</v>
      </c>
      <c r="C270" s="140" t="str">
        <f>IFERROR(__xludf.DUMMYFUNCTION("""COMPUTED_VALUE"""),"EN")</f>
        <v>EN</v>
      </c>
      <c r="D270" s="140" t="str">
        <f>IFERROR(__xludf.DUMMYFUNCTION("""COMPUTED_VALUE"""),"PowerUp Automation with Unified Functional Testing/UFT")</f>
        <v>PowerUp Automation with Unified Functional Testing/UFT</v>
      </c>
      <c r="F270" t="str">
        <f>IFERROR(__xludf.DUMMYFUNCTION("""COMPUTED_VALUE"""),"QAEversity .")</f>
        <v>QAEversity .</v>
      </c>
      <c r="G270" t="str">
        <f>IFERROR(__xludf.DUMMYFUNCTION("""COMPUTED_VALUE"""),"Below Quality Standards- 3 Flags")</f>
        <v>Below Quality Standards- 3 Flags</v>
      </c>
      <c r="H270" s="142" t="str">
        <f>IFERROR(__xludf.DUMMYFUNCTION("""COMPUTED_VALUE"""),"Development")</f>
        <v>Development</v>
      </c>
      <c r="I270" s="140" t="str">
        <f>IFERROR(__xludf.DUMMYFUNCTION("""COMPUTED_VALUE"""),"Development Tools")</f>
        <v>Development Tools</v>
      </c>
      <c r="J270" s="140">
        <f>IFERROR(__xludf.DUMMYFUNCTION("""COMPUTED_VALUE"""),1180626.0)</f>
        <v>1180626</v>
      </c>
      <c r="K270" s="140" t="str">
        <f>IFERROR(__xludf.DUMMYFUNCTION("""COMPUTED_VALUE"""),"HP UFT - Basic to Intermediate")</f>
        <v>HP UFT - Basic to Intermediate</v>
      </c>
      <c r="M270" s="140" t="str">
        <f>IFERROR(__xludf.DUMMYFUNCTION("""COMPUTED_VALUE"""),"")</f>
        <v/>
      </c>
    </row>
    <row r="271">
      <c r="A271" s="141">
        <f>IFERROR(__xludf.DUMMYFUNCTION("""COMPUTED_VALUE"""),44046.0)</f>
        <v>44046</v>
      </c>
      <c r="B271">
        <f>IFERROR(__xludf.DUMMYFUNCTION("""COMPUTED_VALUE"""),783682.0)</f>
        <v>783682</v>
      </c>
      <c r="C271" s="140" t="str">
        <f>IFERROR(__xludf.DUMMYFUNCTION("""COMPUTED_VALUE"""),"EN")</f>
        <v>EN</v>
      </c>
      <c r="D271" s="140" t="str">
        <f>IFERROR(__xludf.DUMMYFUNCTION("""COMPUTED_VALUE"""),"Byte-Sized-Chunks: Recommendation Systems")</f>
        <v>Byte-Sized-Chunks: Recommendation Systems</v>
      </c>
      <c r="F271" t="str">
        <f>IFERROR(__xludf.DUMMYFUNCTION("""COMPUTED_VALUE"""),"Loony Corn")</f>
        <v>Loony Corn</v>
      </c>
      <c r="G271" t="str">
        <f>IFERROR(__xludf.DUMMYFUNCTION("""COMPUTED_VALUE"""),"Below Quality Standards- 3 Flags")</f>
        <v>Below Quality Standards- 3 Flags</v>
      </c>
      <c r="H271" s="142" t="str">
        <f>IFERROR(__xludf.DUMMYFUNCTION("""COMPUTED_VALUE"""),"Data Science")</f>
        <v>Data Science</v>
      </c>
      <c r="I271" s="140" t="str">
        <f>IFERROR(__xludf.DUMMYFUNCTION("""COMPUTED_VALUE"""),"Big Data")</f>
        <v>Big Data</v>
      </c>
      <c r="J271" s="140">
        <f>IFERROR(__xludf.DUMMYFUNCTION("""COMPUTED_VALUE"""),1899124.0)</f>
        <v>1899124</v>
      </c>
      <c r="K271" s="140" t="str">
        <f>IFERROR(__xludf.DUMMYFUNCTION("""COMPUTED_VALUE"""),"Recommender Systems and Deep Learning in Python")</f>
        <v>Recommender Systems and Deep Learning in Python</v>
      </c>
      <c r="M271" s="140" t="str">
        <f>IFERROR(__xludf.DUMMYFUNCTION("""COMPUTED_VALUE"""),"")</f>
        <v/>
      </c>
    </row>
    <row r="272">
      <c r="A272" s="141">
        <f>IFERROR(__xludf.DUMMYFUNCTION("""COMPUTED_VALUE"""),44046.0)</f>
        <v>44046</v>
      </c>
      <c r="B272">
        <f>IFERROR(__xludf.DUMMYFUNCTION("""COMPUTED_VALUE"""),2207154.0)</f>
        <v>2207154</v>
      </c>
      <c r="C272" s="140" t="str">
        <f>IFERROR(__xludf.DUMMYFUNCTION("""COMPUTED_VALUE"""),"EN")</f>
        <v>EN</v>
      </c>
      <c r="D272" s="140" t="str">
        <f>IFERROR(__xludf.DUMMYFUNCTION("""COMPUTED_VALUE"""),"Todd Lammle's CCNA R/S 200-125 Certification Practice Tests")</f>
        <v>Todd Lammle's CCNA R/S 200-125 Certification Practice Tests</v>
      </c>
      <c r="F272" t="str">
        <f>IFERROR(__xludf.DUMMYFUNCTION("""COMPUTED_VALUE"""),"Todd Lammle")</f>
        <v>Todd Lammle</v>
      </c>
      <c r="G272" t="str">
        <f>IFERROR(__xludf.DUMMYFUNCTION("""COMPUTED_VALUE"""),"Below Quality Standards- 3 Flags")</f>
        <v>Below Quality Standards- 3 Flags</v>
      </c>
      <c r="H272" s="142" t="str">
        <f>IFERROR(__xludf.DUMMYFUNCTION("""COMPUTED_VALUE"""),"IT Operations")</f>
        <v>IT Operations</v>
      </c>
      <c r="I272" s="140" t="str">
        <f>IFERROR(__xludf.DUMMYFUNCTION("""COMPUTED_VALUE"""),"IT Certifications")</f>
        <v>IT Certifications</v>
      </c>
      <c r="J272" s="140">
        <f>IFERROR(__xludf.DUMMYFUNCTION("""COMPUTED_VALUE"""),1343678.0)</f>
        <v>1343678</v>
      </c>
      <c r="K272" s="140" t="str">
        <f>IFERROR(__xludf.DUMMYFUNCTION("""COMPUTED_VALUE"""),"CCNA 200-301 &amp; Network+Practice Pack:  Subnetting Success!")</f>
        <v>CCNA 200-301 &amp; Network+Practice Pack:  Subnetting Success!</v>
      </c>
      <c r="M272" s="140" t="str">
        <f>IFERROR(__xludf.DUMMYFUNCTION("""COMPUTED_VALUE"""),"")</f>
        <v/>
      </c>
    </row>
    <row r="273">
      <c r="A273" s="141">
        <f>IFERROR(__xludf.DUMMYFUNCTION("""COMPUTED_VALUE"""),44046.0)</f>
        <v>44046</v>
      </c>
      <c r="B273">
        <f>IFERROR(__xludf.DUMMYFUNCTION("""COMPUTED_VALUE"""),1474682.0)</f>
        <v>1474682</v>
      </c>
      <c r="C273" s="140" t="str">
        <f>IFERROR(__xludf.DUMMYFUNCTION("""COMPUTED_VALUE"""),"EN")</f>
        <v>EN</v>
      </c>
      <c r="D273" s="140" t="str">
        <f>IFERROR(__xludf.DUMMYFUNCTION("""COMPUTED_VALUE"""),"TensorFlow and the Google Cloud ML Engine for Deep Learning")</f>
        <v>TensorFlow and the Google Cloud ML Engine for Deep Learning</v>
      </c>
      <c r="F273" t="str">
        <f>IFERROR(__xludf.DUMMYFUNCTION("""COMPUTED_VALUE"""),"Loony Corn")</f>
        <v>Loony Corn</v>
      </c>
      <c r="G273" t="str">
        <f>IFERROR(__xludf.DUMMYFUNCTION("""COMPUTED_VALUE"""),"Below Quality Standards- 3 Flags")</f>
        <v>Below Quality Standards- 3 Flags</v>
      </c>
      <c r="H273" s="142" t="str">
        <f>IFERROR(__xludf.DUMMYFUNCTION("""COMPUTED_VALUE"""),"Data Science")</f>
        <v>Data Science</v>
      </c>
      <c r="I273" s="140" t="str">
        <f>IFERROR(__xludf.DUMMYFUNCTION("""COMPUTED_VALUE"""),"Machine Learning")</f>
        <v>Machine Learning</v>
      </c>
      <c r="J273" s="140">
        <f>IFERROR(__xludf.DUMMYFUNCTION("""COMPUTED_VALUE"""),1299656.0)</f>
        <v>1299656</v>
      </c>
      <c r="K273" s="140" t="str">
        <f>IFERROR(__xludf.DUMMYFUNCTION("""COMPUTED_VALUE"""),"GCP: Complete Google Data Engineer and Cloud Architect Guide")</f>
        <v>GCP: Complete Google Data Engineer and Cloud Architect Guide</v>
      </c>
      <c r="M273" s="140" t="str">
        <f>IFERROR(__xludf.DUMMYFUNCTION("""COMPUTED_VALUE"""),"")</f>
        <v/>
      </c>
    </row>
    <row r="274">
      <c r="A274" s="141">
        <f>IFERROR(__xludf.DUMMYFUNCTION("""COMPUTED_VALUE"""),44046.0)</f>
        <v>44046</v>
      </c>
      <c r="B274">
        <f>IFERROR(__xludf.DUMMYFUNCTION("""COMPUTED_VALUE"""),357334.0)</f>
        <v>357334</v>
      </c>
      <c r="C274" s="140" t="str">
        <f>IFERROR(__xludf.DUMMYFUNCTION("""COMPUTED_VALUE"""),"EN")</f>
        <v>EN</v>
      </c>
      <c r="D274" s="140" t="str">
        <f>IFERROR(__xludf.DUMMYFUNCTION("""COMPUTED_VALUE"""),"Advanced Leadership: Managing People, Knowledge and Change")</f>
        <v>Advanced Leadership: Managing People, Knowledge and Change</v>
      </c>
      <c r="F274" t="str">
        <f>IFERROR(__xludf.DUMMYFUNCTION("""COMPUTED_VALUE"""),"LearnSmart LLC")</f>
        <v>LearnSmart LLC</v>
      </c>
      <c r="G274" t="str">
        <f>IFERROR(__xludf.DUMMYFUNCTION("""COMPUTED_VALUE"""),"Below Quality Standards- Outdated")</f>
        <v>Below Quality Standards- Outdated</v>
      </c>
      <c r="H274" s="142" t="str">
        <f>IFERROR(__xludf.DUMMYFUNCTION("""COMPUTED_VALUE"""),"Leadership &amp; Management")</f>
        <v>Leadership &amp; Management</v>
      </c>
      <c r="I274" s="140" t="str">
        <f>IFERROR(__xludf.DUMMYFUNCTION("""COMPUTED_VALUE"""),"Leadership")</f>
        <v>Leadership</v>
      </c>
      <c r="J274" s="140">
        <f>IFERROR(__xludf.DUMMYFUNCTION("""COMPUTED_VALUE"""),613808.0)</f>
        <v>613808</v>
      </c>
      <c r="K274" s="140" t="str">
        <f>IFERROR(__xludf.DUMMYFUNCTION("""COMPUTED_VALUE"""),"Leadership: Practical Leadership Skills")</f>
        <v>Leadership: Practical Leadership Skills</v>
      </c>
      <c r="M274" s="140" t="str">
        <f>IFERROR(__xludf.DUMMYFUNCTION("""COMPUTED_VALUE"""),"")</f>
        <v/>
      </c>
    </row>
    <row r="275">
      <c r="A275" s="141">
        <f>IFERROR(__xludf.DUMMYFUNCTION("""COMPUTED_VALUE"""),44042.0)</f>
        <v>44042</v>
      </c>
      <c r="B275">
        <f>IFERROR(__xludf.DUMMYFUNCTION("""COMPUTED_VALUE"""),1924360.0)</f>
        <v>1924360</v>
      </c>
      <c r="C275" s="140" t="str">
        <f>IFERROR(__xludf.DUMMYFUNCTION("""COMPUTED_VALUE"""),"JP")</f>
        <v>JP</v>
      </c>
      <c r="D275" s="140" t="str">
        <f>IFERROR(__xludf.DUMMYFUNCTION("""COMPUTED_VALUE"""),"誰でもIBM WatsonでAI（人工知能）チャットボットが作れる！！Watson Assistant構築7時間講座")</f>
        <v>誰でもIBM WatsonでAI（人工知能）チャットボットが作れる！！Watson Assistant構築7時間講座</v>
      </c>
      <c r="E275" t="str">
        <f>IFERROR(__xludf.DUMMYFUNCTION("""COMPUTED_VALUE"""),"Anyone AI at the IBM Watson (artificial intelligence) chat bot can make! ! Watson Assistant Building 7 hours course")</f>
        <v>Anyone AI at the IBM Watson (artificial intelligence) chat bot can make! ! Watson Assistant Building 7 hours course</v>
      </c>
      <c r="F275" t="str">
        <f>IFERROR(__xludf.DUMMYFUNCTION("""COMPUTED_VALUE"""),"Edutech Partners Shibata")</f>
        <v>Edutech Partners Shibata</v>
      </c>
      <c r="G275" t="str">
        <f>IFERROR(__xludf.DUMMYFUNCTION("""COMPUTED_VALUE"""),"Below Quality Standards- Outdated")</f>
        <v>Below Quality Standards- Outdated</v>
      </c>
      <c r="H275" s="142" t="str">
        <f>IFERROR(__xludf.DUMMYFUNCTION("""COMPUTED_VALUE"""),"Data Science")</f>
        <v>Data Science</v>
      </c>
      <c r="I275" s="140" t="str">
        <f>IFERROR(__xludf.DUMMYFUNCTION("""COMPUTED_VALUE"""),"Machine Learning")</f>
        <v>Machine Learning</v>
      </c>
      <c r="K275" s="140" t="str">
        <f>IFERROR(__xludf.DUMMYFUNCTION("""COMPUTED_VALUE"""),"")</f>
        <v/>
      </c>
      <c r="M275" s="140" t="str">
        <f>IFERROR(__xludf.DUMMYFUNCTION("""COMPUTED_VALUE"""),"")</f>
        <v/>
      </c>
      <c r="N275" s="140" t="str">
        <f>IFERROR(__xludf.DUMMYFUNCTION("""COMPUTED_VALUE"""),"No Alternatives Available- 4/1")</f>
        <v>No Alternatives Available- 4/1</v>
      </c>
    </row>
    <row r="276">
      <c r="A276" s="141">
        <f>IFERROR(__xludf.DUMMYFUNCTION("""COMPUTED_VALUE"""),44046.0)</f>
        <v>44046</v>
      </c>
      <c r="B276">
        <f>IFERROR(__xludf.DUMMYFUNCTION("""COMPUTED_VALUE"""),1686330.0)</f>
        <v>1686330</v>
      </c>
      <c r="C276" s="140" t="str">
        <f>IFERROR(__xludf.DUMMYFUNCTION("""COMPUTED_VALUE"""),"PT")</f>
        <v>PT</v>
      </c>
      <c r="D276" s="140" t="str">
        <f>IFERROR(__xludf.DUMMYFUNCTION("""COMPUTED_VALUE"""),"Angular 6 e 7, Apollo, GraphQL e Graphcool - Guia completo")</f>
        <v>Angular 6 e 7, Apollo, GraphQL e Graphcool - Guia completo</v>
      </c>
      <c r="E276" t="str">
        <f>IFERROR(__xludf.DUMMYFUNCTION("""COMPUTED_VALUE"""),"Angle 6:07, Apollo, and GraphQL Graphcool - Complete Guide")</f>
        <v>Angle 6:07, Apollo, and GraphQL Graphcool - Complete Guide</v>
      </c>
      <c r="F276" t="str">
        <f>IFERROR(__xludf.DUMMYFUNCTION("""COMPUTED_VALUE"""),"Plínio Naves")</f>
        <v>Plínio Naves</v>
      </c>
      <c r="G276" t="str">
        <f>IFERROR(__xludf.DUMMYFUNCTION("""COMPUTED_VALUE"""),"Instructor Request- Opted Out")</f>
        <v>Instructor Request- Opted Out</v>
      </c>
      <c r="H276" s="142" t="str">
        <f>IFERROR(__xludf.DUMMYFUNCTION("""COMPUTED_VALUE"""),"Development")</f>
        <v>Development</v>
      </c>
      <c r="I276" s="140" t="str">
        <f>IFERROR(__xludf.DUMMYFUNCTION("""COMPUTED_VALUE"""),"Web Development")</f>
        <v>Web Development</v>
      </c>
      <c r="K276" s="140" t="str">
        <f>IFERROR(__xludf.DUMMYFUNCTION("""COMPUTED_VALUE"""),"")</f>
        <v/>
      </c>
      <c r="M276" s="140" t="str">
        <f>IFERROR(__xludf.DUMMYFUNCTION("""COMPUTED_VALUE"""),"")</f>
        <v/>
      </c>
      <c r="N276" s="140" t="str">
        <f>IFERROR(__xludf.DUMMYFUNCTION("""COMPUTED_VALUE"""),"No Alternatives in Collection- 7/29/2020")</f>
        <v>No Alternatives in Collection- 7/29/2020</v>
      </c>
    </row>
    <row r="277">
      <c r="A277" s="141">
        <f>IFERROR(__xludf.DUMMYFUNCTION("""COMPUTED_VALUE"""),44046.0)</f>
        <v>44046</v>
      </c>
      <c r="B277">
        <f>IFERROR(__xludf.DUMMYFUNCTION("""COMPUTED_VALUE"""),2031222.0)</f>
        <v>2031222</v>
      </c>
      <c r="C277" s="140" t="str">
        <f>IFERROR(__xludf.DUMMYFUNCTION("""COMPUTED_VALUE"""),"PT ")</f>
        <v>PT </v>
      </c>
      <c r="D277" s="140" t="str">
        <f>IFERROR(__xludf.DUMMYFUNCTION("""COMPUTED_VALUE"""),"Coaching para seleção de pessoas")</f>
        <v>Coaching para seleção de pessoas</v>
      </c>
      <c r="E277" t="str">
        <f>IFERROR(__xludf.DUMMYFUNCTION("""COMPUTED_VALUE"""),"Coaching for selecting people")</f>
        <v>Coaching for selecting people</v>
      </c>
      <c r="F277" t="str">
        <f>IFERROR(__xludf.DUMMYFUNCTION("""COMPUTED_VALUE"""),"Edson nascimento ferreira")</f>
        <v>Edson nascimento ferreira</v>
      </c>
      <c r="G277" t="str">
        <f>IFERROR(__xludf.DUMMYFUNCTION("""COMPUTED_VALUE"""),"Instructor Request- Opted Out")</f>
        <v>Instructor Request- Opted Out</v>
      </c>
      <c r="H277" s="142" t="str">
        <f>IFERROR(__xludf.DUMMYFUNCTION("""COMPUTED_VALUE"""),"Workplace &amp; Human Resources")</f>
        <v>Workplace &amp; Human Resources</v>
      </c>
      <c r="I277" s="140" t="str">
        <f>IFERROR(__xludf.DUMMYFUNCTION("""COMPUTED_VALUE"""),"Talent Management")</f>
        <v>Talent Management</v>
      </c>
      <c r="K277" s="140" t="str">
        <f>IFERROR(__xludf.DUMMYFUNCTION("""COMPUTED_VALUE"""),"")</f>
        <v/>
      </c>
      <c r="M277" s="140" t="str">
        <f>IFERROR(__xludf.DUMMYFUNCTION("""COMPUTED_VALUE"""),"")</f>
        <v/>
      </c>
      <c r="N277" s="140" t="str">
        <f>IFERROR(__xludf.DUMMYFUNCTION("""COMPUTED_VALUE"""),"No Alternatives in Collection- 7/29/2020")</f>
        <v>No Alternatives in Collection- 7/29/2020</v>
      </c>
    </row>
    <row r="278">
      <c r="A278" s="141">
        <f>IFERROR(__xludf.DUMMYFUNCTION("""COMPUTED_VALUE"""),44046.0)</f>
        <v>44046</v>
      </c>
      <c r="B278">
        <f>IFERROR(__xludf.DUMMYFUNCTION("""COMPUTED_VALUE"""),1816740.0)</f>
        <v>1816740</v>
      </c>
      <c r="C278" s="140" t="str">
        <f>IFERROR(__xludf.DUMMYFUNCTION("""COMPUTED_VALUE"""),"PT")</f>
        <v>PT</v>
      </c>
      <c r="D278" s="140" t="str">
        <f>IFERROR(__xludf.DUMMYFUNCTION("""COMPUTED_VALUE"""),"Formação em Scrum - Preparatório Certificação PSM-I")</f>
        <v>Formação em Scrum - Preparatório Certificação PSM-I</v>
      </c>
      <c r="E278" t="str">
        <f>IFERROR(__xludf.DUMMYFUNCTION("""COMPUTED_VALUE"""),"Scrum Training - Preparatory PSM-I Certification")</f>
        <v>Scrum Training - Preparatory PSM-I Certification</v>
      </c>
      <c r="F278" t="str">
        <f>IFERROR(__xludf.DUMMYFUNCTION("""COMPUTED_VALUE"""),"William Lauer Junior")</f>
        <v>William Lauer Junior</v>
      </c>
      <c r="G278" t="str">
        <f>IFERROR(__xludf.DUMMYFUNCTION("""COMPUTED_VALUE"""),"Instructor Request- Opted Out")</f>
        <v>Instructor Request- Opted Out</v>
      </c>
      <c r="H278" s="142" t="str">
        <f>IFERROR(__xludf.DUMMYFUNCTION("""COMPUTED_VALUE"""),"Project Management &amp; Operations")</f>
        <v>Project Management &amp; Operations</v>
      </c>
      <c r="I278" s="140" t="str">
        <f>IFERROR(__xludf.DUMMYFUNCTION("""COMPUTED_VALUE"""),"Agile &amp; Scrum")</f>
        <v>Agile &amp; Scrum</v>
      </c>
      <c r="J278" s="140">
        <f>IFERROR(__xludf.DUMMYFUNCTION("""COMPUTED_VALUE"""),1030206.0)</f>
        <v>1030206</v>
      </c>
      <c r="K278" s="140" t="str">
        <f>IFERROR(__xludf.DUMMYFUNCTION("""COMPUTED_VALUE"""),"Certificação Scrum Master: Curso Preparatório COMPLETO")</f>
        <v>Certificação Scrum Master: Curso Preparatório COMPLETO</v>
      </c>
      <c r="M278" s="140" t="str">
        <f>IFERROR(__xludf.DUMMYFUNCTION("""COMPUTED_VALUE"""),"")</f>
        <v/>
      </c>
    </row>
    <row r="279">
      <c r="A279" s="141">
        <f>IFERROR(__xludf.DUMMYFUNCTION("""COMPUTED_VALUE"""),44046.0)</f>
        <v>44046</v>
      </c>
      <c r="B279">
        <f>IFERROR(__xludf.DUMMYFUNCTION("""COMPUTED_VALUE"""),1402794.0)</f>
        <v>1402794</v>
      </c>
      <c r="C279" s="140" t="str">
        <f>IFERROR(__xludf.DUMMYFUNCTION("""COMPUTED_VALUE"""),"DE")</f>
        <v>DE</v>
      </c>
      <c r="D279" s="140" t="str">
        <f>IFERROR(__xludf.DUMMYFUNCTION("""COMPUTED_VALUE"""),"Ansible Grundkurs")</f>
        <v>Ansible Grundkurs</v>
      </c>
      <c r="E279" t="str">
        <f>IFERROR(__xludf.DUMMYFUNCTION("""COMPUTED_VALUE"""),"Ansible Basics")</f>
        <v>Ansible Basics</v>
      </c>
      <c r="F279" t="str">
        <f>IFERROR(__xludf.DUMMYFUNCTION("""COMPUTED_VALUE"""),"Tom Wechsler")</f>
        <v>Tom Wechsler</v>
      </c>
      <c r="G279" t="str">
        <f>IFERROR(__xludf.DUMMYFUNCTION("""COMPUTED_VALUE"""),"Instructor Request- No Detail")</f>
        <v>Instructor Request- No Detail</v>
      </c>
      <c r="H279" s="142" t="str">
        <f>IFERROR(__xludf.DUMMYFUNCTION("""COMPUTED_VALUE"""),"Development")</f>
        <v>Development</v>
      </c>
      <c r="I279" s="140" t="str">
        <f>IFERROR(__xludf.DUMMYFUNCTION("""COMPUTED_VALUE"""),"Development Tools")</f>
        <v>Development Tools</v>
      </c>
      <c r="K279" s="140" t="str">
        <f>IFERROR(__xludf.DUMMYFUNCTION("""COMPUTED_VALUE"""),"")</f>
        <v/>
      </c>
      <c r="M279" s="140" t="str">
        <f>IFERROR(__xludf.DUMMYFUNCTION("""COMPUTED_VALUE"""),"")</f>
        <v/>
      </c>
      <c r="N279" s="140" t="str">
        <f>IFERROR(__xludf.DUMMYFUNCTION("""COMPUTED_VALUE"""),"No Alternatives in Collection- 7/29/2020")</f>
        <v>No Alternatives in Collection- 7/29/2020</v>
      </c>
    </row>
    <row r="280">
      <c r="A280" s="141">
        <f>IFERROR(__xludf.DUMMYFUNCTION("""COMPUTED_VALUE"""),44046.0)</f>
        <v>44046</v>
      </c>
      <c r="B280">
        <f>IFERROR(__xludf.DUMMYFUNCTION("""COMPUTED_VALUE"""),944136.0)</f>
        <v>944136</v>
      </c>
      <c r="C280" s="140" t="str">
        <f>IFERROR(__xludf.DUMMYFUNCTION("""COMPUTED_VALUE"""),"DE")</f>
        <v>DE</v>
      </c>
      <c r="D280" s="140" t="str">
        <f>IFERROR(__xludf.DUMMYFUNCTION("""COMPUTED_VALUE"""),"Strategien entwickeln und umsetzen")</f>
        <v>Strategien entwickeln und umsetzen</v>
      </c>
      <c r="E280" t="str">
        <f>IFERROR(__xludf.DUMMYFUNCTION("""COMPUTED_VALUE"""),"develop and implement strategies")</f>
        <v>develop and implement strategies</v>
      </c>
      <c r="F280" t="str">
        <f>IFERROR(__xludf.DUMMYFUNCTION("""COMPUTED_VALUE"""),"Prof. Dr. Mario Bosslau")</f>
        <v>Prof. Dr. Mario Bosslau</v>
      </c>
      <c r="G280" t="str">
        <f>IFERROR(__xludf.DUMMYFUNCTION("""COMPUTED_VALUE"""),"Instructor Request- No Detail")</f>
        <v>Instructor Request- No Detail</v>
      </c>
      <c r="H280" s="142" t="str">
        <f>IFERROR(__xludf.DUMMYFUNCTION("""COMPUTED_VALUE"""),"Leadership &amp; Management")</f>
        <v>Leadership &amp; Management</v>
      </c>
      <c r="I280" s="140" t="str">
        <f>IFERROR(__xludf.DUMMYFUNCTION("""COMPUTED_VALUE"""),"Strategy")</f>
        <v>Strategy</v>
      </c>
      <c r="K280" s="140" t="str">
        <f>IFERROR(__xludf.DUMMYFUNCTION("""COMPUTED_VALUE"""),"")</f>
        <v/>
      </c>
      <c r="M280" s="140" t="str">
        <f>IFERROR(__xludf.DUMMYFUNCTION("""COMPUTED_VALUE"""),"")</f>
        <v/>
      </c>
      <c r="N280" s="140" t="str">
        <f>IFERROR(__xludf.DUMMYFUNCTION("""COMPUTED_VALUE"""),"No Alternatives in Collection- 7/29/2020")</f>
        <v>No Alternatives in Collection- 7/29/2020</v>
      </c>
    </row>
    <row r="281">
      <c r="A281" s="141">
        <f>IFERROR(__xludf.DUMMYFUNCTION("""COMPUTED_VALUE"""),44046.0)</f>
        <v>44046</v>
      </c>
      <c r="B281">
        <f>IFERROR(__xludf.DUMMYFUNCTION("""COMPUTED_VALUE"""),1472580.0)</f>
        <v>1472580</v>
      </c>
      <c r="C281" s="140" t="str">
        <f>IFERROR(__xludf.DUMMYFUNCTION("""COMPUTED_VALUE"""),"EN")</f>
        <v>EN</v>
      </c>
      <c r="D281" s="140" t="str">
        <f>IFERROR(__xludf.DUMMYFUNCTION("""COMPUTED_VALUE"""),"Financial modeling | Project Finance &amp; Infrastructure")</f>
        <v>Financial modeling | Project Finance &amp; Infrastructure</v>
      </c>
      <c r="F281" t="str">
        <f>IFERROR(__xludf.DUMMYFUNCTION("""COMPUTED_VALUE"""),"DealMaker Financial Training")</f>
        <v>DealMaker Financial Training</v>
      </c>
      <c r="G281" t="str">
        <f>IFERROR(__xludf.DUMMYFUNCTION("""COMPUTED_VALUE"""),"Instructor Request- Opted Out")</f>
        <v>Instructor Request- Opted Out</v>
      </c>
      <c r="H281" s="142" t="str">
        <f>IFERROR(__xludf.DUMMYFUNCTION("""COMPUTED_VALUE"""),"Finance &amp; Accounting")</f>
        <v>Finance &amp; Accounting</v>
      </c>
      <c r="I281" s="140" t="str">
        <f>IFERROR(__xludf.DUMMYFUNCTION("""COMPUTED_VALUE"""),"Financial Modeling &amp; Analysis")</f>
        <v>Financial Modeling &amp; Analysis</v>
      </c>
      <c r="K281" s="140" t="str">
        <f>IFERROR(__xludf.DUMMYFUNCTION("""COMPUTED_VALUE"""),"")</f>
        <v/>
      </c>
      <c r="M281" s="140" t="str">
        <f>IFERROR(__xludf.DUMMYFUNCTION("""COMPUTED_VALUE"""),"")</f>
        <v/>
      </c>
      <c r="N281" s="140" t="str">
        <f>IFERROR(__xludf.DUMMYFUNCTION("""COMPUTED_VALUE"""),"No Alternatives in Collection- 06/23")</f>
        <v>No Alternatives in Collection- 06/23</v>
      </c>
    </row>
    <row r="282">
      <c r="A282" s="141">
        <f>IFERROR(__xludf.DUMMYFUNCTION("""COMPUTED_VALUE"""),44046.0)</f>
        <v>44046</v>
      </c>
      <c r="B282">
        <f>IFERROR(__xludf.DUMMYFUNCTION("""COMPUTED_VALUE"""),447362.0)</f>
        <v>447362</v>
      </c>
      <c r="C282" s="140" t="str">
        <f>IFERROR(__xludf.DUMMYFUNCTION("""COMPUTED_VALUE"""),"EN")</f>
        <v>EN</v>
      </c>
      <c r="D282" s="140" t="str">
        <f>IFERROR(__xludf.DUMMYFUNCTION("""COMPUTED_VALUE"""),"Create Your Own Hedge Fund: Trade Stocks Like A Fund Manager")</f>
        <v>Create Your Own Hedge Fund: Trade Stocks Like A Fund Manager</v>
      </c>
      <c r="F282" t="str">
        <f>IFERROR(__xludf.DUMMYFUNCTION("""COMPUTED_VALUE"""),"Frank Bunn")</f>
        <v>Frank Bunn</v>
      </c>
      <c r="G282" t="str">
        <f>IFERROR(__xludf.DUMMYFUNCTION("""COMPUTED_VALUE"""),"Instructor Request- Opted Out")</f>
        <v>Instructor Request- Opted Out</v>
      </c>
      <c r="H282" s="142" t="str">
        <f>IFERROR(__xludf.DUMMYFUNCTION("""COMPUTED_VALUE"""),"Finance &amp; Accounting")</f>
        <v>Finance &amp; Accounting</v>
      </c>
      <c r="I282" s="140" t="str">
        <f>IFERROR(__xludf.DUMMYFUNCTION("""COMPUTED_VALUE"""),"Investing &amp; Trading")</f>
        <v>Investing &amp; Trading</v>
      </c>
      <c r="J282" s="140">
        <f>IFERROR(__xludf.DUMMYFUNCTION("""COMPUTED_VALUE"""),1587644.0)</f>
        <v>1587644</v>
      </c>
      <c r="K282" s="140" t="str">
        <f>IFERROR(__xludf.DUMMYFUNCTION("""COMPUTED_VALUE"""),"Advanced Stock Trading Course + Strategies")</f>
        <v>Advanced Stock Trading Course + Strategies</v>
      </c>
      <c r="M282" s="140" t="str">
        <f>IFERROR(__xludf.DUMMYFUNCTION("""COMPUTED_VALUE"""),"")</f>
        <v/>
      </c>
    </row>
    <row r="283">
      <c r="A283" s="141">
        <f>IFERROR(__xludf.DUMMYFUNCTION("""COMPUTED_VALUE"""),44046.0)</f>
        <v>44046</v>
      </c>
      <c r="B283">
        <f>IFERROR(__xludf.DUMMYFUNCTION("""COMPUTED_VALUE"""),551930.0)</f>
        <v>551930</v>
      </c>
      <c r="C283" s="140" t="str">
        <f>IFERROR(__xludf.DUMMYFUNCTION("""COMPUTED_VALUE"""),"EN")</f>
        <v>EN</v>
      </c>
      <c r="D283" s="140" t="str">
        <f>IFERROR(__xludf.DUMMYFUNCTION("""COMPUTED_VALUE"""),"SOLIDWORKS: Become a Certified Associate Today (CSWA)")</f>
        <v>SOLIDWORKS: Become a Certified Associate Today (CSWA)</v>
      </c>
      <c r="F283" t="str">
        <f>IFERROR(__xludf.DUMMYFUNCTION("""COMPUTED_VALUE"""),"Tayseer Almattar")</f>
        <v>Tayseer Almattar</v>
      </c>
      <c r="G283" t="str">
        <f>IFERROR(__xludf.DUMMYFUNCTION("""COMPUTED_VALUE"""),"Instructor Request- Opted Out")</f>
        <v>Instructor Request- Opted Out</v>
      </c>
      <c r="H283" s="142" t="str">
        <f>IFERROR(__xludf.DUMMYFUNCTION("""COMPUTED_VALUE"""),"Design")</f>
        <v>Design</v>
      </c>
      <c r="I283" s="140" t="str">
        <f>IFERROR(__xludf.DUMMYFUNCTION("""COMPUTED_VALUE"""),"3D &amp; Animation")</f>
        <v>3D &amp; Animation</v>
      </c>
      <c r="K283" s="140" t="str">
        <f>IFERROR(__xludf.DUMMYFUNCTION("""COMPUTED_VALUE"""),"")</f>
        <v/>
      </c>
      <c r="M283" s="140" t="str">
        <f>IFERROR(__xludf.DUMMYFUNCTION("""COMPUTED_VALUE"""),"")</f>
        <v/>
      </c>
      <c r="N283" s="140" t="str">
        <f>IFERROR(__xludf.DUMMYFUNCTION("""COMPUTED_VALUE"""),"No Alternatives in Collection- 06/23")</f>
        <v>No Alternatives in Collection- 06/23</v>
      </c>
    </row>
    <row r="284">
      <c r="A284" s="141">
        <f>IFERROR(__xludf.DUMMYFUNCTION("""COMPUTED_VALUE"""),44046.0)</f>
        <v>44046</v>
      </c>
      <c r="B284">
        <f>IFERROR(__xludf.DUMMYFUNCTION("""COMPUTED_VALUE"""),1166592.0)</f>
        <v>1166592</v>
      </c>
      <c r="C284" s="140" t="str">
        <f>IFERROR(__xludf.DUMMYFUNCTION("""COMPUTED_VALUE"""),"EN")</f>
        <v>EN</v>
      </c>
      <c r="D284" s="140" t="str">
        <f>IFERROR(__xludf.DUMMYFUNCTION("""COMPUTED_VALUE"""),"SOLIDWORKS 2017-20 :Become a Certified Associate Today-CSWA")</f>
        <v>SOLIDWORKS 2017-20 :Become a Certified Associate Today-CSWA</v>
      </c>
      <c r="F284" t="str">
        <f>IFERROR(__xludf.DUMMYFUNCTION("""COMPUTED_VALUE"""),"Tayseer Almattar")</f>
        <v>Tayseer Almattar</v>
      </c>
      <c r="G284" t="str">
        <f>IFERROR(__xludf.DUMMYFUNCTION("""COMPUTED_VALUE"""),"Instructor Request- Opted Out")</f>
        <v>Instructor Request- Opted Out</v>
      </c>
      <c r="H284" s="142" t="str">
        <f>IFERROR(__xludf.DUMMYFUNCTION("""COMPUTED_VALUE"""),"Design")</f>
        <v>Design</v>
      </c>
      <c r="I284" s="140" t="str">
        <f>IFERROR(__xludf.DUMMYFUNCTION("""COMPUTED_VALUE"""),"Design Tools")</f>
        <v>Design Tools</v>
      </c>
      <c r="K284" s="140" t="str">
        <f>IFERROR(__xludf.DUMMYFUNCTION("""COMPUTED_VALUE"""),"")</f>
        <v/>
      </c>
      <c r="M284" s="140" t="str">
        <f>IFERROR(__xludf.DUMMYFUNCTION("""COMPUTED_VALUE"""),"")</f>
        <v/>
      </c>
      <c r="N284" s="140" t="str">
        <f>IFERROR(__xludf.DUMMYFUNCTION("""COMPUTED_VALUE"""),"No Alternatives in Collection- 06/23")</f>
        <v>No Alternatives in Collection- 06/23</v>
      </c>
    </row>
    <row r="285">
      <c r="A285" s="141">
        <f>IFERROR(__xludf.DUMMYFUNCTION("""COMPUTED_VALUE"""),44046.0)</f>
        <v>44046</v>
      </c>
      <c r="B285">
        <f>IFERROR(__xludf.DUMMYFUNCTION("""COMPUTED_VALUE"""),1489540.0)</f>
        <v>1489540</v>
      </c>
      <c r="C285" s="140" t="str">
        <f>IFERROR(__xludf.DUMMYFUNCTION("""COMPUTED_VALUE"""),"EN")</f>
        <v>EN</v>
      </c>
      <c r="D285" s="140" t="str">
        <f>IFERROR(__xludf.DUMMYFUNCTION("""COMPUTED_VALUE"""),"SOLIDWORKS: Become a Certified Professional Today (CSWP)")</f>
        <v>SOLIDWORKS: Become a Certified Professional Today (CSWP)</v>
      </c>
      <c r="F285" t="str">
        <f>IFERROR(__xludf.DUMMYFUNCTION("""COMPUTED_VALUE"""),"Tayseer Almattar")</f>
        <v>Tayseer Almattar</v>
      </c>
      <c r="G285" t="str">
        <f>IFERROR(__xludf.DUMMYFUNCTION("""COMPUTED_VALUE"""),"Instructor Request- Opted Out")</f>
        <v>Instructor Request- Opted Out</v>
      </c>
      <c r="H285" s="142" t="str">
        <f>IFERROR(__xludf.DUMMYFUNCTION("""COMPUTED_VALUE"""),"Design")</f>
        <v>Design</v>
      </c>
      <c r="I285" s="140" t="str">
        <f>IFERROR(__xludf.DUMMYFUNCTION("""COMPUTED_VALUE"""),"Design Tools")</f>
        <v>Design Tools</v>
      </c>
      <c r="K285" s="140" t="str">
        <f>IFERROR(__xludf.DUMMYFUNCTION("""COMPUTED_VALUE"""),"")</f>
        <v/>
      </c>
      <c r="M285" s="140" t="str">
        <f>IFERROR(__xludf.DUMMYFUNCTION("""COMPUTED_VALUE"""),"")</f>
        <v/>
      </c>
      <c r="N285" s="140" t="str">
        <f>IFERROR(__xludf.DUMMYFUNCTION("""COMPUTED_VALUE"""),"No Alternatives in Collection- 06/23")</f>
        <v>No Alternatives in Collection- 06/23</v>
      </c>
    </row>
    <row r="286">
      <c r="A286" s="141">
        <f>IFERROR(__xludf.DUMMYFUNCTION("""COMPUTED_VALUE"""),44046.0)</f>
        <v>44046</v>
      </c>
      <c r="B286">
        <f>IFERROR(__xludf.DUMMYFUNCTION("""COMPUTED_VALUE"""),472114.0)</f>
        <v>472114</v>
      </c>
      <c r="C286" s="140" t="str">
        <f>IFERROR(__xludf.DUMMYFUNCTION("""COMPUTED_VALUE"""),"EN")</f>
        <v>EN</v>
      </c>
      <c r="D286" s="140" t="str">
        <f>IFERROR(__xludf.DUMMYFUNCTION("""COMPUTED_VALUE"""),"Learn to draw fashion with Adobe Illustrator CC - Beginners")</f>
        <v>Learn to draw fashion with Adobe Illustrator CC - Beginners</v>
      </c>
      <c r="F286" t="str">
        <f>IFERROR(__xludf.DUMMYFUNCTION("""COMPUTED_VALUE"""),"Jo Hughes")</f>
        <v>Jo Hughes</v>
      </c>
      <c r="G286" t="str">
        <f>IFERROR(__xludf.DUMMYFUNCTION("""COMPUTED_VALUE"""),"Instructor Request- Opted Out")</f>
        <v>Instructor Request- Opted Out</v>
      </c>
      <c r="H286" s="142" t="str">
        <f>IFERROR(__xludf.DUMMYFUNCTION("""COMPUTED_VALUE"""),"Design")</f>
        <v>Design</v>
      </c>
      <c r="I286" s="140" t="str">
        <f>IFERROR(__xludf.DUMMYFUNCTION("""COMPUTED_VALUE"""),"Graphic Design")</f>
        <v>Graphic Design</v>
      </c>
      <c r="J286" s="140">
        <f>IFERROR(__xludf.DUMMYFUNCTION("""COMPUTED_VALUE"""),1514258.0)</f>
        <v>1514258</v>
      </c>
      <c r="K286" s="140" t="str">
        <f>IFERROR(__xludf.DUMMYFUNCTION("""COMPUTED_VALUE"""),"Adobe Illustrator CC - Essentials Training Course")</f>
        <v>Adobe Illustrator CC - Essentials Training Course</v>
      </c>
      <c r="M286" s="140" t="str">
        <f>IFERROR(__xludf.DUMMYFUNCTION("""COMPUTED_VALUE"""),"")</f>
        <v/>
      </c>
    </row>
    <row r="287">
      <c r="A287" s="141">
        <f>IFERROR(__xludf.DUMMYFUNCTION("""COMPUTED_VALUE"""),44046.0)</f>
        <v>44046</v>
      </c>
      <c r="B287">
        <f>IFERROR(__xludf.DUMMYFUNCTION("""COMPUTED_VALUE"""),570716.0)</f>
        <v>570716</v>
      </c>
      <c r="C287" s="140" t="str">
        <f>IFERROR(__xludf.DUMMYFUNCTION("""COMPUTED_VALUE"""),"EN")</f>
        <v>EN</v>
      </c>
      <c r="D287" s="140" t="str">
        <f>IFERROR(__xludf.DUMMYFUNCTION("""COMPUTED_VALUE"""),"Learn to draw fashion with Adobe Illustrator CC Intermediate")</f>
        <v>Learn to draw fashion with Adobe Illustrator CC Intermediate</v>
      </c>
      <c r="F287" t="str">
        <f>IFERROR(__xludf.DUMMYFUNCTION("""COMPUTED_VALUE"""),"Jo Hughes")</f>
        <v>Jo Hughes</v>
      </c>
      <c r="G287" t="str">
        <f>IFERROR(__xludf.DUMMYFUNCTION("""COMPUTED_VALUE"""),"Instructor Request- Opted Out")</f>
        <v>Instructor Request- Opted Out</v>
      </c>
      <c r="H287" s="142" t="str">
        <f>IFERROR(__xludf.DUMMYFUNCTION("""COMPUTED_VALUE"""),"Personal Development")</f>
        <v>Personal Development</v>
      </c>
      <c r="I287" s="140" t="str">
        <f>IFERROR(__xludf.DUMMYFUNCTION("""COMPUTED_VALUE"""),"Arts &amp; Creativity")</f>
        <v>Arts &amp; Creativity</v>
      </c>
      <c r="K287" s="140" t="str">
        <f>IFERROR(__xludf.DUMMYFUNCTION("""COMPUTED_VALUE"""),"")</f>
        <v/>
      </c>
      <c r="M287" s="140" t="str">
        <f>IFERROR(__xludf.DUMMYFUNCTION("""COMPUTED_VALUE"""),"")</f>
        <v/>
      </c>
      <c r="N287" s="140" t="str">
        <f>IFERROR(__xludf.DUMMYFUNCTION("""COMPUTED_VALUE"""),"No Alternatives in Collection- 06/23")</f>
        <v>No Alternatives in Collection- 06/23</v>
      </c>
    </row>
    <row r="288">
      <c r="A288" s="141">
        <f>IFERROR(__xludf.DUMMYFUNCTION("""COMPUTED_VALUE"""),44046.0)</f>
        <v>44046</v>
      </c>
      <c r="B288">
        <f>IFERROR(__xludf.DUMMYFUNCTION("""COMPUTED_VALUE"""),1241148.0)</f>
        <v>1241148</v>
      </c>
      <c r="C288" s="140" t="str">
        <f>IFERROR(__xludf.DUMMYFUNCTION("""COMPUTED_VALUE"""),"EN")</f>
        <v>EN</v>
      </c>
      <c r="D288" s="140" t="str">
        <f>IFERROR(__xludf.DUMMYFUNCTION("""COMPUTED_VALUE"""),"Understanding CouchDB : Learn Basic &amp; Advanced NoSQL Skills")</f>
        <v>Understanding CouchDB : Learn Basic &amp; Advanced NoSQL Skills</v>
      </c>
      <c r="F288" t="str">
        <f>IFERROR(__xludf.DUMMYFUNCTION("""COMPUTED_VALUE"""),"Gregory (Mad Pink) Miller")</f>
        <v>Gregory (Mad Pink) Miller</v>
      </c>
      <c r="G288" t="str">
        <f>IFERROR(__xludf.DUMMYFUNCTION("""COMPUTED_VALUE"""),"Instructor Request- Opted Out")</f>
        <v>Instructor Request- Opted Out</v>
      </c>
      <c r="H288" s="142" t="str">
        <f>IFERROR(__xludf.DUMMYFUNCTION("""COMPUTED_VALUE"""),"Data Science")</f>
        <v>Data Science</v>
      </c>
      <c r="I288" s="140" t="str">
        <f>IFERROR(__xludf.DUMMYFUNCTION("""COMPUTED_VALUE"""),"Big Data")</f>
        <v>Big Data</v>
      </c>
      <c r="K288" s="140" t="str">
        <f>IFERROR(__xludf.DUMMYFUNCTION("""COMPUTED_VALUE"""),"")</f>
        <v/>
      </c>
      <c r="M288" s="140" t="str">
        <f>IFERROR(__xludf.DUMMYFUNCTION("""COMPUTED_VALUE"""),"")</f>
        <v/>
      </c>
      <c r="N288" s="140" t="str">
        <f>IFERROR(__xludf.DUMMYFUNCTION("""COMPUTED_VALUE"""),"No Alternatives in Collection- 06/23")</f>
        <v>No Alternatives in Collection- 06/23</v>
      </c>
    </row>
    <row r="289">
      <c r="A289" s="141">
        <f>IFERROR(__xludf.DUMMYFUNCTION("""COMPUTED_VALUE"""),44046.0)</f>
        <v>44046</v>
      </c>
      <c r="B289">
        <f>IFERROR(__xludf.DUMMYFUNCTION("""COMPUTED_VALUE"""),1702848.0)</f>
        <v>1702848</v>
      </c>
      <c r="C289" s="140" t="str">
        <f>IFERROR(__xludf.DUMMYFUNCTION("""COMPUTED_VALUE"""),"EN")</f>
        <v>EN</v>
      </c>
      <c r="D289" s="140" t="str">
        <f>IFERROR(__xludf.DUMMYFUNCTION("""COMPUTED_VALUE"""),"Certified Blockchain Solution Architect (CBSA) Practice Exam")</f>
        <v>Certified Blockchain Solution Architect (CBSA) Practice Exam</v>
      </c>
      <c r="F289" t="str">
        <f>IFERROR(__xludf.DUMMYFUNCTION("""COMPUTED_VALUE"""),"Joseph Holbrook (The Cloud Tech Guy)")</f>
        <v>Joseph Holbrook (The Cloud Tech Guy)</v>
      </c>
      <c r="G289" t="str">
        <f>IFERROR(__xludf.DUMMYFUNCTION("""COMPUTED_VALUE"""),"Instructor Request- Revenue")</f>
        <v>Instructor Request- Revenue</v>
      </c>
      <c r="H289" s="142" t="str">
        <f>IFERROR(__xludf.DUMMYFUNCTION("""COMPUTED_VALUE"""),"IT Operations")</f>
        <v>IT Operations</v>
      </c>
      <c r="I289" s="140" t="str">
        <f>IFERROR(__xludf.DUMMYFUNCTION("""COMPUTED_VALUE"""),"IT Certifications")</f>
        <v>IT Certifications</v>
      </c>
      <c r="K289" s="140" t="str">
        <f>IFERROR(__xludf.DUMMYFUNCTION("""COMPUTED_VALUE"""),"")</f>
        <v/>
      </c>
      <c r="M289" s="140" t="str">
        <f>IFERROR(__xludf.DUMMYFUNCTION("""COMPUTED_VALUE"""),"")</f>
        <v/>
      </c>
      <c r="N289" s="140" t="str">
        <f>IFERROR(__xludf.DUMMYFUNCTION("""COMPUTED_VALUE"""),"No Alternatives in Collection- 06/23")</f>
        <v>No Alternatives in Collection- 06/23</v>
      </c>
    </row>
    <row r="290">
      <c r="A290" s="141">
        <f>IFERROR(__xludf.DUMMYFUNCTION("""COMPUTED_VALUE"""),44046.0)</f>
        <v>44046</v>
      </c>
      <c r="B290">
        <f>IFERROR(__xludf.DUMMYFUNCTION("""COMPUTED_VALUE"""),1934944.0)</f>
        <v>1934944</v>
      </c>
      <c r="C290" s="140" t="str">
        <f>IFERROR(__xludf.DUMMYFUNCTION("""COMPUTED_VALUE"""),"EN")</f>
        <v>EN</v>
      </c>
      <c r="D290" s="140" t="str">
        <f>IFERROR(__xludf.DUMMYFUNCTION("""COMPUTED_VALUE"""),"Digital Painting | Powerful Fundamentals for New Artists")</f>
        <v>Digital Painting | Powerful Fundamentals for New Artists</v>
      </c>
      <c r="F290" t="str">
        <f>IFERROR(__xludf.DUMMYFUNCTION("""COMPUTED_VALUE"""),"[ School of Game Design ]")</f>
        <v>[ School of Game Design ]</v>
      </c>
      <c r="G290" t="str">
        <f>IFERROR(__xludf.DUMMYFUNCTION("""COMPUTED_VALUE"""),"Instructor Request- No Detail")</f>
        <v>Instructor Request- No Detail</v>
      </c>
      <c r="H290" s="142" t="str">
        <f>IFERROR(__xludf.DUMMYFUNCTION("""COMPUTED_VALUE"""),"Design")</f>
        <v>Design</v>
      </c>
      <c r="I290" s="140" t="str">
        <f>IFERROR(__xludf.DUMMYFUNCTION("""COMPUTED_VALUE"""),"Game Design")</f>
        <v>Game Design</v>
      </c>
      <c r="J290" s="140">
        <f>IFERROR(__xludf.DUMMYFUNCTION("""COMPUTED_VALUE"""),1458304.0)</f>
        <v>1458304</v>
      </c>
      <c r="K290" s="140" t="str">
        <f>IFERROR(__xludf.DUMMYFUNCTION("""COMPUTED_VALUE"""),"The Digital Painting MEGA Course: Beginner to Advanced")</f>
        <v>The Digital Painting MEGA Course: Beginner to Advanced</v>
      </c>
      <c r="M290" s="140" t="str">
        <f>IFERROR(__xludf.DUMMYFUNCTION("""COMPUTED_VALUE"""),"")</f>
        <v/>
      </c>
    </row>
    <row r="291">
      <c r="A291" s="141">
        <f>IFERROR(__xludf.DUMMYFUNCTION("""COMPUTED_VALUE"""),44046.0)</f>
        <v>44046</v>
      </c>
      <c r="B291">
        <f>IFERROR(__xludf.DUMMYFUNCTION("""COMPUTED_VALUE"""),725564.0)</f>
        <v>725564</v>
      </c>
      <c r="C291" s="140" t="str">
        <f>IFERROR(__xludf.DUMMYFUNCTION("""COMPUTED_VALUE"""),"DE")</f>
        <v>DE</v>
      </c>
      <c r="D291" s="140" t="str">
        <f>IFERROR(__xludf.DUMMYFUNCTION("""COMPUTED_VALUE"""),"Projektmanagement: Risiken erkennen und beherrschen")</f>
        <v>Projektmanagement: Risiken erkennen und beherrschen</v>
      </c>
      <c r="E291" t="str">
        <f>IFERROR(__xludf.DUMMYFUNCTION("""COMPUTED_VALUE"""),"Project Management: Identifying and controlling risks")</f>
        <v>Project Management: Identifying and controlling risks</v>
      </c>
      <c r="F291" t="str">
        <f>IFERROR(__xludf.DUMMYFUNCTION("""COMPUTED_VALUE"""),"Andreas Kara")</f>
        <v>Andreas Kara</v>
      </c>
      <c r="G291" t="str">
        <f>IFERROR(__xludf.DUMMYFUNCTION("""COMPUTED_VALUE"""),"Instructor Request- Opted Out")</f>
        <v>Instructor Request- Opted Out</v>
      </c>
      <c r="H291" s="142" t="str">
        <f>IFERROR(__xludf.DUMMYFUNCTION("""COMPUTED_VALUE"""),"Project Management &amp; Operations")</f>
        <v>Project Management &amp; Operations</v>
      </c>
      <c r="I291" s="140" t="str">
        <f>IFERROR(__xludf.DUMMYFUNCTION("""COMPUTED_VALUE"""),"Project Management Fundamentals")</f>
        <v>Project Management Fundamentals</v>
      </c>
      <c r="K291" s="140" t="str">
        <f>IFERROR(__xludf.DUMMYFUNCTION("""COMPUTED_VALUE"""),"")</f>
        <v/>
      </c>
      <c r="M291" s="140" t="str">
        <f>IFERROR(__xludf.DUMMYFUNCTION("""COMPUTED_VALUE"""),"")</f>
        <v/>
      </c>
      <c r="N291" s="140" t="str">
        <f>IFERROR(__xludf.DUMMYFUNCTION("""COMPUTED_VALUE"""),"No Alternatives in Collection- 7/29/2020")</f>
        <v>No Alternatives in Collection- 7/29/2020</v>
      </c>
    </row>
    <row r="292">
      <c r="A292" s="141">
        <f>IFERROR(__xludf.DUMMYFUNCTION("""COMPUTED_VALUE"""),44046.0)</f>
        <v>44046</v>
      </c>
      <c r="B292">
        <f>IFERROR(__xludf.DUMMYFUNCTION("""COMPUTED_VALUE"""),973770.0)</f>
        <v>973770</v>
      </c>
      <c r="C292" s="140" t="str">
        <f>IFERROR(__xludf.DUMMYFUNCTION("""COMPUTED_VALUE"""),"DE")</f>
        <v>DE</v>
      </c>
      <c r="D292" s="140" t="str">
        <f>IFERROR(__xludf.DUMMYFUNCTION("""COMPUTED_VALUE"""),"Audio für Video &amp; Screencast➤ Richtig Aufnehmen &amp; Bearbeiten")</f>
        <v>Audio für Video &amp; Screencast➤ Richtig Aufnehmen &amp; Bearbeiten</v>
      </c>
      <c r="E292" t="str">
        <f>IFERROR(__xludf.DUMMYFUNCTION("""COMPUTED_VALUE"""),"Audio for Video &amp; Screencast➤ Correct Recording &amp; Editing")</f>
        <v>Audio for Video &amp; Screencast➤ Correct Recording &amp; Editing</v>
      </c>
      <c r="F292" t="str">
        <f>IFERROR(__xludf.DUMMYFUNCTION("""COMPUTED_VALUE"""),"René Steiner")</f>
        <v>René Steiner</v>
      </c>
      <c r="G292" t="str">
        <f>IFERROR(__xludf.DUMMYFUNCTION("""COMPUTED_VALUE"""),"Instructor Request- Opted Out")</f>
        <v>Instructor Request- Opted Out</v>
      </c>
      <c r="H292" s="142" t="str">
        <f>IFERROR(__xludf.DUMMYFUNCTION("""COMPUTED_VALUE"""),"Personal Development")</f>
        <v>Personal Development</v>
      </c>
      <c r="I292" s="140" t="str">
        <f>IFERROR(__xludf.DUMMYFUNCTION("""COMPUTED_VALUE"""),"Arts &amp; Creativity")</f>
        <v>Arts &amp; Creativity</v>
      </c>
      <c r="K292" s="140" t="str">
        <f>IFERROR(__xludf.DUMMYFUNCTION("""COMPUTED_VALUE"""),"")</f>
        <v/>
      </c>
      <c r="M292" s="140" t="str">
        <f>IFERROR(__xludf.DUMMYFUNCTION("""COMPUTED_VALUE"""),"")</f>
        <v/>
      </c>
      <c r="N292" s="140" t="str">
        <f>IFERROR(__xludf.DUMMYFUNCTION("""COMPUTED_VALUE"""),"No Alternatives in Collection- 7/29/2020")</f>
        <v>No Alternatives in Collection- 7/29/2020</v>
      </c>
    </row>
    <row r="293">
      <c r="A293" s="141">
        <f>IFERROR(__xludf.DUMMYFUNCTION("""COMPUTED_VALUE"""),44046.0)</f>
        <v>44046</v>
      </c>
      <c r="B293">
        <f>IFERROR(__xludf.DUMMYFUNCTION("""COMPUTED_VALUE"""),1818150.0)</f>
        <v>1818150</v>
      </c>
      <c r="C293" s="140" t="str">
        <f>IFERROR(__xludf.DUMMYFUNCTION("""COMPUTED_VALUE"""),"PT")</f>
        <v>PT</v>
      </c>
      <c r="D293" s="140" t="str">
        <f>IFERROR(__xludf.DUMMYFUNCTION("""COMPUTED_VALUE"""),"MCSA Windows Server 2016 – Exame 70 740")</f>
        <v>MCSA Windows Server 2016 – Exame 70 740</v>
      </c>
      <c r="E293" t="str">
        <f>IFERROR(__xludf.DUMMYFUNCTION("""COMPUTED_VALUE"""),"MCSA Windows Server 2016 - Exam 70 740")</f>
        <v>MCSA Windows Server 2016 - Exam 70 740</v>
      </c>
      <c r="F293" t="str">
        <f>IFERROR(__xludf.DUMMYFUNCTION("""COMPUTED_VALUE"""),"Inaldo Lopes")</f>
        <v>Inaldo Lopes</v>
      </c>
      <c r="G293" t="str">
        <f>IFERROR(__xludf.DUMMYFUNCTION("""COMPUTED_VALUE"""),"Instructor Request- Opted Out")</f>
        <v>Instructor Request- Opted Out</v>
      </c>
      <c r="H293" s="142" t="str">
        <f>IFERROR(__xludf.DUMMYFUNCTION("""COMPUTED_VALUE"""),"IT Operations")</f>
        <v>IT Operations</v>
      </c>
      <c r="I293" s="140" t="str">
        <f>IFERROR(__xludf.DUMMYFUNCTION("""COMPUTED_VALUE"""),"IT Certifications")</f>
        <v>IT Certifications</v>
      </c>
      <c r="K293" s="140" t="str">
        <f>IFERROR(__xludf.DUMMYFUNCTION("""COMPUTED_VALUE"""),"")</f>
        <v/>
      </c>
      <c r="M293" s="140" t="str">
        <f>IFERROR(__xludf.DUMMYFUNCTION("""COMPUTED_VALUE"""),"")</f>
        <v/>
      </c>
      <c r="N293" s="140" t="str">
        <f>IFERROR(__xludf.DUMMYFUNCTION("""COMPUTED_VALUE"""),"No Alternatives in Collection- 7/29/2020")</f>
        <v>No Alternatives in Collection- 7/29/2020</v>
      </c>
    </row>
    <row r="294">
      <c r="A294" s="141">
        <f>IFERROR(__xludf.DUMMYFUNCTION("""COMPUTED_VALUE"""),44046.0)</f>
        <v>44046</v>
      </c>
      <c r="B294">
        <f>IFERROR(__xludf.DUMMYFUNCTION("""COMPUTED_VALUE"""),1948506.0)</f>
        <v>1948506</v>
      </c>
      <c r="C294" s="140" t="str">
        <f>IFERROR(__xludf.DUMMYFUNCTION("""COMPUTED_VALUE"""),"PT")</f>
        <v>PT</v>
      </c>
      <c r="D294" s="140" t="str">
        <f>IFERROR(__xludf.DUMMYFUNCTION("""COMPUTED_VALUE"""),"MCSA Windows Server 2016 – Exame 70 741")</f>
        <v>MCSA Windows Server 2016 – Exame 70 741</v>
      </c>
      <c r="E294" t="str">
        <f>IFERROR(__xludf.DUMMYFUNCTION("""COMPUTED_VALUE"""),"MCSA Windows Server 2016 - Exam 70 741")</f>
        <v>MCSA Windows Server 2016 - Exam 70 741</v>
      </c>
      <c r="F294" t="str">
        <f>IFERROR(__xludf.DUMMYFUNCTION("""COMPUTED_VALUE"""),"Inaldo Lopes")</f>
        <v>Inaldo Lopes</v>
      </c>
      <c r="G294" t="str">
        <f>IFERROR(__xludf.DUMMYFUNCTION("""COMPUTED_VALUE"""),"Instructor Request- Opted Out")</f>
        <v>Instructor Request- Opted Out</v>
      </c>
      <c r="H294" s="142" t="str">
        <f>IFERROR(__xludf.DUMMYFUNCTION("""COMPUTED_VALUE"""),"IT Operations")</f>
        <v>IT Operations</v>
      </c>
      <c r="I294" s="140" t="str">
        <f>IFERROR(__xludf.DUMMYFUNCTION("""COMPUTED_VALUE"""),"IT Certifications")</f>
        <v>IT Certifications</v>
      </c>
      <c r="K294" s="140" t="str">
        <f>IFERROR(__xludf.DUMMYFUNCTION("""COMPUTED_VALUE"""),"")</f>
        <v/>
      </c>
      <c r="M294" s="140" t="str">
        <f>IFERROR(__xludf.DUMMYFUNCTION("""COMPUTED_VALUE"""),"")</f>
        <v/>
      </c>
      <c r="N294" s="140" t="str">
        <f>IFERROR(__xludf.DUMMYFUNCTION("""COMPUTED_VALUE"""),"No Alternatives in Collection- 7/29/2020")</f>
        <v>No Alternatives in Collection- 7/29/2020</v>
      </c>
    </row>
    <row r="295">
      <c r="A295" s="141">
        <f>IFERROR(__xludf.DUMMYFUNCTION("""COMPUTED_VALUE"""),44046.0)</f>
        <v>44046</v>
      </c>
      <c r="B295">
        <f>IFERROR(__xludf.DUMMYFUNCTION("""COMPUTED_VALUE"""),2036318.0)</f>
        <v>2036318</v>
      </c>
      <c r="C295" s="140" t="str">
        <f>IFERROR(__xludf.DUMMYFUNCTION("""COMPUTED_VALUE"""),"PT")</f>
        <v>PT</v>
      </c>
      <c r="D295" s="140" t="str">
        <f>IFERROR(__xludf.DUMMYFUNCTION("""COMPUTED_VALUE"""),"MCSA Windows Server 2016 – Exame 70 742")</f>
        <v>MCSA Windows Server 2016 – Exame 70 742</v>
      </c>
      <c r="E295" t="str">
        <f>IFERROR(__xludf.DUMMYFUNCTION("""COMPUTED_VALUE"""),"MCSA Windows Server 2016 - Exam 70 742")</f>
        <v>MCSA Windows Server 2016 - Exam 70 742</v>
      </c>
      <c r="F295" t="str">
        <f>IFERROR(__xludf.DUMMYFUNCTION("""COMPUTED_VALUE"""),"Inaldo Lopes")</f>
        <v>Inaldo Lopes</v>
      </c>
      <c r="G295" t="str">
        <f>IFERROR(__xludf.DUMMYFUNCTION("""COMPUTED_VALUE"""),"Instructor Request- Opted Out")</f>
        <v>Instructor Request- Opted Out</v>
      </c>
      <c r="H295" s="142" t="str">
        <f>IFERROR(__xludf.DUMMYFUNCTION("""COMPUTED_VALUE"""),"IT Operations")</f>
        <v>IT Operations</v>
      </c>
      <c r="I295" s="140" t="str">
        <f>IFERROR(__xludf.DUMMYFUNCTION("""COMPUTED_VALUE"""),"IT Certifications")</f>
        <v>IT Certifications</v>
      </c>
      <c r="K295" s="140" t="str">
        <f>IFERROR(__xludf.DUMMYFUNCTION("""COMPUTED_VALUE"""),"")</f>
        <v/>
      </c>
      <c r="M295" s="140" t="str">
        <f>IFERROR(__xludf.DUMMYFUNCTION("""COMPUTED_VALUE"""),"")</f>
        <v/>
      </c>
      <c r="N295" s="140" t="str">
        <f>IFERROR(__xludf.DUMMYFUNCTION("""COMPUTED_VALUE"""),"No Alternatives in Collection- 7/29/2020")</f>
        <v>No Alternatives in Collection- 7/29/2020</v>
      </c>
    </row>
    <row r="296">
      <c r="A296" s="141">
        <f>IFERROR(__xludf.DUMMYFUNCTION("""COMPUTED_VALUE"""),44046.0)</f>
        <v>44046</v>
      </c>
      <c r="B296">
        <f>IFERROR(__xludf.DUMMYFUNCTION("""COMPUTED_VALUE"""),2242558.0)</f>
        <v>2242558</v>
      </c>
      <c r="C296" s="140" t="str">
        <f>IFERROR(__xludf.DUMMYFUNCTION("""COMPUTED_VALUE"""),"PT")</f>
        <v>PT</v>
      </c>
      <c r="D296" s="140" t="str">
        <f>IFERROR(__xludf.DUMMYFUNCTION("""COMPUTED_VALUE"""),"Windows 10 – Modern Desktop Administrator Associate MD-100")</f>
        <v>Windows 10 – Modern Desktop Administrator Associate MD-100</v>
      </c>
      <c r="E296" t="str">
        <f>IFERROR(__xludf.DUMMYFUNCTION("""COMPUTED_VALUE"""),"Windows 10 – Modern Desktop Administrator Associate MD-100")</f>
        <v>Windows 10 – Modern Desktop Administrator Associate MD-100</v>
      </c>
      <c r="F296" t="str">
        <f>IFERROR(__xludf.DUMMYFUNCTION("""COMPUTED_VALUE"""),"Inaldo Lopes")</f>
        <v>Inaldo Lopes</v>
      </c>
      <c r="G296" t="str">
        <f>IFERROR(__xludf.DUMMYFUNCTION("""COMPUTED_VALUE"""),"Instructor Request- Opted Out")</f>
        <v>Instructor Request- Opted Out</v>
      </c>
      <c r="H296" s="142" t="str">
        <f>IFERROR(__xludf.DUMMYFUNCTION("""COMPUTED_VALUE"""),"IT Operations")</f>
        <v>IT Operations</v>
      </c>
      <c r="I296" s="140" t="str">
        <f>IFERROR(__xludf.DUMMYFUNCTION("""COMPUTED_VALUE"""),"IT Certifications")</f>
        <v>IT Certifications</v>
      </c>
      <c r="K296" s="140" t="str">
        <f>IFERROR(__xludf.DUMMYFUNCTION("""COMPUTED_VALUE"""),"")</f>
        <v/>
      </c>
      <c r="M296" s="140" t="str">
        <f>IFERROR(__xludf.DUMMYFUNCTION("""COMPUTED_VALUE"""),"")</f>
        <v/>
      </c>
      <c r="N296" s="140" t="str">
        <f>IFERROR(__xludf.DUMMYFUNCTION("""COMPUTED_VALUE"""),"No Alternatives in Collection- 7/29/2020")</f>
        <v>No Alternatives in Collection- 7/29/2020</v>
      </c>
    </row>
    <row r="297">
      <c r="A297" s="141">
        <f>IFERROR(__xludf.DUMMYFUNCTION("""COMPUTED_VALUE"""),44046.0)</f>
        <v>44046</v>
      </c>
      <c r="B297">
        <f>IFERROR(__xludf.DUMMYFUNCTION("""COMPUTED_VALUE"""),2280042.0)</f>
        <v>2280042</v>
      </c>
      <c r="C297" s="140" t="str">
        <f>IFERROR(__xludf.DUMMYFUNCTION("""COMPUTED_VALUE"""),"EN")</f>
        <v>EN</v>
      </c>
      <c r="D297" s="140" t="str">
        <f>IFERROR(__xludf.DUMMYFUNCTION("""COMPUTED_VALUE"""),"Accelerated Spring Boot With MongoDB")</f>
        <v>Accelerated Spring Boot With MongoDB</v>
      </c>
      <c r="F297" t="str">
        <f>IFERROR(__xludf.DUMMYFUNCTION("""COMPUTED_VALUE"""),"Romanian Coder")</f>
        <v>Romanian Coder</v>
      </c>
      <c r="G297" t="str">
        <f>IFERROR(__xludf.DUMMYFUNCTION("""COMPUTED_VALUE"""),"Instructor Request- Opted Out")</f>
        <v>Instructor Request- Opted Out</v>
      </c>
      <c r="H297" s="142" t="str">
        <f>IFERROR(__xludf.DUMMYFUNCTION("""COMPUTED_VALUE"""),"Development")</f>
        <v>Development</v>
      </c>
      <c r="I297" s="140" t="str">
        <f>IFERROR(__xludf.DUMMYFUNCTION("""COMPUTED_VALUE"""),"Web Development")</f>
        <v>Web Development</v>
      </c>
      <c r="J297" s="140">
        <f>IFERROR(__xludf.DUMMYFUNCTION("""COMPUTED_VALUE"""),1217894.0)</f>
        <v>1217894</v>
      </c>
      <c r="K297" s="140" t="str">
        <f>IFERROR(__xludf.DUMMYFUNCTION("""COMPUTED_VALUE"""),"Spring Framework 5: Beginner to Guru")</f>
        <v>Spring Framework 5: Beginner to Guru</v>
      </c>
      <c r="M297" s="140" t="str">
        <f>IFERROR(__xludf.DUMMYFUNCTION("""COMPUTED_VALUE"""),"")</f>
        <v/>
      </c>
    </row>
    <row r="298">
      <c r="A298" s="141">
        <f>IFERROR(__xludf.DUMMYFUNCTION("""COMPUTED_VALUE"""),44046.0)</f>
        <v>44046</v>
      </c>
      <c r="B298">
        <f>IFERROR(__xludf.DUMMYFUNCTION("""COMPUTED_VALUE"""),1068594.0)</f>
        <v>1068594</v>
      </c>
      <c r="C298" s="140" t="str">
        <f>IFERROR(__xludf.DUMMYFUNCTION("""COMPUTED_VALUE"""),"DE")</f>
        <v>DE</v>
      </c>
      <c r="D298" s="140" t="str">
        <f>IFERROR(__xludf.DUMMYFUNCTION("""COMPUTED_VALUE"""),"Backlink Kurs - Der Ranking-Boost für deine Webseite!")</f>
        <v>Backlink Kurs - Der Ranking-Boost für deine Webseite!</v>
      </c>
      <c r="E298" t="str">
        <f>IFERROR(__xludf.DUMMYFUNCTION("""COMPUTED_VALUE"""),"Backlink Course - The ranking boost for website!")</f>
        <v>Backlink Course - The ranking boost for website!</v>
      </c>
      <c r="F298" t="str">
        <f>IFERROR(__xludf.DUMMYFUNCTION("""COMPUTED_VALUE"""),"Toni Frisch")</f>
        <v>Toni Frisch</v>
      </c>
      <c r="G298" t="str">
        <f>IFERROR(__xludf.DUMMYFUNCTION("""COMPUTED_VALUE"""),"Instructor Request- Opted Out")</f>
        <v>Instructor Request- Opted Out</v>
      </c>
      <c r="H298" s="142" t="str">
        <f>IFERROR(__xludf.DUMMYFUNCTION("""COMPUTED_VALUE"""),"Development")</f>
        <v>Development</v>
      </c>
      <c r="I298" s="140" t="str">
        <f>IFERROR(__xludf.DUMMYFUNCTION("""COMPUTED_VALUE"""),"Web Development")</f>
        <v>Web Development</v>
      </c>
      <c r="J298" s="140">
        <f>IFERROR(__xludf.DUMMYFUNCTION("""COMPUTED_VALUE"""),1590552.0)</f>
        <v>1590552</v>
      </c>
      <c r="K298" s="140" t="str">
        <f>IFERROR(__xludf.DUMMYFUNCTION("""COMPUTED_VALUE"""),"SEO &amp; Content Marketing - Mit System zum Ranking-Erfolg")</f>
        <v>SEO &amp; Content Marketing - Mit System zum Ranking-Erfolg</v>
      </c>
      <c r="M298" s="140" t="str">
        <f>IFERROR(__xludf.DUMMYFUNCTION("""COMPUTED_VALUE"""),"")</f>
        <v/>
      </c>
    </row>
    <row r="299">
      <c r="A299" s="141">
        <f>IFERROR(__xludf.DUMMYFUNCTION("""COMPUTED_VALUE"""),44046.0)</f>
        <v>44046</v>
      </c>
      <c r="B299">
        <f>IFERROR(__xludf.DUMMYFUNCTION("""COMPUTED_VALUE"""),1223416.0)</f>
        <v>1223416</v>
      </c>
      <c r="C299" s="140" t="str">
        <f>IFERROR(__xludf.DUMMYFUNCTION("""COMPUTED_VALUE"""),"DE")</f>
        <v>DE</v>
      </c>
      <c r="D299" s="140" t="str">
        <f>IFERROR(__xludf.DUMMYFUNCTION("""COMPUTED_VALUE"""),"Email Marketing mit MailChimp erfolgreich meistern")</f>
        <v>Email Marketing mit MailChimp erfolgreich meistern</v>
      </c>
      <c r="E299" t="str">
        <f>IFERROR(__xludf.DUMMYFUNCTION("""COMPUTED_VALUE"""),"Mastering Email Marketing with MailChimp")</f>
        <v>Mastering Email Marketing with MailChimp</v>
      </c>
      <c r="F299" t="str">
        <f>IFERROR(__xludf.DUMMYFUNCTION("""COMPUTED_VALUE"""),"Toni Frisch")</f>
        <v>Toni Frisch</v>
      </c>
      <c r="G299" t="str">
        <f>IFERROR(__xludf.DUMMYFUNCTION("""COMPUTED_VALUE"""),"Instructor Request- Opted Out")</f>
        <v>Instructor Request- Opted Out</v>
      </c>
      <c r="H299" s="142" t="str">
        <f>IFERROR(__xludf.DUMMYFUNCTION("""COMPUTED_VALUE"""),"Marketing")</f>
        <v>Marketing</v>
      </c>
      <c r="I299" s="140" t="str">
        <f>IFERROR(__xludf.DUMMYFUNCTION("""COMPUTED_VALUE"""),"Content Marketing")</f>
        <v>Content Marketing</v>
      </c>
      <c r="J299" s="140">
        <f>IFERROR(__xludf.DUMMYFUNCTION("""COMPUTED_VALUE"""),1496004.0)</f>
        <v>1496004</v>
      </c>
      <c r="K299" s="140" t="str">
        <f>IFERROR(__xludf.DUMMYFUNCTION("""COMPUTED_VALUE"""),"Die Digital Marketing Masterclass: Lerne alles von A-Z")</f>
        <v>Die Digital Marketing Masterclass: Lerne alles von A-Z</v>
      </c>
      <c r="M299" s="140" t="str">
        <f>IFERROR(__xludf.DUMMYFUNCTION("""COMPUTED_VALUE"""),"")</f>
        <v/>
      </c>
    </row>
    <row r="300">
      <c r="A300" s="141">
        <f>IFERROR(__xludf.DUMMYFUNCTION("""COMPUTED_VALUE"""),44046.0)</f>
        <v>44046</v>
      </c>
      <c r="B300">
        <f>IFERROR(__xludf.DUMMYFUNCTION("""COMPUTED_VALUE"""),1258806.0)</f>
        <v>1258806</v>
      </c>
      <c r="C300" s="140" t="str">
        <f>IFERROR(__xludf.DUMMYFUNCTION("""COMPUTED_VALUE"""),"DE")</f>
        <v>DE</v>
      </c>
      <c r="D300" s="140" t="str">
        <f>IFERROR(__xludf.DUMMYFUNCTION("""COMPUTED_VALUE"""),"Der ultimative Instagram-Kurs 2020: Endlich mehr Follower!")</f>
        <v>Der ultimative Instagram-Kurs 2020: Endlich mehr Follower!</v>
      </c>
      <c r="E300" t="str">
        <f>IFERROR(__xludf.DUMMYFUNCTION("""COMPUTED_VALUE"""),"The ultimate Instagram Course 2020: Finally more followers!")</f>
        <v>The ultimate Instagram Course 2020: Finally more followers!</v>
      </c>
      <c r="F300" t="str">
        <f>IFERROR(__xludf.DUMMYFUNCTION("""COMPUTED_VALUE"""),"Alexander Schreiner")</f>
        <v>Alexander Schreiner</v>
      </c>
      <c r="G300" t="str">
        <f>IFERROR(__xludf.DUMMYFUNCTION("""COMPUTED_VALUE"""),"Instructor Request- Opted Out")</f>
        <v>Instructor Request- Opted Out</v>
      </c>
      <c r="H300" s="142" t="str">
        <f>IFERROR(__xludf.DUMMYFUNCTION("""COMPUTED_VALUE"""),"Marketing")</f>
        <v>Marketing</v>
      </c>
      <c r="I300" s="140" t="str">
        <f>IFERROR(__xludf.DUMMYFUNCTION("""COMPUTED_VALUE"""),"Social Media Marketing")</f>
        <v>Social Media Marketing</v>
      </c>
      <c r="J300" s="140">
        <f>IFERROR(__xludf.DUMMYFUNCTION("""COMPUTED_VALUE"""),1757704.0)</f>
        <v>1757704</v>
      </c>
      <c r="K300" s="140" t="str">
        <f>IFERROR(__xludf.DUMMYFUNCTION("""COMPUTED_VALUE"""),"Die Instagram Marketing Masterclass: Lerne alles von A-Z")</f>
        <v>Die Instagram Marketing Masterclass: Lerne alles von A-Z</v>
      </c>
      <c r="M300" s="140" t="str">
        <f>IFERROR(__xludf.DUMMYFUNCTION("""COMPUTED_VALUE"""),"")</f>
        <v/>
      </c>
    </row>
    <row r="301">
      <c r="A301" s="141">
        <f>IFERROR(__xludf.DUMMYFUNCTION("""COMPUTED_VALUE"""),44046.0)</f>
        <v>44046</v>
      </c>
      <c r="B301">
        <f>IFERROR(__xludf.DUMMYFUNCTION("""COMPUTED_VALUE"""),1357048.0)</f>
        <v>1357048</v>
      </c>
      <c r="C301" s="140" t="str">
        <f>IFERROR(__xludf.DUMMYFUNCTION("""COMPUTED_VALUE"""),"DE")</f>
        <v>DE</v>
      </c>
      <c r="D301" s="140" t="str">
        <f>IFERROR(__xludf.DUMMYFUNCTION("""COMPUTED_VALUE"""),"Instagram: Mehr Follower durch die perfekte Story gewinnen!")</f>
        <v>Instagram: Mehr Follower durch die perfekte Story gewinnen!</v>
      </c>
      <c r="E301" t="str">
        <f>IFERROR(__xludf.DUMMYFUNCTION("""COMPUTED_VALUE"""),"Instagram: gain more followers by the perfect story!")</f>
        <v>Instagram: gain more followers by the perfect story!</v>
      </c>
      <c r="F301" t="str">
        <f>IFERROR(__xludf.DUMMYFUNCTION("""COMPUTED_VALUE"""),"Alexander Schreiner")</f>
        <v>Alexander Schreiner</v>
      </c>
      <c r="G301" t="str">
        <f>IFERROR(__xludf.DUMMYFUNCTION("""COMPUTED_VALUE"""),"Instructor Request- Opted Out")</f>
        <v>Instructor Request- Opted Out</v>
      </c>
      <c r="H301" s="142" t="str">
        <f>IFERROR(__xludf.DUMMYFUNCTION("""COMPUTED_VALUE"""),"Marketing")</f>
        <v>Marketing</v>
      </c>
      <c r="I301" s="140" t="str">
        <f>IFERROR(__xludf.DUMMYFUNCTION("""COMPUTED_VALUE"""),"Social Media Marketing")</f>
        <v>Social Media Marketing</v>
      </c>
      <c r="J301" s="140">
        <f>IFERROR(__xludf.DUMMYFUNCTION("""COMPUTED_VALUE"""),1757704.0)</f>
        <v>1757704</v>
      </c>
      <c r="K301" s="140" t="str">
        <f>IFERROR(__xludf.DUMMYFUNCTION("""COMPUTED_VALUE"""),"Die Instagram Marketing Masterclass: Lerne alles von A-Z")</f>
        <v>Die Instagram Marketing Masterclass: Lerne alles von A-Z</v>
      </c>
      <c r="M301" s="140" t="str">
        <f>IFERROR(__xludf.DUMMYFUNCTION("""COMPUTED_VALUE"""),"")</f>
        <v/>
      </c>
    </row>
    <row r="302">
      <c r="A302" s="141">
        <f>IFERROR(__xludf.DUMMYFUNCTION("""COMPUTED_VALUE"""),44046.0)</f>
        <v>44046</v>
      </c>
      <c r="B302">
        <f>IFERROR(__xludf.DUMMYFUNCTION("""COMPUTED_VALUE"""),1357316.0)</f>
        <v>1357316</v>
      </c>
      <c r="C302" s="140" t="str">
        <f>IFERROR(__xludf.DUMMYFUNCTION("""COMPUTED_VALUE"""),"DE")</f>
        <v>DE</v>
      </c>
      <c r="D302" s="140" t="str">
        <f>IFERROR(__xludf.DUMMYFUNCTION("""COMPUTED_VALUE"""),"Der ultimative Digital Marketing Kurs - DIGIMAKU")</f>
        <v>Der ultimative Digital Marketing Kurs - DIGIMAKU</v>
      </c>
      <c r="E302" t="str">
        <f>IFERROR(__xludf.DUMMYFUNCTION("""COMPUTED_VALUE"""),"The Ultimate Digital Marketing Event - DIGIMAKU")</f>
        <v>The Ultimate Digital Marketing Event - DIGIMAKU</v>
      </c>
      <c r="F302" t="str">
        <f>IFERROR(__xludf.DUMMYFUNCTION("""COMPUTED_VALUE"""),"Toni Frisch")</f>
        <v>Toni Frisch</v>
      </c>
      <c r="G302" t="str">
        <f>IFERROR(__xludf.DUMMYFUNCTION("""COMPUTED_VALUE"""),"Instructor Request- Opted Out")</f>
        <v>Instructor Request- Opted Out</v>
      </c>
      <c r="H302" s="142" t="str">
        <f>IFERROR(__xludf.DUMMYFUNCTION("""COMPUTED_VALUE"""),"Marketing")</f>
        <v>Marketing</v>
      </c>
      <c r="I302" s="140" t="str">
        <f>IFERROR(__xludf.DUMMYFUNCTION("""COMPUTED_VALUE"""),"Digital Marketing")</f>
        <v>Digital Marketing</v>
      </c>
      <c r="K302" s="140" t="str">
        <f>IFERROR(__xludf.DUMMYFUNCTION("""COMPUTED_VALUE"""),"")</f>
        <v/>
      </c>
      <c r="M302" s="140" t="str">
        <f>IFERROR(__xludf.DUMMYFUNCTION("""COMPUTED_VALUE"""),"")</f>
        <v/>
      </c>
      <c r="N302" s="140" t="str">
        <f>IFERROR(__xludf.DUMMYFUNCTION("""COMPUTED_VALUE"""),"No Alternatives in Collection- 7/29/2020")</f>
        <v>No Alternatives in Collection- 7/29/2020</v>
      </c>
    </row>
    <row r="303">
      <c r="A303" s="141">
        <f>IFERROR(__xludf.DUMMYFUNCTION("""COMPUTED_VALUE"""),44046.0)</f>
        <v>44046</v>
      </c>
      <c r="B303">
        <f>IFERROR(__xludf.DUMMYFUNCTION("""COMPUTED_VALUE"""),1858718.0)</f>
        <v>1858718</v>
      </c>
      <c r="C303" s="140" t="str">
        <f>IFERROR(__xludf.DUMMYFUNCTION("""COMPUTED_VALUE"""),"DE")</f>
        <v>DE</v>
      </c>
      <c r="D303" s="140" t="str">
        <f>IFERROR(__xludf.DUMMYFUNCTION("""COMPUTED_VALUE"""),"ᐅ Google My Business mehr Besucher, mehr Kunden, mehr Umsatz")</f>
        <v>ᐅ Google My Business mehr Besucher, mehr Kunden, mehr Umsatz</v>
      </c>
      <c r="E303" t="str">
        <f>IFERROR(__xludf.DUMMYFUNCTION("""COMPUTED_VALUE"""),"ᐅ Google My Business more visitors, more customers, more sales")</f>
        <v>ᐅ Google My Business more visitors, more customers, more sales</v>
      </c>
      <c r="F303" t="str">
        <f>IFERROR(__xludf.DUMMYFUNCTION("""COMPUTED_VALUE"""),"Toni Frisch")</f>
        <v>Toni Frisch</v>
      </c>
      <c r="G303" t="str">
        <f>IFERROR(__xludf.DUMMYFUNCTION("""COMPUTED_VALUE"""),"Instructor Request- Opted Out")</f>
        <v>Instructor Request- Opted Out</v>
      </c>
      <c r="H303" s="142" t="str">
        <f>IFERROR(__xludf.DUMMYFUNCTION("""COMPUTED_VALUE"""),"Marketing")</f>
        <v>Marketing</v>
      </c>
      <c r="I303" s="140" t="str">
        <f>IFERROR(__xludf.DUMMYFUNCTION("""COMPUTED_VALUE"""),"Search Engine Optimization")</f>
        <v>Search Engine Optimization</v>
      </c>
      <c r="J303" s="140">
        <f>IFERROR(__xludf.DUMMYFUNCTION("""COMPUTED_VALUE"""),1472750.0)</f>
        <v>1472750</v>
      </c>
      <c r="K303" s="140" t="str">
        <f>IFERROR(__xludf.DUMMYFUNCTION("""COMPUTED_VALUE"""),"SEO: Suchmaschinenoptimierung für Google in 8 Tagen umsetzen")</f>
        <v>SEO: Suchmaschinenoptimierung für Google in 8 Tagen umsetzen</v>
      </c>
      <c r="M303" s="140" t="str">
        <f>IFERROR(__xludf.DUMMYFUNCTION("""COMPUTED_VALUE"""),"")</f>
        <v/>
      </c>
    </row>
    <row r="304">
      <c r="A304" s="141">
        <f>IFERROR(__xludf.DUMMYFUNCTION("""COMPUTED_VALUE"""),44046.0)</f>
        <v>44046</v>
      </c>
      <c r="B304">
        <f>IFERROR(__xludf.DUMMYFUNCTION("""COMPUTED_VALUE"""),2071913.0)</f>
        <v>2071913</v>
      </c>
      <c r="C304" s="140" t="str">
        <f>IFERROR(__xludf.DUMMYFUNCTION("""COMPUTED_VALUE"""),"DE")</f>
        <v>DE</v>
      </c>
      <c r="D304" s="140" t="str">
        <f>IFERROR(__xludf.DUMMYFUNCTION("""COMPUTED_VALUE"""),"Das große Instagram-Kompendium 2020: Instagram von A bis Z")</f>
        <v>Das große Instagram-Kompendium 2020: Instagram von A bis Z</v>
      </c>
      <c r="E304" t="str">
        <f>IFERROR(__xludf.DUMMYFUNCTION("""COMPUTED_VALUE"""),"The large Instagram Compendium 2020: Instagram from A to Z")</f>
        <v>The large Instagram Compendium 2020: Instagram from A to Z</v>
      </c>
      <c r="F304" t="str">
        <f>IFERROR(__xludf.DUMMYFUNCTION("""COMPUTED_VALUE"""),"Alexander Schreiner")</f>
        <v>Alexander Schreiner</v>
      </c>
      <c r="G304" t="str">
        <f>IFERROR(__xludf.DUMMYFUNCTION("""COMPUTED_VALUE"""),"Instructor Request- Opted Out")</f>
        <v>Instructor Request- Opted Out</v>
      </c>
      <c r="H304" s="142" t="str">
        <f>IFERROR(__xludf.DUMMYFUNCTION("""COMPUTED_VALUE"""),"Marketing")</f>
        <v>Marketing</v>
      </c>
      <c r="I304" s="140" t="str">
        <f>IFERROR(__xludf.DUMMYFUNCTION("""COMPUTED_VALUE"""),"Social Media Marketing")</f>
        <v>Social Media Marketing</v>
      </c>
      <c r="J304" s="140">
        <f>IFERROR(__xludf.DUMMYFUNCTION("""COMPUTED_VALUE"""),1757704.0)</f>
        <v>1757704</v>
      </c>
      <c r="K304" s="140" t="str">
        <f>IFERROR(__xludf.DUMMYFUNCTION("""COMPUTED_VALUE"""),"Die Instagram Marketing Masterclass: Lerne alles von A-Z")</f>
        <v>Die Instagram Marketing Masterclass: Lerne alles von A-Z</v>
      </c>
      <c r="M304" s="140" t="str">
        <f>IFERROR(__xludf.DUMMYFUNCTION("""COMPUTED_VALUE"""),"")</f>
        <v/>
      </c>
    </row>
    <row r="305">
      <c r="A305" s="141">
        <f>IFERROR(__xludf.DUMMYFUNCTION("""COMPUTED_VALUE"""),44046.0)</f>
        <v>44046</v>
      </c>
      <c r="B305">
        <f>IFERROR(__xludf.DUMMYFUNCTION("""COMPUTED_VALUE"""),2180636.0)</f>
        <v>2180636</v>
      </c>
      <c r="C305" s="140" t="str">
        <f>IFERROR(__xludf.DUMMYFUNCTION("""COMPUTED_VALUE"""),"DE")</f>
        <v>DE</v>
      </c>
      <c r="D305" s="140" t="str">
        <f>IFERROR(__xludf.DUMMYFUNCTION("""COMPUTED_VALUE"""),"XING 2020: Mehr Kontakte durch das perfekte Profil")</f>
        <v>XING 2020: Mehr Kontakte durch das perfekte Profil</v>
      </c>
      <c r="E305" t="str">
        <f>IFERROR(__xludf.DUMMYFUNCTION("""COMPUTED_VALUE"""),"XING 2020: More contacts through the Perfect Profile")</f>
        <v>XING 2020: More contacts through the Perfect Profile</v>
      </c>
      <c r="F305" t="str">
        <f>IFERROR(__xludf.DUMMYFUNCTION("""COMPUTED_VALUE"""),"Alexander Schreiner")</f>
        <v>Alexander Schreiner</v>
      </c>
      <c r="G305" t="str">
        <f>IFERROR(__xludf.DUMMYFUNCTION("""COMPUTED_VALUE"""),"Instructor Request- Opted Out")</f>
        <v>Instructor Request- Opted Out</v>
      </c>
      <c r="H305" s="142" t="str">
        <f>IFERROR(__xludf.DUMMYFUNCTION("""COMPUTED_VALUE"""),"Marketing")</f>
        <v>Marketing</v>
      </c>
      <c r="I305" s="140" t="str">
        <f>IFERROR(__xludf.DUMMYFUNCTION("""COMPUTED_VALUE"""),"Social Media Marketing")</f>
        <v>Social Media Marketing</v>
      </c>
      <c r="K305" s="140" t="str">
        <f>IFERROR(__xludf.DUMMYFUNCTION("""COMPUTED_VALUE"""),"")</f>
        <v/>
      </c>
      <c r="M305" s="140" t="str">
        <f>IFERROR(__xludf.DUMMYFUNCTION("""COMPUTED_VALUE"""),"")</f>
        <v/>
      </c>
      <c r="N305" s="140" t="str">
        <f>IFERROR(__xludf.DUMMYFUNCTION("""COMPUTED_VALUE"""),"No Alternatives in Collection- 7/29/2020")</f>
        <v>No Alternatives in Collection- 7/29/2020</v>
      </c>
    </row>
    <row r="306">
      <c r="A306" s="141">
        <f>IFERROR(__xludf.DUMMYFUNCTION("""COMPUTED_VALUE"""),44046.0)</f>
        <v>44046</v>
      </c>
      <c r="B306">
        <f>IFERROR(__xludf.DUMMYFUNCTION("""COMPUTED_VALUE"""),2210814.0)</f>
        <v>2210814</v>
      </c>
      <c r="C306" s="140" t="str">
        <f>IFERROR(__xludf.DUMMYFUNCTION("""COMPUTED_VALUE"""),"DE")</f>
        <v>DE</v>
      </c>
      <c r="D306" s="140" t="str">
        <f>IFERROR(__xludf.DUMMYFUNCTION("""COMPUTED_VALUE"""),"Ladezeitoptimierung für deine Webseite! Ideal für WordPress")</f>
        <v>Ladezeitoptimierung für deine Webseite! Ideal für WordPress</v>
      </c>
      <c r="E306" t="str">
        <f>IFERROR(__xludf.DUMMYFUNCTION("""COMPUTED_VALUE"""),"Load time optimization for your website! Ideal for WordPress")</f>
        <v>Load time optimization for your website! Ideal for WordPress</v>
      </c>
      <c r="F306" t="str">
        <f>IFERROR(__xludf.DUMMYFUNCTION("""COMPUTED_VALUE"""),"Toni Frisch")</f>
        <v>Toni Frisch</v>
      </c>
      <c r="G306" t="str">
        <f>IFERROR(__xludf.DUMMYFUNCTION("""COMPUTED_VALUE"""),"Instructor Request- Opted Out")</f>
        <v>Instructor Request- Opted Out</v>
      </c>
      <c r="H306" s="142" t="str">
        <f>IFERROR(__xludf.DUMMYFUNCTION("""COMPUTED_VALUE"""),"Development")</f>
        <v>Development</v>
      </c>
      <c r="I306" s="140" t="str">
        <f>IFERROR(__xludf.DUMMYFUNCTION("""COMPUTED_VALUE"""),"Web Development")</f>
        <v>Web Development</v>
      </c>
      <c r="J306" s="140">
        <f>IFERROR(__xludf.DUMMYFUNCTION("""COMPUTED_VALUE"""),1012816.0)</f>
        <v>1012816</v>
      </c>
      <c r="K306" s="140" t="str">
        <f>IFERROR(__xludf.DUMMYFUNCTION("""COMPUTED_VALUE"""),"WordPress für Macher und Anwender - vom Anfänger zum Profi")</f>
        <v>WordPress für Macher und Anwender - vom Anfänger zum Profi</v>
      </c>
      <c r="M306" s="140" t="str">
        <f>IFERROR(__xludf.DUMMYFUNCTION("""COMPUTED_VALUE"""),"")</f>
        <v/>
      </c>
    </row>
    <row r="307">
      <c r="A307" s="141">
        <f>IFERROR(__xludf.DUMMYFUNCTION("""COMPUTED_VALUE"""),44046.0)</f>
        <v>44046</v>
      </c>
      <c r="B307">
        <f>IFERROR(__xludf.DUMMYFUNCTION("""COMPUTED_VALUE"""),904324.0)</f>
        <v>904324</v>
      </c>
      <c r="C307" s="140" t="str">
        <f>IFERROR(__xludf.DUMMYFUNCTION("""COMPUTED_VALUE"""),"EN")</f>
        <v>EN</v>
      </c>
      <c r="D307" s="140" t="str">
        <f>IFERROR(__xludf.DUMMYFUNCTION("""COMPUTED_VALUE"""),"Mastering Office 365 (2019)")</f>
        <v>Mastering Office 365 (2019)</v>
      </c>
      <c r="F307" t="str">
        <f>IFERROR(__xludf.DUMMYFUNCTION("""COMPUTED_VALUE"""),"Chip Reaves")</f>
        <v>Chip Reaves</v>
      </c>
      <c r="G307" t="str">
        <f>IFERROR(__xludf.DUMMYFUNCTION("""COMPUTED_VALUE"""),"Course Ineligible")</f>
        <v>Course Ineligible</v>
      </c>
      <c r="H307" s="142" t="str">
        <f>IFERROR(__xludf.DUMMYFUNCTION("""COMPUTED_VALUE"""),"Office Productivity")</f>
        <v>Office Productivity</v>
      </c>
      <c r="I307" s="140" t="str">
        <f>IFERROR(__xludf.DUMMYFUNCTION("""COMPUTED_VALUE"""),"Email &amp; Productivity")</f>
        <v>Email &amp; Productivity</v>
      </c>
      <c r="J307" s="140">
        <f>IFERROR(__xludf.DUMMYFUNCTION("""COMPUTED_VALUE"""),1788412.0)</f>
        <v>1788412</v>
      </c>
      <c r="K307" s="140" t="str">
        <f>IFERROR(__xludf.DUMMYFUNCTION("""COMPUTED_VALUE"""),"Office 365 - Exchange Online - Beginner to Professional 2019")</f>
        <v>Office 365 - Exchange Online - Beginner to Professional 2019</v>
      </c>
      <c r="M307" s="140" t="str">
        <f>IFERROR(__xludf.DUMMYFUNCTION("""COMPUTED_VALUE"""),"")</f>
        <v/>
      </c>
    </row>
    <row r="308">
      <c r="A308" s="141">
        <f>IFERROR(__xludf.DUMMYFUNCTION("""COMPUTED_VALUE"""),44046.0)</f>
        <v>44046</v>
      </c>
      <c r="B308">
        <f>IFERROR(__xludf.DUMMYFUNCTION("""COMPUTED_VALUE"""),204106.0)</f>
        <v>204106</v>
      </c>
      <c r="C308" s="140" t="str">
        <f>IFERROR(__xludf.DUMMYFUNCTION("""COMPUTED_VALUE"""),"EN")</f>
        <v>EN</v>
      </c>
      <c r="D308" s="140" t="str">
        <f>IFERROR(__xludf.DUMMYFUNCTION("""COMPUTED_VALUE"""),"Motivational Ethics")</f>
        <v>Motivational Ethics</v>
      </c>
      <c r="F308" t="str">
        <f>IFERROR(__xludf.DUMMYFUNCTION("""COMPUTED_VALUE"""),"Chip Reaves")</f>
        <v>Chip Reaves</v>
      </c>
      <c r="G308" t="str">
        <f>IFERROR(__xludf.DUMMYFUNCTION("""COMPUTED_VALUE"""),"Course Ineligible")</f>
        <v>Course Ineligible</v>
      </c>
      <c r="H308" s="142" t="str">
        <f>IFERROR(__xludf.DUMMYFUNCTION("""COMPUTED_VALUE"""),"Leadership &amp; Management")</f>
        <v>Leadership &amp; Management</v>
      </c>
      <c r="I308" s="140" t="str">
        <f>IFERROR(__xludf.DUMMYFUNCTION("""COMPUTED_VALUE"""),"Leadership")</f>
        <v>Leadership</v>
      </c>
      <c r="J308" s="140">
        <f>IFERROR(__xludf.DUMMYFUNCTION("""COMPUTED_VALUE"""),1904280.0)</f>
        <v>1904280</v>
      </c>
      <c r="K308" s="140" t="str">
        <f>IFERROR(__xludf.DUMMYFUNCTION("""COMPUTED_VALUE"""),"Leadership Ethics and Integrity: A Comprehensive Guide !")</f>
        <v>Leadership Ethics and Integrity: A Comprehensive Guide !</v>
      </c>
      <c r="M308" s="140" t="str">
        <f>IFERROR(__xludf.DUMMYFUNCTION("""COMPUTED_VALUE"""),"")</f>
        <v/>
      </c>
    </row>
    <row r="309">
      <c r="A309" s="141">
        <f>IFERROR(__xludf.DUMMYFUNCTION("""COMPUTED_VALUE"""),44046.0)</f>
        <v>44046</v>
      </c>
      <c r="B309">
        <f>IFERROR(__xludf.DUMMYFUNCTION("""COMPUTED_VALUE"""),1952928.0)</f>
        <v>1952928</v>
      </c>
      <c r="C309" s="140" t="str">
        <f>IFERROR(__xludf.DUMMYFUNCTION("""COMPUTED_VALUE"""),"EN")</f>
        <v>EN</v>
      </c>
      <c r="D309" s="140" t="str">
        <f>IFERROR(__xludf.DUMMYFUNCTION("""COMPUTED_VALUE"""),"Learning Terraform on Microsoft Azure - 2020")</f>
        <v>Learning Terraform on Microsoft Azure - 2020</v>
      </c>
      <c r="F309" t="str">
        <f>IFERROR(__xludf.DUMMYFUNCTION("""COMPUTED_VALUE"""),"L11 Training")</f>
        <v>L11 Training</v>
      </c>
      <c r="G309" t="str">
        <f>IFERROR(__xludf.DUMMYFUNCTION("""COMPUTED_VALUE"""),"Instructor Request- Opted Out")</f>
        <v>Instructor Request- Opted Out</v>
      </c>
      <c r="H309" s="142" t="str">
        <f>IFERROR(__xludf.DUMMYFUNCTION("""COMPUTED_VALUE"""),"Development")</f>
        <v>Development</v>
      </c>
      <c r="I309" s="140" t="str">
        <f>IFERROR(__xludf.DUMMYFUNCTION("""COMPUTED_VALUE"""),"Development Tools")</f>
        <v>Development Tools</v>
      </c>
      <c r="K309" s="140" t="str">
        <f>IFERROR(__xludf.DUMMYFUNCTION("""COMPUTED_VALUE"""),"")</f>
        <v/>
      </c>
      <c r="M309" s="140" t="str">
        <f>IFERROR(__xludf.DUMMYFUNCTION("""COMPUTED_VALUE"""),"")</f>
        <v/>
      </c>
      <c r="N309" s="140" t="str">
        <f>IFERROR(__xludf.DUMMYFUNCTION("""COMPUTED_VALUE"""),"No Alternatives in Collection- 7/29/2020")</f>
        <v>No Alternatives in Collection- 7/29/2020</v>
      </c>
    </row>
    <row r="310">
      <c r="A310" s="141">
        <f>IFERROR(__xludf.DUMMYFUNCTION("""COMPUTED_VALUE"""),44046.0)</f>
        <v>44046</v>
      </c>
      <c r="B310">
        <f>IFERROR(__xludf.DUMMYFUNCTION("""COMPUTED_VALUE"""),377716.0)</f>
        <v>377716</v>
      </c>
      <c r="C310" s="140" t="str">
        <f>IFERROR(__xludf.DUMMYFUNCTION("""COMPUTED_VALUE"""),"EN")</f>
        <v>EN</v>
      </c>
      <c r="D310" s="140" t="str">
        <f>IFERROR(__xludf.DUMMYFUNCTION("""COMPUTED_VALUE"""),"Learn Hacking Using Android From Scratch")</f>
        <v>Learn Hacking Using Android From Scratch</v>
      </c>
      <c r="F310" t="str">
        <f>IFERROR(__xludf.DUMMYFUNCTION("""COMPUTED_VALUE"""),"Zaid Sabih")</f>
        <v>Zaid Sabih</v>
      </c>
      <c r="G310" t="str">
        <f>IFERROR(__xludf.DUMMYFUNCTION("""COMPUTED_VALUE"""),"Instructor Request- Outdated")</f>
        <v>Instructor Request- Outdated</v>
      </c>
      <c r="H310" s="142" t="str">
        <f>IFERROR(__xludf.DUMMYFUNCTION("""COMPUTED_VALUE"""),"IT Operations")</f>
        <v>IT Operations</v>
      </c>
      <c r="I310" s="140" t="str">
        <f>IFERROR(__xludf.DUMMYFUNCTION("""COMPUTED_VALUE"""),"Network &amp; Security")</f>
        <v>Network &amp; Security</v>
      </c>
      <c r="J310" s="140">
        <f>IFERROR(__xludf.DUMMYFUNCTION("""COMPUTED_VALUE"""),1228390.0)</f>
        <v>1228390</v>
      </c>
      <c r="K310" s="140" t="str">
        <f>IFERROR(__xludf.DUMMYFUNCTION("""COMPUTED_VALUE"""),"Real-World Ethical Hacking: Hands-on Cybersecurity")</f>
        <v>Real-World Ethical Hacking: Hands-on Cybersecurity</v>
      </c>
      <c r="M310" s="140" t="str">
        <f>IFERROR(__xludf.DUMMYFUNCTION("""COMPUTED_VALUE"""),"")</f>
        <v/>
      </c>
    </row>
    <row r="311">
      <c r="A311" s="141">
        <f>IFERROR(__xludf.DUMMYFUNCTION("""COMPUTED_VALUE"""),44046.0)</f>
        <v>44046</v>
      </c>
      <c r="B311">
        <f>IFERROR(__xludf.DUMMYFUNCTION("""COMPUTED_VALUE"""),465334.0)</f>
        <v>465334</v>
      </c>
      <c r="C311" s="140" t="str">
        <f>IFERROR(__xludf.DUMMYFUNCTION("""COMPUTED_VALUE"""),"EN")</f>
        <v>EN</v>
      </c>
      <c r="D311" s="140" t="str">
        <f>IFERROR(__xludf.DUMMYFUNCTION("""COMPUTED_VALUE"""),"Indian Culinary World - Master the art of Indian Cooking")</f>
        <v>Indian Culinary World - Master the art of Indian Cooking</v>
      </c>
      <c r="F311" t="str">
        <f>IFERROR(__xludf.DUMMYFUNCTION("""COMPUTED_VALUE"""),"Jyoti Sawant")</f>
        <v>Jyoti Sawant</v>
      </c>
      <c r="G311" t="str">
        <f>IFERROR(__xludf.DUMMYFUNCTION("""COMPUTED_VALUE"""),"Instructor Request- Opted Out")</f>
        <v>Instructor Request- Opted Out</v>
      </c>
      <c r="H311" s="142" t="str">
        <f>IFERROR(__xludf.DUMMYFUNCTION("""COMPUTED_VALUE"""),"Personal Development")</f>
        <v>Personal Development</v>
      </c>
      <c r="I311" s="140" t="str">
        <f>IFERROR(__xludf.DUMMYFUNCTION("""COMPUTED_VALUE"""),"Hobbies")</f>
        <v>Hobbies</v>
      </c>
      <c r="K311" s="140" t="str">
        <f>IFERROR(__xludf.DUMMYFUNCTION("""COMPUTED_VALUE"""),"")</f>
        <v/>
      </c>
      <c r="M311" s="140" t="str">
        <f>IFERROR(__xludf.DUMMYFUNCTION("""COMPUTED_VALUE"""),"")</f>
        <v/>
      </c>
      <c r="N311" s="140" t="str">
        <f>IFERROR(__xludf.DUMMYFUNCTION("""COMPUTED_VALUE"""),"No Alternatives in Collection- 7/29/2020")</f>
        <v>No Alternatives in Collection- 7/29/2020</v>
      </c>
    </row>
    <row r="312">
      <c r="A312" s="141">
        <f>IFERROR(__xludf.DUMMYFUNCTION("""COMPUTED_VALUE"""),44021.0)</f>
        <v>44021</v>
      </c>
      <c r="B312" s="145">
        <f>IFERROR(__xludf.DUMMYFUNCTION("""COMPUTED_VALUE"""),2496036.0)</f>
        <v>2496036</v>
      </c>
      <c r="C312" s="140" t="str">
        <f>IFERROR(__xludf.DUMMYFUNCTION("""COMPUTED_VALUE"""),"EN")</f>
        <v>EN</v>
      </c>
      <c r="D312" s="140" t="str">
        <f>IFERROR(__xludf.DUMMYFUNCTION("""COMPUTED_VALUE"""),"Rocking AWS CloudFormation, CDK with DevOps, Interview Guide")</f>
        <v>Rocking AWS CloudFormation, CDK with DevOps, Interview Guide</v>
      </c>
      <c r="F312" t="str">
        <f>IFERROR(__xludf.DUMMYFUNCTION("""COMPUTED_VALUE"""),"Rocking AWS CloudFormation, CDK with DevOps, Interview Guide")</f>
        <v>Rocking AWS CloudFormation, CDK with DevOps, Interview Guide</v>
      </c>
      <c r="G312" t="str">
        <f>IFERROR(__xludf.DUMMYFUNCTION("""COMPUTED_VALUE"""),"Instructor Practices")</f>
        <v>Instructor Practices</v>
      </c>
      <c r="H312" s="142" t="str">
        <f>IFERROR(__xludf.DUMMYFUNCTION("""COMPUTED_VALUE"""),"Development")</f>
        <v>Development</v>
      </c>
      <c r="I312" s="140" t="str">
        <f>IFERROR(__xludf.DUMMYFUNCTION("""COMPUTED_VALUE"""),"Development Tools")</f>
        <v>Development Tools</v>
      </c>
      <c r="K312" s="140" t="str">
        <f>IFERROR(__xludf.DUMMYFUNCTION("""COMPUTED_VALUE"""),"")</f>
        <v/>
      </c>
      <c r="M312" s="140" t="str">
        <f>IFERROR(__xludf.DUMMYFUNCTION("""COMPUTED_VALUE"""),"")</f>
        <v/>
      </c>
    </row>
    <row r="313">
      <c r="A313" s="141">
        <f>IFERROR(__xludf.DUMMYFUNCTION("""COMPUTED_VALUE"""),44019.0)</f>
        <v>44019</v>
      </c>
      <c r="B313" s="145">
        <f>IFERROR(__xludf.DUMMYFUNCTION("""COMPUTED_VALUE"""),2669700.0)</f>
        <v>2669700</v>
      </c>
      <c r="C313" s="140" t="str">
        <f>IFERROR(__xludf.DUMMYFUNCTION("""COMPUTED_VALUE"""),"EN")</f>
        <v>EN</v>
      </c>
      <c r="D313" s="140" t="str">
        <f>IFERROR(__xludf.DUMMYFUNCTION("""COMPUTED_VALUE"""),"SAP Extended Warehouse Management - Mock Tests")</f>
        <v>SAP Extended Warehouse Management - Mock Tests</v>
      </c>
      <c r="F313" t="str">
        <f>IFERROR(__xludf.DUMMYFUNCTION("""COMPUTED_VALUE"""),"Sreenivas Indireddy")</f>
        <v>Sreenivas Indireddy</v>
      </c>
      <c r="G313" t="str">
        <f>IFERROR(__xludf.DUMMYFUNCTION("""COMPUTED_VALUE"""),"Instructor Request- No Detail")</f>
        <v>Instructor Request- No Detail</v>
      </c>
      <c r="H313" s="142" t="str">
        <f>IFERROR(__xludf.DUMMYFUNCTION("""COMPUTED_VALUE"""),"IT Operations")</f>
        <v>IT Operations</v>
      </c>
      <c r="I313" s="140" t="str">
        <f>IFERROR(__xludf.DUMMYFUNCTION("""COMPUTED_VALUE"""),"IT Certifications")</f>
        <v>IT Certifications</v>
      </c>
      <c r="K313" s="140" t="str">
        <f>IFERROR(__xludf.DUMMYFUNCTION("""COMPUTED_VALUE"""),"")</f>
        <v/>
      </c>
      <c r="M313" s="140" t="str">
        <f>IFERROR(__xludf.DUMMYFUNCTION("""COMPUTED_VALUE"""),"")</f>
        <v/>
      </c>
      <c r="N313" s="140" t="str">
        <f>IFERROR(__xludf.DUMMYFUNCTION("""COMPUTED_VALUE"""),"No Alternatives in Collection- 06/23")</f>
        <v>No Alternatives in Collection- 06/23</v>
      </c>
    </row>
    <row r="314">
      <c r="A314" s="141">
        <f>IFERROR(__xludf.DUMMYFUNCTION("""COMPUTED_VALUE"""),44012.0)</f>
        <v>44012</v>
      </c>
      <c r="B314" s="145">
        <f>IFERROR(__xludf.DUMMYFUNCTION("""COMPUTED_VALUE"""),56966.0)</f>
        <v>56966</v>
      </c>
      <c r="C314" s="140" t="str">
        <f>IFERROR(__xludf.DUMMYFUNCTION("""COMPUTED_VALUE"""),"EN")</f>
        <v>EN</v>
      </c>
      <c r="D314" s="140" t="str">
        <f>IFERROR(__xludf.DUMMYFUNCTION("""COMPUTED_VALUE"""),"Fast, Good &amp; Cheap")</f>
        <v>Fast, Good &amp; Cheap</v>
      </c>
      <c r="F314" t="str">
        <f>IFERROR(__xludf.DUMMYFUNCTION("""COMPUTED_VALUE"""),"Kaliym Islam")</f>
        <v>Kaliym Islam</v>
      </c>
      <c r="G314" t="str">
        <f>IFERROR(__xludf.DUMMYFUNCTION("""COMPUTED_VALUE"""),"Below Quality Standards- Deep Dive")</f>
        <v>Below Quality Standards- Deep Dive</v>
      </c>
      <c r="H314" s="142" t="str">
        <f>IFERROR(__xludf.DUMMYFUNCTION("""COMPUTED_VALUE"""),"Workplace &amp; Human Resources")</f>
        <v>Workplace &amp; Human Resources</v>
      </c>
      <c r="I314" s="140" t="str">
        <f>IFERROR(__xludf.DUMMYFUNCTION("""COMPUTED_VALUE"""),"Learning &amp; Development")</f>
        <v>Learning &amp; Development</v>
      </c>
      <c r="J314" s="140">
        <f>IFERROR(__xludf.DUMMYFUNCTION("""COMPUTED_VALUE"""),864146.0)</f>
        <v>864146</v>
      </c>
      <c r="K314" s="140" t="str">
        <f>IFERROR(__xludf.DUMMYFUNCTION("""COMPUTED_VALUE"""),"Agile Crash Course: Agile Project Management; Agile Delivery")</f>
        <v>Agile Crash Course: Agile Project Management; Agile Delivery</v>
      </c>
      <c r="M314" s="140" t="str">
        <f>IFERROR(__xludf.DUMMYFUNCTION("""COMPUTED_VALUE"""),"")</f>
        <v/>
      </c>
    </row>
    <row r="315">
      <c r="A315" s="141">
        <f>IFERROR(__xludf.DUMMYFUNCTION("""COMPUTED_VALUE"""),44012.0)</f>
        <v>44012</v>
      </c>
      <c r="B315" s="145">
        <f>IFERROR(__xludf.DUMMYFUNCTION("""COMPUTED_VALUE"""),150714.0)</f>
        <v>150714</v>
      </c>
      <c r="C315" s="140" t="str">
        <f>IFERROR(__xludf.DUMMYFUNCTION("""COMPUTED_VALUE"""),"EN")</f>
        <v>EN</v>
      </c>
      <c r="D315" s="140" t="str">
        <f>IFERROR(__xludf.DUMMYFUNCTION("""COMPUTED_VALUE"""),"Cluster Analysis- Theory &amp; workout using SAS and R")</f>
        <v>Cluster Analysis- Theory &amp; workout using SAS and R</v>
      </c>
      <c r="F315" t="str">
        <f>IFERROR(__xludf.DUMMYFUNCTION("""COMPUTED_VALUE"""),"Gopal Prasad Malakar")</f>
        <v>Gopal Prasad Malakar</v>
      </c>
      <c r="G315" t="str">
        <f>IFERROR(__xludf.DUMMYFUNCTION("""COMPUTED_VALUE"""),"Below Quality Standards- 3 Flags")</f>
        <v>Below Quality Standards- 3 Flags</v>
      </c>
      <c r="H315" s="142" t="str">
        <f>IFERROR(__xludf.DUMMYFUNCTION("""COMPUTED_VALUE"""),"Data Science")</f>
        <v>Data Science</v>
      </c>
      <c r="I315" s="140" t="str">
        <f>IFERROR(__xludf.DUMMYFUNCTION("""COMPUTED_VALUE"""),"Analytics")</f>
        <v>Analytics</v>
      </c>
      <c r="K315" s="140" t="str">
        <f>IFERROR(__xludf.DUMMYFUNCTION("""COMPUTED_VALUE"""),"")</f>
        <v/>
      </c>
      <c r="M315" s="140" t="str">
        <f>IFERROR(__xludf.DUMMYFUNCTION("""COMPUTED_VALUE"""),"")</f>
        <v/>
      </c>
      <c r="N315" s="140" t="str">
        <f>IFERROR(__xludf.DUMMYFUNCTION("""COMPUTED_VALUE"""),"No Alternatives in Collection- 06/23")</f>
        <v>No Alternatives in Collection- 06/23</v>
      </c>
    </row>
    <row r="316">
      <c r="A316" s="141">
        <f>IFERROR(__xludf.DUMMYFUNCTION("""COMPUTED_VALUE"""),44012.0)</f>
        <v>44012</v>
      </c>
      <c r="B316" s="145">
        <f>IFERROR(__xludf.DUMMYFUNCTION("""COMPUTED_VALUE"""),241608.0)</f>
        <v>241608</v>
      </c>
      <c r="C316" s="140" t="str">
        <f>IFERROR(__xludf.DUMMYFUNCTION("""COMPUTED_VALUE"""),"EN")</f>
        <v>EN</v>
      </c>
      <c r="D316" s="140" t="str">
        <f>IFERROR(__xludf.DUMMYFUNCTION("""COMPUTED_VALUE"""),"The Ultimate Microsoft Project 2010 Training Course 17 Hours")</f>
        <v>The Ultimate Microsoft Project 2010 Training Course 17 Hours</v>
      </c>
      <c r="F316" t="str">
        <f>IFERROR(__xludf.DUMMYFUNCTION("""COMPUTED_VALUE"""),"Simon Sez IT")</f>
        <v>Simon Sez IT</v>
      </c>
      <c r="G316" t="str">
        <f>IFERROR(__xludf.DUMMYFUNCTION("""COMPUTED_VALUE"""),"Below Quality Standards- Deep Dive")</f>
        <v>Below Quality Standards- Deep Dive</v>
      </c>
      <c r="H316" s="142" t="str">
        <f>IFERROR(__xludf.DUMMYFUNCTION("""COMPUTED_VALUE"""),"Project Management &amp; Operations")</f>
        <v>Project Management &amp; Operations</v>
      </c>
      <c r="I316" s="140" t="str">
        <f>IFERROR(__xludf.DUMMYFUNCTION("""COMPUTED_VALUE"""),"Project Management Tools")</f>
        <v>Project Management Tools</v>
      </c>
      <c r="J316" s="140">
        <f>IFERROR(__xludf.DUMMYFUNCTION("""COMPUTED_VALUE"""),113312.0)</f>
        <v>113312</v>
      </c>
      <c r="K316" s="140" t="str">
        <f>IFERROR(__xludf.DUMMYFUNCTION("""COMPUTED_VALUE"""),"Introduction to Microsoft Project 2010")</f>
        <v>Introduction to Microsoft Project 2010</v>
      </c>
      <c r="M316" s="140" t="str">
        <f>IFERROR(__xludf.DUMMYFUNCTION("""COMPUTED_VALUE"""),"")</f>
        <v/>
      </c>
    </row>
    <row r="317">
      <c r="A317" s="141">
        <f>IFERROR(__xludf.DUMMYFUNCTION("""COMPUTED_VALUE"""),44012.0)</f>
        <v>44012</v>
      </c>
      <c r="B317" s="145">
        <f>IFERROR(__xludf.DUMMYFUNCTION("""COMPUTED_VALUE"""),761166.0)</f>
        <v>761166</v>
      </c>
      <c r="C317" s="140" t="str">
        <f>IFERROR(__xludf.DUMMYFUNCTION("""COMPUTED_VALUE"""),"EN")</f>
        <v>EN</v>
      </c>
      <c r="D317" s="140" t="str">
        <f>IFERROR(__xludf.DUMMYFUNCTION("""COMPUTED_VALUE"""),"Hack Multiple Choice Exams and Pass")</f>
        <v>Hack Multiple Choice Exams and Pass</v>
      </c>
      <c r="F317" t="str">
        <f>IFERROR(__xludf.DUMMYFUNCTION("""COMPUTED_VALUE"""),"Leo Dregier")</f>
        <v>Leo Dregier</v>
      </c>
      <c r="G317" t="str">
        <f>IFERROR(__xludf.DUMMYFUNCTION("""COMPUTED_VALUE"""),"Below Quality Standards- Deep Dive")</f>
        <v>Below Quality Standards- Deep Dive</v>
      </c>
      <c r="H317" s="142" t="str">
        <f>IFERROR(__xludf.DUMMYFUNCTION("""COMPUTED_VALUE"""),"Project Management &amp; Operations")</f>
        <v>Project Management &amp; Operations</v>
      </c>
      <c r="I317" s="140" t="str">
        <f>IFERROR(__xludf.DUMMYFUNCTION("""COMPUTED_VALUE"""),"Project Management Certifications")</f>
        <v>Project Management Certifications</v>
      </c>
      <c r="J317" s="140">
        <f>IFERROR(__xludf.DUMMYFUNCTION("""COMPUTED_VALUE"""),1338022.0)</f>
        <v>1338022</v>
      </c>
      <c r="K317" s="140" t="str">
        <f>IFERROR(__xludf.DUMMYFUNCTION("""COMPUTED_VALUE"""),"Passing Certification Exams with Strategic Test Taking!")</f>
        <v>Passing Certification Exams with Strategic Test Taking!</v>
      </c>
      <c r="M317" s="140" t="str">
        <f>IFERROR(__xludf.DUMMYFUNCTION("""COMPUTED_VALUE"""),"")</f>
        <v/>
      </c>
    </row>
    <row r="318">
      <c r="A318" s="141">
        <f>IFERROR(__xludf.DUMMYFUNCTION("""COMPUTED_VALUE"""),44012.0)</f>
        <v>44012</v>
      </c>
      <c r="B318" s="145">
        <f>IFERROR(__xludf.DUMMYFUNCTION("""COMPUTED_VALUE"""),770028.0)</f>
        <v>770028</v>
      </c>
      <c r="C318" s="140" t="str">
        <f>IFERROR(__xludf.DUMMYFUNCTION("""COMPUTED_VALUE"""),"EN")</f>
        <v>EN</v>
      </c>
      <c r="D318" s="140" t="str">
        <f>IFERROR(__xludf.DUMMYFUNCTION("""COMPUTED_VALUE"""),"Learn Smart Plant Instrumentation (SPI) - INtools")</f>
        <v>Learn Smart Plant Instrumentation (SPI) - INtools</v>
      </c>
      <c r="F318" t="str">
        <f>IFERROR(__xludf.DUMMYFUNCTION("""COMPUTED_VALUE"""),"Hossein Tootoonchy")</f>
        <v>Hossein Tootoonchy</v>
      </c>
      <c r="G318" t="str">
        <f>IFERROR(__xludf.DUMMYFUNCTION("""COMPUTED_VALUE"""),"Below Quality Standards- 3 Flags")</f>
        <v>Below Quality Standards- 3 Flags</v>
      </c>
      <c r="H318" s="142" t="str">
        <f>IFERROR(__xludf.DUMMYFUNCTION("""COMPUTED_VALUE"""),"Project Management &amp; Operations")</f>
        <v>Project Management &amp; Operations</v>
      </c>
      <c r="I318" s="140" t="str">
        <f>IFERROR(__xludf.DUMMYFUNCTION("""COMPUTED_VALUE"""),"Operations Management")</f>
        <v>Operations Management</v>
      </c>
      <c r="K318" s="140" t="str">
        <f>IFERROR(__xludf.DUMMYFUNCTION("""COMPUTED_VALUE"""),"")</f>
        <v/>
      </c>
      <c r="M318" s="140" t="str">
        <f>IFERROR(__xludf.DUMMYFUNCTION("""COMPUTED_VALUE"""),"")</f>
        <v/>
      </c>
      <c r="N318" s="140" t="str">
        <f>IFERROR(__xludf.DUMMYFUNCTION("""COMPUTED_VALUE"""),"No Alternatives in Collection- 06/23")</f>
        <v>No Alternatives in Collection- 06/23</v>
      </c>
    </row>
    <row r="319">
      <c r="A319" s="141">
        <f>IFERROR(__xludf.DUMMYFUNCTION("""COMPUTED_VALUE"""),44012.0)</f>
        <v>44012</v>
      </c>
      <c r="B319" s="145">
        <f>IFERROR(__xludf.DUMMYFUNCTION("""COMPUTED_VALUE"""),870018.0)</f>
        <v>870018</v>
      </c>
      <c r="C319" s="140" t="str">
        <f>IFERROR(__xludf.DUMMYFUNCTION("""COMPUTED_VALUE"""),"EN")</f>
        <v>EN</v>
      </c>
      <c r="D319" s="140" t="str">
        <f>IFERROR(__xludf.DUMMYFUNCTION("""COMPUTED_VALUE"""),"Managed Extensibility Framework, MEF, from Novice to Guru")</f>
        <v>Managed Extensibility Framework, MEF, from Novice to Guru</v>
      </c>
      <c r="F319" t="str">
        <f>IFERROR(__xludf.DUMMYFUNCTION("""COMPUTED_VALUE"""),"Eman Ali Mughal")</f>
        <v>Eman Ali Mughal</v>
      </c>
      <c r="G319" t="str">
        <f>IFERROR(__xludf.DUMMYFUNCTION("""COMPUTED_VALUE"""),"Below Quality Standards- 3 Flags")</f>
        <v>Below Quality Standards- 3 Flags</v>
      </c>
      <c r="H319" s="142" t="str">
        <f>IFERROR(__xludf.DUMMYFUNCTION("""COMPUTED_VALUE"""),"Development")</f>
        <v>Development</v>
      </c>
      <c r="I319" s="140" t="str">
        <f>IFERROR(__xludf.DUMMYFUNCTION("""COMPUTED_VALUE"""),"Web Development")</f>
        <v>Web Development</v>
      </c>
      <c r="K319" s="140" t="str">
        <f>IFERROR(__xludf.DUMMYFUNCTION("""COMPUTED_VALUE"""),"")</f>
        <v/>
      </c>
      <c r="M319" s="140" t="str">
        <f>IFERROR(__xludf.DUMMYFUNCTION("""COMPUTED_VALUE"""),"")</f>
        <v/>
      </c>
      <c r="N319" s="140" t="str">
        <f>IFERROR(__xludf.DUMMYFUNCTION("""COMPUTED_VALUE"""),"No Alternatives in Collection- 06/23")</f>
        <v>No Alternatives in Collection- 06/23</v>
      </c>
    </row>
    <row r="320">
      <c r="A320" s="141">
        <f>IFERROR(__xludf.DUMMYFUNCTION("""COMPUTED_VALUE"""),44012.0)</f>
        <v>44012</v>
      </c>
      <c r="B320" s="145">
        <f>IFERROR(__xludf.DUMMYFUNCTION("""COMPUTED_VALUE"""),956780.0)</f>
        <v>956780</v>
      </c>
      <c r="C320" s="140" t="str">
        <f>IFERROR(__xludf.DUMMYFUNCTION("""COMPUTED_VALUE"""),"EN")</f>
        <v>EN</v>
      </c>
      <c r="D320" s="140" t="str">
        <f>IFERROR(__xludf.DUMMYFUNCTION("""COMPUTED_VALUE"""),"Learn Subnetting So You Can Network With Confidence")</f>
        <v>Learn Subnetting So You Can Network With Confidence</v>
      </c>
      <c r="F320" t="str">
        <f>IFERROR(__xludf.DUMMYFUNCTION("""COMPUTED_VALUE"""),"Ric Smolenski")</f>
        <v>Ric Smolenski</v>
      </c>
      <c r="G320" t="str">
        <f>IFERROR(__xludf.DUMMYFUNCTION("""COMPUTED_VALUE"""),"Instructor Request- Outdated")</f>
        <v>Instructor Request- Outdated</v>
      </c>
      <c r="H320" s="142" t="str">
        <f>IFERROR(__xludf.DUMMYFUNCTION("""COMPUTED_VALUE"""),"IT Operations")</f>
        <v>IT Operations</v>
      </c>
      <c r="I320" s="140" t="str">
        <f>IFERROR(__xludf.DUMMYFUNCTION("""COMPUTED_VALUE"""),"Network &amp; Security")</f>
        <v>Network &amp; Security</v>
      </c>
      <c r="J320" s="140">
        <f>IFERROR(__xludf.DUMMYFUNCTION("""COMPUTED_VALUE"""),1014014.0)</f>
        <v>1014014</v>
      </c>
      <c r="K320" s="140" t="str">
        <f>IFERROR(__xludf.DUMMYFUNCTION("""COMPUTED_VALUE"""),"Introduction to IP Addressing and Subnetting the Easy Way")</f>
        <v>Introduction to IP Addressing and Subnetting the Easy Way</v>
      </c>
      <c r="M320" s="140" t="str">
        <f>IFERROR(__xludf.DUMMYFUNCTION("""COMPUTED_VALUE"""),"")</f>
        <v/>
      </c>
    </row>
    <row r="321">
      <c r="A321" s="141">
        <f>IFERROR(__xludf.DUMMYFUNCTION("""COMPUTED_VALUE"""),44012.0)</f>
        <v>44012</v>
      </c>
      <c r="B321" s="145">
        <f>IFERROR(__xludf.DUMMYFUNCTION("""COMPUTED_VALUE"""),1082488.0)</f>
        <v>1082488</v>
      </c>
      <c r="C321" s="140" t="str">
        <f>IFERROR(__xludf.DUMMYFUNCTION("""COMPUTED_VALUE"""),"EN")</f>
        <v>EN</v>
      </c>
      <c r="D321" s="140" t="str">
        <f>IFERROR(__xludf.DUMMYFUNCTION("""COMPUTED_VALUE"""),"Mental Health and Neuroplasticity: Change your Brain")</f>
        <v>Mental Health and Neuroplasticity: Change your Brain</v>
      </c>
      <c r="F321" t="str">
        <f>IFERROR(__xludf.DUMMYFUNCTION("""COMPUTED_VALUE"""),"Emma McAdam")</f>
        <v>Emma McAdam</v>
      </c>
      <c r="G321" t="str">
        <f>IFERROR(__xludf.DUMMYFUNCTION("""COMPUTED_VALUE"""),"Course Ineligible")</f>
        <v>Course Ineligible</v>
      </c>
      <c r="H321" s="142" t="str">
        <f>IFERROR(__xludf.DUMMYFUNCTION("""COMPUTED_VALUE"""),"Personal Development")</f>
        <v>Personal Development</v>
      </c>
      <c r="I321" s="140" t="str">
        <f>IFERROR(__xludf.DUMMYFUNCTION("""COMPUTED_VALUE"""),"Personal Growth")</f>
        <v>Personal Growth</v>
      </c>
      <c r="J321" s="140">
        <f>IFERROR(__xludf.DUMMYFUNCTION("""COMPUTED_VALUE"""),836842.0)</f>
        <v>836842</v>
      </c>
      <c r="K321" s="140" t="str">
        <f>IFERROR(__xludf.DUMMYFUNCTION("""COMPUTED_VALUE"""),"Neuroplasticity: How To Rewire Your Brain")</f>
        <v>Neuroplasticity: How To Rewire Your Brain</v>
      </c>
      <c r="M321" s="140" t="str">
        <f>IFERROR(__xludf.DUMMYFUNCTION("""COMPUTED_VALUE"""),"")</f>
        <v/>
      </c>
    </row>
    <row r="322">
      <c r="A322" s="141">
        <f>IFERROR(__xludf.DUMMYFUNCTION("""COMPUTED_VALUE"""),44012.0)</f>
        <v>44012</v>
      </c>
      <c r="B322" s="145">
        <f>IFERROR(__xludf.DUMMYFUNCTION("""COMPUTED_VALUE"""),1218734.0)</f>
        <v>1218734</v>
      </c>
      <c r="C322" s="140" t="str">
        <f>IFERROR(__xludf.DUMMYFUNCTION("""COMPUTED_VALUE"""),"EN")</f>
        <v>EN</v>
      </c>
      <c r="D322" s="140" t="str">
        <f>IFERROR(__xludf.DUMMYFUNCTION("""COMPUTED_VALUE"""),"AWS Certified Solutions Architect Associate 2018 - Exam Prep")</f>
        <v>AWS Certified Solutions Architect Associate 2018 - Exam Prep</v>
      </c>
      <c r="F322" t="str">
        <f>IFERROR(__xludf.DUMMYFUNCTION("""COMPUTED_VALUE"""),"Scott Duffy • 300000+ Students")</f>
        <v>Scott Duffy • 300000+ Students</v>
      </c>
      <c r="G322" t="str">
        <f>IFERROR(__xludf.DUMMYFUNCTION("""COMPUTED_VALUE"""),"Instructor Request- Outdated")</f>
        <v>Instructor Request- Outdated</v>
      </c>
      <c r="H322" s="142" t="str">
        <f>IFERROR(__xludf.DUMMYFUNCTION("""COMPUTED_VALUE"""),"Cloud Computing")</f>
        <v>Cloud Computing</v>
      </c>
      <c r="I322" s="140" t="str">
        <f>IFERROR(__xludf.DUMMYFUNCTION("""COMPUTED_VALUE"""),"Cloud Certification")</f>
        <v>Cloud Certification</v>
      </c>
      <c r="K322" s="140" t="str">
        <f>IFERROR(__xludf.DUMMYFUNCTION("""COMPUTED_VALUE"""),"")</f>
        <v/>
      </c>
      <c r="M322" s="140" t="str">
        <f>IFERROR(__xludf.DUMMYFUNCTION("""COMPUTED_VALUE"""),"")</f>
        <v/>
      </c>
      <c r="N322" s="140" t="str">
        <f>IFERROR(__xludf.DUMMYFUNCTION("""COMPUTED_VALUE"""),"No Alternatives in Collection - 2/20")</f>
        <v>No Alternatives in Collection - 2/20</v>
      </c>
    </row>
    <row r="323">
      <c r="A323" s="141">
        <f>IFERROR(__xludf.DUMMYFUNCTION("""COMPUTED_VALUE"""),44012.0)</f>
        <v>44012</v>
      </c>
      <c r="B323" s="145">
        <f>IFERROR(__xludf.DUMMYFUNCTION("""COMPUTED_VALUE"""),1352400.0)</f>
        <v>1352400</v>
      </c>
      <c r="C323" s="140" t="str">
        <f>IFERROR(__xludf.DUMMYFUNCTION("""COMPUTED_VALUE"""),"EN")</f>
        <v>EN</v>
      </c>
      <c r="D323" s="140" t="str">
        <f>IFERROR(__xludf.DUMMYFUNCTION("""COMPUTED_VALUE"""),"Microsoft Office 2016 Essential Training: 9 Course Bundle")</f>
        <v>Microsoft Office 2016 Essential Training: 9 Course Bundle</v>
      </c>
      <c r="F323" t="str">
        <f>IFERROR(__xludf.DUMMYFUNCTION("""COMPUTED_VALUE"""),"Simon Sez IT")</f>
        <v>Simon Sez IT</v>
      </c>
      <c r="G323" t="str">
        <f>IFERROR(__xludf.DUMMYFUNCTION("""COMPUTED_VALUE"""),"Instructor Request- No Detail")</f>
        <v>Instructor Request- No Detail</v>
      </c>
      <c r="H323" s="142" t="str">
        <f>IFERROR(__xludf.DUMMYFUNCTION("""COMPUTED_VALUE"""),"Office Productivity")</f>
        <v>Office Productivity</v>
      </c>
      <c r="I323" s="140" t="str">
        <f>IFERROR(__xludf.DUMMYFUNCTION("""COMPUTED_VALUE"""),"Word Processing")</f>
        <v>Word Processing</v>
      </c>
      <c r="J323" s="140">
        <f>IFERROR(__xludf.DUMMYFUNCTION("""COMPUTED_VALUE"""),659464.0)</f>
        <v>659464</v>
      </c>
      <c r="K323" s="140" t="str">
        <f>IFERROR(__xludf.DUMMYFUNCTION("""COMPUTED_VALUE"""),"Microsoft Excel Beginners &amp; Intermediate Excel Training")</f>
        <v>Microsoft Excel Beginners &amp; Intermediate Excel Training</v>
      </c>
      <c r="M323" s="140" t="str">
        <f>IFERROR(__xludf.DUMMYFUNCTION("""COMPUTED_VALUE"""),"")</f>
        <v/>
      </c>
    </row>
    <row r="324">
      <c r="A324" s="141">
        <f>IFERROR(__xludf.DUMMYFUNCTION("""COMPUTED_VALUE"""),44012.0)</f>
        <v>44012</v>
      </c>
      <c r="B324" s="145">
        <f>IFERROR(__xludf.DUMMYFUNCTION("""COMPUTED_VALUE"""),1506758.0)</f>
        <v>1506758</v>
      </c>
      <c r="C324" s="140" t="str">
        <f>IFERROR(__xludf.DUMMYFUNCTION("""COMPUTED_VALUE"""),"EN")</f>
        <v>EN</v>
      </c>
      <c r="D324" s="140" t="str">
        <f>IFERROR(__xludf.DUMMYFUNCTION("""COMPUTED_VALUE"""),"Ethereum Game Development: Build A Game On The Blockchain")</f>
        <v>Ethereum Game Development: Build A Game On The Blockchain</v>
      </c>
      <c r="F324" t="str">
        <f>IFERROR(__xludf.DUMMYFUNCTION("""COMPUTED_VALUE"""),"Ravinder Deol")</f>
        <v>Ravinder Deol</v>
      </c>
      <c r="G324" t="str">
        <f>IFERROR(__xludf.DUMMYFUNCTION("""COMPUTED_VALUE"""),"Instructor Request- No Detail")</f>
        <v>Instructor Request- No Detail</v>
      </c>
      <c r="H324" s="142" t="str">
        <f>IFERROR(__xludf.DUMMYFUNCTION("""COMPUTED_VALUE"""),"Development")</f>
        <v>Development</v>
      </c>
      <c r="I324" s="140" t="str">
        <f>IFERROR(__xludf.DUMMYFUNCTION("""COMPUTED_VALUE"""),"Game Development")</f>
        <v>Game Development</v>
      </c>
      <c r="J324" s="140">
        <f>IFERROR(__xludf.DUMMYFUNCTION("""COMPUTED_VALUE"""),1466612.0)</f>
        <v>1466612</v>
      </c>
      <c r="K324" s="140" t="str">
        <f>IFERROR(__xludf.DUMMYFUNCTION("""COMPUTED_VALUE"""),"Ethereum and Solidity: The Complete Developer's Guide")</f>
        <v>Ethereum and Solidity: The Complete Developer's Guide</v>
      </c>
      <c r="M324" s="140" t="str">
        <f>IFERROR(__xludf.DUMMYFUNCTION("""COMPUTED_VALUE"""),"")</f>
        <v/>
      </c>
    </row>
    <row r="325">
      <c r="A325" s="141">
        <f>IFERROR(__xludf.DUMMYFUNCTION("""COMPUTED_VALUE"""),44012.0)</f>
        <v>44012</v>
      </c>
      <c r="B325" s="145">
        <f>IFERROR(__xludf.DUMMYFUNCTION("""COMPUTED_VALUE"""),1643786.0)</f>
        <v>1643786</v>
      </c>
      <c r="C325" s="140" t="str">
        <f>IFERROR(__xludf.DUMMYFUNCTION("""COMPUTED_VALUE"""),"EN")</f>
        <v>EN</v>
      </c>
      <c r="D325" s="140" t="str">
        <f>IFERROR(__xludf.DUMMYFUNCTION("""COMPUTED_VALUE"""),"Security: Manage Network Security With pfSense Firewall")</f>
        <v>Security: Manage Network Security With pfSense Firewall</v>
      </c>
      <c r="F325" t="str">
        <f>IFERROR(__xludf.DUMMYFUNCTION("""COMPUTED_VALUE"""),"TetraNoodle Team")</f>
        <v>TetraNoodle Team</v>
      </c>
      <c r="G325" t="str">
        <f>IFERROR(__xludf.DUMMYFUNCTION("""COMPUTED_VALUE"""),"Below Quality Standards- Low Rating")</f>
        <v>Below Quality Standards- Low Rating</v>
      </c>
      <c r="H325" s="142" t="str">
        <f>IFERROR(__xludf.DUMMYFUNCTION("""COMPUTED_VALUE"""),"IT Operations")</f>
        <v>IT Operations</v>
      </c>
      <c r="I325" s="140" t="str">
        <f>IFERROR(__xludf.DUMMYFUNCTION("""COMPUTED_VALUE"""),"Network &amp; Security")</f>
        <v>Network &amp; Security</v>
      </c>
      <c r="K325" s="140" t="str">
        <f>IFERROR(__xludf.DUMMYFUNCTION("""COMPUTED_VALUE"""),"")</f>
        <v/>
      </c>
      <c r="M325" s="140" t="str">
        <f>IFERROR(__xludf.DUMMYFUNCTION("""COMPUTED_VALUE"""),"")</f>
        <v/>
      </c>
      <c r="N325" s="140" t="str">
        <f>IFERROR(__xludf.DUMMYFUNCTION("""COMPUTED_VALUE"""),"No Alternatives in Collection- 06/23")</f>
        <v>No Alternatives in Collection- 06/23</v>
      </c>
    </row>
    <row r="326">
      <c r="A326" s="141">
        <f>IFERROR(__xludf.DUMMYFUNCTION("""COMPUTED_VALUE"""),44012.0)</f>
        <v>44012</v>
      </c>
      <c r="B326" s="145">
        <f>IFERROR(__xludf.DUMMYFUNCTION("""COMPUTED_VALUE"""),1917582.0)</f>
        <v>1917582</v>
      </c>
      <c r="C326" s="140" t="str">
        <f>IFERROR(__xludf.DUMMYFUNCTION("""COMPUTED_VALUE"""),"EN")</f>
        <v>EN</v>
      </c>
      <c r="D326" s="140" t="str">
        <f>IFERROR(__xludf.DUMMYFUNCTION("""COMPUTED_VALUE"""),"Learn Advanced Python Programming")</f>
        <v>Learn Advanced Python Programming</v>
      </c>
      <c r="F326" t="str">
        <f>IFERROR(__xludf.DUMMYFUNCTION("""COMPUTED_VALUE"""),"Khan School")</f>
        <v>Khan School</v>
      </c>
      <c r="G326" t="str">
        <f>IFERROR(__xludf.DUMMYFUNCTION("""COMPUTED_VALUE"""),"Below Quality Standards- Low Rating")</f>
        <v>Below Quality Standards- Low Rating</v>
      </c>
      <c r="H326" s="142" t="str">
        <f>IFERROR(__xludf.DUMMYFUNCTION("""COMPUTED_VALUE"""),"Development")</f>
        <v>Development</v>
      </c>
      <c r="I326" s="140" t="str">
        <f>IFERROR(__xludf.DUMMYFUNCTION("""COMPUTED_VALUE"""),"Programming Languages")</f>
        <v>Programming Languages</v>
      </c>
      <c r="J326" s="140">
        <f>IFERROR(__xludf.DUMMYFUNCTION("""COMPUTED_VALUE"""),2473048.0)</f>
        <v>2473048</v>
      </c>
      <c r="K326" s="140" t="str">
        <f>IFERROR(__xludf.DUMMYFUNCTION("""COMPUTED_VALUE"""),"Complete Python Developer in 2022: Zero to Mastery")</f>
        <v>Complete Python Developer in 2022: Zero to Mastery</v>
      </c>
      <c r="M326" s="140" t="str">
        <f>IFERROR(__xludf.DUMMYFUNCTION("""COMPUTED_VALUE"""),"")</f>
        <v/>
      </c>
    </row>
    <row r="327">
      <c r="A327" s="141">
        <f>IFERROR(__xludf.DUMMYFUNCTION("""COMPUTED_VALUE"""),44012.0)</f>
        <v>44012</v>
      </c>
      <c r="B327" s="145">
        <f>IFERROR(__xludf.DUMMYFUNCTION("""COMPUTED_VALUE"""),1928442.0)</f>
        <v>1928442</v>
      </c>
      <c r="C327" s="140" t="str">
        <f>IFERROR(__xludf.DUMMYFUNCTION("""COMPUTED_VALUE"""),"EN")</f>
        <v>EN</v>
      </c>
      <c r="D327" s="140" t="str">
        <f>IFERROR(__xludf.DUMMYFUNCTION("""COMPUTED_VALUE"""),"Burp Suite Bug Bounty Web Hacking from Scratch")</f>
        <v>Burp Suite Bug Bounty Web Hacking from Scratch</v>
      </c>
      <c r="F327" t="str">
        <f>IFERROR(__xludf.DUMMYFUNCTION("""COMPUTED_VALUE"""),"Hackers Cloud Security")</f>
        <v>Hackers Cloud Security</v>
      </c>
      <c r="G327" t="str">
        <f>IFERROR(__xludf.DUMMYFUNCTION("""COMPUTED_VALUE"""),"Below Quality Standards- Low Rating")</f>
        <v>Below Quality Standards- Low Rating</v>
      </c>
      <c r="H327" s="142" t="str">
        <f>IFERROR(__xludf.DUMMYFUNCTION("""COMPUTED_VALUE"""),"IT Operations")</f>
        <v>IT Operations</v>
      </c>
      <c r="I327" s="140" t="str">
        <f>IFERROR(__xludf.DUMMYFUNCTION("""COMPUTED_VALUE"""),"Network &amp; Security")</f>
        <v>Network &amp; Security</v>
      </c>
      <c r="J327" s="140">
        <f>IFERROR(__xludf.DUMMYFUNCTION("""COMPUTED_VALUE"""),2232520.0)</f>
        <v>2232520</v>
      </c>
      <c r="K327" s="140" t="str">
        <f>IFERROR(__xludf.DUMMYFUNCTION("""COMPUTED_VALUE"""),"Ethical Hacking &amp; Bug Hunting: Buffer Overflow For Beginners")</f>
        <v>Ethical Hacking &amp; Bug Hunting: Buffer Overflow For Beginners</v>
      </c>
      <c r="M327" s="140" t="str">
        <f>IFERROR(__xludf.DUMMYFUNCTION("""COMPUTED_VALUE"""),"")</f>
        <v/>
      </c>
    </row>
    <row r="328">
      <c r="A328" s="141">
        <f>IFERROR(__xludf.DUMMYFUNCTION("""COMPUTED_VALUE"""),44012.0)</f>
        <v>44012</v>
      </c>
      <c r="B328" s="145">
        <f>IFERROR(__xludf.DUMMYFUNCTION("""COMPUTED_VALUE"""),1992276.0)</f>
        <v>1992276</v>
      </c>
      <c r="C328" s="140" t="str">
        <f>IFERROR(__xludf.DUMMYFUNCTION("""COMPUTED_VALUE"""),"DE")</f>
        <v>DE</v>
      </c>
      <c r="D328" s="140" t="str">
        <f>IFERROR(__xludf.DUMMYFUNCTION("""COMPUTED_VALUE"""),"Change Management - Verhalten und Handeln verstehen")</f>
        <v>Change Management - Verhalten und Handeln verstehen</v>
      </c>
      <c r="E328" t="str">
        <f>IFERROR(__xludf.DUMMYFUNCTION("""COMPUTED_VALUE"""),"understand behavior and actions - Change Management")</f>
        <v>understand behavior and actions - Change Management</v>
      </c>
      <c r="F328" t="str">
        <f>IFERROR(__xludf.DUMMYFUNCTION("""COMPUTED_VALUE"""),"Nicole Zieger")</f>
        <v>Nicole Zieger</v>
      </c>
      <c r="G328" t="str">
        <f>IFERROR(__xludf.DUMMYFUNCTION("""COMPUTED_VALUE"""),"Below Quality Standards- 3 Flags")</f>
        <v>Below Quality Standards- 3 Flags</v>
      </c>
      <c r="H328" s="142" t="str">
        <f>IFERROR(__xludf.DUMMYFUNCTION("""COMPUTED_VALUE"""),"Leadership &amp; Management")</f>
        <v>Leadership &amp; Management</v>
      </c>
      <c r="I328" s="140" t="str">
        <f>IFERROR(__xludf.DUMMYFUNCTION("""COMPUTED_VALUE"""),"Strategy")</f>
        <v>Strategy</v>
      </c>
      <c r="K328" s="140" t="str">
        <f>IFERROR(__xludf.DUMMYFUNCTION("""COMPUTED_VALUE"""),"")</f>
        <v/>
      </c>
      <c r="M328" s="140" t="str">
        <f>IFERROR(__xludf.DUMMYFUNCTION("""COMPUTED_VALUE"""),"")</f>
        <v/>
      </c>
    </row>
    <row r="329">
      <c r="A329" s="141">
        <f>IFERROR(__xludf.DUMMYFUNCTION("""COMPUTED_VALUE"""),44011.0)</f>
        <v>44011</v>
      </c>
      <c r="B329" s="145">
        <f>IFERROR(__xludf.DUMMYFUNCTION("""COMPUTED_VALUE"""),2826929.0)</f>
        <v>2826929</v>
      </c>
      <c r="C329" s="140" t="str">
        <f>IFERROR(__xludf.DUMMYFUNCTION("""COMPUTED_VALUE"""),"EN")</f>
        <v>EN</v>
      </c>
      <c r="D329" s="140" t="str">
        <f>IFERROR(__xludf.DUMMYFUNCTION("""COMPUTED_VALUE"""),"Workday Integrations")</f>
        <v>Workday Integrations</v>
      </c>
      <c r="F329" t="str">
        <f>IFERROR(__xludf.DUMMYFUNCTION("""COMPUTED_VALUE"""),"upCompetence Training")</f>
        <v>upCompetence Training</v>
      </c>
      <c r="G329" t="str">
        <f>IFERROR(__xludf.DUMMYFUNCTION("""COMPUTED_VALUE"""),"Copyright")</f>
        <v>Copyright</v>
      </c>
      <c r="H329" s="142" t="str">
        <f>IFERROR(__xludf.DUMMYFUNCTION("""COMPUTED_VALUE"""),"Workplace &amp; Human Resources")</f>
        <v>Workplace &amp; Human Resources</v>
      </c>
      <c r="I329" s="140" t="str">
        <f>IFERROR(__xludf.DUMMYFUNCTION("""COMPUTED_VALUE"""),"Talent Management")</f>
        <v>Talent Management</v>
      </c>
      <c r="K329" s="140" t="str">
        <f>IFERROR(__xludf.DUMMYFUNCTION("""COMPUTED_VALUE"""),"")</f>
        <v/>
      </c>
      <c r="M329" s="140" t="str">
        <f>IFERROR(__xludf.DUMMYFUNCTION("""COMPUTED_VALUE"""),"")</f>
        <v/>
      </c>
      <c r="N329" s="140" t="str">
        <f>IFERROR(__xludf.DUMMYFUNCTION("""COMPUTED_VALUE"""),"No Alternatives in Collection- 6/29")</f>
        <v>No Alternatives in Collection- 6/29</v>
      </c>
    </row>
    <row r="330">
      <c r="A330" s="141">
        <f>IFERROR(__xludf.DUMMYFUNCTION("""COMPUTED_VALUE"""),44011.0)</f>
        <v>44011</v>
      </c>
      <c r="B330" s="145">
        <f>IFERROR(__xludf.DUMMYFUNCTION("""COMPUTED_VALUE"""),2661056.0)</f>
        <v>2661056</v>
      </c>
      <c r="C330" s="140" t="str">
        <f>IFERROR(__xludf.DUMMYFUNCTION("""COMPUTED_VALUE"""),"EN")</f>
        <v>EN</v>
      </c>
      <c r="D330" s="140" t="str">
        <f>IFERROR(__xludf.DUMMYFUNCTION("""COMPUTED_VALUE"""),"Workday HCM (Human Capital Management)")</f>
        <v>Workday HCM (Human Capital Management)</v>
      </c>
      <c r="F330" t="str">
        <f>IFERROR(__xludf.DUMMYFUNCTION("""COMPUTED_VALUE"""),"upCompetence Training")</f>
        <v>upCompetence Training</v>
      </c>
      <c r="G330" t="str">
        <f>IFERROR(__xludf.DUMMYFUNCTION("""COMPUTED_VALUE"""),"Copyright")</f>
        <v>Copyright</v>
      </c>
      <c r="H330" s="142" t="str">
        <f>IFERROR(__xludf.DUMMYFUNCTION("""COMPUTED_VALUE"""),"Workplace &amp; Human Resources")</f>
        <v>Workplace &amp; Human Resources</v>
      </c>
      <c r="I330" s="140" t="str">
        <f>IFERROR(__xludf.DUMMYFUNCTION("""COMPUTED_VALUE"""),"Talent Management")</f>
        <v>Talent Management</v>
      </c>
      <c r="K330" s="140" t="str">
        <f>IFERROR(__xludf.DUMMYFUNCTION("""COMPUTED_VALUE"""),"")</f>
        <v/>
      </c>
      <c r="M330" s="140" t="str">
        <f>IFERROR(__xludf.DUMMYFUNCTION("""COMPUTED_VALUE"""),"")</f>
        <v/>
      </c>
      <c r="N330" s="140" t="str">
        <f>IFERROR(__xludf.DUMMYFUNCTION("""COMPUTED_VALUE"""),"No Alternatives in Collection- 6/29")</f>
        <v>No Alternatives in Collection- 6/29</v>
      </c>
    </row>
    <row r="331">
      <c r="A331" s="141">
        <f>IFERROR(__xludf.DUMMYFUNCTION("""COMPUTED_VALUE"""),43985.0)</f>
        <v>43985</v>
      </c>
      <c r="B331" s="145">
        <f>IFERROR(__xludf.DUMMYFUNCTION("""COMPUTED_VALUE"""),2580870.0)</f>
        <v>2580870</v>
      </c>
      <c r="C331" s="140" t="str">
        <f>IFERROR(__xludf.DUMMYFUNCTION("""COMPUTED_VALUE"""),"EN")</f>
        <v>EN</v>
      </c>
      <c r="D331" s="140" t="str">
        <f>IFERROR(__xludf.DUMMYFUNCTION("""COMPUTED_VALUE"""),"Scrum Master II™ Exam Prep 2020 - Pass on your FIRST try!")</f>
        <v>Scrum Master II™ Exam Prep 2020 - Pass on your FIRST try!</v>
      </c>
      <c r="F331" t="str">
        <f>IFERROR(__xludf.DUMMYFUNCTION("""COMPUTED_VALUE"""),"Hiro Takashimya")</f>
        <v>Hiro Takashimya</v>
      </c>
      <c r="G331" t="str">
        <f>IFERROR(__xludf.DUMMYFUNCTION("""COMPUTED_VALUE"""),"Copyright")</f>
        <v>Copyright</v>
      </c>
      <c r="H331" s="142" t="str">
        <f>IFERROR(__xludf.DUMMYFUNCTION("""COMPUTED_VALUE"""),"Project Management &amp; Operations")</f>
        <v>Project Management &amp; Operations</v>
      </c>
      <c r="I331" s="140" t="str">
        <f>IFERROR(__xludf.DUMMYFUNCTION("""COMPUTED_VALUE"""),"Agile &amp; Scrum")</f>
        <v>Agile &amp; Scrum</v>
      </c>
      <c r="J331" s="140">
        <f>IFERROR(__xludf.DUMMYFUNCTION("""COMPUTED_VALUE"""),1955188.0)</f>
        <v>1955188</v>
      </c>
      <c r="K331" s="140" t="str">
        <f>IFERROR(__xludf.DUMMYFUNCTION("""COMPUTED_VALUE"""),"Scrum Master Exam Prep")</f>
        <v>Scrum Master Exam Prep</v>
      </c>
      <c r="L331">
        <f>IFERROR(__xludf.DUMMYFUNCTION("""COMPUTED_VALUE"""),1703390.0)</f>
        <v>1703390</v>
      </c>
      <c r="M331" s="140" t="str">
        <f>IFERROR(__xludf.DUMMYFUNCTION("""COMPUTED_VALUE"""),"Scrum Master Professional Cert,Real Case,2021 Exam Questions")</f>
        <v>Scrum Master Professional Cert,Real Case,2021 Exam Questions</v>
      </c>
    </row>
    <row r="332">
      <c r="A332" s="141">
        <f>IFERROR(__xludf.DUMMYFUNCTION("""COMPUTED_VALUE"""),43984.0)</f>
        <v>43984</v>
      </c>
      <c r="B332" s="145">
        <f>IFERROR(__xludf.DUMMYFUNCTION("""COMPUTED_VALUE"""),1908196.0)</f>
        <v>1908196</v>
      </c>
      <c r="C332" s="140" t="str">
        <f>IFERROR(__xludf.DUMMYFUNCTION("""COMPUTED_VALUE"""),"EN")</f>
        <v>EN</v>
      </c>
      <c r="D332" s="140" t="str">
        <f>IFERROR(__xludf.DUMMYFUNCTION("""COMPUTED_VALUE"""),"Creative CSS Animations, Transitions And Transforms Course")</f>
        <v>Creative CSS Animations, Transitions And Transforms Course</v>
      </c>
      <c r="F332" t="str">
        <f>IFERROR(__xludf.DUMMYFUNCTION("""COMPUTED_VALUE"""),"Ahmed Sadek")</f>
        <v>Ahmed Sadek</v>
      </c>
      <c r="G332" t="str">
        <f>IFERROR(__xludf.DUMMYFUNCTION("""COMPUTED_VALUE"""),"Instructor Practices")</f>
        <v>Instructor Practices</v>
      </c>
      <c r="H332" s="142" t="str">
        <f>IFERROR(__xludf.DUMMYFUNCTION("""COMPUTED_VALUE"""),"Design")</f>
        <v>Design</v>
      </c>
      <c r="I332" s="140" t="str">
        <f>IFERROR(__xludf.DUMMYFUNCTION("""COMPUTED_VALUE"""),"3D &amp; Animation")</f>
        <v>3D &amp; Animation</v>
      </c>
      <c r="J332" s="140">
        <f>IFERROR(__xludf.DUMMYFUNCTION("""COMPUTED_VALUE"""),1026604.0)</f>
        <v>1026604</v>
      </c>
      <c r="K332" s="140" t="str">
        <f>IFERROR(__xludf.DUMMYFUNCTION("""COMPUTED_VALUE"""),"Advanced CSS and Sass: Flexbox, Grid, Animations and More!")</f>
        <v>Advanced CSS and Sass: Flexbox, Grid, Animations and More!</v>
      </c>
      <c r="L332">
        <f>IFERROR(__xludf.DUMMYFUNCTION("""COMPUTED_VALUE"""),939962.0)</f>
        <v>939962</v>
      </c>
      <c r="M332" s="140" t="str">
        <f>IFERROR(__xludf.DUMMYFUNCTION("""COMPUTED_VALUE"""),"Learn SVG Animation - With HTML, CSS &amp; Javascript")</f>
        <v>Learn SVG Animation - With HTML, CSS &amp; Javascript</v>
      </c>
    </row>
    <row r="333">
      <c r="A333" s="141">
        <f>IFERROR(__xludf.DUMMYFUNCTION("""COMPUTED_VALUE"""),43980.0)</f>
        <v>43980</v>
      </c>
      <c r="B333" s="145">
        <f>IFERROR(__xludf.DUMMYFUNCTION("""COMPUTED_VALUE"""),1388250.0)</f>
        <v>1388250</v>
      </c>
      <c r="C333" s="140" t="str">
        <f>IFERROR(__xludf.DUMMYFUNCTION("""COMPUTED_VALUE"""),"ES")</f>
        <v>ES</v>
      </c>
      <c r="D333" s="140" t="str">
        <f>IFERROR(__xludf.DUMMYFUNCTION("""COMPUTED_VALUE"""),"Spring Framework 5: Creando webapp de cero a experto (2020)")</f>
        <v>Spring Framework 5: Creando webapp de cero a experto (2020)</v>
      </c>
      <c r="E333" t="str">
        <f>IFERROR(__xludf.DUMMYFUNCTION("""COMPUTED_VALUE"""),"Spring Framework 5: Creating webapp zero expert (2020)")</f>
        <v>Spring Framework 5: Creating webapp zero expert (2020)</v>
      </c>
      <c r="F333" t="str">
        <f>IFERROR(__xludf.DUMMYFUNCTION("""COMPUTED_VALUE"""),"Andrés José Guzmán")</f>
        <v>Andrés José Guzmán</v>
      </c>
      <c r="G333" t="str">
        <f>IFERROR(__xludf.DUMMYFUNCTION("""COMPUTED_VALUE"""),"Instructor Request- No Detail")</f>
        <v>Instructor Request- No Detail</v>
      </c>
      <c r="H333" s="142" t="str">
        <f>IFERROR(__xludf.DUMMYFUNCTION("""COMPUTED_VALUE"""),"Development")</f>
        <v>Development</v>
      </c>
      <c r="I333" s="140" t="str">
        <f>IFERROR(__xludf.DUMMYFUNCTION("""COMPUTED_VALUE"""),"Web Development")</f>
        <v>Web Development</v>
      </c>
      <c r="K333" s="140" t="str">
        <f>IFERROR(__xludf.DUMMYFUNCTION("""COMPUTED_VALUE"""),"")</f>
        <v/>
      </c>
      <c r="M333" s="140" t="str">
        <f>IFERROR(__xludf.DUMMYFUNCTION("""COMPUTED_VALUE"""),"")</f>
        <v/>
      </c>
      <c r="N333" s="140" t="str">
        <f>IFERROR(__xludf.DUMMYFUNCTION("""COMPUTED_VALUE"""),"No Alternatives in Collection- 12/12")</f>
        <v>No Alternatives in Collection- 12/12</v>
      </c>
    </row>
    <row r="334">
      <c r="A334" s="141">
        <f>IFERROR(__xludf.DUMMYFUNCTION("""COMPUTED_VALUE"""),43980.0)</f>
        <v>43980</v>
      </c>
      <c r="B334" s="145">
        <f>IFERROR(__xludf.DUMMYFUNCTION("""COMPUTED_VALUE"""),1637906.0)</f>
        <v>1637906</v>
      </c>
      <c r="C334" s="140" t="str">
        <f>IFERROR(__xludf.DUMMYFUNCTION("""COMPUTED_VALUE"""),"ES")</f>
        <v>ES</v>
      </c>
      <c r="D334" s="140" t="str">
        <f>IFERROR(__xludf.DUMMYFUNCTION("""COMPUTED_VALUE"""),"Microsoft Office 365")</f>
        <v>Microsoft Office 365</v>
      </c>
      <c r="E334" t="str">
        <f>IFERROR(__xludf.DUMMYFUNCTION("""COMPUTED_VALUE"""),"Microsoft Office 365")</f>
        <v>Microsoft Office 365</v>
      </c>
      <c r="F334" t="str">
        <f>IFERROR(__xludf.DUMMYFUNCTION("""COMPUTED_VALUE"""),"SONIC Performance Support - E-Learning Experts")</f>
        <v>SONIC Performance Support - E-Learning Experts</v>
      </c>
      <c r="G334" t="str">
        <f>IFERROR(__xludf.DUMMYFUNCTION("""COMPUTED_VALUE"""),"Instructor Request- No Detail")</f>
        <v>Instructor Request- No Detail</v>
      </c>
      <c r="H334" s="142" t="str">
        <f>IFERROR(__xludf.DUMMYFUNCTION("""COMPUTED_VALUE"""),"Office Productivity")</f>
        <v>Office Productivity</v>
      </c>
      <c r="I334" s="140" t="str">
        <f>IFERROR(__xludf.DUMMYFUNCTION("""COMPUTED_VALUE"""),"Email &amp; Productivity")</f>
        <v>Email &amp; Productivity</v>
      </c>
      <c r="K334" s="140" t="str">
        <f>IFERROR(__xludf.DUMMYFUNCTION("""COMPUTED_VALUE"""),"")</f>
        <v/>
      </c>
      <c r="M334" s="140" t="str">
        <f>IFERROR(__xludf.DUMMYFUNCTION("""COMPUTED_VALUE"""),"")</f>
        <v/>
      </c>
      <c r="N334" s="140" t="str">
        <f>IFERROR(__xludf.DUMMYFUNCTION("""COMPUTED_VALUE"""),"No Alternatives in Collection- 12/12")</f>
        <v>No Alternatives in Collection- 12/12</v>
      </c>
    </row>
    <row r="335">
      <c r="A335" s="141">
        <f>IFERROR(__xludf.DUMMYFUNCTION("""COMPUTED_VALUE"""),43980.0)</f>
        <v>43980</v>
      </c>
      <c r="B335" s="145">
        <f>IFERROR(__xludf.DUMMYFUNCTION("""COMPUTED_VALUE"""),2376688.0)</f>
        <v>2376688</v>
      </c>
      <c r="C335" s="140" t="str">
        <f>IFERROR(__xludf.DUMMYFUNCTION("""COMPUTED_VALUE"""),"ES")</f>
        <v>ES</v>
      </c>
      <c r="D335" s="140" t="str">
        <f>IFERROR(__xludf.DUMMYFUNCTION("""COMPUTED_VALUE"""),"Microservicios con Spring Boot y Spring Cloud Netflix Eureka")</f>
        <v>Microservicios con Spring Boot y Spring Cloud Netflix Eureka</v>
      </c>
      <c r="E335" t="str">
        <f>IFERROR(__xludf.DUMMYFUNCTION("""COMPUTED_VALUE"""),"Microservicios con Spring Boot y Spring Cloud Netflix Eureka")</f>
        <v>Microservicios con Spring Boot y Spring Cloud Netflix Eureka</v>
      </c>
      <c r="F335" t="str">
        <f>IFERROR(__xludf.DUMMYFUNCTION("""COMPUTED_VALUE"""),"Andrés José Guzmán")</f>
        <v>Andrés José Guzmán</v>
      </c>
      <c r="G335" t="str">
        <f>IFERROR(__xludf.DUMMYFUNCTION("""COMPUTED_VALUE"""),"Instructor Request- No Detail")</f>
        <v>Instructor Request- No Detail</v>
      </c>
      <c r="H335" s="142" t="str">
        <f>IFERROR(__xludf.DUMMYFUNCTION("""COMPUTED_VALUE"""),"Cloud Computing")</f>
        <v>Cloud Computing</v>
      </c>
      <c r="I335" s="140" t="str">
        <f>IFERROR(__xludf.DUMMYFUNCTION("""COMPUTED_VALUE"""),"Cloud Development")</f>
        <v>Cloud Development</v>
      </c>
      <c r="J335" s="140">
        <f>IFERROR(__xludf.DUMMYFUNCTION("""COMPUTED_VALUE"""),1182814.0)</f>
        <v>1182814</v>
      </c>
      <c r="K335" s="140" t="str">
        <f>IFERROR(__xludf.DUMMYFUNCTION("""COMPUTED_VALUE"""),"SAP ABAP Programación Iniciación")</f>
        <v>SAP ABAP Programación Iniciación</v>
      </c>
      <c r="M335" s="140" t="str">
        <f>IFERROR(__xludf.DUMMYFUNCTION("""COMPUTED_VALUE"""),"")</f>
        <v/>
      </c>
    </row>
    <row r="336">
      <c r="A336" s="141">
        <f>IFERROR(__xludf.DUMMYFUNCTION("""COMPUTED_VALUE"""),43980.0)</f>
        <v>43980</v>
      </c>
      <c r="B336" s="145">
        <f>IFERROR(__xludf.DUMMYFUNCTION("""COMPUTED_VALUE"""),1930746.0)</f>
        <v>1930746</v>
      </c>
      <c r="C336" s="140" t="str">
        <f>IFERROR(__xludf.DUMMYFUNCTION("""COMPUTED_VALUE"""),"ES")</f>
        <v>ES</v>
      </c>
      <c r="D336" s="140" t="str">
        <f>IFERROR(__xludf.DUMMYFUNCTION("""COMPUTED_VALUE"""),"Curso De Francés Básico Para Hispanohablantes (paso a paso)")</f>
        <v>Curso De Francés Básico Para Hispanohablantes (paso a paso)</v>
      </c>
      <c r="E336" t="str">
        <f>IFERROR(__xludf.DUMMYFUNCTION("""COMPUTED_VALUE"""),"Basic French course for Spanish speakers (step by step)")</f>
        <v>Basic French course for Spanish speakers (step by step)</v>
      </c>
      <c r="F336" t="str">
        <f>IFERROR(__xludf.DUMMYFUNCTION("""COMPUTED_VALUE"""),"Camille &amp; Alán (LIFIN Online)")</f>
        <v>Camille &amp; Alán (LIFIN Online)</v>
      </c>
      <c r="G336" t="str">
        <f>IFERROR(__xludf.DUMMYFUNCTION("""COMPUTED_VALUE"""),"Instructor Request- Revenue")</f>
        <v>Instructor Request- Revenue</v>
      </c>
      <c r="H336" s="142" t="str">
        <f>IFERROR(__xludf.DUMMYFUNCTION("""COMPUTED_VALUE"""),"Personal Development")</f>
        <v>Personal Development</v>
      </c>
      <c r="I336" s="140" t="str">
        <f>IFERROR(__xludf.DUMMYFUNCTION("""COMPUTED_VALUE"""),"Language Learning")</f>
        <v>Language Learning</v>
      </c>
      <c r="K336" s="140" t="str">
        <f>IFERROR(__xludf.DUMMYFUNCTION("""COMPUTED_VALUE"""),"")</f>
        <v/>
      </c>
      <c r="M336" s="140" t="str">
        <f>IFERROR(__xludf.DUMMYFUNCTION("""COMPUTED_VALUE"""),"")</f>
        <v/>
      </c>
      <c r="N336" s="140" t="str">
        <f>IFERROR(__xludf.DUMMYFUNCTION("""COMPUTED_VALUE"""),"No Alternatives in Collection - 12/12")</f>
        <v>No Alternatives in Collection - 12/12</v>
      </c>
    </row>
    <row r="337">
      <c r="A337" s="141">
        <f>IFERROR(__xludf.DUMMYFUNCTION("""COMPUTED_VALUE"""),43980.0)</f>
        <v>43980</v>
      </c>
      <c r="B337" s="145">
        <f>IFERROR(__xludf.DUMMYFUNCTION("""COMPUTED_VALUE"""),1945360.0)</f>
        <v>1945360</v>
      </c>
      <c r="C337" s="140" t="str">
        <f>IFERROR(__xludf.DUMMYFUNCTION("""COMPUTED_VALUE"""),"ES")</f>
        <v>ES</v>
      </c>
      <c r="D337" s="140" t="str">
        <f>IFERROR(__xludf.DUMMYFUNCTION("""COMPUTED_VALUE"""),"Nagios: El estándar en monitoreo de infraestructura")</f>
        <v>Nagios: El estándar en monitoreo de infraestructura</v>
      </c>
      <c r="E337" t="str">
        <f>IFERROR(__xludf.DUMMYFUNCTION("""COMPUTED_VALUE"""),"Nagios: The standard infrastructure monitoring")</f>
        <v>Nagios: The standard infrastructure monitoring</v>
      </c>
      <c r="F337" t="str">
        <f>IFERROR(__xludf.DUMMYFUNCTION("""COMPUTED_VALUE"""),"Eduardo Nazareno Anselmi")</f>
        <v>Eduardo Nazareno Anselmi</v>
      </c>
      <c r="G337" t="str">
        <f>IFERROR(__xludf.DUMMYFUNCTION("""COMPUTED_VALUE"""),"Instructor Request- Opted Out")</f>
        <v>Instructor Request- Opted Out</v>
      </c>
      <c r="H337" s="142" t="str">
        <f>IFERROR(__xludf.DUMMYFUNCTION("""COMPUTED_VALUE"""),"IT Operations")</f>
        <v>IT Operations</v>
      </c>
      <c r="I337" s="140" t="str">
        <f>IFERROR(__xludf.DUMMYFUNCTION("""COMPUTED_VALUE"""),"Operating Systems &amp; Servers")</f>
        <v>Operating Systems &amp; Servers</v>
      </c>
      <c r="K337" s="140" t="str">
        <f>IFERROR(__xludf.DUMMYFUNCTION("""COMPUTED_VALUE"""),"")</f>
        <v/>
      </c>
      <c r="M337" s="140" t="str">
        <f>IFERROR(__xludf.DUMMYFUNCTION("""COMPUTED_VALUE"""),"")</f>
        <v/>
      </c>
      <c r="N337" s="140" t="str">
        <f>IFERROR(__xludf.DUMMYFUNCTION("""COMPUTED_VALUE"""),"No Alternatives in Colllectiion - 12/12")</f>
        <v>No Alternatives in Colllectiion - 12/12</v>
      </c>
    </row>
    <row r="338">
      <c r="A338" s="141">
        <f>IFERROR(__xludf.DUMMYFUNCTION("""COMPUTED_VALUE"""),43980.0)</f>
        <v>43980</v>
      </c>
      <c r="B338" s="145">
        <f>IFERROR(__xludf.DUMMYFUNCTION("""COMPUTED_VALUE"""),1998810.0)</f>
        <v>1998810</v>
      </c>
      <c r="C338" s="140" t="str">
        <f>IFERROR(__xludf.DUMMYFUNCTION("""COMPUTED_VALUE"""),"ES")</f>
        <v>ES</v>
      </c>
      <c r="D338" s="140" t="str">
        <f>IFERROR(__xludf.DUMMYFUNCTION("""COMPUTED_VALUE"""),"Bacula: La solución empresarial de copias de seguridad")</f>
        <v>Bacula: La solución empresarial de copias de seguridad</v>
      </c>
      <c r="E338" t="str">
        <f>IFERROR(__xludf.DUMMYFUNCTION("""COMPUTED_VALUE"""),"Bacula: The business backup solution")</f>
        <v>Bacula: The business backup solution</v>
      </c>
      <c r="F338" t="str">
        <f>IFERROR(__xludf.DUMMYFUNCTION("""COMPUTED_VALUE"""),"Eduardo Nazareno Anselmi")</f>
        <v>Eduardo Nazareno Anselmi</v>
      </c>
      <c r="G338" t="str">
        <f>IFERROR(__xludf.DUMMYFUNCTION("""COMPUTED_VALUE"""),"Instructor Request- Opted Out")</f>
        <v>Instructor Request- Opted Out</v>
      </c>
      <c r="H338" s="142" t="str">
        <f>IFERROR(__xludf.DUMMYFUNCTION("""COMPUTED_VALUE"""),"IT Operations")</f>
        <v>IT Operations</v>
      </c>
      <c r="I338" s="140" t="str">
        <f>IFERROR(__xludf.DUMMYFUNCTION("""COMPUTED_VALUE"""),"Network &amp; Security")</f>
        <v>Network &amp; Security</v>
      </c>
      <c r="K338" s="140" t="str">
        <f>IFERROR(__xludf.DUMMYFUNCTION("""COMPUTED_VALUE"""),"")</f>
        <v/>
      </c>
      <c r="M338" s="140" t="str">
        <f>IFERROR(__xludf.DUMMYFUNCTION("""COMPUTED_VALUE"""),"")</f>
        <v/>
      </c>
      <c r="N338" s="140" t="str">
        <f>IFERROR(__xludf.DUMMYFUNCTION("""COMPUTED_VALUE"""),"No Alternatives in Colllectiion - 12/12")</f>
        <v>No Alternatives in Colllectiion - 12/12</v>
      </c>
    </row>
    <row r="339">
      <c r="A339" s="141">
        <f>IFERROR(__xludf.DUMMYFUNCTION("""COMPUTED_VALUE"""),43980.0)</f>
        <v>43980</v>
      </c>
      <c r="B339" s="145">
        <f>IFERROR(__xludf.DUMMYFUNCTION("""COMPUTED_VALUE"""),637444.0)</f>
        <v>637444</v>
      </c>
      <c r="C339" s="140" t="str">
        <f>IFERROR(__xludf.DUMMYFUNCTION("""COMPUTED_VALUE"""),"ES")</f>
        <v>ES</v>
      </c>
      <c r="D339" s="140" t="str">
        <f>IFERROR(__xludf.DUMMYFUNCTION("""COMPUTED_VALUE"""),"Aprender Holandés para hispanohablantes")</f>
        <v>Aprender Holandés para hispanohablantes</v>
      </c>
      <c r="E339" t="str">
        <f>IFERROR(__xludf.DUMMYFUNCTION("""COMPUTED_VALUE"""),"Learn Dutch for Spanish speakers")</f>
        <v>Learn Dutch for Spanish speakers</v>
      </c>
      <c r="F339" t="str">
        <f>IFERROR(__xludf.DUMMYFUNCTION("""COMPUTED_VALUE"""),"Karin Lub")</f>
        <v>Karin Lub</v>
      </c>
      <c r="G339" t="str">
        <f>IFERROR(__xludf.DUMMYFUNCTION("""COMPUTED_VALUE"""),"Instructor Request- No Detail")</f>
        <v>Instructor Request- No Detail</v>
      </c>
      <c r="H339" s="142" t="str">
        <f>IFERROR(__xludf.DUMMYFUNCTION("""COMPUTED_VALUE"""),"Personal Development")</f>
        <v>Personal Development</v>
      </c>
      <c r="I339" s="140" t="str">
        <f>IFERROR(__xludf.DUMMYFUNCTION("""COMPUTED_VALUE"""),"Language Learning")</f>
        <v>Language Learning</v>
      </c>
      <c r="K339" s="140" t="str">
        <f>IFERROR(__xludf.DUMMYFUNCTION("""COMPUTED_VALUE"""),"")</f>
        <v/>
      </c>
      <c r="M339" s="140" t="str">
        <f>IFERROR(__xludf.DUMMYFUNCTION("""COMPUTED_VALUE"""),"")</f>
        <v/>
      </c>
      <c r="N339" s="140" t="str">
        <f>IFERROR(__xludf.DUMMYFUNCTION("""COMPUTED_VALUE"""),"No Alternatives in Collection - 12/12")</f>
        <v>No Alternatives in Collection - 12/12</v>
      </c>
    </row>
    <row r="340">
      <c r="A340" s="141">
        <f>IFERROR(__xludf.DUMMYFUNCTION("""COMPUTED_VALUE"""),43980.0)</f>
        <v>43980</v>
      </c>
      <c r="B340" s="145">
        <f>IFERROR(__xludf.DUMMYFUNCTION("""COMPUTED_VALUE"""),1858482.0)</f>
        <v>1858482</v>
      </c>
      <c r="C340" s="140" t="str">
        <f>IFERROR(__xludf.DUMMYFUNCTION("""COMPUTED_VALUE"""),"FR")</f>
        <v>FR</v>
      </c>
      <c r="D340" s="140" t="str">
        <f>IFERROR(__xludf.DUMMYFUNCTION("""COMPUTED_VALUE"""),"Photographie : Bases complètes pour débutants")</f>
        <v>Photographie : Bases complètes pour débutants</v>
      </c>
      <c r="E340" t="str">
        <f>IFERROR(__xludf.DUMMYFUNCTION("""COMPUTED_VALUE"""),"Photography: Complete Basics for Beginners")</f>
        <v>Photography: Complete Basics for Beginners</v>
      </c>
      <c r="F340" t="str">
        <f>IFERROR(__xludf.DUMMYFUNCTION("""COMPUTED_VALUE"""),"Olivier Schmitt")</f>
        <v>Olivier Schmitt</v>
      </c>
      <c r="G340" t="str">
        <f>IFERROR(__xludf.DUMMYFUNCTION("""COMPUTED_VALUE"""),"Instructor Request- No Detail")</f>
        <v>Instructor Request- No Detail</v>
      </c>
      <c r="H340" s="142" t="str">
        <f>IFERROR(__xludf.DUMMYFUNCTION("""COMPUTED_VALUE"""),"Personal Development")</f>
        <v>Personal Development</v>
      </c>
      <c r="I340" s="140" t="str">
        <f>IFERROR(__xludf.DUMMYFUNCTION("""COMPUTED_VALUE"""),"Arts &amp; Creativity")</f>
        <v>Arts &amp; Creativity</v>
      </c>
      <c r="K340" s="140" t="str">
        <f>IFERROR(__xludf.DUMMYFUNCTION("""COMPUTED_VALUE"""),"")</f>
        <v/>
      </c>
      <c r="M340" s="140" t="str">
        <f>IFERROR(__xludf.DUMMYFUNCTION("""COMPUTED_VALUE"""),"")</f>
        <v/>
      </c>
    </row>
    <row r="341">
      <c r="A341" s="141">
        <f>IFERROR(__xludf.DUMMYFUNCTION("""COMPUTED_VALUE"""),43980.0)</f>
        <v>43980</v>
      </c>
      <c r="B341" s="145">
        <f>IFERROR(__xludf.DUMMYFUNCTION("""COMPUTED_VALUE"""),1762754.0)</f>
        <v>1762754</v>
      </c>
      <c r="C341" s="140" t="str">
        <f>IFERROR(__xludf.DUMMYFUNCTION("""COMPUTED_VALUE"""),"PT")</f>
        <v>PT</v>
      </c>
      <c r="D341" s="140" t="str">
        <f>IFERROR(__xludf.DUMMYFUNCTION("""COMPUTED_VALUE"""),"Photoshop Para Todos")</f>
        <v>Photoshop Para Todos</v>
      </c>
      <c r="E341" t="str">
        <f>IFERROR(__xludf.DUMMYFUNCTION("""COMPUTED_VALUE"""),"Photoshop For All")</f>
        <v>Photoshop For All</v>
      </c>
      <c r="F341" t="str">
        <f>IFERROR(__xludf.DUMMYFUNCTION("""COMPUTED_VALUE"""),"Gustavo Rosa")</f>
        <v>Gustavo Rosa</v>
      </c>
      <c r="G341" t="str">
        <f>IFERROR(__xludf.DUMMYFUNCTION("""COMPUTED_VALUE"""),"Instructor Request- No Detail")</f>
        <v>Instructor Request- No Detail</v>
      </c>
      <c r="H341" s="142" t="str">
        <f>IFERROR(__xludf.DUMMYFUNCTION("""COMPUTED_VALUE"""),"Design")</f>
        <v>Design</v>
      </c>
      <c r="I341" s="140" t="str">
        <f>IFERROR(__xludf.DUMMYFUNCTION("""COMPUTED_VALUE"""),"Design Tools")</f>
        <v>Design Tools</v>
      </c>
      <c r="K341" s="140" t="str">
        <f>IFERROR(__xludf.DUMMYFUNCTION("""COMPUTED_VALUE"""),"")</f>
        <v/>
      </c>
      <c r="M341" s="140" t="str">
        <f>IFERROR(__xludf.DUMMYFUNCTION("""COMPUTED_VALUE"""),"")</f>
        <v/>
      </c>
    </row>
    <row r="342">
      <c r="A342" s="141">
        <f>IFERROR(__xludf.DUMMYFUNCTION("""COMPUTED_VALUE"""),43980.0)</f>
        <v>43980</v>
      </c>
      <c r="B342" s="145">
        <f>IFERROR(__xludf.DUMMYFUNCTION("""COMPUTED_VALUE"""),1198316.0)</f>
        <v>1198316</v>
      </c>
      <c r="C342" s="140" t="str">
        <f>IFERROR(__xludf.DUMMYFUNCTION("""COMPUTED_VALUE"""),"PT")</f>
        <v>PT</v>
      </c>
      <c r="D342" s="140" t="str">
        <f>IFERROR(__xludf.DUMMYFUNCTION("""COMPUTED_VALUE"""),"ZBrush")</f>
        <v>ZBrush</v>
      </c>
      <c r="E342" t="str">
        <f>IFERROR(__xludf.DUMMYFUNCTION("""COMPUTED_VALUE"""),"ZBrush")</f>
        <v>ZBrush</v>
      </c>
      <c r="F342" t="str">
        <f>IFERROR(__xludf.DUMMYFUNCTION("""COMPUTED_VALUE"""),"Gustavo Rosa")</f>
        <v>Gustavo Rosa</v>
      </c>
      <c r="G342" t="str">
        <f>IFERROR(__xludf.DUMMYFUNCTION("""COMPUTED_VALUE"""),"Instructor Request- No Detail")</f>
        <v>Instructor Request- No Detail</v>
      </c>
      <c r="H342" s="142" t="str">
        <f>IFERROR(__xludf.DUMMYFUNCTION("""COMPUTED_VALUE"""),"Design")</f>
        <v>Design</v>
      </c>
      <c r="I342" s="140" t="str">
        <f>IFERROR(__xludf.DUMMYFUNCTION("""COMPUTED_VALUE"""),"3D &amp; Animation")</f>
        <v>3D &amp; Animation</v>
      </c>
      <c r="K342" s="140" t="str">
        <f>IFERROR(__xludf.DUMMYFUNCTION("""COMPUTED_VALUE"""),"")</f>
        <v/>
      </c>
      <c r="M342" s="140" t="str">
        <f>IFERROR(__xludf.DUMMYFUNCTION("""COMPUTED_VALUE"""),"")</f>
        <v/>
      </c>
    </row>
    <row r="343">
      <c r="A343" s="141">
        <f>IFERROR(__xludf.DUMMYFUNCTION("""COMPUTED_VALUE"""),43980.0)</f>
        <v>43980</v>
      </c>
      <c r="B343" s="145">
        <f>IFERROR(__xludf.DUMMYFUNCTION("""COMPUTED_VALUE"""),718206.0)</f>
        <v>718206</v>
      </c>
      <c r="C343" s="140" t="str">
        <f>IFERROR(__xludf.DUMMYFUNCTION("""COMPUTED_VALUE"""),"DE")</f>
        <v>DE</v>
      </c>
      <c r="D343" s="140" t="str">
        <f>IFERROR(__xludf.DUMMYFUNCTION("""COMPUTED_VALUE"""),"Der Weg zum professionellen Softwareentwickler")</f>
        <v>Der Weg zum professionellen Softwareentwickler</v>
      </c>
      <c r="E343" t="str">
        <f>IFERROR(__xludf.DUMMYFUNCTION("""COMPUTED_VALUE"""),"The road to professional software developers")</f>
        <v>The road to professional software developers</v>
      </c>
      <c r="F343" t="str">
        <f>IFERROR(__xludf.DUMMYFUNCTION("""COMPUTED_VALUE"""),"Thorsten Diekhof")</f>
        <v>Thorsten Diekhof</v>
      </c>
      <c r="G343" t="str">
        <f>IFERROR(__xludf.DUMMYFUNCTION("""COMPUTED_VALUE"""),"Instructor Request- No Detail")</f>
        <v>Instructor Request- No Detail</v>
      </c>
      <c r="H343" s="142" t="str">
        <f>IFERROR(__xludf.DUMMYFUNCTION("""COMPUTED_VALUE"""),"Project Management &amp; Operations")</f>
        <v>Project Management &amp; Operations</v>
      </c>
      <c r="I343" s="140" t="str">
        <f>IFERROR(__xludf.DUMMYFUNCTION("""COMPUTED_VALUE"""),"Agile &amp; Scrum")</f>
        <v>Agile &amp; Scrum</v>
      </c>
      <c r="K343" s="140" t="str">
        <f>IFERROR(__xludf.DUMMYFUNCTION("""COMPUTED_VALUE"""),"")</f>
        <v/>
      </c>
      <c r="M343" s="140" t="str">
        <f>IFERROR(__xludf.DUMMYFUNCTION("""COMPUTED_VALUE"""),"")</f>
        <v/>
      </c>
    </row>
    <row r="344">
      <c r="A344" s="141">
        <f>IFERROR(__xludf.DUMMYFUNCTION("""COMPUTED_VALUE"""),43980.0)</f>
        <v>43980</v>
      </c>
      <c r="B344" s="145">
        <f>IFERROR(__xludf.DUMMYFUNCTION("""COMPUTED_VALUE"""),1540180.0)</f>
        <v>1540180</v>
      </c>
      <c r="C344" s="140" t="str">
        <f>IFERROR(__xludf.DUMMYFUNCTION("""COMPUTED_VALUE"""),"DE")</f>
        <v>DE</v>
      </c>
      <c r="D344" s="140" t="str">
        <f>IFERROR(__xludf.DUMMYFUNCTION("""COMPUTED_VALUE"""),"SCRUM verstehen — Agil denken und arbeiten")</f>
        <v>SCRUM verstehen — Agil denken und arbeiten</v>
      </c>
      <c r="E344" t="str">
        <f>IFERROR(__xludf.DUMMYFUNCTION("""COMPUTED_VALUE"""),"SCRUM understand - Agil think and work")</f>
        <v>SCRUM understand - Agil think and work</v>
      </c>
      <c r="F344" t="str">
        <f>IFERROR(__xludf.DUMMYFUNCTION("""COMPUTED_VALUE"""),"Thorsten Diekhof")</f>
        <v>Thorsten Diekhof</v>
      </c>
      <c r="G344" t="str">
        <f>IFERROR(__xludf.DUMMYFUNCTION("""COMPUTED_VALUE"""),"Instructor Request- No Detail")</f>
        <v>Instructor Request- No Detail</v>
      </c>
      <c r="H344" s="142" t="str">
        <f>IFERROR(__xludf.DUMMYFUNCTION("""COMPUTED_VALUE"""),"Project Management &amp; Operations")</f>
        <v>Project Management &amp; Operations</v>
      </c>
      <c r="I344" s="140" t="str">
        <f>IFERROR(__xludf.DUMMYFUNCTION("""COMPUTED_VALUE"""),"Agile &amp; Scrum")</f>
        <v>Agile &amp; Scrum</v>
      </c>
      <c r="K344" s="140" t="str">
        <f>IFERROR(__xludf.DUMMYFUNCTION("""COMPUTED_VALUE"""),"")</f>
        <v/>
      </c>
      <c r="M344" s="140" t="str">
        <f>IFERROR(__xludf.DUMMYFUNCTION("""COMPUTED_VALUE"""),"")</f>
        <v/>
      </c>
    </row>
    <row r="345">
      <c r="A345" s="141">
        <f>IFERROR(__xludf.DUMMYFUNCTION("""COMPUTED_VALUE"""),43980.0)</f>
        <v>43980</v>
      </c>
      <c r="B345" s="145">
        <f>IFERROR(__xludf.DUMMYFUNCTION("""COMPUTED_VALUE"""),1568690.0)</f>
        <v>1568690</v>
      </c>
      <c r="C345" s="140" t="str">
        <f>IFERROR(__xludf.DUMMYFUNCTION("""COMPUTED_VALUE"""),"DE")</f>
        <v>DE</v>
      </c>
      <c r="D345" s="140" t="str">
        <f>IFERROR(__xludf.DUMMYFUNCTION("""COMPUTED_VALUE"""),"Clean Code: Entwurfsmuster und objektorientiertes Design")</f>
        <v>Clean Code: Entwurfsmuster und objektorientiertes Design</v>
      </c>
      <c r="E345" t="str">
        <f>IFERROR(__xludf.DUMMYFUNCTION("""COMPUTED_VALUE"""),"Clean Code: design patterns and object-oriented design")</f>
        <v>Clean Code: design patterns and object-oriented design</v>
      </c>
      <c r="F345" t="str">
        <f>IFERROR(__xludf.DUMMYFUNCTION("""COMPUTED_VALUE"""),"Thorsten Diekhof")</f>
        <v>Thorsten Diekhof</v>
      </c>
      <c r="G345" t="str">
        <f>IFERROR(__xludf.DUMMYFUNCTION("""COMPUTED_VALUE"""),"Instructor Request- No Detail")</f>
        <v>Instructor Request- No Detail</v>
      </c>
      <c r="H345" s="142" t="str">
        <f>IFERROR(__xludf.DUMMYFUNCTION("""COMPUTED_VALUE"""),"Development")</f>
        <v>Development</v>
      </c>
      <c r="I345" s="140" t="str">
        <f>IFERROR(__xludf.DUMMYFUNCTION("""COMPUTED_VALUE"""),"Mobile Development")</f>
        <v>Mobile Development</v>
      </c>
      <c r="K345" s="140" t="str">
        <f>IFERROR(__xludf.DUMMYFUNCTION("""COMPUTED_VALUE"""),"")</f>
        <v/>
      </c>
      <c r="M345" s="140" t="str">
        <f>IFERROR(__xludf.DUMMYFUNCTION("""COMPUTED_VALUE"""),"")</f>
        <v/>
      </c>
    </row>
    <row r="346">
      <c r="A346" s="141">
        <f>IFERROR(__xludf.DUMMYFUNCTION("""COMPUTED_VALUE"""),43980.0)</f>
        <v>43980</v>
      </c>
      <c r="B346" s="145">
        <f>IFERROR(__xludf.DUMMYFUNCTION("""COMPUTED_VALUE"""),1646058.0)</f>
        <v>1646058</v>
      </c>
      <c r="C346" s="140" t="str">
        <f>IFERROR(__xludf.DUMMYFUNCTION("""COMPUTED_VALUE"""),"DE")</f>
        <v>DE</v>
      </c>
      <c r="D346" s="140" t="str">
        <f>IFERROR(__xludf.DUMMYFUNCTION("""COMPUTED_VALUE"""),"Agile Softwareentwicklung: Extreme Programming (XP) erklärt")</f>
        <v>Agile Softwareentwicklung: Extreme Programming (XP) erklärt</v>
      </c>
      <c r="E346" t="str">
        <f>IFERROR(__xludf.DUMMYFUNCTION("""COMPUTED_VALUE"""),"Agile software development: Extreme Programming (XP) explained")</f>
        <v>Agile software development: Extreme Programming (XP) explained</v>
      </c>
      <c r="F346" t="str">
        <f>IFERROR(__xludf.DUMMYFUNCTION("""COMPUTED_VALUE"""),"Thorsten Diekhof")</f>
        <v>Thorsten Diekhof</v>
      </c>
      <c r="G346" t="str">
        <f>IFERROR(__xludf.DUMMYFUNCTION("""COMPUTED_VALUE"""),"Instructor Request- No Detail")</f>
        <v>Instructor Request- No Detail</v>
      </c>
      <c r="H346" s="142" t="str">
        <f>IFERROR(__xludf.DUMMYFUNCTION("""COMPUTED_VALUE"""),"Project Management &amp; Operations")</f>
        <v>Project Management &amp; Operations</v>
      </c>
      <c r="I346" s="140" t="str">
        <f>IFERROR(__xludf.DUMMYFUNCTION("""COMPUTED_VALUE"""),"Agile &amp; Scrum")</f>
        <v>Agile &amp; Scrum</v>
      </c>
      <c r="K346" s="140" t="str">
        <f>IFERROR(__xludf.DUMMYFUNCTION("""COMPUTED_VALUE"""),"")</f>
        <v/>
      </c>
      <c r="M346" s="140" t="str">
        <f>IFERROR(__xludf.DUMMYFUNCTION("""COMPUTED_VALUE"""),"")</f>
        <v/>
      </c>
    </row>
    <row r="347">
      <c r="A347" s="141">
        <f>IFERROR(__xludf.DUMMYFUNCTION("""COMPUTED_VALUE"""),43980.0)</f>
        <v>43980</v>
      </c>
      <c r="B347" s="145">
        <f>IFERROR(__xludf.DUMMYFUNCTION("""COMPUTED_VALUE"""),1885138.0)</f>
        <v>1885138</v>
      </c>
      <c r="C347" s="140" t="str">
        <f>IFERROR(__xludf.DUMMYFUNCTION("""COMPUTED_VALUE"""),"DE")</f>
        <v>DE</v>
      </c>
      <c r="D347" s="140" t="str">
        <f>IFERROR(__xludf.DUMMYFUNCTION("""COMPUTED_VALUE"""),"Eine Einführung in Clean Code — saubere Software entwicklen!")</f>
        <v>Eine Einführung in Clean Code — saubere Software entwicklen!</v>
      </c>
      <c r="E347" t="str">
        <f>IFERROR(__xludf.DUMMYFUNCTION("""COMPUTED_VALUE"""),"An Introduction to Clean Code - develop clean software!")</f>
        <v>An Introduction to Clean Code - develop clean software!</v>
      </c>
      <c r="F347" t="str">
        <f>IFERROR(__xludf.DUMMYFUNCTION("""COMPUTED_VALUE"""),"Thorsten Diekhof")</f>
        <v>Thorsten Diekhof</v>
      </c>
      <c r="G347" t="str">
        <f>IFERROR(__xludf.DUMMYFUNCTION("""COMPUTED_VALUE"""),"Instructor Request- No Detail")</f>
        <v>Instructor Request- No Detail</v>
      </c>
      <c r="H347" s="142" t="str">
        <f>IFERROR(__xludf.DUMMYFUNCTION("""COMPUTED_VALUE"""),"Development")</f>
        <v>Development</v>
      </c>
      <c r="I347" s="140" t="str">
        <f>IFERROR(__xludf.DUMMYFUNCTION("""COMPUTED_VALUE"""),"Programming Languages")</f>
        <v>Programming Languages</v>
      </c>
      <c r="K347" s="140" t="str">
        <f>IFERROR(__xludf.DUMMYFUNCTION("""COMPUTED_VALUE"""),"")</f>
        <v/>
      </c>
      <c r="M347" s="140" t="str">
        <f>IFERROR(__xludf.DUMMYFUNCTION("""COMPUTED_VALUE"""),"")</f>
        <v/>
      </c>
    </row>
    <row r="348">
      <c r="A348" s="141">
        <f>IFERROR(__xludf.DUMMYFUNCTION("""COMPUTED_VALUE"""),43980.0)</f>
        <v>43980</v>
      </c>
      <c r="B348" s="145">
        <f>IFERROR(__xludf.DUMMYFUNCTION("""COMPUTED_VALUE"""),2154682.0)</f>
        <v>2154682</v>
      </c>
      <c r="C348" s="140" t="str">
        <f>IFERROR(__xludf.DUMMYFUNCTION("""COMPUTED_VALUE"""),"DE")</f>
        <v>DE</v>
      </c>
      <c r="D348" s="140" t="str">
        <f>IFERROR(__xludf.DUMMYFUNCTION("""COMPUTED_VALUE"""),"Pinterest Workshop für Anfänger - Die Macht von Pinterest!")</f>
        <v>Pinterest Workshop für Anfänger - Die Macht von Pinterest!</v>
      </c>
      <c r="E348" t="str">
        <f>IFERROR(__xludf.DUMMYFUNCTION("""COMPUTED_VALUE"""),"Share workshop for beginners - The Power of Pinterest!")</f>
        <v>Share workshop for beginners - The Power of Pinterest!</v>
      </c>
      <c r="F348" t="str">
        <f>IFERROR(__xludf.DUMMYFUNCTION("""COMPUTED_VALUE"""),"Sophia Wiesbeck")</f>
        <v>Sophia Wiesbeck</v>
      </c>
      <c r="G348" t="str">
        <f>IFERROR(__xludf.DUMMYFUNCTION("""COMPUTED_VALUE"""),"Instructor Request- No Detail")</f>
        <v>Instructor Request- No Detail</v>
      </c>
      <c r="H348" s="142" t="str">
        <f>IFERROR(__xludf.DUMMYFUNCTION("""COMPUTED_VALUE"""),"Marketing")</f>
        <v>Marketing</v>
      </c>
      <c r="I348" s="140" t="str">
        <f>IFERROR(__xludf.DUMMYFUNCTION("""COMPUTED_VALUE"""),"Social Media Marketing")</f>
        <v>Social Media Marketing</v>
      </c>
      <c r="K348" s="140" t="str">
        <f>IFERROR(__xludf.DUMMYFUNCTION("""COMPUTED_VALUE"""),"")</f>
        <v/>
      </c>
      <c r="M348" s="140" t="str">
        <f>IFERROR(__xludf.DUMMYFUNCTION("""COMPUTED_VALUE"""),"")</f>
        <v/>
      </c>
    </row>
    <row r="349">
      <c r="A349" s="141">
        <f>IFERROR(__xludf.DUMMYFUNCTION("""COMPUTED_VALUE"""),43980.0)</f>
        <v>43980</v>
      </c>
      <c r="B349" s="145">
        <f>IFERROR(__xludf.DUMMYFUNCTION("""COMPUTED_VALUE"""),1563516.0)</f>
        <v>1563516</v>
      </c>
      <c r="C349" s="140" t="str">
        <f>IFERROR(__xludf.DUMMYFUNCTION("""COMPUTED_VALUE"""),"EN")</f>
        <v>EN</v>
      </c>
      <c r="D349" s="140" t="str">
        <f>IFERROR(__xludf.DUMMYFUNCTION("""COMPUTED_VALUE"""),"The Soul of Leadership with Deepak Chopra")</f>
        <v>The Soul of Leadership with Deepak Chopra</v>
      </c>
      <c r="F349" t="str">
        <f>IFERROR(__xludf.DUMMYFUNCTION("""COMPUTED_VALUE"""),"GrapeVine Productions")</f>
        <v>GrapeVine Productions</v>
      </c>
      <c r="G349" t="str">
        <f>IFERROR(__xludf.DUMMYFUNCTION("""COMPUTED_VALUE"""),"Instructor Request- Opted Out")</f>
        <v>Instructor Request- Opted Out</v>
      </c>
      <c r="H349" s="142" t="str">
        <f>IFERROR(__xludf.DUMMYFUNCTION("""COMPUTED_VALUE"""),"Leadership &amp; Management")</f>
        <v>Leadership &amp; Management</v>
      </c>
      <c r="I349" s="140" t="str">
        <f>IFERROR(__xludf.DUMMYFUNCTION("""COMPUTED_VALUE"""),"Leadership")</f>
        <v>Leadership</v>
      </c>
      <c r="J349" s="140">
        <f>IFERROR(__xludf.DUMMYFUNCTION("""COMPUTED_VALUE"""),613808.0)</f>
        <v>613808</v>
      </c>
      <c r="K349" s="140" t="str">
        <f>IFERROR(__xludf.DUMMYFUNCTION("""COMPUTED_VALUE"""),"Leadership: Practical Leadership Skills")</f>
        <v>Leadership: Practical Leadership Skills</v>
      </c>
      <c r="L349">
        <f>IFERROR(__xludf.DUMMYFUNCTION("""COMPUTED_VALUE"""),988524.0)</f>
        <v>988524</v>
      </c>
      <c r="M349" s="140" t="str">
        <f>IFERROR(__xludf.DUMMYFUNCTION("""COMPUTED_VALUE"""),"Management Skills: New Manager Training in Essential Skills")</f>
        <v>Management Skills: New Manager Training in Essential Skills</v>
      </c>
    </row>
    <row r="350">
      <c r="A350" s="141">
        <f>IFERROR(__xludf.DUMMYFUNCTION("""COMPUTED_VALUE"""),43980.0)</f>
        <v>43980</v>
      </c>
      <c r="B350" s="145">
        <f>IFERROR(__xludf.DUMMYFUNCTION("""COMPUTED_VALUE"""),523082.0)</f>
        <v>523082</v>
      </c>
      <c r="C350" s="140" t="str">
        <f>IFERROR(__xludf.DUMMYFUNCTION("""COMPUTED_VALUE"""),"EN")</f>
        <v>EN</v>
      </c>
      <c r="D350" s="140" t="str">
        <f>IFERROR(__xludf.DUMMYFUNCTION("""COMPUTED_VALUE"""),"Google Tag Manager for Beginners+ (Challenges)")</f>
        <v>Google Tag Manager for Beginners+ (Challenges)</v>
      </c>
      <c r="F350" t="str">
        <f>IFERROR(__xludf.DUMMYFUNCTION("""COMPUTED_VALUE"""),"Julian Juenemann")</f>
        <v>Julian Juenemann</v>
      </c>
      <c r="G350" t="str">
        <f>IFERROR(__xludf.DUMMYFUNCTION("""COMPUTED_VALUE"""),"Instructor Request- No Detail")</f>
        <v>Instructor Request- No Detail</v>
      </c>
      <c r="H350" s="142" t="str">
        <f>IFERROR(__xludf.DUMMYFUNCTION("""COMPUTED_VALUE"""),"Marketing")</f>
        <v>Marketing</v>
      </c>
      <c r="I350" s="140" t="str">
        <f>IFERROR(__xludf.DUMMYFUNCTION("""COMPUTED_VALUE"""),"Digital Marketing")</f>
        <v>Digital Marketing</v>
      </c>
      <c r="K350" s="140" t="str">
        <f>IFERROR(__xludf.DUMMYFUNCTION("""COMPUTED_VALUE"""),"")</f>
        <v/>
      </c>
      <c r="M350" s="140" t="str">
        <f>IFERROR(__xludf.DUMMYFUNCTION("""COMPUTED_VALUE"""),"")</f>
        <v/>
      </c>
      <c r="N350" s="140" t="str">
        <f>IFERROR(__xludf.DUMMYFUNCTION("""COMPUTED_VALUE"""),"No Alternatives in Collection - 12/12")</f>
        <v>No Alternatives in Collection - 12/12</v>
      </c>
    </row>
    <row r="351">
      <c r="A351" s="141">
        <f>IFERROR(__xludf.DUMMYFUNCTION("""COMPUTED_VALUE"""),43980.0)</f>
        <v>43980</v>
      </c>
      <c r="B351" s="145">
        <f>IFERROR(__xludf.DUMMYFUNCTION("""COMPUTED_VALUE"""),1123098.0)</f>
        <v>1123098</v>
      </c>
      <c r="C351" s="140" t="str">
        <f>IFERROR(__xludf.DUMMYFUNCTION("""COMPUTED_VALUE"""),"EN")</f>
        <v>EN</v>
      </c>
      <c r="D351" s="140" t="str">
        <f>IFERROR(__xludf.DUMMYFUNCTION("""COMPUTED_VALUE"""),"Reactive Angular Course (with RxJs)")</f>
        <v>Reactive Angular Course (with RxJs)</v>
      </c>
      <c r="F351" t="str">
        <f>IFERROR(__xludf.DUMMYFUNCTION("""COMPUTED_VALUE"""),"Angular University")</f>
        <v>Angular University</v>
      </c>
      <c r="G351" t="str">
        <f>IFERROR(__xludf.DUMMYFUNCTION("""COMPUTED_VALUE"""),"Course Ineligible")</f>
        <v>Course Ineligible</v>
      </c>
      <c r="H351" s="142" t="str">
        <f>IFERROR(__xludf.DUMMYFUNCTION("""COMPUTED_VALUE"""),"Development")</f>
        <v>Development</v>
      </c>
      <c r="I351" s="140" t="str">
        <f>IFERROR(__xludf.DUMMYFUNCTION("""COMPUTED_VALUE"""),"Web Development")</f>
        <v>Web Development</v>
      </c>
      <c r="K351" s="140" t="str">
        <f>IFERROR(__xludf.DUMMYFUNCTION("""COMPUTED_VALUE"""),"")</f>
        <v/>
      </c>
      <c r="M351" s="140" t="str">
        <f>IFERROR(__xludf.DUMMYFUNCTION("""COMPUTED_VALUE"""),"")</f>
        <v/>
      </c>
      <c r="N351" s="140" t="str">
        <f>IFERROR(__xludf.DUMMYFUNCTION("""COMPUTED_VALUE"""),"No Alternatives in Collection- 12/11")</f>
        <v>No Alternatives in Collection- 12/11</v>
      </c>
    </row>
    <row r="352">
      <c r="A352" s="141">
        <f>IFERROR(__xludf.DUMMYFUNCTION("""COMPUTED_VALUE"""),43980.0)</f>
        <v>43980</v>
      </c>
      <c r="B352" s="145">
        <f>IFERROR(__xludf.DUMMYFUNCTION("""COMPUTED_VALUE"""),1776342.0)</f>
        <v>1776342</v>
      </c>
      <c r="C352" s="140" t="str">
        <f>IFERROR(__xludf.DUMMYFUNCTION("""COMPUTED_VALUE"""),"EN")</f>
        <v>EN</v>
      </c>
      <c r="D352" s="140" t="str">
        <f>IFERROR(__xludf.DUMMYFUNCTION("""COMPUTED_VALUE"""),"Webpack 4 in 2020: The Complete Tutorial For Beginners")</f>
        <v>Webpack 4 in 2020: The Complete Tutorial For Beginners</v>
      </c>
      <c r="F352" t="str">
        <f>IFERROR(__xludf.DUMMYFUNCTION("""COMPUTED_VALUE"""),"Viktor Pyskunov")</f>
        <v>Viktor Pyskunov</v>
      </c>
      <c r="G352" t="str">
        <f>IFERROR(__xludf.DUMMYFUNCTION("""COMPUTED_VALUE"""),"Instructor Request- Opted Out")</f>
        <v>Instructor Request- Opted Out</v>
      </c>
      <c r="H352" s="142" t="str">
        <f>IFERROR(__xludf.DUMMYFUNCTION("""COMPUTED_VALUE"""),"Development")</f>
        <v>Development</v>
      </c>
      <c r="I352" s="140" t="str">
        <f>IFERROR(__xludf.DUMMYFUNCTION("""COMPUTED_VALUE"""),"Web Development")</f>
        <v>Web Development</v>
      </c>
      <c r="J352" s="140">
        <f>IFERROR(__xludf.DUMMYFUNCTION("""COMPUTED_VALUE"""),1420562.0)</f>
        <v>1420562</v>
      </c>
      <c r="K352" s="140" t="str">
        <f>IFERROR(__xludf.DUMMYFUNCTION("""COMPUTED_VALUE"""),"Webpack 4: Beyond the Basics")</f>
        <v>Webpack 4: Beyond the Basics</v>
      </c>
      <c r="M352" s="140" t="str">
        <f>IFERROR(__xludf.DUMMYFUNCTION("""COMPUTED_VALUE"""),"")</f>
        <v/>
      </c>
    </row>
    <row r="353">
      <c r="A353" s="141">
        <f>IFERROR(__xludf.DUMMYFUNCTION("""COMPUTED_VALUE"""),43980.0)</f>
        <v>43980</v>
      </c>
      <c r="B353" s="145">
        <f>IFERROR(__xludf.DUMMYFUNCTION("""COMPUTED_VALUE"""),1726420.0)</f>
        <v>1726420</v>
      </c>
      <c r="C353" s="140" t="str">
        <f>IFERROR(__xludf.DUMMYFUNCTION("""COMPUTED_VALUE"""),"EN")</f>
        <v>EN</v>
      </c>
      <c r="D353" s="140" t="str">
        <f>IFERROR(__xludf.DUMMYFUNCTION("""COMPUTED_VALUE"""),"RxJs 6 In Practice (with FREE E-Book)")</f>
        <v>RxJs 6 In Practice (with FREE E-Book)</v>
      </c>
      <c r="F353" t="str">
        <f>IFERROR(__xludf.DUMMYFUNCTION("""COMPUTED_VALUE"""),"Angular University")</f>
        <v>Angular University</v>
      </c>
      <c r="G353" t="str">
        <f>IFERROR(__xludf.DUMMYFUNCTION("""COMPUTED_VALUE"""),"Course Ineligible")</f>
        <v>Course Ineligible</v>
      </c>
      <c r="H353" s="142" t="str">
        <f>IFERROR(__xludf.DUMMYFUNCTION("""COMPUTED_VALUE"""),"Development")</f>
        <v>Development</v>
      </c>
      <c r="I353" s="140" t="str">
        <f>IFERROR(__xludf.DUMMYFUNCTION("""COMPUTED_VALUE"""),"Web Development")</f>
        <v>Web Development</v>
      </c>
      <c r="K353" s="140" t="str">
        <f>IFERROR(__xludf.DUMMYFUNCTION("""COMPUTED_VALUE"""),"")</f>
        <v/>
      </c>
      <c r="M353" s="140" t="str">
        <f>IFERROR(__xludf.DUMMYFUNCTION("""COMPUTED_VALUE"""),"")</f>
        <v/>
      </c>
      <c r="N353" s="140" t="str">
        <f>IFERROR(__xludf.DUMMYFUNCTION("""COMPUTED_VALUE"""),"No Alternatives in Collection- 12/11")</f>
        <v>No Alternatives in Collection- 12/11</v>
      </c>
    </row>
    <row r="354">
      <c r="A354" s="141">
        <f>IFERROR(__xludf.DUMMYFUNCTION("""COMPUTED_VALUE"""),43980.0)</f>
        <v>43980</v>
      </c>
      <c r="B354" s="145">
        <f>IFERROR(__xludf.DUMMYFUNCTION("""COMPUTED_VALUE"""),1472960.0)</f>
        <v>1472960</v>
      </c>
      <c r="C354" s="140" t="str">
        <f>IFERROR(__xludf.DUMMYFUNCTION("""COMPUTED_VALUE"""),"EN")</f>
        <v>EN</v>
      </c>
      <c r="D354" s="140" t="str">
        <f>IFERROR(__xludf.DUMMYFUNCTION("""COMPUTED_VALUE"""),"Zbrush: Hard Surface Sculpting for All Levels!")</f>
        <v>Zbrush: Hard Surface Sculpting for All Levels!</v>
      </c>
      <c r="F354" t="str">
        <f>IFERROR(__xludf.DUMMYFUNCTION("""COMPUTED_VALUE"""),"Sean Fowler")</f>
        <v>Sean Fowler</v>
      </c>
      <c r="G354" t="str">
        <f>IFERROR(__xludf.DUMMYFUNCTION("""COMPUTED_VALUE"""),"Instructor Request- No Detail")</f>
        <v>Instructor Request- No Detail</v>
      </c>
      <c r="H354" s="142" t="str">
        <f>IFERROR(__xludf.DUMMYFUNCTION("""COMPUTED_VALUE"""),"Design")</f>
        <v>Design</v>
      </c>
      <c r="I354" s="140" t="str">
        <f>IFERROR(__xludf.DUMMYFUNCTION("""COMPUTED_VALUE"""),"3D &amp; Animation")</f>
        <v>3D &amp; Animation</v>
      </c>
      <c r="J354" s="140">
        <f>IFERROR(__xludf.DUMMYFUNCTION("""COMPUTED_VALUE"""),2117824.0)</f>
        <v>2117824</v>
      </c>
      <c r="K354" s="140" t="str">
        <f>IFERROR(__xludf.DUMMYFUNCTION("""COMPUTED_VALUE"""),"")</f>
        <v/>
      </c>
      <c r="M354" s="140" t="str">
        <f>IFERROR(__xludf.DUMMYFUNCTION("""COMPUTED_VALUE"""),"")</f>
        <v/>
      </c>
    </row>
    <row r="355">
      <c r="A355" s="141">
        <f>IFERROR(__xludf.DUMMYFUNCTION("""COMPUTED_VALUE"""),43980.0)</f>
        <v>43980</v>
      </c>
      <c r="B355" s="145">
        <f>IFERROR(__xludf.DUMMYFUNCTION("""COMPUTED_VALUE"""),1673770.0)</f>
        <v>1673770</v>
      </c>
      <c r="C355" s="140" t="str">
        <f>IFERROR(__xludf.DUMMYFUNCTION("""COMPUTED_VALUE"""),"EN")</f>
        <v>EN</v>
      </c>
      <c r="D355" s="140" t="str">
        <f>IFERROR(__xludf.DUMMYFUNCTION("""COMPUTED_VALUE"""),"NgRx (with NgRx Data) - The Complete Guide (FREE E-Book)")</f>
        <v>NgRx (with NgRx Data) - The Complete Guide (FREE E-Book)</v>
      </c>
      <c r="F355" t="str">
        <f>IFERROR(__xludf.DUMMYFUNCTION("""COMPUTED_VALUE"""),"Angular University")</f>
        <v>Angular University</v>
      </c>
      <c r="G355" t="str">
        <f>IFERROR(__xludf.DUMMYFUNCTION("""COMPUTED_VALUE"""),"Course Ineligible")</f>
        <v>Course Ineligible</v>
      </c>
      <c r="H355" s="142" t="str">
        <f>IFERROR(__xludf.DUMMYFUNCTION("""COMPUTED_VALUE"""),"Development")</f>
        <v>Development</v>
      </c>
      <c r="I355" s="140" t="str">
        <f>IFERROR(__xludf.DUMMYFUNCTION("""COMPUTED_VALUE"""),"Web Development")</f>
        <v>Web Development</v>
      </c>
      <c r="K355" s="140" t="str">
        <f>IFERROR(__xludf.DUMMYFUNCTION("""COMPUTED_VALUE"""),"")</f>
        <v/>
      </c>
      <c r="M355" s="140" t="str">
        <f>IFERROR(__xludf.DUMMYFUNCTION("""COMPUTED_VALUE"""),"")</f>
        <v/>
      </c>
      <c r="N355" s="140" t="str">
        <f>IFERROR(__xludf.DUMMYFUNCTION("""COMPUTED_VALUE"""),"No Alternatives in Collection- 12/11")</f>
        <v>No Alternatives in Collection- 12/11</v>
      </c>
    </row>
    <row r="356">
      <c r="A356" s="141">
        <f>IFERROR(__xludf.DUMMYFUNCTION("""COMPUTED_VALUE"""),43998.0)</f>
        <v>43998</v>
      </c>
      <c r="B356" s="145">
        <f>IFERROR(__xludf.DUMMYFUNCTION("""COMPUTED_VALUE"""),1023566.0)</f>
        <v>1023566</v>
      </c>
      <c r="C356" s="140" t="str">
        <f>IFERROR(__xludf.DUMMYFUNCTION("""COMPUTED_VALUE"""),"EN")</f>
        <v>EN</v>
      </c>
      <c r="D356" s="140" t="str">
        <f>IFERROR(__xludf.DUMMYFUNCTION("""COMPUTED_VALUE"""),"JNCIA-Junos JN0-103")</f>
        <v>JNCIA-Junos JN0-103</v>
      </c>
      <c r="F356" t="str">
        <f>IFERROR(__xludf.DUMMYFUNCTION("""COMPUTED_VALUE"""),"S2 Academy")</f>
        <v>S2 Academy</v>
      </c>
      <c r="G356" t="str">
        <f>IFERROR(__xludf.DUMMYFUNCTION("""COMPUTED_VALUE"""),"Instructor Request- No Detail")</f>
        <v>Instructor Request- No Detail</v>
      </c>
      <c r="H356" s="142" t="str">
        <f>IFERROR(__xludf.DUMMYFUNCTION("""COMPUTED_VALUE"""),"IT Operations")</f>
        <v>IT Operations</v>
      </c>
      <c r="I356" s="140" t="str">
        <f>IFERROR(__xludf.DUMMYFUNCTION("""COMPUTED_VALUE"""),"Network &amp; Security")</f>
        <v>Network &amp; Security</v>
      </c>
      <c r="K356" s="140" t="str">
        <f>IFERROR(__xludf.DUMMYFUNCTION("""COMPUTED_VALUE"""),"")</f>
        <v/>
      </c>
      <c r="M356" s="140" t="str">
        <f>IFERROR(__xludf.DUMMYFUNCTION("""COMPUTED_VALUE"""),"")</f>
        <v/>
      </c>
      <c r="N356" s="140" t="str">
        <f>IFERROR(__xludf.DUMMYFUNCTION("""COMPUTED_VALUE"""),"No Alternatives in Collection - 12/12")</f>
        <v>No Alternatives in Collection - 12/12</v>
      </c>
    </row>
    <row r="357">
      <c r="A357" s="141">
        <f>IFERROR(__xludf.DUMMYFUNCTION("""COMPUTED_VALUE"""),43998.0)</f>
        <v>43998</v>
      </c>
      <c r="B357" s="145">
        <f>IFERROR(__xludf.DUMMYFUNCTION("""COMPUTED_VALUE"""),1706442.0)</f>
        <v>1706442</v>
      </c>
      <c r="C357" s="140" t="str">
        <f>IFERROR(__xludf.DUMMYFUNCTION("""COMPUTED_VALUE"""),"EN")</f>
        <v>EN</v>
      </c>
      <c r="D357" s="140" t="str">
        <f>IFERROR(__xludf.DUMMYFUNCTION("""COMPUTED_VALUE"""),"JNCIA-Junos JN0-103 Practice Exams")</f>
        <v>JNCIA-Junos JN0-103 Practice Exams</v>
      </c>
      <c r="F357" t="str">
        <f>IFERROR(__xludf.DUMMYFUNCTION("""COMPUTED_VALUE"""),"S2 Academy")</f>
        <v>S2 Academy</v>
      </c>
      <c r="G357" t="str">
        <f>IFERROR(__xludf.DUMMYFUNCTION("""COMPUTED_VALUE"""),"Instructor Request- No Detail")</f>
        <v>Instructor Request- No Detail</v>
      </c>
      <c r="H357" s="142" t="str">
        <f>IFERROR(__xludf.DUMMYFUNCTION("""COMPUTED_VALUE"""),"IT Operations")</f>
        <v>IT Operations</v>
      </c>
      <c r="I357" s="140" t="str">
        <f>IFERROR(__xludf.DUMMYFUNCTION("""COMPUTED_VALUE"""),"IT Certifications")</f>
        <v>IT Certifications</v>
      </c>
      <c r="K357" s="140" t="str">
        <f>IFERROR(__xludf.DUMMYFUNCTION("""COMPUTED_VALUE"""),"")</f>
        <v/>
      </c>
      <c r="M357" s="140" t="str">
        <f>IFERROR(__xludf.DUMMYFUNCTION("""COMPUTED_VALUE"""),"")</f>
        <v/>
      </c>
      <c r="N357" s="140" t="str">
        <f>IFERROR(__xludf.DUMMYFUNCTION("""COMPUTED_VALUE"""),"No Alternatives in Collection - 12/12")</f>
        <v>No Alternatives in Collection - 12/12</v>
      </c>
    </row>
    <row r="358">
      <c r="A358" s="141">
        <f>IFERROR(__xludf.DUMMYFUNCTION("""COMPUTED_VALUE"""),43980.0)</f>
        <v>43980</v>
      </c>
      <c r="B358" s="145">
        <f>IFERROR(__xludf.DUMMYFUNCTION("""COMPUTED_VALUE"""),1885262.0)</f>
        <v>1885262</v>
      </c>
      <c r="C358" s="140" t="str">
        <f>IFERROR(__xludf.DUMMYFUNCTION("""COMPUTED_VALUE"""),"EN")</f>
        <v>EN</v>
      </c>
      <c r="D358" s="140" t="str">
        <f>IFERROR(__xludf.DUMMYFUNCTION("""COMPUTED_VALUE"""),"Angular Core Deep Dive (with FREE E-Book)")</f>
        <v>Angular Core Deep Dive (with FREE E-Book)</v>
      </c>
      <c r="F358" t="str">
        <f>IFERROR(__xludf.DUMMYFUNCTION("""COMPUTED_VALUE"""),"Angular University")</f>
        <v>Angular University</v>
      </c>
      <c r="G358" t="str">
        <f>IFERROR(__xludf.DUMMYFUNCTION("""COMPUTED_VALUE"""),"Course Ineligible")</f>
        <v>Course Ineligible</v>
      </c>
      <c r="H358" s="142" t="str">
        <f>IFERROR(__xludf.DUMMYFUNCTION("""COMPUTED_VALUE"""),"Development")</f>
        <v>Development</v>
      </c>
      <c r="I358" s="140" t="str">
        <f>IFERROR(__xludf.DUMMYFUNCTION("""COMPUTED_VALUE"""),"Web Development")</f>
        <v>Web Development</v>
      </c>
      <c r="K358" s="140" t="str">
        <f>IFERROR(__xludf.DUMMYFUNCTION("""COMPUTED_VALUE"""),"")</f>
        <v/>
      </c>
      <c r="M358" s="140" t="str">
        <f>IFERROR(__xludf.DUMMYFUNCTION("""COMPUTED_VALUE"""),"")</f>
        <v/>
      </c>
      <c r="N358" s="140" t="str">
        <f>IFERROR(__xludf.DUMMYFUNCTION("""COMPUTED_VALUE"""),"No Alternatives in Collection- 12/11")</f>
        <v>No Alternatives in Collection- 12/11</v>
      </c>
    </row>
    <row r="359">
      <c r="A359" s="141">
        <f>IFERROR(__xludf.DUMMYFUNCTION("""COMPUTED_VALUE"""),43980.0)</f>
        <v>43980</v>
      </c>
      <c r="B359" s="145">
        <f>IFERROR(__xludf.DUMMYFUNCTION("""COMPUTED_VALUE"""),2448476.0)</f>
        <v>2448476</v>
      </c>
      <c r="C359" s="140" t="str">
        <f>IFERROR(__xludf.DUMMYFUNCTION("""COMPUTED_VALUE"""),"EN")</f>
        <v>EN</v>
      </c>
      <c r="D359" s="140" t="str">
        <f>IFERROR(__xludf.DUMMYFUNCTION("""COMPUTED_VALUE"""),"All about Deception and Dishonesty, Learn from the Research!")</f>
        <v>All about Deception and Dishonesty, Learn from the Research!</v>
      </c>
      <c r="F359" t="str">
        <f>IFERROR(__xludf.DUMMYFUNCTION("""COMPUTED_VALUE"""),"Sivakami S")</f>
        <v>Sivakami S</v>
      </c>
      <c r="G359" t="str">
        <f>IFERROR(__xludf.DUMMYFUNCTION("""COMPUTED_VALUE"""),"Instructor Request- Reviews")</f>
        <v>Instructor Request- Reviews</v>
      </c>
      <c r="H359" s="142" t="str">
        <f>IFERROR(__xludf.DUMMYFUNCTION("""COMPUTED_VALUE"""),"Leadership &amp; Management")</f>
        <v>Leadership &amp; Management</v>
      </c>
      <c r="I359" s="140" t="str">
        <f>IFERROR(__xludf.DUMMYFUNCTION("""COMPUTED_VALUE"""),"Communication")</f>
        <v>Communication</v>
      </c>
      <c r="K359" s="140" t="str">
        <f>IFERROR(__xludf.DUMMYFUNCTION("""COMPUTED_VALUE"""),"")</f>
        <v/>
      </c>
      <c r="M359" s="140" t="str">
        <f>IFERROR(__xludf.DUMMYFUNCTION("""COMPUTED_VALUE"""),"")</f>
        <v/>
      </c>
      <c r="N359" s="140" t="str">
        <f>IFERROR(__xludf.DUMMYFUNCTION("""COMPUTED_VALUE"""),"No Alternatives in Collection - 12/12")</f>
        <v>No Alternatives in Collection - 12/12</v>
      </c>
    </row>
    <row r="360">
      <c r="A360" s="141">
        <f>IFERROR(__xludf.DUMMYFUNCTION("""COMPUTED_VALUE"""),43980.0)</f>
        <v>43980</v>
      </c>
      <c r="B360" s="145">
        <f>IFERROR(__xludf.DUMMYFUNCTION("""COMPUTED_VALUE"""),739942.0)</f>
        <v>739942</v>
      </c>
      <c r="C360" s="140" t="str">
        <f>IFERROR(__xludf.DUMMYFUNCTION("""COMPUTED_VALUE"""),"EN")</f>
        <v>EN</v>
      </c>
      <c r="D360" s="140" t="str">
        <f>IFERROR(__xludf.DUMMYFUNCTION("""COMPUTED_VALUE"""),"Master Microsoft Excel 2013 &amp; 2016 for Beginners")</f>
        <v>Master Microsoft Excel 2013 &amp; 2016 for Beginners</v>
      </c>
      <c r="F360" t="str">
        <f>IFERROR(__xludf.DUMMYFUNCTION("""COMPUTED_VALUE"""),"Simon Sez IT")</f>
        <v>Simon Sez IT</v>
      </c>
      <c r="G360" t="str">
        <f>IFERROR(__xludf.DUMMYFUNCTION("""COMPUTED_VALUE"""),"Course Ineligible")</f>
        <v>Course Ineligible</v>
      </c>
      <c r="H360" s="142" t="str">
        <f>IFERROR(__xludf.DUMMYFUNCTION("""COMPUTED_VALUE"""),"Office Productivity")</f>
        <v>Office Productivity</v>
      </c>
      <c r="I360" s="140" t="str">
        <f>IFERROR(__xludf.DUMMYFUNCTION("""COMPUTED_VALUE"""),"Spreadsheets")</f>
        <v>Spreadsheets</v>
      </c>
      <c r="J360" s="140">
        <f>IFERROR(__xludf.DUMMYFUNCTION("""COMPUTED_VALUE"""),793796.0)</f>
        <v>793796</v>
      </c>
      <c r="K360" s="140" t="str">
        <f>IFERROR(__xludf.DUMMYFUNCTION("""COMPUTED_VALUE"""),"Microsoft Excel - Excel from Beginner to Advanced")</f>
        <v>Microsoft Excel - Excel from Beginner to Advanced</v>
      </c>
      <c r="L360">
        <f>IFERROR(__xludf.DUMMYFUNCTION("""COMPUTED_VALUE"""),948866.0)</f>
        <v>948866</v>
      </c>
      <c r="M360" s="140" t="str">
        <f>IFERROR(__xludf.DUMMYFUNCTION("""COMPUTED_VALUE"""),"Excel Essentials: The Complete Excel Series - Level 1, 2 &amp; 3")</f>
        <v>Excel Essentials: The Complete Excel Series - Level 1, 2 &amp; 3</v>
      </c>
    </row>
    <row r="361">
      <c r="A361" s="141">
        <f>IFERROR(__xludf.DUMMYFUNCTION("""COMPUTED_VALUE"""),43980.0)</f>
        <v>43980</v>
      </c>
      <c r="B361" s="145">
        <f>IFERROR(__xludf.DUMMYFUNCTION("""COMPUTED_VALUE"""),1204590.0)</f>
        <v>1204590</v>
      </c>
      <c r="C361" s="140" t="str">
        <f>IFERROR(__xludf.DUMMYFUNCTION("""COMPUTED_VALUE"""),"EN")</f>
        <v>EN</v>
      </c>
      <c r="D361" s="140" t="str">
        <f>IFERROR(__xludf.DUMMYFUNCTION("""COMPUTED_VALUE"""),"Angular Advanced MasterClass &amp; FREE E-Book")</f>
        <v>Angular Advanced MasterClass &amp; FREE E-Book</v>
      </c>
      <c r="F361" t="str">
        <f>IFERROR(__xludf.DUMMYFUNCTION("""COMPUTED_VALUE"""),"Angular University")</f>
        <v>Angular University</v>
      </c>
      <c r="G361" t="str">
        <f>IFERROR(__xludf.DUMMYFUNCTION("""COMPUTED_VALUE"""),"Course Ineligible")</f>
        <v>Course Ineligible</v>
      </c>
      <c r="H361" s="142" t="str">
        <f>IFERROR(__xludf.DUMMYFUNCTION("""COMPUTED_VALUE"""),"Development")</f>
        <v>Development</v>
      </c>
      <c r="I361" s="140" t="str">
        <f>IFERROR(__xludf.DUMMYFUNCTION("""COMPUTED_VALUE"""),"Web Development")</f>
        <v>Web Development</v>
      </c>
      <c r="J361" s="140">
        <f>IFERROR(__xludf.DUMMYFUNCTION("""COMPUTED_VALUE"""),756150.0)</f>
        <v>756150</v>
      </c>
      <c r="K361" s="140" t="str">
        <f>IFERROR(__xludf.DUMMYFUNCTION("""COMPUTED_VALUE"""),"Angular - The Complete Guide (2022 Edition)")</f>
        <v>Angular - The Complete Guide (2022 Edition)</v>
      </c>
      <c r="M361" s="140" t="str">
        <f>IFERROR(__xludf.DUMMYFUNCTION("""COMPUTED_VALUE"""),"")</f>
        <v/>
      </c>
    </row>
    <row r="362">
      <c r="A362" s="141">
        <f>IFERROR(__xludf.DUMMYFUNCTION("""COMPUTED_VALUE"""),43980.0)</f>
        <v>43980</v>
      </c>
      <c r="B362" s="145">
        <f>IFERROR(__xludf.DUMMYFUNCTION("""COMPUTED_VALUE"""),1302770.0)</f>
        <v>1302770</v>
      </c>
      <c r="C362" s="140" t="str">
        <f>IFERROR(__xludf.DUMMYFUNCTION("""COMPUTED_VALUE"""),"EN")</f>
        <v>EN</v>
      </c>
      <c r="D362" s="140" t="str">
        <f>IFERROR(__xludf.DUMMYFUNCTION("""COMPUTED_VALUE"""),"Angular Security Masterclass (with FREE E-Book)")</f>
        <v>Angular Security Masterclass (with FREE E-Book)</v>
      </c>
      <c r="F362" t="str">
        <f>IFERROR(__xludf.DUMMYFUNCTION("""COMPUTED_VALUE"""),"Angular University")</f>
        <v>Angular University</v>
      </c>
      <c r="G362" t="str">
        <f>IFERROR(__xludf.DUMMYFUNCTION("""COMPUTED_VALUE"""),"Course Ineligible")</f>
        <v>Course Ineligible</v>
      </c>
      <c r="H362" s="142" t="str">
        <f>IFERROR(__xludf.DUMMYFUNCTION("""COMPUTED_VALUE"""),"Development")</f>
        <v>Development</v>
      </c>
      <c r="I362" s="140" t="str">
        <f>IFERROR(__xludf.DUMMYFUNCTION("""COMPUTED_VALUE"""),"Web Development")</f>
        <v>Web Development</v>
      </c>
      <c r="K362" s="140" t="str">
        <f>IFERROR(__xludf.DUMMYFUNCTION("""COMPUTED_VALUE"""),"")</f>
        <v/>
      </c>
      <c r="M362" s="140" t="str">
        <f>IFERROR(__xludf.DUMMYFUNCTION("""COMPUTED_VALUE"""),"")</f>
        <v/>
      </c>
      <c r="N362" s="140" t="str">
        <f>IFERROR(__xludf.DUMMYFUNCTION("""COMPUTED_VALUE"""),"No Alternatives in Collection- 12/11")</f>
        <v>No Alternatives in Collection- 12/11</v>
      </c>
    </row>
    <row r="363">
      <c r="A363" s="141">
        <f>IFERROR(__xludf.DUMMYFUNCTION("""COMPUTED_VALUE"""),43980.0)</f>
        <v>43980</v>
      </c>
      <c r="B363" s="145">
        <f>IFERROR(__xludf.DUMMYFUNCTION("""COMPUTED_VALUE"""),128082.0)</f>
        <v>128082</v>
      </c>
      <c r="C363" s="140" t="str">
        <f>IFERROR(__xludf.DUMMYFUNCTION("""COMPUTED_VALUE"""),"EN")</f>
        <v>EN</v>
      </c>
      <c r="D363" s="140" t="str">
        <f>IFERROR(__xludf.DUMMYFUNCTION("""COMPUTED_VALUE"""),"The Ultimate QuickBooks Pro Training Bundle - 60+ Hours")</f>
        <v>The Ultimate QuickBooks Pro Training Bundle - 60+ Hours</v>
      </c>
      <c r="F363" t="str">
        <f>IFERROR(__xludf.DUMMYFUNCTION("""COMPUTED_VALUE"""),"Simon Sez IT")</f>
        <v>Simon Sez IT</v>
      </c>
      <c r="G363" t="str">
        <f>IFERROR(__xludf.DUMMYFUNCTION("""COMPUTED_VALUE"""),"Course Ineligible")</f>
        <v>Course Ineligible</v>
      </c>
      <c r="H363" s="142" t="str">
        <f>IFERROR(__xludf.DUMMYFUNCTION("""COMPUTED_VALUE"""),"Finance &amp; Accounting")</f>
        <v>Finance &amp; Accounting</v>
      </c>
      <c r="I363" s="140" t="str">
        <f>IFERROR(__xludf.DUMMYFUNCTION("""COMPUTED_VALUE"""),"Accounting Software")</f>
        <v>Accounting Software</v>
      </c>
      <c r="J363" s="140">
        <f>IFERROR(__xludf.DUMMYFUNCTION("""COMPUTED_VALUE"""),1044708.0)</f>
        <v>1044708</v>
      </c>
      <c r="K363" s="140" t="str">
        <f>IFERROR(__xludf.DUMMYFUNCTION("""COMPUTED_VALUE"""),"")</f>
        <v/>
      </c>
      <c r="L363">
        <f>IFERROR(__xludf.DUMMYFUNCTION("""COMPUTED_VALUE"""),627760.0)</f>
        <v>627760</v>
      </c>
      <c r="M363" s="140" t="str">
        <f>IFERROR(__xludf.DUMMYFUNCTION("""COMPUTED_VALUE"""),"Master QuickBooks Pro 2015 &amp; 2016 the Easy Way")</f>
        <v>Master QuickBooks Pro 2015 &amp; 2016 the Easy Way</v>
      </c>
    </row>
    <row r="364">
      <c r="A364" s="141">
        <f>IFERROR(__xludf.DUMMYFUNCTION("""COMPUTED_VALUE"""),43980.0)</f>
        <v>43980</v>
      </c>
      <c r="B364" s="145">
        <f>IFERROR(__xludf.DUMMYFUNCTION("""COMPUTED_VALUE"""),1037426.0)</f>
        <v>1037426</v>
      </c>
      <c r="C364" s="140" t="str">
        <f>IFERROR(__xludf.DUMMYFUNCTION("""COMPUTED_VALUE"""),"EN")</f>
        <v>EN</v>
      </c>
      <c r="D364" s="140" t="str">
        <f>IFERROR(__xludf.DUMMYFUNCTION("""COMPUTED_VALUE"""),"Robust Qt &amp; C++ Gui Programming 2D Graphics App Tutorial")</f>
        <v>Robust Qt &amp; C++ Gui Programming 2D Graphics App Tutorial</v>
      </c>
      <c r="F364" t="str">
        <f>IFERROR(__xludf.DUMMYFUNCTION("""COMPUTED_VALUE"""),"Dan Munteanu")</f>
        <v>Dan Munteanu</v>
      </c>
      <c r="G364" t="str">
        <f>IFERROR(__xludf.DUMMYFUNCTION("""COMPUTED_VALUE"""),"Instructor Request- No Detail")</f>
        <v>Instructor Request- No Detail</v>
      </c>
      <c r="H364" s="142" t="str">
        <f>IFERROR(__xludf.DUMMYFUNCTION("""COMPUTED_VALUE"""),"Development")</f>
        <v>Development</v>
      </c>
      <c r="I364" s="140" t="str">
        <f>IFERROR(__xludf.DUMMYFUNCTION("""COMPUTED_VALUE"""),"Web Development")</f>
        <v>Web Development</v>
      </c>
      <c r="K364" s="140" t="str">
        <f>IFERROR(__xludf.DUMMYFUNCTION("""COMPUTED_VALUE"""),"")</f>
        <v/>
      </c>
      <c r="M364" s="140" t="str">
        <f>IFERROR(__xludf.DUMMYFUNCTION("""COMPUTED_VALUE"""),"")</f>
        <v/>
      </c>
      <c r="N364" s="140" t="str">
        <f>IFERROR(__xludf.DUMMYFUNCTION("""COMPUTED_VALUE"""),"No Alternatives in Collection - 12/12")</f>
        <v>No Alternatives in Collection - 12/12</v>
      </c>
    </row>
    <row r="365">
      <c r="A365" s="141">
        <f>IFERROR(__xludf.DUMMYFUNCTION("""COMPUTED_VALUE"""),43980.0)</f>
        <v>43980</v>
      </c>
      <c r="B365" s="145">
        <f>IFERROR(__xludf.DUMMYFUNCTION("""COMPUTED_VALUE"""),579158.0)</f>
        <v>579158</v>
      </c>
      <c r="C365" s="140" t="str">
        <f>IFERROR(__xludf.DUMMYFUNCTION("""COMPUTED_VALUE"""),"EN")</f>
        <v>EN</v>
      </c>
      <c r="D365" s="140" t="str">
        <f>IFERROR(__xludf.DUMMYFUNCTION("""COMPUTED_VALUE"""),"CompTIA Project+ Exam Prep")</f>
        <v>CompTIA Project+ Exam Prep</v>
      </c>
      <c r="F365" t="str">
        <f>IFERROR(__xludf.DUMMYFUNCTION("""COMPUTED_VALUE"""),"Joseph Phillips")</f>
        <v>Joseph Phillips</v>
      </c>
      <c r="G365" t="str">
        <f>IFERROR(__xludf.DUMMYFUNCTION("""COMPUTED_VALUE"""),"Instructor Request- Outdated")</f>
        <v>Instructor Request- Outdated</v>
      </c>
      <c r="H365" s="142" t="str">
        <f>IFERROR(__xludf.DUMMYFUNCTION("""COMPUTED_VALUE"""),"Project Management &amp; Operations")</f>
        <v>Project Management &amp; Operations</v>
      </c>
      <c r="I365" s="140" t="str">
        <f>IFERROR(__xludf.DUMMYFUNCTION("""COMPUTED_VALUE"""),"Project Management Certifications")</f>
        <v>Project Management Certifications</v>
      </c>
      <c r="J365" s="140">
        <f>IFERROR(__xludf.DUMMYFUNCTION("""COMPUTED_VALUE"""),2890668.0)</f>
        <v>2890668</v>
      </c>
      <c r="K365" s="140" t="str">
        <f>IFERROR(__xludf.DUMMYFUNCTION("""COMPUTED_VALUE"""),"Pass the Exam: CompTIA Project+ PK0-004")</f>
        <v>Pass the Exam: CompTIA Project+ PK0-004</v>
      </c>
      <c r="M365" s="140" t="str">
        <f>IFERROR(__xludf.DUMMYFUNCTION("""COMPUTED_VALUE"""),"")</f>
        <v/>
      </c>
    </row>
    <row r="366">
      <c r="A366" s="141">
        <f>IFERROR(__xludf.DUMMYFUNCTION("""COMPUTED_VALUE"""),43980.0)</f>
        <v>43980</v>
      </c>
      <c r="B366" s="145">
        <f>IFERROR(__xludf.DUMMYFUNCTION("""COMPUTED_VALUE"""),986406.0)</f>
        <v>986406</v>
      </c>
      <c r="C366" s="140" t="str">
        <f>IFERROR(__xludf.DUMMYFUNCTION("""COMPUTED_VALUE"""),"EN")</f>
        <v>EN</v>
      </c>
      <c r="D366" s="140" t="str">
        <f>IFERROR(__xludf.DUMMYFUNCTION("""COMPUTED_VALUE"""),"Typescript Masterclass &amp; FREE E-Book")</f>
        <v>Typescript Masterclass &amp; FREE E-Book</v>
      </c>
      <c r="F366" t="str">
        <f>IFERROR(__xludf.DUMMYFUNCTION("""COMPUTED_VALUE"""),"Angular University")</f>
        <v>Angular University</v>
      </c>
      <c r="G366" t="str">
        <f>IFERROR(__xludf.DUMMYFUNCTION("""COMPUTED_VALUE"""),"Course Ineligible")</f>
        <v>Course Ineligible</v>
      </c>
      <c r="H366" s="142" t="str">
        <f>IFERROR(__xludf.DUMMYFUNCTION("""COMPUTED_VALUE"""),"Development")</f>
        <v>Development</v>
      </c>
      <c r="I366" s="140" t="str">
        <f>IFERROR(__xludf.DUMMYFUNCTION("""COMPUTED_VALUE"""),"Web Development")</f>
        <v>Web Development</v>
      </c>
      <c r="J366" s="140">
        <f>IFERROR(__xludf.DUMMYFUNCTION("""COMPUTED_VALUE"""),947098.0)</f>
        <v>947098</v>
      </c>
      <c r="K366" s="140" t="str">
        <f>IFERROR(__xludf.DUMMYFUNCTION("""COMPUTED_VALUE"""),"Understanding TypeScript - 2022 Edition")</f>
        <v>Understanding TypeScript - 2022 Edition</v>
      </c>
      <c r="M366" s="140" t="str">
        <f>IFERROR(__xludf.DUMMYFUNCTION("""COMPUTED_VALUE"""),"")</f>
        <v/>
      </c>
    </row>
    <row r="367">
      <c r="A367" s="141">
        <f>IFERROR(__xludf.DUMMYFUNCTION("""COMPUTED_VALUE"""),43980.0)</f>
        <v>43980</v>
      </c>
      <c r="B367" s="145">
        <f>IFERROR(__xludf.DUMMYFUNCTION("""COMPUTED_VALUE"""),1803394.0)</f>
        <v>1803394</v>
      </c>
      <c r="C367" s="140" t="str">
        <f>IFERROR(__xludf.DUMMYFUNCTION("""COMPUTED_VALUE"""),"EN")</f>
        <v>EN</v>
      </c>
      <c r="D367" s="140" t="str">
        <f>IFERROR(__xludf.DUMMYFUNCTION("""COMPUTED_VALUE"""),"Chatfuel for Beginners: Build a Chatbot Without Coding")</f>
        <v>Chatfuel for Beginners: Build a Chatbot Without Coding</v>
      </c>
      <c r="F367" t="str">
        <f>IFERROR(__xludf.DUMMYFUNCTION("""COMPUTED_VALUE"""),"Jinhoe Lian")</f>
        <v>Jinhoe Lian</v>
      </c>
      <c r="G367" t="str">
        <f>IFERROR(__xludf.DUMMYFUNCTION("""COMPUTED_VALUE"""),"Instructor Request- Outdated")</f>
        <v>Instructor Request- Outdated</v>
      </c>
      <c r="H367" s="142" t="str">
        <f>IFERROR(__xludf.DUMMYFUNCTION("""COMPUTED_VALUE"""),"Marketing")</f>
        <v>Marketing</v>
      </c>
      <c r="I367" s="140" t="str">
        <f>IFERROR(__xludf.DUMMYFUNCTION("""COMPUTED_VALUE"""),"Digital Marketing")</f>
        <v>Digital Marketing</v>
      </c>
      <c r="J367" s="140">
        <f>IFERROR(__xludf.DUMMYFUNCTION("""COMPUTED_VALUE"""),1271308.0)</f>
        <v>1271308</v>
      </c>
      <c r="K367" s="140" t="str">
        <f>IFERROR(__xludf.DUMMYFUNCTION("""COMPUTED_VALUE"""),"Building a Facebook Chatbot in Chatfuel")</f>
        <v>Building a Facebook Chatbot in Chatfuel</v>
      </c>
      <c r="M367" s="140" t="str">
        <f>IFERROR(__xludf.DUMMYFUNCTION("""COMPUTED_VALUE"""),"")</f>
        <v/>
      </c>
    </row>
    <row r="368">
      <c r="A368" s="141">
        <f>IFERROR(__xludf.DUMMYFUNCTION("""COMPUTED_VALUE"""),43980.0)</f>
        <v>43980</v>
      </c>
      <c r="B368" s="145">
        <f>IFERROR(__xludf.DUMMYFUNCTION("""COMPUTED_VALUE"""),502924.0)</f>
        <v>502924</v>
      </c>
      <c r="C368" s="140" t="str">
        <f>IFERROR(__xludf.DUMMYFUNCTION("""COMPUTED_VALUE"""),"EN")</f>
        <v>EN</v>
      </c>
      <c r="D368" s="140" t="str">
        <f>IFERROR(__xludf.DUMMYFUNCTION("""COMPUTED_VALUE"""),"Ermin Kreponic's Course for CentOS and Red Hat Linux - RHCSA")</f>
        <v>Ermin Kreponic's Course for CentOS and Red Hat Linux - RHCSA</v>
      </c>
      <c r="F368" t="str">
        <f>IFERROR(__xludf.DUMMYFUNCTION("""COMPUTED_VALUE"""),"Ermin Kreponic")</f>
        <v>Ermin Kreponic</v>
      </c>
      <c r="G368" t="str">
        <f>IFERROR(__xludf.DUMMYFUNCTION("""COMPUTED_VALUE"""),"Instructor Request- Outdated")</f>
        <v>Instructor Request- Outdated</v>
      </c>
      <c r="H368" s="142" t="str">
        <f>IFERROR(__xludf.DUMMYFUNCTION("""COMPUTED_VALUE"""),"IT Operations")</f>
        <v>IT Operations</v>
      </c>
      <c r="I368" s="140" t="str">
        <f>IFERROR(__xludf.DUMMYFUNCTION("""COMPUTED_VALUE"""),"Operating Systems &amp; Servers")</f>
        <v>Operating Systems &amp; Servers</v>
      </c>
      <c r="K368" s="140" t="str">
        <f>IFERROR(__xludf.DUMMYFUNCTION("""COMPUTED_VALUE"""),"")</f>
        <v/>
      </c>
      <c r="M368" s="140" t="str">
        <f>IFERROR(__xludf.DUMMYFUNCTION("""COMPUTED_VALUE"""),"")</f>
        <v/>
      </c>
      <c r="N368" s="140" t="str">
        <f>IFERROR(__xludf.DUMMYFUNCTION("""COMPUTED_VALUE"""),"No Alternatives in collection-12/18/2019")</f>
        <v>No Alternatives in collection-12/18/2019</v>
      </c>
    </row>
    <row r="369">
      <c r="A369" s="141">
        <f>IFERROR(__xludf.DUMMYFUNCTION("""COMPUTED_VALUE"""),43980.0)</f>
        <v>43980</v>
      </c>
      <c r="B369" s="145">
        <f>IFERROR(__xludf.DUMMYFUNCTION("""COMPUTED_VALUE"""),799718.0)</f>
        <v>799718</v>
      </c>
      <c r="C369" s="140" t="str">
        <f>IFERROR(__xludf.DUMMYFUNCTION("""COMPUTED_VALUE"""),"EN")</f>
        <v>EN</v>
      </c>
      <c r="D369" s="140" t="str">
        <f>IFERROR(__xludf.DUMMYFUNCTION("""COMPUTED_VALUE"""),"Email Marketing 2020 - Beginners Guide To Email Marketing")</f>
        <v>Email Marketing 2020 - Beginners Guide To Email Marketing</v>
      </c>
      <c r="F369" t="str">
        <f>IFERROR(__xludf.DUMMYFUNCTION("""COMPUTED_VALUE"""),"Mark Timberlake")</f>
        <v>Mark Timberlake</v>
      </c>
      <c r="G369" t="str">
        <f>IFERROR(__xludf.DUMMYFUNCTION("""COMPUTED_VALUE"""),"Instructor Request- No Detail")</f>
        <v>Instructor Request- No Detail</v>
      </c>
      <c r="H369" s="142" t="str">
        <f>IFERROR(__xludf.DUMMYFUNCTION("""COMPUTED_VALUE"""),"Marketing")</f>
        <v>Marketing</v>
      </c>
      <c r="I369" s="140" t="str">
        <f>IFERROR(__xludf.DUMMYFUNCTION("""COMPUTED_VALUE"""),"Content Marketing")</f>
        <v>Content Marketing</v>
      </c>
      <c r="J369" s="140">
        <f>IFERROR(__xludf.DUMMYFUNCTION("""COMPUTED_VALUE"""),914296.0)</f>
        <v>914296</v>
      </c>
      <c r="K369" s="140" t="str">
        <f>IFERROR(__xludf.DUMMYFUNCTION("""COMPUTED_VALUE"""),"The Complete Digital Marketing Course - 12 Courses in 1")</f>
        <v>The Complete Digital Marketing Course - 12 Courses in 1</v>
      </c>
      <c r="L369">
        <f>IFERROR(__xludf.DUMMYFUNCTION("""COMPUTED_VALUE"""),1270870.0)</f>
        <v>1270870</v>
      </c>
      <c r="M369" s="140" t="str">
        <f>IFERROR(__xludf.DUMMYFUNCTION("""COMPUTED_VALUE"""),"Digital Marketing Masterclass - 23 Marketing Courses in 1")</f>
        <v>Digital Marketing Masterclass - 23 Marketing Courses in 1</v>
      </c>
    </row>
    <row r="370">
      <c r="A370" s="141">
        <f>IFERROR(__xludf.DUMMYFUNCTION("""COMPUTED_VALUE"""),43980.0)</f>
        <v>43980</v>
      </c>
      <c r="B370" s="145">
        <f>IFERROR(__xludf.DUMMYFUNCTION("""COMPUTED_VALUE"""),1502658.0)</f>
        <v>1502658</v>
      </c>
      <c r="C370" s="140" t="str">
        <f>IFERROR(__xludf.DUMMYFUNCTION("""COMPUTED_VALUE"""),"EN")</f>
        <v>EN</v>
      </c>
      <c r="D370" s="140" t="str">
        <f>IFERROR(__xludf.DUMMYFUNCTION("""COMPUTED_VALUE"""),"ComputerCavalry: IT Backup Administrator")</f>
        <v>ComputerCavalry: IT Backup Administrator</v>
      </c>
      <c r="F370" t="str">
        <f>IFERROR(__xludf.DUMMYFUNCTION("""COMPUTED_VALUE"""),"Korey Sheppard")</f>
        <v>Korey Sheppard</v>
      </c>
      <c r="G370" t="str">
        <f>IFERROR(__xludf.DUMMYFUNCTION("""COMPUTED_VALUE"""),"Below Quality Standards- 3 Flags")</f>
        <v>Below Quality Standards- 3 Flags</v>
      </c>
      <c r="H370" s="142" t="str">
        <f>IFERROR(__xludf.DUMMYFUNCTION("""COMPUTED_VALUE"""),"IT Operations")</f>
        <v>IT Operations</v>
      </c>
      <c r="I370" s="140" t="str">
        <f>IFERROR(__xludf.DUMMYFUNCTION("""COMPUTED_VALUE"""),"Database Administration")</f>
        <v>Database Administration</v>
      </c>
      <c r="K370" s="140" t="str">
        <f>IFERROR(__xludf.DUMMYFUNCTION("""COMPUTED_VALUE"""),"")</f>
        <v/>
      </c>
      <c r="M370" s="140" t="str">
        <f>IFERROR(__xludf.DUMMYFUNCTION("""COMPUTED_VALUE"""),"")</f>
        <v/>
      </c>
      <c r="N370" s="140" t="str">
        <f>IFERROR(__xludf.DUMMYFUNCTION("""COMPUTED_VALUE"""),"No Alternatives in Collection- 12/11")</f>
        <v>No Alternatives in Collection- 12/11</v>
      </c>
    </row>
    <row r="371">
      <c r="A371" s="141">
        <f>IFERROR(__xludf.DUMMYFUNCTION("""COMPUTED_VALUE"""),43980.0)</f>
        <v>43980</v>
      </c>
      <c r="B371" s="145">
        <f>IFERROR(__xludf.DUMMYFUNCTION("""COMPUTED_VALUE"""),372108.0)</f>
        <v>372108</v>
      </c>
      <c r="C371" s="140" t="str">
        <f>IFERROR(__xludf.DUMMYFUNCTION("""COMPUTED_VALUE"""),"EN")</f>
        <v>EN</v>
      </c>
      <c r="D371" s="140" t="str">
        <f>IFERROR(__xludf.DUMMYFUNCTION("""COMPUTED_VALUE"""),"Ecommerce - Introduction To The Top 12 Ecommerce Platforms")</f>
        <v>Ecommerce - Introduction To The Top 12 Ecommerce Platforms</v>
      </c>
      <c r="F371" t="str">
        <f>IFERROR(__xludf.DUMMYFUNCTION("""COMPUTED_VALUE"""),"Dave Espino")</f>
        <v>Dave Espino</v>
      </c>
      <c r="G371" t="str">
        <f>IFERROR(__xludf.DUMMYFUNCTION("""COMPUTED_VALUE"""),"Below Quality Standards- 3 Flags")</f>
        <v>Below Quality Standards- 3 Flags</v>
      </c>
      <c r="H371" s="142" t="str">
        <f>IFERROR(__xludf.DUMMYFUNCTION("""COMPUTED_VALUE"""),"Marketing")</f>
        <v>Marketing</v>
      </c>
      <c r="I371" s="140" t="str">
        <f>IFERROR(__xludf.DUMMYFUNCTION("""COMPUTED_VALUE"""),"Digital Marketing")</f>
        <v>Digital Marketing</v>
      </c>
      <c r="K371" s="140" t="str">
        <f>IFERROR(__xludf.DUMMYFUNCTION("""COMPUTED_VALUE"""),"")</f>
        <v/>
      </c>
      <c r="M371" s="140" t="str">
        <f>IFERROR(__xludf.DUMMYFUNCTION("""COMPUTED_VALUE"""),"")</f>
        <v/>
      </c>
      <c r="N371" s="140" t="str">
        <f>IFERROR(__xludf.DUMMYFUNCTION("""COMPUTED_VALUE"""),"No Alternatives in Collection- 12/11")</f>
        <v>No Alternatives in Collection- 12/11</v>
      </c>
    </row>
    <row r="372">
      <c r="A372" s="141">
        <f>IFERROR(__xludf.DUMMYFUNCTION("""COMPUTED_VALUE"""),43980.0)</f>
        <v>43980</v>
      </c>
      <c r="B372" s="145">
        <f>IFERROR(__xludf.DUMMYFUNCTION("""COMPUTED_VALUE"""),1208420.0)</f>
        <v>1208420</v>
      </c>
      <c r="C372" s="140" t="str">
        <f>IFERROR(__xludf.DUMMYFUNCTION("""COMPUTED_VALUE"""),"EN")</f>
        <v>EN</v>
      </c>
      <c r="D372" s="140" t="str">
        <f>IFERROR(__xludf.DUMMYFUNCTION("""COMPUTED_VALUE"""),"Fundamentals of SEMrush")</f>
        <v>Fundamentals of SEMrush</v>
      </c>
      <c r="F372" t="str">
        <f>IFERROR(__xludf.DUMMYFUNCTION("""COMPUTED_VALUE"""),"Packt Publishing")</f>
        <v>Packt Publishing</v>
      </c>
      <c r="G372" t="str">
        <f>IFERROR(__xludf.DUMMYFUNCTION("""COMPUTED_VALUE"""),"Below Quality Standards- 3 Flags")</f>
        <v>Below Quality Standards- 3 Flags</v>
      </c>
      <c r="H372" s="142" t="str">
        <f>IFERROR(__xludf.DUMMYFUNCTION("""COMPUTED_VALUE"""),"Marketing")</f>
        <v>Marketing</v>
      </c>
      <c r="I372" s="140" t="str">
        <f>IFERROR(__xludf.DUMMYFUNCTION("""COMPUTED_VALUE"""),"Search Engine Optimization")</f>
        <v>Search Engine Optimization</v>
      </c>
      <c r="K372" s="140" t="str">
        <f>IFERROR(__xludf.DUMMYFUNCTION("""COMPUTED_VALUE"""),"")</f>
        <v/>
      </c>
      <c r="M372" s="140" t="str">
        <f>IFERROR(__xludf.DUMMYFUNCTION("""COMPUTED_VALUE"""),"")</f>
        <v/>
      </c>
      <c r="N372" s="140" t="str">
        <f>IFERROR(__xludf.DUMMYFUNCTION("""COMPUTED_VALUE"""),"No Alternatives in Collection- 12/11")</f>
        <v>No Alternatives in Collection- 12/11</v>
      </c>
    </row>
    <row r="373">
      <c r="A373" s="141">
        <f>IFERROR(__xludf.DUMMYFUNCTION("""COMPUTED_VALUE"""),43980.0)</f>
        <v>43980</v>
      </c>
      <c r="B373" s="145">
        <f>IFERROR(__xludf.DUMMYFUNCTION("""COMPUTED_VALUE"""),1456942.0)</f>
        <v>1456942</v>
      </c>
      <c r="C373" s="140" t="str">
        <f>IFERROR(__xludf.DUMMYFUNCTION("""COMPUTED_VALUE"""),"EN")</f>
        <v>EN</v>
      </c>
      <c r="D373" s="140" t="str">
        <f>IFERROR(__xludf.DUMMYFUNCTION("""COMPUTED_VALUE"""),"Six Sigma Green Belt Using Minitab")</f>
        <v>Six Sigma Green Belt Using Minitab</v>
      </c>
      <c r="F373" t="str">
        <f>IFERROR(__xludf.DUMMYFUNCTION("""COMPUTED_VALUE"""),"Ermin Dedic")</f>
        <v>Ermin Dedic</v>
      </c>
      <c r="G373" t="str">
        <f>IFERROR(__xludf.DUMMYFUNCTION("""COMPUTED_VALUE"""),"Instructor Request- Wants to Update")</f>
        <v>Instructor Request- Wants to Update</v>
      </c>
      <c r="H373" s="142" t="str">
        <f>IFERROR(__xludf.DUMMYFUNCTION("""COMPUTED_VALUE"""),"Data Science")</f>
        <v>Data Science</v>
      </c>
      <c r="I373" s="140" t="str">
        <f>IFERROR(__xludf.DUMMYFUNCTION("""COMPUTED_VALUE"""),"Analytics")</f>
        <v>Analytics</v>
      </c>
      <c r="J373" s="140">
        <f>IFERROR(__xludf.DUMMYFUNCTION("""COMPUTED_VALUE"""),1495884.0)</f>
        <v>1495884</v>
      </c>
      <c r="K373" s="140" t="str">
        <f>IFERROR(__xludf.DUMMYFUNCTION("""COMPUTED_VALUE"""),"Six Sigma: Certified Lean Six Sigma Green Belt (Accredited)")</f>
        <v>Six Sigma: Certified Lean Six Sigma Green Belt (Accredited)</v>
      </c>
      <c r="M373" s="140" t="str">
        <f>IFERROR(__xludf.DUMMYFUNCTION("""COMPUTED_VALUE"""),"")</f>
        <v/>
      </c>
    </row>
    <row r="374">
      <c r="A374" s="141">
        <f>IFERROR(__xludf.DUMMYFUNCTION("""COMPUTED_VALUE"""),43980.0)</f>
        <v>43980</v>
      </c>
      <c r="B374" s="145">
        <f>IFERROR(__xludf.DUMMYFUNCTION("""COMPUTED_VALUE"""),797952.0)</f>
        <v>797952</v>
      </c>
      <c r="C374" s="140" t="str">
        <f>IFERROR(__xludf.DUMMYFUNCTION("""COMPUTED_VALUE"""),"EN")</f>
        <v>EN</v>
      </c>
      <c r="D374" s="140" t="str">
        <f>IFERROR(__xludf.DUMMYFUNCTION("""COMPUTED_VALUE"""),"3d modelling - a Modo modeling guide")</f>
        <v>3d modelling - a Modo modeling guide</v>
      </c>
      <c r="F374" t="str">
        <f>IFERROR(__xludf.DUMMYFUNCTION("""COMPUTED_VALUE"""),"Daniel Cremers")</f>
        <v>Daniel Cremers</v>
      </c>
      <c r="G374" t="str">
        <f>IFERROR(__xludf.DUMMYFUNCTION("""COMPUTED_VALUE"""),"Below Quality Standards- 3 Flags")</f>
        <v>Below Quality Standards- 3 Flags</v>
      </c>
      <c r="H374" s="142" t="str">
        <f>IFERROR(__xludf.DUMMYFUNCTION("""COMPUTED_VALUE"""),"Design")</f>
        <v>Design</v>
      </c>
      <c r="I374" s="140" t="str">
        <f>IFERROR(__xludf.DUMMYFUNCTION("""COMPUTED_VALUE"""),"Design Tools")</f>
        <v>Design Tools</v>
      </c>
      <c r="K374" s="140" t="str">
        <f>IFERROR(__xludf.DUMMYFUNCTION("""COMPUTED_VALUE"""),"")</f>
        <v/>
      </c>
      <c r="M374" s="140" t="str">
        <f>IFERROR(__xludf.DUMMYFUNCTION("""COMPUTED_VALUE"""),"")</f>
        <v/>
      </c>
      <c r="N374" s="140" t="str">
        <f>IFERROR(__xludf.DUMMYFUNCTION("""COMPUTED_VALUE"""),"No Alternatives in Collection- 12/12")</f>
        <v>No Alternatives in Collection- 12/12</v>
      </c>
    </row>
    <row r="375">
      <c r="A375" s="141">
        <f>IFERROR(__xludf.DUMMYFUNCTION("""COMPUTED_VALUE"""),43970.0)</f>
        <v>43970</v>
      </c>
      <c r="B375" s="145">
        <f>IFERROR(__xludf.DUMMYFUNCTION("""COMPUTED_VALUE"""),324744.0)</f>
        <v>324744</v>
      </c>
      <c r="C375" s="140" t="str">
        <f>IFERROR(__xludf.DUMMYFUNCTION("""COMPUTED_VALUE"""),"EN")</f>
        <v>EN</v>
      </c>
      <c r="D375" s="140" t="str">
        <f>IFERROR(__xludf.DUMMYFUNCTION("""COMPUTED_VALUE"""),"iOS Application: Penetration Testing Ethical Hacking Domain")</f>
        <v>iOS Application: Penetration Testing Ethical Hacking Domain</v>
      </c>
      <c r="F375" t="str">
        <f>IFERROR(__xludf.DUMMYFUNCTION("""COMPUTED_VALUE"""),"InSEC- Techs")</f>
        <v>InSEC- Techs</v>
      </c>
      <c r="G375" t="str">
        <f>IFERROR(__xludf.DUMMYFUNCTION("""COMPUTED_VALUE"""),"Instructor Practices")</f>
        <v>Instructor Practices</v>
      </c>
      <c r="H375" s="142" t="str">
        <f>IFERROR(__xludf.DUMMYFUNCTION("""COMPUTED_VALUE"""),"IT Operations")</f>
        <v>IT Operations</v>
      </c>
      <c r="I375" s="140" t="str">
        <f>IFERROR(__xludf.DUMMYFUNCTION("""COMPUTED_VALUE"""),"Network &amp; Security")</f>
        <v>Network &amp; Security</v>
      </c>
      <c r="K375" s="140" t="str">
        <f>IFERROR(__xludf.DUMMYFUNCTION("""COMPUTED_VALUE"""),"")</f>
        <v/>
      </c>
      <c r="M375" s="140" t="str">
        <f>IFERROR(__xludf.DUMMYFUNCTION("""COMPUTED_VALUE"""),"")</f>
        <v/>
      </c>
    </row>
    <row r="376">
      <c r="A376" s="141">
        <f>IFERROR(__xludf.DUMMYFUNCTION("""COMPUTED_VALUE"""),43951.0)</f>
        <v>43951</v>
      </c>
      <c r="B376" s="145">
        <f>IFERROR(__xludf.DUMMYFUNCTION("""COMPUTED_VALUE"""),642210.0)</f>
        <v>642210</v>
      </c>
      <c r="C376" s="140" t="str">
        <f>IFERROR(__xludf.DUMMYFUNCTION("""COMPUTED_VALUE"""),"ES")</f>
        <v>ES</v>
      </c>
      <c r="D376" s="140" t="str">
        <f>IFERROR(__xludf.DUMMYFUNCTION("""COMPUTED_VALUE"""),"SAP ABAP Programación - Curso completo")</f>
        <v>SAP ABAP Programación - Curso completo</v>
      </c>
      <c r="E376" t="str">
        <f>IFERROR(__xludf.DUMMYFUNCTION("""COMPUTED_VALUE"""),"SAP ABAP programming - Full course")</f>
        <v>SAP ABAP programming - Full course</v>
      </c>
      <c r="F376" s="140" t="str">
        <f>IFERROR(__xludf.DUMMYFUNCTION("""COMPUTED_VALUE"""),"Logali Group")</f>
        <v>Logali Group</v>
      </c>
      <c r="G376" t="str">
        <f>IFERROR(__xludf.DUMMYFUNCTION("""COMPUTED_VALUE"""),"Instructor Request- Opted Out")</f>
        <v>Instructor Request- Opted Out</v>
      </c>
      <c r="H376" s="142" t="str">
        <f>IFERROR(__xludf.DUMMYFUNCTION("""COMPUTED_VALUE"""),"Project Management &amp; Operations")</f>
        <v>Project Management &amp; Operations</v>
      </c>
      <c r="I376" s="140" t="str">
        <f>IFERROR(__xludf.DUMMYFUNCTION("""COMPUTED_VALUE"""),"Operations Management")</f>
        <v>Operations Management</v>
      </c>
      <c r="J376" s="140">
        <f>IFERROR(__xludf.DUMMYFUNCTION("""COMPUTED_VALUE"""),1182814.0)</f>
        <v>1182814</v>
      </c>
      <c r="K376" s="140" t="str">
        <f>IFERROR(__xludf.DUMMYFUNCTION("""COMPUTED_VALUE"""),"SAP ABAP Programación Iniciación")</f>
        <v>SAP ABAP Programación Iniciación</v>
      </c>
      <c r="M376" s="140" t="str">
        <f>IFERROR(__xludf.DUMMYFUNCTION("""COMPUTED_VALUE"""),"")</f>
        <v/>
      </c>
    </row>
    <row r="377">
      <c r="A377" s="141">
        <f>IFERROR(__xludf.DUMMYFUNCTION("""COMPUTED_VALUE"""),43951.0)</f>
        <v>43951</v>
      </c>
      <c r="B377" s="145">
        <f>IFERROR(__xludf.DUMMYFUNCTION("""COMPUTED_VALUE"""),2001852.0)</f>
        <v>2001852</v>
      </c>
      <c r="C377" s="140" t="str">
        <f>IFERROR(__xludf.DUMMYFUNCTION("""COMPUTED_VALUE"""),"ES")</f>
        <v>ES</v>
      </c>
      <c r="D377" s="140" t="str">
        <f>IFERROR(__xludf.DUMMYFUNCTION("""COMPUTED_VALUE"""),"Chatbots con Chatfuel para principiantes")</f>
        <v>Chatbots con Chatfuel para principiantes</v>
      </c>
      <c r="E377" t="str">
        <f>IFERROR(__xludf.DUMMYFUNCTION("""COMPUTED_VALUE"""),"Chatbots with Chatfuel for beginners")</f>
        <v>Chatbots with Chatfuel for beginners</v>
      </c>
      <c r="F377" s="140" t="str">
        <f>IFERROR(__xludf.DUMMYFUNCTION("""COMPUTED_VALUE"""),"Botifica crea tu chatbot")</f>
        <v>Botifica crea tu chatbot</v>
      </c>
      <c r="G377" t="str">
        <f>IFERROR(__xludf.DUMMYFUNCTION("""COMPUTED_VALUE"""),"Instructor Request- Opted Out")</f>
        <v>Instructor Request- Opted Out</v>
      </c>
      <c r="H377" s="142" t="str">
        <f>IFERROR(__xludf.DUMMYFUNCTION("""COMPUTED_VALUE"""),"Marketing")</f>
        <v>Marketing</v>
      </c>
      <c r="I377" s="140" t="str">
        <f>IFERROR(__xludf.DUMMYFUNCTION("""COMPUTED_VALUE"""),"Marketing Analytics &amp; Automation")</f>
        <v>Marketing Analytics &amp; Automation</v>
      </c>
      <c r="K377" s="140" t="str">
        <f>IFERROR(__xludf.DUMMYFUNCTION("""COMPUTED_VALUE"""),"")</f>
        <v/>
      </c>
      <c r="M377" s="140" t="str">
        <f>IFERROR(__xludf.DUMMYFUNCTION("""COMPUTED_VALUE"""),"")</f>
        <v/>
      </c>
      <c r="N377" s="140" t="str">
        <f>IFERROR(__xludf.DUMMYFUNCTION("""COMPUTED_VALUE"""),"No alternative in collection - 04/29/2020")</f>
        <v>No alternative in collection - 04/29/2020</v>
      </c>
    </row>
    <row r="378">
      <c r="A378" s="141">
        <f>IFERROR(__xludf.DUMMYFUNCTION("""COMPUTED_VALUE"""),43951.0)</f>
        <v>43951</v>
      </c>
      <c r="B378" s="145">
        <f>IFERROR(__xludf.DUMMYFUNCTION("""COMPUTED_VALUE"""),2305792.0)</f>
        <v>2305792</v>
      </c>
      <c r="C378" s="140" t="str">
        <f>IFERROR(__xludf.DUMMYFUNCTION("""COMPUTED_VALUE"""),"PT")</f>
        <v>PT</v>
      </c>
      <c r="D378" s="140" t="str">
        <f>IFERROR(__xludf.DUMMYFUNCTION("""COMPUTED_VALUE"""),"Ionic 4, Angular, Firebase, Firestore e Login com Facebook")</f>
        <v>Ionic 4, Angular, Firebase, Firestore e Login com Facebook</v>
      </c>
      <c r="E378" t="str">
        <f>IFERROR(__xludf.DUMMYFUNCTION("""COMPUTED_VALUE"""),"Ionic 4, Angular, Firebase, Firestore e Login com Facebook")</f>
        <v>Ionic 4, Angular, Firebase, Firestore e Login com Facebook</v>
      </c>
      <c r="F378" s="140" t="str">
        <f>IFERROR(__xludf.DUMMYFUNCTION("""COMPUTED_VALUE"""),"Plínio Naves")</f>
        <v>Plínio Naves</v>
      </c>
      <c r="G378" t="str">
        <f>IFERROR(__xludf.DUMMYFUNCTION("""COMPUTED_VALUE"""),"Instructor Request- No Detail")</f>
        <v>Instructor Request- No Detail</v>
      </c>
      <c r="H378" s="142" t="str">
        <f>IFERROR(__xludf.DUMMYFUNCTION("""COMPUTED_VALUE"""),"Development")</f>
        <v>Development</v>
      </c>
      <c r="I378" s="140" t="str">
        <f>IFERROR(__xludf.DUMMYFUNCTION("""COMPUTED_VALUE"""),"Mobile Development")</f>
        <v>Mobile Development</v>
      </c>
      <c r="K378" s="140" t="str">
        <f>IFERROR(__xludf.DUMMYFUNCTION("""COMPUTED_VALUE"""),"")</f>
        <v/>
      </c>
      <c r="M378" s="140" t="str">
        <f>IFERROR(__xludf.DUMMYFUNCTION("""COMPUTED_VALUE"""),"")</f>
        <v/>
      </c>
    </row>
    <row r="379">
      <c r="A379" s="141">
        <f>IFERROR(__xludf.DUMMYFUNCTION("""COMPUTED_VALUE"""),43951.0)</f>
        <v>43951</v>
      </c>
      <c r="B379" s="145">
        <f>IFERROR(__xludf.DUMMYFUNCTION("""COMPUTED_VALUE"""),1946862.0)</f>
        <v>1946862</v>
      </c>
      <c r="C379" s="140" t="str">
        <f>IFERROR(__xludf.DUMMYFUNCTION("""COMPUTED_VALUE"""),"PT")</f>
        <v>PT</v>
      </c>
      <c r="D379" s="140" t="str">
        <f>IFERROR(__xludf.DUMMYFUNCTION("""COMPUTED_VALUE"""),"Vue JS - Guia Completo (Vue CLI, Vue Router, Vuex e GraphQL)")</f>
        <v>Vue JS - Guia Completo (Vue CLI, Vue Router, Vuex e GraphQL)</v>
      </c>
      <c r="E379" t="str">
        <f>IFERROR(__xludf.DUMMYFUNCTION("""COMPUTED_VALUE"""),"View JS - Guia Completo (CLI View, View Router Vuex e GraphQL)")</f>
        <v>View JS - Guia Completo (CLI View, View Router Vuex e GraphQL)</v>
      </c>
      <c r="F379" s="140" t="str">
        <f>IFERROR(__xludf.DUMMYFUNCTION("""COMPUTED_VALUE"""),"Plínio Naves")</f>
        <v>Plínio Naves</v>
      </c>
      <c r="G379" t="str">
        <f>IFERROR(__xludf.DUMMYFUNCTION("""COMPUTED_VALUE"""),"Instructor Request- No Detail")</f>
        <v>Instructor Request- No Detail</v>
      </c>
      <c r="H379" s="142" t="str">
        <f>IFERROR(__xludf.DUMMYFUNCTION("""COMPUTED_VALUE"""),"Development")</f>
        <v>Development</v>
      </c>
      <c r="I379" s="140" t="str">
        <f>IFERROR(__xludf.DUMMYFUNCTION("""COMPUTED_VALUE"""),"Web Development")</f>
        <v>Web Development</v>
      </c>
      <c r="K379" s="140" t="str">
        <f>IFERROR(__xludf.DUMMYFUNCTION("""COMPUTED_VALUE"""),"")</f>
        <v/>
      </c>
      <c r="M379" s="140" t="str">
        <f>IFERROR(__xludf.DUMMYFUNCTION("""COMPUTED_VALUE"""),"")</f>
        <v/>
      </c>
    </row>
    <row r="380">
      <c r="A380" s="141">
        <f>IFERROR(__xludf.DUMMYFUNCTION("""COMPUTED_VALUE"""),43951.0)</f>
        <v>43951</v>
      </c>
      <c r="B380" s="145">
        <f>IFERROR(__xludf.DUMMYFUNCTION("""COMPUTED_VALUE"""),292966.0)</f>
        <v>292966</v>
      </c>
      <c r="C380" s="140" t="str">
        <f>IFERROR(__xludf.DUMMYFUNCTION("""COMPUTED_VALUE"""),"EN")</f>
        <v>EN</v>
      </c>
      <c r="D380" s="140" t="str">
        <f>IFERROR(__xludf.DUMMYFUNCTION("""COMPUTED_VALUE"""),"Getting Started with 3D Printing")</f>
        <v>Getting Started with 3D Printing</v>
      </c>
      <c r="F380" s="140" t="str">
        <f>IFERROR(__xludf.DUMMYFUNCTION("""COMPUTED_VALUE"""),"Justin Mitchel")</f>
        <v>Justin Mitchel</v>
      </c>
      <c r="G380" t="str">
        <f>IFERROR(__xludf.DUMMYFUNCTION("""COMPUTED_VALUE"""),"Below Quality Standards- Outdated")</f>
        <v>Below Quality Standards- Outdated</v>
      </c>
      <c r="H380" s="142" t="str">
        <f>IFERROR(__xludf.DUMMYFUNCTION("""COMPUTED_VALUE"""),"Design")</f>
        <v>Design</v>
      </c>
      <c r="I380" s="140" t="str">
        <f>IFERROR(__xludf.DUMMYFUNCTION("""COMPUTED_VALUE"""),"3D &amp; Animation")</f>
        <v>3D &amp; Animation</v>
      </c>
      <c r="J380" s="140">
        <f>IFERROR(__xludf.DUMMYFUNCTION("""COMPUTED_VALUE"""),958668.0)</f>
        <v>958668</v>
      </c>
      <c r="K380" s="140" t="str">
        <f>IFERROR(__xludf.DUMMYFUNCTION("""COMPUTED_VALUE"""),"Designing for 3D Printing with Fusion 360")</f>
        <v>Designing for 3D Printing with Fusion 360</v>
      </c>
      <c r="M380" s="140" t="str">
        <f>IFERROR(__xludf.DUMMYFUNCTION("""COMPUTED_VALUE"""),"")</f>
        <v/>
      </c>
    </row>
    <row r="381">
      <c r="A381" s="141">
        <f>IFERROR(__xludf.DUMMYFUNCTION("""COMPUTED_VALUE"""),43951.0)</f>
        <v>43951</v>
      </c>
      <c r="B381" s="145">
        <f>IFERROR(__xludf.DUMMYFUNCTION("""COMPUTED_VALUE"""),2289251.0)</f>
        <v>2289251</v>
      </c>
      <c r="C381" s="140" t="str">
        <f>IFERROR(__xludf.DUMMYFUNCTION("""COMPUTED_VALUE"""),"EN")</f>
        <v>EN</v>
      </c>
      <c r="D381" s="140" t="str">
        <f>IFERROR(__xludf.DUMMYFUNCTION("""COMPUTED_VALUE"""),"Build Your own Self Driving Car | Deep Learning, OpenCV, C++")</f>
        <v>Build Your own Self Driving Car | Deep Learning, OpenCV, C++</v>
      </c>
      <c r="F381" s="140" t="str">
        <f>IFERROR(__xludf.DUMMYFUNCTION("""COMPUTED_VALUE"""),"Rajandeep Singh")</f>
        <v>Rajandeep Singh</v>
      </c>
      <c r="G381" t="str">
        <f>IFERROR(__xludf.DUMMYFUNCTION("""COMPUTED_VALUE"""),"Instructor Request- Opted Out")</f>
        <v>Instructor Request- Opted Out</v>
      </c>
      <c r="H381" s="142" t="str">
        <f>IFERROR(__xludf.DUMMYFUNCTION("""COMPUTED_VALUE"""),"Data Science")</f>
        <v>Data Science</v>
      </c>
      <c r="I381" s="140" t="str">
        <f>IFERROR(__xludf.DUMMYFUNCTION("""COMPUTED_VALUE"""),"Machine Learning")</f>
        <v>Machine Learning</v>
      </c>
      <c r="J381" s="140">
        <f>IFERROR(__xludf.DUMMYFUNCTION("""COMPUTED_VALUE"""),1560148.0)</f>
        <v>1560148</v>
      </c>
      <c r="K381" s="140" t="str">
        <f>IFERROR(__xludf.DUMMYFUNCTION("""COMPUTED_VALUE"""),"The Complete Self-Driving Car Course - Applied Deep Learning")</f>
        <v>The Complete Self-Driving Car Course - Applied Deep Learning</v>
      </c>
      <c r="M381" s="140" t="str">
        <f>IFERROR(__xludf.DUMMYFUNCTION("""COMPUTED_VALUE"""),"")</f>
        <v/>
      </c>
    </row>
    <row r="382">
      <c r="A382" s="141">
        <f>IFERROR(__xludf.DUMMYFUNCTION("""COMPUTED_VALUE"""),43951.0)</f>
        <v>43951</v>
      </c>
      <c r="B382" s="145">
        <f>IFERROR(__xludf.DUMMYFUNCTION("""COMPUTED_VALUE"""),2364722.0)</f>
        <v>2364722</v>
      </c>
      <c r="C382" s="140" t="str">
        <f>IFERROR(__xludf.DUMMYFUNCTION("""COMPUTED_VALUE"""),"EN")</f>
        <v>EN</v>
      </c>
      <c r="D382" s="140" t="str">
        <f>IFERROR(__xludf.DUMMYFUNCTION("""COMPUTED_VALUE"""),"Digital Strategy Mastery : Learn Success Secrets from Amazon")</f>
        <v>Digital Strategy Mastery : Learn Success Secrets from Amazon</v>
      </c>
      <c r="F382" s="140" t="str">
        <f>IFERROR(__xludf.DUMMYFUNCTION("""COMPUTED_VALUE"""),"Liliya Lyubman")</f>
        <v>Liliya Lyubman</v>
      </c>
      <c r="G382" t="str">
        <f>IFERROR(__xludf.DUMMYFUNCTION("""COMPUTED_VALUE"""),"Instructor Request- Reviews")</f>
        <v>Instructor Request- Reviews</v>
      </c>
      <c r="H382" s="142" t="str">
        <f>IFERROR(__xludf.DUMMYFUNCTION("""COMPUTED_VALUE"""),"Leadership &amp; Management")</f>
        <v>Leadership &amp; Management</v>
      </c>
      <c r="I382" s="140" t="str">
        <f>IFERROR(__xludf.DUMMYFUNCTION("""COMPUTED_VALUE"""),"Strategy")</f>
        <v>Strategy</v>
      </c>
      <c r="K382" s="140" t="str">
        <f>IFERROR(__xludf.DUMMYFUNCTION("""COMPUTED_VALUE"""),"")</f>
        <v/>
      </c>
      <c r="M382" s="140" t="str">
        <f>IFERROR(__xludf.DUMMYFUNCTION("""COMPUTED_VALUE"""),"")</f>
        <v/>
      </c>
      <c r="N382" s="140" t="str">
        <f>IFERROR(__xludf.DUMMYFUNCTION("""COMPUTED_VALUE"""),"No Alternatives in Collection- 12/11")</f>
        <v>No Alternatives in Collection- 12/11</v>
      </c>
    </row>
    <row r="383">
      <c r="A383" s="141">
        <f>IFERROR(__xludf.DUMMYFUNCTION("""COMPUTED_VALUE"""),43951.0)</f>
        <v>43951</v>
      </c>
      <c r="B383" s="145">
        <f>IFERROR(__xludf.DUMMYFUNCTION("""COMPUTED_VALUE"""),1197030.0)</f>
        <v>1197030</v>
      </c>
      <c r="C383" s="140" t="str">
        <f>IFERROR(__xludf.DUMMYFUNCTION("""COMPUTED_VALUE"""),"EN")</f>
        <v>EN</v>
      </c>
      <c r="D383" s="140" t="str">
        <f>IFERROR(__xludf.DUMMYFUNCTION("""COMPUTED_VALUE"""),"Learn the Foundations of Blender")</f>
        <v>Learn the Foundations of Blender</v>
      </c>
      <c r="F383" s="140" t="str">
        <f>IFERROR(__xludf.DUMMYFUNCTION("""COMPUTED_VALUE"""),"Darrin Lile")</f>
        <v>Darrin Lile</v>
      </c>
      <c r="G383" t="str">
        <f>IFERROR(__xludf.DUMMYFUNCTION("""COMPUTED_VALUE"""),"Instructor Request- Opted Out")</f>
        <v>Instructor Request- Opted Out</v>
      </c>
      <c r="H383" s="142" t="str">
        <f>IFERROR(__xludf.DUMMYFUNCTION("""COMPUTED_VALUE"""),"Design")</f>
        <v>Design</v>
      </c>
      <c r="I383" s="140" t="str">
        <f>IFERROR(__xludf.DUMMYFUNCTION("""COMPUTED_VALUE"""),"3D &amp; Animation")</f>
        <v>3D &amp; Animation</v>
      </c>
      <c r="J383" s="140">
        <f>IFERROR(__xludf.DUMMYFUNCTION("""COMPUTED_VALUE"""),438522.0)</f>
        <v>438522</v>
      </c>
      <c r="K383" s="140" t="str">
        <f>IFERROR(__xludf.DUMMYFUNCTION("""COMPUTED_VALUE"""),"Complete Blender Creator: Learn 3D Modelling for Beginners")</f>
        <v>Complete Blender Creator: Learn 3D Modelling for Beginners</v>
      </c>
      <c r="M383" s="140" t="str">
        <f>IFERROR(__xludf.DUMMYFUNCTION("""COMPUTED_VALUE"""),"")</f>
        <v/>
      </c>
    </row>
    <row r="384">
      <c r="A384" s="141">
        <f>IFERROR(__xludf.DUMMYFUNCTION("""COMPUTED_VALUE"""),43951.0)</f>
        <v>43951</v>
      </c>
      <c r="B384" s="145">
        <f>IFERROR(__xludf.DUMMYFUNCTION("""COMPUTED_VALUE"""),1208944.0)</f>
        <v>1208944</v>
      </c>
      <c r="C384" s="140" t="str">
        <f>IFERROR(__xludf.DUMMYFUNCTION("""COMPUTED_VALUE"""),"EN")</f>
        <v>EN</v>
      </c>
      <c r="D384" s="140" t="str">
        <f>IFERROR(__xludf.DUMMYFUNCTION("""COMPUTED_VALUE"""),"Create Game Characters with Blender")</f>
        <v>Create Game Characters with Blender</v>
      </c>
      <c r="F384" s="140" t="str">
        <f>IFERROR(__xludf.DUMMYFUNCTION("""COMPUTED_VALUE"""),"Darrin Lile")</f>
        <v>Darrin Lile</v>
      </c>
      <c r="G384" t="str">
        <f>IFERROR(__xludf.DUMMYFUNCTION("""COMPUTED_VALUE"""),"Instructor Request- Opted Out")</f>
        <v>Instructor Request- Opted Out</v>
      </c>
      <c r="H384" s="142" t="str">
        <f>IFERROR(__xludf.DUMMYFUNCTION("""COMPUTED_VALUE"""),"Design")</f>
        <v>Design</v>
      </c>
      <c r="I384" s="140" t="str">
        <f>IFERROR(__xludf.DUMMYFUNCTION("""COMPUTED_VALUE"""),"Game Design")</f>
        <v>Game Design</v>
      </c>
      <c r="J384" s="140">
        <f>IFERROR(__xludf.DUMMYFUNCTION("""COMPUTED_VALUE"""),438522.0)</f>
        <v>438522</v>
      </c>
      <c r="K384" s="140" t="str">
        <f>IFERROR(__xludf.DUMMYFUNCTION("""COMPUTED_VALUE"""),"Complete Blender Creator: Learn 3D Modelling for Beginners")</f>
        <v>Complete Blender Creator: Learn 3D Modelling for Beginners</v>
      </c>
      <c r="M384" s="140" t="str">
        <f>IFERROR(__xludf.DUMMYFUNCTION("""COMPUTED_VALUE"""),"")</f>
        <v/>
      </c>
    </row>
    <row r="385">
      <c r="A385" s="141">
        <f>IFERROR(__xludf.DUMMYFUNCTION("""COMPUTED_VALUE"""),43951.0)</f>
        <v>43951</v>
      </c>
      <c r="B385" s="145">
        <f>IFERROR(__xludf.DUMMYFUNCTION("""COMPUTED_VALUE"""),1209930.0)</f>
        <v>1209930</v>
      </c>
      <c r="C385" s="140" t="str">
        <f>IFERROR(__xludf.DUMMYFUNCTION("""COMPUTED_VALUE"""),"EN")</f>
        <v>EN</v>
      </c>
      <c r="D385" s="140" t="str">
        <f>IFERROR(__xludf.DUMMYFUNCTION("""COMPUTED_VALUE"""),"Create a Game Environment with Blender and Unity")</f>
        <v>Create a Game Environment with Blender and Unity</v>
      </c>
      <c r="F385" s="140" t="str">
        <f>IFERROR(__xludf.DUMMYFUNCTION("""COMPUTED_VALUE"""),"Darrin Lile")</f>
        <v>Darrin Lile</v>
      </c>
      <c r="G385" t="str">
        <f>IFERROR(__xludf.DUMMYFUNCTION("""COMPUTED_VALUE"""),"Instructor Request- Opted Out")</f>
        <v>Instructor Request- Opted Out</v>
      </c>
      <c r="H385" s="142" t="str">
        <f>IFERROR(__xludf.DUMMYFUNCTION("""COMPUTED_VALUE"""),"Design")</f>
        <v>Design</v>
      </c>
      <c r="I385" s="140" t="str">
        <f>IFERROR(__xludf.DUMMYFUNCTION("""COMPUTED_VALUE"""),"Game Design")</f>
        <v>Game Design</v>
      </c>
      <c r="J385" s="140">
        <f>IFERROR(__xludf.DUMMYFUNCTION("""COMPUTED_VALUE"""),683198.0)</f>
        <v>683198</v>
      </c>
      <c r="K385" s="140" t="str">
        <f>IFERROR(__xludf.DUMMYFUNCTION("""COMPUTED_VALUE"""),"Creating 3D environments in Blender")</f>
        <v>Creating 3D environments in Blender</v>
      </c>
      <c r="M385" s="140" t="str">
        <f>IFERROR(__xludf.DUMMYFUNCTION("""COMPUTED_VALUE"""),"")</f>
        <v/>
      </c>
    </row>
    <row r="386">
      <c r="A386" s="141">
        <f>IFERROR(__xludf.DUMMYFUNCTION("""COMPUTED_VALUE"""),43951.0)</f>
        <v>43951</v>
      </c>
      <c r="B386" s="145">
        <f>IFERROR(__xludf.DUMMYFUNCTION("""COMPUTED_VALUE"""),556954.0)</f>
        <v>556954</v>
      </c>
      <c r="C386" s="140" t="str">
        <f>IFERROR(__xludf.DUMMYFUNCTION("""COMPUTED_VALUE"""),"EN")</f>
        <v>EN</v>
      </c>
      <c r="D386" s="140" t="str">
        <f>IFERROR(__xludf.DUMMYFUNCTION("""COMPUTED_VALUE"""),"Deep Learning Prerequisites: Linear Regression in Python")</f>
        <v>Deep Learning Prerequisites: Linear Regression in Python</v>
      </c>
      <c r="F386" s="140" t="str">
        <f>IFERROR(__xludf.DUMMYFUNCTION("""COMPUTED_VALUE"""),"Lazy Programmer Inc.")</f>
        <v>Lazy Programmer Inc.</v>
      </c>
      <c r="G386" t="str">
        <f>IFERROR(__xludf.DUMMYFUNCTION("""COMPUTED_VALUE"""),"Instructor Request- Outdated")</f>
        <v>Instructor Request- Outdated</v>
      </c>
      <c r="H386" s="142" t="str">
        <f>IFERROR(__xludf.DUMMYFUNCTION("""COMPUTED_VALUE"""),"Data Science")</f>
        <v>Data Science</v>
      </c>
      <c r="I386" s="140" t="str">
        <f>IFERROR(__xludf.DUMMYFUNCTION("""COMPUTED_VALUE"""),"Machine Learning")</f>
        <v>Machine Learning</v>
      </c>
      <c r="J386" s="140">
        <f>IFERROR(__xludf.DUMMYFUNCTION("""COMPUTED_VALUE"""),903744.0)</f>
        <v>903744</v>
      </c>
      <c r="K386" s="140" t="str">
        <f>IFERROR(__xludf.DUMMYFUNCTION("""COMPUTED_VALUE"""),"Python for Data Science and Machine Learning Bootcamp")</f>
        <v>Python for Data Science and Machine Learning Bootcamp</v>
      </c>
      <c r="L386">
        <f>IFERROR(__xludf.DUMMYFUNCTION("""COMPUTED_VALUE"""),950390.0)</f>
        <v>950390</v>
      </c>
      <c r="M386" s="140" t="str">
        <f>IFERROR(__xludf.DUMMYFUNCTION("""COMPUTED_VALUE"""),"Machine Learning A-Z™: Hands-On Python &amp; R In Data Science")</f>
        <v>Machine Learning A-Z™: Hands-On Python &amp; R In Data Science</v>
      </c>
    </row>
    <row r="387">
      <c r="A387" s="141">
        <f>IFERROR(__xludf.DUMMYFUNCTION("""COMPUTED_VALUE"""),43951.0)</f>
        <v>43951</v>
      </c>
      <c r="B387" s="145">
        <f>IFERROR(__xludf.DUMMYFUNCTION("""COMPUTED_VALUE"""),659368.0)</f>
        <v>659368</v>
      </c>
      <c r="C387" s="140" t="str">
        <f>IFERROR(__xludf.DUMMYFUNCTION("""COMPUTED_VALUE"""),"EN")</f>
        <v>EN</v>
      </c>
      <c r="D387" s="140" t="str">
        <f>IFERROR(__xludf.DUMMYFUNCTION("""COMPUTED_VALUE"""),"Deep Learning Prerequisites: Logistic Regression in Python")</f>
        <v>Deep Learning Prerequisites: Logistic Regression in Python</v>
      </c>
      <c r="F387" s="140" t="str">
        <f>IFERROR(__xludf.DUMMYFUNCTION("""COMPUTED_VALUE"""),"Lazy Programmer Inc.")</f>
        <v>Lazy Programmer Inc.</v>
      </c>
      <c r="G387" t="str">
        <f>IFERROR(__xludf.DUMMYFUNCTION("""COMPUTED_VALUE"""),"Instructor Request- Outdated")</f>
        <v>Instructor Request- Outdated</v>
      </c>
      <c r="H387" s="142" t="str">
        <f>IFERROR(__xludf.DUMMYFUNCTION("""COMPUTED_VALUE"""),"Data Science")</f>
        <v>Data Science</v>
      </c>
      <c r="I387" s="140" t="str">
        <f>IFERROR(__xludf.DUMMYFUNCTION("""COMPUTED_VALUE"""),"Machine Learning")</f>
        <v>Machine Learning</v>
      </c>
      <c r="J387" s="140">
        <f>IFERROR(__xludf.DUMMYFUNCTION("""COMPUTED_VALUE"""),903744.0)</f>
        <v>903744</v>
      </c>
      <c r="K387" s="140" t="str">
        <f>IFERROR(__xludf.DUMMYFUNCTION("""COMPUTED_VALUE"""),"Python for Data Science and Machine Learning Bootcamp")</f>
        <v>Python for Data Science and Machine Learning Bootcamp</v>
      </c>
      <c r="L387">
        <f>IFERROR(__xludf.DUMMYFUNCTION("""COMPUTED_VALUE"""),950390.0)</f>
        <v>950390</v>
      </c>
      <c r="M387" s="140" t="str">
        <f>IFERROR(__xludf.DUMMYFUNCTION("""COMPUTED_VALUE"""),"Machine Learning A-Z™: Hands-On Python &amp; R In Data Science")</f>
        <v>Machine Learning A-Z™: Hands-On Python &amp; R In Data Science</v>
      </c>
    </row>
    <row r="388">
      <c r="A388" s="141">
        <f>IFERROR(__xludf.DUMMYFUNCTION("""COMPUTED_VALUE"""),43951.0)</f>
        <v>43951</v>
      </c>
      <c r="B388" s="145">
        <f>IFERROR(__xludf.DUMMYFUNCTION("""COMPUTED_VALUE"""),713104.0)</f>
        <v>713104</v>
      </c>
      <c r="C388" s="140" t="str">
        <f>IFERROR(__xludf.DUMMYFUNCTION("""COMPUTED_VALUE"""),"EN")</f>
        <v>EN</v>
      </c>
      <c r="D388" s="140" t="str">
        <f>IFERROR(__xludf.DUMMYFUNCTION("""COMPUTED_VALUE"""),"Data Science: Deep Learning in Python")</f>
        <v>Data Science: Deep Learning in Python</v>
      </c>
      <c r="F388" s="140" t="str">
        <f>IFERROR(__xludf.DUMMYFUNCTION("""COMPUTED_VALUE"""),"Lazy Programmer Inc.")</f>
        <v>Lazy Programmer Inc.</v>
      </c>
      <c r="G388" t="str">
        <f>IFERROR(__xludf.DUMMYFUNCTION("""COMPUTED_VALUE"""),"Instructor Request- Outdated")</f>
        <v>Instructor Request- Outdated</v>
      </c>
      <c r="H388" s="142" t="str">
        <f>IFERROR(__xludf.DUMMYFUNCTION("""COMPUTED_VALUE"""),"Data Science")</f>
        <v>Data Science</v>
      </c>
      <c r="I388" s="140" t="str">
        <f>IFERROR(__xludf.DUMMYFUNCTION("""COMPUTED_VALUE"""),"Machine Learning")</f>
        <v>Machine Learning</v>
      </c>
      <c r="J388" s="140">
        <f>IFERROR(__xludf.DUMMYFUNCTION("""COMPUTED_VALUE"""),671576.0)</f>
        <v>671576</v>
      </c>
      <c r="K388" s="140" t="str">
        <f>IFERROR(__xludf.DUMMYFUNCTION("""COMPUTED_VALUE"""),"Machine Learning, Data Science and Deep Learning with Python")</f>
        <v>Machine Learning, Data Science and Deep Learning with Python</v>
      </c>
      <c r="L388">
        <f>IFERROR(__xludf.DUMMYFUNCTION("""COMPUTED_VALUE"""),1140660.0)</f>
        <v>1140660</v>
      </c>
      <c r="M388" s="140" t="str">
        <f>IFERROR(__xludf.DUMMYFUNCTION("""COMPUTED_VALUE"""),"Deep Learning with Python and Keras")</f>
        <v>Deep Learning with Python and Keras</v>
      </c>
    </row>
    <row r="389">
      <c r="A389" s="141">
        <f>IFERROR(__xludf.DUMMYFUNCTION("""COMPUTED_VALUE"""),43951.0)</f>
        <v>43951</v>
      </c>
      <c r="B389" s="145">
        <f>IFERROR(__xludf.DUMMYFUNCTION("""COMPUTED_VALUE"""),753140.0)</f>
        <v>753140</v>
      </c>
      <c r="C389" s="140" t="str">
        <f>IFERROR(__xludf.DUMMYFUNCTION("""COMPUTED_VALUE"""),"EN")</f>
        <v>EN</v>
      </c>
      <c r="D389" s="140" t="str">
        <f>IFERROR(__xludf.DUMMYFUNCTION("""COMPUTED_VALUE"""),"Data Science: Natural Language Processing (NLP) in Python")</f>
        <v>Data Science: Natural Language Processing (NLP) in Python</v>
      </c>
      <c r="F389" s="140" t="str">
        <f>IFERROR(__xludf.DUMMYFUNCTION("""COMPUTED_VALUE"""),"Lazy Programmer Inc.")</f>
        <v>Lazy Programmer Inc.</v>
      </c>
      <c r="G389" t="str">
        <f>IFERROR(__xludf.DUMMYFUNCTION("""COMPUTED_VALUE"""),"Instructor Request- Outdated")</f>
        <v>Instructor Request- Outdated</v>
      </c>
      <c r="H389" s="142" t="str">
        <f>IFERROR(__xludf.DUMMYFUNCTION("""COMPUTED_VALUE"""),"Data Science")</f>
        <v>Data Science</v>
      </c>
      <c r="I389" s="140" t="str">
        <f>IFERROR(__xludf.DUMMYFUNCTION("""COMPUTED_VALUE"""),"Machine Learning")</f>
        <v>Machine Learning</v>
      </c>
      <c r="J389" s="140">
        <f>IFERROR(__xludf.DUMMYFUNCTION("""COMPUTED_VALUE"""),918390.0)</f>
        <v>918390</v>
      </c>
      <c r="K389" s="140" t="str">
        <f>IFERROR(__xludf.DUMMYFUNCTION("""COMPUTED_VALUE"""),"")</f>
        <v/>
      </c>
      <c r="L389">
        <f>IFERROR(__xludf.DUMMYFUNCTION("""COMPUTED_VALUE"""),1647976.0)</f>
        <v>1647976</v>
      </c>
      <c r="M389" s="140" t="str">
        <f>IFERROR(__xludf.DUMMYFUNCTION("""COMPUTED_VALUE"""),"Deep Learning: Advanced Natural Language Processing and RNNs")</f>
        <v>Deep Learning: Advanced Natural Language Processing and RNNs</v>
      </c>
    </row>
    <row r="390">
      <c r="A390" s="141">
        <f>IFERROR(__xludf.DUMMYFUNCTION("""COMPUTED_VALUE"""),43951.0)</f>
        <v>43951</v>
      </c>
      <c r="B390" s="145">
        <f>IFERROR(__xludf.DUMMYFUNCTION("""COMPUTED_VALUE"""),794306.0)</f>
        <v>794306</v>
      </c>
      <c r="C390" s="140" t="str">
        <f>IFERROR(__xludf.DUMMYFUNCTION("""COMPUTED_VALUE"""),"EN")</f>
        <v>EN</v>
      </c>
      <c r="D390" s="140" t="str">
        <f>IFERROR(__xludf.DUMMYFUNCTION("""COMPUTED_VALUE"""),"Data Analytics: SQL for newbs, beginners and marketers")</f>
        <v>Data Analytics: SQL for newbs, beginners and marketers</v>
      </c>
      <c r="F390" s="140" t="str">
        <f>IFERROR(__xludf.DUMMYFUNCTION("""COMPUTED_VALUE"""),"Lazy Programmer Inc.")</f>
        <v>Lazy Programmer Inc.</v>
      </c>
      <c r="G390" t="str">
        <f>IFERROR(__xludf.DUMMYFUNCTION("""COMPUTED_VALUE"""),"Instructor Request- Outdated")</f>
        <v>Instructor Request- Outdated</v>
      </c>
      <c r="H390" s="142" t="str">
        <f>IFERROR(__xludf.DUMMYFUNCTION("""COMPUTED_VALUE"""),"Data Science")</f>
        <v>Data Science</v>
      </c>
      <c r="I390" s="140" t="str">
        <f>IFERROR(__xludf.DUMMYFUNCTION("""COMPUTED_VALUE"""),"Analytics")</f>
        <v>Analytics</v>
      </c>
      <c r="J390" s="140">
        <f>IFERROR(__xludf.DUMMYFUNCTION("""COMPUTED_VALUE"""),762616.0)</f>
        <v>762616</v>
      </c>
      <c r="K390" s="140" t="str">
        <f>IFERROR(__xludf.DUMMYFUNCTION("""COMPUTED_VALUE"""),"The Complete SQL Bootcamp 2022: Go from Zero to Hero")</f>
        <v>The Complete SQL Bootcamp 2022: Go from Zero to Hero</v>
      </c>
      <c r="L390">
        <f>IFERROR(__xludf.DUMMYFUNCTION("""COMPUTED_VALUE"""),203556.0)</f>
        <v>203556</v>
      </c>
      <c r="M390" s="140" t="str">
        <f>IFERROR(__xludf.DUMMYFUNCTION("""COMPUTED_VALUE"""),"SQL for NEWBS: Weekender Crash Course")</f>
        <v>SQL for NEWBS: Weekender Crash Course</v>
      </c>
    </row>
    <row r="391">
      <c r="A391" s="141">
        <f>IFERROR(__xludf.DUMMYFUNCTION("""COMPUTED_VALUE"""),43951.0)</f>
        <v>43951</v>
      </c>
      <c r="B391" s="145">
        <f>IFERROR(__xludf.DUMMYFUNCTION("""COMPUTED_VALUE"""),877582.0)</f>
        <v>877582</v>
      </c>
      <c r="C391" s="140" t="str">
        <f>IFERROR(__xludf.DUMMYFUNCTION("""COMPUTED_VALUE"""),"EN")</f>
        <v>EN</v>
      </c>
      <c r="D391" s="140" t="str">
        <f>IFERROR(__xludf.DUMMYFUNCTION("""COMPUTED_VALUE"""),"Cucumber BDD for Selenium &amp; Appium with Live Projects")</f>
        <v>Cucumber BDD for Selenium &amp; Appium with Live Projects</v>
      </c>
      <c r="F391" s="140" t="str">
        <f>IFERROR(__xludf.DUMMYFUNCTION("""COMPUTED_VALUE"""),"Rahul Arora")</f>
        <v>Rahul Arora</v>
      </c>
      <c r="G391" t="str">
        <f>IFERROR(__xludf.DUMMYFUNCTION("""COMPUTED_VALUE"""),"Below Quality Standards- Low Rating")</f>
        <v>Below Quality Standards- Low Rating</v>
      </c>
      <c r="H391" s="142" t="str">
        <f>IFERROR(__xludf.DUMMYFUNCTION("""COMPUTED_VALUE"""),"Development")</f>
        <v>Development</v>
      </c>
      <c r="I391" s="140" t="str">
        <f>IFERROR(__xludf.DUMMYFUNCTION("""COMPUTED_VALUE"""),"Development Tools")</f>
        <v>Development Tools</v>
      </c>
      <c r="J391" s="140">
        <f>IFERROR(__xludf.DUMMYFUNCTION("""COMPUTED_VALUE"""),1560542.0)</f>
        <v>1560542</v>
      </c>
      <c r="K391" s="140" t="str">
        <f>IFERROR(__xludf.DUMMYFUNCTION("""COMPUTED_VALUE"""),"Cucumber with Java-Build Automation Framework in lesser code")</f>
        <v>Cucumber with Java-Build Automation Framework in lesser code</v>
      </c>
      <c r="L391">
        <f>IFERROR(__xludf.DUMMYFUNCTION("""COMPUTED_VALUE"""),1343662.0)</f>
        <v>1343662</v>
      </c>
      <c r="M391" s="140" t="str">
        <f>IFERROR(__xludf.DUMMYFUNCTION("""COMPUTED_VALUE"""),"Selenium WebDriver with Java &amp; Cucumber BDD")</f>
        <v>Selenium WebDriver with Java &amp; Cucumber BDD</v>
      </c>
    </row>
    <row r="392">
      <c r="A392" s="141">
        <f>IFERROR(__xludf.DUMMYFUNCTION("""COMPUTED_VALUE"""),43951.0)</f>
        <v>43951</v>
      </c>
      <c r="B392" s="145">
        <f>IFERROR(__xludf.DUMMYFUNCTION("""COMPUTED_VALUE"""),468698.0)</f>
        <v>468698</v>
      </c>
      <c r="C392" s="140" t="str">
        <f>IFERROR(__xludf.DUMMYFUNCTION("""COMPUTED_VALUE"""),"EN")</f>
        <v>EN</v>
      </c>
      <c r="D392" s="140" t="str">
        <f>IFERROR(__xludf.DUMMYFUNCTION("""COMPUTED_VALUE"""),"Project Management: Simple Software Project Management")</f>
        <v>Project Management: Simple Software Project Management</v>
      </c>
      <c r="F392" s="140" t="str">
        <f>IFERROR(__xludf.DUMMYFUNCTION("""COMPUTED_VALUE"""),"Srikanth Shirodkar")</f>
        <v>Srikanth Shirodkar</v>
      </c>
      <c r="G392" t="str">
        <f>IFERROR(__xludf.DUMMYFUNCTION("""COMPUTED_VALUE"""),"Below Quality Standards- Deep Dive")</f>
        <v>Below Quality Standards- Deep Dive</v>
      </c>
      <c r="H392" s="142" t="str">
        <f>IFERROR(__xludf.DUMMYFUNCTION("""COMPUTED_VALUE"""),"Project Management &amp; Operations")</f>
        <v>Project Management &amp; Operations</v>
      </c>
      <c r="I392" s="140" t="str">
        <f>IFERROR(__xludf.DUMMYFUNCTION("""COMPUTED_VALUE"""),"Project Management Fundamentals")</f>
        <v>Project Management Fundamentals</v>
      </c>
      <c r="J392" s="140">
        <f>IFERROR(__xludf.DUMMYFUNCTION("""COMPUTED_VALUE"""),946742.0)</f>
        <v>946742</v>
      </c>
      <c r="K392" s="140" t="str">
        <f>IFERROR(__xludf.DUMMYFUNCTION("""COMPUTED_VALUE"""),"Beginning Project Management: Project Management Level One")</f>
        <v>Beginning Project Management: Project Management Level One</v>
      </c>
      <c r="M392" s="140" t="str">
        <f>IFERROR(__xludf.DUMMYFUNCTION("""COMPUTED_VALUE"""),"")</f>
        <v/>
      </c>
    </row>
    <row r="393">
      <c r="A393" s="141">
        <f>IFERROR(__xludf.DUMMYFUNCTION("""COMPUTED_VALUE"""),43951.0)</f>
        <v>43951</v>
      </c>
      <c r="B393" s="145">
        <f>IFERROR(__xludf.DUMMYFUNCTION("""COMPUTED_VALUE"""),82332.0)</f>
        <v>82332</v>
      </c>
      <c r="C393" s="140" t="str">
        <f>IFERROR(__xludf.DUMMYFUNCTION("""COMPUTED_VALUE"""),"EN")</f>
        <v>EN</v>
      </c>
      <c r="D393" s="140" t="str">
        <f>IFERROR(__xludf.DUMMYFUNCTION("""COMPUTED_VALUE"""),"Learn Basic Microsoft ASP.Net Development with Visual Studio")</f>
        <v>Learn Basic Microsoft ASP.Net Development with Visual Studio</v>
      </c>
      <c r="F393" s="140" t="str">
        <f>IFERROR(__xludf.DUMMYFUNCTION("""COMPUTED_VALUE"""),"A O")</f>
        <v>A O</v>
      </c>
      <c r="G393" t="str">
        <f>IFERROR(__xludf.DUMMYFUNCTION("""COMPUTED_VALUE"""),"Below Quality Standards- 3 Flags")</f>
        <v>Below Quality Standards- 3 Flags</v>
      </c>
      <c r="H393" s="142" t="str">
        <f>IFERROR(__xludf.DUMMYFUNCTION("""COMPUTED_VALUE"""),"Development")</f>
        <v>Development</v>
      </c>
      <c r="I393" s="140" t="str">
        <f>IFERROR(__xludf.DUMMYFUNCTION("""COMPUTED_VALUE"""),"Programming Languages")</f>
        <v>Programming Languages</v>
      </c>
      <c r="K393" s="140" t="str">
        <f>IFERROR(__xludf.DUMMYFUNCTION("""COMPUTED_VALUE"""),"")</f>
        <v/>
      </c>
      <c r="M393" s="140" t="str">
        <f>IFERROR(__xludf.DUMMYFUNCTION("""COMPUTED_VALUE"""),"")</f>
        <v/>
      </c>
      <c r="N393" s="140" t="str">
        <f>IFERROR(__xludf.DUMMYFUNCTION("""COMPUTED_VALUE"""),"No alternative in collection - 04/29/2020")</f>
        <v>No alternative in collection - 04/29/2020</v>
      </c>
    </row>
    <row r="394">
      <c r="A394" s="141">
        <f>IFERROR(__xludf.DUMMYFUNCTION("""COMPUTED_VALUE"""),43951.0)</f>
        <v>43951</v>
      </c>
      <c r="B394" s="145">
        <f>IFERROR(__xludf.DUMMYFUNCTION("""COMPUTED_VALUE"""),70636.0)</f>
        <v>70636</v>
      </c>
      <c r="C394" s="140" t="str">
        <f>IFERROR(__xludf.DUMMYFUNCTION("""COMPUTED_VALUE"""),"EN")</f>
        <v>EN</v>
      </c>
      <c r="D394" s="140" t="str">
        <f>IFERROR(__xludf.DUMMYFUNCTION("""COMPUTED_VALUE"""),"Python Programming: Build Matchmaking Website + Geolocator")</f>
        <v>Python Programming: Build Matchmaking Website + Geolocator</v>
      </c>
      <c r="F394" s="140" t="str">
        <f>IFERROR(__xludf.DUMMYFUNCTION("""COMPUTED_VALUE"""),"Justin Mitchel")</f>
        <v>Justin Mitchel</v>
      </c>
      <c r="G394" t="str">
        <f>IFERROR(__xludf.DUMMYFUNCTION("""COMPUTED_VALUE"""),"Below Quality Standards- 3 Flags")</f>
        <v>Below Quality Standards- 3 Flags</v>
      </c>
      <c r="H394" s="142" t="str">
        <f>IFERROR(__xludf.DUMMYFUNCTION("""COMPUTED_VALUE"""),"Development")</f>
        <v>Development</v>
      </c>
      <c r="I394" s="140" t="str">
        <f>IFERROR(__xludf.DUMMYFUNCTION("""COMPUTED_VALUE"""),"Programming Languages")</f>
        <v>Programming Languages</v>
      </c>
      <c r="J394" s="140">
        <f>IFERROR(__xludf.DUMMYFUNCTION("""COMPUTED_VALUE"""),567828.0)</f>
        <v>567828</v>
      </c>
      <c r="K394" s="140" t="str">
        <f>IFERROR(__xludf.DUMMYFUNCTION("""COMPUTED_VALUE"""),"2022 Complete Python Bootcamp From Zero to Hero in Python")</f>
        <v>2022 Complete Python Bootcamp From Zero to Hero in Python</v>
      </c>
      <c r="M394" s="140" t="str">
        <f>IFERROR(__xludf.DUMMYFUNCTION("""COMPUTED_VALUE"""),"")</f>
        <v/>
      </c>
    </row>
    <row r="395">
      <c r="A395" s="141">
        <f>IFERROR(__xludf.DUMMYFUNCTION("""COMPUTED_VALUE"""),43951.0)</f>
        <v>43951</v>
      </c>
      <c r="B395" s="145">
        <f>IFERROR(__xludf.DUMMYFUNCTION("""COMPUTED_VALUE"""),299710.0)</f>
        <v>299710</v>
      </c>
      <c r="C395" s="140" t="str">
        <f>IFERROR(__xludf.DUMMYFUNCTION("""COMPUTED_VALUE"""),"EN")</f>
        <v>EN</v>
      </c>
      <c r="D395" s="140" t="str">
        <f>IFERROR(__xludf.DUMMYFUNCTION("""COMPUTED_VALUE"""),"Brand Campfire: The Art &amp; Science Of Brand Storytelling")</f>
        <v>Brand Campfire: The Art &amp; Science Of Brand Storytelling</v>
      </c>
      <c r="F395" s="140" t="str">
        <f>IFERROR(__xludf.DUMMYFUNCTION("""COMPUTED_VALUE"""),"Kevin McIntosh")</f>
        <v>Kevin McIntosh</v>
      </c>
      <c r="G395" t="str">
        <f>IFERROR(__xludf.DUMMYFUNCTION("""COMPUTED_VALUE"""),"Below Quality Standards- 3 Flags")</f>
        <v>Below Quality Standards- 3 Flags</v>
      </c>
      <c r="H395" s="142" t="str">
        <f>IFERROR(__xludf.DUMMYFUNCTION("""COMPUTED_VALUE"""),"Marketing")</f>
        <v>Marketing</v>
      </c>
      <c r="I395" s="140" t="str">
        <f>IFERROR(__xludf.DUMMYFUNCTION("""COMPUTED_VALUE"""),"Marketing Strategy")</f>
        <v>Marketing Strategy</v>
      </c>
      <c r="J395" s="140">
        <f>IFERROR(__xludf.DUMMYFUNCTION("""COMPUTED_VALUE"""),2037952.0)</f>
        <v>2037952</v>
      </c>
      <c r="K395" s="140" t="str">
        <f>IFERROR(__xludf.DUMMYFUNCTION("""COMPUTED_VALUE"""),"Business Branding With Personality: Build An Authentic Brand")</f>
        <v>Business Branding With Personality: Build An Authentic Brand</v>
      </c>
      <c r="L395">
        <f>IFERROR(__xludf.DUMMYFUNCTION("""COMPUTED_VALUE"""),2222324.0)</f>
        <v>2222324</v>
      </c>
      <c r="M395" s="140" t="str">
        <f>IFERROR(__xludf.DUMMYFUNCTION("""COMPUTED_VALUE"""),"Business Branding: The Complete Course Part 1 - Strategy")</f>
        <v>Business Branding: The Complete Course Part 1 - Strategy</v>
      </c>
    </row>
    <row r="396">
      <c r="A396" s="141">
        <f>IFERROR(__xludf.DUMMYFUNCTION("""COMPUTED_VALUE"""),43951.0)</f>
        <v>43951</v>
      </c>
      <c r="B396" s="145">
        <f>IFERROR(__xludf.DUMMYFUNCTION("""COMPUTED_VALUE"""),789692.0)</f>
        <v>789692</v>
      </c>
      <c r="C396" s="140" t="str">
        <f>IFERROR(__xludf.DUMMYFUNCTION("""COMPUTED_VALUE"""),"EN")</f>
        <v>EN</v>
      </c>
      <c r="D396" s="140" t="str">
        <f>IFERROR(__xludf.DUMMYFUNCTION("""COMPUTED_VALUE"""),"Learn Xamarin by Creating Real World Cross-Platform Apps")</f>
        <v>Learn Xamarin by Creating Real World Cross-Platform Apps</v>
      </c>
      <c r="F396" s="140" t="str">
        <f>IFERROR(__xludf.DUMMYFUNCTION("""COMPUTED_VALUE"""),"Grant Klimaytys")</f>
        <v>Grant Klimaytys</v>
      </c>
      <c r="G396" t="str">
        <f>IFERROR(__xludf.DUMMYFUNCTION("""COMPUTED_VALUE"""),"Below Quality Standards- 3 Flags")</f>
        <v>Below Quality Standards- 3 Flags</v>
      </c>
      <c r="H396" s="142" t="str">
        <f>IFERROR(__xludf.DUMMYFUNCTION("""COMPUTED_VALUE"""),"Development")</f>
        <v>Development</v>
      </c>
      <c r="I396" s="140" t="str">
        <f>IFERROR(__xludf.DUMMYFUNCTION("""COMPUTED_VALUE"""),"Mobile Development")</f>
        <v>Mobile Development</v>
      </c>
      <c r="J396" s="140">
        <f>IFERROR(__xludf.DUMMYFUNCTION("""COMPUTED_VALUE"""),1419490.0)</f>
        <v>1419490</v>
      </c>
      <c r="K396" s="140" t="str">
        <f>IFERROR(__xludf.DUMMYFUNCTION("""COMPUTED_VALUE"""),"The Complete Xamarin Developer Course:  iOS And Android!")</f>
        <v>The Complete Xamarin Developer Course:  iOS And Android!</v>
      </c>
      <c r="L396">
        <f>IFERROR(__xludf.DUMMYFUNCTION("""COMPUTED_VALUE"""),951684.0)</f>
        <v>951684</v>
      </c>
      <c r="M396" s="140" t="str">
        <f>IFERROR(__xludf.DUMMYFUNCTION("""COMPUTED_VALUE"""),"Xamarin Forms: Build Native Cross-platform Apps with C#")</f>
        <v>Xamarin Forms: Build Native Cross-platform Apps with C#</v>
      </c>
    </row>
    <row r="397">
      <c r="A397" s="141">
        <f>IFERROR(__xludf.DUMMYFUNCTION("""COMPUTED_VALUE"""),43951.0)</f>
        <v>43951</v>
      </c>
      <c r="B397" s="145">
        <f>IFERROR(__xludf.DUMMYFUNCTION("""COMPUTED_VALUE"""),1638736.0)</f>
        <v>1638736</v>
      </c>
      <c r="C397" s="140" t="str">
        <f>IFERROR(__xludf.DUMMYFUNCTION("""COMPUTED_VALUE"""),"EN")</f>
        <v>EN</v>
      </c>
      <c r="D397" s="140" t="str">
        <f>IFERROR(__xludf.DUMMYFUNCTION("""COMPUTED_VALUE"""),"Understanding and Troubleshooting SIP")</f>
        <v>Understanding and Troubleshooting SIP</v>
      </c>
      <c r="F397" s="140" t="str">
        <f>IFERROR(__xludf.DUMMYFUNCTION("""COMPUTED_VALUE"""),"Flavio E. Goncalves")</f>
        <v>Flavio E. Goncalves</v>
      </c>
      <c r="G397" t="str">
        <f>IFERROR(__xludf.DUMMYFUNCTION("""COMPUTED_VALUE"""),"Instructor Request- Opted Out")</f>
        <v>Instructor Request- Opted Out</v>
      </c>
      <c r="H397" s="142" t="str">
        <f>IFERROR(__xludf.DUMMYFUNCTION("""COMPUTED_VALUE"""),"IT Operations")</f>
        <v>IT Operations</v>
      </c>
      <c r="I397" s="140" t="str">
        <f>IFERROR(__xludf.DUMMYFUNCTION("""COMPUTED_VALUE"""),"Network &amp; Security")</f>
        <v>Network &amp; Security</v>
      </c>
      <c r="J397" s="140">
        <f>IFERROR(__xludf.DUMMYFUNCTION("""COMPUTED_VALUE"""),869724.0)</f>
        <v>869724</v>
      </c>
      <c r="K397" s="140" t="str">
        <f>IFERROR(__xludf.DUMMYFUNCTION("""COMPUTED_VALUE"""),"Introduction to SIP")</f>
        <v>Introduction to SIP</v>
      </c>
      <c r="M397" s="140" t="str">
        <f>IFERROR(__xludf.DUMMYFUNCTION("""COMPUTED_VALUE"""),"")</f>
        <v/>
      </c>
    </row>
    <row r="398">
      <c r="A398" s="141">
        <f>IFERROR(__xludf.DUMMYFUNCTION("""COMPUTED_VALUE"""),43963.0)</f>
        <v>43963</v>
      </c>
      <c r="B398" s="145">
        <f>IFERROR(__xludf.DUMMYFUNCTION("""COMPUTED_VALUE"""),2638640.0)</f>
        <v>2638640</v>
      </c>
      <c r="C398" s="140" t="str">
        <f>IFERROR(__xludf.DUMMYFUNCTION("""COMPUTED_VALUE"""),"EN")</f>
        <v>EN</v>
      </c>
      <c r="D398" s="140" t="str">
        <f>IFERROR(__xludf.DUMMYFUNCTION("""COMPUTED_VALUE"""),"Talent Management basics: learn modern Human Resources (HR)")</f>
        <v>Talent Management basics: learn modern Human Resources (HR)</v>
      </c>
      <c r="F398" s="140" t="str">
        <f>IFERROR(__xludf.DUMMYFUNCTION("""COMPUTED_VALUE"""),"Rameel Ahmed")</f>
        <v>Rameel Ahmed</v>
      </c>
      <c r="G398" t="str">
        <f>IFERROR(__xludf.DUMMYFUNCTION("""COMPUTED_VALUE"""),"Instructor Practices")</f>
        <v>Instructor Practices</v>
      </c>
      <c r="H398" s="142" t="str">
        <f>IFERROR(__xludf.DUMMYFUNCTION("""COMPUTED_VALUE"""),"Human Resources")</f>
        <v>Human Resources</v>
      </c>
      <c r="I398" s="140" t="str">
        <f>IFERROR(__xludf.DUMMYFUNCTION("""COMPUTED_VALUE"""),"Talent Management")</f>
        <v>Talent Management</v>
      </c>
      <c r="J398" s="140">
        <f>IFERROR(__xludf.DUMMYFUNCTION("""COMPUTED_VALUE"""),125808.0)</f>
        <v>125808</v>
      </c>
      <c r="K398" s="140" t="str">
        <f>IFERROR(__xludf.DUMMYFUNCTION("""COMPUTED_VALUE"""),"World-Class HR: 21st Century Talent Management")</f>
        <v>World-Class HR: 21st Century Talent Management</v>
      </c>
      <c r="L398">
        <f>IFERROR(__xludf.DUMMYFUNCTION("""COMPUTED_VALUE"""),821278.0)</f>
        <v>821278</v>
      </c>
      <c r="M398" s="140" t="str">
        <f>IFERROR(__xludf.DUMMYFUNCTION("""COMPUTED_VALUE"""),"INTERVIEW TRAINING: Ask Better Questions, Hire Better People")</f>
        <v>INTERVIEW TRAINING: Ask Better Questions, Hire Better People</v>
      </c>
    </row>
    <row r="399">
      <c r="A399" s="141">
        <f>IFERROR(__xludf.DUMMYFUNCTION("""COMPUTED_VALUE"""),43942.0)</f>
        <v>43942</v>
      </c>
      <c r="B399" s="145">
        <f>IFERROR(__xludf.DUMMYFUNCTION("""COMPUTED_VALUE"""),1429030.0)</f>
        <v>1429030</v>
      </c>
      <c r="C399" s="140" t="str">
        <f>IFERROR(__xludf.DUMMYFUNCTION("""COMPUTED_VALUE"""),"EN")</f>
        <v>EN</v>
      </c>
      <c r="D399" s="140" t="str">
        <f>IFERROR(__xludf.DUMMYFUNCTION("""COMPUTED_VALUE"""),"SAP Basis One-on-One Foundations")</f>
        <v>SAP Basis One-on-One Foundations</v>
      </c>
      <c r="F399" s="140" t="str">
        <f>IFERROR(__xludf.DUMMYFUNCTION("""COMPUTED_VALUE"""),"Emmitt D. Bone")</f>
        <v>Emmitt D. Bone</v>
      </c>
      <c r="G399" t="str">
        <f>IFERROR(__xludf.DUMMYFUNCTION("""COMPUTED_VALUE"""),"Instructor Practices")</f>
        <v>Instructor Practices</v>
      </c>
      <c r="H399" s="142" t="str">
        <f>IFERROR(__xludf.DUMMYFUNCTION("""COMPUTED_VALUE"""),"IT Operations")</f>
        <v>IT Operations</v>
      </c>
      <c r="I399" s="140" t="str">
        <f>IFERROR(__xludf.DUMMYFUNCTION("""COMPUTED_VALUE"""),"Operating Systems &amp; Servers")</f>
        <v>Operating Systems &amp; Servers</v>
      </c>
      <c r="J399" s="140">
        <f>IFERROR(__xludf.DUMMYFUNCTION("""COMPUTED_VALUE"""),2464676.0)</f>
        <v>2464676</v>
      </c>
      <c r="K399" s="140" t="str">
        <f>IFERROR(__xludf.DUMMYFUNCTION("""COMPUTED_VALUE"""),"SAP Basis Administration")</f>
        <v>SAP Basis Administration</v>
      </c>
      <c r="M399" s="140" t="str">
        <f>IFERROR(__xludf.DUMMYFUNCTION("""COMPUTED_VALUE"""),"")</f>
        <v/>
      </c>
    </row>
    <row r="400">
      <c r="A400" s="141">
        <f>IFERROR(__xludf.DUMMYFUNCTION("""COMPUTED_VALUE"""),43941.0)</f>
        <v>43941</v>
      </c>
      <c r="B400" s="145">
        <f>IFERROR(__xludf.DUMMYFUNCTION("""COMPUTED_VALUE"""),1330262.0)</f>
        <v>1330262</v>
      </c>
      <c r="C400" s="140" t="str">
        <f>IFERROR(__xludf.DUMMYFUNCTION("""COMPUTED_VALUE"""),"EN")</f>
        <v>EN</v>
      </c>
      <c r="D400" s="140" t="str">
        <f>IFERROR(__xludf.DUMMYFUNCTION("""COMPUTED_VALUE"""),"Data Structures &amp; Algorithms !")</f>
        <v>Data Structures &amp; Algorithms !</v>
      </c>
      <c r="F400" s="140" t="str">
        <f>IFERROR(__xludf.DUMMYFUNCTION("""COMPUTED_VALUE"""),"DS Guy")</f>
        <v>DS Guy</v>
      </c>
      <c r="G400" t="str">
        <f>IFERROR(__xludf.DUMMYFUNCTION("""COMPUTED_VALUE"""),"Instructor Practices")</f>
        <v>Instructor Practices</v>
      </c>
      <c r="H400" s="142" t="str">
        <f>IFERROR(__xludf.DUMMYFUNCTION("""COMPUTED_VALUE"""),"Development")</f>
        <v>Development</v>
      </c>
      <c r="I400" s="140" t="str">
        <f>IFERROR(__xludf.DUMMYFUNCTION("""COMPUTED_VALUE"""),"Programming Languages")</f>
        <v>Programming Languages</v>
      </c>
      <c r="J400" s="140">
        <f>IFERROR(__xludf.DUMMYFUNCTION("""COMPUTED_VALUE"""),1419186.0)</f>
        <v>1419186</v>
      </c>
      <c r="K400" s="140" t="str">
        <f>IFERROR(__xludf.DUMMYFUNCTION("""COMPUTED_VALUE"""),"Data Structures and Algorithms:  Deep Dive Using Java")</f>
        <v>Data Structures and Algorithms:  Deep Dive Using Java</v>
      </c>
      <c r="L400">
        <f>IFERROR(__xludf.DUMMYFUNCTION("""COMPUTED_VALUE"""),798580.0)</f>
        <v>798580</v>
      </c>
      <c r="M400" s="140" t="str">
        <f>IFERROR(__xludf.DUMMYFUNCTION("""COMPUTED_VALUE"""),"Practical Data Structures &amp; Algorithms in Java + HW")</f>
        <v>Practical Data Structures &amp; Algorithms in Java + HW</v>
      </c>
    </row>
    <row r="401">
      <c r="A401" s="141">
        <f>IFERROR(__xludf.DUMMYFUNCTION("""COMPUTED_VALUE"""),43931.0)</f>
        <v>43931</v>
      </c>
      <c r="B401" s="145">
        <f>IFERROR(__xludf.DUMMYFUNCTION("""COMPUTED_VALUE"""),763320.0)</f>
        <v>763320</v>
      </c>
      <c r="C401" s="140" t="str">
        <f>IFERROR(__xludf.DUMMYFUNCTION("""COMPUTED_VALUE"""),"EN")</f>
        <v>EN</v>
      </c>
      <c r="D401" s="140" t="str">
        <f>IFERROR(__xludf.DUMMYFUNCTION("""COMPUTED_VALUE"""),"Affiliate Marketing + SEO: Amazon Affiliate Marketing")</f>
        <v>Affiliate Marketing + SEO: Amazon Affiliate Marketing</v>
      </c>
      <c r="F401" s="140" t="str">
        <f>IFERROR(__xludf.DUMMYFUNCTION("""COMPUTED_VALUE"""),"⭐Adam Bosch⭐ Affiliate Marketing")</f>
        <v>⭐Adam Bosch⭐ Affiliate Marketing</v>
      </c>
      <c r="G401" t="str">
        <f>IFERROR(__xludf.DUMMYFUNCTION("""COMPUTED_VALUE"""),"Copyright")</f>
        <v>Copyright</v>
      </c>
      <c r="H401" s="142" t="str">
        <f>IFERROR(__xludf.DUMMYFUNCTION("""COMPUTED_VALUE"""),"Marketing")</f>
        <v>Marketing</v>
      </c>
      <c r="I401" s="140" t="str">
        <f>IFERROR(__xludf.DUMMYFUNCTION("""COMPUTED_VALUE"""),"Search Engine Optimization")</f>
        <v>Search Engine Optimization</v>
      </c>
      <c r="J401" s="140">
        <f>IFERROR(__xludf.DUMMYFUNCTION("""COMPUTED_VALUE"""),657590.0)</f>
        <v>657590</v>
      </c>
      <c r="K401" s="140" t="str">
        <f>IFERROR(__xludf.DUMMYFUNCTION("""COMPUTED_VALUE"""),"SEO:Amazon Affiliate Marketing+SEO |250+ Videos |18.0 Hours")</f>
        <v>SEO:Amazon Affiliate Marketing+SEO |250+ Videos |18.0 Hours</v>
      </c>
      <c r="L401">
        <f>IFERROR(__xludf.DUMMYFUNCTION("""COMPUTED_VALUE"""),521574.0)</f>
        <v>521574</v>
      </c>
      <c r="M401" s="140" t="str">
        <f>IFERROR(__xludf.DUMMYFUNCTION("""COMPUTED_VALUE"""),"Complete SEO Training With Top SEO Expert Peter Kent!")</f>
        <v>Complete SEO Training With Top SEO Expert Peter Kent!</v>
      </c>
    </row>
    <row r="402">
      <c r="A402" s="141">
        <f>IFERROR(__xludf.DUMMYFUNCTION("""COMPUTED_VALUE"""),43922.0)</f>
        <v>43922</v>
      </c>
      <c r="B402" s="145">
        <f>IFERROR(__xludf.DUMMYFUNCTION("""COMPUTED_VALUE"""),2298934.0)</f>
        <v>2298934</v>
      </c>
      <c r="C402" s="140" t="str">
        <f>IFERROR(__xludf.DUMMYFUNCTION("""COMPUTED_VALUE"""),"EN")</f>
        <v>EN</v>
      </c>
      <c r="D402" s="140" t="str">
        <f>IFERROR(__xludf.DUMMYFUNCTION("""COMPUTED_VALUE"""),"SAP S4 HANA SIMPLE LOGISTICS")</f>
        <v>SAP S4 HANA SIMPLE LOGISTICS</v>
      </c>
      <c r="F402" s="140" t="str">
        <f>IFERROR(__xludf.DUMMYFUNCTION("""COMPUTED_VALUE"""),"Knowasap Training")</f>
        <v>Knowasap Training</v>
      </c>
      <c r="G402" t="str">
        <f>IFERROR(__xludf.DUMMYFUNCTION("""COMPUTED_VALUE"""),"Copyright")</f>
        <v>Copyright</v>
      </c>
      <c r="H402" s="142" t="str">
        <f>IFERROR(__xludf.DUMMYFUNCTION("""COMPUTED_VALUE"""),"Data Science")</f>
        <v>Data Science</v>
      </c>
      <c r="I402" s="140" t="str">
        <f>IFERROR(__xludf.DUMMYFUNCTION("""COMPUTED_VALUE"""),"Analytics")</f>
        <v>Analytics</v>
      </c>
      <c r="J402">
        <f>IFERROR(__xludf.DUMMYFUNCTION("""COMPUTED_VALUE"""),1111068.0)</f>
        <v>1111068</v>
      </c>
      <c r="K402" s="140" t="str">
        <f>IFERROR(__xludf.DUMMYFUNCTION("""COMPUTED_VALUE"""),"SAP S/4HANA Training - in Plain English")</f>
        <v>SAP S/4HANA Training - in Plain English</v>
      </c>
      <c r="M402" s="140" t="str">
        <f>IFERROR(__xludf.DUMMYFUNCTION("""COMPUTED_VALUE"""),"")</f>
        <v/>
      </c>
    </row>
    <row r="403">
      <c r="A403" s="141">
        <f>IFERROR(__xludf.DUMMYFUNCTION("""COMPUTED_VALUE"""),43921.0)</f>
        <v>43921</v>
      </c>
      <c r="B403" s="145">
        <f>IFERROR(__xludf.DUMMYFUNCTION("""COMPUTED_VALUE"""),1115290.0)</f>
        <v>1115290</v>
      </c>
      <c r="C403" s="140" t="str">
        <f>IFERROR(__xludf.DUMMYFUNCTION("""COMPUTED_VALUE"""),"PT")</f>
        <v>PT</v>
      </c>
      <c r="D403" s="140" t="str">
        <f>IFERROR(__xludf.DUMMYFUNCTION("""COMPUTED_VALUE"""),"Preparatório para Certificação Linux LPIC-1 | Atualizado V5")</f>
        <v>Preparatório para Certificação Linux LPIC-1 | Atualizado V5</v>
      </c>
      <c r="E403" s="140" t="str">
        <f>IFERROR(__xludf.DUMMYFUNCTION("""COMPUTED_VALUE"""),"Preparation Linux LPIC-1 certification | updated V5")</f>
        <v>Preparation Linux LPIC-1 certification | updated V5</v>
      </c>
      <c r="F403" s="142" t="str">
        <f>IFERROR(__xludf.DUMMYFUNCTION("""COMPUTED_VALUE"""),"Ricardo. Prudenciato")</f>
        <v>Ricardo. Prudenciato</v>
      </c>
      <c r="G403" t="str">
        <f>IFERROR(__xludf.DUMMYFUNCTION("""COMPUTED_VALUE"""),"Instructor Request- Opted Out")</f>
        <v>Instructor Request- Opted Out</v>
      </c>
      <c r="H403" s="142" t="str">
        <f>IFERROR(__xludf.DUMMYFUNCTION("""COMPUTED_VALUE"""),"IT Operations")</f>
        <v>IT Operations</v>
      </c>
      <c r="I403" s="140" t="str">
        <f>IFERROR(__xludf.DUMMYFUNCTION("""COMPUTED_VALUE"""),"IT Certifications")</f>
        <v>IT Certifications</v>
      </c>
      <c r="K403" s="140" t="str">
        <f>IFERROR(__xludf.DUMMYFUNCTION("""COMPUTED_VALUE"""),"")</f>
        <v/>
      </c>
      <c r="M403" s="140" t="str">
        <f>IFERROR(__xludf.DUMMYFUNCTION("""COMPUTED_VALUE"""),"")</f>
        <v/>
      </c>
    </row>
    <row r="404">
      <c r="A404" s="141">
        <f>IFERROR(__xludf.DUMMYFUNCTION("""COMPUTED_VALUE"""),43921.0)</f>
        <v>43921</v>
      </c>
      <c r="B404" s="140">
        <f>IFERROR(__xludf.DUMMYFUNCTION("""COMPUTED_VALUE"""),1311650.0)</f>
        <v>1311650</v>
      </c>
      <c r="C404" s="140" t="str">
        <f>IFERROR(__xludf.DUMMYFUNCTION("""COMPUTED_VALUE"""),"DE")</f>
        <v>DE</v>
      </c>
      <c r="D404" s="140" t="str">
        <f>IFERROR(__xludf.DUMMYFUNCTION("""COMPUTED_VALUE"""),"Der komplette Blender-Kurs für Unity: Lerne 3D-Modellierung")</f>
        <v>Der komplette Blender-Kurs für Unity: Lerne 3D-Modellierung</v>
      </c>
      <c r="E404" s="140" t="str">
        <f>IFERROR(__xludf.DUMMYFUNCTION("""COMPUTED_VALUE"""),"The complete Blender course for Unity: Learn 3D modeling")</f>
        <v>The complete Blender course for Unity: Learn 3D modeling</v>
      </c>
      <c r="F404" s="142" t="str">
        <f>IFERROR(__xludf.DUMMYFUNCTION("""COMPUTED_VALUE"""),"Dr. René Bühling")</f>
        <v>Dr. René Bühling</v>
      </c>
      <c r="G404" t="str">
        <f>IFERROR(__xludf.DUMMYFUNCTION("""COMPUTED_VALUE"""),"Course Ineligible")</f>
        <v>Course Ineligible</v>
      </c>
      <c r="H404" s="142" t="str">
        <f>IFERROR(__xludf.DUMMYFUNCTION("""COMPUTED_VALUE"""),"Design")</f>
        <v>Design</v>
      </c>
      <c r="I404" s="140" t="str">
        <f>IFERROR(__xludf.DUMMYFUNCTION("""COMPUTED_VALUE"""),"Design Tools")</f>
        <v>Design Tools</v>
      </c>
      <c r="J404">
        <f>IFERROR(__xludf.DUMMYFUNCTION("""COMPUTED_VALUE"""),1918966.0)</f>
        <v>1918966</v>
      </c>
      <c r="K404" s="140" t="str">
        <f>IFERROR(__xludf.DUMMYFUNCTION("""COMPUTED_VALUE"""),"Der komplette Blender Kurs - Erstelle hochwertige 3D Modelle")</f>
        <v>Der komplette Blender Kurs - Erstelle hochwertige 3D Modelle</v>
      </c>
      <c r="L404" s="140">
        <f>IFERROR(__xludf.DUMMYFUNCTION("""COMPUTED_VALUE"""),1379740.0)</f>
        <v>1379740</v>
      </c>
      <c r="M404" s="140" t="str">
        <f>IFERROR(__xludf.DUMMYFUNCTION("""COMPUTED_VALUE"""),"Der Unity 2017 &amp; Blender Komplettkurs: Erstelle Top 3D Games")</f>
        <v>Der Unity 2017 &amp; Blender Komplettkurs: Erstelle Top 3D Games</v>
      </c>
    </row>
    <row r="405">
      <c r="A405" s="141">
        <f>IFERROR(__xludf.DUMMYFUNCTION("""COMPUTED_VALUE"""),43921.0)</f>
        <v>43921</v>
      </c>
      <c r="B405" s="140">
        <f>IFERROR(__xludf.DUMMYFUNCTION("""COMPUTED_VALUE"""),537812.0)</f>
        <v>537812</v>
      </c>
      <c r="C405" s="140" t="str">
        <f>IFERROR(__xludf.DUMMYFUNCTION("""COMPUTED_VALUE"""),"DE")</f>
        <v>DE</v>
      </c>
      <c r="D405" s="140" t="str">
        <f>IFERROR(__xludf.DUMMYFUNCTION("""COMPUTED_VALUE"""),"Swift 2.2 und iOS9 - App Entwicklung für iPhone und iPad")</f>
        <v>Swift 2.2 und iOS9 - App Entwicklung für iPhone und iPad</v>
      </c>
      <c r="E405" s="140" t="str">
        <f>IFERROR(__xludf.DUMMYFUNCTION("""COMPUTED_VALUE"""),"SWIFT 2.2 and IOS9 - App Development for iPhone and iPad")</f>
        <v>SWIFT 2.2 and IOS9 - App Development for iPhone and iPad</v>
      </c>
      <c r="F405" s="142" t="str">
        <f>IFERROR(__xludf.DUMMYFUNCTION("""COMPUTED_VALUE"""),"Jan Brinkmann")</f>
        <v>Jan Brinkmann</v>
      </c>
      <c r="G405" t="str">
        <f>IFERROR(__xludf.DUMMYFUNCTION("""COMPUTED_VALUE"""),"Below Quality Standards- Outdated")</f>
        <v>Below Quality Standards- Outdated</v>
      </c>
      <c r="H405" s="142" t="str">
        <f>IFERROR(__xludf.DUMMYFUNCTION("""COMPUTED_VALUE"""),"Development")</f>
        <v>Development</v>
      </c>
      <c r="I405" s="140" t="str">
        <f>IFERROR(__xludf.DUMMYFUNCTION("""COMPUTED_VALUE"""),"Mobile Development")</f>
        <v>Mobile Development</v>
      </c>
      <c r="K405" s="140" t="str">
        <f>IFERROR(__xludf.DUMMYFUNCTION("""COMPUTED_VALUE"""),"")</f>
        <v/>
      </c>
      <c r="M405" s="140" t="str">
        <f>IFERROR(__xludf.DUMMYFUNCTION("""COMPUTED_VALUE"""),"")</f>
        <v/>
      </c>
    </row>
    <row r="406">
      <c r="A406" s="141">
        <f>IFERROR(__xludf.DUMMYFUNCTION("""COMPUTED_VALUE"""),43921.0)</f>
        <v>43921</v>
      </c>
      <c r="B406" s="140">
        <f>IFERROR(__xludf.DUMMYFUNCTION("""COMPUTED_VALUE"""),691584.0)</f>
        <v>691584</v>
      </c>
      <c r="C406" s="140" t="str">
        <f>IFERROR(__xludf.DUMMYFUNCTION("""COMPUTED_VALUE"""),"ES")</f>
        <v>ES</v>
      </c>
      <c r="D406" s="140" t="str">
        <f>IFERROR(__xludf.DUMMYFUNCTION("""COMPUTED_VALUE"""),"SQL desde cero: Curso práctico y sin prerrequisitos técnicos")</f>
        <v>SQL desde cero: Curso práctico y sin prerrequisitos técnicos</v>
      </c>
      <c r="E406" s="140" t="str">
        <f>IFERROR(__xludf.DUMMYFUNCTION("""COMPUTED_VALUE"""),"SQL from scratch: Workshop without technical prerequisites")</f>
        <v>SQL from scratch: Workshop without technical prerequisites</v>
      </c>
      <c r="F406" s="142" t="str">
        <f>IFERROR(__xludf.DUMMYFUNCTION("""COMPUTED_VALUE"""),"Mel Restori")</f>
        <v>Mel Restori</v>
      </c>
      <c r="G406" t="str">
        <f>IFERROR(__xludf.DUMMYFUNCTION("""COMPUTED_VALUE"""),"Instructor Request- Opted Out")</f>
        <v>Instructor Request- Opted Out</v>
      </c>
      <c r="H406" s="142" t="str">
        <f>IFERROR(__xludf.DUMMYFUNCTION("""COMPUTED_VALUE"""),"Data Science")</f>
        <v>Data Science</v>
      </c>
      <c r="I406" s="140" t="str">
        <f>IFERROR(__xludf.DUMMYFUNCTION("""COMPUTED_VALUE"""),"Analytics")</f>
        <v>Analytics</v>
      </c>
      <c r="K406" s="140" t="str">
        <f>IFERROR(__xludf.DUMMYFUNCTION("""COMPUTED_VALUE"""),"")</f>
        <v/>
      </c>
      <c r="M406" s="140" t="str">
        <f>IFERROR(__xludf.DUMMYFUNCTION("""COMPUTED_VALUE"""),"")</f>
        <v/>
      </c>
      <c r="N406" s="140" t="str">
        <f>IFERROR(__xludf.DUMMYFUNCTION("""COMPUTED_VALUE"""),"No Alternatives in Collection - 3/16")</f>
        <v>No Alternatives in Collection - 3/16</v>
      </c>
    </row>
    <row r="407">
      <c r="A407" s="141">
        <f>IFERROR(__xludf.DUMMYFUNCTION("""COMPUTED_VALUE"""),43921.0)</f>
        <v>43921</v>
      </c>
      <c r="B407" s="140">
        <f>IFERROR(__xludf.DUMMYFUNCTION("""COMPUTED_VALUE"""),522596.0)</f>
        <v>522596</v>
      </c>
      <c r="C407" s="140" t="str">
        <f>IFERROR(__xludf.DUMMYFUNCTION("""COMPUTED_VALUE"""),"EN")</f>
        <v>EN</v>
      </c>
      <c r="D407" s="140" t="str">
        <f>IFERROR(__xludf.DUMMYFUNCTION("""COMPUTED_VALUE"""),"Learn to Create Pixel Art for your Games")</f>
        <v>Learn to Create Pixel Art for your Games</v>
      </c>
      <c r="F407" s="142" t="str">
        <f>IFERROR(__xludf.DUMMYFUNCTION("""COMPUTED_VALUE"""),"Benjamin Anderson")</f>
        <v>Benjamin Anderson</v>
      </c>
      <c r="G407" t="str">
        <f>IFERROR(__xludf.DUMMYFUNCTION("""COMPUTED_VALUE"""),"Instructor Request- No Detail")</f>
        <v>Instructor Request- No Detail</v>
      </c>
      <c r="H407" s="142" t="str">
        <f>IFERROR(__xludf.DUMMYFUNCTION("""COMPUTED_VALUE"""),"Development")</f>
        <v>Development</v>
      </c>
      <c r="I407" s="140" t="str">
        <f>IFERROR(__xludf.DUMMYFUNCTION("""COMPUTED_VALUE"""),"Mobile Development")</f>
        <v>Mobile Development</v>
      </c>
      <c r="J407">
        <f>IFERROR(__xludf.DUMMYFUNCTION("""COMPUTED_VALUE"""),867204.0)</f>
        <v>867204</v>
      </c>
      <c r="K407" s="140" t="str">
        <f>IFERROR(__xludf.DUMMYFUNCTION("""COMPUTED_VALUE"""),"Learn Professional Pixel Art &amp; Animation for Games")</f>
        <v>Learn Professional Pixel Art &amp; Animation for Games</v>
      </c>
      <c r="L407" s="140">
        <f>IFERROR(__xludf.DUMMYFUNCTION("""COMPUTED_VALUE"""),397936.0)</f>
        <v>397936</v>
      </c>
      <c r="M407" s="140" t="str">
        <f>IFERROR(__xludf.DUMMYFUNCTION("""COMPUTED_VALUE"""),"Pixel art for Video games")</f>
        <v>Pixel art for Video games</v>
      </c>
    </row>
    <row r="408">
      <c r="A408" s="141">
        <f>IFERROR(__xludf.DUMMYFUNCTION("""COMPUTED_VALUE"""),43921.0)</f>
        <v>43921</v>
      </c>
      <c r="B408" s="140">
        <f>IFERROR(__xludf.DUMMYFUNCTION("""COMPUTED_VALUE"""),1316068.0)</f>
        <v>1316068</v>
      </c>
      <c r="C408" s="140" t="str">
        <f>IFERROR(__xludf.DUMMYFUNCTION("""COMPUTED_VALUE"""),"EN")</f>
        <v>EN</v>
      </c>
      <c r="D408" s="140" t="str">
        <f>IFERROR(__xludf.DUMMYFUNCTION("""COMPUTED_VALUE"""),"Internet of Things (IoT) - The Mega Course")</f>
        <v>Internet of Things (IoT) - The Mega Course</v>
      </c>
      <c r="F408" s="142" t="str">
        <f>IFERROR(__xludf.DUMMYFUNCTION("""COMPUTED_VALUE"""),"Ritvik Dave")</f>
        <v>Ritvik Dave</v>
      </c>
      <c r="G408" t="str">
        <f>IFERROR(__xludf.DUMMYFUNCTION("""COMPUTED_VALUE"""),"Below Quality Standards- Low Rating")</f>
        <v>Below Quality Standards- Low Rating</v>
      </c>
      <c r="H408" s="142" t="str">
        <f>IFERROR(__xludf.DUMMYFUNCTION("""COMPUTED_VALUE"""),"IT Operations")</f>
        <v>IT Operations</v>
      </c>
      <c r="I408" s="140" t="str">
        <f>IFERROR(__xludf.DUMMYFUNCTION("""COMPUTED_VALUE"""),"Hardware")</f>
        <v>Hardware</v>
      </c>
      <c r="J408">
        <f>IFERROR(__xludf.DUMMYFUNCTION("""COMPUTED_VALUE"""),1205478.0)</f>
        <v>1205478</v>
      </c>
      <c r="K408" s="140" t="str">
        <f>IFERROR(__xludf.DUMMYFUNCTION("""COMPUTED_VALUE"""),"")</f>
        <v/>
      </c>
      <c r="M408" s="140" t="str">
        <f>IFERROR(__xludf.DUMMYFUNCTION("""COMPUTED_VALUE"""),"")</f>
        <v/>
      </c>
    </row>
    <row r="409">
      <c r="A409" s="141">
        <f>IFERROR(__xludf.DUMMYFUNCTION("""COMPUTED_VALUE"""),43921.0)</f>
        <v>43921</v>
      </c>
      <c r="B409" s="140">
        <f>IFERROR(__xludf.DUMMYFUNCTION("""COMPUTED_VALUE"""),2374702.0)</f>
        <v>2374702</v>
      </c>
      <c r="C409" s="140" t="str">
        <f>IFERROR(__xludf.DUMMYFUNCTION("""COMPUTED_VALUE"""),"EN")</f>
        <v>EN</v>
      </c>
      <c r="D409" s="140" t="str">
        <f>IFERROR(__xludf.DUMMYFUNCTION("""COMPUTED_VALUE"""),"Active Listening: A Practical Guide to Be an Active Listener")</f>
        <v>Active Listening: A Practical Guide to Be an Active Listener</v>
      </c>
      <c r="F409" s="142" t="str">
        <f>IFERROR(__xludf.DUMMYFUNCTION("""COMPUTED_VALUE"""),"Advanced Innovation Group Pro Excellence (AIGPE)")</f>
        <v>Advanced Innovation Group Pro Excellence (AIGPE)</v>
      </c>
      <c r="G409" t="str">
        <f>IFERROR(__xludf.DUMMYFUNCTION("""COMPUTED_VALUE"""),"Below Quality Standards- Low Rating")</f>
        <v>Below Quality Standards- Low Rating</v>
      </c>
      <c r="H409" s="142" t="str">
        <f>IFERROR(__xludf.DUMMYFUNCTION("""COMPUTED_VALUE"""),"Leadership &amp; Management")</f>
        <v>Leadership &amp; Management</v>
      </c>
      <c r="I409" s="140" t="str">
        <f>IFERROR(__xludf.DUMMYFUNCTION("""COMPUTED_VALUE"""),"Communication")</f>
        <v>Communication</v>
      </c>
      <c r="J409">
        <f>IFERROR(__xludf.DUMMYFUNCTION("""COMPUTED_VALUE"""),139166.0)</f>
        <v>139166</v>
      </c>
      <c r="K409" s="140" t="str">
        <f>IFERROR(__xludf.DUMMYFUNCTION("""COMPUTED_VALUE"""),"Conscious Listening")</f>
        <v>Conscious Listening</v>
      </c>
      <c r="L409" s="140">
        <f>IFERROR(__xludf.DUMMYFUNCTION("""COMPUTED_VALUE"""),1802404.0)</f>
        <v>1802404</v>
      </c>
      <c r="M409" s="140" t="str">
        <f>IFERROR(__xludf.DUMMYFUNCTION("""COMPUTED_VALUE"""),"The Complete Communication Skills Master Class for Life")</f>
        <v>The Complete Communication Skills Master Class for Life</v>
      </c>
    </row>
    <row r="410">
      <c r="A410" s="141">
        <f>IFERROR(__xludf.DUMMYFUNCTION("""COMPUTED_VALUE"""),43921.0)</f>
        <v>43921</v>
      </c>
      <c r="B410" s="140">
        <f>IFERROR(__xludf.DUMMYFUNCTION("""COMPUTED_VALUE"""),1314898.0)</f>
        <v>1314898</v>
      </c>
      <c r="C410" s="140" t="str">
        <f>IFERROR(__xludf.DUMMYFUNCTION("""COMPUTED_VALUE"""),"EN")</f>
        <v>EN</v>
      </c>
      <c r="D410" s="140" t="str">
        <f>IFERROR(__xludf.DUMMYFUNCTION("""COMPUTED_VALUE"""),"IBM Cognos Report Studio")</f>
        <v>IBM Cognos Report Studio</v>
      </c>
      <c r="F410" s="142" t="str">
        <f>IFERROR(__xludf.DUMMYFUNCTION("""COMPUTED_VALUE"""),"Packt Publishing")</f>
        <v>Packt Publishing</v>
      </c>
      <c r="G410" t="str">
        <f>IFERROR(__xludf.DUMMYFUNCTION("""COMPUTED_VALUE"""),"Below Quality Standards- Low Rating")</f>
        <v>Below Quality Standards- Low Rating</v>
      </c>
      <c r="H410" s="142" t="str">
        <f>IFERROR(__xludf.DUMMYFUNCTION("""COMPUTED_VALUE"""),"Data Science")</f>
        <v>Data Science</v>
      </c>
      <c r="I410" s="140" t="str">
        <f>IFERROR(__xludf.DUMMYFUNCTION("""COMPUTED_VALUE"""),"Statistical Analysis")</f>
        <v>Statistical Analysis</v>
      </c>
      <c r="K410" s="140" t="str">
        <f>IFERROR(__xludf.DUMMYFUNCTION("""COMPUTED_VALUE"""),"")</f>
        <v/>
      </c>
      <c r="M410" s="140" t="str">
        <f>IFERROR(__xludf.DUMMYFUNCTION("""COMPUTED_VALUE"""),"")</f>
        <v/>
      </c>
      <c r="N410" s="140" t="str">
        <f>IFERROR(__xludf.DUMMYFUNCTION("""COMPUTED_VALUE"""),"No Alternatives in Collection - 10/14")</f>
        <v>No Alternatives in Collection - 10/14</v>
      </c>
    </row>
    <row r="411">
      <c r="A411" s="141">
        <f>IFERROR(__xludf.DUMMYFUNCTION("""COMPUTED_VALUE"""),43921.0)</f>
        <v>43921</v>
      </c>
      <c r="B411" s="140">
        <f>IFERROR(__xludf.DUMMYFUNCTION("""COMPUTED_VALUE"""),1752628.0)</f>
        <v>1752628</v>
      </c>
      <c r="C411" s="140" t="str">
        <f>IFERROR(__xludf.DUMMYFUNCTION("""COMPUTED_VALUE"""),"EN")</f>
        <v>EN</v>
      </c>
      <c r="D411" s="140" t="str">
        <f>IFERROR(__xludf.DUMMYFUNCTION("""COMPUTED_VALUE"""),"Multithreading and Parallel Programming in C#")</f>
        <v>Multithreading and Parallel Programming in C#</v>
      </c>
      <c r="F411" s="142" t="str">
        <f>IFERROR(__xludf.DUMMYFUNCTION("""COMPUTED_VALUE"""),"Engineer Spock")</f>
        <v>Engineer Spock</v>
      </c>
      <c r="G411" t="str">
        <f>IFERROR(__xludf.DUMMYFUNCTION("""COMPUTED_VALUE"""),"Below Quality Standards- Low Rating")</f>
        <v>Below Quality Standards- Low Rating</v>
      </c>
      <c r="H411" s="142" t="str">
        <f>IFERROR(__xludf.DUMMYFUNCTION("""COMPUTED_VALUE"""),"Development")</f>
        <v>Development</v>
      </c>
      <c r="I411" s="140" t="str">
        <f>IFERROR(__xludf.DUMMYFUNCTION("""COMPUTED_VALUE"""),"Programming Languages")</f>
        <v>Programming Languages</v>
      </c>
      <c r="J411">
        <f>IFERROR(__xludf.DUMMYFUNCTION("""COMPUTED_VALUE"""),944366.0)</f>
        <v>944366</v>
      </c>
      <c r="K411" s="140" t="str">
        <f>IFERROR(__xludf.DUMMYFUNCTION("""COMPUTED_VALUE"""),"Learn Parallel Programming with C# and .NET")</f>
        <v>Learn Parallel Programming with C# and .NET</v>
      </c>
      <c r="M411" s="140" t="str">
        <f>IFERROR(__xludf.DUMMYFUNCTION("""COMPUTED_VALUE"""),"")</f>
        <v/>
      </c>
    </row>
    <row r="412">
      <c r="A412" s="141">
        <f>IFERROR(__xludf.DUMMYFUNCTION("""COMPUTED_VALUE"""),43921.0)</f>
        <v>43921</v>
      </c>
      <c r="B412" s="140">
        <f>IFERROR(__xludf.DUMMYFUNCTION("""COMPUTED_VALUE"""),1189438.0)</f>
        <v>1189438</v>
      </c>
      <c r="C412" s="140" t="str">
        <f>IFERROR(__xludf.DUMMYFUNCTION("""COMPUTED_VALUE"""),"EN")</f>
        <v>EN</v>
      </c>
      <c r="D412" s="140" t="str">
        <f>IFERROR(__xludf.DUMMYFUNCTION("""COMPUTED_VALUE"""),"Express Pilates: Build a Daily Practice")</f>
        <v>Express Pilates: Build a Daily Practice</v>
      </c>
      <c r="F412" s="142" t="str">
        <f>IFERROR(__xludf.DUMMYFUNCTION("""COMPUTED_VALUE"""),"Josie McKenlay")</f>
        <v>Josie McKenlay</v>
      </c>
      <c r="G412" t="str">
        <f>IFERROR(__xludf.DUMMYFUNCTION("""COMPUTED_VALUE"""),"Instructor Request- Opted Out")</f>
        <v>Instructor Request- Opted Out</v>
      </c>
      <c r="H412" s="142" t="str">
        <f>IFERROR(__xludf.DUMMYFUNCTION("""COMPUTED_VALUE"""),"Personal Development")</f>
        <v>Personal Development</v>
      </c>
      <c r="I412" s="140" t="str">
        <f>IFERROR(__xludf.DUMMYFUNCTION("""COMPUTED_VALUE"""),"Health &amp; Fitness")</f>
        <v>Health &amp; Fitness</v>
      </c>
      <c r="K412" s="140" t="str">
        <f>IFERROR(__xludf.DUMMYFUNCTION("""COMPUTED_VALUE"""),"")</f>
        <v/>
      </c>
      <c r="M412" s="140" t="str">
        <f>IFERROR(__xludf.DUMMYFUNCTION("""COMPUTED_VALUE"""),"")</f>
        <v/>
      </c>
      <c r="N412" s="140" t="str">
        <f>IFERROR(__xludf.DUMMYFUNCTION("""COMPUTED_VALUE"""),"No Alternatives in Collection - 10/14")</f>
        <v>No Alternatives in Collection - 10/14</v>
      </c>
    </row>
    <row r="413">
      <c r="A413" s="141">
        <f>IFERROR(__xludf.DUMMYFUNCTION("""COMPUTED_VALUE"""),43921.0)</f>
        <v>43921</v>
      </c>
      <c r="B413" s="140">
        <f>IFERROR(__xludf.DUMMYFUNCTION("""COMPUTED_VALUE"""),1483912.0)</f>
        <v>1483912</v>
      </c>
      <c r="C413" s="140" t="str">
        <f>IFERROR(__xludf.DUMMYFUNCTION("""COMPUTED_VALUE"""),"EN")</f>
        <v>EN</v>
      </c>
      <c r="D413" s="140" t="str">
        <f>IFERROR(__xludf.DUMMYFUNCTION("""COMPUTED_VALUE"""),"The complete ASP.NET MVC Core 2.0 Course")</f>
        <v>The complete ASP.NET MVC Core 2.0 Course</v>
      </c>
      <c r="F413" s="142" t="str">
        <f>IFERROR(__xludf.DUMMYFUNCTION("""COMPUTED_VALUE"""),"Bhrugen Patel")</f>
        <v>Bhrugen Patel</v>
      </c>
      <c r="G413" t="str">
        <f>IFERROR(__xludf.DUMMYFUNCTION("""COMPUTED_VALUE"""),"Instructor Request- Outdated")</f>
        <v>Instructor Request- Outdated</v>
      </c>
      <c r="H413" s="142" t="str">
        <f>IFERROR(__xludf.DUMMYFUNCTION("""COMPUTED_VALUE"""),"Development")</f>
        <v>Development</v>
      </c>
      <c r="I413" s="140" t="str">
        <f>IFERROR(__xludf.DUMMYFUNCTION("""COMPUTED_VALUE"""),"Web Development")</f>
        <v>Web Development</v>
      </c>
      <c r="K413" s="140" t="str">
        <f>IFERROR(__xludf.DUMMYFUNCTION("""COMPUTED_VALUE"""),"")</f>
        <v/>
      </c>
      <c r="M413" s="140" t="str">
        <f>IFERROR(__xludf.DUMMYFUNCTION("""COMPUTED_VALUE"""),"")</f>
        <v/>
      </c>
      <c r="N413" s="140" t="str">
        <f>IFERROR(__xludf.DUMMYFUNCTION("""COMPUTED_VALUE"""),"No Alternatives in Collection - 10/14")</f>
        <v>No Alternatives in Collection - 10/14</v>
      </c>
    </row>
    <row r="414">
      <c r="A414" s="141">
        <f>IFERROR(__xludf.DUMMYFUNCTION("""COMPUTED_VALUE"""),43921.0)</f>
        <v>43921</v>
      </c>
      <c r="B414" s="140">
        <f>IFERROR(__xludf.DUMMYFUNCTION("""COMPUTED_VALUE"""),549328.0)</f>
        <v>549328</v>
      </c>
      <c r="C414" s="140" t="str">
        <f>IFERROR(__xludf.DUMMYFUNCTION("""COMPUTED_VALUE"""),"EN")</f>
        <v>EN</v>
      </c>
      <c r="D414" s="140" t="str">
        <f>IFERROR(__xludf.DUMMYFUNCTION("""COMPUTED_VALUE"""),"Data Visualization with Python and Matplotlib")</f>
        <v>Data Visualization with Python and Matplotlib</v>
      </c>
      <c r="F414" s="142" t="str">
        <f>IFERROR(__xludf.DUMMYFUNCTION("""COMPUTED_VALUE"""),"Stone River eLearning")</f>
        <v>Stone River eLearning</v>
      </c>
      <c r="G414" t="str">
        <f>IFERROR(__xludf.DUMMYFUNCTION("""COMPUTED_VALUE"""),"Below Quality Standards- Low Rating")</f>
        <v>Below Quality Standards- Low Rating</v>
      </c>
      <c r="H414" s="142" t="str">
        <f>IFERROR(__xludf.DUMMYFUNCTION("""COMPUTED_VALUE"""),"Data Science")</f>
        <v>Data Science</v>
      </c>
      <c r="I414" s="140" t="str">
        <f>IFERROR(__xludf.DUMMYFUNCTION("""COMPUTED_VALUE"""),"Data Visualization")</f>
        <v>Data Visualization</v>
      </c>
      <c r="J414">
        <f>IFERROR(__xludf.DUMMYFUNCTION("""COMPUTED_VALUE"""),1510692.0)</f>
        <v>1510692</v>
      </c>
      <c r="K414" s="140" t="str">
        <f>IFERROR(__xludf.DUMMYFUNCTION("""COMPUTED_VALUE"""),"Complete Course on Data Visualization, Matplotlib and Python")</f>
        <v>Complete Course on Data Visualization, Matplotlib and Python</v>
      </c>
      <c r="M414" s="140" t="str">
        <f>IFERROR(__xludf.DUMMYFUNCTION("""COMPUTED_VALUE"""),"")</f>
        <v/>
      </c>
    </row>
    <row r="415">
      <c r="A415" s="141">
        <f>IFERROR(__xludf.DUMMYFUNCTION("""COMPUTED_VALUE"""),43921.0)</f>
        <v>43921</v>
      </c>
      <c r="B415" s="140">
        <f>IFERROR(__xludf.DUMMYFUNCTION("""COMPUTED_VALUE"""),247306.0)</f>
        <v>247306</v>
      </c>
      <c r="C415" s="140" t="str">
        <f>IFERROR(__xludf.DUMMYFUNCTION("""COMPUTED_VALUE"""),"EN")</f>
        <v>EN</v>
      </c>
      <c r="D415" s="140" t="str">
        <f>IFERROR(__xludf.DUMMYFUNCTION("""COMPUTED_VALUE"""),"Networking for Introverts: Overcoming Nervousness")</f>
        <v>Networking for Introverts: Overcoming Nervousness</v>
      </c>
      <c r="F415" s="142" t="str">
        <f>IFERROR(__xludf.DUMMYFUNCTION("""COMPUTED_VALUE"""),"Eric Byrd")</f>
        <v>Eric Byrd</v>
      </c>
      <c r="G415" t="str">
        <f>IFERROR(__xludf.DUMMYFUNCTION("""COMPUTED_VALUE"""),"Below Quality Standards- Low Rating")</f>
        <v>Below Quality Standards- Low Rating</v>
      </c>
      <c r="H415" s="142" t="str">
        <f>IFERROR(__xludf.DUMMYFUNCTION("""COMPUTED_VALUE"""),"Leadership &amp; Management")</f>
        <v>Leadership &amp; Management</v>
      </c>
      <c r="I415" s="140" t="str">
        <f>IFERROR(__xludf.DUMMYFUNCTION("""COMPUTED_VALUE"""),"Communication")</f>
        <v>Communication</v>
      </c>
      <c r="J415">
        <f>IFERROR(__xludf.DUMMYFUNCTION("""COMPUTED_VALUE"""),580876.0)</f>
        <v>580876</v>
      </c>
      <c r="K415" s="140" t="str">
        <f>IFERROR(__xludf.DUMMYFUNCTION("""COMPUTED_VALUE"""),"Introduction to Computer Networks for Non-Techies")</f>
        <v>Introduction to Computer Networks for Non-Techies</v>
      </c>
      <c r="M415" s="140" t="str">
        <f>IFERROR(__xludf.DUMMYFUNCTION("""COMPUTED_VALUE"""),"")</f>
        <v/>
      </c>
    </row>
    <row r="416">
      <c r="A416" s="141">
        <f>IFERROR(__xludf.DUMMYFUNCTION("""COMPUTED_VALUE"""),43921.0)</f>
        <v>43921</v>
      </c>
      <c r="B416" s="140">
        <f>IFERROR(__xludf.DUMMYFUNCTION("""COMPUTED_VALUE"""),2205064.0)</f>
        <v>2205064</v>
      </c>
      <c r="C416" s="140" t="str">
        <f>IFERROR(__xludf.DUMMYFUNCTION("""COMPUTED_VALUE"""),"EN")</f>
        <v>EN</v>
      </c>
      <c r="D416" s="140" t="str">
        <f>IFERROR(__xludf.DUMMYFUNCTION("""COMPUTED_VALUE"""),"IELTS Writing Task 1 Academic [MASTERCLASS]")</f>
        <v>IELTS Writing Task 1 Academic [MASTERCLASS]</v>
      </c>
      <c r="F416" s="142" t="str">
        <f>IFERROR(__xludf.DUMMYFUNCTION("""COMPUTED_VALUE"""),"IELTS Mastership")</f>
        <v>IELTS Mastership</v>
      </c>
      <c r="G416" t="str">
        <f>IFERROR(__xludf.DUMMYFUNCTION("""COMPUTED_VALUE"""),"Instructor Request- Opted Out")</f>
        <v>Instructor Request- Opted Out</v>
      </c>
      <c r="H416" s="142" t="str">
        <f>IFERROR(__xludf.DUMMYFUNCTION("""COMPUTED_VALUE"""),"Personal Development")</f>
        <v>Personal Development</v>
      </c>
      <c r="I416" s="140" t="str">
        <f>IFERROR(__xludf.DUMMYFUNCTION("""COMPUTED_VALUE"""),"Language Learning")</f>
        <v>Language Learning</v>
      </c>
      <c r="J416">
        <f>IFERROR(__xludf.DUMMYFUNCTION("""COMPUTED_VALUE"""),684272.0)</f>
        <v>684272</v>
      </c>
      <c r="K416" s="140" t="str">
        <f>IFERROR(__xludf.DUMMYFUNCTION("""COMPUTED_VALUE"""),"IELTS Band 7+ Complete Prep Course")</f>
        <v>IELTS Band 7+ Complete Prep Course</v>
      </c>
      <c r="M416" s="140" t="str">
        <f>IFERROR(__xludf.DUMMYFUNCTION("""COMPUTED_VALUE"""),"")</f>
        <v/>
      </c>
    </row>
    <row r="417">
      <c r="A417" s="141">
        <f>IFERROR(__xludf.DUMMYFUNCTION("""COMPUTED_VALUE"""),43921.0)</f>
        <v>43921</v>
      </c>
      <c r="B417" s="140">
        <f>IFERROR(__xludf.DUMMYFUNCTION("""COMPUTED_VALUE"""),909282.0)</f>
        <v>909282</v>
      </c>
      <c r="C417" s="140" t="str">
        <f>IFERROR(__xludf.DUMMYFUNCTION("""COMPUTED_VALUE"""),"EN")</f>
        <v>EN</v>
      </c>
      <c r="D417" s="140" t="str">
        <f>IFERROR(__xludf.DUMMYFUNCTION("""COMPUTED_VALUE"""),"Microsoft Sway Essentials")</f>
        <v>Microsoft Sway Essentials</v>
      </c>
      <c r="F417" s="142" t="str">
        <f>IFERROR(__xludf.DUMMYFUNCTION("""COMPUTED_VALUE"""),"Chip Reaves")</f>
        <v>Chip Reaves</v>
      </c>
      <c r="G417" t="str">
        <f>IFERROR(__xludf.DUMMYFUNCTION("""COMPUTED_VALUE"""),"Instructor Request- Opted Out")</f>
        <v>Instructor Request- Opted Out</v>
      </c>
      <c r="H417" s="142" t="str">
        <f>IFERROR(__xludf.DUMMYFUNCTION("""COMPUTED_VALUE"""),"Office Productivity")</f>
        <v>Office Productivity</v>
      </c>
      <c r="I417" s="140" t="str">
        <f>IFERROR(__xludf.DUMMYFUNCTION("""COMPUTED_VALUE"""),"Presentations")</f>
        <v>Presentations</v>
      </c>
      <c r="K417" s="140" t="str">
        <f>IFERROR(__xludf.DUMMYFUNCTION("""COMPUTED_VALUE"""),"")</f>
        <v/>
      </c>
      <c r="M417" s="140" t="str">
        <f>IFERROR(__xludf.DUMMYFUNCTION("""COMPUTED_VALUE"""),"")</f>
        <v/>
      </c>
      <c r="N417" s="140" t="str">
        <f>IFERROR(__xludf.DUMMYFUNCTION("""COMPUTED_VALUE"""),"No Alternatives in Collection - 10/14")</f>
        <v>No Alternatives in Collection - 10/14</v>
      </c>
    </row>
    <row r="418">
      <c r="A418" s="141">
        <f>IFERROR(__xludf.DUMMYFUNCTION("""COMPUTED_VALUE"""),43921.0)</f>
        <v>43921</v>
      </c>
      <c r="B418" s="140">
        <f>IFERROR(__xludf.DUMMYFUNCTION("""COMPUTED_VALUE"""),1531914.0)</f>
        <v>1531914</v>
      </c>
      <c r="C418" s="140" t="str">
        <f>IFERROR(__xludf.DUMMYFUNCTION("""COMPUTED_VALUE"""),"EN")</f>
        <v>EN</v>
      </c>
      <c r="D418" s="140" t="str">
        <f>IFERROR(__xludf.DUMMYFUNCTION("""COMPUTED_VALUE"""),"Complete ASP.NET Core 2.0 with Razor Pages")</f>
        <v>Complete ASP.NET Core 2.0 with Razor Pages</v>
      </c>
      <c r="F418" s="142" t="str">
        <f>IFERROR(__xludf.DUMMYFUNCTION("""COMPUTED_VALUE"""),"Bhrugen Patel")</f>
        <v>Bhrugen Patel</v>
      </c>
      <c r="G418" t="str">
        <f>IFERROR(__xludf.DUMMYFUNCTION("""COMPUTED_VALUE"""),"Instructor Request- Outdated")</f>
        <v>Instructor Request- Outdated</v>
      </c>
      <c r="H418" s="142" t="str">
        <f>IFERROR(__xludf.DUMMYFUNCTION("""COMPUTED_VALUE"""),"Development")</f>
        <v>Development</v>
      </c>
      <c r="I418" s="140" t="str">
        <f>IFERROR(__xludf.DUMMYFUNCTION("""COMPUTED_VALUE"""),"Web Development")</f>
        <v>Web Development</v>
      </c>
      <c r="J418">
        <f>IFERROR(__xludf.DUMMYFUNCTION("""COMPUTED_VALUE"""),2158174.0)</f>
        <v>2158174</v>
      </c>
      <c r="K418" s="140" t="str">
        <f>IFERROR(__xludf.DUMMYFUNCTION("""COMPUTED_VALUE"""),"Master ASP.NET Core 3.1 Razor Pages")</f>
        <v>Master ASP.NET Core 3.1 Razor Pages</v>
      </c>
      <c r="M418" s="140" t="str">
        <f>IFERROR(__xludf.DUMMYFUNCTION("""COMPUTED_VALUE"""),"")</f>
        <v/>
      </c>
    </row>
    <row r="419">
      <c r="A419" s="141">
        <f>IFERROR(__xludf.DUMMYFUNCTION("""COMPUTED_VALUE"""),43921.0)</f>
        <v>43921</v>
      </c>
      <c r="B419" s="140">
        <f>IFERROR(__xludf.DUMMYFUNCTION("""COMPUTED_VALUE"""),830568.0)</f>
        <v>830568</v>
      </c>
      <c r="C419" s="140" t="str">
        <f>IFERROR(__xludf.DUMMYFUNCTION("""COMPUTED_VALUE"""),"EN")</f>
        <v>EN</v>
      </c>
      <c r="D419" s="140" t="str">
        <f>IFERROR(__xludf.DUMMYFUNCTION("""COMPUTED_VALUE"""),"5 Exotic Guitar Scales and How to Use Them Effectively")</f>
        <v>5 Exotic Guitar Scales and How to Use Them Effectively</v>
      </c>
      <c r="F419" s="142" t="str">
        <f>IFERROR(__xludf.DUMMYFUNCTION("""COMPUTED_VALUE"""),"Tyler Larson")</f>
        <v>Tyler Larson</v>
      </c>
      <c r="G419" t="str">
        <f>IFERROR(__xludf.DUMMYFUNCTION("""COMPUTED_VALUE"""),"Instructor Request- No Detail")</f>
        <v>Instructor Request- No Detail</v>
      </c>
      <c r="H419" s="142" t="str">
        <f>IFERROR(__xludf.DUMMYFUNCTION("""COMPUTED_VALUE"""),"Personal Development")</f>
        <v>Personal Development</v>
      </c>
      <c r="I419" s="140" t="str">
        <f>IFERROR(__xludf.DUMMYFUNCTION("""COMPUTED_VALUE"""),"Arts &amp; Creativity")</f>
        <v>Arts &amp; Creativity</v>
      </c>
      <c r="J419">
        <f>IFERROR(__xludf.DUMMYFUNCTION("""COMPUTED_VALUE"""),42271.0)</f>
        <v>42271</v>
      </c>
      <c r="K419" s="140" t="str">
        <f>IFERROR(__xludf.DUMMYFUNCTION("""COMPUTED_VALUE"""),"Complete Guitar Lessons System - Beginner to Advanced")</f>
        <v>Complete Guitar Lessons System - Beginner to Advanced</v>
      </c>
      <c r="M419" s="140" t="str">
        <f>IFERROR(__xludf.DUMMYFUNCTION("""COMPUTED_VALUE"""),"")</f>
        <v/>
      </c>
    </row>
    <row r="420">
      <c r="A420" s="141">
        <f>IFERROR(__xludf.DUMMYFUNCTION("""COMPUTED_VALUE"""),43921.0)</f>
        <v>43921</v>
      </c>
      <c r="B420" s="140">
        <f>IFERROR(__xludf.DUMMYFUNCTION("""COMPUTED_VALUE"""),1644472.0)</f>
        <v>1644472</v>
      </c>
      <c r="C420" s="140" t="str">
        <f>IFERROR(__xludf.DUMMYFUNCTION("""COMPUTED_VALUE"""),"EN")</f>
        <v>EN</v>
      </c>
      <c r="D420" s="140" t="str">
        <f>IFERROR(__xludf.DUMMYFUNCTION("""COMPUTED_VALUE"""),"Fundamentals of Decision Trees in Machine Learning")</f>
        <v>Fundamentals of Decision Trees in Machine Learning</v>
      </c>
      <c r="F420" s="142" t="str">
        <f>IFERROR(__xludf.DUMMYFUNCTION("""COMPUTED_VALUE"""),"Tech Lab")</f>
        <v>Tech Lab</v>
      </c>
      <c r="G420" t="str">
        <f>IFERROR(__xludf.DUMMYFUNCTION("""COMPUTED_VALUE"""),"Below Quality Standards- 3 Flags")</f>
        <v>Below Quality Standards- 3 Flags</v>
      </c>
      <c r="H420" s="142" t="str">
        <f>IFERROR(__xludf.DUMMYFUNCTION("""COMPUTED_VALUE"""),"Data Science")</f>
        <v>Data Science</v>
      </c>
      <c r="I420" s="140" t="str">
        <f>IFERROR(__xludf.DUMMYFUNCTION("""COMPUTED_VALUE"""),"Machine Learning")</f>
        <v>Machine Learning</v>
      </c>
      <c r="K420" s="140" t="str">
        <f>IFERROR(__xludf.DUMMYFUNCTION("""COMPUTED_VALUE"""),"")</f>
        <v/>
      </c>
      <c r="M420" s="140" t="str">
        <f>IFERROR(__xludf.DUMMYFUNCTION("""COMPUTED_VALUE"""),"")</f>
        <v/>
      </c>
      <c r="N420" s="140" t="str">
        <f>IFERROR(__xludf.DUMMYFUNCTION("""COMPUTED_VALUE"""),"No Alternatives in Collection - 10/14")</f>
        <v>No Alternatives in Collection - 10/14</v>
      </c>
    </row>
    <row r="421">
      <c r="A421" s="141">
        <f>IFERROR(__xludf.DUMMYFUNCTION("""COMPUTED_VALUE"""),43921.0)</f>
        <v>43921</v>
      </c>
      <c r="B421" s="140">
        <f>IFERROR(__xludf.DUMMYFUNCTION("""COMPUTED_VALUE"""),1001564.0)</f>
        <v>1001564</v>
      </c>
      <c r="C421" s="140" t="str">
        <f>IFERROR(__xludf.DUMMYFUNCTION("""COMPUTED_VALUE"""),"EN")</f>
        <v>EN</v>
      </c>
      <c r="D421" s="140" t="str">
        <f>IFERROR(__xludf.DUMMYFUNCTION("""COMPUTED_VALUE"""),"A Comprehensive Guide On Domain Name &amp; Web Hosting")</f>
        <v>A Comprehensive Guide On Domain Name &amp; Web Hosting</v>
      </c>
      <c r="F421" s="142" t="str">
        <f>IFERROR(__xludf.DUMMYFUNCTION("""COMPUTED_VALUE"""),"Kamlesh Rajpal")</f>
        <v>Kamlesh Rajpal</v>
      </c>
      <c r="G421" t="str">
        <f>IFERROR(__xludf.DUMMYFUNCTION("""COMPUTED_VALUE"""),"Below Quality Standards- 3 Flags")</f>
        <v>Below Quality Standards- 3 Flags</v>
      </c>
      <c r="H421" s="142" t="str">
        <f>IFERROR(__xludf.DUMMYFUNCTION("""COMPUTED_VALUE"""),"IT Operations")</f>
        <v>IT Operations</v>
      </c>
      <c r="I421" s="140" t="str">
        <f>IFERROR(__xludf.DUMMYFUNCTION("""COMPUTED_VALUE"""),"Network &amp; Security")</f>
        <v>Network &amp; Security</v>
      </c>
      <c r="J421">
        <f>IFERROR(__xludf.DUMMYFUNCTION("""COMPUTED_VALUE"""),40017.0)</f>
        <v>40017</v>
      </c>
      <c r="K421" s="140" t="str">
        <f>IFERROR(__xludf.DUMMYFUNCTION("""COMPUTED_VALUE"""),"Web Hosting 101: Get Your Website Live on the Web in No Time")</f>
        <v>Web Hosting 101: Get Your Website Live on the Web in No Time</v>
      </c>
      <c r="M421" s="140" t="str">
        <f>IFERROR(__xludf.DUMMYFUNCTION("""COMPUTED_VALUE"""),"")</f>
        <v/>
      </c>
    </row>
    <row r="422">
      <c r="A422" s="141">
        <f>IFERROR(__xludf.DUMMYFUNCTION("""COMPUTED_VALUE"""),43921.0)</f>
        <v>43921</v>
      </c>
      <c r="B422" s="140">
        <f>IFERROR(__xludf.DUMMYFUNCTION("""COMPUTED_VALUE"""),11305.0)</f>
        <v>11305</v>
      </c>
      <c r="C422" s="140" t="str">
        <f>IFERROR(__xludf.DUMMYFUNCTION("""COMPUTED_VALUE"""),"EN")</f>
        <v>EN</v>
      </c>
      <c r="D422" s="140" t="str">
        <f>IFERROR(__xludf.DUMMYFUNCTION("""COMPUTED_VALUE"""),"Getting Started with Ruby on Rails")</f>
        <v>Getting Started with Ruby on Rails</v>
      </c>
      <c r="F422" s="142" t="str">
        <f>IFERROR(__xludf.DUMMYFUNCTION("""COMPUTED_VALUE"""),"Paul Krause")</f>
        <v>Paul Krause</v>
      </c>
      <c r="G422" t="str">
        <f>IFERROR(__xludf.DUMMYFUNCTION("""COMPUTED_VALUE"""),"Below Quality Standards- 3 Flags")</f>
        <v>Below Quality Standards- 3 Flags</v>
      </c>
      <c r="H422" s="142" t="str">
        <f>IFERROR(__xludf.DUMMYFUNCTION("""COMPUTED_VALUE"""),"Development")</f>
        <v>Development</v>
      </c>
      <c r="I422" s="140" t="str">
        <f>IFERROR(__xludf.DUMMYFUNCTION("""COMPUTED_VALUE"""),"Web Development")</f>
        <v>Web Development</v>
      </c>
      <c r="J422">
        <f>IFERROR(__xludf.DUMMYFUNCTION("""COMPUTED_VALUE"""),519442.0)</f>
        <v>519442</v>
      </c>
      <c r="K422" s="140" t="str">
        <f>IFERROR(__xludf.DUMMYFUNCTION("""COMPUTED_VALUE"""),"The Complete Ruby on Rails Developer Course")</f>
        <v>The Complete Ruby on Rails Developer Course</v>
      </c>
      <c r="L422" s="140">
        <f>IFERROR(__xludf.DUMMYFUNCTION("""COMPUTED_VALUE"""),119262.0)</f>
        <v>119262</v>
      </c>
      <c r="M422" s="140" t="str">
        <f>IFERROR(__xludf.DUMMYFUNCTION("""COMPUTED_VALUE"""),"")</f>
        <v/>
      </c>
    </row>
    <row r="423">
      <c r="A423" s="141">
        <f>IFERROR(__xludf.DUMMYFUNCTION("""COMPUTED_VALUE"""),43921.0)</f>
        <v>43921</v>
      </c>
      <c r="B423" s="140">
        <f>IFERROR(__xludf.DUMMYFUNCTION("""COMPUTED_VALUE"""),50073.0)</f>
        <v>50073</v>
      </c>
      <c r="C423" s="140" t="str">
        <f>IFERROR(__xludf.DUMMYFUNCTION("""COMPUTED_VALUE"""),"EN")</f>
        <v>EN</v>
      </c>
      <c r="D423" s="140" t="str">
        <f>IFERROR(__xludf.DUMMYFUNCTION("""COMPUTED_VALUE"""),"Excel 2013 For Dummies Video Training, Deluxe Edition")</f>
        <v>Excel 2013 For Dummies Video Training, Deluxe Edition</v>
      </c>
      <c r="F423" s="142" t="str">
        <f>IFERROR(__xludf.DUMMYFUNCTION("""COMPUTED_VALUE"""),"John Wiley &amp; Sons")</f>
        <v>John Wiley &amp; Sons</v>
      </c>
      <c r="G423" t="str">
        <f>IFERROR(__xludf.DUMMYFUNCTION("""COMPUTED_VALUE"""),"Below Quality Standards- 3 Flags")</f>
        <v>Below Quality Standards- 3 Flags</v>
      </c>
      <c r="H423" s="142" t="str">
        <f>IFERROR(__xludf.DUMMYFUNCTION("""COMPUTED_VALUE"""),"Office Productivity")</f>
        <v>Office Productivity</v>
      </c>
      <c r="I423" s="140" t="str">
        <f>IFERROR(__xludf.DUMMYFUNCTION("""COMPUTED_VALUE"""),"Spreadsheets")</f>
        <v>Spreadsheets</v>
      </c>
      <c r="J423">
        <f>IFERROR(__xludf.DUMMYFUNCTION("""COMPUTED_VALUE"""),107606.0)</f>
        <v>107606</v>
      </c>
      <c r="K423" s="140" t="str">
        <f>IFERROR(__xludf.DUMMYFUNCTION("""COMPUTED_VALUE"""),"The Ultimate Microsoft Excel 2013 Training Bundle - 19 Hours")</f>
        <v>The Ultimate Microsoft Excel 2013 Training Bundle - 19 Hours</v>
      </c>
      <c r="L423" s="140">
        <f>IFERROR(__xludf.DUMMYFUNCTION("""COMPUTED_VALUE"""),32917.0)</f>
        <v>32917</v>
      </c>
      <c r="M423" s="140" t="str">
        <f>IFERROR(__xludf.DUMMYFUNCTION("""COMPUTED_VALUE"""),"")</f>
        <v/>
      </c>
    </row>
    <row r="424">
      <c r="A424" s="141">
        <f>IFERROR(__xludf.DUMMYFUNCTION("""COMPUTED_VALUE"""),43921.0)</f>
        <v>43921</v>
      </c>
      <c r="B424" s="140">
        <f>IFERROR(__xludf.DUMMYFUNCTION("""COMPUTED_VALUE"""),2211104.0)</f>
        <v>2211104</v>
      </c>
      <c r="C424" s="140" t="str">
        <f>IFERROR(__xludf.DUMMYFUNCTION("""COMPUTED_VALUE"""),"EN")</f>
        <v>EN</v>
      </c>
      <c r="D424" s="140" t="str">
        <f>IFERROR(__xludf.DUMMYFUNCTION("""COMPUTED_VALUE"""),"PMP Exam Prep: 2 Full PMP Exam &amp; PMP Change Management Qs")</f>
        <v>PMP Exam Prep: 2 Full PMP Exam &amp; PMP Change Management Qs</v>
      </c>
      <c r="F424" s="142" t="str">
        <f>IFERROR(__xludf.DUMMYFUNCTION("""COMPUTED_VALUE"""),"ELSAYED MOHSEN")</f>
        <v>ELSAYED MOHSEN</v>
      </c>
      <c r="G424" t="str">
        <f>IFERROR(__xludf.DUMMYFUNCTION("""COMPUTED_VALUE"""),"Below Quality Standards- 3 Flags")</f>
        <v>Below Quality Standards- 3 Flags</v>
      </c>
      <c r="H424" s="142" t="str">
        <f>IFERROR(__xludf.DUMMYFUNCTION("""COMPUTED_VALUE"""),"Project Management &amp; Operations")</f>
        <v>Project Management &amp; Operations</v>
      </c>
      <c r="I424" s="140" t="str">
        <f>IFERROR(__xludf.DUMMYFUNCTION("""COMPUTED_VALUE"""),"Project Management Certifications")</f>
        <v>Project Management Certifications</v>
      </c>
      <c r="J424">
        <f>IFERROR(__xludf.DUMMYFUNCTION("""COMPUTED_VALUE"""),1361790.0)</f>
        <v>1361790</v>
      </c>
      <c r="K424" s="140" t="str">
        <f>IFERROR(__xludf.DUMMYFUNCTION("""COMPUTED_VALUE"""),"PMP Exam Prep Seminar - 2021 Exam Content with 35 PDUs")</f>
        <v>PMP Exam Prep Seminar - 2021 Exam Content with 35 PDUs</v>
      </c>
      <c r="L424" s="140">
        <f>IFERROR(__xludf.DUMMYFUNCTION("""COMPUTED_VALUE"""),555696.0)</f>
        <v>555696</v>
      </c>
      <c r="M424" s="140" t="str">
        <f>IFERROR(__xludf.DUMMYFUNCTION("""COMPUTED_VALUE"""),"PMP Exam Prep Project Management Professional Certification")</f>
        <v>PMP Exam Prep Project Management Professional Certification</v>
      </c>
    </row>
    <row r="425">
      <c r="A425" s="141">
        <f>IFERROR(__xludf.DUMMYFUNCTION("""COMPUTED_VALUE"""),43920.0)</f>
        <v>43920</v>
      </c>
      <c r="B425" s="140">
        <f>IFERROR(__xludf.DUMMYFUNCTION("""COMPUTED_VALUE"""),1791340.0)</f>
        <v>1791340</v>
      </c>
      <c r="C425" s="140" t="str">
        <f>IFERROR(__xludf.DUMMYFUNCTION("""COMPUTED_VALUE"""),"DE")</f>
        <v>DE</v>
      </c>
      <c r="D425" s="140" t="str">
        <f>IFERROR(__xludf.DUMMYFUNCTION("""COMPUTED_VALUE"""),"WordPress | Themes entwickeln und gestalten - Komplettkurs")</f>
        <v>WordPress | Themes entwickeln und gestalten - Komplettkurs</v>
      </c>
      <c r="E425" s="140" t="str">
        <f>IFERROR(__xludf.DUMMYFUNCTION("""COMPUTED_VALUE"""),"WordPress | Themes develop and design - Complete Course")</f>
        <v>WordPress | Themes develop and design - Complete Course</v>
      </c>
      <c r="F425" s="142" t="str">
        <f>IFERROR(__xludf.DUMMYFUNCTION("""COMPUTED_VALUE"""),"Hellwig Media")</f>
        <v>Hellwig Media</v>
      </c>
      <c r="G425" t="str">
        <f>IFERROR(__xludf.DUMMYFUNCTION("""COMPUTED_VALUE"""),"Copyright")</f>
        <v>Copyright</v>
      </c>
      <c r="H425" s="142" t="str">
        <f>IFERROR(__xludf.DUMMYFUNCTION("""COMPUTED_VALUE"""),"Development")</f>
        <v>Development</v>
      </c>
      <c r="I425" s="140" t="str">
        <f>IFERROR(__xludf.DUMMYFUNCTION("""COMPUTED_VALUE"""),"Web Development")</f>
        <v>Web Development</v>
      </c>
      <c r="J425">
        <f>IFERROR(__xludf.DUMMYFUNCTION("""COMPUTED_VALUE"""),1320062.0)</f>
        <v>1320062</v>
      </c>
      <c r="K425" s="140" t="str">
        <f>IFERROR(__xludf.DUMMYFUNCTION("""COMPUTED_VALUE"""),"Divi: WordPress Theme Grundlagen")</f>
        <v>Divi: WordPress Theme Grundlagen</v>
      </c>
      <c r="L425" s="140">
        <f>IFERROR(__xludf.DUMMYFUNCTION("""COMPUTED_VALUE"""),1583340.0)</f>
        <v>1583340</v>
      </c>
      <c r="M425" s="140" t="str">
        <f>IFERROR(__xludf.DUMMYFUNCTION("""COMPUTED_VALUE"""),"")</f>
        <v/>
      </c>
    </row>
    <row r="426">
      <c r="A426" s="141">
        <f>IFERROR(__xludf.DUMMYFUNCTION("""COMPUTED_VALUE"""),43907.0)</f>
        <v>43907</v>
      </c>
      <c r="B426" s="140">
        <f>IFERROR(__xludf.DUMMYFUNCTION("""COMPUTED_VALUE"""),321770.0)</f>
        <v>321770</v>
      </c>
      <c r="C426" s="140" t="str">
        <f>IFERROR(__xludf.DUMMYFUNCTION("""COMPUTED_VALUE"""),"EN")</f>
        <v>EN</v>
      </c>
      <c r="D426" s="140" t="str">
        <f>IFERROR(__xludf.DUMMYFUNCTION("""COMPUTED_VALUE"""),"Agile Project Management for Business Managers")</f>
        <v>Agile Project Management for Business Managers</v>
      </c>
      <c r="F426" s="142" t="str">
        <f>IFERROR(__xludf.DUMMYFUNCTION("""COMPUTED_VALUE"""),"Agile Project Management Academy - Chuck Cobb")</f>
        <v>Agile Project Management Academy - Chuck Cobb</v>
      </c>
      <c r="G426" t="str">
        <f>IFERROR(__xludf.DUMMYFUNCTION("""COMPUTED_VALUE"""),"Instructor Request- Outdated")</f>
        <v>Instructor Request- Outdated</v>
      </c>
      <c r="H426" s="142" t="str">
        <f>IFERROR(__xludf.DUMMYFUNCTION("""COMPUTED_VALUE"""),"Project Management &amp; Operations")</f>
        <v>Project Management &amp; Operations</v>
      </c>
      <c r="I426" s="140" t="str">
        <f>IFERROR(__xludf.DUMMYFUNCTION("""COMPUTED_VALUE"""),"Agile &amp; Scrum")</f>
        <v>Agile &amp; Scrum</v>
      </c>
      <c r="J426">
        <f>IFERROR(__xludf.DUMMYFUNCTION("""COMPUTED_VALUE"""),2867420.0)</f>
        <v>2867420</v>
      </c>
      <c r="K426" s="140" t="str">
        <f>IFERROR(__xludf.DUMMYFUNCTION("""COMPUTED_VALUE"""),"Agile BM 301 Enterprise-level Agile Business Management")</f>
        <v>Agile BM 301 Enterprise-level Agile Business Management</v>
      </c>
      <c r="L426" s="140">
        <f>IFERROR(__xludf.DUMMYFUNCTION("""COMPUTED_VALUE"""),2855848.0)</f>
        <v>2855848</v>
      </c>
      <c r="M426" s="140" t="str">
        <f>IFERROR(__xludf.DUMMYFUNCTION("""COMPUTED_VALUE"""),"Agile BM 201 Mastering Agile Business Management")</f>
        <v>Agile BM 201 Mastering Agile Business Management</v>
      </c>
      <c r="N426" s="140" t="str">
        <f>IFERROR(__xludf.DUMMYFUNCTION("""COMPUTED_VALUE"""),"Instructor split course into 3 new courses (2867420, 2855848, 2837354)")</f>
        <v>Instructor split course into 3 new courses (2867420, 2855848, 2837354)</v>
      </c>
    </row>
    <row r="427">
      <c r="A427" s="141">
        <f>IFERROR(__xludf.DUMMYFUNCTION("""COMPUTED_VALUE"""),43901.0)</f>
        <v>43901</v>
      </c>
      <c r="B427" s="140">
        <f>IFERROR(__xludf.DUMMYFUNCTION("""COMPUTED_VALUE"""),104042.0)</f>
        <v>104042</v>
      </c>
      <c r="C427" s="140" t="str">
        <f>IFERROR(__xludf.DUMMYFUNCTION("""COMPUTED_VALUE"""),"DE")</f>
        <v>DE</v>
      </c>
      <c r="D427" s="140" t="str">
        <f>IFERROR(__xludf.DUMMYFUNCTION("""COMPUTED_VALUE"""),"Bessere Körperhaltung für ein Leben ohne Rückenschmerzen")</f>
        <v>Bessere Körperhaltung für ein Leben ohne Rückenschmerzen</v>
      </c>
      <c r="E427" s="140" t="str">
        <f>IFERROR(__xludf.DUMMYFUNCTION("""COMPUTED_VALUE"""),"Better posture for a life without back pain")</f>
        <v>Better posture for a life without back pain</v>
      </c>
      <c r="F427" s="142" t="str">
        <f>IFERROR(__xludf.DUMMYFUNCTION("""COMPUTED_VALUE"""),"Peter Scholten")</f>
        <v>Peter Scholten</v>
      </c>
      <c r="G427" t="str">
        <f>IFERROR(__xludf.DUMMYFUNCTION("""COMPUTED_VALUE"""),"Instructor Request- Opted Out")</f>
        <v>Instructor Request- Opted Out</v>
      </c>
      <c r="H427" s="142" t="str">
        <f>IFERROR(__xludf.DUMMYFUNCTION("""COMPUTED_VALUE"""),"Personal Development")</f>
        <v>Personal Development</v>
      </c>
      <c r="I427" s="140" t="str">
        <f>IFERROR(__xludf.DUMMYFUNCTION("""COMPUTED_VALUE"""),"Health &amp; Fitness")</f>
        <v>Health &amp; Fitness</v>
      </c>
      <c r="K427" s="140" t="str">
        <f>IFERROR(__xludf.DUMMYFUNCTION("""COMPUTED_VALUE"""),"")</f>
        <v/>
      </c>
      <c r="M427" s="140" t="str">
        <f>IFERROR(__xludf.DUMMYFUNCTION("""COMPUTED_VALUE"""),"")</f>
        <v/>
      </c>
    </row>
    <row r="428">
      <c r="A428" s="141">
        <f>IFERROR(__xludf.DUMMYFUNCTION("""COMPUTED_VALUE"""),43893.0)</f>
        <v>43893</v>
      </c>
      <c r="B428" s="140">
        <f>IFERROR(__xludf.DUMMYFUNCTION("""COMPUTED_VALUE"""),957350.0)</f>
        <v>957350</v>
      </c>
      <c r="C428" s="140" t="str">
        <f>IFERROR(__xludf.DUMMYFUNCTION("""COMPUTED_VALUE"""),"ES")</f>
        <v>ES</v>
      </c>
      <c r="D428" s="140" t="str">
        <f>IFERROR(__xludf.DUMMYFUNCTION("""COMPUTED_VALUE"""),"Cómo implementar e-learning efectivo y sin fracaso")</f>
        <v>Cómo implementar e-learning efectivo y sin fracaso</v>
      </c>
      <c r="E428" s="140" t="str">
        <f>IFERROR(__xludf.DUMMYFUNCTION("""COMPUTED_VALUE"""),"How to implement e-learning effective without failure")</f>
        <v>How to implement e-learning effective without failure</v>
      </c>
      <c r="F428" s="142" t="str">
        <f>IFERROR(__xludf.DUMMYFUNCTION("""COMPUTED_VALUE"""),"Conectando Pasos")</f>
        <v>Conectando Pasos</v>
      </c>
      <c r="G428" t="str">
        <f>IFERROR(__xludf.DUMMYFUNCTION("""COMPUTED_VALUE"""),"Below Quality Standards- 3 Flags")</f>
        <v>Below Quality Standards- 3 Flags</v>
      </c>
      <c r="H428" s="142" t="str">
        <f>IFERROR(__xludf.DUMMYFUNCTION("""COMPUTED_VALUE"""),"Human Resources")</f>
        <v>Human Resources</v>
      </c>
      <c r="I428" s="140" t="str">
        <f>IFERROR(__xludf.DUMMYFUNCTION("""COMPUTED_VALUE"""),"Learning &amp; Development")</f>
        <v>Learning &amp; Development</v>
      </c>
      <c r="K428" s="140" t="str">
        <f>IFERROR(__xludf.DUMMYFUNCTION("""COMPUTED_VALUE"""),"")</f>
        <v/>
      </c>
      <c r="M428" s="140" t="str">
        <f>IFERROR(__xludf.DUMMYFUNCTION("""COMPUTED_VALUE"""),"")</f>
        <v/>
      </c>
      <c r="N428" s="140" t="str">
        <f>IFERROR(__xludf.DUMMYFUNCTION("""COMPUTED_VALUE"""),"No Alternatives in Collection- 10/14")</f>
        <v>No Alternatives in Collection- 10/14</v>
      </c>
    </row>
    <row r="429">
      <c r="A429" s="141">
        <f>IFERROR(__xludf.DUMMYFUNCTION("""COMPUTED_VALUE"""),43893.0)</f>
        <v>43893</v>
      </c>
      <c r="B429" s="140">
        <f>IFERROR(__xludf.DUMMYFUNCTION("""COMPUTED_VALUE"""),1282466.0)</f>
        <v>1282466</v>
      </c>
      <c r="C429" s="140" t="str">
        <f>IFERROR(__xludf.DUMMYFUNCTION("""COMPUTED_VALUE"""),"ES")</f>
        <v>ES</v>
      </c>
      <c r="D429" s="140" t="str">
        <f>IFERROR(__xludf.DUMMYFUNCTION("""COMPUTED_VALUE"""),"¡Aprende a programar! ¡Aprende con C!")</f>
        <v>¡Aprende a programar! ¡Aprende con C!</v>
      </c>
      <c r="E429" s="140" t="str">
        <f>IFERROR(__xludf.DUMMYFUNCTION("""COMPUTED_VALUE"""),"Learn to program! Learn with C!")</f>
        <v>Learn to program! Learn with C!</v>
      </c>
      <c r="F429" s="142" t="str">
        <f>IFERROR(__xludf.DUMMYFUNCTION("""COMPUTED_VALUE"""),"Paul Max A")</f>
        <v>Paul Max A</v>
      </c>
      <c r="G429" t="str">
        <f>IFERROR(__xludf.DUMMYFUNCTION("""COMPUTED_VALUE"""),"Below Quality Standards- 3 Flags")</f>
        <v>Below Quality Standards- 3 Flags</v>
      </c>
      <c r="H429" s="142" t="str">
        <f>IFERROR(__xludf.DUMMYFUNCTION("""COMPUTED_VALUE"""),"Development")</f>
        <v>Development</v>
      </c>
      <c r="I429" s="140" t="str">
        <f>IFERROR(__xludf.DUMMYFUNCTION("""COMPUTED_VALUE"""),"Programming Languages")</f>
        <v>Programming Languages</v>
      </c>
      <c r="J429">
        <f>IFERROR(__xludf.DUMMYFUNCTION("""COMPUTED_VALUE"""),728634.0)</f>
        <v>728634</v>
      </c>
      <c r="K429" s="140" t="str">
        <f>IFERROR(__xludf.DUMMYFUNCTION("""COMPUTED_VALUE"""),"Aprende Programación en C desde cero")</f>
        <v>Aprende Programación en C desde cero</v>
      </c>
      <c r="M429" s="140" t="str">
        <f>IFERROR(__xludf.DUMMYFUNCTION("""COMPUTED_VALUE"""),"")</f>
        <v/>
      </c>
    </row>
    <row r="430">
      <c r="A430" s="141">
        <f>IFERROR(__xludf.DUMMYFUNCTION("""COMPUTED_VALUE"""),43893.0)</f>
        <v>43893</v>
      </c>
      <c r="B430" s="140">
        <f>IFERROR(__xludf.DUMMYFUNCTION("""COMPUTED_VALUE"""),1119822.0)</f>
        <v>1119822</v>
      </c>
      <c r="C430" s="140" t="str">
        <f>IFERROR(__xludf.DUMMYFUNCTION("""COMPUTED_VALUE"""),"ES")</f>
        <v>ES</v>
      </c>
      <c r="D430" s="140" t="str">
        <f>IFERROR(__xludf.DUMMYFUNCTION("""COMPUTED_VALUE"""),"VideoScribe: Mejora tu negocio y tus ventas con animaciones")</f>
        <v>VideoScribe: Mejora tu negocio y tus ventas con animaciones</v>
      </c>
      <c r="E430" s="140" t="str">
        <f>IFERROR(__xludf.DUMMYFUNCTION("""COMPUTED_VALUE"""),"VideoScribe: Improve your business and your sales with animations")</f>
        <v>VideoScribe: Improve your business and your sales with animations</v>
      </c>
      <c r="F430" s="142" t="str">
        <f>IFERROR(__xludf.DUMMYFUNCTION("""COMPUTED_VALUE"""),"Christian Fdz.")</f>
        <v>Christian Fdz.</v>
      </c>
      <c r="G430" t="str">
        <f>IFERROR(__xludf.DUMMYFUNCTION("""COMPUTED_VALUE"""),"Below Quality Standards- 3 Flags")</f>
        <v>Below Quality Standards- 3 Flags</v>
      </c>
      <c r="H430" s="142" t="str">
        <f>IFERROR(__xludf.DUMMYFUNCTION("""COMPUTED_VALUE"""),"Design")</f>
        <v>Design</v>
      </c>
      <c r="I430" s="140" t="str">
        <f>IFERROR(__xludf.DUMMYFUNCTION("""COMPUTED_VALUE"""),"Design Tools")</f>
        <v>Design Tools</v>
      </c>
      <c r="K430" s="140" t="str">
        <f>IFERROR(__xludf.DUMMYFUNCTION("""COMPUTED_VALUE"""),"")</f>
        <v/>
      </c>
      <c r="M430" s="140" t="str">
        <f>IFERROR(__xludf.DUMMYFUNCTION("""COMPUTED_VALUE"""),"")</f>
        <v/>
      </c>
      <c r="N430" s="140" t="str">
        <f>IFERROR(__xludf.DUMMYFUNCTION("""COMPUTED_VALUE"""),"No Alternatives in Collection- 10/14")</f>
        <v>No Alternatives in Collection- 10/14</v>
      </c>
    </row>
    <row r="431">
      <c r="A431" s="141">
        <f>IFERROR(__xludf.DUMMYFUNCTION("""COMPUTED_VALUE"""),43893.0)</f>
        <v>43893</v>
      </c>
      <c r="B431" s="140">
        <f>IFERROR(__xludf.DUMMYFUNCTION("""COMPUTED_VALUE"""),633198.0)</f>
        <v>633198</v>
      </c>
      <c r="C431" s="140" t="str">
        <f>IFERROR(__xludf.DUMMYFUNCTION("""COMPUTED_VALUE"""),"ES")</f>
        <v>ES</v>
      </c>
      <c r="D431" s="140" t="str">
        <f>IFERROR(__xludf.DUMMYFUNCTION("""COMPUTED_VALUE"""),"Tutorial práctico de XML: Crea y Valida Documentos XML")</f>
        <v>Tutorial práctico de XML: Crea y Valida Documentos XML</v>
      </c>
      <c r="E431" s="140" t="str">
        <f>IFERROR(__xludf.DUMMYFUNCTION("""COMPUTED_VALUE"""),"XML Practical Tutorial: Create and Validate XML Documents")</f>
        <v>XML Practical Tutorial: Create and Validate XML Documents</v>
      </c>
      <c r="F431" s="142" t="str">
        <f>IFERROR(__xludf.DUMMYFUNCTION("""COMPUTED_VALUE"""),"Eduardo Marchuet")</f>
        <v>Eduardo Marchuet</v>
      </c>
      <c r="G431" t="str">
        <f>IFERROR(__xludf.DUMMYFUNCTION("""COMPUTED_VALUE"""),"Instructor Request- No Detail")</f>
        <v>Instructor Request- No Detail</v>
      </c>
      <c r="H431" s="142" t="str">
        <f>IFERROR(__xludf.DUMMYFUNCTION("""COMPUTED_VALUE"""),"Development")</f>
        <v>Development</v>
      </c>
      <c r="I431" s="140" t="str">
        <f>IFERROR(__xludf.DUMMYFUNCTION("""COMPUTED_VALUE"""),"Programming Languages")</f>
        <v>Programming Languages</v>
      </c>
      <c r="K431" s="140" t="str">
        <f>IFERROR(__xludf.DUMMYFUNCTION("""COMPUTED_VALUE"""),"")</f>
        <v/>
      </c>
      <c r="M431" s="140" t="str">
        <f>IFERROR(__xludf.DUMMYFUNCTION("""COMPUTED_VALUE"""),"")</f>
        <v/>
      </c>
      <c r="N431" s="140" t="str">
        <f>IFERROR(__xludf.DUMMYFUNCTION("""COMPUTED_VALUE"""),"No Alternatives in Collection- 10/14")</f>
        <v>No Alternatives in Collection- 10/14</v>
      </c>
    </row>
    <row r="432">
      <c r="A432" s="141">
        <f>IFERROR(__xludf.DUMMYFUNCTION("""COMPUTED_VALUE"""),43893.0)</f>
        <v>43893</v>
      </c>
      <c r="B432" s="140">
        <f>IFERROR(__xludf.DUMMYFUNCTION("""COMPUTED_VALUE"""),1304148.0)</f>
        <v>1304148</v>
      </c>
      <c r="C432" s="140" t="str">
        <f>IFERROR(__xludf.DUMMYFUNCTION("""COMPUTED_VALUE"""),"ES")</f>
        <v>ES</v>
      </c>
      <c r="D432" s="140" t="str">
        <f>IFERROR(__xludf.DUMMYFUNCTION("""COMPUTED_VALUE"""),"Aprende Microsoft Outlook 2016 y Mejora tu Productividad!")</f>
        <v>Aprende Microsoft Outlook 2016 y Mejora tu Productividad!</v>
      </c>
      <c r="E432" s="140" t="str">
        <f>IFERROR(__xludf.DUMMYFUNCTION("""COMPUTED_VALUE"""),"Microsoft Outlook 2016 Learn and improve your productivity!")</f>
        <v>Microsoft Outlook 2016 Learn and improve your productivity!</v>
      </c>
      <c r="F432" s="142" t="str">
        <f>IFERROR(__xludf.DUMMYFUNCTION("""COMPUTED_VALUE"""),"Juan José Pérez Figuereo")</f>
        <v>Juan José Pérez Figuereo</v>
      </c>
      <c r="G432" t="str">
        <f>IFERROR(__xludf.DUMMYFUNCTION("""COMPUTED_VALUE"""),"Below Quality Standards- 3 Flags")</f>
        <v>Below Quality Standards- 3 Flags</v>
      </c>
      <c r="H432" s="142" t="str">
        <f>IFERROR(__xludf.DUMMYFUNCTION("""COMPUTED_VALUE"""),"Office Productivity")</f>
        <v>Office Productivity</v>
      </c>
      <c r="I432" s="140" t="str">
        <f>IFERROR(__xludf.DUMMYFUNCTION("""COMPUTED_VALUE"""),"Email &amp; Productivity")</f>
        <v>Email &amp; Productivity</v>
      </c>
      <c r="K432" s="140" t="str">
        <f>IFERROR(__xludf.DUMMYFUNCTION("""COMPUTED_VALUE"""),"")</f>
        <v/>
      </c>
      <c r="M432" s="140" t="str">
        <f>IFERROR(__xludf.DUMMYFUNCTION("""COMPUTED_VALUE"""),"")</f>
        <v/>
      </c>
      <c r="N432" s="140" t="str">
        <f>IFERROR(__xludf.DUMMYFUNCTION("""COMPUTED_VALUE"""),"No Alternatives in Collection- 10/14")</f>
        <v>No Alternatives in Collection- 10/14</v>
      </c>
    </row>
    <row r="433">
      <c r="A433" s="141">
        <f>IFERROR(__xludf.DUMMYFUNCTION("""COMPUTED_VALUE"""),43893.0)</f>
        <v>43893</v>
      </c>
      <c r="B433" s="145">
        <f>IFERROR(__xludf.DUMMYFUNCTION("""COMPUTED_VALUE"""),1493048.0)</f>
        <v>1493048</v>
      </c>
      <c r="C433" s="140" t="str">
        <f>IFERROR(__xludf.DUMMYFUNCTION("""COMPUTED_VALUE"""),"ES")</f>
        <v>ES</v>
      </c>
      <c r="D433" s="140" t="str">
        <f>IFERROR(__xludf.DUMMYFUNCTION("""COMPUTED_VALUE"""),"Ruso Básico: Ruso Fácil con Liza")</f>
        <v>Ruso Básico: Ruso Fácil con Liza</v>
      </c>
      <c r="E433" s="140" t="str">
        <f>IFERROR(__xludf.DUMMYFUNCTION("""COMPUTED_VALUE"""),"Basic Russian: Russian Easy with Liza")</f>
        <v>Basic Russian: Russian Easy with Liza</v>
      </c>
      <c r="F433" s="142" t="str">
        <f>IFERROR(__xludf.DUMMYFUNCTION("""COMPUTED_VALUE"""),"Elizabeth Evtushenko")</f>
        <v>Elizabeth Evtushenko</v>
      </c>
      <c r="G433" t="str">
        <f>IFERROR(__xludf.DUMMYFUNCTION("""COMPUTED_VALUE"""),"Instructor Request- Opted Out")</f>
        <v>Instructor Request- Opted Out</v>
      </c>
      <c r="H433" s="142" t="str">
        <f>IFERROR(__xludf.DUMMYFUNCTION("""COMPUTED_VALUE"""),"Personal Development")</f>
        <v>Personal Development</v>
      </c>
      <c r="I433" s="140" t="str">
        <f>IFERROR(__xludf.DUMMYFUNCTION("""COMPUTED_VALUE"""),"Language Learning")</f>
        <v>Language Learning</v>
      </c>
      <c r="K433" s="140" t="str">
        <f>IFERROR(__xludf.DUMMYFUNCTION("""COMPUTED_VALUE"""),"")</f>
        <v/>
      </c>
      <c r="M433" s="140" t="str">
        <f>IFERROR(__xludf.DUMMYFUNCTION("""COMPUTED_VALUE"""),"")</f>
        <v/>
      </c>
      <c r="N433" s="140" t="str">
        <f>IFERROR(__xludf.DUMMYFUNCTION("""COMPUTED_VALUE"""),"No Alternatives in Collection - 10/14")</f>
        <v>No Alternatives in Collection - 10/14</v>
      </c>
    </row>
    <row r="434">
      <c r="A434" s="141">
        <f>IFERROR(__xludf.DUMMYFUNCTION("""COMPUTED_VALUE"""),43893.0)</f>
        <v>43893</v>
      </c>
      <c r="B434" s="145">
        <f>IFERROR(__xludf.DUMMYFUNCTION("""COMPUTED_VALUE"""),2022094.0)</f>
        <v>2022094</v>
      </c>
      <c r="C434" s="140" t="str">
        <f>IFERROR(__xludf.DUMMYFUNCTION("""COMPUTED_VALUE"""),"DE")</f>
        <v>DE</v>
      </c>
      <c r="D434" s="140" t="str">
        <f>IFERROR(__xludf.DUMMYFUNCTION("""COMPUTED_VALUE"""),"Cisco CCNA Routing &amp; Switching 1: LAN Switching Technologies")</f>
        <v>Cisco CCNA Routing &amp; Switching 1: LAN Switching Technologies</v>
      </c>
      <c r="E434" s="140" t="str">
        <f>IFERROR(__xludf.DUMMYFUNCTION("""COMPUTED_VALUE"""),"Cisco CCNA Routing &amp; Switching 1: LAN Switching Technologies")</f>
        <v>Cisco CCNA Routing &amp; Switching 1: LAN Switching Technologies</v>
      </c>
      <c r="F434" s="142" t="str">
        <f>IFERROR(__xludf.DUMMYFUNCTION("""COMPUTED_VALUE"""),"Tom Wechsler")</f>
        <v>Tom Wechsler</v>
      </c>
      <c r="G434" t="str">
        <f>IFERROR(__xludf.DUMMYFUNCTION("""COMPUTED_VALUE"""),"Below Quality Standards- Outdated")</f>
        <v>Below Quality Standards- Outdated</v>
      </c>
      <c r="H434" s="142" t="str">
        <f>IFERROR(__xludf.DUMMYFUNCTION("""COMPUTED_VALUE"""),"IT Operations")</f>
        <v>IT Operations</v>
      </c>
      <c r="I434" s="140" t="str">
        <f>IFERROR(__xludf.DUMMYFUNCTION("""COMPUTED_VALUE"""),"IT Certifications")</f>
        <v>IT Certifications</v>
      </c>
      <c r="K434" s="140" t="str">
        <f>IFERROR(__xludf.DUMMYFUNCTION("""COMPUTED_VALUE"""),"")</f>
        <v/>
      </c>
      <c r="M434" s="140" t="str">
        <f>IFERROR(__xludf.DUMMYFUNCTION("""COMPUTED_VALUE"""),"")</f>
        <v/>
      </c>
    </row>
    <row r="435">
      <c r="A435" s="141">
        <f>IFERROR(__xludf.DUMMYFUNCTION("""COMPUTED_VALUE"""),43893.0)</f>
        <v>43893</v>
      </c>
      <c r="B435" s="145">
        <f>IFERROR(__xludf.DUMMYFUNCTION("""COMPUTED_VALUE"""),2067097.0)</f>
        <v>2067097</v>
      </c>
      <c r="C435" s="140" t="str">
        <f>IFERROR(__xludf.DUMMYFUNCTION("""COMPUTED_VALUE"""),"DE")</f>
        <v>DE</v>
      </c>
      <c r="D435" s="140" t="str">
        <f>IFERROR(__xludf.DUMMYFUNCTION("""COMPUTED_VALUE"""),"Cisco CCNA Routing &amp; Switching 2: Routing Technologies")</f>
        <v>Cisco CCNA Routing &amp; Switching 2: Routing Technologies</v>
      </c>
      <c r="E435" s="140" t="str">
        <f>IFERROR(__xludf.DUMMYFUNCTION("""COMPUTED_VALUE"""),"Cisco CCNA Routing &amp; Switching 2: Routing Technologies")</f>
        <v>Cisco CCNA Routing &amp; Switching 2: Routing Technologies</v>
      </c>
      <c r="F435" s="142" t="str">
        <f>IFERROR(__xludf.DUMMYFUNCTION("""COMPUTED_VALUE"""),"Tom Wechsler")</f>
        <v>Tom Wechsler</v>
      </c>
      <c r="G435" t="str">
        <f>IFERROR(__xludf.DUMMYFUNCTION("""COMPUTED_VALUE"""),"Below Quality Standards- Outdated")</f>
        <v>Below Quality Standards- Outdated</v>
      </c>
      <c r="H435" s="142" t="str">
        <f>IFERROR(__xludf.DUMMYFUNCTION("""COMPUTED_VALUE"""),"IT Operations")</f>
        <v>IT Operations</v>
      </c>
      <c r="I435" s="140" t="str">
        <f>IFERROR(__xludf.DUMMYFUNCTION("""COMPUTED_VALUE"""),"IT Certifications")</f>
        <v>IT Certifications</v>
      </c>
      <c r="K435" s="140" t="str">
        <f>IFERROR(__xludf.DUMMYFUNCTION("""COMPUTED_VALUE"""),"")</f>
        <v/>
      </c>
      <c r="M435" s="140" t="str">
        <f>IFERROR(__xludf.DUMMYFUNCTION("""COMPUTED_VALUE"""),"")</f>
        <v/>
      </c>
    </row>
    <row r="436">
      <c r="A436" s="141">
        <f>IFERROR(__xludf.DUMMYFUNCTION("""COMPUTED_VALUE"""),43893.0)</f>
        <v>43893</v>
      </c>
      <c r="B436" s="145">
        <f>IFERROR(__xludf.DUMMYFUNCTION("""COMPUTED_VALUE"""),2083112.0)</f>
        <v>2083112</v>
      </c>
      <c r="C436" s="140" t="str">
        <f>IFERROR(__xludf.DUMMYFUNCTION("""COMPUTED_VALUE"""),"DE")</f>
        <v>DE</v>
      </c>
      <c r="D436" s="140" t="str">
        <f>IFERROR(__xludf.DUMMYFUNCTION("""COMPUTED_VALUE"""),"Lernweg - SCCM Current Branch 1: Einführung")</f>
        <v>Lernweg - SCCM Current Branch 1: Einführung</v>
      </c>
      <c r="E436" s="140" t="str">
        <f>IFERROR(__xludf.DUMMYFUNCTION("""COMPUTED_VALUE"""),"Learning path - SCCM Current Branch 1: Introduction")</f>
        <v>Learning path - SCCM Current Branch 1: Introduction</v>
      </c>
      <c r="F436" s="142" t="str">
        <f>IFERROR(__xludf.DUMMYFUNCTION("""COMPUTED_VALUE"""),"Tom Wechsler")</f>
        <v>Tom Wechsler</v>
      </c>
      <c r="G436" t="str">
        <f>IFERROR(__xludf.DUMMYFUNCTION("""COMPUTED_VALUE"""),"Below Quality Standards- Outdated")</f>
        <v>Below Quality Standards- Outdated</v>
      </c>
      <c r="H436" s="142" t="str">
        <f>IFERROR(__xludf.DUMMYFUNCTION("""COMPUTED_VALUE"""),"Development")</f>
        <v>Development</v>
      </c>
      <c r="I436" s="140" t="str">
        <f>IFERROR(__xludf.DUMMYFUNCTION("""COMPUTED_VALUE"""),"Development Tools")</f>
        <v>Development Tools</v>
      </c>
      <c r="K436" s="140" t="str">
        <f>IFERROR(__xludf.DUMMYFUNCTION("""COMPUTED_VALUE"""),"")</f>
        <v/>
      </c>
      <c r="M436" s="140" t="str">
        <f>IFERROR(__xludf.DUMMYFUNCTION("""COMPUTED_VALUE"""),"")</f>
        <v/>
      </c>
    </row>
    <row r="437">
      <c r="A437" s="141">
        <f>IFERROR(__xludf.DUMMYFUNCTION("""COMPUTED_VALUE"""),43893.0)</f>
        <v>43893</v>
      </c>
      <c r="B437" s="145">
        <f>IFERROR(__xludf.DUMMYFUNCTION("""COMPUTED_VALUE"""),779036.0)</f>
        <v>779036</v>
      </c>
      <c r="C437" s="140" t="str">
        <f>IFERROR(__xludf.DUMMYFUNCTION("""COMPUTED_VALUE"""),"DE")</f>
        <v>DE</v>
      </c>
      <c r="D437" s="140" t="str">
        <f>IFERROR(__xludf.DUMMYFUNCTION("""COMPUTED_VALUE"""),"C Programmieren - Praxisorientierter Einsteiger Kurs")</f>
        <v>C Programmieren - Praxisorientierter Einsteiger Kurs</v>
      </c>
      <c r="E437" s="140" t="str">
        <f>IFERROR(__xludf.DUMMYFUNCTION("""COMPUTED_VALUE"""),"C Programming - A Practical course for beginners")</f>
        <v>C Programming - A Practical course for beginners</v>
      </c>
      <c r="F437" s="142" t="str">
        <f>IFERROR(__xludf.DUMMYFUNCTION("""COMPUTED_VALUE"""),"Hendrik Pruin")</f>
        <v>Hendrik Pruin</v>
      </c>
      <c r="G437" t="str">
        <f>IFERROR(__xludf.DUMMYFUNCTION("""COMPUTED_VALUE"""),"Instructor Request- Opted Out")</f>
        <v>Instructor Request- Opted Out</v>
      </c>
      <c r="H437" s="142" t="str">
        <f>IFERROR(__xludf.DUMMYFUNCTION("""COMPUTED_VALUE"""),"Development")</f>
        <v>Development</v>
      </c>
      <c r="I437" s="140" t="str">
        <f>IFERROR(__xludf.DUMMYFUNCTION("""COMPUTED_VALUE"""),"Programming Languages")</f>
        <v>Programming Languages</v>
      </c>
      <c r="K437" s="140" t="str">
        <f>IFERROR(__xludf.DUMMYFUNCTION("""COMPUTED_VALUE"""),"")</f>
        <v/>
      </c>
      <c r="M437" s="140" t="str">
        <f>IFERROR(__xludf.DUMMYFUNCTION("""COMPUTED_VALUE"""),"")</f>
        <v/>
      </c>
      <c r="N437" s="140" t="str">
        <f>IFERROR(__xludf.DUMMYFUNCTION("""COMPUTED_VALUE"""),"No Alternatives in Collection or MP. ")</f>
        <v>No Alternatives in Collection or MP. </v>
      </c>
    </row>
    <row r="438">
      <c r="A438" s="141">
        <f>IFERROR(__xludf.DUMMYFUNCTION("""COMPUTED_VALUE"""),43893.0)</f>
        <v>43893</v>
      </c>
      <c r="B438" s="145">
        <f>IFERROR(__xludf.DUMMYFUNCTION("""COMPUTED_VALUE"""),1170696.0)</f>
        <v>1170696</v>
      </c>
      <c r="C438" s="140" t="str">
        <f>IFERROR(__xludf.DUMMYFUNCTION("""COMPUTED_VALUE"""),"DE")</f>
        <v>DE</v>
      </c>
      <c r="D438" s="140" t="str">
        <f>IFERROR(__xludf.DUMMYFUNCTION("""COMPUTED_VALUE"""),"JavaScript &amp; jQuery: Einsteigerfreundlich &amp; Praxisnah")</f>
        <v>JavaScript &amp; jQuery: Einsteigerfreundlich &amp; Praxisnah</v>
      </c>
      <c r="E438" s="140" t="str">
        <f>IFERROR(__xludf.DUMMYFUNCTION("""COMPUTED_VALUE"""),"JavaScript &amp; jQuery: Beginner Friendly &amp; Practical")</f>
        <v>JavaScript &amp; jQuery: Beginner Friendly &amp; Practical</v>
      </c>
      <c r="F438" s="142" t="str">
        <f>IFERROR(__xludf.DUMMYFUNCTION("""COMPUTED_VALUE"""),"Hendrik Pruin")</f>
        <v>Hendrik Pruin</v>
      </c>
      <c r="G438" t="str">
        <f>IFERROR(__xludf.DUMMYFUNCTION("""COMPUTED_VALUE"""),"Instructor Request- Opted Out")</f>
        <v>Instructor Request- Opted Out</v>
      </c>
      <c r="H438" s="142" t="str">
        <f>IFERROR(__xludf.DUMMYFUNCTION("""COMPUTED_VALUE"""),"Development")</f>
        <v>Development</v>
      </c>
      <c r="I438" s="140" t="str">
        <f>IFERROR(__xludf.DUMMYFUNCTION("""COMPUTED_VALUE"""),"Web Development")</f>
        <v>Web Development</v>
      </c>
      <c r="J438">
        <f>IFERROR(__xludf.DUMMYFUNCTION("""COMPUTED_VALUE"""),1077838.0)</f>
        <v>1077838</v>
      </c>
      <c r="K438" s="140" t="str">
        <f>IFERROR(__xludf.DUMMYFUNCTION("""COMPUTED_VALUE"""),"Modernes JavaScript (ES6): jQuery, node.js, und viel Praxis!")</f>
        <v>Modernes JavaScript (ES6): jQuery, node.js, und viel Praxis!</v>
      </c>
      <c r="L438">
        <f>IFERROR(__xludf.DUMMYFUNCTION("""COMPUTED_VALUE"""),2402800.0)</f>
        <v>2402800</v>
      </c>
      <c r="M438" s="140" t="str">
        <f>IFERROR(__xludf.DUMMYFUNCTION("""COMPUTED_VALUE"""),"Die komplette JavaScript Masterclass: Vom Anfänger zum Profi")</f>
        <v>Die komplette JavaScript Masterclass: Vom Anfänger zum Profi</v>
      </c>
    </row>
    <row r="439">
      <c r="A439" s="141">
        <f>IFERROR(__xludf.DUMMYFUNCTION("""COMPUTED_VALUE"""),43893.0)</f>
        <v>43893</v>
      </c>
      <c r="B439" s="145">
        <f>IFERROR(__xludf.DUMMYFUNCTION("""COMPUTED_VALUE"""),1310800.0)</f>
        <v>1310800</v>
      </c>
      <c r="C439" s="140" t="str">
        <f>IFERROR(__xludf.DUMMYFUNCTION("""COMPUTED_VALUE"""),"DE")</f>
        <v>DE</v>
      </c>
      <c r="D439" s="140" t="str">
        <f>IFERROR(__xludf.DUMMYFUNCTION("""COMPUTED_VALUE"""),"Java Programmieren - Der umfassende Einsteigerkurs")</f>
        <v>Java Programmieren - Der umfassende Einsteigerkurs</v>
      </c>
      <c r="E439" s="140" t="str">
        <f>IFERROR(__xludf.DUMMYFUNCTION("""COMPUTED_VALUE"""),"Java Programming - The comprehensive beginner course")</f>
        <v>Java Programming - The comprehensive beginner course</v>
      </c>
      <c r="F439" s="142" t="str">
        <f>IFERROR(__xludf.DUMMYFUNCTION("""COMPUTED_VALUE"""),"Hendrik Pruin")</f>
        <v>Hendrik Pruin</v>
      </c>
      <c r="G439" t="str">
        <f>IFERROR(__xludf.DUMMYFUNCTION("""COMPUTED_VALUE"""),"Instructor Request- Opted Out")</f>
        <v>Instructor Request- Opted Out</v>
      </c>
      <c r="H439" s="142" t="str">
        <f>IFERROR(__xludf.DUMMYFUNCTION("""COMPUTED_VALUE"""),"Development")</f>
        <v>Development</v>
      </c>
      <c r="I439" s="140" t="str">
        <f>IFERROR(__xludf.DUMMYFUNCTION("""COMPUTED_VALUE"""),"Programming Languages")</f>
        <v>Programming Languages</v>
      </c>
      <c r="J439">
        <f>IFERROR(__xludf.DUMMYFUNCTION("""COMPUTED_VALUE"""),922108.0)</f>
        <v>922108</v>
      </c>
      <c r="K439" s="140" t="str">
        <f>IFERROR(__xludf.DUMMYFUNCTION("""COMPUTED_VALUE"""),"Das Java - Bootcamp: Lerne Java für Hobby, Beruf &amp; Studium")</f>
        <v>Das Java - Bootcamp: Lerne Java für Hobby, Beruf &amp; Studium</v>
      </c>
      <c r="L439">
        <f>IFERROR(__xludf.DUMMYFUNCTION("""COMPUTED_VALUE"""),1019810.0)</f>
        <v>1019810</v>
      </c>
      <c r="M439" s="140" t="str">
        <f>IFERROR(__xludf.DUMMYFUNCTION("""COMPUTED_VALUE"""),"Java leicht gemacht - Der umfassende Java Einsteigerkurs A-Z")</f>
        <v>Java leicht gemacht - Der umfassende Java Einsteigerkurs A-Z</v>
      </c>
    </row>
    <row r="440">
      <c r="A440" s="141">
        <f>IFERROR(__xludf.DUMMYFUNCTION("""COMPUTED_VALUE"""),43893.0)</f>
        <v>43893</v>
      </c>
      <c r="B440" s="145">
        <f>IFERROR(__xludf.DUMMYFUNCTION("""COMPUTED_VALUE"""),1318976.0)</f>
        <v>1318976</v>
      </c>
      <c r="C440" s="140" t="str">
        <f>IFERROR(__xludf.DUMMYFUNCTION("""COMPUTED_VALUE"""),"DE")</f>
        <v>DE</v>
      </c>
      <c r="D440" s="140" t="str">
        <f>IFERROR(__xludf.DUMMYFUNCTION("""COMPUTED_VALUE"""),"Das große Videotraining zu TYPO3 8 LTS")</f>
        <v>Das große Videotraining zu TYPO3 8 LTS</v>
      </c>
      <c r="E440" s="140" t="str">
        <f>IFERROR(__xludf.DUMMYFUNCTION("""COMPUTED_VALUE"""),"The large video training to TYPO3 8 LTS")</f>
        <v>The large video training to TYPO3 8 LTS</v>
      </c>
      <c r="F440" s="142" t="str">
        <f>IFERROR(__xludf.DUMMYFUNCTION("""COMPUTED_VALUE"""),"Wolfgang Wagner")</f>
        <v>Wolfgang Wagner</v>
      </c>
      <c r="G440" t="str">
        <f>IFERROR(__xludf.DUMMYFUNCTION("""COMPUTED_VALUE"""),"Instructor Request- Opted Out")</f>
        <v>Instructor Request- Opted Out</v>
      </c>
      <c r="H440" s="142" t="str">
        <f>IFERROR(__xludf.DUMMYFUNCTION("""COMPUTED_VALUE"""),"Development")</f>
        <v>Development</v>
      </c>
      <c r="I440" s="140" t="str">
        <f>IFERROR(__xludf.DUMMYFUNCTION("""COMPUTED_VALUE"""),"Web Development")</f>
        <v>Web Development</v>
      </c>
      <c r="K440" s="140" t="str">
        <f>IFERROR(__xludf.DUMMYFUNCTION("""COMPUTED_VALUE"""),"")</f>
        <v/>
      </c>
      <c r="M440" s="140" t="str">
        <f>IFERROR(__xludf.DUMMYFUNCTION("""COMPUTED_VALUE"""),"")</f>
        <v/>
      </c>
      <c r="N440" s="140" t="str">
        <f>IFERROR(__xludf.DUMMYFUNCTION("""COMPUTED_VALUE"""),"No Alternatives in Collection. MP courses below ratings.")</f>
        <v>No Alternatives in Collection. MP courses below ratings.</v>
      </c>
    </row>
    <row r="441">
      <c r="A441" s="141">
        <f>IFERROR(__xludf.DUMMYFUNCTION("""COMPUTED_VALUE"""),43893.0)</f>
        <v>43893</v>
      </c>
      <c r="B441" s="145">
        <f>IFERROR(__xludf.DUMMYFUNCTION("""COMPUTED_VALUE"""),1322544.0)</f>
        <v>1322544</v>
      </c>
      <c r="C441" s="140" t="str">
        <f>IFERROR(__xludf.DUMMYFUNCTION("""COMPUTED_VALUE"""),"DE")</f>
        <v>DE</v>
      </c>
      <c r="D441" s="140" t="str">
        <f>IFERROR(__xludf.DUMMYFUNCTION("""COMPUTED_VALUE"""),"Java Programmieren - Der Fortgeschrittenen Kurs")</f>
        <v>Java Programmieren - Der Fortgeschrittenen Kurs</v>
      </c>
      <c r="E441" s="140" t="str">
        <f>IFERROR(__xludf.DUMMYFUNCTION("""COMPUTED_VALUE"""),"Java Programming - The advanced course")</f>
        <v>Java Programming - The advanced course</v>
      </c>
      <c r="F441" s="142" t="str">
        <f>IFERROR(__xludf.DUMMYFUNCTION("""COMPUTED_VALUE"""),"Hendrik Pruin")</f>
        <v>Hendrik Pruin</v>
      </c>
      <c r="G441" t="str">
        <f>IFERROR(__xludf.DUMMYFUNCTION("""COMPUTED_VALUE"""),"Instructor Request- Opted Out")</f>
        <v>Instructor Request- Opted Out</v>
      </c>
      <c r="H441" s="142" t="str">
        <f>IFERROR(__xludf.DUMMYFUNCTION("""COMPUTED_VALUE"""),"Development")</f>
        <v>Development</v>
      </c>
      <c r="I441" s="140" t="str">
        <f>IFERROR(__xludf.DUMMYFUNCTION("""COMPUTED_VALUE"""),"Programming Languages")</f>
        <v>Programming Languages</v>
      </c>
      <c r="J441">
        <f>IFERROR(__xludf.DUMMYFUNCTION("""COMPUTED_VALUE"""),922108.0)</f>
        <v>922108</v>
      </c>
      <c r="K441" s="140" t="str">
        <f>IFERROR(__xludf.DUMMYFUNCTION("""COMPUTED_VALUE"""),"Das Java - Bootcamp: Lerne Java für Hobby, Beruf &amp; Studium")</f>
        <v>Das Java - Bootcamp: Lerne Java für Hobby, Beruf &amp; Studium</v>
      </c>
      <c r="L441">
        <f>IFERROR(__xludf.DUMMYFUNCTION("""COMPUTED_VALUE"""),1019810.0)</f>
        <v>1019810</v>
      </c>
      <c r="M441" s="140" t="str">
        <f>IFERROR(__xludf.DUMMYFUNCTION("""COMPUTED_VALUE"""),"Java leicht gemacht - Der umfassende Java Einsteigerkurs A-Z")</f>
        <v>Java leicht gemacht - Der umfassende Java Einsteigerkurs A-Z</v>
      </c>
    </row>
    <row r="442">
      <c r="A442" s="141">
        <f>IFERROR(__xludf.DUMMYFUNCTION("""COMPUTED_VALUE"""),43893.0)</f>
        <v>43893</v>
      </c>
      <c r="B442" s="145">
        <f>IFERROR(__xludf.DUMMYFUNCTION("""COMPUTED_VALUE"""),1349722.0)</f>
        <v>1349722</v>
      </c>
      <c r="C442" s="140" t="str">
        <f>IFERROR(__xludf.DUMMYFUNCTION("""COMPUTED_VALUE"""),"DE")</f>
        <v>DE</v>
      </c>
      <c r="D442" s="140" t="str">
        <f>IFERROR(__xludf.DUMMYFUNCTION("""COMPUTED_VALUE"""),"Java Design Patterns - Entwurfsmuster für sauberen Code")</f>
        <v>Java Design Patterns - Entwurfsmuster für sauberen Code</v>
      </c>
      <c r="E442" s="140" t="str">
        <f>IFERROR(__xludf.DUMMYFUNCTION("""COMPUTED_VALUE"""),"Java Design Patterns - Design Patterns for clean code")</f>
        <v>Java Design Patterns - Design Patterns for clean code</v>
      </c>
      <c r="F442" s="142" t="str">
        <f>IFERROR(__xludf.DUMMYFUNCTION("""COMPUTED_VALUE"""),"Hendrik Pruin")</f>
        <v>Hendrik Pruin</v>
      </c>
      <c r="G442" t="str">
        <f>IFERROR(__xludf.DUMMYFUNCTION("""COMPUTED_VALUE"""),"Instructor Request- Opted Out")</f>
        <v>Instructor Request- Opted Out</v>
      </c>
      <c r="H442" s="142" t="str">
        <f>IFERROR(__xludf.DUMMYFUNCTION("""COMPUTED_VALUE"""),"Development")</f>
        <v>Development</v>
      </c>
      <c r="I442" s="140" t="str">
        <f>IFERROR(__xludf.DUMMYFUNCTION("""COMPUTED_VALUE"""),"Programming Languages")</f>
        <v>Programming Languages</v>
      </c>
      <c r="J442">
        <f>IFERROR(__xludf.DUMMYFUNCTION("""COMPUTED_VALUE"""),1568690.0)</f>
        <v>1568690</v>
      </c>
      <c r="K442" s="140" t="str">
        <f>IFERROR(__xludf.DUMMYFUNCTION("""COMPUTED_VALUE"""),"")</f>
        <v/>
      </c>
      <c r="M442" s="140" t="str">
        <f>IFERROR(__xludf.DUMMYFUNCTION("""COMPUTED_VALUE"""),"")</f>
        <v/>
      </c>
    </row>
    <row r="443">
      <c r="A443" s="141">
        <f>IFERROR(__xludf.DUMMYFUNCTION("""COMPUTED_VALUE"""),43893.0)</f>
        <v>43893</v>
      </c>
      <c r="B443" s="140">
        <f>IFERROR(__xludf.DUMMYFUNCTION("""COMPUTED_VALUE"""),1572626.0)</f>
        <v>1572626</v>
      </c>
      <c r="C443" s="140" t="str">
        <f>IFERROR(__xludf.DUMMYFUNCTION("""COMPUTED_VALUE"""),"DE")</f>
        <v>DE</v>
      </c>
      <c r="D443" s="140" t="str">
        <f>IFERROR(__xludf.DUMMYFUNCTION("""COMPUTED_VALUE"""),"Microservices mit Spring Cloud, Apache Kafka und GraphQL")</f>
        <v>Microservices mit Spring Cloud, Apache Kafka und GraphQL</v>
      </c>
      <c r="E443" s="140" t="str">
        <f>IFERROR(__xludf.DUMMYFUNCTION("""COMPUTED_VALUE"""),"Micro Services with Cloud Spring, Apache Kafka and GraphQL")</f>
        <v>Micro Services with Cloud Spring, Apache Kafka and GraphQL</v>
      </c>
      <c r="F443" s="142" t="str">
        <f>IFERROR(__xludf.DUMMYFUNCTION("""COMPUTED_VALUE"""),"Alexander Redmann")</f>
        <v>Alexander Redmann</v>
      </c>
      <c r="G443" t="str">
        <f>IFERROR(__xludf.DUMMYFUNCTION("""COMPUTED_VALUE"""),"Below Quality Standards- 3 Flags")</f>
        <v>Below Quality Standards- 3 Flags</v>
      </c>
      <c r="H443" s="142" t="str">
        <f>IFERROR(__xludf.DUMMYFUNCTION("""COMPUTED_VALUE"""),"Development")</f>
        <v>Development</v>
      </c>
      <c r="I443" s="140" t="str">
        <f>IFERROR(__xludf.DUMMYFUNCTION("""COMPUTED_VALUE"""),"Web Development")</f>
        <v>Web Development</v>
      </c>
      <c r="K443" s="140" t="str">
        <f>IFERROR(__xludf.DUMMYFUNCTION("""COMPUTED_VALUE"""),"")</f>
        <v/>
      </c>
      <c r="M443" s="140" t="str">
        <f>IFERROR(__xludf.DUMMYFUNCTION("""COMPUTED_VALUE"""),"")</f>
        <v/>
      </c>
      <c r="N443" s="140" t="str">
        <f>IFERROR(__xludf.DUMMYFUNCTION("""COMPUTED_VALUE"""),"No Alternatives in Collection. MP courses below ratings.")</f>
        <v>No Alternatives in Collection. MP courses below ratings.</v>
      </c>
    </row>
    <row r="444">
      <c r="A444" s="141">
        <f>IFERROR(__xludf.DUMMYFUNCTION("""COMPUTED_VALUE"""),43893.0)</f>
        <v>43893</v>
      </c>
      <c r="B444" s="140">
        <f>IFERROR(__xludf.DUMMYFUNCTION("""COMPUTED_VALUE"""),1182864.0)</f>
        <v>1182864</v>
      </c>
      <c r="C444" s="140" t="str">
        <f>IFERROR(__xludf.DUMMYFUNCTION("""COMPUTED_VALUE"""),"DE")</f>
        <v>DE</v>
      </c>
      <c r="D444" s="140" t="str">
        <f>IFERROR(__xludf.DUMMYFUNCTION("""COMPUTED_VALUE"""),"Instagram Marketing - Die perfekte Werbung auf Instagram")</f>
        <v>Instagram Marketing - Die perfekte Werbung auf Instagram</v>
      </c>
      <c r="E444" s="140" t="str">
        <f>IFERROR(__xludf.DUMMYFUNCTION("""COMPUTED_VALUE"""),"Instagram Marketing - The perfect advertising on Instagram")</f>
        <v>Instagram Marketing - The perfect advertising on Instagram</v>
      </c>
      <c r="F444" s="142" t="str">
        <f>IFERROR(__xludf.DUMMYFUNCTION("""COMPUTED_VALUE"""),"André Thöne")</f>
        <v>André Thöne</v>
      </c>
      <c r="G444" t="str">
        <f>IFERROR(__xludf.DUMMYFUNCTION("""COMPUTED_VALUE"""),"Below Quality Standards- 3 Flags")</f>
        <v>Below Quality Standards- 3 Flags</v>
      </c>
      <c r="H444" s="142" t="str">
        <f>IFERROR(__xludf.DUMMYFUNCTION("""COMPUTED_VALUE"""),"Marketing")</f>
        <v>Marketing</v>
      </c>
      <c r="I444" s="140" t="str">
        <f>IFERROR(__xludf.DUMMYFUNCTION("""COMPUTED_VALUE"""),"Social Media Marketing")</f>
        <v>Social Media Marketing</v>
      </c>
      <c r="J444">
        <f>IFERROR(__xludf.DUMMYFUNCTION("""COMPUTED_VALUE"""),1258806.0)</f>
        <v>1258806</v>
      </c>
      <c r="K444" s="140" t="str">
        <f>IFERROR(__xludf.DUMMYFUNCTION("""COMPUTED_VALUE"""),"")</f>
        <v/>
      </c>
      <c r="M444" s="140" t="str">
        <f>IFERROR(__xludf.DUMMYFUNCTION("""COMPUTED_VALUE"""),"")</f>
        <v/>
      </c>
    </row>
    <row r="445">
      <c r="A445" s="141">
        <f>IFERROR(__xludf.DUMMYFUNCTION("""COMPUTED_VALUE"""),43893.0)</f>
        <v>43893</v>
      </c>
      <c r="B445" s="140">
        <f>IFERROR(__xludf.DUMMYFUNCTION("""COMPUTED_VALUE"""),716902.0)</f>
        <v>716902</v>
      </c>
      <c r="C445" s="140" t="str">
        <f>IFERROR(__xludf.DUMMYFUNCTION("""COMPUTED_VALUE"""),"DE")</f>
        <v>DE</v>
      </c>
      <c r="D445" s="140" t="str">
        <f>IFERROR(__xludf.DUMMYFUNCTION("""COMPUTED_VALUE"""),"Interkulturelle Kompetenz erlangen in 50 Minuten")</f>
        <v>Interkulturelle Kompetenz erlangen in 50 Minuten</v>
      </c>
      <c r="E445" s="140" t="str">
        <f>IFERROR(__xludf.DUMMYFUNCTION("""COMPUTED_VALUE"""),"Intercultural competence gain 50 minutes")</f>
        <v>Intercultural competence gain 50 minutes</v>
      </c>
      <c r="F445" s="142" t="str">
        <f>IFERROR(__xludf.DUMMYFUNCTION("""COMPUTED_VALUE"""),"Academy Edition")</f>
        <v>Academy Edition</v>
      </c>
      <c r="G445" t="str">
        <f>IFERROR(__xludf.DUMMYFUNCTION("""COMPUTED_VALUE"""),"Below Quality Standards- 3 Flags")</f>
        <v>Below Quality Standards- 3 Flags</v>
      </c>
      <c r="H445" s="142" t="str">
        <f>IFERROR(__xludf.DUMMYFUNCTION("""COMPUTED_VALUE"""),"Leadership &amp; Management")</f>
        <v>Leadership &amp; Management</v>
      </c>
      <c r="I445" s="140" t="str">
        <f>IFERROR(__xludf.DUMMYFUNCTION("""COMPUTED_VALUE"""),"Communication")</f>
        <v>Communication</v>
      </c>
      <c r="K445" s="140" t="str">
        <f>IFERROR(__xludf.DUMMYFUNCTION("""COMPUTED_VALUE"""),"")</f>
        <v/>
      </c>
      <c r="M445" s="140" t="str">
        <f>IFERROR(__xludf.DUMMYFUNCTION("""COMPUTED_VALUE"""),"")</f>
        <v/>
      </c>
      <c r="N445" s="140" t="str">
        <f>IFERROR(__xludf.DUMMYFUNCTION("""COMPUTED_VALUE"""),"No Alternatives in Collection. MP courses below ratings.")</f>
        <v>No Alternatives in Collection. MP courses below ratings.</v>
      </c>
    </row>
    <row r="446">
      <c r="A446" s="141">
        <f>IFERROR(__xludf.DUMMYFUNCTION("""COMPUTED_VALUE"""),43893.0)</f>
        <v>43893</v>
      </c>
      <c r="B446" s="140">
        <f>IFERROR(__xludf.DUMMYFUNCTION("""COMPUTED_VALUE"""),1612598.0)</f>
        <v>1612598</v>
      </c>
      <c r="C446" s="140" t="str">
        <f>IFERROR(__xludf.DUMMYFUNCTION("""COMPUTED_VALUE"""),"DE")</f>
        <v>DE</v>
      </c>
      <c r="D446" s="140" t="str">
        <f>IFERROR(__xludf.DUMMYFUNCTION("""COMPUTED_VALUE"""),"verkaufen leicht gelernt")</f>
        <v>verkaufen leicht gelernt</v>
      </c>
      <c r="E446" s="140" t="str">
        <f>IFERROR(__xludf.DUMMYFUNCTION("""COMPUTED_VALUE"""),"sell easily learned")</f>
        <v>sell easily learned</v>
      </c>
      <c r="F446" s="142" t="str">
        <f>IFERROR(__xludf.DUMMYFUNCTION("""COMPUTED_VALUE"""),"Maxim Pack")</f>
        <v>Maxim Pack</v>
      </c>
      <c r="G446" t="str">
        <f>IFERROR(__xludf.DUMMYFUNCTION("""COMPUTED_VALUE"""),"Below Quality Standards- 3 Flags")</f>
        <v>Below Quality Standards- 3 Flags</v>
      </c>
      <c r="H446" s="142" t="str">
        <f>IFERROR(__xludf.DUMMYFUNCTION("""COMPUTED_VALUE"""),"Sales")</f>
        <v>Sales</v>
      </c>
      <c r="I446" s="140" t="str">
        <f>IFERROR(__xludf.DUMMYFUNCTION("""COMPUTED_VALUE"""),"Sales Skills &amp; Tools")</f>
        <v>Sales Skills &amp; Tools</v>
      </c>
      <c r="K446" s="140" t="str">
        <f>IFERROR(__xludf.DUMMYFUNCTION("""COMPUTED_VALUE"""),"")</f>
        <v/>
      </c>
      <c r="M446" s="140" t="str">
        <f>IFERROR(__xludf.DUMMYFUNCTION("""COMPUTED_VALUE"""),"")</f>
        <v/>
      </c>
      <c r="N446" s="140" t="str">
        <f>IFERROR(__xludf.DUMMYFUNCTION("""COMPUTED_VALUE"""),"No Alternatives in Collection- 8/14")</f>
        <v>No Alternatives in Collection- 8/14</v>
      </c>
    </row>
    <row r="447">
      <c r="A447" s="141">
        <f>IFERROR(__xludf.DUMMYFUNCTION("""COMPUTED_VALUE"""),43893.0)</f>
        <v>43893</v>
      </c>
      <c r="B447" s="140">
        <f>IFERROR(__xludf.DUMMYFUNCTION("""COMPUTED_VALUE"""),1201410.0)</f>
        <v>1201410</v>
      </c>
      <c r="C447" s="140" t="str">
        <f>IFERROR(__xludf.DUMMYFUNCTION("""COMPUTED_VALUE"""),"DE")</f>
        <v>DE</v>
      </c>
      <c r="D447" s="140" t="str">
        <f>IFERROR(__xludf.DUMMYFUNCTION("""COMPUTED_VALUE"""),"Mit PowerPoint 2016 als Anfänger erfolgreich durchstarten")</f>
        <v>Mit PowerPoint 2016 als Anfänger erfolgreich durchstarten</v>
      </c>
      <c r="E447" s="140" t="str">
        <f>IFERROR(__xludf.DUMMYFUNCTION("""COMPUTED_VALUE"""),"successfully start with PowerPoint 2016 as a beginner")</f>
        <v>successfully start with PowerPoint 2016 as a beginner</v>
      </c>
      <c r="F447" s="142" t="str">
        <f>IFERROR(__xludf.DUMMYFUNCTION("""COMPUTED_VALUE"""),"Markus Tebel")</f>
        <v>Markus Tebel</v>
      </c>
      <c r="G447" t="str">
        <f>IFERROR(__xludf.DUMMYFUNCTION("""COMPUTED_VALUE"""),"Below Quality Standards- 3 Flags")</f>
        <v>Below Quality Standards- 3 Flags</v>
      </c>
      <c r="H447" s="142" t="str">
        <f>IFERROR(__xludf.DUMMYFUNCTION("""COMPUTED_VALUE"""),"Office Productivity")</f>
        <v>Office Productivity</v>
      </c>
      <c r="I447" s="140" t="str">
        <f>IFERROR(__xludf.DUMMYFUNCTION("""COMPUTED_VALUE"""),"Presentations")</f>
        <v>Presentations</v>
      </c>
      <c r="J447">
        <f>IFERROR(__xludf.DUMMYFUNCTION("""COMPUTED_VALUE"""),692762.0)</f>
        <v>692762</v>
      </c>
      <c r="K447" s="140" t="str">
        <f>IFERROR(__xludf.DUMMYFUNCTION("""COMPUTED_VALUE"""),"")</f>
        <v/>
      </c>
      <c r="M447" s="140" t="str">
        <f>IFERROR(__xludf.DUMMYFUNCTION("""COMPUTED_VALUE"""),"")</f>
        <v/>
      </c>
    </row>
    <row r="448">
      <c r="A448" s="141">
        <f>IFERROR(__xludf.DUMMYFUNCTION("""COMPUTED_VALUE"""),43893.0)</f>
        <v>43893</v>
      </c>
      <c r="B448" s="140">
        <f>IFERROR(__xludf.DUMMYFUNCTION("""COMPUTED_VALUE"""),1846232.0)</f>
        <v>1846232</v>
      </c>
      <c r="C448" s="140" t="str">
        <f>IFERROR(__xludf.DUMMYFUNCTION("""COMPUTED_VALUE"""),"DE")</f>
        <v>DE</v>
      </c>
      <c r="D448" s="140" t="str">
        <f>IFERROR(__xludf.DUMMYFUNCTION("""COMPUTED_VALUE"""),"Masterkurs - Erfolgreicher verkaufen - in 54 Lektionen")</f>
        <v>Masterkurs - Erfolgreicher verkaufen - in 54 Lektionen</v>
      </c>
      <c r="E448" s="140" t="str">
        <f>IFERROR(__xludf.DUMMYFUNCTION("""COMPUTED_VALUE"""),"Master Course - Successful selling - in 54 lessons")</f>
        <v>Master Course - Successful selling - in 54 lessons</v>
      </c>
      <c r="F448" s="142" t="str">
        <f>IFERROR(__xludf.DUMMYFUNCTION("""COMPUTED_VALUE"""),"Prof. Dr. Christian Zielke")</f>
        <v>Prof. Dr. Christian Zielke</v>
      </c>
      <c r="G448" t="str">
        <f>IFERROR(__xludf.DUMMYFUNCTION("""COMPUTED_VALUE"""),"Below Quality Standards- 3 Flags")</f>
        <v>Below Quality Standards- 3 Flags</v>
      </c>
      <c r="H448" s="142" t="str">
        <f>IFERROR(__xludf.DUMMYFUNCTION("""COMPUTED_VALUE"""),"Sales")</f>
        <v>Sales</v>
      </c>
      <c r="I448" s="140" t="str">
        <f>IFERROR(__xludf.DUMMYFUNCTION("""COMPUTED_VALUE"""),"Sales Skills &amp; Tools")</f>
        <v>Sales Skills &amp; Tools</v>
      </c>
      <c r="K448" s="140" t="str">
        <f>IFERROR(__xludf.DUMMYFUNCTION("""COMPUTED_VALUE"""),"")</f>
        <v/>
      </c>
      <c r="M448" s="140" t="str">
        <f>IFERROR(__xludf.DUMMYFUNCTION("""COMPUTED_VALUE"""),"")</f>
        <v/>
      </c>
      <c r="N448" s="140" t="str">
        <f>IFERROR(__xludf.DUMMYFUNCTION("""COMPUTED_VALUE"""),"No Alternatives in Collection- 8/14")</f>
        <v>No Alternatives in Collection- 8/14</v>
      </c>
    </row>
    <row r="449">
      <c r="A449" s="141">
        <f>IFERROR(__xludf.DUMMYFUNCTION("""COMPUTED_VALUE"""),43892.0)</f>
        <v>43892</v>
      </c>
      <c r="B449" s="140">
        <f>IFERROR(__xludf.DUMMYFUNCTION("""COMPUTED_VALUE"""),1438834.0)</f>
        <v>1438834</v>
      </c>
      <c r="C449" s="140" t="str">
        <f>IFERROR(__xludf.DUMMYFUNCTION("""COMPUTED_VALUE"""),"EN")</f>
        <v>EN</v>
      </c>
      <c r="D449" s="140" t="str">
        <f>IFERROR(__xludf.DUMMYFUNCTION("""COMPUTED_VALUE"""),"Cisco ICND1 100-105 - CCENT Certification Bootcamp")</f>
        <v>Cisco ICND1 100-105 - CCENT Certification Bootcamp</v>
      </c>
      <c r="F449" t="str">
        <f>IFERROR(__xludf.DUMMYFUNCTION("""COMPUTED_VALUE"""),"Neil Anderson")</f>
        <v>Neil Anderson</v>
      </c>
      <c r="G449" s="140" t="str">
        <f>IFERROR(__xludf.DUMMYFUNCTION("""COMPUTED_VALUE"""),"Below Quality Standards- Outdated")</f>
        <v>Below Quality Standards- Outdated</v>
      </c>
      <c r="H449" s="142" t="str">
        <f>IFERROR(__xludf.DUMMYFUNCTION("""COMPUTED_VALUE"""),"IT Operations")</f>
        <v>IT Operations</v>
      </c>
      <c r="I449" s="140" t="str">
        <f>IFERROR(__xludf.DUMMYFUNCTION("""COMPUTED_VALUE"""),"IT Certifications")</f>
        <v>IT Certifications</v>
      </c>
      <c r="J449" s="142">
        <f>IFERROR(__xludf.DUMMYFUNCTION("""COMPUTED_VALUE"""),889978.0)</f>
        <v>889978</v>
      </c>
      <c r="K449" s="140" t="str">
        <f>IFERROR(__xludf.DUMMYFUNCTION("""COMPUTED_VALUE"""),"")</f>
        <v/>
      </c>
      <c r="L449">
        <f>IFERROR(__xludf.DUMMYFUNCTION("""COMPUTED_VALUE"""),1016734.0)</f>
        <v>1016734</v>
      </c>
      <c r="M449" s="140" t="str">
        <f>IFERROR(__xludf.DUMMYFUNCTION("""COMPUTED_VALUE"""),"Cisco CCNA 200-301 Exam: Complete Course with practical labs")</f>
        <v>Cisco CCNA 200-301 Exam: Complete Course with practical labs</v>
      </c>
    </row>
    <row r="450">
      <c r="A450" s="141">
        <f>IFERROR(__xludf.DUMMYFUNCTION("""COMPUTED_VALUE"""),43892.0)</f>
        <v>43892</v>
      </c>
      <c r="B450" s="140">
        <f>IFERROR(__xludf.DUMMYFUNCTION("""COMPUTED_VALUE"""),1438886.0)</f>
        <v>1438886</v>
      </c>
      <c r="C450" s="140" t="str">
        <f>IFERROR(__xludf.DUMMYFUNCTION("""COMPUTED_VALUE"""),"EN")</f>
        <v>EN</v>
      </c>
      <c r="D450" s="140" t="str">
        <f>IFERROR(__xludf.DUMMYFUNCTION("""COMPUTED_VALUE"""),"Cisco ICND2 200-105 - CCNA Bootcamp")</f>
        <v>Cisco ICND2 200-105 - CCNA Bootcamp</v>
      </c>
      <c r="F450" t="str">
        <f>IFERROR(__xludf.DUMMYFUNCTION("""COMPUTED_VALUE"""),"Neil Anderson")</f>
        <v>Neil Anderson</v>
      </c>
      <c r="G450" s="140" t="str">
        <f>IFERROR(__xludf.DUMMYFUNCTION("""COMPUTED_VALUE"""),"Below Quality Standards- Outdated")</f>
        <v>Below Quality Standards- Outdated</v>
      </c>
      <c r="H450" s="142" t="str">
        <f>IFERROR(__xludf.DUMMYFUNCTION("""COMPUTED_VALUE"""),"IT Operations")</f>
        <v>IT Operations</v>
      </c>
      <c r="I450" s="140" t="str">
        <f>IFERROR(__xludf.DUMMYFUNCTION("""COMPUTED_VALUE"""),"IT Certifications")</f>
        <v>IT Certifications</v>
      </c>
      <c r="J450" s="142">
        <f>IFERROR(__xludf.DUMMYFUNCTION("""COMPUTED_VALUE"""),1016736.0)</f>
        <v>1016736</v>
      </c>
      <c r="K450" s="140" t="str">
        <f>IFERROR(__xludf.DUMMYFUNCTION("""COMPUTED_VALUE"""),"Cisco CCNA 200-301 Complete Course: Packet Tracer Labs")</f>
        <v>Cisco CCNA 200-301 Complete Course: Packet Tracer Labs</v>
      </c>
      <c r="M450" s="140" t="str">
        <f>IFERROR(__xludf.DUMMYFUNCTION("""COMPUTED_VALUE"""),"")</f>
        <v/>
      </c>
    </row>
    <row r="451">
      <c r="A451" s="141">
        <f>IFERROR(__xludf.DUMMYFUNCTION("""COMPUTED_VALUE"""),43892.0)</f>
        <v>43892</v>
      </c>
      <c r="B451" s="140">
        <f>IFERROR(__xludf.DUMMYFUNCTION("""COMPUTED_VALUE"""),1059308.0)</f>
        <v>1059308</v>
      </c>
      <c r="C451" s="140" t="str">
        <f>IFERROR(__xludf.DUMMYFUNCTION("""COMPUTED_VALUE"""),"EN")</f>
        <v>EN</v>
      </c>
      <c r="D451" s="140" t="str">
        <f>IFERROR(__xludf.DUMMYFUNCTION("""COMPUTED_VALUE"""),"CCNA Security - 7 Days till your Cisco 210-260 exam - Labs")</f>
        <v>CCNA Security - 7 Days till your Cisco 210-260 exam - Labs</v>
      </c>
      <c r="F451" t="str">
        <f>IFERROR(__xludf.DUMMYFUNCTION("""COMPUTED_VALUE"""),"Marious Kuriata")</f>
        <v>Marious Kuriata</v>
      </c>
      <c r="G451" s="140" t="str">
        <f>IFERROR(__xludf.DUMMYFUNCTION("""COMPUTED_VALUE"""),"Below Quality Standards- Outdated")</f>
        <v>Below Quality Standards- Outdated</v>
      </c>
      <c r="H451" s="142" t="str">
        <f>IFERROR(__xludf.DUMMYFUNCTION("""COMPUTED_VALUE"""),"IT Operations")</f>
        <v>IT Operations</v>
      </c>
      <c r="I451" s="140" t="str">
        <f>IFERROR(__xludf.DUMMYFUNCTION("""COMPUTED_VALUE"""),"IT Certifications")</f>
        <v>IT Certifications</v>
      </c>
      <c r="J451" s="142">
        <f>IFERROR(__xludf.DUMMYFUNCTION("""COMPUTED_VALUE"""),522258.0)</f>
        <v>522258</v>
      </c>
      <c r="K451" s="140" t="str">
        <f>IFERROR(__xludf.DUMMYFUNCTION("""COMPUTED_VALUE"""),"Cisco Network Security Master Class")</f>
        <v>Cisco Network Security Master Class</v>
      </c>
      <c r="M451" s="140" t="str">
        <f>IFERROR(__xludf.DUMMYFUNCTION("""COMPUTED_VALUE"""),"")</f>
        <v/>
      </c>
    </row>
    <row r="452">
      <c r="A452" s="141">
        <f>IFERROR(__xludf.DUMMYFUNCTION("""COMPUTED_VALUE"""),43892.0)</f>
        <v>43892</v>
      </c>
      <c r="B452" s="140">
        <f>IFERROR(__xludf.DUMMYFUNCTION("""COMPUTED_VALUE"""),1356380.0)</f>
        <v>1356380</v>
      </c>
      <c r="C452" s="140" t="str">
        <f>IFERROR(__xludf.DUMMYFUNCTION("""COMPUTED_VALUE"""),"EN")</f>
        <v>EN</v>
      </c>
      <c r="D452" s="140" t="str">
        <f>IFERROR(__xludf.DUMMYFUNCTION("""COMPUTED_VALUE"""),"Chris Bryant's CCNA Practice Exam Pack #2 (ICND2 Topics)")</f>
        <v>Chris Bryant's CCNA Practice Exam Pack #2 (ICND2 Topics)</v>
      </c>
      <c r="F452" t="str">
        <f>IFERROR(__xludf.DUMMYFUNCTION("""COMPUTED_VALUE"""),"Chris Bryant")</f>
        <v>Chris Bryant</v>
      </c>
      <c r="G452" s="140" t="str">
        <f>IFERROR(__xludf.DUMMYFUNCTION("""COMPUTED_VALUE"""),"Below Quality Standards- Outdated")</f>
        <v>Below Quality Standards- Outdated</v>
      </c>
      <c r="H452" s="142" t="str">
        <f>IFERROR(__xludf.DUMMYFUNCTION("""COMPUTED_VALUE"""),"IT Operations")</f>
        <v>IT Operations</v>
      </c>
      <c r="I452" s="140" t="str">
        <f>IFERROR(__xludf.DUMMYFUNCTION("""COMPUTED_VALUE"""),"IT Certifications")</f>
        <v>IT Certifications</v>
      </c>
      <c r="J452" s="142">
        <f>IFERROR(__xludf.DUMMYFUNCTION("""COMPUTED_VALUE"""),1614078.0)</f>
        <v>1614078</v>
      </c>
      <c r="K452" s="140" t="str">
        <f>IFERROR(__xludf.DUMMYFUNCTION("""COMPUTED_VALUE"""),"Cisco CCNA Packet Tracer Ultimate labs: ICND2 Exam prep labs")</f>
        <v>Cisco CCNA Packet Tracer Ultimate labs: ICND2 Exam prep labs</v>
      </c>
      <c r="M452" s="140" t="str">
        <f>IFERROR(__xludf.DUMMYFUNCTION("""COMPUTED_VALUE"""),"")</f>
        <v/>
      </c>
    </row>
    <row r="453">
      <c r="A453" s="141">
        <f>IFERROR(__xludf.DUMMYFUNCTION("""COMPUTED_VALUE"""),43892.0)</f>
        <v>43892</v>
      </c>
      <c r="B453" s="140">
        <f>IFERROR(__xludf.DUMMYFUNCTION("""COMPUTED_VALUE"""),10812.0)</f>
        <v>10812</v>
      </c>
      <c r="C453" s="140" t="str">
        <f>IFERROR(__xludf.DUMMYFUNCTION("""COMPUTED_VALUE"""),"EN")</f>
        <v>EN</v>
      </c>
      <c r="D453" s="140" t="str">
        <f>IFERROR(__xludf.DUMMYFUNCTION("""COMPUTED_VALUE"""),"CCNA 2019 200-125 Video Boot Camp With Chris Bryant")</f>
        <v>CCNA 2019 200-125 Video Boot Camp With Chris Bryant</v>
      </c>
      <c r="F453" t="str">
        <f>IFERROR(__xludf.DUMMYFUNCTION("""COMPUTED_VALUE"""),"Chris Bryant")</f>
        <v>Chris Bryant</v>
      </c>
      <c r="G453" s="140" t="str">
        <f>IFERROR(__xludf.DUMMYFUNCTION("""COMPUTED_VALUE"""),"Below Quality Standards- Outdated")</f>
        <v>Below Quality Standards- Outdated</v>
      </c>
      <c r="H453" s="142" t="str">
        <f>IFERROR(__xludf.DUMMYFUNCTION("""COMPUTED_VALUE"""),"IT Operations")</f>
        <v>IT Operations</v>
      </c>
      <c r="I453" s="140" t="str">
        <f>IFERROR(__xludf.DUMMYFUNCTION("""COMPUTED_VALUE"""),"IT Certifications")</f>
        <v>IT Certifications</v>
      </c>
      <c r="J453" s="142">
        <f>IFERROR(__xludf.DUMMYFUNCTION("""COMPUTED_VALUE"""),369742.0)</f>
        <v>369742</v>
      </c>
      <c r="K453" s="140" t="str">
        <f>IFERROR(__xludf.DUMMYFUNCTION("""COMPUTED_VALUE"""),"Cisco CCNA 200-301 - Your Guide to Passing - 2021")</f>
        <v>Cisco CCNA 200-301 - Your Guide to Passing - 2021</v>
      </c>
      <c r="L453">
        <f>IFERROR(__xludf.DUMMYFUNCTION("""COMPUTED_VALUE"""),1203374.0)</f>
        <v>1203374</v>
      </c>
      <c r="M453" s="140" t="str">
        <f>IFERROR(__xludf.DUMMYFUNCTION("""COMPUTED_VALUE"""),"Cisco CCNA 200-301 – The Complete Guide to Getting Certified")</f>
        <v>Cisco CCNA 200-301 – The Complete Guide to Getting Certified</v>
      </c>
    </row>
    <row r="454">
      <c r="A454" s="141">
        <f>IFERROR(__xludf.DUMMYFUNCTION("""COMPUTED_VALUE"""),43892.0)</f>
        <v>43892</v>
      </c>
      <c r="B454" s="140">
        <f>IFERROR(__xludf.DUMMYFUNCTION("""COMPUTED_VALUE"""),27970.0)</f>
        <v>27970</v>
      </c>
      <c r="C454" s="140" t="str">
        <f>IFERROR(__xludf.DUMMYFUNCTION("""COMPUTED_VALUE"""),"EN")</f>
        <v>EN</v>
      </c>
      <c r="D454" s="140" t="str">
        <f>IFERROR(__xludf.DUMMYFUNCTION("""COMPUTED_VALUE"""),"CCNA Security 2019 210-260 Video Boot Camp With Chris Bryant")</f>
        <v>CCNA Security 2019 210-260 Video Boot Camp With Chris Bryant</v>
      </c>
      <c r="F454" t="str">
        <f>IFERROR(__xludf.DUMMYFUNCTION("""COMPUTED_VALUE"""),"Chris Bryant")</f>
        <v>Chris Bryant</v>
      </c>
      <c r="G454" s="140" t="str">
        <f>IFERROR(__xludf.DUMMYFUNCTION("""COMPUTED_VALUE"""),"Below Quality Standards- Outdated")</f>
        <v>Below Quality Standards- Outdated</v>
      </c>
      <c r="H454" s="142" t="str">
        <f>IFERROR(__xludf.DUMMYFUNCTION("""COMPUTED_VALUE"""),"IT Operations")</f>
        <v>IT Operations</v>
      </c>
      <c r="I454" s="140" t="str">
        <f>IFERROR(__xludf.DUMMYFUNCTION("""COMPUTED_VALUE"""),"IT Certifications")</f>
        <v>IT Certifications</v>
      </c>
      <c r="J454" s="142">
        <f>IFERROR(__xludf.DUMMYFUNCTION("""COMPUTED_VALUE"""),522258.0)</f>
        <v>522258</v>
      </c>
      <c r="K454" s="140" t="str">
        <f>IFERROR(__xludf.DUMMYFUNCTION("""COMPUTED_VALUE"""),"Cisco Network Security Master Class")</f>
        <v>Cisco Network Security Master Class</v>
      </c>
      <c r="M454" s="140" t="str">
        <f>IFERROR(__xludf.DUMMYFUNCTION("""COMPUTED_VALUE"""),"")</f>
        <v/>
      </c>
    </row>
    <row r="455">
      <c r="A455" s="141">
        <f>IFERROR(__xludf.DUMMYFUNCTION("""COMPUTED_VALUE"""),43892.0)</f>
        <v>43892</v>
      </c>
      <c r="B455" s="140">
        <f>IFERROR(__xludf.DUMMYFUNCTION("""COMPUTED_VALUE"""),8420.0)</f>
        <v>8420</v>
      </c>
      <c r="C455" s="140" t="str">
        <f>IFERROR(__xludf.DUMMYFUNCTION("""COMPUTED_VALUE"""),"EN")</f>
        <v>EN</v>
      </c>
      <c r="D455" s="140" t="str">
        <f>IFERROR(__xludf.DUMMYFUNCTION("""COMPUTED_VALUE"""),"CCNP ROUTE 300-101 Video Boot Camp With Chris Bryant")</f>
        <v>CCNP ROUTE 300-101 Video Boot Camp With Chris Bryant</v>
      </c>
      <c r="F455" t="str">
        <f>IFERROR(__xludf.DUMMYFUNCTION("""COMPUTED_VALUE"""),"Chris Bryant")</f>
        <v>Chris Bryant</v>
      </c>
      <c r="G455" s="140" t="str">
        <f>IFERROR(__xludf.DUMMYFUNCTION("""COMPUTED_VALUE"""),"Below Quality Standards- Outdated")</f>
        <v>Below Quality Standards- Outdated</v>
      </c>
      <c r="H455" s="142" t="str">
        <f>IFERROR(__xludf.DUMMYFUNCTION("""COMPUTED_VALUE"""),"IT Operations")</f>
        <v>IT Operations</v>
      </c>
      <c r="I455" s="140" t="str">
        <f>IFERROR(__xludf.DUMMYFUNCTION("""COMPUTED_VALUE"""),"IT Certifications")</f>
        <v>IT Certifications</v>
      </c>
      <c r="J455" s="142">
        <f>IFERROR(__xludf.DUMMYFUNCTION("""COMPUTED_VALUE"""),461362.0)</f>
        <v>461362</v>
      </c>
      <c r="K455" s="140" t="str">
        <f>IFERROR(__xludf.DUMMYFUNCTION("""COMPUTED_VALUE"""),"")</f>
        <v/>
      </c>
      <c r="M455" s="140" t="str">
        <f>IFERROR(__xludf.DUMMYFUNCTION("""COMPUTED_VALUE"""),"")</f>
        <v/>
      </c>
    </row>
    <row r="456">
      <c r="A456" s="141">
        <f>IFERROR(__xludf.DUMMYFUNCTION("""COMPUTED_VALUE"""),43892.0)</f>
        <v>43892</v>
      </c>
      <c r="B456" s="140">
        <f>IFERROR(__xludf.DUMMYFUNCTION("""COMPUTED_VALUE"""),16429.0)</f>
        <v>16429</v>
      </c>
      <c r="C456" s="140" t="str">
        <f>IFERROR(__xludf.DUMMYFUNCTION("""COMPUTED_VALUE"""),"EN")</f>
        <v>EN</v>
      </c>
      <c r="D456" s="140" t="str">
        <f>IFERROR(__xludf.DUMMYFUNCTION("""COMPUTED_VALUE"""),"CCNP All-in-1 Video Boot Camp With Chris Bryant")</f>
        <v>CCNP All-in-1 Video Boot Camp With Chris Bryant</v>
      </c>
      <c r="F456" t="str">
        <f>IFERROR(__xludf.DUMMYFUNCTION("""COMPUTED_VALUE"""),"Chris Bryant")</f>
        <v>Chris Bryant</v>
      </c>
      <c r="G456" s="140" t="str">
        <f>IFERROR(__xludf.DUMMYFUNCTION("""COMPUTED_VALUE"""),"Below Quality Standards- Outdated")</f>
        <v>Below Quality Standards- Outdated</v>
      </c>
      <c r="H456" s="142" t="str">
        <f>IFERROR(__xludf.DUMMYFUNCTION("""COMPUTED_VALUE"""),"IT Operations")</f>
        <v>IT Operations</v>
      </c>
      <c r="I456" s="140" t="str">
        <f>IFERROR(__xludf.DUMMYFUNCTION("""COMPUTED_VALUE"""),"IT Certifications")</f>
        <v>IT Certifications</v>
      </c>
      <c r="J456" s="142">
        <f>IFERROR(__xludf.DUMMYFUNCTION("""COMPUTED_VALUE"""),790516.0)</f>
        <v>790516</v>
      </c>
      <c r="K456" s="140" t="str">
        <f>IFERROR(__xludf.DUMMYFUNCTION("""COMPUTED_VALUE"""),"The Complete Cisco CCNA &amp; CCNP Networking Labs Course 2022")</f>
        <v>The Complete Cisco CCNA &amp; CCNP Networking Labs Course 2022</v>
      </c>
      <c r="M456" s="140" t="str">
        <f>IFERROR(__xludf.DUMMYFUNCTION("""COMPUTED_VALUE"""),"")</f>
        <v/>
      </c>
    </row>
    <row r="457">
      <c r="A457" s="141">
        <f>IFERROR(__xludf.DUMMYFUNCTION("""COMPUTED_VALUE"""),43892.0)</f>
        <v>43892</v>
      </c>
      <c r="B457" s="140">
        <f>IFERROR(__xludf.DUMMYFUNCTION("""COMPUTED_VALUE"""),9061.0)</f>
        <v>9061</v>
      </c>
      <c r="C457" s="140" t="str">
        <f>IFERROR(__xludf.DUMMYFUNCTION("""COMPUTED_VALUE"""),"EN")</f>
        <v>EN</v>
      </c>
      <c r="D457" s="140" t="str">
        <f>IFERROR(__xludf.DUMMYFUNCTION("""COMPUTED_VALUE"""),"CCNP ROUTE 2018 Free Video Boot Camp: BGP Success")</f>
        <v>CCNP ROUTE 2018 Free Video Boot Camp: BGP Success</v>
      </c>
      <c r="F457" t="str">
        <f>IFERROR(__xludf.DUMMYFUNCTION("""COMPUTED_VALUE"""),"Chris Bryant")</f>
        <v>Chris Bryant</v>
      </c>
      <c r="G457" s="140" t="str">
        <f>IFERROR(__xludf.DUMMYFUNCTION("""COMPUTED_VALUE"""),"Below Quality Standards- Outdated")</f>
        <v>Below Quality Standards- Outdated</v>
      </c>
      <c r="H457" s="142" t="str">
        <f>IFERROR(__xludf.DUMMYFUNCTION("""COMPUTED_VALUE"""),"IT Operations")</f>
        <v>IT Operations</v>
      </c>
      <c r="I457" s="140" t="str">
        <f>IFERROR(__xludf.DUMMYFUNCTION("""COMPUTED_VALUE"""),"IT Certifications")</f>
        <v>IT Certifications</v>
      </c>
      <c r="J457" s="142">
        <f>IFERROR(__xludf.DUMMYFUNCTION("""COMPUTED_VALUE"""),18573.0)</f>
        <v>18573</v>
      </c>
      <c r="K457" s="140" t="str">
        <f>IFERROR(__xludf.DUMMYFUNCTION("""COMPUTED_VALUE"""),"")</f>
        <v/>
      </c>
      <c r="M457" s="140" t="str">
        <f>IFERROR(__xludf.DUMMYFUNCTION("""COMPUTED_VALUE"""),"")</f>
        <v/>
      </c>
    </row>
    <row r="458">
      <c r="A458" s="141">
        <f>IFERROR(__xludf.DUMMYFUNCTION("""COMPUTED_VALUE"""),43892.0)</f>
        <v>43892</v>
      </c>
      <c r="B458" s="140">
        <f>IFERROR(__xludf.DUMMYFUNCTION("""COMPUTED_VALUE"""),8746.0)</f>
        <v>8746</v>
      </c>
      <c r="C458" s="140" t="str">
        <f>IFERROR(__xludf.DUMMYFUNCTION("""COMPUTED_VALUE"""),"EN")</f>
        <v>EN</v>
      </c>
      <c r="D458" s="140" t="str">
        <f>IFERROR(__xludf.DUMMYFUNCTION("""COMPUTED_VALUE"""),"CCNP SWITCH 300-115 Video Boot Camp With Chris Bryant")</f>
        <v>CCNP SWITCH 300-115 Video Boot Camp With Chris Bryant</v>
      </c>
      <c r="F458" t="str">
        <f>IFERROR(__xludf.DUMMYFUNCTION("""COMPUTED_VALUE"""),"Chris Bryant")</f>
        <v>Chris Bryant</v>
      </c>
      <c r="G458" s="140" t="str">
        <f>IFERROR(__xludf.DUMMYFUNCTION("""COMPUTED_VALUE"""),"Below Quality Standards- Outdated")</f>
        <v>Below Quality Standards- Outdated</v>
      </c>
      <c r="H458" s="142" t="str">
        <f>IFERROR(__xludf.DUMMYFUNCTION("""COMPUTED_VALUE"""),"IT Operations")</f>
        <v>IT Operations</v>
      </c>
      <c r="I458" s="140" t="str">
        <f>IFERROR(__xludf.DUMMYFUNCTION("""COMPUTED_VALUE"""),"IT Certifications")</f>
        <v>IT Certifications</v>
      </c>
      <c r="J458" s="142">
        <f>IFERROR(__xludf.DUMMYFUNCTION("""COMPUTED_VALUE"""),315666.0)</f>
        <v>315666</v>
      </c>
      <c r="K458" s="140" t="str">
        <f>IFERROR(__xludf.DUMMYFUNCTION("""COMPUTED_VALUE"""),"")</f>
        <v/>
      </c>
      <c r="M458" s="140" t="str">
        <f>IFERROR(__xludf.DUMMYFUNCTION("""COMPUTED_VALUE"""),"")</f>
        <v/>
      </c>
    </row>
    <row r="459">
      <c r="A459" s="141">
        <f>IFERROR(__xludf.DUMMYFUNCTION("""COMPUTED_VALUE"""),43892.0)</f>
        <v>43892</v>
      </c>
      <c r="B459" s="140">
        <f>IFERROR(__xludf.DUMMYFUNCTION("""COMPUTED_VALUE"""),8776.0)</f>
        <v>8776</v>
      </c>
      <c r="C459" s="140" t="str">
        <f>IFERROR(__xludf.DUMMYFUNCTION("""COMPUTED_VALUE"""),"EN")</f>
        <v>EN</v>
      </c>
      <c r="D459" s="140" t="str">
        <f>IFERROR(__xludf.DUMMYFUNCTION("""COMPUTED_VALUE"""),"CCNP TSHOOT 300-135 2019 Video Boot Camp with Chris Bryant")</f>
        <v>CCNP TSHOOT 300-135 2019 Video Boot Camp with Chris Bryant</v>
      </c>
      <c r="F459" t="str">
        <f>IFERROR(__xludf.DUMMYFUNCTION("""COMPUTED_VALUE"""),"Chris Bryant")</f>
        <v>Chris Bryant</v>
      </c>
      <c r="G459" s="140" t="str">
        <f>IFERROR(__xludf.DUMMYFUNCTION("""COMPUTED_VALUE"""),"Below Quality Standards- Outdated")</f>
        <v>Below Quality Standards- Outdated</v>
      </c>
      <c r="H459" s="142" t="str">
        <f>IFERROR(__xludf.DUMMYFUNCTION("""COMPUTED_VALUE"""),"IT Operations")</f>
        <v>IT Operations</v>
      </c>
      <c r="I459" s="140" t="str">
        <f>IFERROR(__xludf.DUMMYFUNCTION("""COMPUTED_VALUE"""),"IT Certifications")</f>
        <v>IT Certifications</v>
      </c>
      <c r="J459" s="142">
        <f>IFERROR(__xludf.DUMMYFUNCTION("""COMPUTED_VALUE"""),1715338.0)</f>
        <v>1715338</v>
      </c>
      <c r="K459" s="140" t="str">
        <f>IFERROR(__xludf.DUMMYFUNCTION("""COMPUTED_VALUE"""),"")</f>
        <v/>
      </c>
      <c r="M459" s="140" t="str">
        <f>IFERROR(__xludf.DUMMYFUNCTION("""COMPUTED_VALUE"""),"")</f>
        <v/>
      </c>
    </row>
    <row r="460">
      <c r="A460" s="141">
        <f>IFERROR(__xludf.DUMMYFUNCTION("""COMPUTED_VALUE"""),43892.0)</f>
        <v>43892</v>
      </c>
      <c r="B460" s="140">
        <f>IFERROR(__xludf.DUMMYFUNCTION("""COMPUTED_VALUE"""),412790.0)</f>
        <v>412790</v>
      </c>
      <c r="C460" s="140" t="str">
        <f>IFERROR(__xludf.DUMMYFUNCTION("""COMPUTED_VALUE"""),"EN")</f>
        <v>EN</v>
      </c>
      <c r="D460" s="140" t="str">
        <f>IFERROR(__xludf.DUMMYFUNCTION("""COMPUTED_VALUE"""),"Free CCNP SWITCH Video Boot Camp: HSRP And Security")</f>
        <v>Free CCNP SWITCH Video Boot Camp: HSRP And Security</v>
      </c>
      <c r="F460" t="str">
        <f>IFERROR(__xludf.DUMMYFUNCTION("""COMPUTED_VALUE"""),"Chris Bryant")</f>
        <v>Chris Bryant</v>
      </c>
      <c r="G460" s="140" t="str">
        <f>IFERROR(__xludf.DUMMYFUNCTION("""COMPUTED_VALUE"""),"Below Quality Standards- Outdated")</f>
        <v>Below Quality Standards- Outdated</v>
      </c>
      <c r="H460" s="142" t="str">
        <f>IFERROR(__xludf.DUMMYFUNCTION("""COMPUTED_VALUE"""),"IT Operations")</f>
        <v>IT Operations</v>
      </c>
      <c r="I460" s="140" t="str">
        <f>IFERROR(__xludf.DUMMYFUNCTION("""COMPUTED_VALUE"""),"IT Certifications")</f>
        <v>IT Certifications</v>
      </c>
      <c r="K460" s="140" t="str">
        <f>IFERROR(__xludf.DUMMYFUNCTION("""COMPUTED_VALUE"""),"")</f>
        <v/>
      </c>
      <c r="M460" s="140" t="str">
        <f>IFERROR(__xludf.DUMMYFUNCTION("""COMPUTED_VALUE"""),"")</f>
        <v/>
      </c>
      <c r="N460" s="140" t="str">
        <f>IFERROR(__xludf.DUMMYFUNCTION("""COMPUTED_VALUE"""),"No Alternatives in Collection- 12/11")</f>
        <v>No Alternatives in Collection- 12/11</v>
      </c>
    </row>
    <row r="461">
      <c r="A461" s="141">
        <f>IFERROR(__xludf.DUMMYFUNCTION("""COMPUTED_VALUE"""),43892.0)</f>
        <v>43892</v>
      </c>
      <c r="B461" s="140">
        <f>IFERROR(__xludf.DUMMYFUNCTION("""COMPUTED_VALUE"""),869138.0)</f>
        <v>869138</v>
      </c>
      <c r="C461" s="140" t="str">
        <f>IFERROR(__xludf.DUMMYFUNCTION("""COMPUTED_VALUE"""),"EN")</f>
        <v>EN</v>
      </c>
      <c r="D461" s="140" t="str">
        <f>IFERROR(__xludf.DUMMYFUNCTION("""COMPUTED_VALUE"""),"Typography for Designers &amp; Developers - Don't suck at design")</f>
        <v>Typography for Designers &amp; Developers - Don't suck at design</v>
      </c>
      <c r="F461" t="str">
        <f>IFERROR(__xludf.DUMMYFUNCTION("""COMPUTED_VALUE"""),"Muhammad Ahsan Pervaiz")</f>
        <v>Muhammad Ahsan Pervaiz</v>
      </c>
      <c r="G461" s="140" t="str">
        <f>IFERROR(__xludf.DUMMYFUNCTION("""COMPUTED_VALUE"""),"Instructor Request- Opted Out")</f>
        <v>Instructor Request- Opted Out</v>
      </c>
      <c r="H461" s="142" t="str">
        <f>IFERROR(__xludf.DUMMYFUNCTION("""COMPUTED_VALUE"""),"Design")</f>
        <v>Design</v>
      </c>
      <c r="I461" s="140" t="str">
        <f>IFERROR(__xludf.DUMMYFUNCTION("""COMPUTED_VALUE"""),"Graphic Design")</f>
        <v>Graphic Design</v>
      </c>
      <c r="K461" s="140" t="str">
        <f>IFERROR(__xludf.DUMMYFUNCTION("""COMPUTED_VALUE"""),"")</f>
        <v/>
      </c>
      <c r="M461" s="140" t="str">
        <f>IFERROR(__xludf.DUMMYFUNCTION("""COMPUTED_VALUE"""),"")</f>
        <v/>
      </c>
      <c r="N461" s="140" t="str">
        <f>IFERROR(__xludf.DUMMYFUNCTION("""COMPUTED_VALUE"""),"No Alternatives in Collection - 9/11")</f>
        <v>No Alternatives in Collection - 9/11</v>
      </c>
    </row>
    <row r="462">
      <c r="A462" s="141">
        <f>IFERROR(__xludf.DUMMYFUNCTION("""COMPUTED_VALUE"""),43892.0)</f>
        <v>43892</v>
      </c>
      <c r="B462" s="140">
        <f>IFERROR(__xludf.DUMMYFUNCTION("""COMPUTED_VALUE"""),1121676.0)</f>
        <v>1121676</v>
      </c>
      <c r="C462" s="140" t="str">
        <f>IFERROR(__xludf.DUMMYFUNCTION("""COMPUTED_VALUE"""),"EN")</f>
        <v>EN</v>
      </c>
      <c r="D462" s="140" t="str">
        <f>IFERROR(__xludf.DUMMYFUNCTION("""COMPUTED_VALUE"""),"Workflow of Modern Web Design from Wireframes to Style Guide")</f>
        <v>Workflow of Modern Web Design from Wireframes to Style Guide</v>
      </c>
      <c r="F462" t="str">
        <f>IFERROR(__xludf.DUMMYFUNCTION("""COMPUTED_VALUE"""),"Muhammad Ahsan Pervaiz")</f>
        <v>Muhammad Ahsan Pervaiz</v>
      </c>
      <c r="G462" s="140" t="str">
        <f>IFERROR(__xludf.DUMMYFUNCTION("""COMPUTED_VALUE"""),"Instructor Request- Opted Out")</f>
        <v>Instructor Request- Opted Out</v>
      </c>
      <c r="H462" s="142" t="str">
        <f>IFERROR(__xludf.DUMMYFUNCTION("""COMPUTED_VALUE"""),"Design")</f>
        <v>Design</v>
      </c>
      <c r="I462" s="140" t="str">
        <f>IFERROR(__xludf.DUMMYFUNCTION("""COMPUTED_VALUE"""),"Web Design")</f>
        <v>Web Design</v>
      </c>
      <c r="K462" s="140" t="str">
        <f>IFERROR(__xludf.DUMMYFUNCTION("""COMPUTED_VALUE"""),"")</f>
        <v/>
      </c>
      <c r="M462" s="140" t="str">
        <f>IFERROR(__xludf.DUMMYFUNCTION("""COMPUTED_VALUE"""),"")</f>
        <v/>
      </c>
      <c r="N462" s="140" t="str">
        <f>IFERROR(__xludf.DUMMYFUNCTION("""COMPUTED_VALUE"""),"No Alternatives in Collection - 9/11")</f>
        <v>No Alternatives in Collection - 9/11</v>
      </c>
    </row>
    <row r="463">
      <c r="A463" s="141">
        <f>IFERROR(__xludf.DUMMYFUNCTION("""COMPUTED_VALUE"""),43892.0)</f>
        <v>43892</v>
      </c>
      <c r="B463" s="140">
        <f>IFERROR(__xludf.DUMMYFUNCTION("""COMPUTED_VALUE"""),1420148.0)</f>
        <v>1420148</v>
      </c>
      <c r="C463" s="140" t="str">
        <f>IFERROR(__xludf.DUMMYFUNCTION("""COMPUTED_VALUE"""),"EN")</f>
        <v>EN</v>
      </c>
      <c r="D463" s="140" t="str">
        <f>IFERROR(__xludf.DUMMYFUNCTION("""COMPUTED_VALUE"""),"Building Serverless Web Applications on AWS")</f>
        <v>Building Serverless Web Applications on AWS</v>
      </c>
      <c r="F463" t="str">
        <f>IFERROR(__xludf.DUMMYFUNCTION("""COMPUTED_VALUE"""),"AWS, a subsidiary of Amazon.com")</f>
        <v>AWS, a subsidiary of Amazon.com</v>
      </c>
      <c r="G463" s="140" t="str">
        <f>IFERROR(__xludf.DUMMYFUNCTION("""COMPUTED_VALUE"""),"Instructor Request- Outdated")</f>
        <v>Instructor Request- Outdated</v>
      </c>
      <c r="H463" s="142" t="str">
        <f>IFERROR(__xludf.DUMMYFUNCTION("""COMPUTED_VALUE"""),"Cloud Computing")</f>
        <v>Cloud Computing</v>
      </c>
      <c r="I463" s="140" t="str">
        <f>IFERROR(__xludf.DUMMYFUNCTION("""COMPUTED_VALUE"""),"Cloud Development")</f>
        <v>Cloud Development</v>
      </c>
      <c r="J463" s="142">
        <f>IFERROR(__xludf.DUMMYFUNCTION("""COMPUTED_VALUE"""),1241254.0)</f>
        <v>1241254</v>
      </c>
      <c r="K463" s="140" t="str">
        <f>IFERROR(__xludf.DUMMYFUNCTION("""COMPUTED_VALUE"""),"AWS Serverless APIs &amp; Apps - A Complete Introduction")</f>
        <v>AWS Serverless APIs &amp; Apps - A Complete Introduction</v>
      </c>
      <c r="M463" s="140" t="str">
        <f>IFERROR(__xludf.DUMMYFUNCTION("""COMPUTED_VALUE"""),"")</f>
        <v/>
      </c>
    </row>
    <row r="464">
      <c r="A464" s="141">
        <f>IFERROR(__xludf.DUMMYFUNCTION("""COMPUTED_VALUE"""),43892.0)</f>
        <v>43892</v>
      </c>
      <c r="B464" s="140">
        <f>IFERROR(__xludf.DUMMYFUNCTION("""COMPUTED_VALUE"""),1263554.0)</f>
        <v>1263554</v>
      </c>
      <c r="C464" s="140" t="str">
        <f>IFERROR(__xludf.DUMMYFUNCTION("""COMPUTED_VALUE"""),"EN")</f>
        <v>EN</v>
      </c>
      <c r="D464" s="140" t="str">
        <f>IFERROR(__xludf.DUMMYFUNCTION("""COMPUTED_VALUE"""),"Instagram Marketing | Grow Your Audience With Instagram 2019")</f>
        <v>Instagram Marketing | Grow Your Audience With Instagram 2019</v>
      </c>
      <c r="F464" t="str">
        <f>IFERROR(__xludf.DUMMYFUNCTION("""COMPUTED_VALUE"""),"BlackBrick ©️")</f>
        <v>BlackBrick ©️</v>
      </c>
      <c r="G464" s="140" t="str">
        <f>IFERROR(__xludf.DUMMYFUNCTION("""COMPUTED_VALUE"""),"Instructor Request- Opted Out")</f>
        <v>Instructor Request- Opted Out</v>
      </c>
      <c r="H464" s="142" t="str">
        <f>IFERROR(__xludf.DUMMYFUNCTION("""COMPUTED_VALUE"""),"Marketing")</f>
        <v>Marketing</v>
      </c>
      <c r="I464" s="140" t="str">
        <f>IFERROR(__xludf.DUMMYFUNCTION("""COMPUTED_VALUE"""),"Social Media Marketing")</f>
        <v>Social Media Marketing</v>
      </c>
      <c r="J464" s="142">
        <f>IFERROR(__xludf.DUMMYFUNCTION("""COMPUTED_VALUE"""),484606.0)</f>
        <v>484606</v>
      </c>
      <c r="K464" s="140" t="str">
        <f>IFERROR(__xludf.DUMMYFUNCTION("""COMPUTED_VALUE"""),"Instagram Marketing 2021: Complete Guide To Instagram Growth")</f>
        <v>Instagram Marketing 2021: Complete Guide To Instagram Growth</v>
      </c>
      <c r="L464">
        <f>IFERROR(__xludf.DUMMYFUNCTION("""COMPUTED_VALUE"""),1580296.0)</f>
        <v>1580296</v>
      </c>
      <c r="M464" s="140" t="str">
        <f>IFERROR(__xludf.DUMMYFUNCTION("""COMPUTED_VALUE"""),"2020 Complete Instagram Marketing Masterclass: Become a Pro")</f>
        <v>2020 Complete Instagram Marketing Masterclass: Become a Pro</v>
      </c>
    </row>
    <row r="465">
      <c r="A465" s="141">
        <f>IFERROR(__xludf.DUMMYFUNCTION("""COMPUTED_VALUE"""),43892.0)</f>
        <v>43892</v>
      </c>
      <c r="B465" s="140">
        <f>IFERROR(__xludf.DUMMYFUNCTION("""COMPUTED_VALUE"""),544634.0)</f>
        <v>544634</v>
      </c>
      <c r="C465" s="140" t="str">
        <f>IFERROR(__xludf.DUMMYFUNCTION("""COMPUTED_VALUE"""),"EN")</f>
        <v>EN</v>
      </c>
      <c r="D465" s="140" t="str">
        <f>IFERROR(__xludf.DUMMYFUNCTION("""COMPUTED_VALUE"""),"Leadership | How to Make Best Learning Environment Choices")</f>
        <v>Leadership | How to Make Best Learning Environment Choices</v>
      </c>
      <c r="F465" t="str">
        <f>IFERROR(__xludf.DUMMYFUNCTION("""COMPUTED_VALUE"""),"Learoy Tonight")</f>
        <v>Learoy Tonight</v>
      </c>
      <c r="G465" s="140" t="str">
        <f>IFERROR(__xludf.DUMMYFUNCTION("""COMPUTED_VALUE"""),"Below Quality Standards- 3 Flags")</f>
        <v>Below Quality Standards- 3 Flags</v>
      </c>
      <c r="H465" s="142" t="str">
        <f>IFERROR(__xludf.DUMMYFUNCTION("""COMPUTED_VALUE"""),"Human Resources")</f>
        <v>Human Resources</v>
      </c>
      <c r="I465" s="140" t="str">
        <f>IFERROR(__xludf.DUMMYFUNCTION("""COMPUTED_VALUE"""),"Learning &amp; Development")</f>
        <v>Learning &amp; Development</v>
      </c>
      <c r="J465" s="142">
        <f>IFERROR(__xludf.DUMMYFUNCTION("""COMPUTED_VALUE"""),613808.0)</f>
        <v>613808</v>
      </c>
      <c r="K465" s="140" t="str">
        <f>IFERROR(__xludf.DUMMYFUNCTION("""COMPUTED_VALUE"""),"Leadership: Practical Leadership Skills")</f>
        <v>Leadership: Practical Leadership Skills</v>
      </c>
      <c r="M465" s="140" t="str">
        <f>IFERROR(__xludf.DUMMYFUNCTION("""COMPUTED_VALUE"""),"")</f>
        <v/>
      </c>
    </row>
    <row r="466">
      <c r="A466" s="141">
        <f>IFERROR(__xludf.DUMMYFUNCTION("""COMPUTED_VALUE"""),43892.0)</f>
        <v>43892</v>
      </c>
      <c r="B466" s="140">
        <f>IFERROR(__xludf.DUMMYFUNCTION("""COMPUTED_VALUE"""),490378.0)</f>
        <v>490378</v>
      </c>
      <c r="C466" s="140" t="str">
        <f>IFERROR(__xludf.DUMMYFUNCTION("""COMPUTED_VALUE"""),"EN")</f>
        <v>EN</v>
      </c>
      <c r="D466" s="140" t="str">
        <f>IFERROR(__xludf.DUMMYFUNCTION("""COMPUTED_VALUE"""),"Build Upwards Relationships &amp; Manage Your Career")</f>
        <v>Build Upwards Relationships &amp; Manage Your Career</v>
      </c>
      <c r="F466" t="str">
        <f>IFERROR(__xludf.DUMMYFUNCTION("""COMPUTED_VALUE"""),"Eleventure Team")</f>
        <v>Eleventure Team</v>
      </c>
      <c r="G466" s="140" t="str">
        <f>IFERROR(__xludf.DUMMYFUNCTION("""COMPUTED_VALUE"""),"Below Quality Standards- Low Rating")</f>
        <v>Below Quality Standards- Low Rating</v>
      </c>
      <c r="H466" s="142" t="str">
        <f>IFERROR(__xludf.DUMMYFUNCTION("""COMPUTED_VALUE"""),"Leadership &amp; Management")</f>
        <v>Leadership &amp; Management</v>
      </c>
      <c r="I466" s="140" t="str">
        <f>IFERROR(__xludf.DUMMYFUNCTION("""COMPUTED_VALUE"""),"Management")</f>
        <v>Management</v>
      </c>
      <c r="J466" s="142">
        <f>IFERROR(__xludf.DUMMYFUNCTION("""COMPUTED_VALUE"""),2050241.0)</f>
        <v>2050241</v>
      </c>
      <c r="K466" s="140" t="str">
        <f>IFERROR(__xludf.DUMMYFUNCTION("""COMPUTED_VALUE"""),"Career Navigator: A Manager's Guide to Career Development")</f>
        <v>Career Navigator: A Manager's Guide to Career Development</v>
      </c>
      <c r="M466" s="140" t="str">
        <f>IFERROR(__xludf.DUMMYFUNCTION("""COMPUTED_VALUE"""),"")</f>
        <v/>
      </c>
    </row>
    <row r="467">
      <c r="A467" s="141">
        <f>IFERROR(__xludf.DUMMYFUNCTION("""COMPUTED_VALUE"""),43892.0)</f>
        <v>43892</v>
      </c>
      <c r="B467" s="140">
        <f>IFERROR(__xludf.DUMMYFUNCTION("""COMPUTED_VALUE"""),1464714.0)</f>
        <v>1464714</v>
      </c>
      <c r="C467" s="140" t="str">
        <f>IFERROR(__xludf.DUMMYFUNCTION("""COMPUTED_VALUE"""),"EN")</f>
        <v>EN</v>
      </c>
      <c r="D467" s="140" t="str">
        <f>IFERROR(__xludf.DUMMYFUNCTION("""COMPUTED_VALUE"""),"Calculus 1 Fundamentals")</f>
        <v>Calculus 1 Fundamentals</v>
      </c>
      <c r="F467" t="str">
        <f>IFERROR(__xludf.DUMMYFUNCTION("""COMPUTED_VALUE"""),"Tanmay Varshney")</f>
        <v>Tanmay Varshney</v>
      </c>
      <c r="G467" s="140" t="str">
        <f>IFERROR(__xludf.DUMMYFUNCTION("""COMPUTED_VALUE"""),"Below Quality Standards- 3 Flags")</f>
        <v>Below Quality Standards- 3 Flags</v>
      </c>
      <c r="H467" s="142" t="str">
        <f>IFERROR(__xludf.DUMMYFUNCTION("""COMPUTED_VALUE"""),"Personal Development")</f>
        <v>Personal Development</v>
      </c>
      <c r="I467" s="140" t="str">
        <f>IFERROR(__xludf.DUMMYFUNCTION("""COMPUTED_VALUE"""),"Personal Growth")</f>
        <v>Personal Growth</v>
      </c>
      <c r="J467" s="142">
        <f>IFERROR(__xludf.DUMMYFUNCTION("""COMPUTED_VALUE"""),117490.0)</f>
        <v>117490</v>
      </c>
      <c r="K467" s="140" t="str">
        <f>IFERROR(__xludf.DUMMYFUNCTION("""COMPUTED_VALUE"""),"Become a Calculus 1 Master")</f>
        <v>Become a Calculus 1 Master</v>
      </c>
      <c r="M467" s="140" t="str">
        <f>IFERROR(__xludf.DUMMYFUNCTION("""COMPUTED_VALUE"""),"")</f>
        <v/>
      </c>
    </row>
    <row r="468">
      <c r="A468" s="141">
        <f>IFERROR(__xludf.DUMMYFUNCTION("""COMPUTED_VALUE"""),43892.0)</f>
        <v>43892</v>
      </c>
      <c r="B468" s="140">
        <f>IFERROR(__xludf.DUMMYFUNCTION("""COMPUTED_VALUE"""),891774.0)</f>
        <v>891774</v>
      </c>
      <c r="C468" s="140" t="str">
        <f>IFERROR(__xludf.DUMMYFUNCTION("""COMPUTED_VALUE"""),"EN")</f>
        <v>EN</v>
      </c>
      <c r="D468" s="140" t="str">
        <f>IFERROR(__xludf.DUMMYFUNCTION("""COMPUTED_VALUE"""),"Introduction to Stata - Hands on!")</f>
        <v>Introduction to Stata - Hands on!</v>
      </c>
      <c r="F468" t="str">
        <f>IFERROR(__xludf.DUMMYFUNCTION("""COMPUTED_VALUE"""),"Lucas Reis")</f>
        <v>Lucas Reis</v>
      </c>
      <c r="G468" s="140" t="str">
        <f>IFERROR(__xludf.DUMMYFUNCTION("""COMPUTED_VALUE"""),"Instructor Request- No Detail")</f>
        <v>Instructor Request- No Detail</v>
      </c>
      <c r="H468" s="142" t="str">
        <f>IFERROR(__xludf.DUMMYFUNCTION("""COMPUTED_VALUE"""),"Data Science")</f>
        <v>Data Science</v>
      </c>
      <c r="I468" s="140" t="str">
        <f>IFERROR(__xludf.DUMMYFUNCTION("""COMPUTED_VALUE"""),"Machine Learning")</f>
        <v>Machine Learning</v>
      </c>
      <c r="J468" s="142">
        <f>IFERROR(__xludf.DUMMYFUNCTION("""COMPUTED_VALUE"""),2039164.0)</f>
        <v>2039164</v>
      </c>
      <c r="K468" s="140" t="str">
        <f>IFERROR(__xludf.DUMMYFUNCTION("""COMPUTED_VALUE"""),"")</f>
        <v/>
      </c>
      <c r="M468" s="140" t="str">
        <f>IFERROR(__xludf.DUMMYFUNCTION("""COMPUTED_VALUE"""),"")</f>
        <v/>
      </c>
    </row>
    <row r="469">
      <c r="A469" s="141">
        <f>IFERROR(__xludf.DUMMYFUNCTION("""COMPUTED_VALUE"""),43861.0)</f>
        <v>43861</v>
      </c>
      <c r="B469" s="140">
        <f>IFERROR(__xludf.DUMMYFUNCTION("""COMPUTED_VALUE"""),817440.0)</f>
        <v>817440</v>
      </c>
      <c r="C469" s="140" t="str">
        <f>IFERROR(__xludf.DUMMYFUNCTION("""COMPUTED_VALUE"""),"EN")</f>
        <v>EN</v>
      </c>
      <c r="D469" s="140" t="str">
        <f>IFERROR(__xludf.DUMMYFUNCTION("""COMPUTED_VALUE"""),"TeamCity: continuous integration &amp; DevOps with Java and .NET")</f>
        <v>TeamCity: continuous integration &amp; DevOps with Java and .NET</v>
      </c>
      <c r="F469" s="142" t="str">
        <f>IFERROR(__xludf.DUMMYFUNCTION("""COMPUTED_VALUE"""),"TetraNoodle Team")</f>
        <v>TetraNoodle Team</v>
      </c>
      <c r="G469" t="str">
        <f>IFERROR(__xludf.DUMMYFUNCTION("""COMPUTED_VALUE"""),"Below Quality Standards- 3 Flags")</f>
        <v>Below Quality Standards- 3 Flags</v>
      </c>
      <c r="H469" s="142" t="str">
        <f>IFERROR(__xludf.DUMMYFUNCTION("""COMPUTED_VALUE"""),"Development")</f>
        <v>Development</v>
      </c>
      <c r="I469" s="140" t="str">
        <f>IFERROR(__xludf.DUMMYFUNCTION("""COMPUTED_VALUE"""),"Development Tools")</f>
        <v>Development Tools</v>
      </c>
      <c r="J469">
        <f>IFERROR(__xludf.DUMMYFUNCTION("""COMPUTED_VALUE"""),1488132.0)</f>
        <v>1488132</v>
      </c>
      <c r="K469" s="140" t="str">
        <f>IFERROR(__xludf.DUMMYFUNCTION("""COMPUTED_VALUE"""),"CDI/CD with TeamCity From Beginner to Advanced")</f>
        <v>CDI/CD with TeamCity From Beginner to Advanced</v>
      </c>
      <c r="M469" s="140" t="str">
        <f>IFERROR(__xludf.DUMMYFUNCTION("""COMPUTED_VALUE"""),"")</f>
        <v/>
      </c>
    </row>
    <row r="470">
      <c r="A470" s="141">
        <f>IFERROR(__xludf.DUMMYFUNCTION("""COMPUTED_VALUE"""),43861.0)</f>
        <v>43861</v>
      </c>
      <c r="B470" s="145">
        <f>IFERROR(__xludf.DUMMYFUNCTION("""COMPUTED_VALUE"""),1734224.0)</f>
        <v>1734224</v>
      </c>
      <c r="C470" s="140" t="str">
        <f>IFERROR(__xludf.DUMMYFUNCTION("""COMPUTED_VALUE"""),"DE")</f>
        <v>DE</v>
      </c>
      <c r="D470" s="140" t="str">
        <f>IFERROR(__xludf.DUMMYFUNCTION("""COMPUTED_VALUE"""),"Die Datenschutzgrundverordnung (DSGVO) richtig anwenden!")</f>
        <v>Die Datenschutzgrundverordnung (DSGVO) richtig anwenden!</v>
      </c>
      <c r="E470" s="140" t="str">
        <f>IFERROR(__xludf.DUMMYFUNCTION("""COMPUTED_VALUE"""),"This Privacy Regulation (DSGVO) apply right!")</f>
        <v>This Privacy Regulation (DSGVO) apply right!</v>
      </c>
      <c r="F470" s="142" t="str">
        <f>IFERROR(__xludf.DUMMYFUNCTION("""COMPUTED_VALUE"""),"SONIC Performance Support - E-Learning Experts")</f>
        <v>SONIC Performance Support - E-Learning Experts</v>
      </c>
      <c r="G470" t="str">
        <f>IFERROR(__xludf.DUMMYFUNCTION("""COMPUTED_VALUE"""),"Instructor Request- No Detail")</f>
        <v>Instructor Request- No Detail</v>
      </c>
      <c r="H470" s="142" t="str">
        <f>IFERROR(__xludf.DUMMYFUNCTION("""COMPUTED_VALUE"""),"IT Operations")</f>
        <v>IT Operations</v>
      </c>
      <c r="I470" s="140" t="str">
        <f>IFERROR(__xludf.DUMMYFUNCTION("""COMPUTED_VALUE"""),"Network &amp; Security")</f>
        <v>Network &amp; Security</v>
      </c>
      <c r="K470" s="140" t="str">
        <f>IFERROR(__xludf.DUMMYFUNCTION("""COMPUTED_VALUE"""),"")</f>
        <v/>
      </c>
      <c r="M470" s="140" t="str">
        <f>IFERROR(__xludf.DUMMYFUNCTION("""COMPUTED_VALUE"""),"")</f>
        <v/>
      </c>
    </row>
    <row r="471">
      <c r="A471" s="141">
        <f>IFERROR(__xludf.DUMMYFUNCTION("""COMPUTED_VALUE"""),43861.0)</f>
        <v>43861</v>
      </c>
      <c r="B471" s="140">
        <f>IFERROR(__xludf.DUMMYFUNCTION("""COMPUTED_VALUE"""),1536116.0)</f>
        <v>1536116</v>
      </c>
      <c r="C471" s="140" t="str">
        <f>IFERROR(__xludf.DUMMYFUNCTION("""COMPUTED_VALUE"""),"EN")</f>
        <v>EN</v>
      </c>
      <c r="D471" s="140" t="str">
        <f>IFERROR(__xludf.DUMMYFUNCTION("""COMPUTED_VALUE"""),"Sleep and insomnia: Improving health with CBT and meditation")</f>
        <v>Sleep and insomnia: Improving health with CBT and meditation</v>
      </c>
      <c r="F471" s="142" t="str">
        <f>IFERROR(__xludf.DUMMYFUNCTION("""COMPUTED_VALUE"""),"MedScreen - Preventative Medicine")</f>
        <v>MedScreen - Preventative Medicine</v>
      </c>
      <c r="G471" t="str">
        <f>IFERROR(__xludf.DUMMYFUNCTION("""COMPUTED_VALUE"""),"Instructor Request- Opted Out")</f>
        <v>Instructor Request- Opted Out</v>
      </c>
      <c r="H471" s="142" t="str">
        <f>IFERROR(__xludf.DUMMYFUNCTION("""COMPUTED_VALUE"""),"Personal Development")</f>
        <v>Personal Development</v>
      </c>
      <c r="I471" s="140" t="str">
        <f>IFERROR(__xludf.DUMMYFUNCTION("""COMPUTED_VALUE"""),"Health &amp; Fitness")</f>
        <v>Health &amp; Fitness</v>
      </c>
      <c r="J471">
        <f>IFERROR(__xludf.DUMMYFUNCTION("""COMPUTED_VALUE"""),329346.0)</f>
        <v>329346</v>
      </c>
      <c r="K471" s="140" t="str">
        <f>IFERROR(__xludf.DUMMYFUNCTION("""COMPUTED_VALUE"""),"YOGA FOR INSOMNIA: 7 DAYS TO SLEEP LIKE A DREAM!")</f>
        <v>YOGA FOR INSOMNIA: 7 DAYS TO SLEEP LIKE A DREAM!</v>
      </c>
      <c r="M471" s="140" t="str">
        <f>IFERROR(__xludf.DUMMYFUNCTION("""COMPUTED_VALUE"""),"")</f>
        <v/>
      </c>
    </row>
    <row r="472">
      <c r="A472" s="141">
        <f>IFERROR(__xludf.DUMMYFUNCTION("""COMPUTED_VALUE"""),43861.0)</f>
        <v>43861</v>
      </c>
      <c r="B472" s="140">
        <f>IFERROR(__xludf.DUMMYFUNCTION("""COMPUTED_VALUE"""),448836.0)</f>
        <v>448836</v>
      </c>
      <c r="C472" s="140" t="str">
        <f>IFERROR(__xludf.DUMMYFUNCTION("""COMPUTED_VALUE"""),"EN")</f>
        <v>EN</v>
      </c>
      <c r="D472" s="140" t="str">
        <f>IFERROR(__xludf.DUMMYFUNCTION("""COMPUTED_VALUE"""),"Excel 2013 Introduction")</f>
        <v>Excel 2013 Introduction</v>
      </c>
      <c r="F472" s="142" t="str">
        <f>IFERROR(__xludf.DUMMYFUNCTION("""COMPUTED_VALUE"""),"Intellezy Trainers")</f>
        <v>Intellezy Trainers</v>
      </c>
      <c r="G472" t="str">
        <f>IFERROR(__xludf.DUMMYFUNCTION("""COMPUTED_VALUE"""),"Instructor Request- Opted Out")</f>
        <v>Instructor Request- Opted Out</v>
      </c>
      <c r="H472" s="142" t="str">
        <f>IFERROR(__xludf.DUMMYFUNCTION("""COMPUTED_VALUE"""),"Office Productivity")</f>
        <v>Office Productivity</v>
      </c>
      <c r="I472" s="140" t="str">
        <f>IFERROR(__xludf.DUMMYFUNCTION("""COMPUTED_VALUE"""),"Spreadsheets")</f>
        <v>Spreadsheets</v>
      </c>
      <c r="J472">
        <f>IFERROR(__xludf.DUMMYFUNCTION("""COMPUTED_VALUE"""),739942.0)</f>
        <v>739942</v>
      </c>
      <c r="K472" s="140" t="str">
        <f>IFERROR(__xludf.DUMMYFUNCTION("""COMPUTED_VALUE"""),"Master Microsoft Excel 2013 &amp; 2016 for Beginners")</f>
        <v>Master Microsoft Excel 2013 &amp; 2016 for Beginners</v>
      </c>
      <c r="M472" s="140" t="str">
        <f>IFERROR(__xludf.DUMMYFUNCTION("""COMPUTED_VALUE"""),"")</f>
        <v/>
      </c>
      <c r="N472" s="140" t="str">
        <f>IFERROR(__xludf.DUMMYFUNCTION("""COMPUTED_VALUE"""),"Terms Change ")</f>
        <v>Terms Change </v>
      </c>
    </row>
    <row r="473">
      <c r="A473" s="141">
        <f>IFERROR(__xludf.DUMMYFUNCTION("""COMPUTED_VALUE"""),43861.0)</f>
        <v>43861</v>
      </c>
      <c r="B473" s="140">
        <f>IFERROR(__xludf.DUMMYFUNCTION("""COMPUTED_VALUE"""),46682.0)</f>
        <v>46682</v>
      </c>
      <c r="C473" s="140" t="str">
        <f>IFERROR(__xludf.DUMMYFUNCTION("""COMPUTED_VALUE"""),"EN")</f>
        <v>EN</v>
      </c>
      <c r="D473" s="140" t="str">
        <f>IFERROR(__xludf.DUMMYFUNCTION("""COMPUTED_VALUE"""),"Excel 2010 Intermediate")</f>
        <v>Excel 2010 Intermediate</v>
      </c>
      <c r="F473" s="142" t="str">
        <f>IFERROR(__xludf.DUMMYFUNCTION("""COMPUTED_VALUE"""),"Intellezy Trainers")</f>
        <v>Intellezy Trainers</v>
      </c>
      <c r="G473" t="str">
        <f>IFERROR(__xludf.DUMMYFUNCTION("""COMPUTED_VALUE"""),"Instructor Request- Opted Out")</f>
        <v>Instructor Request- Opted Out</v>
      </c>
      <c r="H473" s="142" t="str">
        <f>IFERROR(__xludf.DUMMYFUNCTION("""COMPUTED_VALUE"""),"Office Productivity")</f>
        <v>Office Productivity</v>
      </c>
      <c r="I473" s="140" t="str">
        <f>IFERROR(__xludf.DUMMYFUNCTION("""COMPUTED_VALUE"""),"Spreadsheets")</f>
        <v>Spreadsheets</v>
      </c>
      <c r="J473">
        <f>IFERROR(__xludf.DUMMYFUNCTION("""COMPUTED_VALUE"""),793796.0)</f>
        <v>793796</v>
      </c>
      <c r="K473" s="140" t="str">
        <f>IFERROR(__xludf.DUMMYFUNCTION("""COMPUTED_VALUE"""),"Microsoft Excel - Excel from Beginner to Advanced")</f>
        <v>Microsoft Excel - Excel from Beginner to Advanced</v>
      </c>
      <c r="M473" s="140" t="str">
        <f>IFERROR(__xludf.DUMMYFUNCTION("""COMPUTED_VALUE"""),"")</f>
        <v/>
      </c>
      <c r="N473" s="140" t="str">
        <f>IFERROR(__xludf.DUMMYFUNCTION("""COMPUTED_VALUE"""),"Terms Change")</f>
        <v>Terms Change</v>
      </c>
    </row>
    <row r="474">
      <c r="A474" s="141">
        <f>IFERROR(__xludf.DUMMYFUNCTION("""COMPUTED_VALUE"""),43861.0)</f>
        <v>43861</v>
      </c>
      <c r="B474" s="140">
        <f>IFERROR(__xludf.DUMMYFUNCTION("""COMPUTED_VALUE"""),1231406.0)</f>
        <v>1231406</v>
      </c>
      <c r="C474" s="140" t="str">
        <f>IFERROR(__xludf.DUMMYFUNCTION("""COMPUTED_VALUE"""),"EN")</f>
        <v>EN</v>
      </c>
      <c r="D474" s="140" t="str">
        <f>IFERROR(__xludf.DUMMYFUNCTION("""COMPUTED_VALUE"""),"First Guide to Dashboards using IBM Cognos Analytics (V11)")</f>
        <v>First Guide to Dashboards using IBM Cognos Analytics (V11)</v>
      </c>
      <c r="F474" s="142" t="str">
        <f>IFERROR(__xludf.DUMMYFUNCTION("""COMPUTED_VALUE"""),"Packt Publishing")</f>
        <v>Packt Publishing</v>
      </c>
      <c r="G474" t="str">
        <f>IFERROR(__xludf.DUMMYFUNCTION("""COMPUTED_VALUE"""),"Below Quality Standards- Low Rating")</f>
        <v>Below Quality Standards- Low Rating</v>
      </c>
      <c r="H474" s="142" t="str">
        <f>IFERROR(__xludf.DUMMYFUNCTION("""COMPUTED_VALUE"""),"Data Science")</f>
        <v>Data Science</v>
      </c>
      <c r="I474" s="140" t="str">
        <f>IFERROR(__xludf.DUMMYFUNCTION("""COMPUTED_VALUE"""),"Data Visualization")</f>
        <v>Data Visualization</v>
      </c>
      <c r="J474">
        <f>IFERROR(__xludf.DUMMYFUNCTION("""COMPUTED_VALUE"""),1248588.0)</f>
        <v>1248588</v>
      </c>
      <c r="K474" s="140" t="str">
        <f>IFERROR(__xludf.DUMMYFUNCTION("""COMPUTED_VALUE"""),"")</f>
        <v/>
      </c>
      <c r="M474" s="140" t="str">
        <f>IFERROR(__xludf.DUMMYFUNCTION("""COMPUTED_VALUE"""),"")</f>
        <v/>
      </c>
    </row>
    <row r="475">
      <c r="A475" s="141">
        <f>IFERROR(__xludf.DUMMYFUNCTION("""COMPUTED_VALUE"""),43861.0)</f>
        <v>43861</v>
      </c>
      <c r="B475" s="140">
        <f>IFERROR(__xludf.DUMMYFUNCTION("""COMPUTED_VALUE"""),1525190.0)</f>
        <v>1525190</v>
      </c>
      <c r="C475" s="140" t="str">
        <f>IFERROR(__xludf.DUMMYFUNCTION("""COMPUTED_VALUE"""),"EN")</f>
        <v>EN</v>
      </c>
      <c r="D475" s="140" t="str">
        <f>IFERROR(__xludf.DUMMYFUNCTION("""COMPUTED_VALUE"""),"Introduction to Server Administration")</f>
        <v>Introduction to Server Administration</v>
      </c>
      <c r="F475" s="142" t="str">
        <f>IFERROR(__xludf.DUMMYFUNCTION("""COMPUTED_VALUE"""),"Framework Television Inc.")</f>
        <v>Framework Television Inc.</v>
      </c>
      <c r="G475" t="str">
        <f>IFERROR(__xludf.DUMMYFUNCTION("""COMPUTED_VALUE"""),"Below Quality Standards- 3 Flags")</f>
        <v>Below Quality Standards- 3 Flags</v>
      </c>
      <c r="H475" s="142" t="str">
        <f>IFERROR(__xludf.DUMMYFUNCTION("""COMPUTED_VALUE"""),"IT Operations")</f>
        <v>IT Operations</v>
      </c>
      <c r="I475" s="140" t="str">
        <f>IFERROR(__xludf.DUMMYFUNCTION("""COMPUTED_VALUE"""),"Operating Systems &amp; Servers")</f>
        <v>Operating Systems &amp; Servers</v>
      </c>
      <c r="K475" s="140" t="str">
        <f>IFERROR(__xludf.DUMMYFUNCTION("""COMPUTED_VALUE"""),"")</f>
        <v/>
      </c>
      <c r="M475" s="140" t="str">
        <f>IFERROR(__xludf.DUMMYFUNCTION("""COMPUTED_VALUE"""),"")</f>
        <v/>
      </c>
      <c r="N475" s="140" t="str">
        <f>IFERROR(__xludf.DUMMYFUNCTION("""COMPUTED_VALUE"""),"No alternatives in Collection- 1/28/2020")</f>
        <v>No alternatives in Collection- 1/28/2020</v>
      </c>
    </row>
    <row r="476">
      <c r="A476" s="141">
        <f>IFERROR(__xludf.DUMMYFUNCTION("""COMPUTED_VALUE"""),43861.0)</f>
        <v>43861</v>
      </c>
      <c r="B476" s="140">
        <f>IFERROR(__xludf.DUMMYFUNCTION("""COMPUTED_VALUE"""),1318774.0)</f>
        <v>1318774</v>
      </c>
      <c r="C476" s="140" t="str">
        <f>IFERROR(__xludf.DUMMYFUNCTION("""COMPUTED_VALUE"""),"EN")</f>
        <v>EN</v>
      </c>
      <c r="D476" s="140" t="str">
        <f>IFERROR(__xludf.DUMMYFUNCTION("""COMPUTED_VALUE"""),"Leading Disciplinary Meetings and Investigations")</f>
        <v>Leading Disciplinary Meetings and Investigations</v>
      </c>
      <c r="F476" s="142" t="str">
        <f>IFERROR(__xludf.DUMMYFUNCTION("""COMPUTED_VALUE"""),"Skill Boosters")</f>
        <v>Skill Boosters</v>
      </c>
      <c r="G476" t="str">
        <f>IFERROR(__xludf.DUMMYFUNCTION("""COMPUTED_VALUE"""),"Instructor Request- Opted Out")</f>
        <v>Instructor Request- Opted Out</v>
      </c>
      <c r="H476" s="142" t="str">
        <f>IFERROR(__xludf.DUMMYFUNCTION("""COMPUTED_VALUE"""),"Human Resources")</f>
        <v>Human Resources</v>
      </c>
      <c r="I476" s="140" t="str">
        <f>IFERROR(__xludf.DUMMYFUNCTION("""COMPUTED_VALUE"""),"Compliance")</f>
        <v>Compliance</v>
      </c>
      <c r="K476" s="140" t="str">
        <f>IFERROR(__xludf.DUMMYFUNCTION("""COMPUTED_VALUE"""),"")</f>
        <v/>
      </c>
      <c r="M476" s="140" t="str">
        <f>IFERROR(__xludf.DUMMYFUNCTION("""COMPUTED_VALUE"""),"")</f>
        <v/>
      </c>
      <c r="N476" s="140" t="str">
        <f>IFERROR(__xludf.DUMMYFUNCTION("""COMPUTED_VALUE"""),"Terms Change / No alternatives in Collection- 1/23/2020")</f>
        <v>Terms Change / No alternatives in Collection- 1/23/2020</v>
      </c>
    </row>
    <row r="477">
      <c r="A477" s="141">
        <f>IFERROR(__xludf.DUMMYFUNCTION("""COMPUTED_VALUE"""),43861.0)</f>
        <v>43861</v>
      </c>
      <c r="B477" s="140">
        <f>IFERROR(__xludf.DUMMYFUNCTION("""COMPUTED_VALUE"""),1836230.0)</f>
        <v>1836230</v>
      </c>
      <c r="C477" s="140" t="str">
        <f>IFERROR(__xludf.DUMMYFUNCTION("""COMPUTED_VALUE"""),"EN")</f>
        <v>EN</v>
      </c>
      <c r="D477" s="140" t="str">
        <f>IFERROR(__xludf.DUMMYFUNCTION("""COMPUTED_VALUE"""),"Advanced Linux System Administration")</f>
        <v>Advanced Linux System Administration</v>
      </c>
      <c r="F477" s="142" t="str">
        <f>IFERROR(__xludf.DUMMYFUNCTION("""COMPUTED_VALUE"""),"Shikhar Verma")</f>
        <v>Shikhar Verma</v>
      </c>
      <c r="G477" t="str">
        <f>IFERROR(__xludf.DUMMYFUNCTION("""COMPUTED_VALUE"""),"Below Quality Standards- Low Rating")</f>
        <v>Below Quality Standards- Low Rating</v>
      </c>
      <c r="H477" s="142" t="str">
        <f>IFERROR(__xludf.DUMMYFUNCTION("""COMPUTED_VALUE"""),"IT Operations")</f>
        <v>IT Operations</v>
      </c>
      <c r="I477" s="140" t="str">
        <f>IFERROR(__xludf.DUMMYFUNCTION("""COMPUTED_VALUE"""),"Operating Systems &amp; Servers")</f>
        <v>Operating Systems &amp; Servers</v>
      </c>
      <c r="J477">
        <f>IFERROR(__xludf.DUMMYFUNCTION("""COMPUTED_VALUE"""),924090.0)</f>
        <v>924090</v>
      </c>
      <c r="K477" s="140" t="str">
        <f>IFERROR(__xludf.DUMMYFUNCTION("""COMPUTED_VALUE"""),"Linux Administration Bootcamp: Go from Beginner to Advanced")</f>
        <v>Linux Administration Bootcamp: Go from Beginner to Advanced</v>
      </c>
      <c r="M477" s="140" t="str">
        <f>IFERROR(__xludf.DUMMYFUNCTION("""COMPUTED_VALUE"""),"")</f>
        <v/>
      </c>
    </row>
    <row r="478">
      <c r="A478" s="141">
        <f>IFERROR(__xludf.DUMMYFUNCTION("""COMPUTED_VALUE"""),43861.0)</f>
        <v>43861</v>
      </c>
      <c r="B478" s="140">
        <f>IFERROR(__xludf.DUMMYFUNCTION("""COMPUTED_VALUE"""),640944.0)</f>
        <v>640944</v>
      </c>
      <c r="C478" s="140" t="str">
        <f>IFERROR(__xludf.DUMMYFUNCTION("""COMPUTED_VALUE"""),"EN")</f>
        <v>EN</v>
      </c>
      <c r="D478" s="140" t="str">
        <f>IFERROR(__xludf.DUMMYFUNCTION("""COMPUTED_VALUE"""),"Customer | How to Develop Customer Centric Metrics")</f>
        <v>Customer | How to Develop Customer Centric Metrics</v>
      </c>
      <c r="F478" s="142" t="str">
        <f>IFERROR(__xludf.DUMMYFUNCTION("""COMPUTED_VALUE"""),"Learoy Tonight")</f>
        <v>Learoy Tonight</v>
      </c>
      <c r="G478" t="str">
        <f>IFERROR(__xludf.DUMMYFUNCTION("""COMPUTED_VALUE"""),"Below Quality Standards- Low Rating")</f>
        <v>Below Quality Standards- Low Rating</v>
      </c>
      <c r="H478" s="142" t="str">
        <f>IFERROR(__xludf.DUMMYFUNCTION("""COMPUTED_VALUE"""),"Sales")</f>
        <v>Sales</v>
      </c>
      <c r="I478" s="140" t="str">
        <f>IFERROR(__xludf.DUMMYFUNCTION("""COMPUTED_VALUE"""),"Customer Service")</f>
        <v>Customer Service</v>
      </c>
      <c r="K478" s="140" t="str">
        <f>IFERROR(__xludf.DUMMYFUNCTION("""COMPUTED_VALUE"""),"")</f>
        <v/>
      </c>
      <c r="M478" s="140" t="str">
        <f>IFERROR(__xludf.DUMMYFUNCTION("""COMPUTED_VALUE"""),"")</f>
        <v/>
      </c>
      <c r="N478" s="140" t="str">
        <f>IFERROR(__xludf.DUMMYFUNCTION("""COMPUTED_VALUE"""),"Terms Change / No alternatives in Collection- 1/24/2020")</f>
        <v>Terms Change / No alternatives in Collection- 1/24/2020</v>
      </c>
    </row>
    <row r="479">
      <c r="A479" s="141">
        <f>IFERROR(__xludf.DUMMYFUNCTION("""COMPUTED_VALUE"""),43861.0)</f>
        <v>43861</v>
      </c>
      <c r="B479" s="140">
        <f>IFERROR(__xludf.DUMMYFUNCTION("""COMPUTED_VALUE"""),1456124.0)</f>
        <v>1456124</v>
      </c>
      <c r="C479" s="140" t="str">
        <f>IFERROR(__xludf.DUMMYFUNCTION("""COMPUTED_VALUE"""),"EN")</f>
        <v>EN</v>
      </c>
      <c r="D479" s="140" t="str">
        <f>IFERROR(__xludf.DUMMYFUNCTION("""COMPUTED_VALUE"""),"GraphQL (2016)")</f>
        <v>GraphQL (2016)</v>
      </c>
      <c r="F479" s="142" t="str">
        <f>IFERROR(__xludf.DUMMYFUNCTION("""COMPUTED_VALUE"""),"Rayan Slim")</f>
        <v>Rayan Slim</v>
      </c>
      <c r="G479" t="str">
        <f>IFERROR(__xludf.DUMMYFUNCTION("""COMPUTED_VALUE"""),"Instructor Request- Outdated")</f>
        <v>Instructor Request- Outdated</v>
      </c>
      <c r="H479" s="142" t="str">
        <f>IFERROR(__xludf.DUMMYFUNCTION("""COMPUTED_VALUE"""),"Development")</f>
        <v>Development</v>
      </c>
      <c r="I479" s="140" t="str">
        <f>IFERROR(__xludf.DUMMYFUNCTION("""COMPUTED_VALUE"""),"Web Development")</f>
        <v>Web Development</v>
      </c>
      <c r="K479" s="140" t="str">
        <f>IFERROR(__xludf.DUMMYFUNCTION("""COMPUTED_VALUE"""),"")</f>
        <v/>
      </c>
      <c r="M479" s="140" t="str">
        <f>IFERROR(__xludf.DUMMYFUNCTION("""COMPUTED_VALUE"""),"")</f>
        <v/>
      </c>
      <c r="N479" s="140" t="str">
        <f>IFERROR(__xludf.DUMMYFUNCTION("""COMPUTED_VALUE"""),"No alternatives in Collection- 1/29/2020")</f>
        <v>No alternatives in Collection- 1/29/2020</v>
      </c>
    </row>
    <row r="480">
      <c r="A480" s="141">
        <f>IFERROR(__xludf.DUMMYFUNCTION("""COMPUTED_VALUE"""),43861.0)</f>
        <v>43861</v>
      </c>
      <c r="B480" s="140">
        <f>IFERROR(__xludf.DUMMYFUNCTION("""COMPUTED_VALUE"""),2123564.0)</f>
        <v>2123564</v>
      </c>
      <c r="C480" s="140" t="str">
        <f>IFERROR(__xludf.DUMMYFUNCTION("""COMPUTED_VALUE"""),"EN")</f>
        <v>EN</v>
      </c>
      <c r="D480" s="140" t="str">
        <f>IFERROR(__xludf.DUMMYFUNCTION("""COMPUTED_VALUE"""),"Designing Architectures in AWS")</f>
        <v>Designing Architectures in AWS</v>
      </c>
      <c r="F480" s="142" t="str">
        <f>IFERROR(__xludf.DUMMYFUNCTION("""COMPUTED_VALUE"""),"Qasim Shah")</f>
        <v>Qasim Shah</v>
      </c>
      <c r="G480" t="str">
        <f>IFERROR(__xludf.DUMMYFUNCTION("""COMPUTED_VALUE"""),"Below Quality Standards- Low Rating")</f>
        <v>Below Quality Standards- Low Rating</v>
      </c>
      <c r="H480" s="142" t="str">
        <f>IFERROR(__xludf.DUMMYFUNCTION("""COMPUTED_VALUE"""),"Cloud Computing")</f>
        <v>Cloud Computing</v>
      </c>
      <c r="I480" s="140" t="str">
        <f>IFERROR(__xludf.DUMMYFUNCTION("""COMPUTED_VALUE"""),"Cloud Fundamentals")</f>
        <v>Cloud Fundamentals</v>
      </c>
      <c r="K480" s="140" t="str">
        <f>IFERROR(__xludf.DUMMYFUNCTION("""COMPUTED_VALUE"""),"")</f>
        <v/>
      </c>
      <c r="M480" s="140" t="str">
        <f>IFERROR(__xludf.DUMMYFUNCTION("""COMPUTED_VALUE"""),"")</f>
        <v/>
      </c>
      <c r="N480" s="140" t="str">
        <f>IFERROR(__xludf.DUMMYFUNCTION("""COMPUTED_VALUE"""),"No alternatives in Collection- 1/28/2020")</f>
        <v>No alternatives in Collection- 1/28/2020</v>
      </c>
    </row>
    <row r="481">
      <c r="A481" s="141">
        <f>IFERROR(__xludf.DUMMYFUNCTION("""COMPUTED_VALUE"""),43861.0)</f>
        <v>43861</v>
      </c>
      <c r="B481" s="140">
        <f>IFERROR(__xludf.DUMMYFUNCTION("""COMPUTED_VALUE"""),1485842.0)</f>
        <v>1485842</v>
      </c>
      <c r="C481" s="140" t="str">
        <f>IFERROR(__xludf.DUMMYFUNCTION("""COMPUTED_VALUE"""),"EN")</f>
        <v>EN</v>
      </c>
      <c r="D481" s="140" t="str">
        <f>IFERROR(__xludf.DUMMYFUNCTION("""COMPUTED_VALUE"""),"BDD in C# - using Specflow (Cucumber) to develop a REST API and automate software testing")</f>
        <v>BDD in C# - using Specflow (Cucumber) to develop a REST API and automate software testing</v>
      </c>
      <c r="F481" s="142" t="str">
        <f>IFERROR(__xludf.DUMMYFUNCTION("""COMPUTED_VALUE"""),"Binary Brain")</f>
        <v>Binary Brain</v>
      </c>
      <c r="G481" t="str">
        <f>IFERROR(__xludf.DUMMYFUNCTION("""COMPUTED_VALUE"""),"Below Quality Standards- Low Rating")</f>
        <v>Below Quality Standards- Low Rating</v>
      </c>
      <c r="H481" s="142" t="str">
        <f>IFERROR(__xludf.DUMMYFUNCTION("""COMPUTED_VALUE"""),"Development")</f>
        <v>Development</v>
      </c>
      <c r="I481" s="140" t="str">
        <f>IFERROR(__xludf.DUMMYFUNCTION("""COMPUTED_VALUE"""),"Software Testing")</f>
        <v>Software Testing</v>
      </c>
      <c r="J481">
        <f>IFERROR(__xludf.DUMMYFUNCTION("""COMPUTED_VALUE"""),1343662.0)</f>
        <v>1343662</v>
      </c>
      <c r="K481" s="140" t="str">
        <f>IFERROR(__xludf.DUMMYFUNCTION("""COMPUTED_VALUE"""),"Selenium WebDriver with Java &amp; Cucumber BDD")</f>
        <v>Selenium WebDriver with Java &amp; Cucumber BDD</v>
      </c>
      <c r="M481" s="140" t="str">
        <f>IFERROR(__xludf.DUMMYFUNCTION("""COMPUTED_VALUE"""),"")</f>
        <v/>
      </c>
    </row>
    <row r="482">
      <c r="A482" s="141">
        <f>IFERROR(__xludf.DUMMYFUNCTION("""COMPUTED_VALUE"""),43861.0)</f>
        <v>43861</v>
      </c>
      <c r="B482" s="140">
        <f>IFERROR(__xludf.DUMMYFUNCTION("""COMPUTED_VALUE"""),636112.0)</f>
        <v>636112</v>
      </c>
      <c r="C482" s="140" t="str">
        <f>IFERROR(__xludf.DUMMYFUNCTION("""COMPUTED_VALUE"""),"EN")</f>
        <v>EN</v>
      </c>
      <c r="D482" s="140" t="str">
        <f>IFERROR(__xludf.DUMMYFUNCTION("""COMPUTED_VALUE"""),"Engage Your Audience with Animated Presentations in AE")</f>
        <v>Engage Your Audience with Animated Presentations in AE</v>
      </c>
      <c r="F482" s="142" t="str">
        <f>IFERROR(__xludf.DUMMYFUNCTION("""COMPUTED_VALUE"""),"2D Animation 101 Courses")</f>
        <v>2D Animation 101 Courses</v>
      </c>
      <c r="G482" t="str">
        <f>IFERROR(__xludf.DUMMYFUNCTION("""COMPUTED_VALUE"""),"Below Quality Standards- 3 Flags")</f>
        <v>Below Quality Standards- 3 Flags</v>
      </c>
      <c r="H482" s="142" t="str">
        <f>IFERROR(__xludf.DUMMYFUNCTION("""COMPUTED_VALUE"""),"Design")</f>
        <v>Design</v>
      </c>
      <c r="I482" s="140" t="str">
        <f>IFERROR(__xludf.DUMMYFUNCTION("""COMPUTED_VALUE"""),"Design Tools")</f>
        <v>Design Tools</v>
      </c>
      <c r="J482">
        <f>IFERROR(__xludf.DUMMYFUNCTION("""COMPUTED_VALUE"""),927360.0)</f>
        <v>927360</v>
      </c>
      <c r="K482" s="140" t="str">
        <f>IFERROR(__xludf.DUMMYFUNCTION("""COMPUTED_VALUE"""),"After Effects CC Masterclass: Complete After Effects Course")</f>
        <v>After Effects CC Masterclass: Complete After Effects Course</v>
      </c>
      <c r="M482" s="140" t="str">
        <f>IFERROR(__xludf.DUMMYFUNCTION("""COMPUTED_VALUE"""),"")</f>
        <v/>
      </c>
    </row>
    <row r="483">
      <c r="A483" s="141">
        <f>IFERROR(__xludf.DUMMYFUNCTION("""COMPUTED_VALUE"""),43861.0)</f>
        <v>43861</v>
      </c>
      <c r="B483" s="140">
        <f>IFERROR(__xludf.DUMMYFUNCTION("""COMPUTED_VALUE"""),402684.0)</f>
        <v>402684</v>
      </c>
      <c r="C483" s="140" t="str">
        <f>IFERROR(__xludf.DUMMYFUNCTION("""COMPUTED_VALUE"""),"EN")</f>
        <v>EN</v>
      </c>
      <c r="D483" s="140" t="str">
        <f>IFERROR(__xludf.DUMMYFUNCTION("""COMPUTED_VALUE"""),"Selling More by Talking Less")</f>
        <v>Selling More by Talking Less</v>
      </c>
      <c r="F483" s="142" t="str">
        <f>IFERROR(__xludf.DUMMYFUNCTION("""COMPUTED_VALUE"""),"Bob Marx")</f>
        <v>Bob Marx</v>
      </c>
      <c r="G483" t="str">
        <f>IFERROR(__xludf.DUMMYFUNCTION("""COMPUTED_VALUE"""),"Below Quality Standards- 3 Flags")</f>
        <v>Below Quality Standards- 3 Flags</v>
      </c>
      <c r="H483" s="142" t="str">
        <f>IFERROR(__xludf.DUMMYFUNCTION("""COMPUTED_VALUE"""),"Sales")</f>
        <v>Sales</v>
      </c>
      <c r="I483" s="140" t="str">
        <f>IFERROR(__xludf.DUMMYFUNCTION("""COMPUTED_VALUE"""),"Sales Skills &amp; Tools")</f>
        <v>Sales Skills &amp; Tools</v>
      </c>
      <c r="J483">
        <f>IFERROR(__xludf.DUMMYFUNCTION("""COMPUTED_VALUE"""),563478.0)</f>
        <v>563478</v>
      </c>
      <c r="K483" s="140" t="str">
        <f>IFERROR(__xludf.DUMMYFUNCTION("""COMPUTED_VALUE"""),"Sales Training: Practical Sales Techniques")</f>
        <v>Sales Training: Practical Sales Techniques</v>
      </c>
      <c r="M483" s="140" t="str">
        <f>IFERROR(__xludf.DUMMYFUNCTION("""COMPUTED_VALUE"""),"")</f>
        <v/>
      </c>
    </row>
    <row r="484">
      <c r="A484" s="141">
        <f>IFERROR(__xludf.DUMMYFUNCTION("""COMPUTED_VALUE"""),43861.0)</f>
        <v>43861</v>
      </c>
      <c r="B484" s="140">
        <f>IFERROR(__xludf.DUMMYFUNCTION("""COMPUTED_VALUE"""),400440.0)</f>
        <v>400440</v>
      </c>
      <c r="C484" s="140" t="str">
        <f>IFERROR(__xludf.DUMMYFUNCTION("""COMPUTED_VALUE"""),"EN")</f>
        <v>EN</v>
      </c>
      <c r="D484" s="140" t="str">
        <f>IFERROR(__xludf.DUMMYFUNCTION("""COMPUTED_VALUE"""),"Office 2013 New Features")</f>
        <v>Office 2013 New Features</v>
      </c>
      <c r="F484" s="142" t="str">
        <f>IFERROR(__xludf.DUMMYFUNCTION("""COMPUTED_VALUE"""),"Intellezy Trainers")</f>
        <v>Intellezy Trainers</v>
      </c>
      <c r="G484" t="str">
        <f>IFERROR(__xludf.DUMMYFUNCTION("""COMPUTED_VALUE"""),"Instructor Request- Opted Out")</f>
        <v>Instructor Request- Opted Out</v>
      </c>
      <c r="H484" s="142" t="str">
        <f>IFERROR(__xludf.DUMMYFUNCTION("""COMPUTED_VALUE"""),"Office Productivity")</f>
        <v>Office Productivity</v>
      </c>
      <c r="I484" s="140" t="str">
        <f>IFERROR(__xludf.DUMMYFUNCTION("""COMPUTED_VALUE"""),"Presentations")</f>
        <v>Presentations</v>
      </c>
      <c r="J484">
        <f>IFERROR(__xludf.DUMMYFUNCTION("""COMPUTED_VALUE"""),565120.0)</f>
        <v>565120</v>
      </c>
      <c r="K484" s="140" t="str">
        <f>IFERROR(__xludf.DUMMYFUNCTION("""COMPUTED_VALUE"""),"MS Office 2013: 10-in-1 Courses To Maximize Productivity")</f>
        <v>MS Office 2013: 10-in-1 Courses To Maximize Productivity</v>
      </c>
      <c r="M484" s="140" t="str">
        <f>IFERROR(__xludf.DUMMYFUNCTION("""COMPUTED_VALUE"""),"")</f>
        <v/>
      </c>
      <c r="N484" s="140" t="str">
        <f>IFERROR(__xludf.DUMMYFUNCTION("""COMPUTED_VALUE"""),"Terms Change ")</f>
        <v>Terms Change </v>
      </c>
    </row>
    <row r="485">
      <c r="A485" s="141">
        <f>IFERROR(__xludf.DUMMYFUNCTION("""COMPUTED_VALUE"""),43861.0)</f>
        <v>43861</v>
      </c>
      <c r="B485" s="140">
        <f>IFERROR(__xludf.DUMMYFUNCTION("""COMPUTED_VALUE"""),808378.0)</f>
        <v>808378</v>
      </c>
      <c r="C485" s="140" t="str">
        <f>IFERROR(__xludf.DUMMYFUNCTION("""COMPUTED_VALUE"""),"EN")</f>
        <v>EN</v>
      </c>
      <c r="D485" s="140" t="str">
        <f>IFERROR(__xludf.DUMMYFUNCTION("""COMPUTED_VALUE"""),"Organizational Culture, Identity and Change")</f>
        <v>Organizational Culture, Identity and Change</v>
      </c>
      <c r="F485" s="142" t="str">
        <f>IFERROR(__xludf.DUMMYFUNCTION("""COMPUTED_VALUE"""),"Erika Jacobi. Ph.D.")</f>
        <v>Erika Jacobi. Ph.D.</v>
      </c>
      <c r="G485" t="str">
        <f>IFERROR(__xludf.DUMMYFUNCTION("""COMPUTED_VALUE"""),"Instructor Request- Opted Out")</f>
        <v>Instructor Request- Opted Out</v>
      </c>
      <c r="H485" s="142" t="str">
        <f>IFERROR(__xludf.DUMMYFUNCTION("""COMPUTED_VALUE"""),"Human Resources")</f>
        <v>Human Resources</v>
      </c>
      <c r="I485" s="140" t="str">
        <f>IFERROR(__xludf.DUMMYFUNCTION("""COMPUTED_VALUE"""),"Talent Management")</f>
        <v>Talent Management</v>
      </c>
      <c r="J485">
        <f>IFERROR(__xludf.DUMMYFUNCTION("""COMPUTED_VALUE"""),697346.0)</f>
        <v>697346</v>
      </c>
      <c r="K485" s="140" t="str">
        <f>IFERROR(__xludf.DUMMYFUNCTION("""COMPUTED_VALUE"""),"Leadership Styles and Corporate Culture")</f>
        <v>Leadership Styles and Corporate Culture</v>
      </c>
      <c r="M485" s="140" t="str">
        <f>IFERROR(__xludf.DUMMYFUNCTION("""COMPUTED_VALUE"""),"")</f>
        <v/>
      </c>
      <c r="N485" s="140" t="str">
        <f>IFERROR(__xludf.DUMMYFUNCTION("""COMPUTED_VALUE"""),"Terms Change")</f>
        <v>Terms Change</v>
      </c>
    </row>
    <row r="486">
      <c r="A486" s="141">
        <f>IFERROR(__xludf.DUMMYFUNCTION("""COMPUTED_VALUE"""),43861.0)</f>
        <v>43861</v>
      </c>
      <c r="B486" s="140">
        <f>IFERROR(__xludf.DUMMYFUNCTION("""COMPUTED_VALUE"""),835824.0)</f>
        <v>835824</v>
      </c>
      <c r="C486" s="140" t="str">
        <f>IFERROR(__xludf.DUMMYFUNCTION("""COMPUTED_VALUE"""),"EN")</f>
        <v>EN</v>
      </c>
      <c r="D486" s="140" t="str">
        <f>IFERROR(__xludf.DUMMYFUNCTION("""COMPUTED_VALUE"""),"Ubuntu Web Development Setup")</f>
        <v>Ubuntu Web Development Setup</v>
      </c>
      <c r="F486" s="142" t="str">
        <f>IFERROR(__xludf.DUMMYFUNCTION("""COMPUTED_VALUE"""),"Ciprian Munteanu")</f>
        <v>Ciprian Munteanu</v>
      </c>
      <c r="G486" t="str">
        <f>IFERROR(__xludf.DUMMYFUNCTION("""COMPUTED_VALUE"""),"Instructor Request- No Detail")</f>
        <v>Instructor Request- No Detail</v>
      </c>
      <c r="H486" s="142" t="str">
        <f>IFERROR(__xludf.DUMMYFUNCTION("""COMPUTED_VALUE"""),"IT Operations")</f>
        <v>IT Operations</v>
      </c>
      <c r="I486" s="140" t="str">
        <f>IFERROR(__xludf.DUMMYFUNCTION("""COMPUTED_VALUE"""),"Operating Systems &amp; Servers")</f>
        <v>Operating Systems &amp; Servers</v>
      </c>
      <c r="J486">
        <f>IFERROR(__xludf.DUMMYFUNCTION("""COMPUTED_VALUE"""),1662906.0)</f>
        <v>1662906</v>
      </c>
      <c r="K486" s="140" t="str">
        <f>IFERROR(__xludf.DUMMYFUNCTION("""COMPUTED_VALUE"""),"Ubuntu Linux on Windows With VirtualBox For Web Development")</f>
        <v>Ubuntu Linux on Windows With VirtualBox For Web Development</v>
      </c>
      <c r="M486" s="140" t="str">
        <f>IFERROR(__xludf.DUMMYFUNCTION("""COMPUTED_VALUE"""),"")</f>
        <v/>
      </c>
      <c r="N486" s="140" t="str">
        <f>IFERROR(__xludf.DUMMYFUNCTION("""COMPUTED_VALUE"""),"Terms Change")</f>
        <v>Terms Change</v>
      </c>
    </row>
    <row r="487">
      <c r="A487" s="141">
        <f>IFERROR(__xludf.DUMMYFUNCTION("""COMPUTED_VALUE"""),43861.0)</f>
        <v>43861</v>
      </c>
      <c r="B487" s="140">
        <f>IFERROR(__xludf.DUMMYFUNCTION("""COMPUTED_VALUE"""),893698.0)</f>
        <v>893698</v>
      </c>
      <c r="C487" s="140" t="str">
        <f>IFERROR(__xludf.DUMMYFUNCTION("""COMPUTED_VALUE"""),"EN")</f>
        <v>EN</v>
      </c>
      <c r="D487" s="140" t="str">
        <f>IFERROR(__xludf.DUMMYFUNCTION("""COMPUTED_VALUE"""),"PowerPoint 2013 Introduction")</f>
        <v>PowerPoint 2013 Introduction</v>
      </c>
      <c r="F487" s="142" t="str">
        <f>IFERROR(__xludf.DUMMYFUNCTION("""COMPUTED_VALUE"""),"Intellezy Trainers")</f>
        <v>Intellezy Trainers</v>
      </c>
      <c r="G487" t="str">
        <f>IFERROR(__xludf.DUMMYFUNCTION("""COMPUTED_VALUE"""),"Instructor Request- Opted Out")</f>
        <v>Instructor Request- Opted Out</v>
      </c>
      <c r="H487" s="142" t="str">
        <f>IFERROR(__xludf.DUMMYFUNCTION("""COMPUTED_VALUE"""),"Office Productivity")</f>
        <v>Office Productivity</v>
      </c>
      <c r="I487" s="140" t="str">
        <f>IFERROR(__xludf.DUMMYFUNCTION("""COMPUTED_VALUE"""),"Presentations")</f>
        <v>Presentations</v>
      </c>
      <c r="J487">
        <f>IFERROR(__xludf.DUMMYFUNCTION("""COMPUTED_VALUE"""),113316.0)</f>
        <v>113316</v>
      </c>
      <c r="K487" s="140" t="str">
        <f>IFERROR(__xludf.DUMMYFUNCTION("""COMPUTED_VALUE"""),"Introduction to Microsoft PowerPoint 2013")</f>
        <v>Introduction to Microsoft PowerPoint 2013</v>
      </c>
      <c r="M487" s="140" t="str">
        <f>IFERROR(__xludf.DUMMYFUNCTION("""COMPUTED_VALUE"""),"")</f>
        <v/>
      </c>
      <c r="N487" s="140" t="str">
        <f>IFERROR(__xludf.DUMMYFUNCTION("""COMPUTED_VALUE"""),"Terms Change ")</f>
        <v>Terms Change </v>
      </c>
    </row>
    <row r="488">
      <c r="A488" s="141">
        <f>IFERROR(__xludf.DUMMYFUNCTION("""COMPUTED_VALUE"""),43861.0)</f>
        <v>43861</v>
      </c>
      <c r="B488" s="140">
        <f>IFERROR(__xludf.DUMMYFUNCTION("""COMPUTED_VALUE"""),1347016.0)</f>
        <v>1347016</v>
      </c>
      <c r="C488" s="140" t="str">
        <f>IFERROR(__xludf.DUMMYFUNCTION("""COMPUTED_VALUE"""),"EN")</f>
        <v>EN</v>
      </c>
      <c r="D488" s="140" t="str">
        <f>IFERROR(__xludf.DUMMYFUNCTION("""COMPUTED_VALUE"""),"Delivering Organisational Change")</f>
        <v>Delivering Organisational Change</v>
      </c>
      <c r="F488" s="142" t="str">
        <f>IFERROR(__xludf.DUMMYFUNCTION("""COMPUTED_VALUE"""),"Skill Boosters")</f>
        <v>Skill Boosters</v>
      </c>
      <c r="G488" t="str">
        <f>IFERROR(__xludf.DUMMYFUNCTION("""COMPUTED_VALUE"""),"Instructor Request- Opted Out")</f>
        <v>Instructor Request- Opted Out</v>
      </c>
      <c r="H488" s="142" t="str">
        <f>IFERROR(__xludf.DUMMYFUNCTION("""COMPUTED_VALUE"""),"Human Resources")</f>
        <v>Human Resources</v>
      </c>
      <c r="I488" s="140" t="str">
        <f>IFERROR(__xludf.DUMMYFUNCTION("""COMPUTED_VALUE"""),"Talent Management")</f>
        <v>Talent Management</v>
      </c>
      <c r="J488">
        <f>IFERROR(__xludf.DUMMYFUNCTION("""COMPUTED_VALUE"""),166240.0)</f>
        <v>166240</v>
      </c>
      <c r="K488" s="140" t="str">
        <f>IFERROR(__xludf.DUMMYFUNCTION("""COMPUTED_VALUE"""),"Managing Change:  Learn to thrive through change.")</f>
        <v>Managing Change:  Learn to thrive through change.</v>
      </c>
      <c r="M488" s="140" t="str">
        <f>IFERROR(__xludf.DUMMYFUNCTION("""COMPUTED_VALUE"""),"")</f>
        <v/>
      </c>
      <c r="N488" s="140" t="str">
        <f>IFERROR(__xludf.DUMMYFUNCTION("""COMPUTED_VALUE"""),"Terms Change")</f>
        <v>Terms Change</v>
      </c>
    </row>
    <row r="489">
      <c r="A489" s="141">
        <f>IFERROR(__xludf.DUMMYFUNCTION("""COMPUTED_VALUE"""),43861.0)</f>
        <v>43861</v>
      </c>
      <c r="B489" s="140">
        <f>IFERROR(__xludf.DUMMYFUNCTION("""COMPUTED_VALUE"""),1279140.0)</f>
        <v>1279140</v>
      </c>
      <c r="C489" s="140" t="str">
        <f>IFERROR(__xludf.DUMMYFUNCTION("""COMPUTED_VALUE"""),"EN")</f>
        <v>EN</v>
      </c>
      <c r="D489" s="140" t="str">
        <f>IFERROR(__xludf.DUMMYFUNCTION("""COMPUTED_VALUE"""),"Managing Difficult Conversations with skill and confidence")</f>
        <v>Managing Difficult Conversations with skill and confidence</v>
      </c>
      <c r="F489" s="142" t="str">
        <f>IFERROR(__xludf.DUMMYFUNCTION("""COMPUTED_VALUE"""),"Skill Boosters")</f>
        <v>Skill Boosters</v>
      </c>
      <c r="G489" t="str">
        <f>IFERROR(__xludf.DUMMYFUNCTION("""COMPUTED_VALUE"""),"Instructor Request- Opted Out")</f>
        <v>Instructor Request- Opted Out</v>
      </c>
      <c r="H489" s="142" t="str">
        <f>IFERROR(__xludf.DUMMYFUNCTION("""COMPUTED_VALUE"""),"Leadership &amp; Management")</f>
        <v>Leadership &amp; Management</v>
      </c>
      <c r="I489" s="140" t="str">
        <f>IFERROR(__xludf.DUMMYFUNCTION("""COMPUTED_VALUE"""),"Communication")</f>
        <v>Communication</v>
      </c>
      <c r="J489">
        <f>IFERROR(__xludf.DUMMYFUNCTION("""COMPUTED_VALUE"""),1379522.0)</f>
        <v>1379522</v>
      </c>
      <c r="K489" s="140" t="str">
        <f>IFERROR(__xludf.DUMMYFUNCTION("""COMPUTED_VALUE"""),"Difficult Conversations: Master Difficult Conversations")</f>
        <v>Difficult Conversations: Master Difficult Conversations</v>
      </c>
      <c r="M489" s="140" t="str">
        <f>IFERROR(__xludf.DUMMYFUNCTION("""COMPUTED_VALUE"""),"")</f>
        <v/>
      </c>
      <c r="N489" s="140" t="str">
        <f>IFERROR(__xludf.DUMMYFUNCTION("""COMPUTED_VALUE"""),"Terms Change")</f>
        <v>Terms Change</v>
      </c>
    </row>
    <row r="490">
      <c r="A490" s="141">
        <f>IFERROR(__xludf.DUMMYFUNCTION("""COMPUTED_VALUE"""),43861.0)</f>
        <v>43861</v>
      </c>
      <c r="B490" s="140">
        <f>IFERROR(__xludf.DUMMYFUNCTION("""COMPUTED_VALUE"""),50421.0)</f>
        <v>50421</v>
      </c>
      <c r="C490" s="140" t="str">
        <f>IFERROR(__xludf.DUMMYFUNCTION("""COMPUTED_VALUE"""),"EN")</f>
        <v>EN</v>
      </c>
      <c r="D490" s="140" t="str">
        <f>IFERROR(__xludf.DUMMYFUNCTION("""COMPUTED_VALUE"""),"Lync 2013 Introduction")</f>
        <v>Lync 2013 Introduction</v>
      </c>
      <c r="F490" s="142" t="str">
        <f>IFERROR(__xludf.DUMMYFUNCTION("""COMPUTED_VALUE"""),"Intellezy Trainers")</f>
        <v>Intellezy Trainers</v>
      </c>
      <c r="G490" t="str">
        <f>IFERROR(__xludf.DUMMYFUNCTION("""COMPUTED_VALUE"""),"Instructor Request- Opted Out")</f>
        <v>Instructor Request- Opted Out</v>
      </c>
      <c r="H490" s="142" t="str">
        <f>IFERROR(__xludf.DUMMYFUNCTION("""COMPUTED_VALUE"""),"Office Productivity")</f>
        <v>Office Productivity</v>
      </c>
      <c r="I490" s="140" t="str">
        <f>IFERROR(__xludf.DUMMYFUNCTION("""COMPUTED_VALUE"""),"Collaboration")</f>
        <v>Collaboration</v>
      </c>
      <c r="K490" s="140" t="str">
        <f>IFERROR(__xludf.DUMMYFUNCTION("""COMPUTED_VALUE"""),"")</f>
        <v/>
      </c>
      <c r="M490" s="140" t="str">
        <f>IFERROR(__xludf.DUMMYFUNCTION("""COMPUTED_VALUE"""),"")</f>
        <v/>
      </c>
      <c r="N490" s="140" t="str">
        <f>IFERROR(__xludf.DUMMYFUNCTION("""COMPUTED_VALUE"""),"Terms Change / No alternatives in Collection- 1/24/2020")</f>
        <v>Terms Change / No alternatives in Collection- 1/24/2020</v>
      </c>
    </row>
    <row r="491">
      <c r="A491" s="141">
        <f>IFERROR(__xludf.DUMMYFUNCTION("""COMPUTED_VALUE"""),43861.0)</f>
        <v>43861</v>
      </c>
      <c r="B491" s="140">
        <f>IFERROR(__xludf.DUMMYFUNCTION("""COMPUTED_VALUE"""),2123112.0)</f>
        <v>2123112</v>
      </c>
      <c r="C491" s="140" t="str">
        <f>IFERROR(__xludf.DUMMYFUNCTION("""COMPUTED_VALUE"""),"EN")</f>
        <v>EN</v>
      </c>
      <c r="D491" s="140" t="str">
        <f>IFERROR(__xludf.DUMMYFUNCTION("""COMPUTED_VALUE"""),"AZ-900 Azure Exam Prep: Security Privacy Compliance &amp; Trust")</f>
        <v>AZ-900 Azure Exam Prep: Security Privacy Compliance &amp; Trust</v>
      </c>
      <c r="F491" s="142" t="str">
        <f>IFERROR(__xludf.DUMMYFUNCTION("""COMPUTED_VALUE"""),"Thomas Mitchell")</f>
        <v>Thomas Mitchell</v>
      </c>
      <c r="G491" t="str">
        <f>IFERROR(__xludf.DUMMYFUNCTION("""COMPUTED_VALUE"""),"Instructor Request- Outdated")</f>
        <v>Instructor Request- Outdated</v>
      </c>
      <c r="H491" s="142" t="str">
        <f>IFERROR(__xludf.DUMMYFUNCTION("""COMPUTED_VALUE"""),"IT Operations")</f>
        <v>IT Operations</v>
      </c>
      <c r="I491" s="140" t="str">
        <f>IFERROR(__xludf.DUMMYFUNCTION("""COMPUTED_VALUE"""),"IT Certifications")</f>
        <v>IT Certifications</v>
      </c>
      <c r="J491">
        <f>IFERROR(__xludf.DUMMYFUNCTION("""COMPUTED_VALUE"""),1704776.0)</f>
        <v>1704776</v>
      </c>
      <c r="K491" s="140" t="str">
        <f>IFERROR(__xludf.DUMMYFUNCTION("""COMPUTED_VALUE"""),"Microsoft Azure - Beginner's Guide + AZ-900 -  2021")</f>
        <v>Microsoft Azure - Beginner's Guide + AZ-900 -  2021</v>
      </c>
      <c r="M491" s="140" t="str">
        <f>IFERROR(__xludf.DUMMYFUNCTION("""COMPUTED_VALUE"""),"")</f>
        <v/>
      </c>
    </row>
    <row r="492">
      <c r="A492" s="141">
        <f>IFERROR(__xludf.DUMMYFUNCTION("""COMPUTED_VALUE"""),43861.0)</f>
        <v>43861</v>
      </c>
      <c r="B492" s="140">
        <f>IFERROR(__xludf.DUMMYFUNCTION("""COMPUTED_VALUE"""),1185024.0)</f>
        <v>1185024</v>
      </c>
      <c r="C492" s="140" t="str">
        <f>IFERROR(__xludf.DUMMYFUNCTION("""COMPUTED_VALUE"""),"EN")</f>
        <v>EN</v>
      </c>
      <c r="D492" s="140" t="str">
        <f>IFERROR(__xludf.DUMMYFUNCTION("""COMPUTED_VALUE"""),"Tackling sensitive workplace conversations with confidence")</f>
        <v>Tackling sensitive workplace conversations with confidence</v>
      </c>
      <c r="F492" s="142" t="str">
        <f>IFERROR(__xludf.DUMMYFUNCTION("""COMPUTED_VALUE"""),"Skill Boosters")</f>
        <v>Skill Boosters</v>
      </c>
      <c r="G492" t="str">
        <f>IFERROR(__xludf.DUMMYFUNCTION("""COMPUTED_VALUE"""),"Instructor Request- Opted Out")</f>
        <v>Instructor Request- Opted Out</v>
      </c>
      <c r="H492" s="142" t="str">
        <f>IFERROR(__xludf.DUMMYFUNCTION("""COMPUTED_VALUE"""),"Leadership &amp; Management")</f>
        <v>Leadership &amp; Management</v>
      </c>
      <c r="I492" s="140" t="str">
        <f>IFERROR(__xludf.DUMMYFUNCTION("""COMPUTED_VALUE"""),"Communication")</f>
        <v>Communication</v>
      </c>
      <c r="J492">
        <f>IFERROR(__xludf.DUMMYFUNCTION("""COMPUTED_VALUE"""),1279140.0)</f>
        <v>1279140</v>
      </c>
      <c r="K492" s="140" t="str">
        <f>IFERROR(__xludf.DUMMYFUNCTION("""COMPUTED_VALUE"""),"")</f>
        <v/>
      </c>
      <c r="L492">
        <f>IFERROR(__xludf.DUMMYFUNCTION("""COMPUTED_VALUE"""),1379522.0)</f>
        <v>1379522</v>
      </c>
      <c r="M492" s="140" t="str">
        <f>IFERROR(__xludf.DUMMYFUNCTION("""COMPUTED_VALUE"""),"Difficult Conversations: Master Difficult Conversations")</f>
        <v>Difficult Conversations: Master Difficult Conversations</v>
      </c>
      <c r="N492" s="140" t="str">
        <f>IFERROR(__xludf.DUMMYFUNCTION("""COMPUTED_VALUE"""),"Terms Change")</f>
        <v>Terms Change</v>
      </c>
    </row>
    <row r="493">
      <c r="A493" s="141">
        <f>IFERROR(__xludf.DUMMYFUNCTION("""COMPUTED_VALUE"""),43861.0)</f>
        <v>43861</v>
      </c>
      <c r="B493" s="140">
        <f>IFERROR(__xludf.DUMMYFUNCTION("""COMPUTED_VALUE"""),1264366.0)</f>
        <v>1264366</v>
      </c>
      <c r="C493" s="140" t="str">
        <f>IFERROR(__xludf.DUMMYFUNCTION("""COMPUTED_VALUE"""),"EN")</f>
        <v>EN</v>
      </c>
      <c r="D493" s="140" t="str">
        <f>IFERROR(__xludf.DUMMYFUNCTION("""COMPUTED_VALUE"""),"Understanding and tackling Gender Bias in the workplace")</f>
        <v>Understanding and tackling Gender Bias in the workplace</v>
      </c>
      <c r="F493" s="142" t="str">
        <f>IFERROR(__xludf.DUMMYFUNCTION("""COMPUTED_VALUE"""),"Skill Boosters")</f>
        <v>Skill Boosters</v>
      </c>
      <c r="G493" t="str">
        <f>IFERROR(__xludf.DUMMYFUNCTION("""COMPUTED_VALUE"""),"Instructor Request- Opted Out")</f>
        <v>Instructor Request- Opted Out</v>
      </c>
      <c r="H493" s="142" t="str">
        <f>IFERROR(__xludf.DUMMYFUNCTION("""COMPUTED_VALUE"""),"Development")</f>
        <v>Development</v>
      </c>
      <c r="I493" s="140" t="str">
        <f>IFERROR(__xludf.DUMMYFUNCTION("""COMPUTED_VALUE"""),"Programming Languages")</f>
        <v>Programming Languages</v>
      </c>
      <c r="J493">
        <f>IFERROR(__xludf.DUMMYFUNCTION("""COMPUTED_VALUE"""),491274.0)</f>
        <v>491274</v>
      </c>
      <c r="K493" s="140" t="str">
        <f>IFERROR(__xludf.DUMMYFUNCTION("""COMPUTED_VALUE"""),"Respect Gender &amp; Sexual Differences &amp; Assert Yourself")</f>
        <v>Respect Gender &amp; Sexual Differences &amp; Assert Yourself</v>
      </c>
      <c r="M493" s="140" t="str">
        <f>IFERROR(__xludf.DUMMYFUNCTION("""COMPUTED_VALUE"""),"")</f>
        <v/>
      </c>
    </row>
    <row r="494">
      <c r="A494" s="141">
        <f>IFERROR(__xludf.DUMMYFUNCTION("""COMPUTED_VALUE"""),43861.0)</f>
        <v>43861</v>
      </c>
      <c r="B494" s="140">
        <f>IFERROR(__xludf.DUMMYFUNCTION("""COMPUTED_VALUE"""),785388.0)</f>
        <v>785388</v>
      </c>
      <c r="C494" s="140" t="str">
        <f>IFERROR(__xludf.DUMMYFUNCTION("""COMPUTED_VALUE"""),"EN")</f>
        <v>EN</v>
      </c>
      <c r="D494" s="140" t="str">
        <f>IFERROR(__xludf.DUMMYFUNCTION("""COMPUTED_VALUE"""),"Scaling Docker on AWS")</f>
        <v>Scaling Docker on AWS</v>
      </c>
      <c r="F494" s="142" t="str">
        <f>IFERROR(__xludf.DUMMYFUNCTION("""COMPUTED_VALUE"""),"Nick Janetakis")</f>
        <v>Nick Janetakis</v>
      </c>
      <c r="G494" t="str">
        <f>IFERROR(__xludf.DUMMYFUNCTION("""COMPUTED_VALUE"""),"Instructor Request- Opted Out")</f>
        <v>Instructor Request- Opted Out</v>
      </c>
      <c r="H494" s="142" t="str">
        <f>IFERROR(__xludf.DUMMYFUNCTION("""COMPUTED_VALUE"""),"Cloud Computing")</f>
        <v>Cloud Computing</v>
      </c>
      <c r="I494" s="140" t="str">
        <f>IFERROR(__xludf.DUMMYFUNCTION("""COMPUTED_VALUE"""),"Cloud Development")</f>
        <v>Cloud Development</v>
      </c>
      <c r="K494" s="140" t="str">
        <f>IFERROR(__xludf.DUMMYFUNCTION("""COMPUTED_VALUE"""),"")</f>
        <v/>
      </c>
      <c r="M494" s="140" t="str">
        <f>IFERROR(__xludf.DUMMYFUNCTION("""COMPUTED_VALUE"""),"")</f>
        <v/>
      </c>
      <c r="N494" s="140" t="str">
        <f>IFERROR(__xludf.DUMMYFUNCTION("""COMPUTED_VALUE"""),"Terms Change / No alternatives in Collection- 1/23/2020")</f>
        <v>Terms Change / No alternatives in Collection- 1/23/2020</v>
      </c>
    </row>
    <row r="495">
      <c r="A495" s="141">
        <f>IFERROR(__xludf.DUMMYFUNCTION("""COMPUTED_VALUE"""),43861.0)</f>
        <v>43861</v>
      </c>
      <c r="B495" s="140">
        <f>IFERROR(__xludf.DUMMYFUNCTION("""COMPUTED_VALUE"""),1066218.0)</f>
        <v>1066218</v>
      </c>
      <c r="C495" s="140" t="str">
        <f>IFERROR(__xludf.DUMMYFUNCTION("""COMPUTED_VALUE"""),"EN")</f>
        <v>EN</v>
      </c>
      <c r="D495" s="140" t="str">
        <f>IFERROR(__xludf.DUMMYFUNCTION("""COMPUTED_VALUE"""),"SharePoint 2016 Site Owner")</f>
        <v>SharePoint 2016 Site Owner</v>
      </c>
      <c r="F495" s="142" t="str">
        <f>IFERROR(__xludf.DUMMYFUNCTION("""COMPUTED_VALUE"""),"Intellezy Trainers")</f>
        <v>Intellezy Trainers</v>
      </c>
      <c r="G495" t="str">
        <f>IFERROR(__xludf.DUMMYFUNCTION("""COMPUTED_VALUE"""),"Instructor Request- Opted Out")</f>
        <v>Instructor Request- Opted Out</v>
      </c>
      <c r="H495" s="142" t="str">
        <f>IFERROR(__xludf.DUMMYFUNCTION("""COMPUTED_VALUE"""),"Office Productivity")</f>
        <v>Office Productivity</v>
      </c>
      <c r="I495" s="140" t="str">
        <f>IFERROR(__xludf.DUMMYFUNCTION("""COMPUTED_VALUE"""),"Collaboration")</f>
        <v>Collaboration</v>
      </c>
      <c r="K495" s="140" t="str">
        <f>IFERROR(__xludf.DUMMYFUNCTION("""COMPUTED_VALUE"""),"")</f>
        <v/>
      </c>
      <c r="M495" s="140" t="str">
        <f>IFERROR(__xludf.DUMMYFUNCTION("""COMPUTED_VALUE"""),"")</f>
        <v/>
      </c>
      <c r="N495" s="140" t="str">
        <f>IFERROR(__xludf.DUMMYFUNCTION("""COMPUTED_VALUE"""),"Terms Change / No alternatives in Collection- 1/24/2020")</f>
        <v>Terms Change / No alternatives in Collection- 1/24/2020</v>
      </c>
    </row>
    <row r="496">
      <c r="A496" s="141">
        <f>IFERROR(__xludf.DUMMYFUNCTION("""COMPUTED_VALUE"""),43861.0)</f>
        <v>43861</v>
      </c>
      <c r="B496" s="140">
        <f>IFERROR(__xludf.DUMMYFUNCTION("""COMPUTED_VALUE"""),986716.0)</f>
        <v>986716</v>
      </c>
      <c r="C496" s="140" t="str">
        <f>IFERROR(__xludf.DUMMYFUNCTION("""COMPUTED_VALUE"""),"EN")</f>
        <v>EN</v>
      </c>
      <c r="D496" s="140" t="str">
        <f>IFERROR(__xludf.DUMMYFUNCTION("""COMPUTED_VALUE"""),"Azure - Deploying Websites")</f>
        <v>Azure - Deploying Websites</v>
      </c>
      <c r="F496" s="142" t="str">
        <f>IFERROR(__xludf.DUMMYFUNCTION("""COMPUTED_VALUE"""),"Intellezy Trainers")</f>
        <v>Intellezy Trainers</v>
      </c>
      <c r="G496" t="str">
        <f>IFERROR(__xludf.DUMMYFUNCTION("""COMPUTED_VALUE"""),"Instructor Request- Opted Out")</f>
        <v>Instructor Request- Opted Out</v>
      </c>
      <c r="H496" s="142" t="str">
        <f>IFERROR(__xludf.DUMMYFUNCTION("""COMPUTED_VALUE"""),"Cloud Computing")</f>
        <v>Cloud Computing</v>
      </c>
      <c r="I496" s="140" t="str">
        <f>IFERROR(__xludf.DUMMYFUNCTION("""COMPUTED_VALUE"""),"Cloud Development")</f>
        <v>Cloud Development</v>
      </c>
      <c r="K496" s="140" t="str">
        <f>IFERROR(__xludf.DUMMYFUNCTION("""COMPUTED_VALUE"""),"")</f>
        <v/>
      </c>
      <c r="M496" s="140" t="str">
        <f>IFERROR(__xludf.DUMMYFUNCTION("""COMPUTED_VALUE"""),"")</f>
        <v/>
      </c>
      <c r="N496" s="140" t="str">
        <f>IFERROR(__xludf.DUMMYFUNCTION("""COMPUTED_VALUE"""),"Terms Change - No Alternatives in Collection - 9/11")</f>
        <v>Terms Change - No Alternatives in Collection - 9/11</v>
      </c>
    </row>
    <row r="497">
      <c r="A497" s="141">
        <f>IFERROR(__xludf.DUMMYFUNCTION("""COMPUTED_VALUE"""),43861.0)</f>
        <v>43861</v>
      </c>
      <c r="B497" s="140">
        <f>IFERROR(__xludf.DUMMYFUNCTION("""COMPUTED_VALUE"""),897834.0)</f>
        <v>897834</v>
      </c>
      <c r="C497" s="140" t="str">
        <f>IFERROR(__xludf.DUMMYFUNCTION("""COMPUTED_VALUE"""),"EN")</f>
        <v>EN</v>
      </c>
      <c r="D497" s="140" t="str">
        <f>IFERROR(__xludf.DUMMYFUNCTION("""COMPUTED_VALUE"""),"Azure - SQL")</f>
        <v>Azure - SQL</v>
      </c>
      <c r="F497" s="142" t="str">
        <f>IFERROR(__xludf.DUMMYFUNCTION("""COMPUTED_VALUE"""),"Intellezy Trainers")</f>
        <v>Intellezy Trainers</v>
      </c>
      <c r="G497" t="str">
        <f>IFERROR(__xludf.DUMMYFUNCTION("""COMPUTED_VALUE"""),"Instructor Request- Opted Out")</f>
        <v>Instructor Request- Opted Out</v>
      </c>
      <c r="H497" s="142" t="str">
        <f>IFERROR(__xludf.DUMMYFUNCTION("""COMPUTED_VALUE"""),"IT Operations")</f>
        <v>IT Operations</v>
      </c>
      <c r="I497" s="140" t="str">
        <f>IFERROR(__xludf.DUMMYFUNCTION("""COMPUTED_VALUE"""),"Operating Systems &amp; Servers")</f>
        <v>Operating Systems &amp; Servers</v>
      </c>
      <c r="K497" s="140" t="str">
        <f>IFERROR(__xludf.DUMMYFUNCTION("""COMPUTED_VALUE"""),"")</f>
        <v/>
      </c>
      <c r="M497" s="140" t="str">
        <f>IFERROR(__xludf.DUMMYFUNCTION("""COMPUTED_VALUE"""),"")</f>
        <v/>
      </c>
      <c r="N497" s="140" t="str">
        <f>IFERROR(__xludf.DUMMYFUNCTION("""COMPUTED_VALUE"""),"Terms Change - No Alternatives in Collection - 9/11")</f>
        <v>Terms Change - No Alternatives in Collection - 9/11</v>
      </c>
    </row>
    <row r="498">
      <c r="A498" s="141">
        <f>IFERROR(__xludf.DUMMYFUNCTION("""COMPUTED_VALUE"""),43861.0)</f>
        <v>43861</v>
      </c>
      <c r="B498" s="140">
        <f>IFERROR(__xludf.DUMMYFUNCTION("""COMPUTED_VALUE"""),965044.0)</f>
        <v>965044</v>
      </c>
      <c r="C498" s="140" t="str">
        <f>IFERROR(__xludf.DUMMYFUNCTION("""COMPUTED_VALUE"""),"EN")</f>
        <v>EN</v>
      </c>
      <c r="D498" s="140" t="str">
        <f>IFERROR(__xludf.DUMMYFUNCTION("""COMPUTED_VALUE"""),"Creating a working environment based on RESPECT")</f>
        <v>Creating a working environment based on RESPECT</v>
      </c>
      <c r="F498" s="142" t="str">
        <f>IFERROR(__xludf.DUMMYFUNCTION("""COMPUTED_VALUE"""),"Skill Boosters")</f>
        <v>Skill Boosters</v>
      </c>
      <c r="G498" t="str">
        <f>IFERROR(__xludf.DUMMYFUNCTION("""COMPUTED_VALUE"""),"Instructor Request- Opted Out")</f>
        <v>Instructor Request- Opted Out</v>
      </c>
      <c r="H498" s="142" t="str">
        <f>IFERROR(__xludf.DUMMYFUNCTION("""COMPUTED_VALUE"""),"Human Resources")</f>
        <v>Human Resources</v>
      </c>
      <c r="I498" s="140" t="str">
        <f>IFERROR(__xludf.DUMMYFUNCTION("""COMPUTED_VALUE"""),"Compliance")</f>
        <v>Compliance</v>
      </c>
      <c r="J498">
        <f>IFERROR(__xludf.DUMMYFUNCTION("""COMPUTED_VALUE"""),909996.0)</f>
        <v>909996</v>
      </c>
      <c r="K498" s="140" t="str">
        <f>IFERROR(__xludf.DUMMYFUNCTION("""COMPUTED_VALUE"""),"Navigate Diversity")</f>
        <v>Navigate Diversity</v>
      </c>
      <c r="L498">
        <f>IFERROR(__xludf.DUMMYFUNCTION("""COMPUTED_VALUE"""),911024.0)</f>
        <v>911024</v>
      </c>
      <c r="M498" s="140" t="str">
        <f>IFERROR(__xludf.DUMMYFUNCTION("""COMPUTED_VALUE"""),"Manage Diversity")</f>
        <v>Manage Diversity</v>
      </c>
      <c r="N498" s="140" t="str">
        <f>IFERROR(__xludf.DUMMYFUNCTION("""COMPUTED_VALUE"""),"Terms Change")</f>
        <v>Terms Change</v>
      </c>
    </row>
    <row r="499">
      <c r="A499" s="141">
        <f>IFERROR(__xludf.DUMMYFUNCTION("""COMPUTED_VALUE"""),43861.0)</f>
        <v>43861</v>
      </c>
      <c r="B499" s="140">
        <f>IFERROR(__xludf.DUMMYFUNCTION("""COMPUTED_VALUE"""),899680.0)</f>
        <v>899680</v>
      </c>
      <c r="C499" s="140" t="str">
        <f>IFERROR(__xludf.DUMMYFUNCTION("""COMPUTED_VALUE"""),"EN")</f>
        <v>EN</v>
      </c>
      <c r="D499" s="140" t="str">
        <f>IFERROR(__xludf.DUMMYFUNCTION("""COMPUTED_VALUE"""),"Transgender awareness for work and life: Rachel's story")</f>
        <v>Transgender awareness for work and life: Rachel's story</v>
      </c>
      <c r="F499" s="142" t="str">
        <f>IFERROR(__xludf.DUMMYFUNCTION("""COMPUTED_VALUE"""),"Skill Boosters")</f>
        <v>Skill Boosters</v>
      </c>
      <c r="G499" t="str">
        <f>IFERROR(__xludf.DUMMYFUNCTION("""COMPUTED_VALUE"""),"Instructor Request- Opted Out")</f>
        <v>Instructor Request- Opted Out</v>
      </c>
      <c r="H499" s="142" t="str">
        <f>IFERROR(__xludf.DUMMYFUNCTION("""COMPUTED_VALUE"""),"Human Resources")</f>
        <v>Human Resources</v>
      </c>
      <c r="I499" s="140" t="str">
        <f>IFERROR(__xludf.DUMMYFUNCTION("""COMPUTED_VALUE"""),"Compliance")</f>
        <v>Compliance</v>
      </c>
      <c r="J499">
        <f>IFERROR(__xludf.DUMMYFUNCTION("""COMPUTED_VALUE"""),491274.0)</f>
        <v>491274</v>
      </c>
      <c r="K499" s="140" t="str">
        <f>IFERROR(__xludf.DUMMYFUNCTION("""COMPUTED_VALUE"""),"Respect Gender &amp; Sexual Differences &amp; Assert Yourself")</f>
        <v>Respect Gender &amp; Sexual Differences &amp; Assert Yourself</v>
      </c>
      <c r="M499" s="140" t="str">
        <f>IFERROR(__xludf.DUMMYFUNCTION("""COMPUTED_VALUE"""),"")</f>
        <v/>
      </c>
      <c r="N499" s="140" t="str">
        <f>IFERROR(__xludf.DUMMYFUNCTION("""COMPUTED_VALUE"""),"Terms Change")</f>
        <v>Terms Change</v>
      </c>
    </row>
    <row r="500">
      <c r="A500" s="141">
        <f>IFERROR(__xludf.DUMMYFUNCTION("""COMPUTED_VALUE"""),43861.0)</f>
        <v>43861</v>
      </c>
      <c r="B500" s="140">
        <f>IFERROR(__xludf.DUMMYFUNCTION("""COMPUTED_VALUE"""),896798.0)</f>
        <v>896798</v>
      </c>
      <c r="C500" s="140" t="str">
        <f>IFERROR(__xludf.DUMMYFUNCTION("""COMPUTED_VALUE"""),"EN")</f>
        <v>EN</v>
      </c>
      <c r="D500" s="140" t="str">
        <f>IFERROR(__xludf.DUMMYFUNCTION("""COMPUTED_VALUE"""),"Office 365 Yammer")</f>
        <v>Office 365 Yammer</v>
      </c>
      <c r="F500" s="142" t="str">
        <f>IFERROR(__xludf.DUMMYFUNCTION("""COMPUTED_VALUE"""),"Intellezy Trainers")</f>
        <v>Intellezy Trainers</v>
      </c>
      <c r="G500" t="str">
        <f>IFERROR(__xludf.DUMMYFUNCTION("""COMPUTED_VALUE"""),"Instructor Request- Opted Out")</f>
        <v>Instructor Request- Opted Out</v>
      </c>
      <c r="H500" s="142" t="str">
        <f>IFERROR(__xludf.DUMMYFUNCTION("""COMPUTED_VALUE"""),"Office Productivity")</f>
        <v>Office Productivity</v>
      </c>
      <c r="I500" s="140" t="str">
        <f>IFERROR(__xludf.DUMMYFUNCTION("""COMPUTED_VALUE"""),"Collaboration")</f>
        <v>Collaboration</v>
      </c>
      <c r="K500" s="140" t="str">
        <f>IFERROR(__xludf.DUMMYFUNCTION("""COMPUTED_VALUE"""),"")</f>
        <v/>
      </c>
      <c r="M500" s="140" t="str">
        <f>IFERROR(__xludf.DUMMYFUNCTION("""COMPUTED_VALUE"""),"")</f>
        <v/>
      </c>
      <c r="N500" s="140" t="str">
        <f>IFERROR(__xludf.DUMMYFUNCTION("""COMPUTED_VALUE"""),"Terms Change / No alternatives in Collection- 1/24/2020")</f>
        <v>Terms Change / No alternatives in Collection- 1/24/2020</v>
      </c>
    </row>
    <row r="501">
      <c r="A501" s="141">
        <f>IFERROR(__xludf.DUMMYFUNCTION("""COMPUTED_VALUE"""),43861.0)</f>
        <v>43861</v>
      </c>
      <c r="B501" s="140">
        <f>IFERROR(__xludf.DUMMYFUNCTION("""COMPUTED_VALUE"""),2206170.0)</f>
        <v>2206170</v>
      </c>
      <c r="C501" s="140" t="str">
        <f>IFERROR(__xludf.DUMMYFUNCTION("""COMPUTED_VALUE"""),"EN")</f>
        <v>EN</v>
      </c>
      <c r="D501" s="140" t="str">
        <f>IFERROR(__xludf.DUMMYFUNCTION("""COMPUTED_VALUE"""),"AZ-900 Azure Exam Prep: Understand Azure Pricing &amp; Support")</f>
        <v>AZ-900 Azure Exam Prep: Understand Azure Pricing &amp; Support</v>
      </c>
      <c r="F501" s="142" t="str">
        <f>IFERROR(__xludf.DUMMYFUNCTION("""COMPUTED_VALUE"""),"Thomas Mitchell")</f>
        <v>Thomas Mitchell</v>
      </c>
      <c r="G501" t="str">
        <f>IFERROR(__xludf.DUMMYFUNCTION("""COMPUTED_VALUE"""),"Instructor Request- Outdated")</f>
        <v>Instructor Request- Outdated</v>
      </c>
      <c r="H501" s="142" t="str">
        <f>IFERROR(__xludf.DUMMYFUNCTION("""COMPUTED_VALUE"""),"IT Operations")</f>
        <v>IT Operations</v>
      </c>
      <c r="I501" s="140" t="str">
        <f>IFERROR(__xludf.DUMMYFUNCTION("""COMPUTED_VALUE"""),"IT Certifications")</f>
        <v>IT Certifications</v>
      </c>
      <c r="J501">
        <f>IFERROR(__xludf.DUMMYFUNCTION("""COMPUTED_VALUE"""),1704776.0)</f>
        <v>1704776</v>
      </c>
      <c r="K501" s="140" t="str">
        <f>IFERROR(__xludf.DUMMYFUNCTION("""COMPUTED_VALUE"""),"Microsoft Azure - Beginner's Guide + AZ-900 -  2021")</f>
        <v>Microsoft Azure - Beginner's Guide + AZ-900 -  2021</v>
      </c>
      <c r="M501" s="140" t="str">
        <f>IFERROR(__xludf.DUMMYFUNCTION("""COMPUTED_VALUE"""),"")</f>
        <v/>
      </c>
    </row>
    <row r="502">
      <c r="A502" s="141">
        <f>IFERROR(__xludf.DUMMYFUNCTION("""COMPUTED_VALUE"""),43861.0)</f>
        <v>43861</v>
      </c>
      <c r="B502" s="140">
        <f>IFERROR(__xludf.DUMMYFUNCTION("""COMPUTED_VALUE"""),1347022.0)</f>
        <v>1347022</v>
      </c>
      <c r="C502" s="140" t="str">
        <f>IFERROR(__xludf.DUMMYFUNCTION("""COMPUTED_VALUE"""),"EN")</f>
        <v>EN</v>
      </c>
      <c r="D502" s="140" t="str">
        <f>IFERROR(__xludf.DUMMYFUNCTION("""COMPUTED_VALUE"""),"7 steps to effective Performance Management Conversations")</f>
        <v>7 steps to effective Performance Management Conversations</v>
      </c>
      <c r="F502" s="142" t="str">
        <f>IFERROR(__xludf.DUMMYFUNCTION("""COMPUTED_VALUE"""),"Skill Boosters")</f>
        <v>Skill Boosters</v>
      </c>
      <c r="G502" t="str">
        <f>IFERROR(__xludf.DUMMYFUNCTION("""COMPUTED_VALUE"""),"Instructor Request- Opted Out")</f>
        <v>Instructor Request- Opted Out</v>
      </c>
      <c r="H502" s="142" t="str">
        <f>IFERROR(__xludf.DUMMYFUNCTION("""COMPUTED_VALUE"""),"Leadership &amp; Management")</f>
        <v>Leadership &amp; Management</v>
      </c>
      <c r="I502" s="140" t="str">
        <f>IFERROR(__xludf.DUMMYFUNCTION("""COMPUTED_VALUE"""),"Leadership")</f>
        <v>Leadership</v>
      </c>
      <c r="J502">
        <f>IFERROR(__xludf.DUMMYFUNCTION("""COMPUTED_VALUE"""),1211916.0)</f>
        <v>1211916</v>
      </c>
      <c r="K502" s="140" t="str">
        <f>IFERROR(__xludf.DUMMYFUNCTION("""COMPUTED_VALUE"""),"[2022] The Essentials of Feedback &amp; Performance Management")</f>
        <v>[2022] The Essentials of Feedback &amp; Performance Management</v>
      </c>
      <c r="M502" s="140" t="str">
        <f>IFERROR(__xludf.DUMMYFUNCTION("""COMPUTED_VALUE"""),"")</f>
        <v/>
      </c>
      <c r="N502" s="140" t="str">
        <f>IFERROR(__xludf.DUMMYFUNCTION("""COMPUTED_VALUE"""),"Terms Change")</f>
        <v>Terms Change</v>
      </c>
    </row>
    <row r="503">
      <c r="A503" s="141">
        <f>IFERROR(__xludf.DUMMYFUNCTION("""COMPUTED_VALUE"""),43861.0)</f>
        <v>43861</v>
      </c>
      <c r="B503" s="140">
        <f>IFERROR(__xludf.DUMMYFUNCTION("""COMPUTED_VALUE"""),890496.0)</f>
        <v>890496</v>
      </c>
      <c r="C503" s="140" t="str">
        <f>IFERROR(__xludf.DUMMYFUNCTION("""COMPUTED_VALUE"""),"EN")</f>
        <v>EN</v>
      </c>
      <c r="D503" s="140" t="str">
        <f>IFERROR(__xludf.DUMMYFUNCTION("""COMPUTED_VALUE"""),"Access 2013 Advanced")</f>
        <v>Access 2013 Advanced</v>
      </c>
      <c r="F503" s="142" t="str">
        <f>IFERROR(__xludf.DUMMYFUNCTION("""COMPUTED_VALUE"""),"Intellezy Trainers")</f>
        <v>Intellezy Trainers</v>
      </c>
      <c r="G503" t="str">
        <f>IFERROR(__xludf.DUMMYFUNCTION("""COMPUTED_VALUE"""),"Instructor Request- Opted Out")</f>
        <v>Instructor Request- Opted Out</v>
      </c>
      <c r="H503" s="142" t="str">
        <f>IFERROR(__xludf.DUMMYFUNCTION("""COMPUTED_VALUE"""),"IT Operations")</f>
        <v>IT Operations</v>
      </c>
      <c r="I503" s="140" t="str">
        <f>IFERROR(__xludf.DUMMYFUNCTION("""COMPUTED_VALUE"""),"Database Administration")</f>
        <v>Database Administration</v>
      </c>
      <c r="J503">
        <f>IFERROR(__xludf.DUMMYFUNCTION("""COMPUTED_VALUE"""),99750.0)</f>
        <v>99750</v>
      </c>
      <c r="K503" s="140" t="str">
        <f>IFERROR(__xludf.DUMMYFUNCTION("""COMPUTED_VALUE"""),"Microsoft Access 2013 Advanced Course")</f>
        <v>Microsoft Access 2013 Advanced Course</v>
      </c>
      <c r="M503" s="140" t="str">
        <f>IFERROR(__xludf.DUMMYFUNCTION("""COMPUTED_VALUE"""),"")</f>
        <v/>
      </c>
      <c r="N503" s="140" t="str">
        <f>IFERROR(__xludf.DUMMYFUNCTION("""COMPUTED_VALUE"""),"Terms Change ")</f>
        <v>Terms Change </v>
      </c>
    </row>
    <row r="504">
      <c r="A504" s="141">
        <f>IFERROR(__xludf.DUMMYFUNCTION("""COMPUTED_VALUE"""),43861.0)</f>
        <v>43861</v>
      </c>
      <c r="B504" s="140">
        <f>IFERROR(__xludf.DUMMYFUNCTION("""COMPUTED_VALUE"""),1714532.0)</f>
        <v>1714532</v>
      </c>
      <c r="C504" s="140" t="str">
        <f>IFERROR(__xludf.DUMMYFUNCTION("""COMPUTED_VALUE"""),"EN")</f>
        <v>EN</v>
      </c>
      <c r="D504" s="140" t="str">
        <f>IFERROR(__xludf.DUMMYFUNCTION("""COMPUTED_VALUE"""),"Windows Server-Installation, Storage, Compute (Exam 70-740)")</f>
        <v>Windows Server-Installation, Storage, Compute (Exam 70-740)</v>
      </c>
      <c r="F504" s="142" t="str">
        <f>IFERROR(__xludf.DUMMYFUNCTION("""COMPUTED_VALUE"""),"Intellezy Trainers")</f>
        <v>Intellezy Trainers</v>
      </c>
      <c r="G504" t="str">
        <f>IFERROR(__xludf.DUMMYFUNCTION("""COMPUTED_VALUE"""),"Instructor Request- Opted Out")</f>
        <v>Instructor Request- Opted Out</v>
      </c>
      <c r="H504" s="142" t="str">
        <f>IFERROR(__xludf.DUMMYFUNCTION("""COMPUTED_VALUE"""),"IT Operations")</f>
        <v>IT Operations</v>
      </c>
      <c r="I504" s="140" t="str">
        <f>IFERROR(__xludf.DUMMYFUNCTION("""COMPUTED_VALUE"""),"IT Certifications")</f>
        <v>IT Certifications</v>
      </c>
      <c r="J504">
        <f>IFERROR(__xludf.DUMMYFUNCTION("""COMPUTED_VALUE"""),2022160.0)</f>
        <v>2022160</v>
      </c>
      <c r="K504" s="140" t="str">
        <f>IFERROR(__xludf.DUMMYFUNCTION("""COMPUTED_VALUE"""),"")</f>
        <v/>
      </c>
      <c r="M504" s="140" t="str">
        <f>IFERROR(__xludf.DUMMYFUNCTION("""COMPUTED_VALUE"""),"")</f>
        <v/>
      </c>
      <c r="N504" s="140" t="str">
        <f>IFERROR(__xludf.DUMMYFUNCTION("""COMPUTED_VALUE"""),"Terms Change ")</f>
        <v>Terms Change </v>
      </c>
    </row>
    <row r="505">
      <c r="A505" s="141">
        <f>IFERROR(__xludf.DUMMYFUNCTION("""COMPUTED_VALUE"""),43861.0)</f>
        <v>43861</v>
      </c>
      <c r="B505" s="140">
        <f>IFERROR(__xludf.DUMMYFUNCTION("""COMPUTED_VALUE"""),317408.0)</f>
        <v>317408</v>
      </c>
      <c r="C505" s="140" t="str">
        <f>IFERROR(__xludf.DUMMYFUNCTION("""COMPUTED_VALUE"""),"EN")</f>
        <v>EN</v>
      </c>
      <c r="D505" s="140" t="str">
        <f>IFERROR(__xludf.DUMMYFUNCTION("""COMPUTED_VALUE"""),"Introduction to Google Sheets")</f>
        <v>Introduction to Google Sheets</v>
      </c>
      <c r="F505" s="142" t="str">
        <f>IFERROR(__xludf.DUMMYFUNCTION("""COMPUTED_VALUE"""),"Intellezy Trainers")</f>
        <v>Intellezy Trainers</v>
      </c>
      <c r="G505" t="str">
        <f>IFERROR(__xludf.DUMMYFUNCTION("""COMPUTED_VALUE"""),"Instructor Request- Opted Out")</f>
        <v>Instructor Request- Opted Out</v>
      </c>
      <c r="H505" s="142" t="str">
        <f>IFERROR(__xludf.DUMMYFUNCTION("""COMPUTED_VALUE"""),"Office Productivity")</f>
        <v>Office Productivity</v>
      </c>
      <c r="I505" s="140" t="str">
        <f>IFERROR(__xludf.DUMMYFUNCTION("""COMPUTED_VALUE"""),"Spreadsheets")</f>
        <v>Spreadsheets</v>
      </c>
      <c r="J505">
        <f>IFERROR(__xludf.DUMMYFUNCTION("""COMPUTED_VALUE"""),1916470.0)</f>
        <v>1916470</v>
      </c>
      <c r="K505" s="140" t="str">
        <f>IFERROR(__xludf.DUMMYFUNCTION("""COMPUTED_VALUE"""),"The Complete Google Sheets Course: Beginner to Advanced!")</f>
        <v>The Complete Google Sheets Course: Beginner to Advanced!</v>
      </c>
      <c r="L505">
        <f>IFERROR(__xludf.DUMMYFUNCTION("""COMPUTED_VALUE"""),295503.0)</f>
        <v>295503</v>
      </c>
      <c r="M505" s="140" t="str">
        <f>IFERROR(__xludf.DUMMYFUNCTION("""COMPUTED_VALUE"""),"Master Google Sheets (and see why it's better than Excel)")</f>
        <v>Master Google Sheets (and see why it's better than Excel)</v>
      </c>
      <c r="N505" s="140" t="str">
        <f>IFERROR(__xludf.DUMMYFUNCTION("""COMPUTED_VALUE"""),"Terms Change ")</f>
        <v>Terms Change </v>
      </c>
    </row>
    <row r="506">
      <c r="A506" s="141">
        <f>IFERROR(__xludf.DUMMYFUNCTION("""COMPUTED_VALUE"""),43861.0)</f>
        <v>43861</v>
      </c>
      <c r="B506" s="140">
        <f>IFERROR(__xludf.DUMMYFUNCTION("""COMPUTED_VALUE"""),893696.0)</f>
        <v>893696</v>
      </c>
      <c r="C506" s="140" t="str">
        <f>IFERROR(__xludf.DUMMYFUNCTION("""COMPUTED_VALUE"""),"EN")</f>
        <v>EN</v>
      </c>
      <c r="D506" s="140" t="str">
        <f>IFERROR(__xludf.DUMMYFUNCTION("""COMPUTED_VALUE"""),"PowerPoint 2013 Advanced")</f>
        <v>PowerPoint 2013 Advanced</v>
      </c>
      <c r="F506" s="142" t="str">
        <f>IFERROR(__xludf.DUMMYFUNCTION("""COMPUTED_VALUE"""),"Intellezy Trainers")</f>
        <v>Intellezy Trainers</v>
      </c>
      <c r="G506" t="str">
        <f>IFERROR(__xludf.DUMMYFUNCTION("""COMPUTED_VALUE"""),"Instructor Request- Opted Out")</f>
        <v>Instructor Request- Opted Out</v>
      </c>
      <c r="H506" s="142" t="str">
        <f>IFERROR(__xludf.DUMMYFUNCTION("""COMPUTED_VALUE"""),"Office Productivity")</f>
        <v>Office Productivity</v>
      </c>
      <c r="I506" s="140" t="str">
        <f>IFERROR(__xludf.DUMMYFUNCTION("""COMPUTED_VALUE"""),"Presentations")</f>
        <v>Presentations</v>
      </c>
      <c r="J506">
        <f>IFERROR(__xludf.DUMMYFUNCTION("""COMPUTED_VALUE"""),384496.0)</f>
        <v>384496</v>
      </c>
      <c r="K506" s="140" t="str">
        <f>IFERROR(__xludf.DUMMYFUNCTION("""COMPUTED_VALUE"""),"Powerpoint 2016 2019 365 - Master powerpoint presentation")</f>
        <v>Powerpoint 2016 2019 365 - Master powerpoint presentation</v>
      </c>
      <c r="M506" s="140" t="str">
        <f>IFERROR(__xludf.DUMMYFUNCTION("""COMPUTED_VALUE"""),"")</f>
        <v/>
      </c>
      <c r="N506" s="140" t="str">
        <f>IFERROR(__xludf.DUMMYFUNCTION("""COMPUTED_VALUE"""),"Terms Change")</f>
        <v>Terms Change</v>
      </c>
    </row>
    <row r="507">
      <c r="A507" s="141">
        <f>IFERROR(__xludf.DUMMYFUNCTION("""COMPUTED_VALUE"""),43861.0)</f>
        <v>43861</v>
      </c>
      <c r="B507" s="140">
        <f>IFERROR(__xludf.DUMMYFUNCTION("""COMPUTED_VALUE"""),994160.0)</f>
        <v>994160</v>
      </c>
      <c r="C507" s="140" t="str">
        <f>IFERROR(__xludf.DUMMYFUNCTION("""COMPUTED_VALUE"""),"EN")</f>
        <v>EN</v>
      </c>
      <c r="D507" s="140" t="str">
        <f>IFERROR(__xludf.DUMMYFUNCTION("""COMPUTED_VALUE"""),"Azure - Active Directory")</f>
        <v>Azure - Active Directory</v>
      </c>
      <c r="F507" s="142" t="str">
        <f>IFERROR(__xludf.DUMMYFUNCTION("""COMPUTED_VALUE"""),"Intellezy Trainers")</f>
        <v>Intellezy Trainers</v>
      </c>
      <c r="G507" t="str">
        <f>IFERROR(__xludf.DUMMYFUNCTION("""COMPUTED_VALUE"""),"Instructor Request- Opted Out")</f>
        <v>Instructor Request- Opted Out</v>
      </c>
      <c r="H507" s="142" t="str">
        <f>IFERROR(__xludf.DUMMYFUNCTION("""COMPUTED_VALUE"""),"IT Operations")</f>
        <v>IT Operations</v>
      </c>
      <c r="I507" s="140" t="str">
        <f>IFERROR(__xludf.DUMMYFUNCTION("""COMPUTED_VALUE"""),"Operating Systems &amp; Servers")</f>
        <v>Operating Systems &amp; Servers</v>
      </c>
      <c r="K507" s="140" t="str">
        <f>IFERROR(__xludf.DUMMYFUNCTION("""COMPUTED_VALUE"""),"")</f>
        <v/>
      </c>
      <c r="M507" s="140" t="str">
        <f>IFERROR(__xludf.DUMMYFUNCTION("""COMPUTED_VALUE"""),"")</f>
        <v/>
      </c>
      <c r="N507" s="140" t="str">
        <f>IFERROR(__xludf.DUMMYFUNCTION("""COMPUTED_VALUE"""),"Terms Change - No Alternatives in Collection - 9/11")</f>
        <v>Terms Change - No Alternatives in Collection - 9/11</v>
      </c>
    </row>
    <row r="508">
      <c r="A508" s="141">
        <f>IFERROR(__xludf.DUMMYFUNCTION("""COMPUTED_VALUE"""),43861.0)</f>
        <v>43861</v>
      </c>
      <c r="B508" s="140">
        <f>IFERROR(__xludf.DUMMYFUNCTION("""COMPUTED_VALUE"""),2102492.0)</f>
        <v>2102492</v>
      </c>
      <c r="C508" s="140" t="str">
        <f>IFERROR(__xludf.DUMMYFUNCTION("""COMPUTED_VALUE"""),"EN")</f>
        <v>EN</v>
      </c>
      <c r="D508" s="140" t="str">
        <f>IFERROR(__xludf.DUMMYFUNCTION("""COMPUTED_VALUE"""),"AZ-900 Azure Exam Prep: Understanding Core Azure Services")</f>
        <v>AZ-900 Azure Exam Prep: Understanding Core Azure Services</v>
      </c>
      <c r="F508" s="142" t="str">
        <f>IFERROR(__xludf.DUMMYFUNCTION("""COMPUTED_VALUE"""),"Thomas Mitchell")</f>
        <v>Thomas Mitchell</v>
      </c>
      <c r="G508" t="str">
        <f>IFERROR(__xludf.DUMMYFUNCTION("""COMPUTED_VALUE"""),"Instructor Request- Outdated")</f>
        <v>Instructor Request- Outdated</v>
      </c>
      <c r="H508" s="142" t="str">
        <f>IFERROR(__xludf.DUMMYFUNCTION("""COMPUTED_VALUE"""),"IT Operations")</f>
        <v>IT Operations</v>
      </c>
      <c r="I508" s="140" t="str">
        <f>IFERROR(__xludf.DUMMYFUNCTION("""COMPUTED_VALUE"""),"IT Certifications")</f>
        <v>IT Certifications</v>
      </c>
      <c r="J508">
        <f>IFERROR(__xludf.DUMMYFUNCTION("""COMPUTED_VALUE"""),1704776.0)</f>
        <v>1704776</v>
      </c>
      <c r="K508" s="140" t="str">
        <f>IFERROR(__xludf.DUMMYFUNCTION("""COMPUTED_VALUE"""),"Microsoft Azure - Beginner's Guide + AZ-900 -  2021")</f>
        <v>Microsoft Azure - Beginner's Guide + AZ-900 -  2021</v>
      </c>
      <c r="M508" s="140" t="str">
        <f>IFERROR(__xludf.DUMMYFUNCTION("""COMPUTED_VALUE"""),"")</f>
        <v/>
      </c>
    </row>
    <row r="509">
      <c r="A509" s="141">
        <f>IFERROR(__xludf.DUMMYFUNCTION("""COMPUTED_VALUE"""),43861.0)</f>
        <v>43861</v>
      </c>
      <c r="B509" s="140">
        <f>IFERROR(__xludf.DUMMYFUNCTION("""COMPUTED_VALUE"""),943116.0)</f>
        <v>943116</v>
      </c>
      <c r="C509" s="140" t="str">
        <f>IFERROR(__xludf.DUMMYFUNCTION("""COMPUTED_VALUE"""),"EN")</f>
        <v>EN</v>
      </c>
      <c r="D509" s="140" t="str">
        <f>IFERROR(__xludf.DUMMYFUNCTION("""COMPUTED_VALUE"""),"Office 365 OneNote Online")</f>
        <v>Office 365 OneNote Online</v>
      </c>
      <c r="F509" s="142" t="str">
        <f>IFERROR(__xludf.DUMMYFUNCTION("""COMPUTED_VALUE"""),"Intellezy Trainers")</f>
        <v>Intellezy Trainers</v>
      </c>
      <c r="G509" t="str">
        <f>IFERROR(__xludf.DUMMYFUNCTION("""COMPUTED_VALUE"""),"Instructor Request- Opted Out")</f>
        <v>Instructor Request- Opted Out</v>
      </c>
      <c r="H509" s="142" t="str">
        <f>IFERROR(__xludf.DUMMYFUNCTION("""COMPUTED_VALUE"""),"Office Productivity")</f>
        <v>Office Productivity</v>
      </c>
      <c r="I509" s="140" t="str">
        <f>IFERROR(__xludf.DUMMYFUNCTION("""COMPUTED_VALUE"""),"Email &amp; Productivity")</f>
        <v>Email &amp; Productivity</v>
      </c>
      <c r="J509">
        <f>IFERROR(__xludf.DUMMYFUNCTION("""COMPUTED_VALUE"""),435078.0)</f>
        <v>435078</v>
      </c>
      <c r="K509" s="140" t="str">
        <f>IFERROR(__xludf.DUMMYFUNCTION("""COMPUTED_VALUE"""),"Microsoft OneNote Like a Boss. The Definitive Course.")</f>
        <v>Microsoft OneNote Like a Boss. The Definitive Course.</v>
      </c>
      <c r="M509" s="140" t="str">
        <f>IFERROR(__xludf.DUMMYFUNCTION("""COMPUTED_VALUE"""),"")</f>
        <v/>
      </c>
      <c r="N509" s="140" t="str">
        <f>IFERROR(__xludf.DUMMYFUNCTION("""COMPUTED_VALUE"""),"Terms Change ")</f>
        <v>Terms Change </v>
      </c>
    </row>
    <row r="510">
      <c r="A510" s="141">
        <f>IFERROR(__xludf.DUMMYFUNCTION("""COMPUTED_VALUE"""),43861.0)</f>
        <v>43861</v>
      </c>
      <c r="B510" s="140">
        <f>IFERROR(__xludf.DUMMYFUNCTION("""COMPUTED_VALUE"""),890864.0)</f>
        <v>890864</v>
      </c>
      <c r="C510" s="140" t="str">
        <f>IFERROR(__xludf.DUMMYFUNCTION("""COMPUTED_VALUE"""),"EN")</f>
        <v>EN</v>
      </c>
      <c r="D510" s="140" t="str">
        <f>IFERROR(__xludf.DUMMYFUNCTION("""COMPUTED_VALUE"""),"Excel 2016 Advanced")</f>
        <v>Excel 2016 Advanced</v>
      </c>
      <c r="F510" s="142" t="str">
        <f>IFERROR(__xludf.DUMMYFUNCTION("""COMPUTED_VALUE"""),"Intellezy Trainers")</f>
        <v>Intellezy Trainers</v>
      </c>
      <c r="G510" t="str">
        <f>IFERROR(__xludf.DUMMYFUNCTION("""COMPUTED_VALUE"""),"Instructor Request- Opted Out")</f>
        <v>Instructor Request- Opted Out</v>
      </c>
      <c r="H510" s="142" t="str">
        <f>IFERROR(__xludf.DUMMYFUNCTION("""COMPUTED_VALUE"""),"Office Productivity")</f>
        <v>Office Productivity</v>
      </c>
      <c r="I510" s="140" t="str">
        <f>IFERROR(__xludf.DUMMYFUNCTION("""COMPUTED_VALUE"""),"Spreadsheets")</f>
        <v>Spreadsheets</v>
      </c>
      <c r="J510">
        <f>IFERROR(__xludf.DUMMYFUNCTION("""COMPUTED_VALUE"""),793796.0)</f>
        <v>793796</v>
      </c>
      <c r="K510" s="140" t="str">
        <f>IFERROR(__xludf.DUMMYFUNCTION("""COMPUTED_VALUE"""),"Microsoft Excel - Excel from Beginner to Advanced")</f>
        <v>Microsoft Excel - Excel from Beginner to Advanced</v>
      </c>
      <c r="M510" s="140" t="str">
        <f>IFERROR(__xludf.DUMMYFUNCTION("""COMPUTED_VALUE"""),"")</f>
        <v/>
      </c>
      <c r="N510" s="140" t="str">
        <f>IFERROR(__xludf.DUMMYFUNCTION("""COMPUTED_VALUE"""),"Terms Change")</f>
        <v>Terms Change</v>
      </c>
    </row>
    <row r="511">
      <c r="A511" s="141">
        <f>IFERROR(__xludf.DUMMYFUNCTION("""COMPUTED_VALUE"""),43861.0)</f>
        <v>43861</v>
      </c>
      <c r="B511" s="140">
        <f>IFERROR(__xludf.DUMMYFUNCTION("""COMPUTED_VALUE"""),51295.0)</f>
        <v>51295</v>
      </c>
      <c r="C511" s="140" t="str">
        <f>IFERROR(__xludf.DUMMYFUNCTION("""COMPUTED_VALUE"""),"EN")</f>
        <v>EN</v>
      </c>
      <c r="D511" s="140" t="str">
        <f>IFERROR(__xludf.DUMMYFUNCTION("""COMPUTED_VALUE"""),"Captivate 5 New Features")</f>
        <v>Captivate 5 New Features</v>
      </c>
      <c r="F511" s="142" t="str">
        <f>IFERROR(__xludf.DUMMYFUNCTION("""COMPUTED_VALUE"""),"Intellezy Trainers")</f>
        <v>Intellezy Trainers</v>
      </c>
      <c r="G511" t="str">
        <f>IFERROR(__xludf.DUMMYFUNCTION("""COMPUTED_VALUE"""),"Instructor Request- Opted Out")</f>
        <v>Instructor Request- Opted Out</v>
      </c>
      <c r="H511" s="142" t="str">
        <f>IFERROR(__xludf.DUMMYFUNCTION("""COMPUTED_VALUE"""),"Office Productivity")</f>
        <v>Office Productivity</v>
      </c>
      <c r="I511" s="140" t="str">
        <f>IFERROR(__xludf.DUMMYFUNCTION("""COMPUTED_VALUE"""),"Presentations")</f>
        <v>Presentations</v>
      </c>
      <c r="K511" s="140" t="str">
        <f>IFERROR(__xludf.DUMMYFUNCTION("""COMPUTED_VALUE"""),"")</f>
        <v/>
      </c>
      <c r="M511" s="140" t="str">
        <f>IFERROR(__xludf.DUMMYFUNCTION("""COMPUTED_VALUE"""),"")</f>
        <v/>
      </c>
      <c r="N511" s="140" t="str">
        <f>IFERROR(__xludf.DUMMYFUNCTION("""COMPUTED_VALUE"""),"Terms Change / No alternatives in Collection- 1/24/2020")</f>
        <v>Terms Change / No alternatives in Collection- 1/24/2020</v>
      </c>
    </row>
    <row r="512">
      <c r="A512" s="141">
        <f>IFERROR(__xludf.DUMMYFUNCTION("""COMPUTED_VALUE"""),43861.0)</f>
        <v>43861</v>
      </c>
      <c r="B512" s="140">
        <f>IFERROR(__xludf.DUMMYFUNCTION("""COMPUTED_VALUE"""),1355906.0)</f>
        <v>1355906</v>
      </c>
      <c r="C512" s="140" t="str">
        <f>IFERROR(__xludf.DUMMYFUNCTION("""COMPUTED_VALUE"""),"EN")</f>
        <v>EN</v>
      </c>
      <c r="D512" s="140" t="str">
        <f>IFERROR(__xludf.DUMMYFUNCTION("""COMPUTED_VALUE"""),"Understanding Unconscious Bias")</f>
        <v>Understanding Unconscious Bias</v>
      </c>
      <c r="F512" s="142" t="str">
        <f>IFERROR(__xludf.DUMMYFUNCTION("""COMPUTED_VALUE"""),"Skill Boosters")</f>
        <v>Skill Boosters</v>
      </c>
      <c r="G512" t="str">
        <f>IFERROR(__xludf.DUMMYFUNCTION("""COMPUTED_VALUE"""),"Instructor Request- Opted Out")</f>
        <v>Instructor Request- Opted Out</v>
      </c>
      <c r="H512" s="142" t="str">
        <f>IFERROR(__xludf.DUMMYFUNCTION("""COMPUTED_VALUE"""),"Human Resources")</f>
        <v>Human Resources</v>
      </c>
      <c r="I512" s="140" t="str">
        <f>IFERROR(__xludf.DUMMYFUNCTION("""COMPUTED_VALUE"""),"Compliance")</f>
        <v>Compliance</v>
      </c>
      <c r="J512">
        <f>IFERROR(__xludf.DUMMYFUNCTION("""COMPUTED_VALUE"""),1210442.0)</f>
        <v>1210442</v>
      </c>
      <c r="K512" s="140" t="str">
        <f>IFERROR(__xludf.DUMMYFUNCTION("""COMPUTED_VALUE"""),"Psychology of Diversity and Unconscious Bias")</f>
        <v>Psychology of Diversity and Unconscious Bias</v>
      </c>
      <c r="M512" s="140" t="str">
        <f>IFERROR(__xludf.DUMMYFUNCTION("""COMPUTED_VALUE"""),"")</f>
        <v/>
      </c>
      <c r="N512" s="140" t="str">
        <f>IFERROR(__xludf.DUMMYFUNCTION("""COMPUTED_VALUE"""),"Terms Change")</f>
        <v>Terms Change</v>
      </c>
    </row>
    <row r="513">
      <c r="A513" s="141">
        <f>IFERROR(__xludf.DUMMYFUNCTION("""COMPUTED_VALUE"""),43861.0)</f>
        <v>43861</v>
      </c>
      <c r="B513" s="140">
        <f>IFERROR(__xludf.DUMMYFUNCTION("""COMPUTED_VALUE"""),1420984.0)</f>
        <v>1420984</v>
      </c>
      <c r="C513" s="140" t="str">
        <f>IFERROR(__xludf.DUMMYFUNCTION("""COMPUTED_VALUE"""),"DE")</f>
        <v>DE</v>
      </c>
      <c r="D513" s="140" t="str">
        <f>IFERROR(__xludf.DUMMYFUNCTION("""COMPUTED_VALUE"""),"Microsoft Office PowerPoint 2016: Level 2 (Fortgeschritten)")</f>
        <v>Microsoft Office PowerPoint 2016: Level 2 (Fortgeschritten)</v>
      </c>
      <c r="E513" s="140" t="str">
        <f>IFERROR(__xludf.DUMMYFUNCTION("""COMPUTED_VALUE"""),"Microsoft Office PowerPoint 2016: Level 2 (Advanced)")</f>
        <v>Microsoft Office PowerPoint 2016: Level 2 (Advanced)</v>
      </c>
      <c r="F513" s="142" t="str">
        <f>IFERROR(__xludf.DUMMYFUNCTION("""COMPUTED_VALUE"""),"SONIC Performance Support - E-Learning Experts")</f>
        <v>SONIC Performance Support - E-Learning Experts</v>
      </c>
      <c r="G513" t="str">
        <f>IFERROR(__xludf.DUMMYFUNCTION("""COMPUTED_VALUE"""),"Instructor Request- Opted Out")</f>
        <v>Instructor Request- Opted Out</v>
      </c>
      <c r="H513" s="142" t="str">
        <f>IFERROR(__xludf.DUMMYFUNCTION("""COMPUTED_VALUE"""),"Office Productivity")</f>
        <v>Office Productivity</v>
      </c>
      <c r="I513" s="140" t="str">
        <f>IFERROR(__xludf.DUMMYFUNCTION("""COMPUTED_VALUE"""),"Presentations")</f>
        <v>Presentations</v>
      </c>
      <c r="J513">
        <f>IFERROR(__xludf.DUMMYFUNCTION("""COMPUTED_VALUE"""),2288577.0)</f>
        <v>2288577</v>
      </c>
      <c r="K513" s="140" t="str">
        <f>IFERROR(__xludf.DUMMYFUNCTION("""COMPUTED_VALUE"""),"Next Level PowerPoint - kreative Bildgestaltung im Marketing")</f>
        <v>Next Level PowerPoint - kreative Bildgestaltung im Marketing</v>
      </c>
      <c r="M513" s="140" t="str">
        <f>IFERROR(__xludf.DUMMYFUNCTION("""COMPUTED_VALUE"""),"")</f>
        <v/>
      </c>
      <c r="N513" s="140" t="str">
        <f>IFERROR(__xludf.DUMMYFUNCTION("""COMPUTED_VALUE"""),"Terms Change - German Course")</f>
        <v>Terms Change - German Course</v>
      </c>
    </row>
    <row r="514">
      <c r="A514" s="141">
        <f>IFERROR(__xludf.DUMMYFUNCTION("""COMPUTED_VALUE"""),43861.0)</f>
        <v>43861</v>
      </c>
      <c r="B514" s="140">
        <f>IFERROR(__xludf.DUMMYFUNCTION("""COMPUTED_VALUE"""),2228886.0)</f>
        <v>2228886</v>
      </c>
      <c r="C514" s="140" t="str">
        <f>IFERROR(__xludf.DUMMYFUNCTION("""COMPUTED_VALUE"""),"DE")</f>
        <v>DE</v>
      </c>
      <c r="D514" s="140" t="str">
        <f>IFERROR(__xludf.DUMMYFUNCTION("""COMPUTED_VALUE"""),"Microsoft OneNote 2016 - das elektronische Notizbuch")</f>
        <v>Microsoft OneNote 2016 - das elektronische Notizbuch</v>
      </c>
      <c r="E514" s="140" t="str">
        <f>IFERROR(__xludf.DUMMYFUNCTION("""COMPUTED_VALUE"""),"Microsoft OneNote 2016 - the electronic notebook")</f>
        <v>Microsoft OneNote 2016 - the electronic notebook</v>
      </c>
      <c r="F514" s="142" t="str">
        <f>IFERROR(__xludf.DUMMYFUNCTION("""COMPUTED_VALUE"""),"SONIC Performance Support - E-Learning Experts")</f>
        <v>SONIC Performance Support - E-Learning Experts</v>
      </c>
      <c r="G514" t="str">
        <f>IFERROR(__xludf.DUMMYFUNCTION("""COMPUTED_VALUE"""),"Instructor Request- Opted Out")</f>
        <v>Instructor Request- Opted Out</v>
      </c>
      <c r="H514" s="142" t="str">
        <f>IFERROR(__xludf.DUMMYFUNCTION("""COMPUTED_VALUE"""),"Office Productivity")</f>
        <v>Office Productivity</v>
      </c>
      <c r="I514" s="140" t="str">
        <f>IFERROR(__xludf.DUMMYFUNCTION("""COMPUTED_VALUE"""),"Email &amp; Productivity")</f>
        <v>Email &amp; Productivity</v>
      </c>
      <c r="K514" s="140" t="str">
        <f>IFERROR(__xludf.DUMMYFUNCTION("""COMPUTED_VALUE"""),"")</f>
        <v/>
      </c>
      <c r="M514" s="140" t="str">
        <f>IFERROR(__xludf.DUMMYFUNCTION("""COMPUTED_VALUE"""),"")</f>
        <v/>
      </c>
      <c r="N514" s="140" t="str">
        <f>IFERROR(__xludf.DUMMYFUNCTION("""COMPUTED_VALUE"""),"Terms Change - German Course
No Alternatives in Collection or MP (people not opted into UFB or below ratings)- 08/14")</f>
        <v>Terms Change - German Course
No Alternatives in Collection or MP (people not opted into UFB or below ratings)- 08/14</v>
      </c>
    </row>
    <row r="515">
      <c r="A515" s="141">
        <f>IFERROR(__xludf.DUMMYFUNCTION("""COMPUTED_VALUE"""),43861.0)</f>
        <v>43861</v>
      </c>
      <c r="B515" s="140">
        <f>IFERROR(__xludf.DUMMYFUNCTION("""COMPUTED_VALUE"""),937764.0)</f>
        <v>937764</v>
      </c>
      <c r="C515" s="140" t="str">
        <f>IFERROR(__xludf.DUMMYFUNCTION("""COMPUTED_VALUE"""),"EN")</f>
        <v>EN</v>
      </c>
      <c r="D515" s="140" t="str">
        <f>IFERROR(__xludf.DUMMYFUNCTION("""COMPUTED_VALUE"""),"PowerPoint 2016 Advanced")</f>
        <v>PowerPoint 2016 Advanced</v>
      </c>
      <c r="F515" s="142" t="str">
        <f>IFERROR(__xludf.DUMMYFUNCTION("""COMPUTED_VALUE"""),"Intellezy Trainers")</f>
        <v>Intellezy Trainers</v>
      </c>
      <c r="G515" t="str">
        <f>IFERROR(__xludf.DUMMYFUNCTION("""COMPUTED_VALUE"""),"Instructor Request- Opted Out")</f>
        <v>Instructor Request- Opted Out</v>
      </c>
      <c r="H515" s="142" t="str">
        <f>IFERROR(__xludf.DUMMYFUNCTION("""COMPUTED_VALUE"""),"Office Productivity")</f>
        <v>Office Productivity</v>
      </c>
      <c r="I515" s="140" t="str">
        <f>IFERROR(__xludf.DUMMYFUNCTION("""COMPUTED_VALUE"""),"Presentations")</f>
        <v>Presentations</v>
      </c>
      <c r="J515">
        <f>IFERROR(__xludf.DUMMYFUNCTION("""COMPUTED_VALUE"""),157542.0)</f>
        <v>157542</v>
      </c>
      <c r="K515" s="140" t="str">
        <f>IFERROR(__xludf.DUMMYFUNCTION("""COMPUTED_VALUE"""),"")</f>
        <v/>
      </c>
      <c r="M515" s="140" t="str">
        <f>IFERROR(__xludf.DUMMYFUNCTION("""COMPUTED_VALUE"""),"")</f>
        <v/>
      </c>
      <c r="N515" s="140" t="str">
        <f>IFERROR(__xludf.DUMMYFUNCTION("""COMPUTED_VALUE"""),"Terms Change")</f>
        <v>Terms Change</v>
      </c>
    </row>
    <row r="516">
      <c r="A516" s="141">
        <f>IFERROR(__xludf.DUMMYFUNCTION("""COMPUTED_VALUE"""),43861.0)</f>
        <v>43861</v>
      </c>
      <c r="B516" s="140">
        <f>IFERROR(__xludf.DUMMYFUNCTION("""COMPUTED_VALUE"""),1214772.0)</f>
        <v>1214772</v>
      </c>
      <c r="C516" s="140" t="str">
        <f>IFERROR(__xludf.DUMMYFUNCTION("""COMPUTED_VALUE"""),"DE")</f>
        <v>DE</v>
      </c>
      <c r="D516" s="140" t="str">
        <f>IFERROR(__xludf.DUMMYFUNCTION("""COMPUTED_VALUE"""),"C# - Der Fortgeschrittenen Kurs")</f>
        <v>C# - Der Fortgeschrittenen Kurs</v>
      </c>
      <c r="E516" s="140" t="str">
        <f>IFERROR(__xludf.DUMMYFUNCTION("""COMPUTED_VALUE"""),"C # - The advanced course")</f>
        <v>C # - The advanced course</v>
      </c>
      <c r="F516" s="142" t="str">
        <f>IFERROR(__xludf.DUMMYFUNCTION("""COMPUTED_VALUE"""),"Janek Pruin")</f>
        <v>Janek Pruin</v>
      </c>
      <c r="G516" t="str">
        <f>IFERROR(__xludf.DUMMYFUNCTION("""COMPUTED_VALUE"""),"Instructor Request- Opted Out")</f>
        <v>Instructor Request- Opted Out</v>
      </c>
      <c r="H516" s="142" t="str">
        <f>IFERROR(__xludf.DUMMYFUNCTION("""COMPUTED_VALUE"""),"Development")</f>
        <v>Development</v>
      </c>
      <c r="I516" s="140" t="str">
        <f>IFERROR(__xludf.DUMMYFUNCTION("""COMPUTED_VALUE"""),"Programming Languages")</f>
        <v>Programming Languages</v>
      </c>
      <c r="J516">
        <f>IFERROR(__xludf.DUMMYFUNCTION("""COMPUTED_VALUE"""),1603358.0)</f>
        <v>1603358</v>
      </c>
      <c r="K516" s="140" t="str">
        <f>IFERROR(__xludf.DUMMYFUNCTION("""COMPUTED_VALUE"""),"Die komplette C# Masterclass - von 0 auf 100 in 6 Wochen")</f>
        <v>Die komplette C# Masterclass - von 0 auf 100 in 6 Wochen</v>
      </c>
      <c r="M516" s="140" t="str">
        <f>IFERROR(__xludf.DUMMYFUNCTION("""COMPUTED_VALUE"""),"")</f>
        <v/>
      </c>
    </row>
    <row r="517">
      <c r="A517" s="141">
        <f>IFERROR(__xludf.DUMMYFUNCTION("""COMPUTED_VALUE"""),43861.0)</f>
        <v>43861</v>
      </c>
      <c r="B517" s="140">
        <f>IFERROR(__xludf.DUMMYFUNCTION("""COMPUTED_VALUE"""),675072.0)</f>
        <v>675072</v>
      </c>
      <c r="C517" s="140" t="str">
        <f>IFERROR(__xludf.DUMMYFUNCTION("""COMPUTED_VALUE"""),"EN")</f>
        <v>EN</v>
      </c>
      <c r="D517" s="140" t="str">
        <f>IFERROR(__xludf.DUMMYFUNCTION("""COMPUTED_VALUE"""),"Tech Explorations™ The Electronics Workbench: a Setup Guide")</f>
        <v>Tech Explorations™ The Electronics Workbench: a Setup Guide</v>
      </c>
      <c r="F517" s="142" t="str">
        <f>IFERROR(__xludf.DUMMYFUNCTION("""COMPUTED_VALUE"""),"Dr. Peter Dalmaris")</f>
        <v>Dr. Peter Dalmaris</v>
      </c>
      <c r="G517" t="str">
        <f>IFERROR(__xludf.DUMMYFUNCTION("""COMPUTED_VALUE"""),"Instructor Request- Opted Out")</f>
        <v>Instructor Request- Opted Out</v>
      </c>
      <c r="H517" s="142" t="str">
        <f>IFERROR(__xludf.DUMMYFUNCTION("""COMPUTED_VALUE"""),"IT Operations")</f>
        <v>IT Operations</v>
      </c>
      <c r="I517" s="140" t="str">
        <f>IFERROR(__xludf.DUMMYFUNCTION("""COMPUTED_VALUE"""),"Hardware")</f>
        <v>Hardware</v>
      </c>
      <c r="J517">
        <f>IFERROR(__xludf.DUMMYFUNCTION("""COMPUTED_VALUE"""),1215970.0)</f>
        <v>1215970</v>
      </c>
      <c r="K517" s="140" t="str">
        <f>IFERROR(__xludf.DUMMYFUNCTION("""COMPUTED_VALUE"""),"The Complete Basic Electricity &amp; Electronics Course")</f>
        <v>The Complete Basic Electricity &amp; Electronics Course</v>
      </c>
      <c r="M517" s="140" t="str">
        <f>IFERROR(__xludf.DUMMYFUNCTION("""COMPUTED_VALUE"""),"")</f>
        <v/>
      </c>
      <c r="N517" s="140" t="str">
        <f>IFERROR(__xludf.DUMMYFUNCTION("""COMPUTED_VALUE"""),"Terms Change")</f>
        <v>Terms Change</v>
      </c>
    </row>
    <row r="518">
      <c r="A518" s="141">
        <f>IFERROR(__xludf.DUMMYFUNCTION("""COMPUTED_VALUE"""),43861.0)</f>
        <v>43861</v>
      </c>
      <c r="B518" s="140">
        <f>IFERROR(__xludf.DUMMYFUNCTION("""COMPUTED_VALUE"""),1364240.0)</f>
        <v>1364240</v>
      </c>
      <c r="C518" s="140" t="str">
        <f>IFERROR(__xludf.DUMMYFUNCTION("""COMPUTED_VALUE"""),"EN")</f>
        <v>EN</v>
      </c>
      <c r="D518" s="140" t="str">
        <f>IFERROR(__xludf.DUMMYFUNCTION("""COMPUTED_VALUE"""),"Citrix Cloud 2018 - Introduction")</f>
        <v>Citrix Cloud 2018 - Introduction</v>
      </c>
      <c r="F518" s="142" t="str">
        <f>IFERROR(__xludf.DUMMYFUNCTION("""COMPUTED_VALUE"""),"James Scanlon")</f>
        <v>James Scanlon</v>
      </c>
      <c r="G518" t="str">
        <f>IFERROR(__xludf.DUMMYFUNCTION("""COMPUTED_VALUE"""),"Instructor Request- Outdated")</f>
        <v>Instructor Request- Outdated</v>
      </c>
      <c r="H518" s="142" t="str">
        <f>IFERROR(__xludf.DUMMYFUNCTION("""COMPUTED_VALUE"""),"Cloud Computing")</f>
        <v>Cloud Computing</v>
      </c>
      <c r="I518" s="140" t="str">
        <f>IFERROR(__xludf.DUMMYFUNCTION("""COMPUTED_VALUE"""),"Cloud Fundamentals")</f>
        <v>Cloud Fundamentals</v>
      </c>
      <c r="K518" s="140" t="str">
        <f>IFERROR(__xludf.DUMMYFUNCTION("""COMPUTED_VALUE"""),"")</f>
        <v/>
      </c>
      <c r="M518" s="140" t="str">
        <f>IFERROR(__xludf.DUMMYFUNCTION("""COMPUTED_VALUE"""),"")</f>
        <v/>
      </c>
      <c r="N518" s="140" t="str">
        <f>IFERROR(__xludf.DUMMYFUNCTION("""COMPUTED_VALUE"""),"No alternatives in Collection- 1/23/2020")</f>
        <v>No alternatives in Collection- 1/23/2020</v>
      </c>
    </row>
    <row r="519">
      <c r="A519" s="141">
        <f>IFERROR(__xludf.DUMMYFUNCTION("""COMPUTED_VALUE"""),43861.0)</f>
        <v>43861</v>
      </c>
      <c r="B519" s="140">
        <f>IFERROR(__xludf.DUMMYFUNCTION("""COMPUTED_VALUE"""),1123688.0)</f>
        <v>1123688</v>
      </c>
      <c r="C519" s="140" t="str">
        <f>IFERROR(__xludf.DUMMYFUNCTION("""COMPUTED_VALUE"""),"EN")</f>
        <v>EN</v>
      </c>
      <c r="D519" s="140" t="str">
        <f>IFERROR(__xludf.DUMMYFUNCTION("""COMPUTED_VALUE"""),"Managing conflict with skill and confidence")</f>
        <v>Managing conflict with skill and confidence</v>
      </c>
      <c r="F519" s="142" t="str">
        <f>IFERROR(__xludf.DUMMYFUNCTION("""COMPUTED_VALUE"""),"Skill Boosters")</f>
        <v>Skill Boosters</v>
      </c>
      <c r="G519" t="str">
        <f>IFERROR(__xludf.DUMMYFUNCTION("""COMPUTED_VALUE"""),"Instructor Request- Opted Out")</f>
        <v>Instructor Request- Opted Out</v>
      </c>
      <c r="H519" s="142" t="str">
        <f>IFERROR(__xludf.DUMMYFUNCTION("""COMPUTED_VALUE"""),"Leadership &amp; Management")</f>
        <v>Leadership &amp; Management</v>
      </c>
      <c r="I519" s="140" t="str">
        <f>IFERROR(__xludf.DUMMYFUNCTION("""COMPUTED_VALUE"""),"Communication")</f>
        <v>Communication</v>
      </c>
      <c r="J519">
        <f>IFERROR(__xludf.DUMMYFUNCTION("""COMPUTED_VALUE"""),1173030.0)</f>
        <v>1173030</v>
      </c>
      <c r="K519" s="140" t="str">
        <f>IFERROR(__xludf.DUMMYFUNCTION("""COMPUTED_VALUE"""),"Conflict Management with Emotional Intelligence")</f>
        <v>Conflict Management with Emotional Intelligence</v>
      </c>
      <c r="M519" s="140" t="str">
        <f>IFERROR(__xludf.DUMMYFUNCTION("""COMPUTED_VALUE"""),"")</f>
        <v/>
      </c>
      <c r="N519" s="140" t="str">
        <f>IFERROR(__xludf.DUMMYFUNCTION("""COMPUTED_VALUE"""),"Terms Change")</f>
        <v>Terms Change</v>
      </c>
    </row>
    <row r="520">
      <c r="A520" s="141">
        <f>IFERROR(__xludf.DUMMYFUNCTION("""COMPUTED_VALUE"""),43861.0)</f>
        <v>43861</v>
      </c>
      <c r="B520" s="140">
        <f>IFERROR(__xludf.DUMMYFUNCTION("""COMPUTED_VALUE"""),940738.0)</f>
        <v>940738</v>
      </c>
      <c r="C520" s="140" t="str">
        <f>IFERROR(__xludf.DUMMYFUNCTION("""COMPUTED_VALUE"""),"EN")</f>
        <v>EN</v>
      </c>
      <c r="D520" s="140" t="str">
        <f>IFERROR(__xludf.DUMMYFUNCTION("""COMPUTED_VALUE"""),"Performance appraisal: Manager's guide to performance review")</f>
        <v>Performance appraisal: Manager's guide to performance review</v>
      </c>
      <c r="F520" s="142" t="str">
        <f>IFERROR(__xludf.DUMMYFUNCTION("""COMPUTED_VALUE"""),"Skill Boosters")</f>
        <v>Skill Boosters</v>
      </c>
      <c r="G520" t="str">
        <f>IFERROR(__xludf.DUMMYFUNCTION("""COMPUTED_VALUE"""),"Instructor Request- Opted Out")</f>
        <v>Instructor Request- Opted Out</v>
      </c>
      <c r="H520" s="142" t="str">
        <f>IFERROR(__xludf.DUMMYFUNCTION("""COMPUTED_VALUE"""),"Leadership &amp; Management")</f>
        <v>Leadership &amp; Management</v>
      </c>
      <c r="I520" s="140" t="str">
        <f>IFERROR(__xludf.DUMMYFUNCTION("""COMPUTED_VALUE"""),"Leadership")</f>
        <v>Leadership</v>
      </c>
      <c r="J520">
        <f>IFERROR(__xludf.DUMMYFUNCTION("""COMPUTED_VALUE"""),1211916.0)</f>
        <v>1211916</v>
      </c>
      <c r="K520" s="140" t="str">
        <f>IFERROR(__xludf.DUMMYFUNCTION("""COMPUTED_VALUE"""),"[2022] The Essentials of Feedback &amp; Performance Management")</f>
        <v>[2022] The Essentials of Feedback &amp; Performance Management</v>
      </c>
      <c r="M520" s="140" t="str">
        <f>IFERROR(__xludf.DUMMYFUNCTION("""COMPUTED_VALUE"""),"")</f>
        <v/>
      </c>
      <c r="N520" s="140" t="str">
        <f>IFERROR(__xludf.DUMMYFUNCTION("""COMPUTED_VALUE"""),"Terms Change")</f>
        <v>Terms Change</v>
      </c>
    </row>
    <row r="521">
      <c r="A521" s="141">
        <f>IFERROR(__xludf.DUMMYFUNCTION("""COMPUTED_VALUE"""),43861.0)</f>
        <v>43861</v>
      </c>
      <c r="B521" s="140">
        <f>IFERROR(__xludf.DUMMYFUNCTION("""COMPUTED_VALUE"""),1261160.0)</f>
        <v>1261160</v>
      </c>
      <c r="C521" s="140" t="str">
        <f>IFERROR(__xludf.DUMMYFUNCTION("""COMPUTED_VALUE"""),"EN")</f>
        <v>EN</v>
      </c>
      <c r="D521" s="140" t="str">
        <f>IFERROR(__xludf.DUMMYFUNCTION("""COMPUTED_VALUE"""),"Windows 10 Troubleshooting")</f>
        <v>Windows 10 Troubleshooting</v>
      </c>
      <c r="F521" s="142" t="str">
        <f>IFERROR(__xludf.DUMMYFUNCTION("""COMPUTED_VALUE"""),"Intellezy Trainers")</f>
        <v>Intellezy Trainers</v>
      </c>
      <c r="G521" t="str">
        <f>IFERROR(__xludf.DUMMYFUNCTION("""COMPUTED_VALUE"""),"Instructor Request- Opted Out")</f>
        <v>Instructor Request- Opted Out</v>
      </c>
      <c r="H521" s="142" t="str">
        <f>IFERROR(__xludf.DUMMYFUNCTION("""COMPUTED_VALUE"""),"Office Productivity")</f>
        <v>Office Productivity</v>
      </c>
      <c r="I521" s="140" t="str">
        <f>IFERROR(__xludf.DUMMYFUNCTION("""COMPUTED_VALUE"""),"Operating Systems")</f>
        <v>Operating Systems</v>
      </c>
      <c r="K521" s="140" t="str">
        <f>IFERROR(__xludf.DUMMYFUNCTION("""COMPUTED_VALUE"""),"")</f>
        <v/>
      </c>
      <c r="M521" s="140" t="str">
        <f>IFERROR(__xludf.DUMMYFUNCTION("""COMPUTED_VALUE"""),"")</f>
        <v/>
      </c>
      <c r="N521" s="140" t="str">
        <f>IFERROR(__xludf.DUMMYFUNCTION("""COMPUTED_VALUE"""),"Terms Change / No alternatives in Collection- 1/24/2020")</f>
        <v>Terms Change / No alternatives in Collection- 1/24/2020</v>
      </c>
    </row>
    <row r="522">
      <c r="A522" s="141">
        <f>IFERROR(__xludf.DUMMYFUNCTION("""COMPUTED_VALUE"""),43861.0)</f>
        <v>43861</v>
      </c>
      <c r="B522" s="140">
        <f>IFERROR(__xludf.DUMMYFUNCTION("""COMPUTED_VALUE"""),1347004.0)</f>
        <v>1347004</v>
      </c>
      <c r="C522" s="140" t="str">
        <f>IFERROR(__xludf.DUMMYFUNCTION("""COMPUTED_VALUE"""),"EN")</f>
        <v>EN</v>
      </c>
      <c r="D522" s="140" t="str">
        <f>IFERROR(__xludf.DUMMYFUNCTION("""COMPUTED_VALUE"""),"Understanding and developing Emotional Intelligence")</f>
        <v>Understanding and developing Emotional Intelligence</v>
      </c>
      <c r="F522" s="142" t="str">
        <f>IFERROR(__xludf.DUMMYFUNCTION("""COMPUTED_VALUE"""),"Skill Boosters")</f>
        <v>Skill Boosters</v>
      </c>
      <c r="G522" t="str">
        <f>IFERROR(__xludf.DUMMYFUNCTION("""COMPUTED_VALUE"""),"Instructor Request- Opted Out")</f>
        <v>Instructor Request- Opted Out</v>
      </c>
      <c r="H522" s="142" t="str">
        <f>IFERROR(__xludf.DUMMYFUNCTION("""COMPUTED_VALUE"""),"Leadership &amp; Management")</f>
        <v>Leadership &amp; Management</v>
      </c>
      <c r="I522" s="140" t="str">
        <f>IFERROR(__xludf.DUMMYFUNCTION("""COMPUTED_VALUE"""),"Leadership")</f>
        <v>Leadership</v>
      </c>
      <c r="J522">
        <f>IFERROR(__xludf.DUMMYFUNCTION("""COMPUTED_VALUE"""),2246852.0)</f>
        <v>2246852</v>
      </c>
      <c r="K522" s="140" t="str">
        <f>IFERROR(__xludf.DUMMYFUNCTION("""COMPUTED_VALUE"""),"Emotional Intelligence at Work: Learn from Your Emotions")</f>
        <v>Emotional Intelligence at Work: Learn from Your Emotions</v>
      </c>
      <c r="M522" s="140" t="str">
        <f>IFERROR(__xludf.DUMMYFUNCTION("""COMPUTED_VALUE"""),"")</f>
        <v/>
      </c>
      <c r="N522" s="140" t="str">
        <f>IFERROR(__xludf.DUMMYFUNCTION("""COMPUTED_VALUE"""),"Terms Change")</f>
        <v>Terms Change</v>
      </c>
    </row>
    <row r="523">
      <c r="A523" s="141">
        <f>IFERROR(__xludf.DUMMYFUNCTION("""COMPUTED_VALUE"""),43861.0)</f>
        <v>43861</v>
      </c>
      <c r="B523" s="140">
        <f>IFERROR(__xludf.DUMMYFUNCTION("""COMPUTED_VALUE"""),51133.0)</f>
        <v>51133</v>
      </c>
      <c r="C523" s="140" t="str">
        <f>IFERROR(__xludf.DUMMYFUNCTION("""COMPUTED_VALUE"""),"EN")</f>
        <v>EN</v>
      </c>
      <c r="D523" s="140" t="str">
        <f>IFERROR(__xludf.DUMMYFUNCTION("""COMPUTED_VALUE"""),"Database Design Introduction")</f>
        <v>Database Design Introduction</v>
      </c>
      <c r="F523" s="142" t="str">
        <f>IFERROR(__xludf.DUMMYFUNCTION("""COMPUTED_VALUE"""),"Intellezy Trainers")</f>
        <v>Intellezy Trainers</v>
      </c>
      <c r="G523" t="str">
        <f>IFERROR(__xludf.DUMMYFUNCTION("""COMPUTED_VALUE"""),"Instructor Request- Opted Out")</f>
        <v>Instructor Request- Opted Out</v>
      </c>
      <c r="H523" s="142" t="str">
        <f>IFERROR(__xludf.DUMMYFUNCTION("""COMPUTED_VALUE"""),"Development")</f>
        <v>Development</v>
      </c>
      <c r="I523" s="140" t="str">
        <f>IFERROR(__xludf.DUMMYFUNCTION("""COMPUTED_VALUE"""),"Database Design &amp; Development")</f>
        <v>Database Design &amp; Development</v>
      </c>
      <c r="J523">
        <f>IFERROR(__xludf.DUMMYFUNCTION("""COMPUTED_VALUE"""),299398.0)</f>
        <v>299398</v>
      </c>
      <c r="K523" s="140" t="str">
        <f>IFERROR(__xludf.DUMMYFUNCTION("""COMPUTED_VALUE"""),"Relational Database Design")</f>
        <v>Relational Database Design</v>
      </c>
      <c r="M523" s="140" t="str">
        <f>IFERROR(__xludf.DUMMYFUNCTION("""COMPUTED_VALUE"""),"")</f>
        <v/>
      </c>
      <c r="N523" s="140" t="str">
        <f>IFERROR(__xludf.DUMMYFUNCTION("""COMPUTED_VALUE"""),"Terms Change ")</f>
        <v>Terms Change </v>
      </c>
    </row>
    <row r="524">
      <c r="A524" s="141">
        <f>IFERROR(__xludf.DUMMYFUNCTION("""COMPUTED_VALUE"""),43861.0)</f>
        <v>43861</v>
      </c>
      <c r="B524" s="140">
        <f>IFERROR(__xludf.DUMMYFUNCTION("""COMPUTED_VALUE"""),1238114.0)</f>
        <v>1238114</v>
      </c>
      <c r="C524" s="140" t="str">
        <f>IFERROR(__xludf.DUMMYFUNCTION("""COMPUTED_VALUE"""),"EN")</f>
        <v>EN</v>
      </c>
      <c r="D524" s="140" t="str">
        <f>IFERROR(__xludf.DUMMYFUNCTION("""COMPUTED_VALUE"""),"Managing mental health issues in the workplace")</f>
        <v>Managing mental health issues in the workplace</v>
      </c>
      <c r="F524" s="142" t="str">
        <f>IFERROR(__xludf.DUMMYFUNCTION("""COMPUTED_VALUE"""),"Skill Boosters")</f>
        <v>Skill Boosters</v>
      </c>
      <c r="G524" t="str">
        <f>IFERROR(__xludf.DUMMYFUNCTION("""COMPUTED_VALUE"""),"Instructor Request- Opted Out")</f>
        <v>Instructor Request- Opted Out</v>
      </c>
      <c r="H524" s="142" t="str">
        <f>IFERROR(__xludf.DUMMYFUNCTION("""COMPUTED_VALUE"""),"Personal Development")</f>
        <v>Personal Development</v>
      </c>
      <c r="I524" s="140" t="str">
        <f>IFERROR(__xludf.DUMMYFUNCTION("""COMPUTED_VALUE"""),"Stress Management")</f>
        <v>Stress Management</v>
      </c>
      <c r="J524">
        <f>IFERROR(__xludf.DUMMYFUNCTION("""COMPUTED_VALUE"""),1872954.0)</f>
        <v>1872954</v>
      </c>
      <c r="K524" s="140" t="str">
        <f>IFERROR(__xludf.DUMMYFUNCTION("""COMPUTED_VALUE"""),"Emotional Intelligence: The Complete Masterclass ®")</f>
        <v>Emotional Intelligence: The Complete Masterclass ®</v>
      </c>
      <c r="M524" s="140" t="str">
        <f>IFERROR(__xludf.DUMMYFUNCTION("""COMPUTED_VALUE"""),"")</f>
        <v/>
      </c>
      <c r="N524" s="140" t="str">
        <f>IFERROR(__xludf.DUMMYFUNCTION("""COMPUTED_VALUE"""),"Terms Change")</f>
        <v>Terms Change</v>
      </c>
    </row>
    <row r="525">
      <c r="A525" s="141">
        <f>IFERROR(__xludf.DUMMYFUNCTION("""COMPUTED_VALUE"""),43861.0)</f>
        <v>43861</v>
      </c>
      <c r="B525" s="140">
        <f>IFERROR(__xludf.DUMMYFUNCTION("""COMPUTED_VALUE"""),1112948.0)</f>
        <v>1112948</v>
      </c>
      <c r="C525" s="140" t="str">
        <f>IFERROR(__xludf.DUMMYFUNCTION("""COMPUTED_VALUE"""),"EN")</f>
        <v>EN</v>
      </c>
      <c r="D525" s="140" t="str">
        <f>IFERROR(__xludf.DUMMYFUNCTION("""COMPUTED_VALUE"""),"Office 365 Teams")</f>
        <v>Office 365 Teams</v>
      </c>
      <c r="F525" s="142" t="str">
        <f>IFERROR(__xludf.DUMMYFUNCTION("""COMPUTED_VALUE"""),"Intellezy Trainers")</f>
        <v>Intellezy Trainers</v>
      </c>
      <c r="G525" t="str">
        <f>IFERROR(__xludf.DUMMYFUNCTION("""COMPUTED_VALUE"""),"Instructor Request- Opted Out")</f>
        <v>Instructor Request- Opted Out</v>
      </c>
      <c r="H525" s="142" t="str">
        <f>IFERROR(__xludf.DUMMYFUNCTION("""COMPUTED_VALUE"""),"Office Productivity")</f>
        <v>Office Productivity</v>
      </c>
      <c r="I525" s="140" t="str">
        <f>IFERROR(__xludf.DUMMYFUNCTION("""COMPUTED_VALUE"""),"Collaboration")</f>
        <v>Collaboration</v>
      </c>
      <c r="J525">
        <f>IFERROR(__xludf.DUMMYFUNCTION("""COMPUTED_VALUE"""),1507666.0)</f>
        <v>1507666</v>
      </c>
      <c r="K525" s="140" t="str">
        <f>IFERROR(__xludf.DUMMYFUNCTION("""COMPUTED_VALUE"""),"")</f>
        <v/>
      </c>
      <c r="M525" s="140" t="str">
        <f>IFERROR(__xludf.DUMMYFUNCTION("""COMPUTED_VALUE"""),"")</f>
        <v/>
      </c>
      <c r="N525" s="140" t="str">
        <f>IFERROR(__xludf.DUMMYFUNCTION("""COMPUTED_VALUE"""),"Terms Change")</f>
        <v>Terms Change</v>
      </c>
    </row>
    <row r="526">
      <c r="A526" s="141">
        <f>IFERROR(__xludf.DUMMYFUNCTION("""COMPUTED_VALUE"""),43861.0)</f>
        <v>43861</v>
      </c>
      <c r="B526" s="140">
        <f>IFERROR(__xludf.DUMMYFUNCTION("""COMPUTED_VALUE"""),469454.0)</f>
        <v>469454</v>
      </c>
      <c r="C526" s="140" t="str">
        <f>IFERROR(__xludf.DUMMYFUNCTION("""COMPUTED_VALUE"""),"EN")</f>
        <v>EN</v>
      </c>
      <c r="D526" s="140" t="str">
        <f>IFERROR(__xludf.DUMMYFUNCTION("""COMPUTED_VALUE"""),"Cold Email Recruiter Training: Write Powerful Cold Emails")</f>
        <v>Cold Email Recruiter Training: Write Powerful Cold Emails</v>
      </c>
      <c r="F526" s="142" t="str">
        <f>IFERROR(__xludf.DUMMYFUNCTION("""COMPUTED_VALUE"""),"Clinton Buelter")</f>
        <v>Clinton Buelter</v>
      </c>
      <c r="G526" t="str">
        <f>IFERROR(__xludf.DUMMYFUNCTION("""COMPUTED_VALUE"""),"Instructor Request- Opted Out")</f>
        <v>Instructor Request- Opted Out</v>
      </c>
      <c r="H526" s="142" t="str">
        <f>IFERROR(__xludf.DUMMYFUNCTION("""COMPUTED_VALUE"""),"Human Resources")</f>
        <v>Human Resources</v>
      </c>
      <c r="I526" s="140" t="str">
        <f>IFERROR(__xludf.DUMMYFUNCTION("""COMPUTED_VALUE"""),"Talent Management")</f>
        <v>Talent Management</v>
      </c>
      <c r="J526">
        <f>IFERROR(__xludf.DUMMYFUNCTION("""COMPUTED_VALUE"""),1322260.0)</f>
        <v>1322260</v>
      </c>
      <c r="K526" s="140" t="str">
        <f>IFERROR(__xludf.DUMMYFUNCTION("""COMPUTED_VALUE"""),"Master Business Writing and Editing")</f>
        <v>Master Business Writing and Editing</v>
      </c>
      <c r="M526" s="140" t="str">
        <f>IFERROR(__xludf.DUMMYFUNCTION("""COMPUTED_VALUE"""),"")</f>
        <v/>
      </c>
      <c r="N526" s="140" t="str">
        <f>IFERROR(__xludf.DUMMYFUNCTION("""COMPUTED_VALUE"""),"Terms Change")</f>
        <v>Terms Change</v>
      </c>
    </row>
    <row r="527">
      <c r="A527" s="141">
        <f>IFERROR(__xludf.DUMMYFUNCTION("""COMPUTED_VALUE"""),43861.0)</f>
        <v>43861</v>
      </c>
      <c r="B527" s="140">
        <f>IFERROR(__xludf.DUMMYFUNCTION("""COMPUTED_VALUE"""),46864.0)</f>
        <v>46864</v>
      </c>
      <c r="C527" s="140" t="str">
        <f>IFERROR(__xludf.DUMMYFUNCTION("""COMPUTED_VALUE"""),"EN")</f>
        <v>EN</v>
      </c>
      <c r="D527" s="140" t="str">
        <f>IFERROR(__xludf.DUMMYFUNCTION("""COMPUTED_VALUE"""),"Excel 2010 Advanced")</f>
        <v>Excel 2010 Advanced</v>
      </c>
      <c r="F527" s="142" t="str">
        <f>IFERROR(__xludf.DUMMYFUNCTION("""COMPUTED_VALUE"""),"Intellezy Trainers")</f>
        <v>Intellezy Trainers</v>
      </c>
      <c r="G527" t="str">
        <f>IFERROR(__xludf.DUMMYFUNCTION("""COMPUTED_VALUE"""),"Instructor Request- Opted Out")</f>
        <v>Instructor Request- Opted Out</v>
      </c>
      <c r="H527" s="142" t="str">
        <f>IFERROR(__xludf.DUMMYFUNCTION("""COMPUTED_VALUE"""),"Office Productivity")</f>
        <v>Office Productivity</v>
      </c>
      <c r="I527" s="140" t="str">
        <f>IFERROR(__xludf.DUMMYFUNCTION("""COMPUTED_VALUE"""),"Spreadsheets")</f>
        <v>Spreadsheets</v>
      </c>
      <c r="J527">
        <f>IFERROR(__xludf.DUMMYFUNCTION("""COMPUTED_VALUE"""),793796.0)</f>
        <v>793796</v>
      </c>
      <c r="K527" s="140" t="str">
        <f>IFERROR(__xludf.DUMMYFUNCTION("""COMPUTED_VALUE"""),"Microsoft Excel - Excel from Beginner to Advanced")</f>
        <v>Microsoft Excel - Excel from Beginner to Advanced</v>
      </c>
      <c r="M527" s="140" t="str">
        <f>IFERROR(__xludf.DUMMYFUNCTION("""COMPUTED_VALUE"""),"")</f>
        <v/>
      </c>
      <c r="N527" s="140" t="str">
        <f>IFERROR(__xludf.DUMMYFUNCTION("""COMPUTED_VALUE"""),"Terms Change")</f>
        <v>Terms Change</v>
      </c>
    </row>
    <row r="528">
      <c r="A528" s="141">
        <f>IFERROR(__xludf.DUMMYFUNCTION("""COMPUTED_VALUE"""),43861.0)</f>
        <v>43861</v>
      </c>
      <c r="B528" s="140">
        <f>IFERROR(__xludf.DUMMYFUNCTION("""COMPUTED_VALUE"""),1347426.0)</f>
        <v>1347426</v>
      </c>
      <c r="C528" s="140" t="str">
        <f>IFERROR(__xludf.DUMMYFUNCTION("""COMPUTED_VALUE"""),"EN")</f>
        <v>EN</v>
      </c>
      <c r="D528" s="140" t="str">
        <f>IFERROR(__xludf.DUMMYFUNCTION("""COMPUTED_VALUE"""),"Mastering Effective Communication")</f>
        <v>Mastering Effective Communication</v>
      </c>
      <c r="F528" s="142" t="str">
        <f>IFERROR(__xludf.DUMMYFUNCTION("""COMPUTED_VALUE"""),"Skill Boosters")</f>
        <v>Skill Boosters</v>
      </c>
      <c r="G528" t="str">
        <f>IFERROR(__xludf.DUMMYFUNCTION("""COMPUTED_VALUE"""),"Instructor Request- Opted Out")</f>
        <v>Instructor Request- Opted Out</v>
      </c>
      <c r="H528" s="142" t="str">
        <f>IFERROR(__xludf.DUMMYFUNCTION("""COMPUTED_VALUE"""),"Leadership &amp; Management")</f>
        <v>Leadership &amp; Management</v>
      </c>
      <c r="I528" s="140" t="str">
        <f>IFERROR(__xludf.DUMMYFUNCTION("""COMPUTED_VALUE"""),"Communication")</f>
        <v>Communication</v>
      </c>
      <c r="J528">
        <f>IFERROR(__xludf.DUMMYFUNCTION("""COMPUTED_VALUE"""),1355610.0)</f>
        <v>1355610</v>
      </c>
      <c r="K528" s="140" t="str">
        <f>IFERROR(__xludf.DUMMYFUNCTION("""COMPUTED_VALUE"""),"Communication Fundamentals: How To Communicate Better")</f>
        <v>Communication Fundamentals: How To Communicate Better</v>
      </c>
      <c r="L528">
        <f>IFERROR(__xludf.DUMMYFUNCTION("""COMPUTED_VALUE"""),2390192.0)</f>
        <v>2390192</v>
      </c>
      <c r="M528" s="140" t="str">
        <f>IFERROR(__xludf.DUMMYFUNCTION("""COMPUTED_VALUE"""),"Smart Tips: Communication")</f>
        <v>Smart Tips: Communication</v>
      </c>
      <c r="N528" s="140" t="str">
        <f>IFERROR(__xludf.DUMMYFUNCTION("""COMPUTED_VALUE"""),"Terms Change")</f>
        <v>Terms Change</v>
      </c>
    </row>
    <row r="529">
      <c r="A529" s="141">
        <f>IFERROR(__xludf.DUMMYFUNCTION("""COMPUTED_VALUE"""),43861.0)</f>
        <v>43861</v>
      </c>
      <c r="B529" s="140">
        <f>IFERROR(__xludf.DUMMYFUNCTION("""COMPUTED_VALUE"""),1347028.0)</f>
        <v>1347028</v>
      </c>
      <c r="C529" s="140" t="str">
        <f>IFERROR(__xludf.DUMMYFUNCTION("""COMPUTED_VALUE"""),"EN")</f>
        <v>EN</v>
      </c>
      <c r="D529" s="140" t="str">
        <f>IFERROR(__xludf.DUMMYFUNCTION("""COMPUTED_VALUE"""),"Seven effective ways to maximise Team Performance")</f>
        <v>Seven effective ways to maximise Team Performance</v>
      </c>
      <c r="F529" s="142" t="str">
        <f>IFERROR(__xludf.DUMMYFUNCTION("""COMPUTED_VALUE"""),"Skill Boosters")</f>
        <v>Skill Boosters</v>
      </c>
      <c r="G529" t="str">
        <f>IFERROR(__xludf.DUMMYFUNCTION("""COMPUTED_VALUE"""),"Instructor Request- Opted Out")</f>
        <v>Instructor Request- Opted Out</v>
      </c>
      <c r="H529" s="142" t="str">
        <f>IFERROR(__xludf.DUMMYFUNCTION("""COMPUTED_VALUE"""),"Leadership &amp; Management")</f>
        <v>Leadership &amp; Management</v>
      </c>
      <c r="I529" s="140" t="str">
        <f>IFERROR(__xludf.DUMMYFUNCTION("""COMPUTED_VALUE"""),"Leadership")</f>
        <v>Leadership</v>
      </c>
      <c r="J529">
        <f>IFERROR(__xludf.DUMMYFUNCTION("""COMPUTED_VALUE"""),1295848.0)</f>
        <v>1295848</v>
      </c>
      <c r="K529" s="140" t="str">
        <f>IFERROR(__xludf.DUMMYFUNCTION("""COMPUTED_VALUE"""),"Performance Management: Build a High Performing Team")</f>
        <v>Performance Management: Build a High Performing Team</v>
      </c>
      <c r="M529" s="140" t="str">
        <f>IFERROR(__xludf.DUMMYFUNCTION("""COMPUTED_VALUE"""),"")</f>
        <v/>
      </c>
      <c r="N529" s="140" t="str">
        <f>IFERROR(__xludf.DUMMYFUNCTION("""COMPUTED_VALUE"""),"Terms Change")</f>
        <v>Terms Change</v>
      </c>
    </row>
    <row r="530">
      <c r="A530" s="141">
        <f>IFERROR(__xludf.DUMMYFUNCTION("""COMPUTED_VALUE"""),43861.0)</f>
        <v>43861</v>
      </c>
      <c r="B530" s="140">
        <f>IFERROR(__xludf.DUMMYFUNCTION("""COMPUTED_VALUE"""),50213.0)</f>
        <v>50213</v>
      </c>
      <c r="C530" s="140" t="str">
        <f>IFERROR(__xludf.DUMMYFUNCTION("""COMPUTED_VALUE"""),"EN")</f>
        <v>EN</v>
      </c>
      <c r="D530" s="140" t="str">
        <f>IFERROR(__xludf.DUMMYFUNCTION("""COMPUTED_VALUE"""),"Excel 2010 VBA")</f>
        <v>Excel 2010 VBA</v>
      </c>
      <c r="F530" s="142" t="str">
        <f>IFERROR(__xludf.DUMMYFUNCTION("""COMPUTED_VALUE"""),"Intellezy Trainers")</f>
        <v>Intellezy Trainers</v>
      </c>
      <c r="G530" t="str">
        <f>IFERROR(__xludf.DUMMYFUNCTION("""COMPUTED_VALUE"""),"Instructor Request- Opted Out")</f>
        <v>Instructor Request- Opted Out</v>
      </c>
      <c r="H530" s="142" t="str">
        <f>IFERROR(__xludf.DUMMYFUNCTION("""COMPUTED_VALUE"""),"Office Productivity")</f>
        <v>Office Productivity</v>
      </c>
      <c r="I530" s="140" t="str">
        <f>IFERROR(__xludf.DUMMYFUNCTION("""COMPUTED_VALUE"""),"Spreadsheets")</f>
        <v>Spreadsheets</v>
      </c>
      <c r="J530">
        <f>IFERROR(__xludf.DUMMYFUNCTION("""COMPUTED_VALUE"""),736090.0)</f>
        <v>736090</v>
      </c>
      <c r="K530" s="140" t="str">
        <f>IFERROR(__xludf.DUMMYFUNCTION("""COMPUTED_VALUE"""),"Excel with Microsoft Excel VBA User Forms")</f>
        <v>Excel with Microsoft Excel VBA User Forms</v>
      </c>
      <c r="M530" s="140" t="str">
        <f>IFERROR(__xludf.DUMMYFUNCTION("""COMPUTED_VALUE"""),"")</f>
        <v/>
      </c>
      <c r="N530" s="140" t="str">
        <f>IFERROR(__xludf.DUMMYFUNCTION("""COMPUTED_VALUE"""),"Terms Change ")</f>
        <v>Terms Change </v>
      </c>
    </row>
    <row r="531">
      <c r="A531" s="141">
        <f>IFERROR(__xludf.DUMMYFUNCTION("""COMPUTED_VALUE"""),43861.0)</f>
        <v>43861</v>
      </c>
      <c r="B531" s="140">
        <f>IFERROR(__xludf.DUMMYFUNCTION("""COMPUTED_VALUE"""),890484.0)</f>
        <v>890484</v>
      </c>
      <c r="C531" s="140" t="str">
        <f>IFERROR(__xludf.DUMMYFUNCTION("""COMPUTED_VALUE"""),"EN")</f>
        <v>EN</v>
      </c>
      <c r="D531" s="140" t="str">
        <f>IFERROR(__xludf.DUMMYFUNCTION("""COMPUTED_VALUE"""),"Access 2013 Intermediate")</f>
        <v>Access 2013 Intermediate</v>
      </c>
      <c r="F531" s="142" t="str">
        <f>IFERROR(__xludf.DUMMYFUNCTION("""COMPUTED_VALUE"""),"Intellezy Trainers")</f>
        <v>Intellezy Trainers</v>
      </c>
      <c r="G531" t="str">
        <f>IFERROR(__xludf.DUMMYFUNCTION("""COMPUTED_VALUE"""),"Instructor Request- Opted Out")</f>
        <v>Instructor Request- Opted Out</v>
      </c>
      <c r="H531" s="142" t="str">
        <f>IFERROR(__xludf.DUMMYFUNCTION("""COMPUTED_VALUE"""),"IT Operations")</f>
        <v>IT Operations</v>
      </c>
      <c r="I531" s="140" t="str">
        <f>IFERROR(__xludf.DUMMYFUNCTION("""COMPUTED_VALUE"""),"Database Administration")</f>
        <v>Database Administration</v>
      </c>
      <c r="J531">
        <f>IFERROR(__xludf.DUMMYFUNCTION("""COMPUTED_VALUE"""),43677.0)</f>
        <v>43677</v>
      </c>
      <c r="K531" s="140" t="str">
        <f>IFERROR(__xludf.DUMMYFUNCTION("""COMPUTED_VALUE"""),"Learn Microsoft Access 2013 the Easy Way - 10 Hours")</f>
        <v>Learn Microsoft Access 2013 the Easy Way - 10 Hours</v>
      </c>
      <c r="M531" s="140" t="str">
        <f>IFERROR(__xludf.DUMMYFUNCTION("""COMPUTED_VALUE"""),"")</f>
        <v/>
      </c>
      <c r="N531" s="140" t="str">
        <f>IFERROR(__xludf.DUMMYFUNCTION("""COMPUTED_VALUE"""),"Terms Change")</f>
        <v>Terms Change</v>
      </c>
    </row>
    <row r="532">
      <c r="A532" s="141">
        <f>IFERROR(__xludf.DUMMYFUNCTION("""COMPUTED_VALUE"""),43861.0)</f>
        <v>43861</v>
      </c>
      <c r="B532" s="140">
        <f>IFERROR(__xludf.DUMMYFUNCTION("""COMPUTED_VALUE"""),926426.0)</f>
        <v>926426</v>
      </c>
      <c r="C532" s="140" t="str">
        <f>IFERROR(__xludf.DUMMYFUNCTION("""COMPUTED_VALUE"""),"EN")</f>
        <v>EN</v>
      </c>
      <c r="D532" s="140" t="str">
        <f>IFERROR(__xludf.DUMMYFUNCTION("""COMPUTED_VALUE"""),"Outlook 2016 Advanced")</f>
        <v>Outlook 2016 Advanced</v>
      </c>
      <c r="F532" s="142" t="str">
        <f>IFERROR(__xludf.DUMMYFUNCTION("""COMPUTED_VALUE"""),"Intellezy Trainers")</f>
        <v>Intellezy Trainers</v>
      </c>
      <c r="G532" t="str">
        <f>IFERROR(__xludf.DUMMYFUNCTION("""COMPUTED_VALUE"""),"Instructor Request- Opted Out")</f>
        <v>Instructor Request- Opted Out</v>
      </c>
      <c r="H532" s="142" t="str">
        <f>IFERROR(__xludf.DUMMYFUNCTION("""COMPUTED_VALUE"""),"Office Productivity")</f>
        <v>Office Productivity</v>
      </c>
      <c r="I532" s="140" t="str">
        <f>IFERROR(__xludf.DUMMYFUNCTION("""COMPUTED_VALUE"""),"Email &amp; Productivity")</f>
        <v>Email &amp; Productivity</v>
      </c>
      <c r="J532">
        <f>IFERROR(__xludf.DUMMYFUNCTION("""COMPUTED_VALUE"""),969148.0)</f>
        <v>969148</v>
      </c>
      <c r="K532" s="140" t="str">
        <f>IFERROR(__xludf.DUMMYFUNCTION("""COMPUTED_VALUE"""),"Microsoft Outlook 2016: Beginner and Intermediate Training")</f>
        <v>Microsoft Outlook 2016: Beginner and Intermediate Training</v>
      </c>
      <c r="L532">
        <f>IFERROR(__xludf.DUMMYFUNCTION("""COMPUTED_VALUE"""),434390.0)</f>
        <v>434390</v>
      </c>
      <c r="M532" s="140" t="str">
        <f>IFERROR(__xludf.DUMMYFUNCTION("""COMPUTED_VALUE"""),"Outlook 13/16/19 Like a Boss. The Complete Course.")</f>
        <v>Outlook 13/16/19 Like a Boss. The Complete Course.</v>
      </c>
      <c r="N532" s="140" t="str">
        <f>IFERROR(__xludf.DUMMYFUNCTION("""COMPUTED_VALUE"""),"Terms Change")</f>
        <v>Terms Change</v>
      </c>
    </row>
    <row r="533">
      <c r="A533" s="141">
        <f>IFERROR(__xludf.DUMMYFUNCTION("""COMPUTED_VALUE"""),43861.0)</f>
        <v>43861</v>
      </c>
      <c r="B533" s="140">
        <f>IFERROR(__xludf.DUMMYFUNCTION("""COMPUTED_VALUE"""),1129858.0)</f>
        <v>1129858</v>
      </c>
      <c r="C533" s="140" t="str">
        <f>IFERROR(__xludf.DUMMYFUNCTION("""COMPUTED_VALUE"""),"EN")</f>
        <v>EN</v>
      </c>
      <c r="D533" s="140" t="str">
        <f>IFERROR(__xludf.DUMMYFUNCTION("""COMPUTED_VALUE"""),"Assert Yourself - Master the benefits of assertive behaviour")</f>
        <v>Assert Yourself - Master the benefits of assertive behaviour</v>
      </c>
      <c r="F533" s="142" t="str">
        <f>IFERROR(__xludf.DUMMYFUNCTION("""COMPUTED_VALUE"""),"Skill Boosters")</f>
        <v>Skill Boosters</v>
      </c>
      <c r="G533" t="str">
        <f>IFERROR(__xludf.DUMMYFUNCTION("""COMPUTED_VALUE"""),"Instructor Request- Opted Out")</f>
        <v>Instructor Request- Opted Out</v>
      </c>
      <c r="H533" s="142" t="str">
        <f>IFERROR(__xludf.DUMMYFUNCTION("""COMPUTED_VALUE"""),"Leadership &amp; Management")</f>
        <v>Leadership &amp; Management</v>
      </c>
      <c r="I533" s="140" t="str">
        <f>IFERROR(__xludf.DUMMYFUNCTION("""COMPUTED_VALUE"""),"Communication")</f>
        <v>Communication</v>
      </c>
      <c r="J533">
        <f>IFERROR(__xludf.DUMMYFUNCTION("""COMPUTED_VALUE"""),1802404.0)</f>
        <v>1802404</v>
      </c>
      <c r="K533" s="140" t="str">
        <f>IFERROR(__xludf.DUMMYFUNCTION("""COMPUTED_VALUE"""),"The Complete Communication Skills Master Class for Life")</f>
        <v>The Complete Communication Skills Master Class for Life</v>
      </c>
      <c r="M533" s="140" t="str">
        <f>IFERROR(__xludf.DUMMYFUNCTION("""COMPUTED_VALUE"""),"")</f>
        <v/>
      </c>
      <c r="N533" s="140" t="str">
        <f>IFERROR(__xludf.DUMMYFUNCTION("""COMPUTED_VALUE"""),"Terms Change")</f>
        <v>Terms Change</v>
      </c>
    </row>
    <row r="534">
      <c r="A534" s="141">
        <f>IFERROR(__xludf.DUMMYFUNCTION("""COMPUTED_VALUE"""),43861.0)</f>
        <v>43861</v>
      </c>
      <c r="B534" s="140">
        <f>IFERROR(__xludf.DUMMYFUNCTION("""COMPUTED_VALUE"""),891882.0)</f>
        <v>891882</v>
      </c>
      <c r="C534" s="140" t="str">
        <f>IFERROR(__xludf.DUMMYFUNCTION("""COMPUTED_VALUE"""),"EN")</f>
        <v>EN</v>
      </c>
      <c r="D534" s="140" t="str">
        <f>IFERROR(__xludf.DUMMYFUNCTION("""COMPUTED_VALUE"""),"Office 365 SharePoint Sites")</f>
        <v>Office 365 SharePoint Sites</v>
      </c>
      <c r="F534" s="142" t="str">
        <f>IFERROR(__xludf.DUMMYFUNCTION("""COMPUTED_VALUE"""),"Intellezy Trainers")</f>
        <v>Intellezy Trainers</v>
      </c>
      <c r="G534" t="str">
        <f>IFERROR(__xludf.DUMMYFUNCTION("""COMPUTED_VALUE"""),"Instructor Request- Opted Out")</f>
        <v>Instructor Request- Opted Out</v>
      </c>
      <c r="H534" s="142" t="str">
        <f>IFERROR(__xludf.DUMMYFUNCTION("""COMPUTED_VALUE"""),"Office Productivity")</f>
        <v>Office Productivity</v>
      </c>
      <c r="I534" s="140" t="str">
        <f>IFERROR(__xludf.DUMMYFUNCTION("""COMPUTED_VALUE"""),"Collaboration")</f>
        <v>Collaboration</v>
      </c>
      <c r="J534">
        <f>IFERROR(__xludf.DUMMYFUNCTION("""COMPUTED_VALUE"""),51284.0)</f>
        <v>51284</v>
      </c>
      <c r="K534" s="140" t="str">
        <f>IFERROR(__xludf.DUMMYFUNCTION("""COMPUTED_VALUE"""),"")</f>
        <v/>
      </c>
      <c r="M534" s="140" t="str">
        <f>IFERROR(__xludf.DUMMYFUNCTION("""COMPUTED_VALUE"""),"")</f>
        <v/>
      </c>
      <c r="N534" s="140" t="str">
        <f>IFERROR(__xludf.DUMMYFUNCTION("""COMPUTED_VALUE"""),"Terms Change ")</f>
        <v>Terms Change </v>
      </c>
    </row>
    <row r="535">
      <c r="A535" s="141">
        <f>IFERROR(__xludf.DUMMYFUNCTION("""COMPUTED_VALUE"""),43861.0)</f>
        <v>43861</v>
      </c>
      <c r="B535" s="140">
        <f>IFERROR(__xludf.DUMMYFUNCTION("""COMPUTED_VALUE"""),986824.0)</f>
        <v>986824</v>
      </c>
      <c r="C535" s="140" t="str">
        <f>IFERROR(__xludf.DUMMYFUNCTION("""COMPUTED_VALUE"""),"EN")</f>
        <v>EN</v>
      </c>
      <c r="D535" s="140" t="str">
        <f>IFERROR(__xludf.DUMMYFUNCTION("""COMPUTED_VALUE"""),"Manifesting Your Best Life with Deepak Chopra - Part 1")</f>
        <v>Manifesting Your Best Life with Deepak Chopra - Part 1</v>
      </c>
      <c r="F535" s="142" t="str">
        <f>IFERROR(__xludf.DUMMYFUNCTION("""COMPUTED_VALUE"""),"Deepak Chopra")</f>
        <v>Deepak Chopra</v>
      </c>
      <c r="G535" t="str">
        <f>IFERROR(__xludf.DUMMYFUNCTION("""COMPUTED_VALUE"""),"Instructor Request- Opted Out")</f>
        <v>Instructor Request- Opted Out</v>
      </c>
      <c r="H535" s="142" t="str">
        <f>IFERROR(__xludf.DUMMYFUNCTION("""COMPUTED_VALUE"""),"Personal Development")</f>
        <v>Personal Development</v>
      </c>
      <c r="I535" s="140" t="str">
        <f>IFERROR(__xludf.DUMMYFUNCTION("""COMPUTED_VALUE"""),"Stress Management")</f>
        <v>Stress Management</v>
      </c>
      <c r="J535">
        <f>IFERROR(__xludf.DUMMYFUNCTION("""COMPUTED_VALUE"""),633976.0)</f>
        <v>633976</v>
      </c>
      <c r="K535" s="140" t="str">
        <f>IFERROR(__xludf.DUMMYFUNCTION("""COMPUTED_VALUE"""),"Success: How To Take Your Life From Good To Great To Amazing")</f>
        <v>Success: How To Take Your Life From Good To Great To Amazing</v>
      </c>
      <c r="L535">
        <f>IFERROR(__xludf.DUMMYFUNCTION("""COMPUTED_VALUE"""),613214.0)</f>
        <v>613214</v>
      </c>
      <c r="M535" s="140" t="str">
        <f>IFERROR(__xludf.DUMMYFUNCTION("""COMPUTED_VALUE"""),"Practical Mindfulness - Mindfulness and mindful meditation")</f>
        <v>Practical Mindfulness - Mindfulness and mindful meditation</v>
      </c>
    </row>
    <row r="536">
      <c r="A536" s="141">
        <f>IFERROR(__xludf.DUMMYFUNCTION("""COMPUTED_VALUE"""),43861.0)</f>
        <v>43861</v>
      </c>
      <c r="B536" s="140">
        <f>IFERROR(__xludf.DUMMYFUNCTION("""COMPUTED_VALUE"""),856526.0)</f>
        <v>856526</v>
      </c>
      <c r="C536" s="140" t="str">
        <f>IFERROR(__xludf.DUMMYFUNCTION("""COMPUTED_VALUE"""),"EN")</f>
        <v>EN</v>
      </c>
      <c r="D536" s="140" t="str">
        <f>IFERROR(__xludf.DUMMYFUNCTION("""COMPUTED_VALUE"""),"The Build a SAAS App with Flask Course")</f>
        <v>The Build a SAAS App with Flask Course</v>
      </c>
      <c r="F536" s="142" t="str">
        <f>IFERROR(__xludf.DUMMYFUNCTION("""COMPUTED_VALUE"""),"Nick Janetakis")</f>
        <v>Nick Janetakis</v>
      </c>
      <c r="G536" t="str">
        <f>IFERROR(__xludf.DUMMYFUNCTION("""COMPUTED_VALUE"""),"Instructor Request- Opted Out")</f>
        <v>Instructor Request- Opted Out</v>
      </c>
      <c r="H536" s="142" t="str">
        <f>IFERROR(__xludf.DUMMYFUNCTION("""COMPUTED_VALUE"""),"Development")</f>
        <v>Development</v>
      </c>
      <c r="I536" s="140" t="str">
        <f>IFERROR(__xludf.DUMMYFUNCTION("""COMPUTED_VALUE"""),"Web Development")</f>
        <v>Web Development</v>
      </c>
      <c r="K536" s="140" t="str">
        <f>IFERROR(__xludf.DUMMYFUNCTION("""COMPUTED_VALUE"""),"")</f>
        <v/>
      </c>
      <c r="M536" s="140" t="str">
        <f>IFERROR(__xludf.DUMMYFUNCTION("""COMPUTED_VALUE"""),"")</f>
        <v/>
      </c>
      <c r="N536" s="140" t="str">
        <f>IFERROR(__xludf.DUMMYFUNCTION("""COMPUTED_VALUE"""),"Terms Change / No alternatives in Collection- 1/23/2020")</f>
        <v>Terms Change / No alternatives in Collection- 1/23/2020</v>
      </c>
    </row>
    <row r="537">
      <c r="A537" s="141">
        <f>IFERROR(__xludf.DUMMYFUNCTION("""COMPUTED_VALUE"""),43861.0)</f>
        <v>43861</v>
      </c>
      <c r="B537" s="140">
        <f>IFERROR(__xludf.DUMMYFUNCTION("""COMPUTED_VALUE"""),1613094.0)</f>
        <v>1613094</v>
      </c>
      <c r="C537" s="140" t="str">
        <f>IFERROR(__xludf.DUMMYFUNCTION("""COMPUTED_VALUE"""),"EN")</f>
        <v>EN</v>
      </c>
      <c r="D537" s="140" t="str">
        <f>IFERROR(__xludf.DUMMYFUNCTION("""COMPUTED_VALUE"""),"Office 365 Power BI")</f>
        <v>Office 365 Power BI</v>
      </c>
      <c r="F537" s="142" t="str">
        <f>IFERROR(__xludf.DUMMYFUNCTION("""COMPUTED_VALUE"""),"Intellezy Trainers")</f>
        <v>Intellezy Trainers</v>
      </c>
      <c r="G537" t="str">
        <f>IFERROR(__xludf.DUMMYFUNCTION("""COMPUTED_VALUE"""),"Instructor Request- Opted Out")</f>
        <v>Instructor Request- Opted Out</v>
      </c>
      <c r="H537" s="142" t="str">
        <f>IFERROR(__xludf.DUMMYFUNCTION("""COMPUTED_VALUE"""),"Office Productivity")</f>
        <v>Office Productivity</v>
      </c>
      <c r="I537" s="140" t="str">
        <f>IFERROR(__xludf.DUMMYFUNCTION("""COMPUTED_VALUE"""),"Spreadsheets")</f>
        <v>Spreadsheets</v>
      </c>
      <c r="J537">
        <f>IFERROR(__xludf.DUMMYFUNCTION("""COMPUTED_VALUE"""),1208634.0)</f>
        <v>1208634</v>
      </c>
      <c r="K537" s="140" t="str">
        <f>IFERROR(__xludf.DUMMYFUNCTION("""COMPUTED_VALUE"""),"Microsoft Power BI - A Complete Introduction [2022 EDITION]")</f>
        <v>Microsoft Power BI - A Complete Introduction [2022 EDITION]</v>
      </c>
      <c r="M537" s="140" t="str">
        <f>IFERROR(__xludf.DUMMYFUNCTION("""COMPUTED_VALUE"""),"")</f>
        <v/>
      </c>
      <c r="N537" s="140" t="str">
        <f>IFERROR(__xludf.DUMMYFUNCTION("""COMPUTED_VALUE"""),"Terms Change ")</f>
        <v>Terms Change </v>
      </c>
    </row>
    <row r="538">
      <c r="A538" s="141">
        <f>IFERROR(__xludf.DUMMYFUNCTION("""COMPUTED_VALUE"""),43861.0)</f>
        <v>43861</v>
      </c>
      <c r="B538" s="140">
        <f>IFERROR(__xludf.DUMMYFUNCTION("""COMPUTED_VALUE"""),54557.0)</f>
        <v>54557</v>
      </c>
      <c r="C538" s="140" t="str">
        <f>IFERROR(__xludf.DUMMYFUNCTION("""COMPUTED_VALUE"""),"EN")</f>
        <v>EN</v>
      </c>
      <c r="D538" s="140" t="str">
        <f>IFERROR(__xludf.DUMMYFUNCTION("""COMPUTED_VALUE"""),"Oracle 11g PL/SQL Fundamentals I")</f>
        <v>Oracle 11g PL/SQL Fundamentals I</v>
      </c>
      <c r="F538" s="142" t="str">
        <f>IFERROR(__xludf.DUMMYFUNCTION("""COMPUTED_VALUE"""),"Intellezy Trainers")</f>
        <v>Intellezy Trainers</v>
      </c>
      <c r="G538" t="str">
        <f>IFERROR(__xludf.DUMMYFUNCTION("""COMPUTED_VALUE"""),"Instructor Request- Opted Out")</f>
        <v>Instructor Request- Opted Out</v>
      </c>
      <c r="H538" s="142" t="str">
        <f>IFERROR(__xludf.DUMMYFUNCTION("""COMPUTED_VALUE"""),"IT Operations")</f>
        <v>IT Operations</v>
      </c>
      <c r="I538" s="140" t="str">
        <f>IFERROR(__xludf.DUMMYFUNCTION("""COMPUTED_VALUE"""),"Database Administration")</f>
        <v>Database Administration</v>
      </c>
      <c r="J538">
        <f>IFERROR(__xludf.DUMMYFUNCTION("""COMPUTED_VALUE"""),470406.0)</f>
        <v>470406</v>
      </c>
      <c r="K538" s="140" t="str">
        <f>IFERROR(__xludf.DUMMYFUNCTION("""COMPUTED_VALUE"""),"PL/SQL by Example - Beginner to Advanced PL/SQL")</f>
        <v>PL/SQL by Example - Beginner to Advanced PL/SQL</v>
      </c>
      <c r="L538">
        <f>IFERROR(__xludf.DUMMYFUNCTION("""COMPUTED_VALUE"""),1312466.0)</f>
        <v>1312466</v>
      </c>
      <c r="M538" s="140" t="str">
        <f>IFERROR(__xludf.DUMMYFUNCTION("""COMPUTED_VALUE"""),"The Complete PL/SQL Bootcamp : ""Beginner to Advanced PL/SQL""")</f>
        <v>The Complete PL/SQL Bootcamp : "Beginner to Advanced PL/SQL"</v>
      </c>
      <c r="N538" s="140" t="str">
        <f>IFERROR(__xludf.DUMMYFUNCTION("""COMPUTED_VALUE"""),"Terms Change")</f>
        <v>Terms Change</v>
      </c>
    </row>
    <row r="539">
      <c r="A539" s="141">
        <f>IFERROR(__xludf.DUMMYFUNCTION("""COMPUTED_VALUE"""),43861.0)</f>
        <v>43861</v>
      </c>
      <c r="B539" s="140">
        <f>IFERROR(__xludf.DUMMYFUNCTION("""COMPUTED_VALUE"""),51444.0)</f>
        <v>51444</v>
      </c>
      <c r="C539" s="140" t="str">
        <f>IFERROR(__xludf.DUMMYFUNCTION("""COMPUTED_VALUE"""),"EN")</f>
        <v>EN</v>
      </c>
      <c r="D539" s="140" t="str">
        <f>IFERROR(__xludf.DUMMYFUNCTION("""COMPUTED_VALUE"""),"Windows 7 New Features")</f>
        <v>Windows 7 New Features</v>
      </c>
      <c r="F539" s="142" t="str">
        <f>IFERROR(__xludf.DUMMYFUNCTION("""COMPUTED_VALUE"""),"Intellezy Trainers")</f>
        <v>Intellezy Trainers</v>
      </c>
      <c r="G539" t="str">
        <f>IFERROR(__xludf.DUMMYFUNCTION("""COMPUTED_VALUE"""),"Instructor Request- Opted Out")</f>
        <v>Instructor Request- Opted Out</v>
      </c>
      <c r="H539" s="142" t="str">
        <f>IFERROR(__xludf.DUMMYFUNCTION("""COMPUTED_VALUE"""),"IT Operations")</f>
        <v>IT Operations</v>
      </c>
      <c r="I539" s="140" t="str">
        <f>IFERROR(__xludf.DUMMYFUNCTION("""COMPUTED_VALUE"""),"Operating Systems &amp; Servers")</f>
        <v>Operating Systems &amp; Servers</v>
      </c>
      <c r="K539" s="140" t="str">
        <f>IFERROR(__xludf.DUMMYFUNCTION("""COMPUTED_VALUE"""),"")</f>
        <v/>
      </c>
      <c r="M539" s="140" t="str">
        <f>IFERROR(__xludf.DUMMYFUNCTION("""COMPUTED_VALUE"""),"")</f>
        <v/>
      </c>
      <c r="N539" s="140" t="str">
        <f>IFERROR(__xludf.DUMMYFUNCTION("""COMPUTED_VALUE"""),"Terms Change / No alternatives in Collection- 1/24/2020")</f>
        <v>Terms Change / No alternatives in Collection- 1/24/2020</v>
      </c>
    </row>
    <row r="540">
      <c r="A540" s="141">
        <f>IFERROR(__xludf.DUMMYFUNCTION("""COMPUTED_VALUE"""),43861.0)</f>
        <v>43861</v>
      </c>
      <c r="B540" s="140">
        <f>IFERROR(__xludf.DUMMYFUNCTION("""COMPUTED_VALUE"""),890584.0)</f>
        <v>890584</v>
      </c>
      <c r="C540" s="140" t="str">
        <f>IFERROR(__xludf.DUMMYFUNCTION("""COMPUTED_VALUE"""),"EN")</f>
        <v>EN</v>
      </c>
      <c r="D540" s="140" t="str">
        <f>IFERROR(__xludf.DUMMYFUNCTION("""COMPUTED_VALUE"""),"Office 365 Delve")</f>
        <v>Office 365 Delve</v>
      </c>
      <c r="F540" s="142" t="str">
        <f>IFERROR(__xludf.DUMMYFUNCTION("""COMPUTED_VALUE"""),"Intellezy Trainers")</f>
        <v>Intellezy Trainers</v>
      </c>
      <c r="G540" t="str">
        <f>IFERROR(__xludf.DUMMYFUNCTION("""COMPUTED_VALUE"""),"Instructor Request- Opted Out")</f>
        <v>Instructor Request- Opted Out</v>
      </c>
      <c r="H540" s="142" t="str">
        <f>IFERROR(__xludf.DUMMYFUNCTION("""COMPUTED_VALUE"""),"Office Productivity")</f>
        <v>Office Productivity</v>
      </c>
      <c r="I540" s="140" t="str">
        <f>IFERROR(__xludf.DUMMYFUNCTION("""COMPUTED_VALUE"""),"Collaboration")</f>
        <v>Collaboration</v>
      </c>
      <c r="K540" s="140" t="str">
        <f>IFERROR(__xludf.DUMMYFUNCTION("""COMPUTED_VALUE"""),"")</f>
        <v/>
      </c>
      <c r="M540" s="140" t="str">
        <f>IFERROR(__xludf.DUMMYFUNCTION("""COMPUTED_VALUE"""),"")</f>
        <v/>
      </c>
      <c r="N540" s="140" t="str">
        <f>IFERROR(__xludf.DUMMYFUNCTION("""COMPUTED_VALUE"""),"Terms Change / No alternatives in Collection- 1/24/2020")</f>
        <v>Terms Change / No alternatives in Collection- 1/24/2020</v>
      </c>
    </row>
    <row r="541">
      <c r="A541" s="141">
        <f>IFERROR(__xludf.DUMMYFUNCTION("""COMPUTED_VALUE"""),43861.0)</f>
        <v>43861</v>
      </c>
      <c r="B541" s="140">
        <f>IFERROR(__xludf.DUMMYFUNCTION("""COMPUTED_VALUE"""),959258.0)</f>
        <v>959258</v>
      </c>
      <c r="C541" s="140" t="str">
        <f>IFERROR(__xludf.DUMMYFUNCTION("""COMPUTED_VALUE"""),"EN")</f>
        <v>EN</v>
      </c>
      <c r="D541" s="140" t="str">
        <f>IFERROR(__xludf.DUMMYFUNCTION("""COMPUTED_VALUE"""),"Access 2016 Advanced")</f>
        <v>Access 2016 Advanced</v>
      </c>
      <c r="F541" s="142" t="str">
        <f>IFERROR(__xludf.DUMMYFUNCTION("""COMPUTED_VALUE"""),"Intellezy Trainers")</f>
        <v>Intellezy Trainers</v>
      </c>
      <c r="G541" t="str">
        <f>IFERROR(__xludf.DUMMYFUNCTION("""COMPUTED_VALUE"""),"Instructor Request- Opted Out")</f>
        <v>Instructor Request- Opted Out</v>
      </c>
      <c r="H541" s="142" t="str">
        <f>IFERROR(__xludf.DUMMYFUNCTION("""COMPUTED_VALUE"""),"IT Operations")</f>
        <v>IT Operations</v>
      </c>
      <c r="I541" s="140" t="str">
        <f>IFERROR(__xludf.DUMMYFUNCTION("""COMPUTED_VALUE"""),"Database Administration")</f>
        <v>Database Administration</v>
      </c>
      <c r="J541">
        <f>IFERROR(__xludf.DUMMYFUNCTION("""COMPUTED_VALUE"""),845284.0)</f>
        <v>845284</v>
      </c>
      <c r="K541" s="140" t="str">
        <f>IFERROR(__xludf.DUMMYFUNCTION("""COMPUTED_VALUE"""),"Microsoft Access 2016 Master Class: Beginner to Advanced")</f>
        <v>Microsoft Access 2016 Master Class: Beginner to Advanced</v>
      </c>
      <c r="M541" s="140" t="str">
        <f>IFERROR(__xludf.DUMMYFUNCTION("""COMPUTED_VALUE"""),"")</f>
        <v/>
      </c>
      <c r="N541" s="140" t="str">
        <f>IFERROR(__xludf.DUMMYFUNCTION("""COMPUTED_VALUE"""),"Terms Change")</f>
        <v>Terms Change</v>
      </c>
    </row>
    <row r="542">
      <c r="A542" s="141">
        <f>IFERROR(__xludf.DUMMYFUNCTION("""COMPUTED_VALUE"""),43861.0)</f>
        <v>43861</v>
      </c>
      <c r="B542" s="140">
        <f>IFERROR(__xludf.DUMMYFUNCTION("""COMPUTED_VALUE"""),1110366.0)</f>
        <v>1110366</v>
      </c>
      <c r="C542" s="140" t="str">
        <f>IFERROR(__xludf.DUMMYFUNCTION("""COMPUTED_VALUE"""),"EN")</f>
        <v>EN</v>
      </c>
      <c r="D542" s="140" t="str">
        <f>IFERROR(__xludf.DUMMYFUNCTION("""COMPUTED_VALUE"""),"Scrapy: Powerful Web Scraping &amp; Crawling with Python")</f>
        <v>Scrapy: Powerful Web Scraping &amp; Crawling with Python</v>
      </c>
      <c r="F542" s="142" t="str">
        <f>IFERROR(__xludf.DUMMYFUNCTION("""COMPUTED_VALUE"""),"GoTrained Academy")</f>
        <v>GoTrained Academy</v>
      </c>
      <c r="G542" t="str">
        <f>IFERROR(__xludf.DUMMYFUNCTION("""COMPUTED_VALUE"""),"Instructor Request- Opted Out")</f>
        <v>Instructor Request- Opted Out</v>
      </c>
      <c r="H542" s="142" t="str">
        <f>IFERROR(__xludf.DUMMYFUNCTION("""COMPUTED_VALUE"""),"Development")</f>
        <v>Development</v>
      </c>
      <c r="I542" s="140" t="str">
        <f>IFERROR(__xludf.DUMMYFUNCTION("""COMPUTED_VALUE"""),"Web Development")</f>
        <v>Web Development</v>
      </c>
      <c r="J542">
        <f>IFERROR(__xludf.DUMMYFUNCTION("""COMPUTED_VALUE"""),1757906.0)</f>
        <v>1757906</v>
      </c>
      <c r="K542" s="140" t="str">
        <f>IFERROR(__xludf.DUMMYFUNCTION("""COMPUTED_VALUE"""),"Modern Web Scraping with Python using Scrapy Splash Selenium")</f>
        <v>Modern Web Scraping with Python using Scrapy Splash Selenium</v>
      </c>
      <c r="M542" s="140" t="str">
        <f>IFERROR(__xludf.DUMMYFUNCTION("""COMPUTED_VALUE"""),"")</f>
        <v/>
      </c>
      <c r="N542" s="140" t="str">
        <f>IFERROR(__xludf.DUMMYFUNCTION("""COMPUTED_VALUE"""),"Terms change")</f>
        <v>Terms change</v>
      </c>
    </row>
    <row r="543">
      <c r="A543" s="141">
        <f>IFERROR(__xludf.DUMMYFUNCTION("""COMPUTED_VALUE"""),43861.0)</f>
        <v>43861</v>
      </c>
      <c r="B543" s="140">
        <f>IFERROR(__xludf.DUMMYFUNCTION("""COMPUTED_VALUE"""),1211572.0)</f>
        <v>1211572</v>
      </c>
      <c r="C543" s="140" t="str">
        <f>IFERROR(__xludf.DUMMYFUNCTION("""COMPUTED_VALUE"""),"EN")</f>
        <v>EN</v>
      </c>
      <c r="D543" s="140" t="str">
        <f>IFERROR(__xludf.DUMMYFUNCTION("""COMPUTED_VALUE"""),"Coaching skills for managers")</f>
        <v>Coaching skills for managers</v>
      </c>
      <c r="F543" s="142" t="str">
        <f>IFERROR(__xludf.DUMMYFUNCTION("""COMPUTED_VALUE"""),"Skill Boosters")</f>
        <v>Skill Boosters</v>
      </c>
      <c r="G543" t="str">
        <f>IFERROR(__xludf.DUMMYFUNCTION("""COMPUTED_VALUE"""),"Instructor Request- Opted Out")</f>
        <v>Instructor Request- Opted Out</v>
      </c>
      <c r="H543" s="142" t="str">
        <f>IFERROR(__xludf.DUMMYFUNCTION("""COMPUTED_VALUE"""),"Leadership &amp; Management")</f>
        <v>Leadership &amp; Management</v>
      </c>
      <c r="I543" s="140" t="str">
        <f>IFERROR(__xludf.DUMMYFUNCTION("""COMPUTED_VALUE"""),"Management")</f>
        <v>Management</v>
      </c>
      <c r="J543">
        <f>IFERROR(__xludf.DUMMYFUNCTION("""COMPUTED_VALUE"""),279292.0)</f>
        <v>279292</v>
      </c>
      <c r="K543" s="140" t="str">
        <f>IFERROR(__xludf.DUMMYFUNCTION("""COMPUTED_VALUE"""),"How to Become a Workplace Coach: The Fundamentals")</f>
        <v>How to Become a Workplace Coach: The Fundamentals</v>
      </c>
      <c r="M543" s="140" t="str">
        <f>IFERROR(__xludf.DUMMYFUNCTION("""COMPUTED_VALUE"""),"")</f>
        <v/>
      </c>
      <c r="N543" s="140" t="str">
        <f>IFERROR(__xludf.DUMMYFUNCTION("""COMPUTED_VALUE"""),"Terms Change")</f>
        <v>Terms Change</v>
      </c>
    </row>
    <row r="544">
      <c r="A544" s="141">
        <f>IFERROR(__xludf.DUMMYFUNCTION("""COMPUTED_VALUE"""),43861.0)</f>
        <v>43861</v>
      </c>
      <c r="B544" s="140">
        <f>IFERROR(__xludf.DUMMYFUNCTION("""COMPUTED_VALUE"""),891914.0)</f>
        <v>891914</v>
      </c>
      <c r="C544" s="140" t="str">
        <f>IFERROR(__xludf.DUMMYFUNCTION("""COMPUTED_VALUE"""),"EN")</f>
        <v>EN</v>
      </c>
      <c r="D544" s="140" t="str">
        <f>IFERROR(__xludf.DUMMYFUNCTION("""COMPUTED_VALUE"""),"Office 365 Getting the Most out of OneDrive")</f>
        <v>Office 365 Getting the Most out of OneDrive</v>
      </c>
      <c r="F544" s="142" t="str">
        <f>IFERROR(__xludf.DUMMYFUNCTION("""COMPUTED_VALUE"""),"Intellezy Trainers")</f>
        <v>Intellezy Trainers</v>
      </c>
      <c r="G544" t="str">
        <f>IFERROR(__xludf.DUMMYFUNCTION("""COMPUTED_VALUE"""),"Instructor Request- Opted Out")</f>
        <v>Instructor Request- Opted Out</v>
      </c>
      <c r="H544" s="142" t="str">
        <f>IFERROR(__xludf.DUMMYFUNCTION("""COMPUTED_VALUE"""),"Office Productivity")</f>
        <v>Office Productivity</v>
      </c>
      <c r="I544" s="140" t="str">
        <f>IFERROR(__xludf.DUMMYFUNCTION("""COMPUTED_VALUE"""),"Collaboration")</f>
        <v>Collaboration</v>
      </c>
      <c r="K544" s="140" t="str">
        <f>IFERROR(__xludf.DUMMYFUNCTION("""COMPUTED_VALUE"""),"")</f>
        <v/>
      </c>
      <c r="M544" s="140" t="str">
        <f>IFERROR(__xludf.DUMMYFUNCTION("""COMPUTED_VALUE"""),"")</f>
        <v/>
      </c>
      <c r="N544" s="140" t="str">
        <f>IFERROR(__xludf.DUMMYFUNCTION("""COMPUTED_VALUE"""),"Terms Change / No alternatives in Collection- 1/24/2020")</f>
        <v>Terms Change / No alternatives in Collection- 1/24/2020</v>
      </c>
    </row>
    <row r="545">
      <c r="A545" s="141">
        <f>IFERROR(__xludf.DUMMYFUNCTION("""COMPUTED_VALUE"""),43861.0)</f>
        <v>43861</v>
      </c>
      <c r="B545" s="140">
        <f>IFERROR(__xludf.DUMMYFUNCTION("""COMPUTED_VALUE"""),897973.0)</f>
        <v>897973</v>
      </c>
      <c r="C545" s="140" t="str">
        <f>IFERROR(__xludf.DUMMYFUNCTION("""COMPUTED_VALUE"""),"EN")</f>
        <v>EN</v>
      </c>
      <c r="D545" s="140" t="str">
        <f>IFERROR(__xludf.DUMMYFUNCTION("""COMPUTED_VALUE"""),"Office 365 Skype for Business")</f>
        <v>Office 365 Skype for Business</v>
      </c>
      <c r="F545" s="142" t="str">
        <f>IFERROR(__xludf.DUMMYFUNCTION("""COMPUTED_VALUE"""),"Intellezy Trainers")</f>
        <v>Intellezy Trainers</v>
      </c>
      <c r="G545" t="str">
        <f>IFERROR(__xludf.DUMMYFUNCTION("""COMPUTED_VALUE"""),"Instructor Request- Opted Out")</f>
        <v>Instructor Request- Opted Out</v>
      </c>
      <c r="H545" s="142" t="str">
        <f>IFERROR(__xludf.DUMMYFUNCTION("""COMPUTED_VALUE"""),"Office Productivity")</f>
        <v>Office Productivity</v>
      </c>
      <c r="I545" s="140" t="str">
        <f>IFERROR(__xludf.DUMMYFUNCTION("""COMPUTED_VALUE"""),"Collaboration")</f>
        <v>Collaboration</v>
      </c>
      <c r="J545">
        <f>IFERROR(__xludf.DUMMYFUNCTION("""COMPUTED_VALUE"""),904324.0)</f>
        <v>904324</v>
      </c>
      <c r="K545" s="140" t="str">
        <f>IFERROR(__xludf.DUMMYFUNCTION("""COMPUTED_VALUE"""),"")</f>
        <v/>
      </c>
      <c r="M545" s="140" t="str">
        <f>IFERROR(__xludf.DUMMYFUNCTION("""COMPUTED_VALUE"""),"")</f>
        <v/>
      </c>
      <c r="N545" s="140" t="str">
        <f>IFERROR(__xludf.DUMMYFUNCTION("""COMPUTED_VALUE"""),"Terms Change")</f>
        <v>Terms Change</v>
      </c>
    </row>
    <row r="546">
      <c r="A546" s="141">
        <f>IFERROR(__xludf.DUMMYFUNCTION("""COMPUTED_VALUE"""),43861.0)</f>
        <v>43861</v>
      </c>
      <c r="B546" s="140">
        <f>IFERROR(__xludf.DUMMYFUNCTION("""COMPUTED_VALUE"""),897748.0)</f>
        <v>897748</v>
      </c>
      <c r="C546" s="140" t="str">
        <f>IFERROR(__xludf.DUMMYFUNCTION("""COMPUTED_VALUE"""),"EN")</f>
        <v>EN</v>
      </c>
      <c r="D546" s="140" t="str">
        <f>IFERROR(__xludf.DUMMYFUNCTION("""COMPUTED_VALUE"""),"Windows 10 End User")</f>
        <v>Windows 10 End User</v>
      </c>
      <c r="F546" s="142" t="str">
        <f>IFERROR(__xludf.DUMMYFUNCTION("""COMPUTED_VALUE"""),"Intellezy Trainers")</f>
        <v>Intellezy Trainers</v>
      </c>
      <c r="G546" t="str">
        <f>IFERROR(__xludf.DUMMYFUNCTION("""COMPUTED_VALUE"""),"Instructor Request- Opted Out")</f>
        <v>Instructor Request- Opted Out</v>
      </c>
      <c r="H546" s="142" t="str">
        <f>IFERROR(__xludf.DUMMYFUNCTION("""COMPUTED_VALUE"""),"IT Operations")</f>
        <v>IT Operations</v>
      </c>
      <c r="I546" s="140" t="str">
        <f>IFERROR(__xludf.DUMMYFUNCTION("""COMPUTED_VALUE"""),"Operating Systems &amp; Servers")</f>
        <v>Operating Systems &amp; Servers</v>
      </c>
      <c r="J546">
        <f>IFERROR(__xludf.DUMMYFUNCTION("""COMPUTED_VALUE"""),1140314.0)</f>
        <v>1140314</v>
      </c>
      <c r="K546" s="140" t="str">
        <f>IFERROR(__xludf.DUMMYFUNCTION("""COMPUTED_VALUE"""),"Learn Microsoft Windows 10 the Easy Way for Beginners")</f>
        <v>Learn Microsoft Windows 10 the Easy Way for Beginners</v>
      </c>
      <c r="M546" s="140" t="str">
        <f>IFERROR(__xludf.DUMMYFUNCTION("""COMPUTED_VALUE"""),"")</f>
        <v/>
      </c>
      <c r="N546" s="140" t="str">
        <f>IFERROR(__xludf.DUMMYFUNCTION("""COMPUTED_VALUE"""),"Terms Change ")</f>
        <v>Terms Change </v>
      </c>
    </row>
    <row r="547">
      <c r="A547" s="141">
        <f>IFERROR(__xludf.DUMMYFUNCTION("""COMPUTED_VALUE"""),43861.0)</f>
        <v>43861</v>
      </c>
      <c r="B547" s="140">
        <f>IFERROR(__xludf.DUMMYFUNCTION("""COMPUTED_VALUE"""),1281076.0)</f>
        <v>1281076</v>
      </c>
      <c r="C547" s="140" t="str">
        <f>IFERROR(__xludf.DUMMYFUNCTION("""COMPUTED_VALUE"""),"EN")</f>
        <v>EN</v>
      </c>
      <c r="D547" s="140" t="str">
        <f>IFERROR(__xludf.DUMMYFUNCTION("""COMPUTED_VALUE"""),"Free Automated A+ Graded SSL Certificates with Let's Encrypt")</f>
        <v>Free Automated A+ Graded SSL Certificates with Let's Encrypt</v>
      </c>
      <c r="F547" s="142" t="str">
        <f>IFERROR(__xludf.DUMMYFUNCTION("""COMPUTED_VALUE"""),"Nick Janetakis")</f>
        <v>Nick Janetakis</v>
      </c>
      <c r="G547" t="str">
        <f>IFERROR(__xludf.DUMMYFUNCTION("""COMPUTED_VALUE"""),"Instructor Request- Opted Out")</f>
        <v>Instructor Request- Opted Out</v>
      </c>
      <c r="H547" s="142" t="str">
        <f>IFERROR(__xludf.DUMMYFUNCTION("""COMPUTED_VALUE"""),"Development")</f>
        <v>Development</v>
      </c>
      <c r="I547" s="140" t="str">
        <f>IFERROR(__xludf.DUMMYFUNCTION("""COMPUTED_VALUE"""),"Web Development")</f>
        <v>Web Development</v>
      </c>
      <c r="J547">
        <f>IFERROR(__xludf.DUMMYFUNCTION("""COMPUTED_VALUE"""),1445848.0)</f>
        <v>1445848</v>
      </c>
      <c r="K547" s="140" t="str">
        <f>IFERROR(__xludf.DUMMYFUNCTION("""COMPUTED_VALUE"""),"Hosting Websites with Amazon Lightsail | AWS for 2020")</f>
        <v>Hosting Websites with Amazon Lightsail | AWS for 2020</v>
      </c>
      <c r="M547" s="140" t="str">
        <f>IFERROR(__xludf.DUMMYFUNCTION("""COMPUTED_VALUE"""),"")</f>
        <v/>
      </c>
      <c r="N547" s="140" t="str">
        <f>IFERROR(__xludf.DUMMYFUNCTION("""COMPUTED_VALUE"""),"Terms Change")</f>
        <v>Terms Change</v>
      </c>
    </row>
    <row r="548">
      <c r="A548" s="141">
        <f>IFERROR(__xludf.DUMMYFUNCTION("""COMPUTED_VALUE"""),43861.0)</f>
        <v>43861</v>
      </c>
      <c r="B548" s="140">
        <f>IFERROR(__xludf.DUMMYFUNCTION("""COMPUTED_VALUE"""),1319358.0)</f>
        <v>1319358</v>
      </c>
      <c r="C548" s="140" t="str">
        <f>IFERROR(__xludf.DUMMYFUNCTION("""COMPUTED_VALUE"""),"EN")</f>
        <v>EN</v>
      </c>
      <c r="D548" s="140" t="str">
        <f>IFERROR(__xludf.DUMMYFUNCTION("""COMPUTED_VALUE"""),"Tech Explorations™ Make an Open Source Drone")</f>
        <v>Tech Explorations™ Make an Open Source Drone</v>
      </c>
      <c r="F548" s="142" t="str">
        <f>IFERROR(__xludf.DUMMYFUNCTION("""COMPUTED_VALUE"""),"Dr. Peter Dalmaris")</f>
        <v>Dr. Peter Dalmaris</v>
      </c>
      <c r="G548" t="str">
        <f>IFERROR(__xludf.DUMMYFUNCTION("""COMPUTED_VALUE"""),"Instructor Request- Opted Out")</f>
        <v>Instructor Request- Opted Out</v>
      </c>
      <c r="H548" s="142" t="str">
        <f>IFERROR(__xludf.DUMMYFUNCTION("""COMPUTED_VALUE"""),"IT Operations")</f>
        <v>IT Operations</v>
      </c>
      <c r="I548" s="140" t="str">
        <f>IFERROR(__xludf.DUMMYFUNCTION("""COMPUTED_VALUE"""),"Hardware")</f>
        <v>Hardware</v>
      </c>
      <c r="K548" s="140" t="str">
        <f>IFERROR(__xludf.DUMMYFUNCTION("""COMPUTED_VALUE"""),"")</f>
        <v/>
      </c>
      <c r="M548" s="140" t="str">
        <f>IFERROR(__xludf.DUMMYFUNCTION("""COMPUTED_VALUE"""),"")</f>
        <v/>
      </c>
      <c r="N548" s="140" t="str">
        <f>IFERROR(__xludf.DUMMYFUNCTION("""COMPUTED_VALUE"""),"No alternatives in Collection- 1/29/2020/Terms Change")</f>
        <v>No alternatives in Collection- 1/29/2020/Terms Change</v>
      </c>
    </row>
    <row r="549">
      <c r="A549" s="141">
        <f>IFERROR(__xludf.DUMMYFUNCTION("""COMPUTED_VALUE"""),43861.0)</f>
        <v>43861</v>
      </c>
      <c r="B549" s="140">
        <f>IFERROR(__xludf.DUMMYFUNCTION("""COMPUTED_VALUE"""),61782.0)</f>
        <v>61782</v>
      </c>
      <c r="C549" s="140" t="str">
        <f>IFERROR(__xludf.DUMMYFUNCTION("""COMPUTED_VALUE"""),"EN")</f>
        <v>EN</v>
      </c>
      <c r="D549" s="140" t="str">
        <f>IFERROR(__xludf.DUMMYFUNCTION("""COMPUTED_VALUE"""),"VB.NET Introduction")</f>
        <v>VB.NET Introduction</v>
      </c>
      <c r="F549" s="142" t="str">
        <f>IFERROR(__xludf.DUMMYFUNCTION("""COMPUTED_VALUE"""),"Intellezy Trainers")</f>
        <v>Intellezy Trainers</v>
      </c>
      <c r="G549" t="str">
        <f>IFERROR(__xludf.DUMMYFUNCTION("""COMPUTED_VALUE"""),"Instructor Request- Opted Out")</f>
        <v>Instructor Request- Opted Out</v>
      </c>
      <c r="H549" s="142" t="str">
        <f>IFERROR(__xludf.DUMMYFUNCTION("""COMPUTED_VALUE"""),"Development")</f>
        <v>Development</v>
      </c>
      <c r="I549" s="140" t="str">
        <f>IFERROR(__xludf.DUMMYFUNCTION("""COMPUTED_VALUE"""),"Programming Languages")</f>
        <v>Programming Languages</v>
      </c>
      <c r="J549">
        <f>IFERROR(__xludf.DUMMYFUNCTION("""COMPUTED_VALUE"""),82328.0)</f>
        <v>82328</v>
      </c>
      <c r="K549" s="140" t="str">
        <f>IFERROR(__xludf.DUMMYFUNCTION("""COMPUTED_VALUE"""),"VB.NET  with VS 2017 and Windows Forms")</f>
        <v>VB.NET  with VS 2017 and Windows Forms</v>
      </c>
      <c r="M549" s="140" t="str">
        <f>IFERROR(__xludf.DUMMYFUNCTION("""COMPUTED_VALUE"""),"")</f>
        <v/>
      </c>
      <c r="N549" s="140" t="str">
        <f>IFERROR(__xludf.DUMMYFUNCTION("""COMPUTED_VALUE"""),"Terms change")</f>
        <v>Terms change</v>
      </c>
    </row>
    <row r="550">
      <c r="A550" s="141">
        <f>IFERROR(__xludf.DUMMYFUNCTION("""COMPUTED_VALUE"""),43861.0)</f>
        <v>43861</v>
      </c>
      <c r="B550" s="140">
        <f>IFERROR(__xludf.DUMMYFUNCTION("""COMPUTED_VALUE"""),50541.0)</f>
        <v>50541</v>
      </c>
      <c r="C550" s="140" t="str">
        <f>IFERROR(__xludf.DUMMYFUNCTION("""COMPUTED_VALUE"""),"EN")</f>
        <v>EN</v>
      </c>
      <c r="D550" s="140" t="str">
        <f>IFERROR(__xludf.DUMMYFUNCTION("""COMPUTED_VALUE"""),"Outlook 2010 Advanced")</f>
        <v>Outlook 2010 Advanced</v>
      </c>
      <c r="F550" s="142" t="str">
        <f>IFERROR(__xludf.DUMMYFUNCTION("""COMPUTED_VALUE"""),"Intellezy Trainers")</f>
        <v>Intellezy Trainers</v>
      </c>
      <c r="G550" t="str">
        <f>IFERROR(__xludf.DUMMYFUNCTION("""COMPUTED_VALUE"""),"Instructor Request- Opted Out")</f>
        <v>Instructor Request- Opted Out</v>
      </c>
      <c r="H550" s="142" t="str">
        <f>IFERROR(__xludf.DUMMYFUNCTION("""COMPUTED_VALUE"""),"Office Productivity")</f>
        <v>Office Productivity</v>
      </c>
      <c r="I550" s="140" t="str">
        <f>IFERROR(__xludf.DUMMYFUNCTION("""COMPUTED_VALUE"""),"Email &amp; Productivity")</f>
        <v>Email &amp; Productivity</v>
      </c>
      <c r="J550">
        <f>IFERROR(__xludf.DUMMYFUNCTION("""COMPUTED_VALUE"""),51797.0)</f>
        <v>51797</v>
      </c>
      <c r="K550" s="140" t="str">
        <f>IFERROR(__xludf.DUMMYFUNCTION("""COMPUTED_VALUE"""),"Effective use of Outlook 2010")</f>
        <v>Effective use of Outlook 2010</v>
      </c>
      <c r="M550" s="140" t="str">
        <f>IFERROR(__xludf.DUMMYFUNCTION("""COMPUTED_VALUE"""),"")</f>
        <v/>
      </c>
      <c r="N550" s="140" t="str">
        <f>IFERROR(__xludf.DUMMYFUNCTION("""COMPUTED_VALUE"""),"Terms Change")</f>
        <v>Terms Change</v>
      </c>
    </row>
    <row r="551">
      <c r="A551" s="141">
        <f>IFERROR(__xludf.DUMMYFUNCTION("""COMPUTED_VALUE"""),43861.0)</f>
        <v>43861</v>
      </c>
      <c r="B551" s="140">
        <f>IFERROR(__xludf.DUMMYFUNCTION("""COMPUTED_VALUE"""),51304.0)</f>
        <v>51304</v>
      </c>
      <c r="C551" s="140" t="str">
        <f>IFERROR(__xludf.DUMMYFUNCTION("""COMPUTED_VALUE"""),"EN")</f>
        <v>EN</v>
      </c>
      <c r="D551" s="140" t="str">
        <f>IFERROR(__xludf.DUMMYFUNCTION("""COMPUTED_VALUE"""),"Captivate 5 Introduction")</f>
        <v>Captivate 5 Introduction</v>
      </c>
      <c r="F551" s="142" t="str">
        <f>IFERROR(__xludf.DUMMYFUNCTION("""COMPUTED_VALUE"""),"Intellezy Trainers")</f>
        <v>Intellezy Trainers</v>
      </c>
      <c r="G551" t="str">
        <f>IFERROR(__xludf.DUMMYFUNCTION("""COMPUTED_VALUE"""),"Instructor Request- Opted Out")</f>
        <v>Instructor Request- Opted Out</v>
      </c>
      <c r="H551" s="142" t="str">
        <f>IFERROR(__xludf.DUMMYFUNCTION("""COMPUTED_VALUE"""),"Office Productivity")</f>
        <v>Office Productivity</v>
      </c>
      <c r="I551" s="140" t="str">
        <f>IFERROR(__xludf.DUMMYFUNCTION("""COMPUTED_VALUE"""),"Presentations")</f>
        <v>Presentations</v>
      </c>
      <c r="K551" s="140" t="str">
        <f>IFERROR(__xludf.DUMMYFUNCTION("""COMPUTED_VALUE"""),"")</f>
        <v/>
      </c>
      <c r="M551" s="140" t="str">
        <f>IFERROR(__xludf.DUMMYFUNCTION("""COMPUTED_VALUE"""),"")</f>
        <v/>
      </c>
      <c r="N551" s="140" t="str">
        <f>IFERROR(__xludf.DUMMYFUNCTION("""COMPUTED_VALUE"""),"Terms Change / No alternatives in Collection- 1/24/2020")</f>
        <v>Terms Change / No alternatives in Collection- 1/24/2020</v>
      </c>
    </row>
    <row r="552">
      <c r="A552" s="141">
        <f>IFERROR(__xludf.DUMMYFUNCTION("""COMPUTED_VALUE"""),43861.0)</f>
        <v>43861</v>
      </c>
      <c r="B552" s="140">
        <f>IFERROR(__xludf.DUMMYFUNCTION("""COMPUTED_VALUE"""),1081026.0)</f>
        <v>1081026</v>
      </c>
      <c r="C552" s="140" t="str">
        <f>IFERROR(__xludf.DUMMYFUNCTION("""COMPUTED_VALUE"""),"EN")</f>
        <v>EN</v>
      </c>
      <c r="D552" s="140" t="str">
        <f>IFERROR(__xludf.DUMMYFUNCTION("""COMPUTED_VALUE"""),"7 tips for new leaders - avoiding common mistakes")</f>
        <v>7 tips for new leaders - avoiding common mistakes</v>
      </c>
      <c r="F552" s="142" t="str">
        <f>IFERROR(__xludf.DUMMYFUNCTION("""COMPUTED_VALUE"""),"Skill Boosters")</f>
        <v>Skill Boosters</v>
      </c>
      <c r="G552" t="str">
        <f>IFERROR(__xludf.DUMMYFUNCTION("""COMPUTED_VALUE"""),"Instructor Request- Opted Out")</f>
        <v>Instructor Request- Opted Out</v>
      </c>
      <c r="H552" s="142" t="str">
        <f>IFERROR(__xludf.DUMMYFUNCTION("""COMPUTED_VALUE"""),"Leadership &amp; Management")</f>
        <v>Leadership &amp; Management</v>
      </c>
      <c r="I552" s="140" t="str">
        <f>IFERROR(__xludf.DUMMYFUNCTION("""COMPUTED_VALUE"""),"Leadership")</f>
        <v>Leadership</v>
      </c>
      <c r="J552">
        <f>IFERROR(__xludf.DUMMYFUNCTION("""COMPUTED_VALUE"""),429062.0)</f>
        <v>429062</v>
      </c>
      <c r="K552" s="140" t="str">
        <f>IFERROR(__xludf.DUMMYFUNCTION("""COMPUTED_VALUE"""),"New Manager: The Basics and More of Being a Great Leader")</f>
        <v>New Manager: The Basics and More of Being a Great Leader</v>
      </c>
      <c r="M552" s="140" t="str">
        <f>IFERROR(__xludf.DUMMYFUNCTION("""COMPUTED_VALUE"""),"")</f>
        <v/>
      </c>
      <c r="N552" s="140" t="str">
        <f>IFERROR(__xludf.DUMMYFUNCTION("""COMPUTED_VALUE"""),"Terms Change")</f>
        <v>Terms Change</v>
      </c>
    </row>
    <row r="553">
      <c r="A553" s="141">
        <f>IFERROR(__xludf.DUMMYFUNCTION("""COMPUTED_VALUE"""),43861.0)</f>
        <v>43861</v>
      </c>
      <c r="B553" s="140">
        <f>IFERROR(__xludf.DUMMYFUNCTION("""COMPUTED_VALUE"""),325074.0)</f>
        <v>325074</v>
      </c>
      <c r="C553" s="140" t="str">
        <f>IFERROR(__xludf.DUMMYFUNCTION("""COMPUTED_VALUE"""),"EN")</f>
        <v>EN</v>
      </c>
      <c r="D553" s="140" t="str">
        <f>IFERROR(__xludf.DUMMYFUNCTION("""COMPUTED_VALUE"""),"Introduction to Google Docs")</f>
        <v>Introduction to Google Docs</v>
      </c>
      <c r="F553" s="142" t="str">
        <f>IFERROR(__xludf.DUMMYFUNCTION("""COMPUTED_VALUE"""),"Intellezy Trainers")</f>
        <v>Intellezy Trainers</v>
      </c>
      <c r="G553" t="str">
        <f>IFERROR(__xludf.DUMMYFUNCTION("""COMPUTED_VALUE"""),"Instructor Request- Opted Out")</f>
        <v>Instructor Request- Opted Out</v>
      </c>
      <c r="H553" s="142" t="str">
        <f>IFERROR(__xludf.DUMMYFUNCTION("""COMPUTED_VALUE"""),"Office Productivity")</f>
        <v>Office Productivity</v>
      </c>
      <c r="I553" s="140" t="str">
        <f>IFERROR(__xludf.DUMMYFUNCTION("""COMPUTED_VALUE"""),"Word Processing")</f>
        <v>Word Processing</v>
      </c>
      <c r="J553">
        <f>IFERROR(__xludf.DUMMYFUNCTION("""COMPUTED_VALUE"""),587890.0)</f>
        <v>587890</v>
      </c>
      <c r="K553" s="140" t="str">
        <f>IFERROR(__xludf.DUMMYFUNCTION("""COMPUTED_VALUE"""),"Getting Started with Google Office: Docs, Sheets, Slides")</f>
        <v>Getting Started with Google Office: Docs, Sheets, Slides</v>
      </c>
      <c r="M553" s="140" t="str">
        <f>IFERROR(__xludf.DUMMYFUNCTION("""COMPUTED_VALUE"""),"")</f>
        <v/>
      </c>
      <c r="N553" s="140" t="str">
        <f>IFERROR(__xludf.DUMMYFUNCTION("""COMPUTED_VALUE"""),"Terms Change ")</f>
        <v>Terms Change </v>
      </c>
    </row>
    <row r="554">
      <c r="A554" s="141">
        <f>IFERROR(__xludf.DUMMYFUNCTION("""COMPUTED_VALUE"""),43861.0)</f>
        <v>43861</v>
      </c>
      <c r="B554" s="140">
        <f>IFERROR(__xludf.DUMMYFUNCTION("""COMPUTED_VALUE"""),885344.0)</f>
        <v>885344</v>
      </c>
      <c r="C554" s="140" t="str">
        <f>IFERROR(__xludf.DUMMYFUNCTION("""COMPUTED_VALUE"""),"EN")</f>
        <v>EN</v>
      </c>
      <c r="D554" s="140" t="str">
        <f>IFERROR(__xludf.DUMMYFUNCTION("""COMPUTED_VALUE"""),"Access 2013 Introduction")</f>
        <v>Access 2013 Introduction</v>
      </c>
      <c r="F554" s="142" t="str">
        <f>IFERROR(__xludf.DUMMYFUNCTION("""COMPUTED_VALUE"""),"Intellezy Trainers")</f>
        <v>Intellezy Trainers</v>
      </c>
      <c r="G554" t="str">
        <f>IFERROR(__xludf.DUMMYFUNCTION("""COMPUTED_VALUE"""),"Instructor Request- Opted Out")</f>
        <v>Instructor Request- Opted Out</v>
      </c>
      <c r="H554" s="142" t="str">
        <f>IFERROR(__xludf.DUMMYFUNCTION("""COMPUTED_VALUE"""),"IT Operations")</f>
        <v>IT Operations</v>
      </c>
      <c r="I554" s="140" t="str">
        <f>IFERROR(__xludf.DUMMYFUNCTION("""COMPUTED_VALUE"""),"Database Administration")</f>
        <v>Database Administration</v>
      </c>
      <c r="J554">
        <f>IFERROR(__xludf.DUMMYFUNCTION("""COMPUTED_VALUE"""),1178310.0)</f>
        <v>1178310</v>
      </c>
      <c r="K554" s="140" t="str">
        <f>IFERROR(__xludf.DUMMYFUNCTION("""COMPUTED_VALUE"""),"Microsoft Access: Complete MS Access Mastery for Beginners")</f>
        <v>Microsoft Access: Complete MS Access Mastery for Beginners</v>
      </c>
      <c r="M554" s="140" t="str">
        <f>IFERROR(__xludf.DUMMYFUNCTION("""COMPUTED_VALUE"""),"")</f>
        <v/>
      </c>
      <c r="N554" s="140" t="str">
        <f>IFERROR(__xludf.DUMMYFUNCTION("""COMPUTED_VALUE"""),"Terms Change")</f>
        <v>Terms Change</v>
      </c>
    </row>
    <row r="555">
      <c r="A555" s="141">
        <f>IFERROR(__xludf.DUMMYFUNCTION("""COMPUTED_VALUE"""),43861.0)</f>
        <v>43861</v>
      </c>
      <c r="B555" s="140">
        <f>IFERROR(__xludf.DUMMYFUNCTION("""COMPUTED_VALUE"""),1481082.0)</f>
        <v>1481082</v>
      </c>
      <c r="C555" s="140" t="str">
        <f>IFERROR(__xludf.DUMMYFUNCTION("""COMPUTED_VALUE"""),"DE")</f>
        <v>DE</v>
      </c>
      <c r="D555" s="140" t="str">
        <f>IFERROR(__xludf.DUMMYFUNCTION("""COMPUTED_VALUE"""),"C# - Benutzeroberflächen mit der WPF")</f>
        <v>C# - Benutzeroberflächen mit der WPF</v>
      </c>
      <c r="E555" s="140" t="str">
        <f>IFERROR(__xludf.DUMMYFUNCTION("""COMPUTED_VALUE"""),"C # - user interfaces with WPF")</f>
        <v>C # - user interfaces with WPF</v>
      </c>
      <c r="F555" s="142" t="str">
        <f>IFERROR(__xludf.DUMMYFUNCTION("""COMPUTED_VALUE"""),"Janek Pruin")</f>
        <v>Janek Pruin</v>
      </c>
      <c r="G555" t="str">
        <f>IFERROR(__xludf.DUMMYFUNCTION("""COMPUTED_VALUE"""),"Instructor Request- Opted Out")</f>
        <v>Instructor Request- Opted Out</v>
      </c>
      <c r="H555" s="142" t="str">
        <f>IFERROR(__xludf.DUMMYFUNCTION("""COMPUTED_VALUE"""),"Development")</f>
        <v>Development</v>
      </c>
      <c r="I555" s="140" t="str">
        <f>IFERROR(__xludf.DUMMYFUNCTION("""COMPUTED_VALUE"""),"Programming Languages")</f>
        <v>Programming Languages</v>
      </c>
      <c r="J555">
        <f>IFERROR(__xludf.DUMMYFUNCTION("""COMPUTED_VALUE"""),1603358.0)</f>
        <v>1603358</v>
      </c>
      <c r="K555" s="140" t="str">
        <f>IFERROR(__xludf.DUMMYFUNCTION("""COMPUTED_VALUE"""),"Die komplette C# Masterclass - von 0 auf 100 in 6 Wochen")</f>
        <v>Die komplette C# Masterclass - von 0 auf 100 in 6 Wochen</v>
      </c>
      <c r="M555" s="140" t="str">
        <f>IFERROR(__xludf.DUMMYFUNCTION("""COMPUTED_VALUE"""),"")</f>
        <v/>
      </c>
    </row>
    <row r="556">
      <c r="A556" s="141">
        <f>IFERROR(__xludf.DUMMYFUNCTION("""COMPUTED_VALUE"""),43861.0)</f>
        <v>43861</v>
      </c>
      <c r="B556" s="140">
        <f>IFERROR(__xludf.DUMMYFUNCTION("""COMPUTED_VALUE"""),1341384.0)</f>
        <v>1341384</v>
      </c>
      <c r="C556" s="140" t="str">
        <f>IFERROR(__xludf.DUMMYFUNCTION("""COMPUTED_VALUE"""),"EN")</f>
        <v>EN</v>
      </c>
      <c r="D556" s="140" t="str">
        <f>IFERROR(__xludf.DUMMYFUNCTION("""COMPUTED_VALUE"""),"Successfully leading through change and uncertainty")</f>
        <v>Successfully leading through change and uncertainty</v>
      </c>
      <c r="F556" s="142" t="str">
        <f>IFERROR(__xludf.DUMMYFUNCTION("""COMPUTED_VALUE"""),"Skill Boosters")</f>
        <v>Skill Boosters</v>
      </c>
      <c r="G556" t="str">
        <f>IFERROR(__xludf.DUMMYFUNCTION("""COMPUTED_VALUE"""),"Instructor Request- Opted Out")</f>
        <v>Instructor Request- Opted Out</v>
      </c>
      <c r="H556" s="142" t="str">
        <f>IFERROR(__xludf.DUMMYFUNCTION("""COMPUTED_VALUE"""),"Leadership &amp; Management")</f>
        <v>Leadership &amp; Management</v>
      </c>
      <c r="I556" s="140" t="str">
        <f>IFERROR(__xludf.DUMMYFUNCTION("""COMPUTED_VALUE"""),"Strategy")</f>
        <v>Strategy</v>
      </c>
      <c r="J556">
        <f>IFERROR(__xludf.DUMMYFUNCTION("""COMPUTED_VALUE"""),671208.0)</f>
        <v>671208</v>
      </c>
      <c r="K556" s="140" t="str">
        <f>IFERROR(__xludf.DUMMYFUNCTION("""COMPUTED_VALUE"""),"Change Management Training: Master the Change Process!")</f>
        <v>Change Management Training: Master the Change Process!</v>
      </c>
      <c r="M556" s="140" t="str">
        <f>IFERROR(__xludf.DUMMYFUNCTION("""COMPUTED_VALUE"""),"")</f>
        <v/>
      </c>
      <c r="N556" s="140" t="str">
        <f>IFERROR(__xludf.DUMMYFUNCTION("""COMPUTED_VALUE"""),"Terms Change")</f>
        <v>Terms Change</v>
      </c>
    </row>
    <row r="557">
      <c r="A557" s="141">
        <f>IFERROR(__xludf.DUMMYFUNCTION("""COMPUTED_VALUE"""),43861.0)</f>
        <v>43861</v>
      </c>
      <c r="B557" s="140">
        <f>IFERROR(__xludf.DUMMYFUNCTION("""COMPUTED_VALUE"""),679990.0)</f>
        <v>679990</v>
      </c>
      <c r="C557" s="140" t="str">
        <f>IFERROR(__xludf.DUMMYFUNCTION("""COMPUTED_VALUE"""),"EN")</f>
        <v>EN</v>
      </c>
      <c r="D557" s="140" t="str">
        <f>IFERROR(__xludf.DUMMYFUNCTION("""COMPUTED_VALUE"""),"Master the Product Manager Interview - The Complete Guide")</f>
        <v>Master the Product Manager Interview - The Complete Guide</v>
      </c>
      <c r="F557" s="142" t="str">
        <f>IFERROR(__xludf.DUMMYFUNCTION("""COMPUTED_VALUE"""),"Charles Du")</f>
        <v>Charles Du</v>
      </c>
      <c r="G557" t="str">
        <f>IFERROR(__xludf.DUMMYFUNCTION("""COMPUTED_VALUE"""),"Instructor Request- Opted Out")</f>
        <v>Instructor Request- Opted Out</v>
      </c>
      <c r="H557" s="142" t="str">
        <f>IFERROR(__xludf.DUMMYFUNCTION("""COMPUTED_VALUE"""),"Marketing")</f>
        <v>Marketing</v>
      </c>
      <c r="I557" s="140" t="str">
        <f>IFERROR(__xludf.DUMMYFUNCTION("""COMPUTED_VALUE"""),"Marketing Strategy")</f>
        <v>Marketing Strategy</v>
      </c>
      <c r="J557">
        <f>IFERROR(__xludf.DUMMYFUNCTION("""COMPUTED_VALUE"""),673654.0)</f>
        <v>673654</v>
      </c>
      <c r="K557" s="140" t="str">
        <f>IFERROR(__xludf.DUMMYFUNCTION("""COMPUTED_VALUE"""),"Become a Product Manager | Learn the Skills &amp; Get the Job")</f>
        <v>Become a Product Manager | Learn the Skills &amp; Get the Job</v>
      </c>
      <c r="M557" s="140" t="str">
        <f>IFERROR(__xludf.DUMMYFUNCTION("""COMPUTED_VALUE"""),"")</f>
        <v/>
      </c>
      <c r="N557" s="140" t="str">
        <f>IFERROR(__xludf.DUMMYFUNCTION("""COMPUTED_VALUE"""),"Terms Change")</f>
        <v>Terms Change</v>
      </c>
    </row>
    <row r="558">
      <c r="A558" s="141">
        <f>IFERROR(__xludf.DUMMYFUNCTION("""COMPUTED_VALUE"""),43861.0)</f>
        <v>43861</v>
      </c>
      <c r="B558" s="140">
        <f>IFERROR(__xludf.DUMMYFUNCTION("""COMPUTED_VALUE"""),890824.0)</f>
        <v>890824</v>
      </c>
      <c r="C558" s="140" t="str">
        <f>IFERROR(__xludf.DUMMYFUNCTION("""COMPUTED_VALUE"""),"EN")</f>
        <v>EN</v>
      </c>
      <c r="D558" s="140" t="str">
        <f>IFERROR(__xludf.DUMMYFUNCTION("""COMPUTED_VALUE"""),"Excel 2016 Intermediate")</f>
        <v>Excel 2016 Intermediate</v>
      </c>
      <c r="F558" s="142" t="str">
        <f>IFERROR(__xludf.DUMMYFUNCTION("""COMPUTED_VALUE"""),"Intellezy Trainers")</f>
        <v>Intellezy Trainers</v>
      </c>
      <c r="G558" t="str">
        <f>IFERROR(__xludf.DUMMYFUNCTION("""COMPUTED_VALUE"""),"Instructor Request- Opted Out")</f>
        <v>Instructor Request- Opted Out</v>
      </c>
      <c r="H558" s="142" t="str">
        <f>IFERROR(__xludf.DUMMYFUNCTION("""COMPUTED_VALUE"""),"Office Productivity")</f>
        <v>Office Productivity</v>
      </c>
      <c r="I558" s="140" t="str">
        <f>IFERROR(__xludf.DUMMYFUNCTION("""COMPUTED_VALUE"""),"Spreadsheets")</f>
        <v>Spreadsheets</v>
      </c>
      <c r="J558">
        <f>IFERROR(__xludf.DUMMYFUNCTION("""COMPUTED_VALUE"""),659464.0)</f>
        <v>659464</v>
      </c>
      <c r="K558" s="140" t="str">
        <f>IFERROR(__xludf.DUMMYFUNCTION("""COMPUTED_VALUE"""),"Microsoft Excel Beginners &amp; Intermediate Excel Training")</f>
        <v>Microsoft Excel Beginners &amp; Intermediate Excel Training</v>
      </c>
      <c r="M558" s="140" t="str">
        <f>IFERROR(__xludf.DUMMYFUNCTION("""COMPUTED_VALUE"""),"")</f>
        <v/>
      </c>
      <c r="N558" s="140" t="str">
        <f>IFERROR(__xludf.DUMMYFUNCTION("""COMPUTED_VALUE"""),"Terms Change")</f>
        <v>Terms Change</v>
      </c>
    </row>
    <row r="559">
      <c r="A559" s="141">
        <f>IFERROR(__xludf.DUMMYFUNCTION("""COMPUTED_VALUE"""),43861.0)</f>
        <v>43861</v>
      </c>
      <c r="B559" s="140">
        <f>IFERROR(__xludf.DUMMYFUNCTION("""COMPUTED_VALUE"""),1546712.0)</f>
        <v>1546712</v>
      </c>
      <c r="C559" s="140" t="str">
        <f>IFERROR(__xludf.DUMMYFUNCTION("""COMPUTED_VALUE"""),"EN")</f>
        <v>EN</v>
      </c>
      <c r="D559" s="140" t="str">
        <f>IFERROR(__xludf.DUMMYFUNCTION("""COMPUTED_VALUE"""),"Tech Explorations™ Raspberry Pi Full Stack Raspbian")</f>
        <v>Tech Explorations™ Raspberry Pi Full Stack Raspbian</v>
      </c>
      <c r="F559" s="142" t="str">
        <f>IFERROR(__xludf.DUMMYFUNCTION("""COMPUTED_VALUE"""),"Dr. Peter Dalmaris")</f>
        <v>Dr. Peter Dalmaris</v>
      </c>
      <c r="G559" t="str">
        <f>IFERROR(__xludf.DUMMYFUNCTION("""COMPUTED_VALUE"""),"Instructor Request- Opted Out")</f>
        <v>Instructor Request- Opted Out</v>
      </c>
      <c r="H559" s="142" t="str">
        <f>IFERROR(__xludf.DUMMYFUNCTION("""COMPUTED_VALUE"""),"IT Operations")</f>
        <v>IT Operations</v>
      </c>
      <c r="I559" s="140" t="str">
        <f>IFERROR(__xludf.DUMMYFUNCTION("""COMPUTED_VALUE"""),"Hardware")</f>
        <v>Hardware</v>
      </c>
      <c r="J559">
        <f>IFERROR(__xludf.DUMMYFUNCTION("""COMPUTED_VALUE"""),1166450.0)</f>
        <v>1166450</v>
      </c>
      <c r="K559" s="140" t="str">
        <f>IFERROR(__xludf.DUMMYFUNCTION("""COMPUTED_VALUE"""),"Raspberry Pi Workshop 2018 Become a Coder / Maker / Inventor")</f>
        <v>Raspberry Pi Workshop 2018 Become a Coder / Maker / Inventor</v>
      </c>
      <c r="M559" s="140" t="str">
        <f>IFERROR(__xludf.DUMMYFUNCTION("""COMPUTED_VALUE"""),"")</f>
        <v/>
      </c>
      <c r="N559" s="140" t="str">
        <f>IFERROR(__xludf.DUMMYFUNCTION("""COMPUTED_VALUE"""),"Terms Change")</f>
        <v>Terms Change</v>
      </c>
    </row>
    <row r="560">
      <c r="A560" s="141">
        <f>IFERROR(__xludf.DUMMYFUNCTION("""COMPUTED_VALUE"""),43861.0)</f>
        <v>43861</v>
      </c>
      <c r="B560" s="140">
        <f>IFERROR(__xludf.DUMMYFUNCTION("""COMPUTED_VALUE"""),62606.0)</f>
        <v>62606</v>
      </c>
      <c r="C560" s="140" t="str">
        <f>IFERROR(__xludf.DUMMYFUNCTION("""COMPUTED_VALUE"""),"EN")</f>
        <v>EN</v>
      </c>
      <c r="D560" s="140" t="str">
        <f>IFERROR(__xludf.DUMMYFUNCTION("""COMPUTED_VALUE"""),"American Sign Language Level 1")</f>
        <v>American Sign Language Level 1</v>
      </c>
      <c r="F560" s="142" t="str">
        <f>IFERROR(__xludf.DUMMYFUNCTION("""COMPUTED_VALUE"""),"Intellezy Trainers")</f>
        <v>Intellezy Trainers</v>
      </c>
      <c r="G560" t="str">
        <f>IFERROR(__xludf.DUMMYFUNCTION("""COMPUTED_VALUE"""),"Instructor Request- Opted Out")</f>
        <v>Instructor Request- Opted Out</v>
      </c>
      <c r="H560" s="142" t="str">
        <f>IFERROR(__xludf.DUMMYFUNCTION("""COMPUTED_VALUE"""),"Personal Development")</f>
        <v>Personal Development</v>
      </c>
      <c r="I560" s="140" t="str">
        <f>IFERROR(__xludf.DUMMYFUNCTION("""COMPUTED_VALUE"""),"Language Learning")</f>
        <v>Language Learning</v>
      </c>
      <c r="J560">
        <f>IFERROR(__xludf.DUMMYFUNCTION("""COMPUTED_VALUE"""),315816.0)</f>
        <v>315816</v>
      </c>
      <c r="K560" s="140" t="str">
        <f>IFERROR(__xludf.DUMMYFUNCTION("""COMPUTED_VALUE"""),"Learn &amp; Master Sign Language")</f>
        <v>Learn &amp; Master Sign Language</v>
      </c>
      <c r="M560" s="140" t="str">
        <f>IFERROR(__xludf.DUMMYFUNCTION("""COMPUTED_VALUE"""),"")</f>
        <v/>
      </c>
      <c r="N560" s="140" t="str">
        <f>IFERROR(__xludf.DUMMYFUNCTION("""COMPUTED_VALUE"""),"Terms Change")</f>
        <v>Terms Change</v>
      </c>
    </row>
    <row r="561">
      <c r="A561" s="141">
        <f>IFERROR(__xludf.DUMMYFUNCTION("""COMPUTED_VALUE"""),43861.0)</f>
        <v>43861</v>
      </c>
      <c r="B561" s="140">
        <f>IFERROR(__xludf.DUMMYFUNCTION("""COMPUTED_VALUE"""),128786.0)</f>
        <v>128786</v>
      </c>
      <c r="C561" s="140" t="str">
        <f>IFERROR(__xludf.DUMMYFUNCTION("""COMPUTED_VALUE"""),"EN")</f>
        <v>EN</v>
      </c>
      <c r="D561" s="140" t="str">
        <f>IFERROR(__xludf.DUMMYFUNCTION("""COMPUTED_VALUE"""),"Oracle PL/SQL Fundamentals vol. I &amp; II")</f>
        <v>Oracle PL/SQL Fundamentals vol. I &amp; II</v>
      </c>
      <c r="F561" s="142" t="str">
        <f>IFERROR(__xludf.DUMMYFUNCTION("""COMPUTED_VALUE"""),"Intellezy Trainers")</f>
        <v>Intellezy Trainers</v>
      </c>
      <c r="G561" t="str">
        <f>IFERROR(__xludf.DUMMYFUNCTION("""COMPUTED_VALUE"""),"Instructor Request- Opted Out")</f>
        <v>Instructor Request- Opted Out</v>
      </c>
      <c r="H561" s="142" t="str">
        <f>IFERROR(__xludf.DUMMYFUNCTION("""COMPUTED_VALUE"""),"IT Operations")</f>
        <v>IT Operations</v>
      </c>
      <c r="I561" s="140" t="str">
        <f>IFERROR(__xludf.DUMMYFUNCTION("""COMPUTED_VALUE"""),"Database Administration")</f>
        <v>Database Administration</v>
      </c>
      <c r="J561">
        <f>IFERROR(__xludf.DUMMYFUNCTION("""COMPUTED_VALUE"""),1312466.0)</f>
        <v>1312466</v>
      </c>
      <c r="K561" s="140" t="str">
        <f>IFERROR(__xludf.DUMMYFUNCTION("""COMPUTED_VALUE"""),"The Complete PL/SQL Bootcamp : ""Beginner to Advanced PL/SQL""")</f>
        <v>The Complete PL/SQL Bootcamp : "Beginner to Advanced PL/SQL"</v>
      </c>
      <c r="M561" s="140" t="str">
        <f>IFERROR(__xludf.DUMMYFUNCTION("""COMPUTED_VALUE"""),"")</f>
        <v/>
      </c>
      <c r="N561" s="140" t="str">
        <f>IFERROR(__xludf.DUMMYFUNCTION("""COMPUTED_VALUE"""),"Terms Change")</f>
        <v>Terms Change</v>
      </c>
    </row>
    <row r="562">
      <c r="A562" s="141">
        <f>IFERROR(__xludf.DUMMYFUNCTION("""COMPUTED_VALUE"""),43861.0)</f>
        <v>43861</v>
      </c>
      <c r="B562" s="140">
        <f>IFERROR(__xludf.DUMMYFUNCTION("""COMPUTED_VALUE"""),1420964.0)</f>
        <v>1420964</v>
      </c>
      <c r="C562" s="140" t="str">
        <f>IFERROR(__xludf.DUMMYFUNCTION("""COMPUTED_VALUE"""),"DE")</f>
        <v>DE</v>
      </c>
      <c r="D562" s="140" t="str">
        <f>IFERROR(__xludf.DUMMYFUNCTION("""COMPUTED_VALUE"""),"Microsoft Office PowerPoint 2016: Level 1 (Grundlagen)")</f>
        <v>Microsoft Office PowerPoint 2016: Level 1 (Grundlagen)</v>
      </c>
      <c r="E562" s="140" t="str">
        <f>IFERROR(__xludf.DUMMYFUNCTION("""COMPUTED_VALUE"""),"Microsoft Office PowerPoint 2016: Level 1 (Grundlagen)")</f>
        <v>Microsoft Office PowerPoint 2016: Level 1 (Grundlagen)</v>
      </c>
      <c r="F562" s="142" t="str">
        <f>IFERROR(__xludf.DUMMYFUNCTION("""COMPUTED_VALUE"""),"SONIC Performance Support - E-Learning Experts")</f>
        <v>SONIC Performance Support - E-Learning Experts</v>
      </c>
      <c r="G562" t="str">
        <f>IFERROR(__xludf.DUMMYFUNCTION("""COMPUTED_VALUE"""),"Instructor Request- Opted Out")</f>
        <v>Instructor Request- Opted Out</v>
      </c>
      <c r="H562" s="142" t="str">
        <f>IFERROR(__xludf.DUMMYFUNCTION("""COMPUTED_VALUE"""),"Office Productivity")</f>
        <v>Office Productivity</v>
      </c>
      <c r="I562" s="140" t="str">
        <f>IFERROR(__xludf.DUMMYFUNCTION("""COMPUTED_VALUE"""),"Presentations")</f>
        <v>Presentations</v>
      </c>
      <c r="J562">
        <f>IFERROR(__xludf.DUMMYFUNCTION("""COMPUTED_VALUE"""),692762.0)</f>
        <v>692762</v>
      </c>
      <c r="K562" s="140" t="str">
        <f>IFERROR(__xludf.DUMMYFUNCTION("""COMPUTED_VALUE"""),"")</f>
        <v/>
      </c>
      <c r="M562" s="140" t="str">
        <f>IFERROR(__xludf.DUMMYFUNCTION("""COMPUTED_VALUE"""),"")</f>
        <v/>
      </c>
      <c r="N562" s="140" t="str">
        <f>IFERROR(__xludf.DUMMYFUNCTION("""COMPUTED_VALUE"""),"No Alternatives in Collection- 8/14")</f>
        <v>No Alternatives in Collection- 8/14</v>
      </c>
    </row>
    <row r="563">
      <c r="A563" s="141">
        <f>IFERROR(__xludf.DUMMYFUNCTION("""COMPUTED_VALUE"""),43861.0)</f>
        <v>43861</v>
      </c>
      <c r="B563" s="140">
        <f>IFERROR(__xludf.DUMMYFUNCTION("""COMPUTED_VALUE"""),1712920.0)</f>
        <v>1712920</v>
      </c>
      <c r="C563" s="140" t="str">
        <f>IFERROR(__xludf.DUMMYFUNCTION("""COMPUTED_VALUE"""),"EN")</f>
        <v>EN</v>
      </c>
      <c r="D563" s="140" t="str">
        <f>IFERROR(__xludf.DUMMYFUNCTION("""COMPUTED_VALUE"""),"Alteryx Masterclass - crash course in alteryx for beginners")</f>
        <v>Alteryx Masterclass - crash course in alteryx for beginners</v>
      </c>
      <c r="F563" s="142" t="str">
        <f>IFERROR(__xludf.DUMMYFUNCTION("""COMPUTED_VALUE"""),"Dan We")</f>
        <v>Dan We</v>
      </c>
      <c r="G563" t="str">
        <f>IFERROR(__xludf.DUMMYFUNCTION("""COMPUTED_VALUE"""),"Instructor Request- Opted Out")</f>
        <v>Instructor Request- Opted Out</v>
      </c>
      <c r="H563" s="142" t="str">
        <f>IFERROR(__xludf.DUMMYFUNCTION("""COMPUTED_VALUE"""),"Data Science")</f>
        <v>Data Science</v>
      </c>
      <c r="I563" s="140" t="str">
        <f>IFERROR(__xludf.DUMMYFUNCTION("""COMPUTED_VALUE"""),"Analytics")</f>
        <v>Analytics</v>
      </c>
      <c r="J563">
        <f>IFERROR(__xludf.DUMMYFUNCTION("""COMPUTED_VALUE"""),1248866.0)</f>
        <v>1248866</v>
      </c>
      <c r="K563" s="140" t="str">
        <f>IFERROR(__xludf.DUMMYFUNCTION("""COMPUTED_VALUE"""),"Alteryx Bootcamp")</f>
        <v>Alteryx Bootcamp</v>
      </c>
      <c r="M563" s="140" t="str">
        <f>IFERROR(__xludf.DUMMYFUNCTION("""COMPUTED_VALUE"""),"")</f>
        <v/>
      </c>
      <c r="N563" s="140" t="str">
        <f>IFERROR(__xludf.DUMMYFUNCTION("""COMPUTED_VALUE"""),"Terms change")</f>
        <v>Terms change</v>
      </c>
    </row>
    <row r="564">
      <c r="A564" s="141">
        <f>IFERROR(__xludf.DUMMYFUNCTION("""COMPUTED_VALUE"""),43861.0)</f>
        <v>43861</v>
      </c>
      <c r="B564" s="140">
        <f>IFERROR(__xludf.DUMMYFUNCTION("""COMPUTED_VALUE"""),51284.0)</f>
        <v>51284</v>
      </c>
      <c r="C564" s="140" t="str">
        <f>IFERROR(__xludf.DUMMYFUNCTION("""COMPUTED_VALUE"""),"EN")</f>
        <v>EN</v>
      </c>
      <c r="D564" s="140" t="str">
        <f>IFERROR(__xludf.DUMMYFUNCTION("""COMPUTED_VALUE"""),"SharePoint 2010 Introduction")</f>
        <v>SharePoint 2010 Introduction</v>
      </c>
      <c r="F564" s="142" t="str">
        <f>IFERROR(__xludf.DUMMYFUNCTION("""COMPUTED_VALUE"""),"Intellezy Trainers")</f>
        <v>Intellezy Trainers</v>
      </c>
      <c r="G564" t="str">
        <f>IFERROR(__xludf.DUMMYFUNCTION("""COMPUTED_VALUE"""),"Instructor Request- Opted Out")</f>
        <v>Instructor Request- Opted Out</v>
      </c>
      <c r="H564" s="142" t="str">
        <f>IFERROR(__xludf.DUMMYFUNCTION("""COMPUTED_VALUE"""),"Office Productivity")</f>
        <v>Office Productivity</v>
      </c>
      <c r="I564" s="140" t="str">
        <f>IFERROR(__xludf.DUMMYFUNCTION("""COMPUTED_VALUE"""),"Collaboration")</f>
        <v>Collaboration</v>
      </c>
      <c r="J564">
        <f>IFERROR(__xludf.DUMMYFUNCTION("""COMPUTED_VALUE"""),114564.0)</f>
        <v>114564</v>
      </c>
      <c r="K564" s="140" t="str">
        <f>IFERROR(__xludf.DUMMYFUNCTION("""COMPUTED_VALUE"""),"")</f>
        <v/>
      </c>
      <c r="M564" s="140" t="str">
        <f>IFERROR(__xludf.DUMMYFUNCTION("""COMPUTED_VALUE"""),"")</f>
        <v/>
      </c>
      <c r="N564" s="140" t="str">
        <f>IFERROR(__xludf.DUMMYFUNCTION("""COMPUTED_VALUE"""),"Terms Change")</f>
        <v>Terms Change</v>
      </c>
    </row>
    <row r="565">
      <c r="A565" s="141">
        <f>IFERROR(__xludf.DUMMYFUNCTION("""COMPUTED_VALUE"""),43861.0)</f>
        <v>43861</v>
      </c>
      <c r="B565" s="140">
        <f>IFERROR(__xludf.DUMMYFUNCTION("""COMPUTED_VALUE"""),1159866.0)</f>
        <v>1159866</v>
      </c>
      <c r="C565" s="140" t="str">
        <f>IFERROR(__xludf.DUMMYFUNCTION("""COMPUTED_VALUE"""),"EN")</f>
        <v>EN</v>
      </c>
      <c r="D565" s="140" t="str">
        <f>IFERROR(__xludf.DUMMYFUNCTION("""COMPUTED_VALUE"""),"Basics of Meditation with Deepak Chopra")</f>
        <v>Basics of Meditation with Deepak Chopra</v>
      </c>
      <c r="F565" s="142" t="str">
        <f>IFERROR(__xludf.DUMMYFUNCTION("""COMPUTED_VALUE"""),"Chopra Center")</f>
        <v>Chopra Center</v>
      </c>
      <c r="G565" t="str">
        <f>IFERROR(__xludf.DUMMYFUNCTION("""COMPUTED_VALUE"""),"Instructor Request- Opted Out")</f>
        <v>Instructor Request- Opted Out</v>
      </c>
      <c r="H565" s="142" t="str">
        <f>IFERROR(__xludf.DUMMYFUNCTION("""COMPUTED_VALUE"""),"Personal Development")</f>
        <v>Personal Development</v>
      </c>
      <c r="I565" s="140" t="str">
        <f>IFERROR(__xludf.DUMMYFUNCTION("""COMPUTED_VALUE"""),"Stress Management")</f>
        <v>Stress Management</v>
      </c>
      <c r="J565">
        <f>IFERROR(__xludf.DUMMYFUNCTION("""COMPUTED_VALUE"""),517102.0)</f>
        <v>517102</v>
      </c>
      <c r="K565" s="140" t="str">
        <f>IFERROR(__xludf.DUMMYFUNCTION("""COMPUTED_VALUE"""),"Practical Meditation - Master Meditation Today")</f>
        <v>Practical Meditation - Master Meditation Today</v>
      </c>
      <c r="L565">
        <f>IFERROR(__xludf.DUMMYFUNCTION("""COMPUTED_VALUE"""),1253772.0)</f>
        <v>1253772</v>
      </c>
      <c r="M565" s="140" t="str">
        <f>IFERROR(__xludf.DUMMYFUNCTION("""COMPUTED_VALUE"""),"Learn Meditation with Certification to Guide Others")</f>
        <v>Learn Meditation with Certification to Guide Others</v>
      </c>
    </row>
    <row r="566">
      <c r="A566" s="141">
        <f>IFERROR(__xludf.DUMMYFUNCTION("""COMPUTED_VALUE"""),43861.0)</f>
        <v>43861</v>
      </c>
      <c r="B566" s="140">
        <f>IFERROR(__xludf.DUMMYFUNCTION("""COMPUTED_VALUE"""),50563.0)</f>
        <v>50563</v>
      </c>
      <c r="C566" s="140" t="str">
        <f>IFERROR(__xludf.DUMMYFUNCTION("""COMPUTED_VALUE"""),"EN")</f>
        <v>EN</v>
      </c>
      <c r="D566" s="140" t="str">
        <f>IFERROR(__xludf.DUMMYFUNCTION("""COMPUTED_VALUE"""),"Office 2010 New Features")</f>
        <v>Office 2010 New Features</v>
      </c>
      <c r="F566" s="142" t="str">
        <f>IFERROR(__xludf.DUMMYFUNCTION("""COMPUTED_VALUE"""),"Intellezy Trainers")</f>
        <v>Intellezy Trainers</v>
      </c>
      <c r="G566" t="str">
        <f>IFERROR(__xludf.DUMMYFUNCTION("""COMPUTED_VALUE"""),"Instructor Request- Opted Out")</f>
        <v>Instructor Request- Opted Out</v>
      </c>
      <c r="H566" s="142" t="str">
        <f>IFERROR(__xludf.DUMMYFUNCTION("""COMPUTED_VALUE"""),"Office Productivity")</f>
        <v>Office Productivity</v>
      </c>
      <c r="I566" s="140" t="str">
        <f>IFERROR(__xludf.DUMMYFUNCTION("""COMPUTED_VALUE"""),"Word Processing")</f>
        <v>Word Processing</v>
      </c>
      <c r="J566">
        <f>IFERROR(__xludf.DUMMYFUNCTION("""COMPUTED_VALUE"""),109518.0)</f>
        <v>109518</v>
      </c>
      <c r="K566" s="140" t="str">
        <f>IFERROR(__xludf.DUMMYFUNCTION("""COMPUTED_VALUE"""),"The Ultimate Microsoft Office 2010 Training Bundle  48 Hours")</f>
        <v>The Ultimate Microsoft Office 2010 Training Bundle  48 Hours</v>
      </c>
      <c r="M566" s="140" t="str">
        <f>IFERROR(__xludf.DUMMYFUNCTION("""COMPUTED_VALUE"""),"")</f>
        <v/>
      </c>
      <c r="N566" s="140" t="str">
        <f>IFERROR(__xludf.DUMMYFUNCTION("""COMPUTED_VALUE"""),"Terms Change")</f>
        <v>Terms Change</v>
      </c>
    </row>
    <row r="567">
      <c r="A567" s="141">
        <f>IFERROR(__xludf.DUMMYFUNCTION("""COMPUTED_VALUE"""),43861.0)</f>
        <v>43861</v>
      </c>
      <c r="B567" s="140">
        <f>IFERROR(__xludf.DUMMYFUNCTION("""COMPUTED_VALUE"""),1166454.0)</f>
        <v>1166454</v>
      </c>
      <c r="C567" s="140" t="str">
        <f>IFERROR(__xludf.DUMMYFUNCTION("""COMPUTED_VALUE"""),"EN")</f>
        <v>EN</v>
      </c>
      <c r="D567" s="140" t="str">
        <f>IFERROR(__xludf.DUMMYFUNCTION("""COMPUTED_VALUE"""),"Tech Explorations™ Arduino Step by Step Getting Serious")</f>
        <v>Tech Explorations™ Arduino Step by Step Getting Serious</v>
      </c>
      <c r="F567" s="142" t="str">
        <f>IFERROR(__xludf.DUMMYFUNCTION("""COMPUTED_VALUE"""),"Dr. Peter Dalmaris")</f>
        <v>Dr. Peter Dalmaris</v>
      </c>
      <c r="G567" t="str">
        <f>IFERROR(__xludf.DUMMYFUNCTION("""COMPUTED_VALUE"""),"Instructor Request- Opted Out")</f>
        <v>Instructor Request- Opted Out</v>
      </c>
      <c r="H567" s="142" t="str">
        <f>IFERROR(__xludf.DUMMYFUNCTION("""COMPUTED_VALUE"""),"IT Operations")</f>
        <v>IT Operations</v>
      </c>
      <c r="I567" s="140" t="str">
        <f>IFERROR(__xludf.DUMMYFUNCTION("""COMPUTED_VALUE"""),"Hardware")</f>
        <v>Hardware</v>
      </c>
      <c r="K567" s="140" t="str">
        <f>IFERROR(__xludf.DUMMYFUNCTION("""COMPUTED_VALUE"""),"")</f>
        <v/>
      </c>
      <c r="M567" s="140" t="str">
        <f>IFERROR(__xludf.DUMMYFUNCTION("""COMPUTED_VALUE"""),"")</f>
        <v/>
      </c>
      <c r="N567" s="140" t="str">
        <f>IFERROR(__xludf.DUMMYFUNCTION("""COMPUTED_VALUE"""),"No alternatives in Collection- 1/29/2020/Terms Change")</f>
        <v>No alternatives in Collection- 1/29/2020/Terms Change</v>
      </c>
    </row>
    <row r="568">
      <c r="A568" s="141">
        <f>IFERROR(__xludf.DUMMYFUNCTION("""COMPUTED_VALUE"""),43861.0)</f>
        <v>43861</v>
      </c>
      <c r="B568" s="140">
        <f>IFERROR(__xludf.DUMMYFUNCTION("""COMPUTED_VALUE"""),1421160.0)</f>
        <v>1421160</v>
      </c>
      <c r="C568" s="140" t="str">
        <f>IFERROR(__xludf.DUMMYFUNCTION("""COMPUTED_VALUE"""),"DE")</f>
        <v>DE</v>
      </c>
      <c r="D568" s="140" t="str">
        <f>IFERROR(__xludf.DUMMYFUNCTION("""COMPUTED_VALUE"""),"Microsoft Visio 2016 sicher beherrschen.")</f>
        <v>Microsoft Visio 2016 sicher beherrschen.</v>
      </c>
      <c r="E568" s="140" t="str">
        <f>IFERROR(__xludf.DUMMYFUNCTION("""COMPUTED_VALUE"""),"Microsoft Visio 2016 certainly dominate.")</f>
        <v>Microsoft Visio 2016 certainly dominate.</v>
      </c>
      <c r="F568" s="142" t="str">
        <f>IFERROR(__xludf.DUMMYFUNCTION("""COMPUTED_VALUE"""),"SONIC Performance Support - E-Learning Experts")</f>
        <v>SONIC Performance Support - E-Learning Experts</v>
      </c>
      <c r="G568" t="str">
        <f>IFERROR(__xludf.DUMMYFUNCTION("""COMPUTED_VALUE"""),"Instructor Request- Opted Out")</f>
        <v>Instructor Request- Opted Out</v>
      </c>
      <c r="H568" s="142" t="str">
        <f>IFERROR(__xludf.DUMMYFUNCTION("""COMPUTED_VALUE"""),"Data Science")</f>
        <v>Data Science</v>
      </c>
      <c r="I568" s="140" t="str">
        <f>IFERROR(__xludf.DUMMYFUNCTION("""COMPUTED_VALUE"""),"Analytics")</f>
        <v>Analytics</v>
      </c>
      <c r="K568" s="140" t="str">
        <f>IFERROR(__xludf.DUMMYFUNCTION("""COMPUTED_VALUE"""),"")</f>
        <v/>
      </c>
      <c r="M568" s="140" t="str">
        <f>IFERROR(__xludf.DUMMYFUNCTION("""COMPUTED_VALUE"""),"")</f>
        <v/>
      </c>
      <c r="N568" s="140" t="str">
        <f>IFERROR(__xludf.DUMMYFUNCTION("""COMPUTED_VALUE"""),"Terms Change - German Course
No Alternatives in Collection or MP")</f>
        <v>Terms Change - German Course
No Alternatives in Collection or MP</v>
      </c>
    </row>
    <row r="569">
      <c r="A569" s="141">
        <f>IFERROR(__xludf.DUMMYFUNCTION("""COMPUTED_VALUE"""),43861.0)</f>
        <v>43861</v>
      </c>
      <c r="B569" s="140">
        <f>IFERROR(__xludf.DUMMYFUNCTION("""COMPUTED_VALUE"""),342122.0)</f>
        <v>342122</v>
      </c>
      <c r="C569" s="140" t="str">
        <f>IFERROR(__xludf.DUMMYFUNCTION("""COMPUTED_VALUE"""),"EN")</f>
        <v>EN</v>
      </c>
      <c r="D569" s="140" t="str">
        <f>IFERROR(__xludf.DUMMYFUNCTION("""COMPUTED_VALUE"""),"Tech Explorations™ Arduino: Make an IoT environment monitor")</f>
        <v>Tech Explorations™ Arduino: Make an IoT environment monitor</v>
      </c>
      <c r="F569" s="142" t="str">
        <f>IFERROR(__xludf.DUMMYFUNCTION("""COMPUTED_VALUE"""),"Dr. Peter Dalmaris")</f>
        <v>Dr. Peter Dalmaris</v>
      </c>
      <c r="G569" t="str">
        <f>IFERROR(__xludf.DUMMYFUNCTION("""COMPUTED_VALUE"""),"Instructor Request- Opted Out")</f>
        <v>Instructor Request- Opted Out</v>
      </c>
      <c r="H569" s="142" t="str">
        <f>IFERROR(__xludf.DUMMYFUNCTION("""COMPUTED_VALUE"""),"IT Operations")</f>
        <v>IT Operations</v>
      </c>
      <c r="I569" s="140" t="str">
        <f>IFERROR(__xludf.DUMMYFUNCTION("""COMPUTED_VALUE"""),"Hardware")</f>
        <v>Hardware</v>
      </c>
      <c r="K569" s="140" t="str">
        <f>IFERROR(__xludf.DUMMYFUNCTION("""COMPUTED_VALUE"""),"")</f>
        <v/>
      </c>
      <c r="M569" s="140" t="str">
        <f>IFERROR(__xludf.DUMMYFUNCTION("""COMPUTED_VALUE"""),"")</f>
        <v/>
      </c>
      <c r="N569" s="140" t="str">
        <f>IFERROR(__xludf.DUMMYFUNCTION("""COMPUTED_VALUE"""),"No alternatives in Collection- 1/29/2020/Terms Change")</f>
        <v>No alternatives in Collection- 1/29/2020/Terms Change</v>
      </c>
    </row>
    <row r="570">
      <c r="A570" s="141">
        <f>IFERROR(__xludf.DUMMYFUNCTION("""COMPUTED_VALUE"""),43861.0)</f>
        <v>43861</v>
      </c>
      <c r="B570" s="140">
        <f>IFERROR(__xludf.DUMMYFUNCTION("""COMPUTED_VALUE"""),890528.0)</f>
        <v>890528</v>
      </c>
      <c r="C570" s="140" t="str">
        <f>IFERROR(__xludf.DUMMYFUNCTION("""COMPUTED_VALUE"""),"EN")</f>
        <v>EN</v>
      </c>
      <c r="D570" s="140" t="str">
        <f>IFERROR(__xludf.DUMMYFUNCTION("""COMPUTED_VALUE"""),"Access 2016 Introduction")</f>
        <v>Access 2016 Introduction</v>
      </c>
      <c r="F570" s="142" t="str">
        <f>IFERROR(__xludf.DUMMYFUNCTION("""COMPUTED_VALUE"""),"Intellezy Trainers")</f>
        <v>Intellezy Trainers</v>
      </c>
      <c r="G570" t="str">
        <f>IFERROR(__xludf.DUMMYFUNCTION("""COMPUTED_VALUE"""),"Instructor Request- Opted Out")</f>
        <v>Instructor Request- Opted Out</v>
      </c>
      <c r="H570" s="142" t="str">
        <f>IFERROR(__xludf.DUMMYFUNCTION("""COMPUTED_VALUE"""),"IT Operations")</f>
        <v>IT Operations</v>
      </c>
      <c r="I570" s="140" t="str">
        <f>IFERROR(__xludf.DUMMYFUNCTION("""COMPUTED_VALUE"""),"Database Administration")</f>
        <v>Database Administration</v>
      </c>
      <c r="J570">
        <f>IFERROR(__xludf.DUMMYFUNCTION("""COMPUTED_VALUE"""),845284.0)</f>
        <v>845284</v>
      </c>
      <c r="K570" s="140" t="str">
        <f>IFERROR(__xludf.DUMMYFUNCTION("""COMPUTED_VALUE"""),"Microsoft Access 2016 Master Class: Beginner to Advanced")</f>
        <v>Microsoft Access 2016 Master Class: Beginner to Advanced</v>
      </c>
      <c r="M570" s="140" t="str">
        <f>IFERROR(__xludf.DUMMYFUNCTION("""COMPUTED_VALUE"""),"")</f>
        <v/>
      </c>
      <c r="N570" s="140" t="str">
        <f>IFERROR(__xludf.DUMMYFUNCTION("""COMPUTED_VALUE"""),"Terms Change")</f>
        <v>Terms Change</v>
      </c>
    </row>
    <row r="571">
      <c r="A571" s="141">
        <f>IFERROR(__xludf.DUMMYFUNCTION("""COMPUTED_VALUE"""),43861.0)</f>
        <v>43861</v>
      </c>
      <c r="B571" s="140">
        <f>IFERROR(__xludf.DUMMYFUNCTION("""COMPUTED_VALUE"""),2079406.0)</f>
        <v>2079406</v>
      </c>
      <c r="C571" s="140" t="str">
        <f>IFERROR(__xludf.DUMMYFUNCTION("""COMPUTED_VALUE"""),"EN")</f>
        <v>EN</v>
      </c>
      <c r="D571" s="140" t="str">
        <f>IFERROR(__xludf.DUMMYFUNCTION("""COMPUTED_VALUE"""),"Tech Explorations™ KiCad Like a Pro 2nd edition")</f>
        <v>Tech Explorations™ KiCad Like a Pro 2nd edition</v>
      </c>
      <c r="F571" s="142" t="str">
        <f>IFERROR(__xludf.DUMMYFUNCTION("""COMPUTED_VALUE"""),"Dr. Peter Dalmaris")</f>
        <v>Dr. Peter Dalmaris</v>
      </c>
      <c r="G571" t="str">
        <f>IFERROR(__xludf.DUMMYFUNCTION("""COMPUTED_VALUE"""),"Instructor Request- Opted Out")</f>
        <v>Instructor Request- Opted Out</v>
      </c>
      <c r="H571" s="142" t="str">
        <f>IFERROR(__xludf.DUMMYFUNCTION("""COMPUTED_VALUE"""),"IT Operations")</f>
        <v>IT Operations</v>
      </c>
      <c r="I571" s="140" t="str">
        <f>IFERROR(__xludf.DUMMYFUNCTION("""COMPUTED_VALUE"""),"Hardware")</f>
        <v>Hardware</v>
      </c>
      <c r="K571" s="140" t="str">
        <f>IFERROR(__xludf.DUMMYFUNCTION("""COMPUTED_VALUE"""),"")</f>
        <v/>
      </c>
      <c r="M571" s="140" t="str">
        <f>IFERROR(__xludf.DUMMYFUNCTION("""COMPUTED_VALUE"""),"")</f>
        <v/>
      </c>
      <c r="N571" s="140" t="str">
        <f>IFERROR(__xludf.DUMMYFUNCTION("""COMPUTED_VALUE"""),"No alternatives in Collection- 1/29/2020/Terms Change")</f>
        <v>No alternatives in Collection- 1/29/2020/Terms Change</v>
      </c>
    </row>
    <row r="572">
      <c r="A572" s="141">
        <f>IFERROR(__xludf.DUMMYFUNCTION("""COMPUTED_VALUE"""),43861.0)</f>
        <v>43861</v>
      </c>
      <c r="B572" s="140">
        <f>IFERROR(__xludf.DUMMYFUNCTION("""COMPUTED_VALUE"""),126134.0)</f>
        <v>126134</v>
      </c>
      <c r="C572" s="140" t="str">
        <f>IFERROR(__xludf.DUMMYFUNCTION("""COMPUTED_VALUE"""),"EN")</f>
        <v>EN</v>
      </c>
      <c r="D572" s="140" t="str">
        <f>IFERROR(__xludf.DUMMYFUNCTION("""COMPUTED_VALUE"""),"Oracle 11g PL/SQL Fundamentals II")</f>
        <v>Oracle 11g PL/SQL Fundamentals II</v>
      </c>
      <c r="F572" s="142" t="str">
        <f>IFERROR(__xludf.DUMMYFUNCTION("""COMPUTED_VALUE"""),"Intellezy Trainers")</f>
        <v>Intellezy Trainers</v>
      </c>
      <c r="G572" t="str">
        <f>IFERROR(__xludf.DUMMYFUNCTION("""COMPUTED_VALUE"""),"Instructor Request- Opted Out")</f>
        <v>Instructor Request- Opted Out</v>
      </c>
      <c r="H572" s="142" t="str">
        <f>IFERROR(__xludf.DUMMYFUNCTION("""COMPUTED_VALUE"""),"IT Operations")</f>
        <v>IT Operations</v>
      </c>
      <c r="I572" s="140" t="str">
        <f>IFERROR(__xludf.DUMMYFUNCTION("""COMPUTED_VALUE"""),"Database Administration")</f>
        <v>Database Administration</v>
      </c>
      <c r="J572">
        <f>IFERROR(__xludf.DUMMYFUNCTION("""COMPUTED_VALUE"""),1312466.0)</f>
        <v>1312466</v>
      </c>
      <c r="K572" s="140" t="str">
        <f>IFERROR(__xludf.DUMMYFUNCTION("""COMPUTED_VALUE"""),"The Complete PL/SQL Bootcamp : ""Beginner to Advanced PL/SQL""")</f>
        <v>The Complete PL/SQL Bootcamp : "Beginner to Advanced PL/SQL"</v>
      </c>
      <c r="L572">
        <f>IFERROR(__xludf.DUMMYFUNCTION("""COMPUTED_VALUE"""),470406.0)</f>
        <v>470406</v>
      </c>
      <c r="M572" s="140" t="str">
        <f>IFERROR(__xludf.DUMMYFUNCTION("""COMPUTED_VALUE"""),"PL/SQL by Example - Beginner to Advanced PL/SQL")</f>
        <v>PL/SQL by Example - Beginner to Advanced PL/SQL</v>
      </c>
      <c r="N572" s="140" t="str">
        <f>IFERROR(__xludf.DUMMYFUNCTION("""COMPUTED_VALUE"""),"Terms Change")</f>
        <v>Terms Change</v>
      </c>
    </row>
    <row r="573">
      <c r="A573" s="141">
        <f>IFERROR(__xludf.DUMMYFUNCTION("""COMPUTED_VALUE"""),43861.0)</f>
        <v>43861</v>
      </c>
      <c r="B573" s="140">
        <f>IFERROR(__xludf.DUMMYFUNCTION("""COMPUTED_VALUE"""),799240.0)</f>
        <v>799240</v>
      </c>
      <c r="C573" s="140" t="str">
        <f>IFERROR(__xludf.DUMMYFUNCTION("""COMPUTED_VALUE"""),"EN")</f>
        <v>EN</v>
      </c>
      <c r="D573" s="140" t="str">
        <f>IFERROR(__xludf.DUMMYFUNCTION("""COMPUTED_VALUE"""),"Tech Explorations™ Advanced Arduino Boards and Tools")</f>
        <v>Tech Explorations™ Advanced Arduino Boards and Tools</v>
      </c>
      <c r="F573" s="142" t="str">
        <f>IFERROR(__xludf.DUMMYFUNCTION("""COMPUTED_VALUE"""),"Dr. Peter Dalmaris")</f>
        <v>Dr. Peter Dalmaris</v>
      </c>
      <c r="G573" t="str">
        <f>IFERROR(__xludf.DUMMYFUNCTION("""COMPUTED_VALUE"""),"Instructor Request- Opted Out")</f>
        <v>Instructor Request- Opted Out</v>
      </c>
      <c r="H573" s="142" t="str">
        <f>IFERROR(__xludf.DUMMYFUNCTION("""COMPUTED_VALUE"""),"IT Operations")</f>
        <v>IT Operations</v>
      </c>
      <c r="I573" s="140" t="str">
        <f>IFERROR(__xludf.DUMMYFUNCTION("""COMPUTED_VALUE"""),"Hardware")</f>
        <v>Hardware</v>
      </c>
      <c r="K573" s="140" t="str">
        <f>IFERROR(__xludf.DUMMYFUNCTION("""COMPUTED_VALUE"""),"")</f>
        <v/>
      </c>
      <c r="M573" s="140" t="str">
        <f>IFERROR(__xludf.DUMMYFUNCTION("""COMPUTED_VALUE"""),"")</f>
        <v/>
      </c>
      <c r="N573" s="140" t="str">
        <f>IFERROR(__xludf.DUMMYFUNCTION("""COMPUTED_VALUE"""),"No alternatives in Collection- 1/29/2020/Terms Change")</f>
        <v>No alternatives in Collection- 1/29/2020/Terms Change</v>
      </c>
    </row>
    <row r="574">
      <c r="A574" s="141">
        <f>IFERROR(__xludf.DUMMYFUNCTION("""COMPUTED_VALUE"""),43861.0)</f>
        <v>43861</v>
      </c>
      <c r="B574" s="140">
        <f>IFERROR(__xludf.DUMMYFUNCTION("""COMPUTED_VALUE"""),945826.0)</f>
        <v>945826</v>
      </c>
      <c r="C574" s="140" t="str">
        <f>IFERROR(__xludf.DUMMYFUNCTION("""COMPUTED_VALUE"""),"EN")</f>
        <v>EN</v>
      </c>
      <c r="D574" s="140" t="str">
        <f>IFERROR(__xludf.DUMMYFUNCTION("""COMPUTED_VALUE"""),"Tech Explorations™ Basic electronics for Arduino Makers")</f>
        <v>Tech Explorations™ Basic electronics for Arduino Makers</v>
      </c>
      <c r="F574" s="142" t="str">
        <f>IFERROR(__xludf.DUMMYFUNCTION("""COMPUTED_VALUE"""),"Dr. Peter Dalmaris")</f>
        <v>Dr. Peter Dalmaris</v>
      </c>
      <c r="G574" t="str">
        <f>IFERROR(__xludf.DUMMYFUNCTION("""COMPUTED_VALUE"""),"Instructor Request- Opted Out")</f>
        <v>Instructor Request- Opted Out</v>
      </c>
      <c r="H574" s="142" t="str">
        <f>IFERROR(__xludf.DUMMYFUNCTION("""COMPUTED_VALUE"""),"IT Operations")</f>
        <v>IT Operations</v>
      </c>
      <c r="I574" s="140" t="str">
        <f>IFERROR(__xludf.DUMMYFUNCTION("""COMPUTED_VALUE"""),"Hardware")</f>
        <v>Hardware</v>
      </c>
      <c r="J574">
        <f>IFERROR(__xludf.DUMMYFUNCTION("""COMPUTED_VALUE"""),1646098.0)</f>
        <v>1646098</v>
      </c>
      <c r="K574" s="140" t="str">
        <f>IFERROR(__xludf.DUMMYFUNCTION("""COMPUTED_VALUE"""),"Programming the Arduino - Getting Started")</f>
        <v>Programming the Arduino - Getting Started</v>
      </c>
      <c r="M574" s="140" t="str">
        <f>IFERROR(__xludf.DUMMYFUNCTION("""COMPUTED_VALUE"""),"")</f>
        <v/>
      </c>
      <c r="N574" s="140" t="str">
        <f>IFERROR(__xludf.DUMMYFUNCTION("""COMPUTED_VALUE"""),"Terms Change")</f>
        <v>Terms Change</v>
      </c>
    </row>
    <row r="575">
      <c r="A575" s="141">
        <f>IFERROR(__xludf.DUMMYFUNCTION("""COMPUTED_VALUE"""),43861.0)</f>
        <v>43861</v>
      </c>
      <c r="B575" s="140">
        <f>IFERROR(__xludf.DUMMYFUNCTION("""COMPUTED_VALUE"""),982708.0)</f>
        <v>982708</v>
      </c>
      <c r="C575" s="140" t="str">
        <f>IFERROR(__xludf.DUMMYFUNCTION("""COMPUTED_VALUE"""),"EN")</f>
        <v>EN</v>
      </c>
      <c r="D575" s="140" t="str">
        <f>IFERROR(__xludf.DUMMYFUNCTION("""COMPUTED_VALUE"""),"Tech Explorations™ Arduino Step by Step: Getting Started")</f>
        <v>Tech Explorations™ Arduino Step by Step: Getting Started</v>
      </c>
      <c r="F575" s="142" t="str">
        <f>IFERROR(__xludf.DUMMYFUNCTION("""COMPUTED_VALUE"""),"Dr. Peter Dalmaris")</f>
        <v>Dr. Peter Dalmaris</v>
      </c>
      <c r="G575" t="str">
        <f>IFERROR(__xludf.DUMMYFUNCTION("""COMPUTED_VALUE"""),"Instructor Request- Opted Out")</f>
        <v>Instructor Request- Opted Out</v>
      </c>
      <c r="H575" s="142" t="str">
        <f>IFERROR(__xludf.DUMMYFUNCTION("""COMPUTED_VALUE"""),"IT Operations")</f>
        <v>IT Operations</v>
      </c>
      <c r="I575" s="140" t="str">
        <f>IFERROR(__xludf.DUMMYFUNCTION("""COMPUTED_VALUE"""),"Hardware")</f>
        <v>Hardware</v>
      </c>
      <c r="J575">
        <f>IFERROR(__xludf.DUMMYFUNCTION("""COMPUTED_VALUE"""),1646098.0)</f>
        <v>1646098</v>
      </c>
      <c r="K575" s="140" t="str">
        <f>IFERROR(__xludf.DUMMYFUNCTION("""COMPUTED_VALUE"""),"Programming the Arduino - Getting Started")</f>
        <v>Programming the Arduino - Getting Started</v>
      </c>
      <c r="M575" s="140" t="str">
        <f>IFERROR(__xludf.DUMMYFUNCTION("""COMPUTED_VALUE"""),"")</f>
        <v/>
      </c>
      <c r="N575" s="140" t="str">
        <f>IFERROR(__xludf.DUMMYFUNCTION("""COMPUTED_VALUE"""),"Terms Change")</f>
        <v>Terms Change</v>
      </c>
    </row>
    <row r="576">
      <c r="A576" s="141">
        <f>IFERROR(__xludf.DUMMYFUNCTION("""COMPUTED_VALUE"""),43861.0)</f>
        <v>43861</v>
      </c>
      <c r="B576" s="140">
        <f>IFERROR(__xludf.DUMMYFUNCTION("""COMPUTED_VALUE"""),657932.0)</f>
        <v>657932</v>
      </c>
      <c r="C576" s="140" t="str">
        <f>IFERROR(__xludf.DUMMYFUNCTION("""COMPUTED_VALUE"""),"EN")</f>
        <v>EN</v>
      </c>
      <c r="D576" s="140" t="str">
        <f>IFERROR(__xludf.DUMMYFUNCTION("""COMPUTED_VALUE"""),"Unreal Engine C++ Developer: Learn C++ and Make Video Games")</f>
        <v>Unreal Engine C++ Developer: Learn C++ and Make Video Games</v>
      </c>
      <c r="F576" s="142" t="str">
        <f>IFERROR(__xludf.DUMMYFUNCTION("""COMPUTED_VALUE"""),"Ben Tristem")</f>
        <v>Ben Tristem</v>
      </c>
      <c r="G576" t="str">
        <f>IFERROR(__xludf.DUMMYFUNCTION("""COMPUTED_VALUE"""),"Course Ineligible")</f>
        <v>Course Ineligible</v>
      </c>
      <c r="H576" s="142" t="str">
        <f>IFERROR(__xludf.DUMMYFUNCTION("""COMPUTED_VALUE"""),"Development")</f>
        <v>Development</v>
      </c>
      <c r="I576" s="140" t="str">
        <f>IFERROR(__xludf.DUMMYFUNCTION("""COMPUTED_VALUE"""),"Game Development")</f>
        <v>Game Development</v>
      </c>
      <c r="J576">
        <f>IFERROR(__xludf.DUMMYFUNCTION("""COMPUTED_VALUE"""),1035484.0)</f>
        <v>1035484</v>
      </c>
      <c r="K576" s="140" t="str">
        <f>IFERROR(__xludf.DUMMYFUNCTION("""COMPUTED_VALUE"""),"Unreal Engine 4: How to Develop Your First Two Games")</f>
        <v>Unreal Engine 4: How to Develop Your First Two Games</v>
      </c>
      <c r="M576" s="140" t="str">
        <f>IFERROR(__xludf.DUMMYFUNCTION("""COMPUTED_VALUE"""),"")</f>
        <v/>
      </c>
      <c r="N576" s="140" t="str">
        <f>IFERROR(__xludf.DUMMYFUNCTION("""COMPUTED_VALUE"""),"Terms Change")</f>
        <v>Terms Change</v>
      </c>
    </row>
    <row r="577">
      <c r="A577" s="141">
        <f>IFERROR(__xludf.DUMMYFUNCTION("""COMPUTED_VALUE"""),43861.0)</f>
        <v>43861</v>
      </c>
      <c r="B577" s="140">
        <f>IFERROR(__xludf.DUMMYFUNCTION("""COMPUTED_VALUE"""),51158.0)</f>
        <v>51158</v>
      </c>
      <c r="C577" s="140" t="str">
        <f>IFERROR(__xludf.DUMMYFUNCTION("""COMPUTED_VALUE"""),"EN")</f>
        <v>EN</v>
      </c>
      <c r="D577" s="140" t="str">
        <f>IFERROR(__xludf.DUMMYFUNCTION("""COMPUTED_VALUE"""),"Adobe Acrobat Pro 9")</f>
        <v>Adobe Acrobat Pro 9</v>
      </c>
      <c r="F577" s="142" t="str">
        <f>IFERROR(__xludf.DUMMYFUNCTION("""COMPUTED_VALUE"""),"Intellezy Trainers")</f>
        <v>Intellezy Trainers</v>
      </c>
      <c r="G577" t="str">
        <f>IFERROR(__xludf.DUMMYFUNCTION("""COMPUTED_VALUE"""),"Instructor Request- Opted Out")</f>
        <v>Instructor Request- Opted Out</v>
      </c>
      <c r="H577" s="142" t="str">
        <f>IFERROR(__xludf.DUMMYFUNCTION("""COMPUTED_VALUE"""),"Office Productivity")</f>
        <v>Office Productivity</v>
      </c>
      <c r="I577" s="140" t="str">
        <f>IFERROR(__xludf.DUMMYFUNCTION("""COMPUTED_VALUE"""),"Word Processing")</f>
        <v>Word Processing</v>
      </c>
      <c r="K577" s="140" t="str">
        <f>IFERROR(__xludf.DUMMYFUNCTION("""COMPUTED_VALUE"""),"")</f>
        <v/>
      </c>
      <c r="M577" s="140" t="str">
        <f>IFERROR(__xludf.DUMMYFUNCTION("""COMPUTED_VALUE"""),"")</f>
        <v/>
      </c>
      <c r="N577" s="140" t="str">
        <f>IFERROR(__xludf.DUMMYFUNCTION("""COMPUTED_VALUE"""),"Terms Change / No alternatives in Collection- 1/24/2020")</f>
        <v>Terms Change / No alternatives in Collection- 1/24/2020</v>
      </c>
    </row>
    <row r="578">
      <c r="A578" s="141">
        <f>IFERROR(__xludf.DUMMYFUNCTION("""COMPUTED_VALUE"""),43861.0)</f>
        <v>43861</v>
      </c>
      <c r="B578" s="140">
        <f>IFERROR(__xludf.DUMMYFUNCTION("""COMPUTED_VALUE"""),1178124.0)</f>
        <v>1178124</v>
      </c>
      <c r="C578" s="140" t="str">
        <f>IFERROR(__xludf.DUMMYFUNCTION("""COMPUTED_VALUE"""),"EN")</f>
        <v>EN</v>
      </c>
      <c r="D578" s="140" t="str">
        <f>IFERROR(__xludf.DUMMYFUNCTION("""COMPUTED_VALUE"""),"Complete C# Unity Developer 3D: Learn to Code Making Games")</f>
        <v>Complete C# Unity Developer 3D: Learn to Code Making Games</v>
      </c>
      <c r="F578" s="142" t="str">
        <f>IFERROR(__xludf.DUMMYFUNCTION("""COMPUTED_VALUE"""),"Ben Tristem")</f>
        <v>Ben Tristem</v>
      </c>
      <c r="G578" t="str">
        <f>IFERROR(__xludf.DUMMYFUNCTION("""COMPUTED_VALUE"""),"Course Ineligible")</f>
        <v>Course Ineligible</v>
      </c>
      <c r="H578" s="142" t="str">
        <f>IFERROR(__xludf.DUMMYFUNCTION("""COMPUTED_VALUE"""),"Development")</f>
        <v>Development</v>
      </c>
      <c r="I578" s="140" t="str">
        <f>IFERROR(__xludf.DUMMYFUNCTION("""COMPUTED_VALUE"""),"Game Development")</f>
        <v>Game Development</v>
      </c>
      <c r="J578">
        <f>IFERROR(__xludf.DUMMYFUNCTION("""COMPUTED_VALUE"""),1328572.0)</f>
        <v>1328572</v>
      </c>
      <c r="K578" s="140" t="str">
        <f>IFERROR(__xludf.DUMMYFUNCTION("""COMPUTED_VALUE"""),"The Ultimate Guide to Game Development with Unity (Official)")</f>
        <v>The Ultimate Guide to Game Development with Unity (Official)</v>
      </c>
      <c r="M578" s="140" t="str">
        <f>IFERROR(__xludf.DUMMYFUNCTION("""COMPUTED_VALUE"""),"")</f>
        <v/>
      </c>
      <c r="N578" s="140" t="str">
        <f>IFERROR(__xludf.DUMMYFUNCTION("""COMPUTED_VALUE"""),"Terms Change")</f>
        <v>Terms Change</v>
      </c>
    </row>
    <row r="579">
      <c r="A579" s="141">
        <f>IFERROR(__xludf.DUMMYFUNCTION("""COMPUTED_VALUE"""),43861.0)</f>
        <v>43861</v>
      </c>
      <c r="B579" s="140">
        <f>IFERROR(__xludf.DUMMYFUNCTION("""COMPUTED_VALUE"""),438522.0)</f>
        <v>438522</v>
      </c>
      <c r="C579" s="140" t="str">
        <f>IFERROR(__xludf.DUMMYFUNCTION("""COMPUTED_VALUE"""),"EN")</f>
        <v>EN</v>
      </c>
      <c r="D579" s="140" t="str">
        <f>IFERROR(__xludf.DUMMYFUNCTION("""COMPUTED_VALUE"""),"Complete Blender Creator: Learn 3D Modelling for Beginners")</f>
        <v>Complete Blender Creator: Learn 3D Modelling for Beginners</v>
      </c>
      <c r="F579" s="142" t="str">
        <f>IFERROR(__xludf.DUMMYFUNCTION("""COMPUTED_VALUE"""),"Ben Tristem")</f>
        <v>Ben Tristem</v>
      </c>
      <c r="G579" t="str">
        <f>IFERROR(__xludf.DUMMYFUNCTION("""COMPUTED_VALUE"""),"Course Ineligible")</f>
        <v>Course Ineligible</v>
      </c>
      <c r="H579" s="142" t="str">
        <f>IFERROR(__xludf.DUMMYFUNCTION("""COMPUTED_VALUE"""),"Design")</f>
        <v>Design</v>
      </c>
      <c r="I579" s="140" t="str">
        <f>IFERROR(__xludf.DUMMYFUNCTION("""COMPUTED_VALUE"""),"Design Tools")</f>
        <v>Design Tools</v>
      </c>
      <c r="J579">
        <f>IFERROR(__xludf.DUMMYFUNCTION("""COMPUTED_VALUE"""),683198.0)</f>
        <v>683198</v>
      </c>
      <c r="K579" s="140" t="str">
        <f>IFERROR(__xludf.DUMMYFUNCTION("""COMPUTED_VALUE"""),"Creating 3D environments in Blender")</f>
        <v>Creating 3D environments in Blender</v>
      </c>
      <c r="M579" s="140" t="str">
        <f>IFERROR(__xludf.DUMMYFUNCTION("""COMPUTED_VALUE"""),"")</f>
        <v/>
      </c>
      <c r="N579" s="140" t="str">
        <f>IFERROR(__xludf.DUMMYFUNCTION("""COMPUTED_VALUE"""),"Terms Change")</f>
        <v>Terms Change</v>
      </c>
    </row>
    <row r="580">
      <c r="A580" s="141">
        <f>IFERROR(__xludf.DUMMYFUNCTION("""COMPUTED_VALUE"""),43861.0)</f>
        <v>43861</v>
      </c>
      <c r="B580" s="140">
        <f>IFERROR(__xludf.DUMMYFUNCTION("""COMPUTED_VALUE"""),1354240.0)</f>
        <v>1354240</v>
      </c>
      <c r="C580" s="140" t="str">
        <f>IFERROR(__xludf.DUMMYFUNCTION("""COMPUTED_VALUE"""),"EN")</f>
        <v>EN</v>
      </c>
      <c r="D580" s="140" t="str">
        <f>IFERROR(__xludf.DUMMYFUNCTION("""COMPUTED_VALUE"""),"Working with InfoPath 2013 in SharePoint")</f>
        <v>Working with InfoPath 2013 in SharePoint</v>
      </c>
      <c r="F580" s="142" t="str">
        <f>IFERROR(__xludf.DUMMYFUNCTION("""COMPUTED_VALUE"""),"Intellezy Trainers")</f>
        <v>Intellezy Trainers</v>
      </c>
      <c r="G580" t="str">
        <f>IFERROR(__xludf.DUMMYFUNCTION("""COMPUTED_VALUE"""),"Instructor Request- Opted Out")</f>
        <v>Instructor Request- Opted Out</v>
      </c>
      <c r="H580" s="142" t="str">
        <f>IFERROR(__xludf.DUMMYFUNCTION("""COMPUTED_VALUE"""),"Office Productivity")</f>
        <v>Office Productivity</v>
      </c>
      <c r="I580" s="140" t="str">
        <f>IFERROR(__xludf.DUMMYFUNCTION("""COMPUTED_VALUE"""),"Collaboration")</f>
        <v>Collaboration</v>
      </c>
      <c r="K580" s="140" t="str">
        <f>IFERROR(__xludf.DUMMYFUNCTION("""COMPUTED_VALUE"""),"")</f>
        <v/>
      </c>
      <c r="M580" s="140" t="str">
        <f>IFERROR(__xludf.DUMMYFUNCTION("""COMPUTED_VALUE"""),"")</f>
        <v/>
      </c>
      <c r="N580" s="140" t="str">
        <f>IFERROR(__xludf.DUMMYFUNCTION("""COMPUTED_VALUE"""),"Terms Change / No alternatives in Collection- 1/24/2020")</f>
        <v>Terms Change / No alternatives in Collection- 1/24/2020</v>
      </c>
    </row>
    <row r="581">
      <c r="A581" s="141">
        <f>IFERROR(__xludf.DUMMYFUNCTION("""COMPUTED_VALUE"""),43861.0)</f>
        <v>43861</v>
      </c>
      <c r="B581" s="140">
        <f>IFERROR(__xludf.DUMMYFUNCTION("""COMPUTED_VALUE"""),1946104.0)</f>
        <v>1946104</v>
      </c>
      <c r="C581" s="140" t="str">
        <f>IFERROR(__xludf.DUMMYFUNCTION("""COMPUTED_VALUE"""),"EN")</f>
        <v>EN</v>
      </c>
      <c r="D581" s="140" t="str">
        <f>IFERROR(__xludf.DUMMYFUNCTION("""COMPUTED_VALUE"""),"Unreal Engine Blueprint Developer: Learn Visual Scripting")</f>
        <v>Unreal Engine Blueprint Developer: Learn Visual Scripting</v>
      </c>
      <c r="F581" s="142" t="str">
        <f>IFERROR(__xludf.DUMMYFUNCTION("""COMPUTED_VALUE"""),"Ben Tristem")</f>
        <v>Ben Tristem</v>
      </c>
      <c r="G581" t="str">
        <f>IFERROR(__xludf.DUMMYFUNCTION("""COMPUTED_VALUE"""),"Course Ineligible")</f>
        <v>Course Ineligible</v>
      </c>
      <c r="H581" s="142" t="str">
        <f>IFERROR(__xludf.DUMMYFUNCTION("""COMPUTED_VALUE"""),"Development")</f>
        <v>Development</v>
      </c>
      <c r="I581" s="140" t="str">
        <f>IFERROR(__xludf.DUMMYFUNCTION("""COMPUTED_VALUE"""),"Game Development")</f>
        <v>Game Development</v>
      </c>
      <c r="J581">
        <f>IFERROR(__xludf.DUMMYFUNCTION("""COMPUTED_VALUE"""),2006624.0)</f>
        <v>2006624</v>
      </c>
      <c r="K581" s="140" t="str">
        <f>IFERROR(__xludf.DUMMYFUNCTION("""COMPUTED_VALUE"""),"Create a Battle Royale game using Unreal Engine 4 Blueprints")</f>
        <v>Create a Battle Royale game using Unreal Engine 4 Blueprints</v>
      </c>
      <c r="M581" s="140" t="str">
        <f>IFERROR(__xludf.DUMMYFUNCTION("""COMPUTED_VALUE"""),"")</f>
        <v/>
      </c>
      <c r="N581" s="140" t="str">
        <f>IFERROR(__xludf.DUMMYFUNCTION("""COMPUTED_VALUE"""),"Terms Change")</f>
        <v>Terms Change</v>
      </c>
    </row>
    <row r="582">
      <c r="A582" s="141">
        <f>IFERROR(__xludf.DUMMYFUNCTION("""COMPUTED_VALUE"""),43861.0)</f>
        <v>43861</v>
      </c>
      <c r="B582" s="140">
        <f>IFERROR(__xludf.DUMMYFUNCTION("""COMPUTED_VALUE"""),599024.0)</f>
        <v>599024</v>
      </c>
      <c r="C582" s="140" t="str">
        <f>IFERROR(__xludf.DUMMYFUNCTION("""COMPUTED_VALUE"""),"EN")</f>
        <v>EN</v>
      </c>
      <c r="D582" s="140" t="str">
        <f>IFERROR(__xludf.DUMMYFUNCTION("""COMPUTED_VALUE"""),"Tech Explorations™ KiCad like a Pro")</f>
        <v>Tech Explorations™ KiCad like a Pro</v>
      </c>
      <c r="F582" s="142" t="str">
        <f>IFERROR(__xludf.DUMMYFUNCTION("""COMPUTED_VALUE"""),"Dr. Peter Dalmaris")</f>
        <v>Dr. Peter Dalmaris</v>
      </c>
      <c r="G582" t="str">
        <f>IFERROR(__xludf.DUMMYFUNCTION("""COMPUTED_VALUE"""),"Instructor Request- Opted Out")</f>
        <v>Instructor Request- Opted Out</v>
      </c>
      <c r="H582" s="142" t="str">
        <f>IFERROR(__xludf.DUMMYFUNCTION("""COMPUTED_VALUE"""),"IT Operations")</f>
        <v>IT Operations</v>
      </c>
      <c r="I582" s="140" t="str">
        <f>IFERROR(__xludf.DUMMYFUNCTION("""COMPUTED_VALUE"""),"Hardware")</f>
        <v>Hardware</v>
      </c>
      <c r="K582" s="140" t="str">
        <f>IFERROR(__xludf.DUMMYFUNCTION("""COMPUTED_VALUE"""),"")</f>
        <v/>
      </c>
      <c r="M582" s="140" t="str">
        <f>IFERROR(__xludf.DUMMYFUNCTION("""COMPUTED_VALUE"""),"")</f>
        <v/>
      </c>
      <c r="N582" s="140" t="str">
        <f>IFERROR(__xludf.DUMMYFUNCTION("""COMPUTED_VALUE"""),"No alternatives in Collection- 1/29/2020/Terms Change")</f>
        <v>No alternatives in Collection- 1/29/2020/Terms Change</v>
      </c>
    </row>
    <row r="583">
      <c r="A583" s="141">
        <f>IFERROR(__xludf.DUMMYFUNCTION("""COMPUTED_VALUE"""),43861.0)</f>
        <v>43861</v>
      </c>
      <c r="B583" s="140">
        <f>IFERROR(__xludf.DUMMYFUNCTION("""COMPUTED_VALUE"""),1014682.0)</f>
        <v>1014682</v>
      </c>
      <c r="C583" s="140" t="str">
        <f>IFERROR(__xludf.DUMMYFUNCTION("""COMPUTED_VALUE"""),"EN")</f>
        <v>EN</v>
      </c>
      <c r="D583" s="140" t="str">
        <f>IFERROR(__xludf.DUMMYFUNCTION("""COMPUTED_VALUE"""),"Manifesting Your Best Life with Deepak Chopra – Part 2")</f>
        <v>Manifesting Your Best Life with Deepak Chopra – Part 2</v>
      </c>
      <c r="F583" s="142" t="str">
        <f>IFERROR(__xludf.DUMMYFUNCTION("""COMPUTED_VALUE"""),"Deepak Chopra")</f>
        <v>Deepak Chopra</v>
      </c>
      <c r="G583" t="str">
        <f>IFERROR(__xludf.DUMMYFUNCTION("""COMPUTED_VALUE"""),"Instructor Request- Opted Out")</f>
        <v>Instructor Request- Opted Out</v>
      </c>
      <c r="H583" s="142" t="str">
        <f>IFERROR(__xludf.DUMMYFUNCTION("""COMPUTED_VALUE"""),"Personal Development")</f>
        <v>Personal Development</v>
      </c>
      <c r="I583" s="140" t="str">
        <f>IFERROR(__xludf.DUMMYFUNCTION("""COMPUTED_VALUE"""),"Stress Management")</f>
        <v>Stress Management</v>
      </c>
      <c r="J583">
        <f>IFERROR(__xludf.DUMMYFUNCTION("""COMPUTED_VALUE"""),2378232.0)</f>
        <v>2378232</v>
      </c>
      <c r="K583" s="140" t="str">
        <f>IFERROR(__xludf.DUMMYFUNCTION("""COMPUTED_VALUE"""),"Complete Personal Development Personal Transformation Course")</f>
        <v>Complete Personal Development Personal Transformation Course</v>
      </c>
      <c r="M583" s="140" t="str">
        <f>IFERROR(__xludf.DUMMYFUNCTION("""COMPUTED_VALUE"""),"")</f>
        <v/>
      </c>
    </row>
    <row r="584">
      <c r="A584" s="141">
        <f>IFERROR(__xludf.DUMMYFUNCTION("""COMPUTED_VALUE"""),43861.0)</f>
        <v>43861</v>
      </c>
      <c r="B584" s="140">
        <f>IFERROR(__xludf.DUMMYFUNCTION("""COMPUTED_VALUE"""),890572.0)</f>
        <v>890572</v>
      </c>
      <c r="C584" s="140" t="str">
        <f>IFERROR(__xludf.DUMMYFUNCTION("""COMPUTED_VALUE"""),"EN")</f>
        <v>EN</v>
      </c>
      <c r="D584" s="140" t="str">
        <f>IFERROR(__xludf.DUMMYFUNCTION("""COMPUTED_VALUE"""),"Access 2016 Intermediate")</f>
        <v>Access 2016 Intermediate</v>
      </c>
      <c r="F584" s="142" t="str">
        <f>IFERROR(__xludf.DUMMYFUNCTION("""COMPUTED_VALUE"""),"Intellezy Trainers")</f>
        <v>Intellezy Trainers</v>
      </c>
      <c r="G584" t="str">
        <f>IFERROR(__xludf.DUMMYFUNCTION("""COMPUTED_VALUE"""),"Instructor Request- Opted Out")</f>
        <v>Instructor Request- Opted Out</v>
      </c>
      <c r="H584" s="142" t="str">
        <f>IFERROR(__xludf.DUMMYFUNCTION("""COMPUTED_VALUE"""),"IT Operations")</f>
        <v>IT Operations</v>
      </c>
      <c r="I584" s="140" t="str">
        <f>IFERROR(__xludf.DUMMYFUNCTION("""COMPUTED_VALUE"""),"Database Administration")</f>
        <v>Database Administration</v>
      </c>
      <c r="J584">
        <f>IFERROR(__xludf.DUMMYFUNCTION("""COMPUTED_VALUE"""),845284.0)</f>
        <v>845284</v>
      </c>
      <c r="K584" s="140" t="str">
        <f>IFERROR(__xludf.DUMMYFUNCTION("""COMPUTED_VALUE"""),"Microsoft Access 2016 Master Class: Beginner to Advanced")</f>
        <v>Microsoft Access 2016 Master Class: Beginner to Advanced</v>
      </c>
      <c r="M584" s="140" t="str">
        <f>IFERROR(__xludf.DUMMYFUNCTION("""COMPUTED_VALUE"""),"")</f>
        <v/>
      </c>
      <c r="N584" s="140" t="str">
        <f>IFERROR(__xludf.DUMMYFUNCTION("""COMPUTED_VALUE"""),"Terms Change")</f>
        <v>Terms Change</v>
      </c>
    </row>
    <row r="585">
      <c r="A585" s="141">
        <f>IFERROR(__xludf.DUMMYFUNCTION("""COMPUTED_VALUE"""),43861.0)</f>
        <v>43861</v>
      </c>
      <c r="B585" s="140">
        <f>IFERROR(__xludf.DUMMYFUNCTION("""COMPUTED_VALUE"""),914336.0)</f>
        <v>914336</v>
      </c>
      <c r="C585" s="140" t="str">
        <f>IFERROR(__xludf.DUMMYFUNCTION("""COMPUTED_VALUE"""),"EN")</f>
        <v>EN</v>
      </c>
      <c r="D585" s="140" t="str">
        <f>IFERROR(__xludf.DUMMYFUNCTION("""COMPUTED_VALUE"""),"Outlook 2016 Introduction")</f>
        <v>Outlook 2016 Introduction</v>
      </c>
      <c r="F585" s="142" t="str">
        <f>IFERROR(__xludf.DUMMYFUNCTION("""COMPUTED_VALUE"""),"Intellezy Trainers")</f>
        <v>Intellezy Trainers</v>
      </c>
      <c r="G585" t="str">
        <f>IFERROR(__xludf.DUMMYFUNCTION("""COMPUTED_VALUE"""),"Instructor Request- Opted Out")</f>
        <v>Instructor Request- Opted Out</v>
      </c>
      <c r="H585" s="142" t="str">
        <f>IFERROR(__xludf.DUMMYFUNCTION("""COMPUTED_VALUE"""),"Office Productivity")</f>
        <v>Office Productivity</v>
      </c>
      <c r="I585" s="140" t="str">
        <f>IFERROR(__xludf.DUMMYFUNCTION("""COMPUTED_VALUE"""),"Email &amp; Productivity")</f>
        <v>Email &amp; Productivity</v>
      </c>
      <c r="J585">
        <f>IFERROR(__xludf.DUMMYFUNCTION("""COMPUTED_VALUE"""),969148.0)</f>
        <v>969148</v>
      </c>
      <c r="K585" s="140" t="str">
        <f>IFERROR(__xludf.DUMMYFUNCTION("""COMPUTED_VALUE"""),"Microsoft Outlook 2016: Beginner and Intermediate Training")</f>
        <v>Microsoft Outlook 2016: Beginner and Intermediate Training</v>
      </c>
      <c r="M585" s="140" t="str">
        <f>IFERROR(__xludf.DUMMYFUNCTION("""COMPUTED_VALUE"""),"")</f>
        <v/>
      </c>
      <c r="N585" s="140" t="str">
        <f>IFERROR(__xludf.DUMMYFUNCTION("""COMPUTED_VALUE"""),"Terms Change")</f>
        <v>Terms Change</v>
      </c>
    </row>
    <row r="586">
      <c r="A586" s="141">
        <f>IFERROR(__xludf.DUMMYFUNCTION("""COMPUTED_VALUE"""),43861.0)</f>
        <v>43861</v>
      </c>
      <c r="B586" s="140">
        <f>IFERROR(__xludf.DUMMYFUNCTION("""COMPUTED_VALUE"""),1096902.0)</f>
        <v>1096902</v>
      </c>
      <c r="C586" s="140" t="str">
        <f>IFERROR(__xludf.DUMMYFUNCTION("""COMPUTED_VALUE"""),"EN")</f>
        <v>EN</v>
      </c>
      <c r="D586" s="140" t="str">
        <f>IFERROR(__xludf.DUMMYFUNCTION("""COMPUTED_VALUE"""),"Tech Explorations™ Arduino Robotics with the mBot")</f>
        <v>Tech Explorations™ Arduino Robotics with the mBot</v>
      </c>
      <c r="F586" s="142" t="str">
        <f>IFERROR(__xludf.DUMMYFUNCTION("""COMPUTED_VALUE"""),"Dr. Peter Dalmaris")</f>
        <v>Dr. Peter Dalmaris</v>
      </c>
      <c r="G586" t="str">
        <f>IFERROR(__xludf.DUMMYFUNCTION("""COMPUTED_VALUE"""),"Instructor Request- Opted Out")</f>
        <v>Instructor Request- Opted Out</v>
      </c>
      <c r="H586" s="142" t="str">
        <f>IFERROR(__xludf.DUMMYFUNCTION("""COMPUTED_VALUE"""),"IT Operations")</f>
        <v>IT Operations</v>
      </c>
      <c r="I586" s="140" t="str">
        <f>IFERROR(__xludf.DUMMYFUNCTION("""COMPUTED_VALUE"""),"Hardware")</f>
        <v>Hardware</v>
      </c>
      <c r="K586" s="140" t="str">
        <f>IFERROR(__xludf.DUMMYFUNCTION("""COMPUTED_VALUE"""),"")</f>
        <v/>
      </c>
      <c r="M586" s="140" t="str">
        <f>IFERROR(__xludf.DUMMYFUNCTION("""COMPUTED_VALUE"""),"")</f>
        <v/>
      </c>
      <c r="N586" s="140" t="str">
        <f>IFERROR(__xludf.DUMMYFUNCTION("""COMPUTED_VALUE"""),"No alternatives in Collection- 1/29/2020/Terms Change")</f>
        <v>No alternatives in Collection- 1/29/2020/Terms Change</v>
      </c>
    </row>
    <row r="587">
      <c r="A587" s="141">
        <f>IFERROR(__xludf.DUMMYFUNCTION("""COMPUTED_VALUE"""),43861.0)</f>
        <v>43861</v>
      </c>
      <c r="B587" s="140">
        <f>IFERROR(__xludf.DUMMYFUNCTION("""COMPUTED_VALUE"""),1110626.0)</f>
        <v>1110626</v>
      </c>
      <c r="C587" s="140" t="str">
        <f>IFERROR(__xludf.DUMMYFUNCTION("""COMPUTED_VALUE"""),"EN")</f>
        <v>EN</v>
      </c>
      <c r="D587" s="140" t="str">
        <f>IFERROR(__xludf.DUMMYFUNCTION("""COMPUTED_VALUE"""),"RPG Core Combat Creator: Learn Intermediate Unity C# Coding")</f>
        <v>RPG Core Combat Creator: Learn Intermediate Unity C# Coding</v>
      </c>
      <c r="F587" s="142" t="str">
        <f>IFERROR(__xludf.DUMMYFUNCTION("""COMPUTED_VALUE"""),"Ben Tristem")</f>
        <v>Ben Tristem</v>
      </c>
      <c r="G587" t="str">
        <f>IFERROR(__xludf.DUMMYFUNCTION("""COMPUTED_VALUE"""),"Course Ineligible")</f>
        <v>Course Ineligible</v>
      </c>
      <c r="H587" s="142" t="str">
        <f>IFERROR(__xludf.DUMMYFUNCTION("""COMPUTED_VALUE"""),"Development")</f>
        <v>Development</v>
      </c>
      <c r="I587" s="140" t="str">
        <f>IFERROR(__xludf.DUMMYFUNCTION("""COMPUTED_VALUE"""),"Game Development")</f>
        <v>Game Development</v>
      </c>
      <c r="J587">
        <f>IFERROR(__xludf.DUMMYFUNCTION("""COMPUTED_VALUE"""),1974404.0)</f>
        <v>1974404</v>
      </c>
      <c r="K587" s="140" t="str">
        <f>IFERROR(__xludf.DUMMYFUNCTION("""COMPUTED_VALUE"""),"Learn To Create An RPG Game In Unity")</f>
        <v>Learn To Create An RPG Game In Unity</v>
      </c>
      <c r="M587" s="140" t="str">
        <f>IFERROR(__xludf.DUMMYFUNCTION("""COMPUTED_VALUE"""),"")</f>
        <v/>
      </c>
      <c r="N587" s="140" t="str">
        <f>IFERROR(__xludf.DUMMYFUNCTION("""COMPUTED_VALUE"""),"Terms Change")</f>
        <v>Terms Change</v>
      </c>
    </row>
    <row r="588">
      <c r="A588" s="141">
        <f>IFERROR(__xludf.DUMMYFUNCTION("""COMPUTED_VALUE"""),43861.0)</f>
        <v>43861</v>
      </c>
      <c r="B588" s="140">
        <f>IFERROR(__xludf.DUMMYFUNCTION("""COMPUTED_VALUE"""),1789462.0)</f>
        <v>1789462</v>
      </c>
      <c r="C588" s="140" t="str">
        <f>IFERROR(__xludf.DUMMYFUNCTION("""COMPUTED_VALUE"""),"DE")</f>
        <v>DE</v>
      </c>
      <c r="D588" s="140" t="str">
        <f>IFERROR(__xludf.DUMMYFUNCTION("""COMPUTED_VALUE"""),"Microsoft Office Outlook 2016: Teil 1 (Grundlagen)")</f>
        <v>Microsoft Office Outlook 2016: Teil 1 (Grundlagen)</v>
      </c>
      <c r="E588" s="140" t="str">
        <f>IFERROR(__xludf.DUMMYFUNCTION("""COMPUTED_VALUE"""),"Microsoft Office Outlook 2016: Part 1 (Basic)")</f>
        <v>Microsoft Office Outlook 2016: Part 1 (Basic)</v>
      </c>
      <c r="F588" s="142" t="str">
        <f>IFERROR(__xludf.DUMMYFUNCTION("""COMPUTED_VALUE"""),"SONIC Performance Support - E-Learning Experts")</f>
        <v>SONIC Performance Support - E-Learning Experts</v>
      </c>
      <c r="G588" t="str">
        <f>IFERROR(__xludf.DUMMYFUNCTION("""COMPUTED_VALUE"""),"Instructor Request- Opted Out")</f>
        <v>Instructor Request- Opted Out</v>
      </c>
      <c r="H588" s="142" t="str">
        <f>IFERROR(__xludf.DUMMYFUNCTION("""COMPUTED_VALUE"""),"Office Productivity")</f>
        <v>Office Productivity</v>
      </c>
      <c r="I588" s="140" t="str">
        <f>IFERROR(__xludf.DUMMYFUNCTION("""COMPUTED_VALUE"""),"Email &amp; Productivity")</f>
        <v>Email &amp; Productivity</v>
      </c>
      <c r="J588">
        <f>IFERROR(__xludf.DUMMYFUNCTION("""COMPUTED_VALUE"""),699850.0)</f>
        <v>699850</v>
      </c>
      <c r="K588" s="140" t="str">
        <f>IFERROR(__xludf.DUMMYFUNCTION("""COMPUTED_VALUE"""),"MS Outlook - Das ultimative Training vom Anfänger zum Profi")</f>
        <v>MS Outlook - Das ultimative Training vom Anfänger zum Profi</v>
      </c>
      <c r="M588" s="140" t="str">
        <f>IFERROR(__xludf.DUMMYFUNCTION("""COMPUTED_VALUE"""),"")</f>
        <v/>
      </c>
      <c r="N588" s="140" t="str">
        <f>IFERROR(__xludf.DUMMYFUNCTION("""COMPUTED_VALUE"""),"Terms Change - German Course")</f>
        <v>Terms Change - German Course</v>
      </c>
    </row>
    <row r="589">
      <c r="A589" s="141">
        <f>IFERROR(__xludf.DUMMYFUNCTION("""COMPUTED_VALUE"""),43861.0)</f>
        <v>43861</v>
      </c>
      <c r="B589" s="140">
        <f>IFERROR(__xludf.DUMMYFUNCTION("""COMPUTED_VALUE"""),1121560.0)</f>
        <v>1121560</v>
      </c>
      <c r="C589" s="140" t="str">
        <f>IFERROR(__xludf.DUMMYFUNCTION("""COMPUTED_VALUE"""),"EN")</f>
        <v>EN</v>
      </c>
      <c r="D589" s="140" t="str">
        <f>IFERROR(__xludf.DUMMYFUNCTION("""COMPUTED_VALUE"""),"Tech Explorations™ Arduino Mastery Projects")</f>
        <v>Tech Explorations™ Arduino Mastery Projects</v>
      </c>
      <c r="F589" s="142" t="str">
        <f>IFERROR(__xludf.DUMMYFUNCTION("""COMPUTED_VALUE"""),"Dr. Peter Dalmaris")</f>
        <v>Dr. Peter Dalmaris</v>
      </c>
      <c r="G589" t="str">
        <f>IFERROR(__xludf.DUMMYFUNCTION("""COMPUTED_VALUE"""),"Instructor Request- Opted Out")</f>
        <v>Instructor Request- Opted Out</v>
      </c>
      <c r="H589" s="142" t="str">
        <f>IFERROR(__xludf.DUMMYFUNCTION("""COMPUTED_VALUE"""),"IT Operations")</f>
        <v>IT Operations</v>
      </c>
      <c r="I589" s="140" t="str">
        <f>IFERROR(__xludf.DUMMYFUNCTION("""COMPUTED_VALUE"""),"Hardware")</f>
        <v>Hardware</v>
      </c>
      <c r="J589">
        <f>IFERROR(__xludf.DUMMYFUNCTION("""COMPUTED_VALUE"""),1001214.0)</f>
        <v>1001214</v>
      </c>
      <c r="K589" s="140" t="str">
        <f>IFERROR(__xludf.DUMMYFUNCTION("""COMPUTED_VALUE"""),"Arduino Bootcamp : Learning Through Projects")</f>
        <v>Arduino Bootcamp : Learning Through Projects</v>
      </c>
      <c r="M589" s="140" t="str">
        <f>IFERROR(__xludf.DUMMYFUNCTION("""COMPUTED_VALUE"""),"")</f>
        <v/>
      </c>
      <c r="N589" s="140" t="str">
        <f>IFERROR(__xludf.DUMMYFUNCTION("""COMPUTED_VALUE"""),"Terms Change")</f>
        <v>Terms Change</v>
      </c>
    </row>
    <row r="590">
      <c r="A590" s="141">
        <f>IFERROR(__xludf.DUMMYFUNCTION("""COMPUTED_VALUE"""),43858.0)</f>
        <v>43858</v>
      </c>
      <c r="B590" s="140">
        <f>IFERROR(__xludf.DUMMYFUNCTION("""COMPUTED_VALUE"""),494286.0)</f>
        <v>494286</v>
      </c>
      <c r="C590" s="140" t="str">
        <f>IFERROR(__xludf.DUMMYFUNCTION("""COMPUTED_VALUE"""),"EN")</f>
        <v>EN</v>
      </c>
      <c r="D590" s="140" t="str">
        <f>IFERROR(__xludf.DUMMYFUNCTION("""COMPUTED_VALUE"""),"Sexual Harassment Prevention for Managers")</f>
        <v>Sexual Harassment Prevention for Managers</v>
      </c>
      <c r="F590" s="142" t="str">
        <f>IFERROR(__xludf.DUMMYFUNCTION("""COMPUTED_VALUE"""),"LearnSmart LLC")</f>
        <v>LearnSmart LLC</v>
      </c>
      <c r="G590" t="str">
        <f>IFERROR(__xludf.DUMMYFUNCTION("""COMPUTED_VALUE"""),"Compliance")</f>
        <v>Compliance</v>
      </c>
      <c r="K590" s="140" t="str">
        <f>IFERROR(__xludf.DUMMYFUNCTION("""COMPUTED_VALUE"""),"")</f>
        <v/>
      </c>
      <c r="M590" s="140" t="str">
        <f>IFERROR(__xludf.DUMMYFUNCTION("""COMPUTED_VALUE"""),"")</f>
        <v/>
      </c>
      <c r="N590" s="140" t="str">
        <f>IFERROR(__xludf.DUMMYFUNCTION("""COMPUTED_VALUE"""),"Course not appropriate for UFB")</f>
        <v>Course not appropriate for UFB</v>
      </c>
    </row>
    <row r="591">
      <c r="A591" s="141">
        <f>IFERROR(__xludf.DUMMYFUNCTION("""COMPUTED_VALUE"""),43854.0)</f>
        <v>43854</v>
      </c>
      <c r="B591" s="140">
        <f>IFERROR(__xludf.DUMMYFUNCTION("""COMPUTED_VALUE"""),1803746.0)</f>
        <v>1803746</v>
      </c>
      <c r="C591" s="140" t="str">
        <f>IFERROR(__xludf.DUMMYFUNCTION("""COMPUTED_VALUE"""),"EN")</f>
        <v>EN</v>
      </c>
      <c r="D591" s="140" t="str">
        <f>IFERROR(__xludf.DUMMYFUNCTION("""COMPUTED_VALUE"""),"AWS Certified Cloud Practitioner Practice Exams")</f>
        <v>AWS Certified Cloud Practitioner Practice Exams</v>
      </c>
      <c r="F591" s="142" t="str">
        <f>IFERROR(__xludf.DUMMYFUNCTION("""COMPUTED_VALUE"""),"Certification Practice Exams")</f>
        <v>Certification Practice Exams</v>
      </c>
      <c r="G591" t="str">
        <f>IFERROR(__xludf.DUMMYFUNCTION("""COMPUTED_VALUE"""),"Instructor Practices")</f>
        <v>Instructor Practices</v>
      </c>
      <c r="H591" s="142" t="str">
        <f>IFERROR(__xludf.DUMMYFUNCTION("""COMPUTED_VALUE"""),"IT Operations")</f>
        <v>IT Operations</v>
      </c>
      <c r="I591" s="140" t="str">
        <f>IFERROR(__xludf.DUMMYFUNCTION("""COMPUTED_VALUE"""),"IT Certifications")</f>
        <v>IT Certifications</v>
      </c>
      <c r="J591">
        <f>IFERROR(__xludf.DUMMYFUNCTION("""COMPUTED_VALUE"""),1670116.0)</f>
        <v>1670116</v>
      </c>
      <c r="K591" s="140" t="str">
        <f>IFERROR(__xludf.DUMMYFUNCTION("""COMPUTED_VALUE"""),"AWS Certified Cloud Practitioner: 6 Full Practice Exams 2021")</f>
        <v>AWS Certified Cloud Practitioner: 6 Full Practice Exams 2021</v>
      </c>
      <c r="L591">
        <f>IFERROR(__xludf.DUMMYFUNCTION("""COMPUTED_VALUE"""),2059853.0)</f>
        <v>2059853</v>
      </c>
      <c r="M591" s="140" t="str">
        <f>IFERROR(__xludf.DUMMYFUNCTION("""COMPUTED_VALUE"""),"AWS Certified Cloud Practitioner 500 Practice Exam Questions")</f>
        <v>AWS Certified Cloud Practitioner 500 Practice Exam Questions</v>
      </c>
    </row>
    <row r="592">
      <c r="A592" s="141">
        <f>IFERROR(__xludf.DUMMYFUNCTION("""COMPUTED_VALUE"""),43854.0)</f>
        <v>43854</v>
      </c>
      <c r="B592" s="140">
        <f>IFERROR(__xludf.DUMMYFUNCTION("""COMPUTED_VALUE"""),1771078.0)</f>
        <v>1771078</v>
      </c>
      <c r="C592" s="140" t="str">
        <f>IFERROR(__xludf.DUMMYFUNCTION("""COMPUTED_VALUE"""),"EN")</f>
        <v>EN</v>
      </c>
      <c r="D592" s="140" t="str">
        <f>IFERROR(__xludf.DUMMYFUNCTION("""COMPUTED_VALUE"""),"AWS Solutions Architect – Associate SAA-C01 Practice Exams")</f>
        <v>AWS Solutions Architect – Associate SAA-C01 Practice Exams</v>
      </c>
      <c r="F592" s="142" t="str">
        <f>IFERROR(__xludf.DUMMYFUNCTION("""COMPUTED_VALUE"""),"Certification Practice Exams")</f>
        <v>Certification Practice Exams</v>
      </c>
      <c r="G592" t="str">
        <f>IFERROR(__xludf.DUMMYFUNCTION("""COMPUTED_VALUE"""),"Instructor Practices")</f>
        <v>Instructor Practices</v>
      </c>
      <c r="H592" s="142" t="str">
        <f>IFERROR(__xludf.DUMMYFUNCTION("""COMPUTED_VALUE"""),"IT Operations")</f>
        <v>IT Operations</v>
      </c>
      <c r="I592" s="140" t="str">
        <f>IFERROR(__xludf.DUMMYFUNCTION("""COMPUTED_VALUE"""),"IT Certifications")</f>
        <v>IT Certifications</v>
      </c>
      <c r="J592">
        <f>IFERROR(__xludf.DUMMYFUNCTION("""COMPUTED_VALUE"""),1878624.0)</f>
        <v>1878624</v>
      </c>
      <c r="K592" s="140" t="str">
        <f>IFERROR(__xludf.DUMMYFUNCTION("""COMPUTED_VALUE"""),"AWS Certified Solutions Architect Associate Practice Exams")</f>
        <v>AWS Certified Solutions Architect Associate Practice Exams</v>
      </c>
      <c r="L592" s="140">
        <f>IFERROR(__xludf.DUMMYFUNCTION("""COMPUTED_VALUE"""),1162310.0)</f>
        <v>1162310</v>
      </c>
      <c r="M592" s="140" t="str">
        <f>IFERROR(__xludf.DUMMYFUNCTION("""COMPUTED_VALUE"""),"Practice Test AWS Solutions Architect Associate SAA C02")</f>
        <v>Practice Test AWS Solutions Architect Associate SAA C02</v>
      </c>
    </row>
    <row r="593">
      <c r="A593" s="141">
        <f>IFERROR(__xludf.DUMMYFUNCTION("""COMPUTED_VALUE"""),43854.0)</f>
        <v>43854</v>
      </c>
      <c r="B593" s="140">
        <f>IFERROR(__xludf.DUMMYFUNCTION("""COMPUTED_VALUE"""),2422282.0)</f>
        <v>2422282</v>
      </c>
      <c r="C593" s="140" t="str">
        <f>IFERROR(__xludf.DUMMYFUNCTION("""COMPUTED_VALUE"""),"EN")</f>
        <v>EN</v>
      </c>
      <c r="D593" s="140" t="str">
        <f>IFERROR(__xludf.DUMMYFUNCTION("""COMPUTED_VALUE"""),"AWS Certified Big Data - Speciality Practice Exams")</f>
        <v>AWS Certified Big Data - Speciality Practice Exams</v>
      </c>
      <c r="F593" s="142" t="str">
        <f>IFERROR(__xludf.DUMMYFUNCTION("""COMPUTED_VALUE"""),"Certification Practice Exams")</f>
        <v>Certification Practice Exams</v>
      </c>
      <c r="G593" t="str">
        <f>IFERROR(__xludf.DUMMYFUNCTION("""COMPUTED_VALUE"""),"Instructor Practices")</f>
        <v>Instructor Practices</v>
      </c>
      <c r="H593" s="142" t="str">
        <f>IFERROR(__xludf.DUMMYFUNCTION("""COMPUTED_VALUE"""),"IT Operations")</f>
        <v>IT Operations</v>
      </c>
      <c r="I593" s="140" t="str">
        <f>IFERROR(__xludf.DUMMYFUNCTION("""COMPUTED_VALUE"""),"IT Certifications")</f>
        <v>IT Certifications</v>
      </c>
      <c r="J593">
        <f>IFERROR(__xludf.DUMMYFUNCTION("""COMPUTED_VALUE"""),2253706.0)</f>
        <v>2253706</v>
      </c>
      <c r="K593" s="140" t="str">
        <f>IFERROR(__xludf.DUMMYFUNCTION("""COMPUTED_VALUE"""),"AWS Certified Data Analytics Specialty 2021 - Hands On!")</f>
        <v>AWS Certified Data Analytics Specialty 2021 - Hands On!</v>
      </c>
      <c r="M593" s="140" t="str">
        <f>IFERROR(__xludf.DUMMYFUNCTION("""COMPUTED_VALUE"""),"")</f>
        <v/>
      </c>
    </row>
    <row r="594">
      <c r="A594" s="141">
        <f>IFERROR(__xludf.DUMMYFUNCTION("""COMPUTED_VALUE"""),43838.0)</f>
        <v>43838</v>
      </c>
      <c r="B594" s="140">
        <f>IFERROR(__xludf.DUMMYFUNCTION("""COMPUTED_VALUE"""),2034074.0)</f>
        <v>2034074</v>
      </c>
      <c r="C594" s="140" t="str">
        <f>IFERROR(__xludf.DUMMYFUNCTION("""COMPUTED_VALUE"""),"ES")</f>
        <v>ES</v>
      </c>
      <c r="D594" s="140" t="str">
        <f>IFERROR(__xludf.DUMMYFUNCTION("""COMPUTED_VALUE"""),"✔Master en [ RECUPERACIÓN ] de Datos Informáticos. Año 2020.")</f>
        <v>✔Master en [ RECUPERACIÓN ] de Datos Informáticos. Año 2020.</v>
      </c>
      <c r="E594" s="140" t="str">
        <f>IFERROR(__xludf.DUMMYFUNCTION("""COMPUTED_VALUE"""),"✔Master in [RECOVERY] Data Computer. 2020.")</f>
        <v>✔Master in [RECOVERY] Data Computer. 2020.</v>
      </c>
      <c r="F594" t="str">
        <f>IFERROR(__xludf.DUMMYFUNCTION("""COMPUTED_VALUE"""),"Alvaro Chirou")</f>
        <v>Alvaro Chirou</v>
      </c>
      <c r="G594" t="str">
        <f>IFERROR(__xludf.DUMMYFUNCTION("""COMPUTED_VALUE"""),"Copyright")</f>
        <v>Copyright</v>
      </c>
      <c r="H594" s="142" t="str">
        <f>IFERROR(__xludf.DUMMYFUNCTION("""COMPUTED_VALUE"""),"IT Operations")</f>
        <v>IT Operations</v>
      </c>
      <c r="I594" s="140" t="str">
        <f>IFERROR(__xludf.DUMMYFUNCTION("""COMPUTED_VALUE"""),"Network &amp; Security")</f>
        <v>Network &amp; Security</v>
      </c>
      <c r="K594" s="140" t="str">
        <f>IFERROR(__xludf.DUMMYFUNCTION("""COMPUTED_VALUE"""),"")</f>
        <v/>
      </c>
      <c r="M594" s="140" t="str">
        <f>IFERROR(__xludf.DUMMYFUNCTION("""COMPUTED_VALUE"""),"")</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tr">
        <f>IFERROR(__xludf.DUMMYFUNCTION("IMPORTRANGE(""https://docs.google.com/spreadsheets/d/1-PGtQfbeuiWnM5yK4JbSPcN2oBJ9Xk5oQx_g5stVnf0"",""Removed 2019!A:o"")"),"Date")</f>
        <v>Date</v>
      </c>
      <c r="B1" s="140" t="str">
        <f>IFERROR(__xludf.DUMMYFUNCTION("""COMPUTED_VALUE"""),"Course ID")</f>
        <v>Course ID</v>
      </c>
      <c r="C1" s="140" t="str">
        <f>IFERROR(__xludf.DUMMYFUNCTION("""COMPUTED_VALUE"""),"Language")</f>
        <v>Language</v>
      </c>
      <c r="D1" t="str">
        <f>IFERROR(__xludf.DUMMYFUNCTION("""COMPUTED_VALUE"""),"Course Title")</f>
        <v>Course Title</v>
      </c>
      <c r="E1" t="str">
        <f>IFERROR(__xludf.DUMMYFUNCTION("""COMPUTED_VALUE"""),"Instructor")</f>
        <v>Instructor</v>
      </c>
      <c r="F1" t="str">
        <f>IFERROR(__xludf.DUMMYFUNCTION("""COMPUTED_VALUE"""),"Reason")</f>
        <v>Reason</v>
      </c>
      <c r="G1" t="str">
        <f>IFERROR(__xludf.DUMMYFUNCTION("""COMPUTED_VALUE"""),"Category")</f>
        <v>Category</v>
      </c>
      <c r="H1" t="str">
        <f>IFERROR(__xludf.DUMMYFUNCTION("""COMPUTED_VALUE"""),"Subcategory")</f>
        <v>Subcategory</v>
      </c>
      <c r="I1" t="str">
        <f>IFERROR(__xludf.DUMMYFUNCTION("""COMPUTED_VALUE"""),"Replacement CourseID 1")</f>
        <v>Replacement CourseID 1</v>
      </c>
      <c r="J1" t="str">
        <f>IFERROR(__xludf.DUMMYFUNCTION("""COMPUTED_VALUE"""),"Replacement Course Title 1")</f>
        <v>Replacement Course Title 1</v>
      </c>
      <c r="K1" t="str">
        <f>IFERROR(__xludf.DUMMYFUNCTION("""COMPUTED_VALUE"""),"Replacement CourseID 2")</f>
        <v>Replacement CourseID 2</v>
      </c>
      <c r="L1" t="str">
        <f>IFERROR(__xludf.DUMMYFUNCTION("""COMPUTED_VALUE"""),"Replacement Course Title 2")</f>
        <v>Replacement Course Title 2</v>
      </c>
      <c r="M1" t="str">
        <f>IFERROR(__xludf.DUMMYFUNCTION("""COMPUTED_VALUE"""),"Notes")</f>
        <v>Notes</v>
      </c>
    </row>
    <row r="2">
      <c r="A2" s="141">
        <f>IFERROR(__xludf.DUMMYFUNCTION("""COMPUTED_VALUE"""),43819.0)</f>
        <v>43819</v>
      </c>
      <c r="B2" s="140">
        <f>IFERROR(__xludf.DUMMYFUNCTION("""COMPUTED_VALUE"""),1232296.0)</f>
        <v>1232296</v>
      </c>
      <c r="C2" s="140" t="str">
        <f>IFERROR(__xludf.DUMMYFUNCTION("""COMPUTED_VALUE"""),"EN")</f>
        <v>EN</v>
      </c>
      <c r="D2" s="140" t="str">
        <f>IFERROR(__xludf.DUMMYFUNCTION("""COMPUTED_VALUE"""),"Find and Fix Fraud at Your Company")</f>
        <v>Find and Fix Fraud at Your Company</v>
      </c>
      <c r="E2" t="str">
        <f>IFERROR(__xludf.DUMMYFUNCTION("""COMPUTED_VALUE"""),"Illumeo Learning")</f>
        <v>Illumeo Learning</v>
      </c>
      <c r="F2" t="str">
        <f>IFERROR(__xludf.DUMMYFUNCTION("""COMPUTED_VALUE"""),"Instructor Request- Opted Out")</f>
        <v>Instructor Request- Opted Out</v>
      </c>
      <c r="G2" s="142" t="str">
        <f>IFERROR(__xludf.DUMMYFUNCTION("""COMPUTED_VALUE"""),"Development")</f>
        <v>Development</v>
      </c>
      <c r="H2" s="140" t="str">
        <f>IFERROR(__xludf.DUMMYFUNCTION("""COMPUTED_VALUE"""),"Programming Languages")</f>
        <v>Programming Languages</v>
      </c>
      <c r="I2">
        <f>IFERROR(__xludf.DUMMYFUNCTION("""COMPUTED_VALUE"""),1249164.0)</f>
        <v>1249164</v>
      </c>
      <c r="J2" s="140" t="str">
        <f>IFERROR(__xludf.DUMMYFUNCTION("""COMPUTED_VALUE"""),"Corporate Internal Controls and Fraud Controls")</f>
        <v>Corporate Internal Controls and Fraud Controls</v>
      </c>
      <c r="L2" s="140" t="str">
        <f>IFERROR(__xludf.DUMMYFUNCTION("""COMPUTED_VALUE"""),"")</f>
        <v/>
      </c>
    </row>
    <row r="3">
      <c r="A3" s="141">
        <f>IFERROR(__xludf.DUMMYFUNCTION("""COMPUTED_VALUE"""),43819.0)</f>
        <v>43819</v>
      </c>
      <c r="B3" s="140">
        <f>IFERROR(__xludf.DUMMYFUNCTION("""COMPUTED_VALUE"""),1328226.0)</f>
        <v>1328226</v>
      </c>
      <c r="C3" s="140" t="str">
        <f>IFERROR(__xludf.DUMMYFUNCTION("""COMPUTED_VALUE"""),"EN")</f>
        <v>EN</v>
      </c>
      <c r="D3" s="140" t="str">
        <f>IFERROR(__xludf.DUMMYFUNCTION("""COMPUTED_VALUE"""),"Introduction to Corporate Information Security")</f>
        <v>Introduction to Corporate Information Security</v>
      </c>
      <c r="E3" t="str">
        <f>IFERROR(__xludf.DUMMYFUNCTION("""COMPUTED_VALUE"""),"Illumeo Learning")</f>
        <v>Illumeo Learning</v>
      </c>
      <c r="F3" t="str">
        <f>IFERROR(__xludf.DUMMYFUNCTION("""COMPUTED_VALUE"""),"Instructor Request- Opted Out")</f>
        <v>Instructor Request- Opted Out</v>
      </c>
      <c r="G3" s="142" t="str">
        <f>IFERROR(__xludf.DUMMYFUNCTION("""COMPUTED_VALUE"""),"Development")</f>
        <v>Development</v>
      </c>
      <c r="H3" s="140" t="str">
        <f>IFERROR(__xludf.DUMMYFUNCTION("""COMPUTED_VALUE"""),"Programming Languages")</f>
        <v>Programming Languages</v>
      </c>
      <c r="I3">
        <f>IFERROR(__xludf.DUMMYFUNCTION("""COMPUTED_VALUE"""),1046104.0)</f>
        <v>1046104</v>
      </c>
      <c r="J3" s="140" t="str">
        <f>IFERROR(__xludf.DUMMYFUNCTION("""COMPUTED_VALUE"""),"Information Security Awareness-ISO 27001:2013")</f>
        <v>Information Security Awareness-ISO 27001:2013</v>
      </c>
      <c r="L3" s="140" t="str">
        <f>IFERROR(__xludf.DUMMYFUNCTION("""COMPUTED_VALUE"""),"")</f>
        <v/>
      </c>
    </row>
    <row r="4">
      <c r="A4" s="141">
        <f>IFERROR(__xludf.DUMMYFUNCTION("""COMPUTED_VALUE"""),43819.0)</f>
        <v>43819</v>
      </c>
      <c r="B4" s="140">
        <f>IFERROR(__xludf.DUMMYFUNCTION("""COMPUTED_VALUE"""),1230950.0)</f>
        <v>1230950</v>
      </c>
      <c r="C4" s="140" t="str">
        <f>IFERROR(__xludf.DUMMYFUNCTION("""COMPUTED_VALUE"""),"EN")</f>
        <v>EN</v>
      </c>
      <c r="D4" s="140" t="str">
        <f>IFERROR(__xludf.DUMMYFUNCTION("""COMPUTED_VALUE"""),"The Fast Route to a Faster Financial Close")</f>
        <v>The Fast Route to a Faster Financial Close</v>
      </c>
      <c r="E4" t="str">
        <f>IFERROR(__xludf.DUMMYFUNCTION("""COMPUTED_VALUE"""),"Illumeo Learning")</f>
        <v>Illumeo Learning</v>
      </c>
      <c r="F4" t="str">
        <f>IFERROR(__xludf.DUMMYFUNCTION("""COMPUTED_VALUE"""),"Instructor Request- Opted Out")</f>
        <v>Instructor Request- Opted Out</v>
      </c>
      <c r="G4" s="142" t="str">
        <f>IFERROR(__xludf.DUMMYFUNCTION("""COMPUTED_VALUE"""),"Finance &amp; Accounting")</f>
        <v>Finance &amp; Accounting</v>
      </c>
      <c r="H4" s="140" t="str">
        <f>IFERROR(__xludf.DUMMYFUNCTION("""COMPUTED_VALUE"""),"Accounting")</f>
        <v>Accounting</v>
      </c>
      <c r="J4" s="140" t="str">
        <f>IFERROR(__xludf.DUMMYFUNCTION("""COMPUTED_VALUE"""),"")</f>
        <v/>
      </c>
      <c r="L4" s="140" t="str">
        <f>IFERROR(__xludf.DUMMYFUNCTION("""COMPUTED_VALUE"""),"")</f>
        <v/>
      </c>
    </row>
    <row r="5">
      <c r="A5" s="141">
        <f>IFERROR(__xludf.DUMMYFUNCTION("""COMPUTED_VALUE"""),43819.0)</f>
        <v>43819</v>
      </c>
      <c r="B5" s="140">
        <f>IFERROR(__xludf.DUMMYFUNCTION("""COMPUTED_VALUE"""),1231188.0)</f>
        <v>1231188</v>
      </c>
      <c r="C5" s="140" t="str">
        <f>IFERROR(__xludf.DUMMYFUNCTION("""COMPUTED_VALUE"""),"EN")</f>
        <v>EN</v>
      </c>
      <c r="D5" s="140" t="str">
        <f>IFERROR(__xludf.DUMMYFUNCTION("""COMPUTED_VALUE"""),"Effective Executive Presentation Skills")</f>
        <v>Effective Executive Presentation Skills</v>
      </c>
      <c r="E5" t="str">
        <f>IFERROR(__xludf.DUMMYFUNCTION("""COMPUTED_VALUE"""),"Illumeo Learning")</f>
        <v>Illumeo Learning</v>
      </c>
      <c r="F5" t="str">
        <f>IFERROR(__xludf.DUMMYFUNCTION("""COMPUTED_VALUE"""),"Instructor Request- Opted Out")</f>
        <v>Instructor Request- Opted Out</v>
      </c>
      <c r="G5" s="142" t="str">
        <f>IFERROR(__xludf.DUMMYFUNCTION("""COMPUTED_VALUE"""),"Leadership &amp; Management")</f>
        <v>Leadership &amp; Management</v>
      </c>
      <c r="H5" s="140" t="str">
        <f>IFERROR(__xludf.DUMMYFUNCTION("""COMPUTED_VALUE"""),"Communication")</f>
        <v>Communication</v>
      </c>
      <c r="I5">
        <f>IFERROR(__xludf.DUMMYFUNCTION("""COMPUTED_VALUE"""),1361318.0)</f>
        <v>1361318</v>
      </c>
      <c r="J5" s="140" t="str">
        <f>IFERROR(__xludf.DUMMYFUNCTION("""COMPUTED_VALUE"""),"Presentation Skills: Give More Powerful, Memorable Talks")</f>
        <v>Presentation Skills: Give More Powerful, Memorable Talks</v>
      </c>
      <c r="K5">
        <f>IFERROR(__xludf.DUMMYFUNCTION("""COMPUTED_VALUE"""),1689362.0)</f>
        <v>1689362</v>
      </c>
      <c r="L5" s="140" t="str">
        <f>IFERROR(__xludf.DUMMYFUNCTION("""COMPUTED_VALUE"""),"Complete Presentation Skills Masterclass for Every Occasion")</f>
        <v>Complete Presentation Skills Masterclass for Every Occasion</v>
      </c>
    </row>
    <row r="6">
      <c r="A6" s="141">
        <f>IFERROR(__xludf.DUMMYFUNCTION("""COMPUTED_VALUE"""),43819.0)</f>
        <v>43819</v>
      </c>
      <c r="B6" s="140">
        <f>IFERROR(__xludf.DUMMYFUNCTION("""COMPUTED_VALUE"""),1231330.0)</f>
        <v>1231330</v>
      </c>
      <c r="C6" s="140" t="str">
        <f>IFERROR(__xludf.DUMMYFUNCTION("""COMPUTED_VALUE"""),"EN")</f>
        <v>EN</v>
      </c>
      <c r="D6" s="140" t="str">
        <f>IFERROR(__xludf.DUMMYFUNCTION("""COMPUTED_VALUE"""),"Avoiding Common Mistakes New Managers Make")</f>
        <v>Avoiding Common Mistakes New Managers Make</v>
      </c>
      <c r="E6" t="str">
        <f>IFERROR(__xludf.DUMMYFUNCTION("""COMPUTED_VALUE"""),"Illumeo Learning")</f>
        <v>Illumeo Learning</v>
      </c>
      <c r="F6" t="str">
        <f>IFERROR(__xludf.DUMMYFUNCTION("""COMPUTED_VALUE"""),"Instructor Request- Opted Out")</f>
        <v>Instructor Request- Opted Out</v>
      </c>
      <c r="G6" s="142" t="str">
        <f>IFERROR(__xludf.DUMMYFUNCTION("""COMPUTED_VALUE"""),"Leadership &amp; Management")</f>
        <v>Leadership &amp; Management</v>
      </c>
      <c r="H6" s="140" t="str">
        <f>IFERROR(__xludf.DUMMYFUNCTION("""COMPUTED_VALUE"""),"Leadership")</f>
        <v>Leadership</v>
      </c>
      <c r="I6">
        <f>IFERROR(__xludf.DUMMYFUNCTION("""COMPUTED_VALUE"""),988524.0)</f>
        <v>988524</v>
      </c>
      <c r="J6" s="140" t="str">
        <f>IFERROR(__xludf.DUMMYFUNCTION("""COMPUTED_VALUE"""),"Management Skills: New Manager Training in Essential Skills")</f>
        <v>Management Skills: New Manager Training in Essential Skills</v>
      </c>
      <c r="L6" s="140" t="str">
        <f>IFERROR(__xludf.DUMMYFUNCTION("""COMPUTED_VALUE"""),"")</f>
        <v/>
      </c>
    </row>
    <row r="7">
      <c r="A7" s="141">
        <f>IFERROR(__xludf.DUMMYFUNCTION("""COMPUTED_VALUE"""),43819.0)</f>
        <v>43819</v>
      </c>
      <c r="B7" s="140">
        <f>IFERROR(__xludf.DUMMYFUNCTION("""COMPUTED_VALUE"""),1231958.0)</f>
        <v>1231958</v>
      </c>
      <c r="C7" s="140" t="str">
        <f>IFERROR(__xludf.DUMMYFUNCTION("""COMPUTED_VALUE"""),"EN")</f>
        <v>EN</v>
      </c>
      <c r="D7" s="140" t="str">
        <f>IFERROR(__xludf.DUMMYFUNCTION("""COMPUTED_VALUE"""),"60 Minutes to Fundamental Accounting Skills")</f>
        <v>60 Minutes to Fundamental Accounting Skills</v>
      </c>
      <c r="E7" t="str">
        <f>IFERROR(__xludf.DUMMYFUNCTION("""COMPUTED_VALUE"""),"Illumeo Learning")</f>
        <v>Illumeo Learning</v>
      </c>
      <c r="F7" t="str">
        <f>IFERROR(__xludf.DUMMYFUNCTION("""COMPUTED_VALUE"""),"Instructor Request- Opted Out")</f>
        <v>Instructor Request- Opted Out</v>
      </c>
      <c r="G7" s="142" t="str">
        <f>IFERROR(__xludf.DUMMYFUNCTION("""COMPUTED_VALUE"""),"Finance &amp; Accounting")</f>
        <v>Finance &amp; Accounting</v>
      </c>
      <c r="H7" s="140" t="str">
        <f>IFERROR(__xludf.DUMMYFUNCTION("""COMPUTED_VALUE"""),"Accounting")</f>
        <v>Accounting</v>
      </c>
      <c r="I7">
        <f>IFERROR(__xludf.DUMMYFUNCTION("""COMPUTED_VALUE"""),640100.0)</f>
        <v>640100</v>
      </c>
      <c r="J7" s="140" t="str">
        <f>IFERROR(__xludf.DUMMYFUNCTION("""COMPUTED_VALUE"""),"Accounting &amp; Financial Statement Analysis: Complete Training")</f>
        <v>Accounting &amp; Financial Statement Analysis: Complete Training</v>
      </c>
      <c r="L7" s="140" t="str">
        <f>IFERROR(__xludf.DUMMYFUNCTION("""COMPUTED_VALUE"""),"")</f>
        <v/>
      </c>
    </row>
    <row r="8">
      <c r="A8" s="141">
        <f>IFERROR(__xludf.DUMMYFUNCTION("""COMPUTED_VALUE"""),43819.0)</f>
        <v>43819</v>
      </c>
      <c r="B8" s="140">
        <f>IFERROR(__xludf.DUMMYFUNCTION("""COMPUTED_VALUE"""),1232312.0)</f>
        <v>1232312</v>
      </c>
      <c r="C8" s="140" t="str">
        <f>IFERROR(__xludf.DUMMYFUNCTION("""COMPUTED_VALUE"""),"EN")</f>
        <v>EN</v>
      </c>
      <c r="D8" s="140" t="str">
        <f>IFERROR(__xludf.DUMMYFUNCTION("""COMPUTED_VALUE"""),"Core Financial Statement Concepts")</f>
        <v>Core Financial Statement Concepts</v>
      </c>
      <c r="E8" t="str">
        <f>IFERROR(__xludf.DUMMYFUNCTION("""COMPUTED_VALUE"""),"Illumeo Learning")</f>
        <v>Illumeo Learning</v>
      </c>
      <c r="F8" t="str">
        <f>IFERROR(__xludf.DUMMYFUNCTION("""COMPUTED_VALUE"""),"Instructor Request- Opted Out")</f>
        <v>Instructor Request- Opted Out</v>
      </c>
      <c r="G8" s="142" t="str">
        <f>IFERROR(__xludf.DUMMYFUNCTION("""COMPUTED_VALUE"""),"Finance &amp; Accounting")</f>
        <v>Finance &amp; Accounting</v>
      </c>
      <c r="H8" s="140" t="str">
        <f>IFERROR(__xludf.DUMMYFUNCTION("""COMPUTED_VALUE"""),"Accounting")</f>
        <v>Accounting</v>
      </c>
      <c r="I8">
        <f>IFERROR(__xludf.DUMMYFUNCTION("""COMPUTED_VALUE"""),648826.0)</f>
        <v>648826</v>
      </c>
      <c r="J8" s="140" t="str">
        <f>IFERROR(__xludf.DUMMYFUNCTION("""COMPUTED_VALUE"""),"The Complete Financial Analyst Course 2021")</f>
        <v>The Complete Financial Analyst Course 2021</v>
      </c>
      <c r="L8" s="140" t="str">
        <f>IFERROR(__xludf.DUMMYFUNCTION("""COMPUTED_VALUE"""),"")</f>
        <v/>
      </c>
    </row>
    <row r="9">
      <c r="A9" s="141">
        <f>IFERROR(__xludf.DUMMYFUNCTION("""COMPUTED_VALUE"""),43819.0)</f>
        <v>43819</v>
      </c>
      <c r="B9" s="140">
        <f>IFERROR(__xludf.DUMMYFUNCTION("""COMPUTED_VALUE"""),1232390.0)</f>
        <v>1232390</v>
      </c>
      <c r="C9" s="140" t="str">
        <f>IFERROR(__xludf.DUMMYFUNCTION("""COMPUTED_VALUE"""),"EN")</f>
        <v>EN</v>
      </c>
      <c r="D9" s="140" t="str">
        <f>IFERROR(__xludf.DUMMYFUNCTION("""COMPUTED_VALUE"""),"Corporate Ethics")</f>
        <v>Corporate Ethics</v>
      </c>
      <c r="E9" t="str">
        <f>IFERROR(__xludf.DUMMYFUNCTION("""COMPUTED_VALUE"""),"Illumeo Learning")</f>
        <v>Illumeo Learning</v>
      </c>
      <c r="F9" t="str">
        <f>IFERROR(__xludf.DUMMYFUNCTION("""COMPUTED_VALUE"""),"Instructor Request- Opted Out")</f>
        <v>Instructor Request- Opted Out</v>
      </c>
      <c r="G9" s="142" t="str">
        <f>IFERROR(__xludf.DUMMYFUNCTION("""COMPUTED_VALUE"""),"Human Resources")</f>
        <v>Human Resources</v>
      </c>
      <c r="H9" s="140" t="str">
        <f>IFERROR(__xludf.DUMMYFUNCTION("""COMPUTED_VALUE"""),"Compliance")</f>
        <v>Compliance</v>
      </c>
      <c r="J9" s="140" t="str">
        <f>IFERROR(__xludf.DUMMYFUNCTION("""COMPUTED_VALUE"""),"")</f>
        <v/>
      </c>
      <c r="L9" s="140" t="str">
        <f>IFERROR(__xludf.DUMMYFUNCTION("""COMPUTED_VALUE"""),"")</f>
        <v/>
      </c>
    </row>
    <row r="10">
      <c r="A10" s="141">
        <f>IFERROR(__xludf.DUMMYFUNCTION("""COMPUTED_VALUE"""),43819.0)</f>
        <v>43819</v>
      </c>
      <c r="B10" s="140">
        <f>IFERROR(__xludf.DUMMYFUNCTION("""COMPUTED_VALUE"""),1233302.0)</f>
        <v>1233302</v>
      </c>
      <c r="C10" s="140" t="str">
        <f>IFERROR(__xludf.DUMMYFUNCTION("""COMPUTED_VALUE"""),"EN")</f>
        <v>EN</v>
      </c>
      <c r="D10" s="140" t="str">
        <f>IFERROR(__xludf.DUMMYFUNCTION("""COMPUTED_VALUE"""),"Ratio Analysis for Financial Statements")</f>
        <v>Ratio Analysis for Financial Statements</v>
      </c>
      <c r="E10" t="str">
        <f>IFERROR(__xludf.DUMMYFUNCTION("""COMPUTED_VALUE"""),"Illumeo Learning")</f>
        <v>Illumeo Learning</v>
      </c>
      <c r="F10" t="str">
        <f>IFERROR(__xludf.DUMMYFUNCTION("""COMPUTED_VALUE"""),"Instructor Request- Opted Out")</f>
        <v>Instructor Request- Opted Out</v>
      </c>
      <c r="G10" s="142" t="str">
        <f>IFERROR(__xludf.DUMMYFUNCTION("""COMPUTED_VALUE"""),"Finance &amp; Accounting")</f>
        <v>Finance &amp; Accounting</v>
      </c>
      <c r="H10" s="140" t="str">
        <f>IFERROR(__xludf.DUMMYFUNCTION("""COMPUTED_VALUE"""),"Accounting")</f>
        <v>Accounting</v>
      </c>
      <c r="I10">
        <f>IFERROR(__xludf.DUMMYFUNCTION("""COMPUTED_VALUE"""),640100.0)</f>
        <v>640100</v>
      </c>
      <c r="J10" s="140" t="str">
        <f>IFERROR(__xludf.DUMMYFUNCTION("""COMPUTED_VALUE"""),"Accounting &amp; Financial Statement Analysis: Complete Training")</f>
        <v>Accounting &amp; Financial Statement Analysis: Complete Training</v>
      </c>
      <c r="L10" s="140" t="str">
        <f>IFERROR(__xludf.DUMMYFUNCTION("""COMPUTED_VALUE"""),"")</f>
        <v/>
      </c>
    </row>
    <row r="11">
      <c r="A11" s="141">
        <f>IFERROR(__xludf.DUMMYFUNCTION("""COMPUTED_VALUE"""),43819.0)</f>
        <v>43819</v>
      </c>
      <c r="B11" s="140">
        <f>IFERROR(__xludf.DUMMYFUNCTION("""COMPUTED_VALUE"""),1233314.0)</f>
        <v>1233314</v>
      </c>
      <c r="C11" s="140" t="str">
        <f>IFERROR(__xludf.DUMMYFUNCTION("""COMPUTED_VALUE"""),"EN")</f>
        <v>EN</v>
      </c>
      <c r="D11" s="140" t="str">
        <f>IFERROR(__xludf.DUMMYFUNCTION("""COMPUTED_VALUE"""),"Building a Balanced Scorecard")</f>
        <v>Building a Balanced Scorecard</v>
      </c>
      <c r="E11" t="str">
        <f>IFERROR(__xludf.DUMMYFUNCTION("""COMPUTED_VALUE"""),"Illumeo Learning")</f>
        <v>Illumeo Learning</v>
      </c>
      <c r="F11" t="str">
        <f>IFERROR(__xludf.DUMMYFUNCTION("""COMPUTED_VALUE"""),"Instructor Request- Opted Out")</f>
        <v>Instructor Request- Opted Out</v>
      </c>
      <c r="G11" s="142" t="str">
        <f>IFERROR(__xludf.DUMMYFUNCTION("""COMPUTED_VALUE"""),"Leadership &amp; Management")</f>
        <v>Leadership &amp; Management</v>
      </c>
      <c r="H11" s="140" t="str">
        <f>IFERROR(__xludf.DUMMYFUNCTION("""COMPUTED_VALUE"""),"Strategy")</f>
        <v>Strategy</v>
      </c>
      <c r="I11">
        <f>IFERROR(__xludf.DUMMYFUNCTION("""COMPUTED_VALUE"""),1102182.0)</f>
        <v>1102182</v>
      </c>
      <c r="J11" s="140" t="str">
        <f>IFERROR(__xludf.DUMMYFUNCTION("""COMPUTED_VALUE"""),"")</f>
        <v/>
      </c>
      <c r="L11" s="140" t="str">
        <f>IFERROR(__xludf.DUMMYFUNCTION("""COMPUTED_VALUE"""),"")</f>
        <v/>
      </c>
    </row>
    <row r="12">
      <c r="A12" s="141">
        <f>IFERROR(__xludf.DUMMYFUNCTION("""COMPUTED_VALUE"""),43819.0)</f>
        <v>43819</v>
      </c>
      <c r="B12" s="140">
        <f>IFERROR(__xludf.DUMMYFUNCTION("""COMPUTED_VALUE"""),1245472.0)</f>
        <v>1245472</v>
      </c>
      <c r="C12" s="140" t="str">
        <f>IFERROR(__xludf.DUMMYFUNCTION("""COMPUTED_VALUE"""),"EN")</f>
        <v>EN</v>
      </c>
      <c r="D12" s="140" t="str">
        <f>IFERROR(__xludf.DUMMYFUNCTION("""COMPUTED_VALUE"""),"Proper Segregation of Duties for Internal Control")</f>
        <v>Proper Segregation of Duties for Internal Control</v>
      </c>
      <c r="E12" t="str">
        <f>IFERROR(__xludf.DUMMYFUNCTION("""COMPUTED_VALUE"""),"Illumeo Learning")</f>
        <v>Illumeo Learning</v>
      </c>
      <c r="F12" t="str">
        <f>IFERROR(__xludf.DUMMYFUNCTION("""COMPUTED_VALUE"""),"Instructor Request- Opted Out")</f>
        <v>Instructor Request- Opted Out</v>
      </c>
      <c r="G12" s="142" t="str">
        <f>IFERROR(__xludf.DUMMYFUNCTION("""COMPUTED_VALUE"""),"Human Resources")</f>
        <v>Human Resources</v>
      </c>
      <c r="H12" s="140" t="str">
        <f>IFERROR(__xludf.DUMMYFUNCTION("""COMPUTED_VALUE"""),"Compliance")</f>
        <v>Compliance</v>
      </c>
      <c r="J12" s="140" t="str">
        <f>IFERROR(__xludf.DUMMYFUNCTION("""COMPUTED_VALUE"""),"")</f>
        <v/>
      </c>
      <c r="L12" s="140" t="str">
        <f>IFERROR(__xludf.DUMMYFUNCTION("""COMPUTED_VALUE"""),"")</f>
        <v/>
      </c>
    </row>
    <row r="13">
      <c r="A13" s="141">
        <f>IFERROR(__xludf.DUMMYFUNCTION("""COMPUTED_VALUE"""),43819.0)</f>
        <v>43819</v>
      </c>
      <c r="B13" s="140">
        <f>IFERROR(__xludf.DUMMYFUNCTION("""COMPUTED_VALUE"""),1245502.0)</f>
        <v>1245502</v>
      </c>
      <c r="C13" s="140" t="str">
        <f>IFERROR(__xludf.DUMMYFUNCTION("""COMPUTED_VALUE"""),"EN")</f>
        <v>EN</v>
      </c>
      <c r="D13" s="140" t="str">
        <f>IFERROR(__xludf.DUMMYFUNCTION("""COMPUTED_VALUE"""),"Why EQ Trumps IQ")</f>
        <v>Why EQ Trumps IQ</v>
      </c>
      <c r="E13" t="str">
        <f>IFERROR(__xludf.DUMMYFUNCTION("""COMPUTED_VALUE"""),"Illumeo Learning")</f>
        <v>Illumeo Learning</v>
      </c>
      <c r="F13" t="str">
        <f>IFERROR(__xludf.DUMMYFUNCTION("""COMPUTED_VALUE"""),"Instructor Request- Opted Out")</f>
        <v>Instructor Request- Opted Out</v>
      </c>
      <c r="G13" s="142" t="str">
        <f>IFERROR(__xludf.DUMMYFUNCTION("""COMPUTED_VALUE"""),"Leadership &amp; Management")</f>
        <v>Leadership &amp; Management</v>
      </c>
      <c r="H13" s="140" t="str">
        <f>IFERROR(__xludf.DUMMYFUNCTION("""COMPUTED_VALUE"""),"Leadership")</f>
        <v>Leadership</v>
      </c>
      <c r="I13">
        <f>IFERROR(__xludf.DUMMYFUNCTION("""COMPUTED_VALUE"""),440332.0)</f>
        <v>440332</v>
      </c>
      <c r="J13" s="140" t="str">
        <f>IFERROR(__xludf.DUMMYFUNCTION("""COMPUTED_VALUE"""),"Leadership: How to Become an Effective CEO, Leader, Manager")</f>
        <v>Leadership: How to Become an Effective CEO, Leader, Manager</v>
      </c>
      <c r="L13" s="140" t="str">
        <f>IFERROR(__xludf.DUMMYFUNCTION("""COMPUTED_VALUE"""),"")</f>
        <v/>
      </c>
    </row>
    <row r="14">
      <c r="A14" s="141">
        <f>IFERROR(__xludf.DUMMYFUNCTION("""COMPUTED_VALUE"""),43819.0)</f>
        <v>43819</v>
      </c>
      <c r="B14" s="140">
        <f>IFERROR(__xludf.DUMMYFUNCTION("""COMPUTED_VALUE"""),1245542.0)</f>
        <v>1245542</v>
      </c>
      <c r="C14" s="140" t="str">
        <f>IFERROR(__xludf.DUMMYFUNCTION("""COMPUTED_VALUE"""),"EN")</f>
        <v>EN</v>
      </c>
      <c r="D14" s="140" t="str">
        <f>IFERROR(__xludf.DUMMYFUNCTION("""COMPUTED_VALUE"""),"How to Become a Corporate Leader")</f>
        <v>How to Become a Corporate Leader</v>
      </c>
      <c r="E14" t="str">
        <f>IFERROR(__xludf.DUMMYFUNCTION("""COMPUTED_VALUE"""),"Illumeo Learning")</f>
        <v>Illumeo Learning</v>
      </c>
      <c r="F14" t="str">
        <f>IFERROR(__xludf.DUMMYFUNCTION("""COMPUTED_VALUE"""),"Instructor Request- Opted Out")</f>
        <v>Instructor Request- Opted Out</v>
      </c>
      <c r="G14" s="142" t="str">
        <f>IFERROR(__xludf.DUMMYFUNCTION("""COMPUTED_VALUE"""),"Leadership &amp; Management")</f>
        <v>Leadership &amp; Management</v>
      </c>
      <c r="H14" s="140" t="str">
        <f>IFERROR(__xludf.DUMMYFUNCTION("""COMPUTED_VALUE"""),"Leadership")</f>
        <v>Leadership</v>
      </c>
      <c r="I14">
        <f>IFERROR(__xludf.DUMMYFUNCTION("""COMPUTED_VALUE"""),344418.0)</f>
        <v>344418</v>
      </c>
      <c r="J14" s="140" t="str">
        <f>IFERROR(__xludf.DUMMYFUNCTION("""COMPUTED_VALUE"""),"How to Use Leadership Styles Effectively: Matched Leadership")</f>
        <v>How to Use Leadership Styles Effectively: Matched Leadership</v>
      </c>
      <c r="L14" s="140" t="str">
        <f>IFERROR(__xludf.DUMMYFUNCTION("""COMPUTED_VALUE"""),"")</f>
        <v/>
      </c>
    </row>
    <row r="15">
      <c r="A15" s="141">
        <f>IFERROR(__xludf.DUMMYFUNCTION("""COMPUTED_VALUE"""),43819.0)</f>
        <v>43819</v>
      </c>
      <c r="B15" s="140">
        <f>IFERROR(__xludf.DUMMYFUNCTION("""COMPUTED_VALUE"""),1248864.0)</f>
        <v>1248864</v>
      </c>
      <c r="C15" s="140" t="str">
        <f>IFERROR(__xludf.DUMMYFUNCTION("""COMPUTED_VALUE"""),"EN")</f>
        <v>EN</v>
      </c>
      <c r="D15" s="140" t="str">
        <f>IFERROR(__xludf.DUMMYFUNCTION("""COMPUTED_VALUE"""),"Understanding Yourself and Others Through Myers-Briggs®")</f>
        <v>Understanding Yourself and Others Through Myers-Briggs®</v>
      </c>
      <c r="E15" t="str">
        <f>IFERROR(__xludf.DUMMYFUNCTION("""COMPUTED_VALUE"""),"Illumeo Learning")</f>
        <v>Illumeo Learning</v>
      </c>
      <c r="F15" t="str">
        <f>IFERROR(__xludf.DUMMYFUNCTION("""COMPUTED_VALUE"""),"Instructor Request- Opted Out")</f>
        <v>Instructor Request- Opted Out</v>
      </c>
      <c r="G15" s="142" t="str">
        <f>IFERROR(__xludf.DUMMYFUNCTION("""COMPUTED_VALUE"""),"Human Resources")</f>
        <v>Human Resources</v>
      </c>
      <c r="H15" s="140" t="str">
        <f>IFERROR(__xludf.DUMMYFUNCTION("""COMPUTED_VALUE"""),"Talent Management")</f>
        <v>Talent Management</v>
      </c>
      <c r="J15" s="140" t="str">
        <f>IFERROR(__xludf.DUMMYFUNCTION("""COMPUTED_VALUE"""),"")</f>
        <v/>
      </c>
      <c r="L15" s="140" t="str">
        <f>IFERROR(__xludf.DUMMYFUNCTION("""COMPUTED_VALUE"""),"")</f>
        <v/>
      </c>
    </row>
    <row r="16">
      <c r="A16" s="141">
        <f>IFERROR(__xludf.DUMMYFUNCTION("""COMPUTED_VALUE"""),43819.0)</f>
        <v>43819</v>
      </c>
      <c r="B16" s="140">
        <f>IFERROR(__xludf.DUMMYFUNCTION("""COMPUTED_VALUE"""),1249146.0)</f>
        <v>1249146</v>
      </c>
      <c r="C16" s="140" t="str">
        <f>IFERROR(__xludf.DUMMYFUNCTION("""COMPUTED_VALUE"""),"EN")</f>
        <v>EN</v>
      </c>
      <c r="D16" s="140" t="str">
        <f>IFERROR(__xludf.DUMMYFUNCTION("""COMPUTED_VALUE"""),"Planning and Executing a Financial Statement Audit")</f>
        <v>Planning and Executing a Financial Statement Audit</v>
      </c>
      <c r="E16" t="str">
        <f>IFERROR(__xludf.DUMMYFUNCTION("""COMPUTED_VALUE"""),"Illumeo Learning")</f>
        <v>Illumeo Learning</v>
      </c>
      <c r="F16" t="str">
        <f>IFERROR(__xludf.DUMMYFUNCTION("""COMPUTED_VALUE"""),"Instructor Request- Opted Out")</f>
        <v>Instructor Request- Opted Out</v>
      </c>
      <c r="G16" s="142" t="str">
        <f>IFERROR(__xludf.DUMMYFUNCTION("""COMPUTED_VALUE"""),"Finance &amp; Accounting")</f>
        <v>Finance &amp; Accounting</v>
      </c>
      <c r="H16" s="140" t="str">
        <f>IFERROR(__xludf.DUMMYFUNCTION("""COMPUTED_VALUE"""),"Accounting")</f>
        <v>Accounting</v>
      </c>
      <c r="I16">
        <f>IFERROR(__xludf.DUMMYFUNCTION("""COMPUTED_VALUE"""),1258666.0)</f>
        <v>1258666</v>
      </c>
      <c r="J16" s="140" t="str">
        <f>IFERROR(__xludf.DUMMYFUNCTION("""COMPUTED_VALUE"""),"")</f>
        <v/>
      </c>
      <c r="L16" s="140" t="str">
        <f>IFERROR(__xludf.DUMMYFUNCTION("""COMPUTED_VALUE"""),"")</f>
        <v/>
      </c>
    </row>
    <row r="17">
      <c r="A17" s="141">
        <f>IFERROR(__xludf.DUMMYFUNCTION("""COMPUTED_VALUE"""),43819.0)</f>
        <v>43819</v>
      </c>
      <c r="B17" s="140">
        <f>IFERROR(__xludf.DUMMYFUNCTION("""COMPUTED_VALUE"""),1249164.0)</f>
        <v>1249164</v>
      </c>
      <c r="C17" s="140" t="str">
        <f>IFERROR(__xludf.DUMMYFUNCTION("""COMPUTED_VALUE"""),"EN")</f>
        <v>EN</v>
      </c>
      <c r="D17" s="140" t="str">
        <f>IFERROR(__xludf.DUMMYFUNCTION("""COMPUTED_VALUE"""),"Corporate Internal Controls and Fraud Controls")</f>
        <v>Corporate Internal Controls and Fraud Controls</v>
      </c>
      <c r="E17" t="str">
        <f>IFERROR(__xludf.DUMMYFUNCTION("""COMPUTED_VALUE"""),"Illumeo Learning")</f>
        <v>Illumeo Learning</v>
      </c>
      <c r="F17" t="str">
        <f>IFERROR(__xludf.DUMMYFUNCTION("""COMPUTED_VALUE"""),"Instructor Request- Opted Out")</f>
        <v>Instructor Request- Opted Out</v>
      </c>
      <c r="G17" s="142" t="str">
        <f>IFERROR(__xludf.DUMMYFUNCTION("""COMPUTED_VALUE"""),"Finance &amp; Accounting")</f>
        <v>Finance &amp; Accounting</v>
      </c>
      <c r="H17" s="140" t="str">
        <f>IFERROR(__xludf.DUMMYFUNCTION("""COMPUTED_VALUE"""),"Accounting")</f>
        <v>Accounting</v>
      </c>
      <c r="J17" s="140" t="str">
        <f>IFERROR(__xludf.DUMMYFUNCTION("""COMPUTED_VALUE"""),"")</f>
        <v/>
      </c>
      <c r="L17" s="140" t="str">
        <f>IFERROR(__xludf.DUMMYFUNCTION("""COMPUTED_VALUE"""),"")</f>
        <v/>
      </c>
    </row>
    <row r="18">
      <c r="A18" s="141">
        <f>IFERROR(__xludf.DUMMYFUNCTION("""COMPUTED_VALUE"""),43819.0)</f>
        <v>43819</v>
      </c>
      <c r="B18" s="140">
        <f>IFERROR(__xludf.DUMMYFUNCTION("""COMPUTED_VALUE"""),1251642.0)</f>
        <v>1251642</v>
      </c>
      <c r="C18" s="140" t="str">
        <f>IFERROR(__xludf.DUMMYFUNCTION("""COMPUTED_VALUE"""),"EN")</f>
        <v>EN</v>
      </c>
      <c r="D18" s="140" t="str">
        <f>IFERROR(__xludf.DUMMYFUNCTION("""COMPUTED_VALUE"""),"Discovering the Leader Within You")</f>
        <v>Discovering the Leader Within You</v>
      </c>
      <c r="E18" t="str">
        <f>IFERROR(__xludf.DUMMYFUNCTION("""COMPUTED_VALUE"""),"Illumeo Learning")</f>
        <v>Illumeo Learning</v>
      </c>
      <c r="F18" t="str">
        <f>IFERROR(__xludf.DUMMYFUNCTION("""COMPUTED_VALUE"""),"Instructor Request- Opted Out")</f>
        <v>Instructor Request- Opted Out</v>
      </c>
      <c r="G18" s="142" t="str">
        <f>IFERROR(__xludf.DUMMYFUNCTION("""COMPUTED_VALUE"""),"Leadership &amp; Management")</f>
        <v>Leadership &amp; Management</v>
      </c>
      <c r="H18" s="140" t="str">
        <f>IFERROR(__xludf.DUMMYFUNCTION("""COMPUTED_VALUE"""),"Leadership")</f>
        <v>Leadership</v>
      </c>
      <c r="I18">
        <f>IFERROR(__xludf.DUMMYFUNCTION("""COMPUTED_VALUE"""),344418.0)</f>
        <v>344418</v>
      </c>
      <c r="J18" s="140" t="str">
        <f>IFERROR(__xludf.DUMMYFUNCTION("""COMPUTED_VALUE"""),"How to Use Leadership Styles Effectively: Matched Leadership")</f>
        <v>How to Use Leadership Styles Effectively: Matched Leadership</v>
      </c>
      <c r="L18" s="140" t="str">
        <f>IFERROR(__xludf.DUMMYFUNCTION("""COMPUTED_VALUE"""),"")</f>
        <v/>
      </c>
    </row>
    <row r="19">
      <c r="A19" s="141">
        <f>IFERROR(__xludf.DUMMYFUNCTION("""COMPUTED_VALUE"""),43819.0)</f>
        <v>43819</v>
      </c>
      <c r="B19" s="140">
        <f>IFERROR(__xludf.DUMMYFUNCTION("""COMPUTED_VALUE"""),1251756.0)</f>
        <v>1251756</v>
      </c>
      <c r="C19" s="140" t="str">
        <f>IFERROR(__xludf.DUMMYFUNCTION("""COMPUTED_VALUE"""),"EN")</f>
        <v>EN</v>
      </c>
      <c r="D19" s="140" t="str">
        <f>IFERROR(__xludf.DUMMYFUNCTION("""COMPUTED_VALUE"""),"Effective Strategies for Managing E-mail")</f>
        <v>Effective Strategies for Managing E-mail</v>
      </c>
      <c r="E19" t="str">
        <f>IFERROR(__xludf.DUMMYFUNCTION("""COMPUTED_VALUE"""),"Illumeo Learning")</f>
        <v>Illumeo Learning</v>
      </c>
      <c r="F19" t="str">
        <f>IFERROR(__xludf.DUMMYFUNCTION("""COMPUTED_VALUE"""),"Instructor Request- Opted Out")</f>
        <v>Instructor Request- Opted Out</v>
      </c>
      <c r="G19" s="142" t="str">
        <f>IFERROR(__xludf.DUMMYFUNCTION("""COMPUTED_VALUE"""),"Office Productivity")</f>
        <v>Office Productivity</v>
      </c>
      <c r="H19" s="140" t="str">
        <f>IFERROR(__xludf.DUMMYFUNCTION("""COMPUTED_VALUE"""),"Email &amp; Productivity")</f>
        <v>Email &amp; Productivity</v>
      </c>
      <c r="J19" s="140" t="str">
        <f>IFERROR(__xludf.DUMMYFUNCTION("""COMPUTED_VALUE"""),"")</f>
        <v/>
      </c>
      <c r="L19" s="140" t="str">
        <f>IFERROR(__xludf.DUMMYFUNCTION("""COMPUTED_VALUE"""),"")</f>
        <v/>
      </c>
    </row>
    <row r="20">
      <c r="A20" s="141">
        <f>IFERROR(__xludf.DUMMYFUNCTION("""COMPUTED_VALUE"""),43819.0)</f>
        <v>43819</v>
      </c>
      <c r="B20" s="140">
        <f>IFERROR(__xludf.DUMMYFUNCTION("""COMPUTED_VALUE"""),1258666.0)</f>
        <v>1258666</v>
      </c>
      <c r="C20" s="140" t="str">
        <f>IFERROR(__xludf.DUMMYFUNCTION("""COMPUTED_VALUE"""),"EN")</f>
        <v>EN</v>
      </c>
      <c r="D20" s="140" t="str">
        <f>IFERROR(__xludf.DUMMYFUNCTION("""COMPUTED_VALUE"""),"Financial Statement Auditing Cycles")</f>
        <v>Financial Statement Auditing Cycles</v>
      </c>
      <c r="E20" t="str">
        <f>IFERROR(__xludf.DUMMYFUNCTION("""COMPUTED_VALUE"""),"Illumeo Learning")</f>
        <v>Illumeo Learning</v>
      </c>
      <c r="F20" t="str">
        <f>IFERROR(__xludf.DUMMYFUNCTION("""COMPUTED_VALUE"""),"Instructor Request- Opted Out")</f>
        <v>Instructor Request- Opted Out</v>
      </c>
      <c r="G20" s="142" t="str">
        <f>IFERROR(__xludf.DUMMYFUNCTION("""COMPUTED_VALUE"""),"Finance &amp; Accounting")</f>
        <v>Finance &amp; Accounting</v>
      </c>
      <c r="H20" s="140" t="str">
        <f>IFERROR(__xludf.DUMMYFUNCTION("""COMPUTED_VALUE"""),"Accounting")</f>
        <v>Accounting</v>
      </c>
      <c r="J20" s="140" t="str">
        <f>IFERROR(__xludf.DUMMYFUNCTION("""COMPUTED_VALUE"""),"")</f>
        <v/>
      </c>
      <c r="L20" s="140" t="str">
        <f>IFERROR(__xludf.DUMMYFUNCTION("""COMPUTED_VALUE"""),"")</f>
        <v/>
      </c>
    </row>
    <row r="21">
      <c r="A21" s="141">
        <f>IFERROR(__xludf.DUMMYFUNCTION("""COMPUTED_VALUE"""),43819.0)</f>
        <v>43819</v>
      </c>
      <c r="B21" s="140">
        <f>IFERROR(__xludf.DUMMYFUNCTION("""COMPUTED_VALUE"""),1260300.0)</f>
        <v>1260300</v>
      </c>
      <c r="C21" s="140" t="str">
        <f>IFERROR(__xludf.DUMMYFUNCTION("""COMPUTED_VALUE"""),"EN")</f>
        <v>EN</v>
      </c>
      <c r="D21" s="140" t="str">
        <f>IFERROR(__xludf.DUMMYFUNCTION("""COMPUTED_VALUE"""),"Ethical Decision Making Framework")</f>
        <v>Ethical Decision Making Framework</v>
      </c>
      <c r="E21" t="str">
        <f>IFERROR(__xludf.DUMMYFUNCTION("""COMPUTED_VALUE"""),"Illumeo Learning")</f>
        <v>Illumeo Learning</v>
      </c>
      <c r="F21" t="str">
        <f>IFERROR(__xludf.DUMMYFUNCTION("""COMPUTED_VALUE"""),"Instructor Request- Opted Out")</f>
        <v>Instructor Request- Opted Out</v>
      </c>
      <c r="G21" s="142" t="str">
        <f>IFERROR(__xludf.DUMMYFUNCTION("""COMPUTED_VALUE"""),"Leadership &amp; Management")</f>
        <v>Leadership &amp; Management</v>
      </c>
      <c r="H21" s="140" t="str">
        <f>IFERROR(__xludf.DUMMYFUNCTION("""COMPUTED_VALUE"""),"Leadership")</f>
        <v>Leadership</v>
      </c>
      <c r="I21">
        <f>IFERROR(__xludf.DUMMYFUNCTION("""COMPUTED_VALUE"""),1266526.0)</f>
        <v>1266526</v>
      </c>
      <c r="J21" s="140" t="str">
        <f>IFERROR(__xludf.DUMMYFUNCTION("""COMPUTED_VALUE"""),"Master your Decision-Making, and Critical Thinking Skills !")</f>
        <v>Master your Decision-Making, and Critical Thinking Skills !</v>
      </c>
      <c r="L21" s="140" t="str">
        <f>IFERROR(__xludf.DUMMYFUNCTION("""COMPUTED_VALUE"""),"")</f>
        <v/>
      </c>
    </row>
    <row r="22">
      <c r="A22" s="141">
        <f>IFERROR(__xludf.DUMMYFUNCTION("""COMPUTED_VALUE"""),43819.0)</f>
        <v>43819</v>
      </c>
      <c r="B22" s="140">
        <f>IFERROR(__xludf.DUMMYFUNCTION("""COMPUTED_VALUE"""),1260426.0)</f>
        <v>1260426</v>
      </c>
      <c r="C22" s="140" t="str">
        <f>IFERROR(__xludf.DUMMYFUNCTION("""COMPUTED_VALUE"""),"EN")</f>
        <v>EN</v>
      </c>
      <c r="D22" s="140" t="str">
        <f>IFERROR(__xludf.DUMMYFUNCTION("""COMPUTED_VALUE"""),"Effectively Create Goals and Set Priorities")</f>
        <v>Effectively Create Goals and Set Priorities</v>
      </c>
      <c r="E22" t="str">
        <f>IFERROR(__xludf.DUMMYFUNCTION("""COMPUTED_VALUE"""),"Illumeo Learning")</f>
        <v>Illumeo Learning</v>
      </c>
      <c r="F22" t="str">
        <f>IFERROR(__xludf.DUMMYFUNCTION("""COMPUTED_VALUE"""),"Instructor Request- Opted Out")</f>
        <v>Instructor Request- Opted Out</v>
      </c>
      <c r="G22" s="142" t="str">
        <f>IFERROR(__xludf.DUMMYFUNCTION("""COMPUTED_VALUE"""),"Personal Development")</f>
        <v>Personal Development</v>
      </c>
      <c r="H22" s="140" t="str">
        <f>IFERROR(__xludf.DUMMYFUNCTION("""COMPUTED_VALUE"""),"Personal Growth")</f>
        <v>Personal Growth</v>
      </c>
      <c r="I22">
        <f>IFERROR(__xludf.DUMMYFUNCTION("""COMPUTED_VALUE"""),698200.0)</f>
        <v>698200</v>
      </c>
      <c r="J22" s="140" t="str">
        <f>IFERROR(__xludf.DUMMYFUNCTION("""COMPUTED_VALUE"""),"Success: How to Set and Achieve Goals")</f>
        <v>Success: How to Set and Achieve Goals</v>
      </c>
      <c r="L22" s="140" t="str">
        <f>IFERROR(__xludf.DUMMYFUNCTION("""COMPUTED_VALUE"""),"")</f>
        <v/>
      </c>
    </row>
    <row r="23">
      <c r="A23" s="141">
        <f>IFERROR(__xludf.DUMMYFUNCTION("""COMPUTED_VALUE"""),43819.0)</f>
        <v>43819</v>
      </c>
      <c r="B23" s="140">
        <f>IFERROR(__xludf.DUMMYFUNCTION("""COMPUTED_VALUE"""),1261644.0)</f>
        <v>1261644</v>
      </c>
      <c r="C23" s="140" t="str">
        <f>IFERROR(__xludf.DUMMYFUNCTION("""COMPUTED_VALUE"""),"EN")</f>
        <v>EN</v>
      </c>
      <c r="D23" s="140" t="str">
        <f>IFERROR(__xludf.DUMMYFUNCTION("""COMPUTED_VALUE"""),"Building an Effective Corporate Code of Conduct")</f>
        <v>Building an Effective Corporate Code of Conduct</v>
      </c>
      <c r="E23" t="str">
        <f>IFERROR(__xludf.DUMMYFUNCTION("""COMPUTED_VALUE"""),"Illumeo Learning")</f>
        <v>Illumeo Learning</v>
      </c>
      <c r="F23" t="str">
        <f>IFERROR(__xludf.DUMMYFUNCTION("""COMPUTED_VALUE"""),"Instructor Request- Opted Out")</f>
        <v>Instructor Request- Opted Out</v>
      </c>
      <c r="G23" s="142" t="str">
        <f>IFERROR(__xludf.DUMMYFUNCTION("""COMPUTED_VALUE"""),"Human Resources")</f>
        <v>Human Resources</v>
      </c>
      <c r="H23" s="140" t="str">
        <f>IFERROR(__xludf.DUMMYFUNCTION("""COMPUTED_VALUE"""),"Compliance")</f>
        <v>Compliance</v>
      </c>
      <c r="J23" s="140" t="str">
        <f>IFERROR(__xludf.DUMMYFUNCTION("""COMPUTED_VALUE"""),"")</f>
        <v/>
      </c>
      <c r="L23" s="140" t="str">
        <f>IFERROR(__xludf.DUMMYFUNCTION("""COMPUTED_VALUE"""),"")</f>
        <v/>
      </c>
    </row>
    <row r="24">
      <c r="A24" s="141">
        <f>IFERROR(__xludf.DUMMYFUNCTION("""COMPUTED_VALUE"""),43819.0)</f>
        <v>43819</v>
      </c>
      <c r="B24" s="140">
        <f>IFERROR(__xludf.DUMMYFUNCTION("""COMPUTED_VALUE"""),1261762.0)</f>
        <v>1261762</v>
      </c>
      <c r="C24" s="140" t="str">
        <f>IFERROR(__xludf.DUMMYFUNCTION("""COMPUTED_VALUE"""),"EN")</f>
        <v>EN</v>
      </c>
      <c r="D24" s="140" t="str">
        <f>IFERROR(__xludf.DUMMYFUNCTION("""COMPUTED_VALUE"""),"PCI (Payment Card) Standards for Corporate Professionals")</f>
        <v>PCI (Payment Card) Standards for Corporate Professionals</v>
      </c>
      <c r="E24" t="str">
        <f>IFERROR(__xludf.DUMMYFUNCTION("""COMPUTED_VALUE"""),"Illumeo Learning")</f>
        <v>Illumeo Learning</v>
      </c>
      <c r="F24" t="str">
        <f>IFERROR(__xludf.DUMMYFUNCTION("""COMPUTED_VALUE"""),"Instructor Request- Opted Out")</f>
        <v>Instructor Request- Opted Out</v>
      </c>
      <c r="G24" s="142" t="str">
        <f>IFERROR(__xludf.DUMMYFUNCTION("""COMPUTED_VALUE"""),"Finance &amp; Accounting")</f>
        <v>Finance &amp; Accounting</v>
      </c>
      <c r="H24" s="140" t="str">
        <f>IFERROR(__xludf.DUMMYFUNCTION("""COMPUTED_VALUE"""),"Accounting")</f>
        <v>Accounting</v>
      </c>
      <c r="I24">
        <f>IFERROR(__xludf.DUMMYFUNCTION("""COMPUTED_VALUE"""),530608.0)</f>
        <v>530608</v>
      </c>
      <c r="J24" s="140" t="str">
        <f>IFERROR(__xludf.DUMMYFUNCTION("""COMPUTED_VALUE"""),"Credit Card Security Basics")</f>
        <v>Credit Card Security Basics</v>
      </c>
      <c r="L24" s="140" t="str">
        <f>IFERROR(__xludf.DUMMYFUNCTION("""COMPUTED_VALUE"""),"")</f>
        <v/>
      </c>
    </row>
    <row r="25">
      <c r="A25" s="141">
        <f>IFERROR(__xludf.DUMMYFUNCTION("""COMPUTED_VALUE"""),43819.0)</f>
        <v>43819</v>
      </c>
      <c r="B25" s="140">
        <f>IFERROR(__xludf.DUMMYFUNCTION("""COMPUTED_VALUE"""),1263000.0)</f>
        <v>1263000</v>
      </c>
      <c r="C25" s="140" t="str">
        <f>IFERROR(__xludf.DUMMYFUNCTION("""COMPUTED_VALUE"""),"EN")</f>
        <v>EN</v>
      </c>
      <c r="D25" s="140" t="str">
        <f>IFERROR(__xludf.DUMMYFUNCTION("""COMPUTED_VALUE"""),"Administrative Human Resources (HR) for Beginners")</f>
        <v>Administrative Human Resources (HR) for Beginners</v>
      </c>
      <c r="E25" t="str">
        <f>IFERROR(__xludf.DUMMYFUNCTION("""COMPUTED_VALUE"""),"Illumeo Learning")</f>
        <v>Illumeo Learning</v>
      </c>
      <c r="F25" t="str">
        <f>IFERROR(__xludf.DUMMYFUNCTION("""COMPUTED_VALUE"""),"Instructor Request- Opted Out")</f>
        <v>Instructor Request- Opted Out</v>
      </c>
      <c r="G25" s="142" t="str">
        <f>IFERROR(__xludf.DUMMYFUNCTION("""COMPUTED_VALUE"""),"Human Resources")</f>
        <v>Human Resources</v>
      </c>
      <c r="H25" s="140" t="str">
        <f>IFERROR(__xludf.DUMMYFUNCTION("""COMPUTED_VALUE"""),"Human Resources Fundamentals")</f>
        <v>Human Resources Fundamentals</v>
      </c>
      <c r="I25">
        <f>IFERROR(__xludf.DUMMYFUNCTION("""COMPUTED_VALUE"""),379374.0)</f>
        <v>379374</v>
      </c>
      <c r="J25" s="140" t="str">
        <f>IFERROR(__xludf.DUMMYFUNCTION("""COMPUTED_VALUE"""),"Learn HR Fundamentals for a Career in Human Resources")</f>
        <v>Learn HR Fundamentals for a Career in Human Resources</v>
      </c>
      <c r="L25" s="140" t="str">
        <f>IFERROR(__xludf.DUMMYFUNCTION("""COMPUTED_VALUE"""),"")</f>
        <v/>
      </c>
    </row>
    <row r="26">
      <c r="A26" s="141">
        <f>IFERROR(__xludf.DUMMYFUNCTION("""COMPUTED_VALUE"""),43819.0)</f>
        <v>43819</v>
      </c>
      <c r="B26" s="140">
        <f>IFERROR(__xludf.DUMMYFUNCTION("""COMPUTED_VALUE"""),1264998.0)</f>
        <v>1264998</v>
      </c>
      <c r="C26" s="140" t="str">
        <f>IFERROR(__xludf.DUMMYFUNCTION("""COMPUTED_VALUE"""),"EN")</f>
        <v>EN</v>
      </c>
      <c r="D26" s="140" t="str">
        <f>IFERROR(__xludf.DUMMYFUNCTION("""COMPUTED_VALUE"""),"Questions that Sell")</f>
        <v>Questions that Sell</v>
      </c>
      <c r="E26" t="str">
        <f>IFERROR(__xludf.DUMMYFUNCTION("""COMPUTED_VALUE"""),"Illumeo Learning")</f>
        <v>Illumeo Learning</v>
      </c>
      <c r="F26" t="str">
        <f>IFERROR(__xludf.DUMMYFUNCTION("""COMPUTED_VALUE"""),"Instructor Request- Opted Out")</f>
        <v>Instructor Request- Opted Out</v>
      </c>
      <c r="G26" s="142" t="str">
        <f>IFERROR(__xludf.DUMMYFUNCTION("""COMPUTED_VALUE"""),"Sales")</f>
        <v>Sales</v>
      </c>
      <c r="H26" s="140" t="str">
        <f>IFERROR(__xludf.DUMMYFUNCTION("""COMPUTED_VALUE"""),"Sales Skills &amp; Tools")</f>
        <v>Sales Skills &amp; Tools</v>
      </c>
      <c r="I26">
        <f>IFERROR(__xludf.DUMMYFUNCTION("""COMPUTED_VALUE"""),563478.0)</f>
        <v>563478</v>
      </c>
      <c r="J26" s="140" t="str">
        <f>IFERROR(__xludf.DUMMYFUNCTION("""COMPUTED_VALUE"""),"Sales Training: Practical Sales Techniques")</f>
        <v>Sales Training: Practical Sales Techniques</v>
      </c>
      <c r="K26">
        <f>IFERROR(__xludf.DUMMYFUNCTION("""COMPUTED_VALUE"""),619692.0)</f>
        <v>619692</v>
      </c>
      <c r="L26" s="140" t="str">
        <f>IFERROR(__xludf.DUMMYFUNCTION("""COMPUTED_VALUE"""),"Learn to Sell Anything by Grant Cardone")</f>
        <v>Learn to Sell Anything by Grant Cardone</v>
      </c>
    </row>
    <row r="27">
      <c r="A27" s="141">
        <f>IFERROR(__xludf.DUMMYFUNCTION("""COMPUTED_VALUE"""),43819.0)</f>
        <v>43819</v>
      </c>
      <c r="B27" s="140">
        <f>IFERROR(__xludf.DUMMYFUNCTION("""COMPUTED_VALUE"""),1265040.0)</f>
        <v>1265040</v>
      </c>
      <c r="C27" s="140" t="str">
        <f>IFERROR(__xludf.DUMMYFUNCTION("""COMPUTED_VALUE"""),"EN")</f>
        <v>EN</v>
      </c>
      <c r="D27" s="140" t="str">
        <f>IFERROR(__xludf.DUMMYFUNCTION("""COMPUTED_VALUE"""),"How to Identify Key Factors For Winning Change Management")</f>
        <v>How to Identify Key Factors For Winning Change Management</v>
      </c>
      <c r="E27" t="str">
        <f>IFERROR(__xludf.DUMMYFUNCTION("""COMPUTED_VALUE"""),"Illumeo Learning")</f>
        <v>Illumeo Learning</v>
      </c>
      <c r="F27" t="str">
        <f>IFERROR(__xludf.DUMMYFUNCTION("""COMPUTED_VALUE"""),"Instructor Request- Opted Out")</f>
        <v>Instructor Request- Opted Out</v>
      </c>
      <c r="G27" s="142" t="str">
        <f>IFERROR(__xludf.DUMMYFUNCTION("""COMPUTED_VALUE"""),"Leadership &amp; Management")</f>
        <v>Leadership &amp; Management</v>
      </c>
      <c r="H27" s="140" t="str">
        <f>IFERROR(__xludf.DUMMYFUNCTION("""COMPUTED_VALUE"""),"Strategy")</f>
        <v>Strategy</v>
      </c>
      <c r="I27">
        <f>IFERROR(__xludf.DUMMYFUNCTION("""COMPUTED_VALUE"""),1612806.0)</f>
        <v>1612806</v>
      </c>
      <c r="J27" s="140" t="str">
        <f>IFERROR(__xludf.DUMMYFUNCTION("""COMPUTED_VALUE"""),"")</f>
        <v/>
      </c>
      <c r="L27" s="140" t="str">
        <f>IFERROR(__xludf.DUMMYFUNCTION("""COMPUTED_VALUE"""),"")</f>
        <v/>
      </c>
    </row>
    <row r="28">
      <c r="A28" s="141">
        <f>IFERROR(__xludf.DUMMYFUNCTION("""COMPUTED_VALUE"""),43819.0)</f>
        <v>43819</v>
      </c>
      <c r="B28" s="140">
        <f>IFERROR(__xludf.DUMMYFUNCTION("""COMPUTED_VALUE"""),1267498.0)</f>
        <v>1267498</v>
      </c>
      <c r="C28" s="140" t="str">
        <f>IFERROR(__xludf.DUMMYFUNCTION("""COMPUTED_VALUE"""),"EN")</f>
        <v>EN</v>
      </c>
      <c r="D28" s="140" t="str">
        <f>IFERROR(__xludf.DUMMYFUNCTION("""COMPUTED_VALUE"""),"Leading Global Teams - Inclusively")</f>
        <v>Leading Global Teams - Inclusively</v>
      </c>
      <c r="E28" t="str">
        <f>IFERROR(__xludf.DUMMYFUNCTION("""COMPUTED_VALUE"""),"Illumeo Learning")</f>
        <v>Illumeo Learning</v>
      </c>
      <c r="F28" t="str">
        <f>IFERROR(__xludf.DUMMYFUNCTION("""COMPUTED_VALUE"""),"Instructor Request- Opted Out")</f>
        <v>Instructor Request- Opted Out</v>
      </c>
      <c r="G28" s="142" t="str">
        <f>IFERROR(__xludf.DUMMYFUNCTION("""COMPUTED_VALUE"""),"Leadership &amp; Management")</f>
        <v>Leadership &amp; Management</v>
      </c>
      <c r="H28" s="140" t="str">
        <f>IFERROR(__xludf.DUMMYFUNCTION("""COMPUTED_VALUE"""),"Leadership")</f>
        <v>Leadership</v>
      </c>
      <c r="I28">
        <f>IFERROR(__xludf.DUMMYFUNCTION("""COMPUTED_VALUE"""),613808.0)</f>
        <v>613808</v>
      </c>
      <c r="J28" s="140" t="str">
        <f>IFERROR(__xludf.DUMMYFUNCTION("""COMPUTED_VALUE"""),"Leadership: Practical Leadership Skills")</f>
        <v>Leadership: Practical Leadership Skills</v>
      </c>
      <c r="L28" s="140" t="str">
        <f>IFERROR(__xludf.DUMMYFUNCTION("""COMPUTED_VALUE"""),"")</f>
        <v/>
      </c>
    </row>
    <row r="29">
      <c r="A29" s="141">
        <f>IFERROR(__xludf.DUMMYFUNCTION("""COMPUTED_VALUE"""),43819.0)</f>
        <v>43819</v>
      </c>
      <c r="B29" s="140">
        <f>IFERROR(__xludf.DUMMYFUNCTION("""COMPUTED_VALUE"""),1267514.0)</f>
        <v>1267514</v>
      </c>
      <c r="C29" s="140" t="str">
        <f>IFERROR(__xludf.DUMMYFUNCTION("""COMPUTED_VALUE"""),"EN")</f>
        <v>EN</v>
      </c>
      <c r="D29" s="140" t="str">
        <f>IFERROR(__xludf.DUMMYFUNCTION("""COMPUTED_VALUE"""),"Making your Marketing Memorable")</f>
        <v>Making your Marketing Memorable</v>
      </c>
      <c r="E29" t="str">
        <f>IFERROR(__xludf.DUMMYFUNCTION("""COMPUTED_VALUE"""),"Illumeo Learning")</f>
        <v>Illumeo Learning</v>
      </c>
      <c r="F29" t="str">
        <f>IFERROR(__xludf.DUMMYFUNCTION("""COMPUTED_VALUE"""),"Instructor Request- Opted Out")</f>
        <v>Instructor Request- Opted Out</v>
      </c>
      <c r="G29" s="142" t="str">
        <f>IFERROR(__xludf.DUMMYFUNCTION("""COMPUTED_VALUE"""),"Marketing")</f>
        <v>Marketing</v>
      </c>
      <c r="H29" s="140" t="str">
        <f>IFERROR(__xludf.DUMMYFUNCTION("""COMPUTED_VALUE"""),"Marketing Strategy")</f>
        <v>Marketing Strategy</v>
      </c>
      <c r="I29">
        <f>IFERROR(__xludf.DUMMYFUNCTION("""COMPUTED_VALUE"""),1467664.0)</f>
        <v>1467664</v>
      </c>
      <c r="J29" s="140" t="str">
        <f>IFERROR(__xludf.DUMMYFUNCTION("""COMPUTED_VALUE"""),"Content Marketing Mastery 2018: Beginner's Ultimate Guide")</f>
        <v>Content Marketing Mastery 2018: Beginner's Ultimate Guide</v>
      </c>
      <c r="L29" s="140" t="str">
        <f>IFERROR(__xludf.DUMMYFUNCTION("""COMPUTED_VALUE"""),"")</f>
        <v/>
      </c>
    </row>
    <row r="30">
      <c r="A30" s="141">
        <f>IFERROR(__xludf.DUMMYFUNCTION("""COMPUTED_VALUE"""),43819.0)</f>
        <v>43819</v>
      </c>
      <c r="B30" s="140">
        <f>IFERROR(__xludf.DUMMYFUNCTION("""COMPUTED_VALUE"""),1267566.0)</f>
        <v>1267566</v>
      </c>
      <c r="C30" s="140" t="str">
        <f>IFERROR(__xludf.DUMMYFUNCTION("""COMPUTED_VALUE"""),"EN")</f>
        <v>EN</v>
      </c>
      <c r="D30" s="140" t="str">
        <f>IFERROR(__xludf.DUMMYFUNCTION("""COMPUTED_VALUE"""),"Selling to Different Personality Types")</f>
        <v>Selling to Different Personality Types</v>
      </c>
      <c r="E30" t="str">
        <f>IFERROR(__xludf.DUMMYFUNCTION("""COMPUTED_VALUE"""),"Illumeo Learning")</f>
        <v>Illumeo Learning</v>
      </c>
      <c r="F30" t="str">
        <f>IFERROR(__xludf.DUMMYFUNCTION("""COMPUTED_VALUE"""),"Instructor Request- Opted Out")</f>
        <v>Instructor Request- Opted Out</v>
      </c>
      <c r="G30" s="142" t="str">
        <f>IFERROR(__xludf.DUMMYFUNCTION("""COMPUTED_VALUE"""),"Sales")</f>
        <v>Sales</v>
      </c>
      <c r="H30" s="140" t="str">
        <f>IFERROR(__xludf.DUMMYFUNCTION("""COMPUTED_VALUE"""),"Sales Skills &amp; Tools")</f>
        <v>Sales Skills &amp; Tools</v>
      </c>
      <c r="J30" s="140" t="str">
        <f>IFERROR(__xludf.DUMMYFUNCTION("""COMPUTED_VALUE"""),"")</f>
        <v/>
      </c>
      <c r="L30" s="140" t="str">
        <f>IFERROR(__xludf.DUMMYFUNCTION("""COMPUTED_VALUE"""),"")</f>
        <v/>
      </c>
    </row>
    <row r="31">
      <c r="A31" s="141">
        <f>IFERROR(__xludf.DUMMYFUNCTION("""COMPUTED_VALUE"""),43819.0)</f>
        <v>43819</v>
      </c>
      <c r="B31" s="140">
        <f>IFERROR(__xludf.DUMMYFUNCTION("""COMPUTED_VALUE"""),1273952.0)</f>
        <v>1273952</v>
      </c>
      <c r="C31" s="140" t="str">
        <f>IFERROR(__xludf.DUMMYFUNCTION("""COMPUTED_VALUE"""),"EN")</f>
        <v>EN</v>
      </c>
      <c r="D31" s="140" t="str">
        <f>IFERROR(__xludf.DUMMYFUNCTION("""COMPUTED_VALUE"""),"Creating a Vision for Leading Global Change at Your Company")</f>
        <v>Creating a Vision for Leading Global Change at Your Company</v>
      </c>
      <c r="E31" t="str">
        <f>IFERROR(__xludf.DUMMYFUNCTION("""COMPUTED_VALUE"""),"Illumeo Learning")</f>
        <v>Illumeo Learning</v>
      </c>
      <c r="F31" t="str">
        <f>IFERROR(__xludf.DUMMYFUNCTION("""COMPUTED_VALUE"""),"Instructor Request- Opted Out")</f>
        <v>Instructor Request- Opted Out</v>
      </c>
      <c r="G31" s="142" t="str">
        <f>IFERROR(__xludf.DUMMYFUNCTION("""COMPUTED_VALUE"""),"Leadership &amp; Management")</f>
        <v>Leadership &amp; Management</v>
      </c>
      <c r="H31" s="140" t="str">
        <f>IFERROR(__xludf.DUMMYFUNCTION("""COMPUTED_VALUE"""),"Strategy")</f>
        <v>Strategy</v>
      </c>
      <c r="I31">
        <f>IFERROR(__xludf.DUMMYFUNCTION("""COMPUTED_VALUE"""),1612806.0)</f>
        <v>1612806</v>
      </c>
      <c r="J31" s="140" t="str">
        <f>IFERROR(__xludf.DUMMYFUNCTION("""COMPUTED_VALUE"""),"")</f>
        <v/>
      </c>
      <c r="L31" s="140" t="str">
        <f>IFERROR(__xludf.DUMMYFUNCTION("""COMPUTED_VALUE"""),"")</f>
        <v/>
      </c>
    </row>
    <row r="32">
      <c r="A32" s="141">
        <f>IFERROR(__xludf.DUMMYFUNCTION("""COMPUTED_VALUE"""),43819.0)</f>
        <v>43819</v>
      </c>
      <c r="B32" s="140">
        <f>IFERROR(__xludf.DUMMYFUNCTION("""COMPUTED_VALUE"""),1301804.0)</f>
        <v>1301804</v>
      </c>
      <c r="C32" s="140" t="str">
        <f>IFERROR(__xludf.DUMMYFUNCTION("""COMPUTED_VALUE"""),"EN")</f>
        <v>EN</v>
      </c>
      <c r="D32" s="140" t="str">
        <f>IFERROR(__xludf.DUMMYFUNCTION("""COMPUTED_VALUE"""),"Better Leadership Through Better Coaching")</f>
        <v>Better Leadership Through Better Coaching</v>
      </c>
      <c r="E32" t="str">
        <f>IFERROR(__xludf.DUMMYFUNCTION("""COMPUTED_VALUE"""),"Illumeo Learning")</f>
        <v>Illumeo Learning</v>
      </c>
      <c r="F32" t="str">
        <f>IFERROR(__xludf.DUMMYFUNCTION("""COMPUTED_VALUE"""),"Instructor Request- Opted Out")</f>
        <v>Instructor Request- Opted Out</v>
      </c>
      <c r="G32" s="142" t="str">
        <f>IFERROR(__xludf.DUMMYFUNCTION("""COMPUTED_VALUE"""),"Leadership &amp; Management")</f>
        <v>Leadership &amp; Management</v>
      </c>
      <c r="H32" s="140" t="str">
        <f>IFERROR(__xludf.DUMMYFUNCTION("""COMPUTED_VALUE"""),"Leadership")</f>
        <v>Leadership</v>
      </c>
      <c r="I32">
        <f>IFERROR(__xludf.DUMMYFUNCTION("""COMPUTED_VALUE"""),1211572.0)</f>
        <v>1211572</v>
      </c>
      <c r="J32" s="140" t="str">
        <f>IFERROR(__xludf.DUMMYFUNCTION("""COMPUTED_VALUE"""),"")</f>
        <v/>
      </c>
      <c r="K32">
        <f>IFERROR(__xludf.DUMMYFUNCTION("""COMPUTED_VALUE"""),852606.0)</f>
        <v>852606</v>
      </c>
      <c r="L32" s="140" t="str">
        <f>IFERROR(__xludf.DUMMYFUNCTION("""COMPUTED_VALUE"""),"Coaching Managers &amp; Leaders for Continuous Improvement")</f>
        <v>Coaching Managers &amp; Leaders for Continuous Improvement</v>
      </c>
    </row>
    <row r="33">
      <c r="A33" s="141">
        <f>IFERROR(__xludf.DUMMYFUNCTION("""COMPUTED_VALUE"""),43819.0)</f>
        <v>43819</v>
      </c>
      <c r="B33" s="140">
        <f>IFERROR(__xludf.DUMMYFUNCTION("""COMPUTED_VALUE"""),1306754.0)</f>
        <v>1306754</v>
      </c>
      <c r="C33" s="140" t="str">
        <f>IFERROR(__xludf.DUMMYFUNCTION("""COMPUTED_VALUE"""),"EN")</f>
        <v>EN</v>
      </c>
      <c r="D33" s="140" t="str">
        <f>IFERROR(__xludf.DUMMYFUNCTION("""COMPUTED_VALUE"""),"Global Business: Cultural and Behavioral Norms")</f>
        <v>Global Business: Cultural and Behavioral Norms</v>
      </c>
      <c r="E33" t="str">
        <f>IFERROR(__xludf.DUMMYFUNCTION("""COMPUTED_VALUE"""),"Illumeo Learning")</f>
        <v>Illumeo Learning</v>
      </c>
      <c r="F33" t="str">
        <f>IFERROR(__xludf.DUMMYFUNCTION("""COMPUTED_VALUE"""),"Instructor Request- Opted Out")</f>
        <v>Instructor Request- Opted Out</v>
      </c>
      <c r="G33" s="142" t="str">
        <f>IFERROR(__xludf.DUMMYFUNCTION("""COMPUTED_VALUE"""),"Leadership &amp; Management")</f>
        <v>Leadership &amp; Management</v>
      </c>
      <c r="H33" s="140" t="str">
        <f>IFERROR(__xludf.DUMMYFUNCTION("""COMPUTED_VALUE"""),"Management")</f>
        <v>Management</v>
      </c>
      <c r="J33" s="140" t="str">
        <f>IFERROR(__xludf.DUMMYFUNCTION("""COMPUTED_VALUE"""),"")</f>
        <v/>
      </c>
      <c r="L33" s="140" t="str">
        <f>IFERROR(__xludf.DUMMYFUNCTION("""COMPUTED_VALUE"""),"")</f>
        <v/>
      </c>
    </row>
    <row r="34">
      <c r="A34" s="141">
        <f>IFERROR(__xludf.DUMMYFUNCTION("""COMPUTED_VALUE"""),43819.0)</f>
        <v>43819</v>
      </c>
      <c r="B34" s="140">
        <f>IFERROR(__xludf.DUMMYFUNCTION("""COMPUTED_VALUE"""),1321574.0)</f>
        <v>1321574</v>
      </c>
      <c r="C34" s="140" t="str">
        <f>IFERROR(__xludf.DUMMYFUNCTION("""COMPUTED_VALUE"""),"EN")</f>
        <v>EN</v>
      </c>
      <c r="D34" s="140" t="str">
        <f>IFERROR(__xludf.DUMMYFUNCTION("""COMPUTED_VALUE"""),"Understanding Cultural Implications When Leading Change")</f>
        <v>Understanding Cultural Implications When Leading Change</v>
      </c>
      <c r="E34" t="str">
        <f>IFERROR(__xludf.DUMMYFUNCTION("""COMPUTED_VALUE"""),"Illumeo Learning")</f>
        <v>Illumeo Learning</v>
      </c>
      <c r="F34" t="str">
        <f>IFERROR(__xludf.DUMMYFUNCTION("""COMPUTED_VALUE"""),"Instructor Request- Opted Out")</f>
        <v>Instructor Request- Opted Out</v>
      </c>
      <c r="G34" s="142" t="str">
        <f>IFERROR(__xludf.DUMMYFUNCTION("""COMPUTED_VALUE"""),"Leadership &amp; Management")</f>
        <v>Leadership &amp; Management</v>
      </c>
      <c r="H34" s="140" t="str">
        <f>IFERROR(__xludf.DUMMYFUNCTION("""COMPUTED_VALUE"""),"Strategy")</f>
        <v>Strategy</v>
      </c>
      <c r="I34">
        <f>IFERROR(__xludf.DUMMYFUNCTION("""COMPUTED_VALUE"""),697346.0)</f>
        <v>697346</v>
      </c>
      <c r="J34" s="140" t="str">
        <f>IFERROR(__xludf.DUMMYFUNCTION("""COMPUTED_VALUE"""),"Leadership Styles and Corporate Culture")</f>
        <v>Leadership Styles and Corporate Culture</v>
      </c>
      <c r="L34" s="140" t="str">
        <f>IFERROR(__xludf.DUMMYFUNCTION("""COMPUTED_VALUE"""),"")</f>
        <v/>
      </c>
    </row>
    <row r="35">
      <c r="A35" s="141">
        <f>IFERROR(__xludf.DUMMYFUNCTION("""COMPUTED_VALUE"""),43819.0)</f>
        <v>43819</v>
      </c>
      <c r="B35" s="140">
        <f>IFERROR(__xludf.DUMMYFUNCTION("""COMPUTED_VALUE"""),1321606.0)</f>
        <v>1321606</v>
      </c>
      <c r="C35" s="140" t="str">
        <f>IFERROR(__xludf.DUMMYFUNCTION("""COMPUTED_VALUE"""),"EN")</f>
        <v>EN</v>
      </c>
      <c r="D35" s="140" t="str">
        <f>IFERROR(__xludf.DUMMYFUNCTION("""COMPUTED_VALUE"""),"Connecting Globally When Leading Change")</f>
        <v>Connecting Globally When Leading Change</v>
      </c>
      <c r="E35" t="str">
        <f>IFERROR(__xludf.DUMMYFUNCTION("""COMPUTED_VALUE"""),"Illumeo Learning")</f>
        <v>Illumeo Learning</v>
      </c>
      <c r="F35" t="str">
        <f>IFERROR(__xludf.DUMMYFUNCTION("""COMPUTED_VALUE"""),"Instructor Request- Opted Out")</f>
        <v>Instructor Request- Opted Out</v>
      </c>
      <c r="G35" s="142" t="str">
        <f>IFERROR(__xludf.DUMMYFUNCTION("""COMPUTED_VALUE"""),"Leadership &amp; Management")</f>
        <v>Leadership &amp; Management</v>
      </c>
      <c r="H35" s="140" t="str">
        <f>IFERROR(__xludf.DUMMYFUNCTION("""COMPUTED_VALUE"""),"Strategy")</f>
        <v>Strategy</v>
      </c>
      <c r="I35">
        <f>IFERROR(__xludf.DUMMYFUNCTION("""COMPUTED_VALUE"""),1612806.0)</f>
        <v>1612806</v>
      </c>
      <c r="J35" s="140" t="str">
        <f>IFERROR(__xludf.DUMMYFUNCTION("""COMPUTED_VALUE"""),"")</f>
        <v/>
      </c>
      <c r="L35" s="140" t="str">
        <f>IFERROR(__xludf.DUMMYFUNCTION("""COMPUTED_VALUE"""),"")</f>
        <v/>
      </c>
    </row>
    <row r="36">
      <c r="A36" s="141">
        <f>IFERROR(__xludf.DUMMYFUNCTION("""COMPUTED_VALUE"""),43819.0)</f>
        <v>43819</v>
      </c>
      <c r="B36" s="140">
        <f>IFERROR(__xludf.DUMMYFUNCTION("""COMPUTED_VALUE"""),1251654.0)</f>
        <v>1251654</v>
      </c>
      <c r="C36" s="140" t="str">
        <f>IFERROR(__xludf.DUMMYFUNCTION("""COMPUTED_VALUE"""),"EN")</f>
        <v>EN</v>
      </c>
      <c r="D36" s="140" t="str">
        <f>IFERROR(__xludf.DUMMYFUNCTION("""COMPUTED_VALUE"""),"Understand Core Finance Principles in 60 Minutes")</f>
        <v>Understand Core Finance Principles in 60 Minutes</v>
      </c>
      <c r="E36" t="str">
        <f>IFERROR(__xludf.DUMMYFUNCTION("""COMPUTED_VALUE"""),"Illumeo Learning")</f>
        <v>Illumeo Learning</v>
      </c>
      <c r="F36" t="str">
        <f>IFERROR(__xludf.DUMMYFUNCTION("""COMPUTED_VALUE"""),"Instructor Request- Opted Out")</f>
        <v>Instructor Request- Opted Out</v>
      </c>
      <c r="G36" s="142" t="str">
        <f>IFERROR(__xludf.DUMMYFUNCTION("""COMPUTED_VALUE"""),"Finance &amp; Accounting")</f>
        <v>Finance &amp; Accounting</v>
      </c>
      <c r="H36" s="140" t="str">
        <f>IFERROR(__xludf.DUMMYFUNCTION("""COMPUTED_VALUE"""),"Finance Fundamentals")</f>
        <v>Finance Fundamentals</v>
      </c>
      <c r="I36">
        <f>IFERROR(__xludf.DUMMYFUNCTION("""COMPUTED_VALUE"""),888716.0)</f>
        <v>888716</v>
      </c>
      <c r="J36" s="140" t="str">
        <f>IFERROR(__xludf.DUMMYFUNCTION("""COMPUTED_VALUE"""),"Introduction to Finance, Accounting, Modeling and Valuation")</f>
        <v>Introduction to Finance, Accounting, Modeling and Valuation</v>
      </c>
      <c r="L36" s="140" t="str">
        <f>IFERROR(__xludf.DUMMYFUNCTION("""COMPUTED_VALUE"""),"")</f>
        <v/>
      </c>
    </row>
    <row r="37">
      <c r="A37" s="141">
        <f>IFERROR(__xludf.DUMMYFUNCTION("""COMPUTED_VALUE"""),43819.0)</f>
        <v>43819</v>
      </c>
      <c r="B37" s="140">
        <f>IFERROR(__xludf.DUMMYFUNCTION("""COMPUTED_VALUE"""),1326992.0)</f>
        <v>1326992</v>
      </c>
      <c r="C37" s="140" t="str">
        <f>IFERROR(__xludf.DUMMYFUNCTION("""COMPUTED_VALUE"""),"EN")</f>
        <v>EN</v>
      </c>
      <c r="D37" s="140" t="str">
        <f>IFERROR(__xludf.DUMMYFUNCTION("""COMPUTED_VALUE"""),"Effective Business Strategy and Leadership")</f>
        <v>Effective Business Strategy and Leadership</v>
      </c>
      <c r="E37" t="str">
        <f>IFERROR(__xludf.DUMMYFUNCTION("""COMPUTED_VALUE"""),"Illumeo Learning")</f>
        <v>Illumeo Learning</v>
      </c>
      <c r="F37" t="str">
        <f>IFERROR(__xludf.DUMMYFUNCTION("""COMPUTED_VALUE"""),"Instructor Request- Opted Out")</f>
        <v>Instructor Request- Opted Out</v>
      </c>
      <c r="G37" s="142" t="str">
        <f>IFERROR(__xludf.DUMMYFUNCTION("""COMPUTED_VALUE"""),"Leadership &amp; Management")</f>
        <v>Leadership &amp; Management</v>
      </c>
      <c r="H37" s="140" t="str">
        <f>IFERROR(__xludf.DUMMYFUNCTION("""COMPUTED_VALUE"""),"Strategy")</f>
        <v>Strategy</v>
      </c>
      <c r="I37">
        <f>IFERROR(__xludf.DUMMYFUNCTION("""COMPUTED_VALUE"""),613808.0)</f>
        <v>613808</v>
      </c>
      <c r="J37" s="140" t="str">
        <f>IFERROR(__xludf.DUMMYFUNCTION("""COMPUTED_VALUE"""),"Leadership: Practical Leadership Skills")</f>
        <v>Leadership: Practical Leadership Skills</v>
      </c>
      <c r="L37" s="140" t="str">
        <f>IFERROR(__xludf.DUMMYFUNCTION("""COMPUTED_VALUE"""),"")</f>
        <v/>
      </c>
    </row>
    <row r="38">
      <c r="A38" s="141">
        <f>IFERROR(__xludf.DUMMYFUNCTION("""COMPUTED_VALUE"""),43819.0)</f>
        <v>43819</v>
      </c>
      <c r="B38" s="140">
        <f>IFERROR(__xludf.DUMMYFUNCTION("""COMPUTED_VALUE"""),1231156.0)</f>
        <v>1231156</v>
      </c>
      <c r="C38" s="140" t="str">
        <f>IFERROR(__xludf.DUMMYFUNCTION("""COMPUTED_VALUE"""),"EN")</f>
        <v>EN</v>
      </c>
      <c r="D38" s="140" t="str">
        <f>IFERROR(__xludf.DUMMYFUNCTION("""COMPUTED_VALUE"""),"Intro to Excel Macros Part 1")</f>
        <v>Intro to Excel Macros Part 1</v>
      </c>
      <c r="E38" t="str">
        <f>IFERROR(__xludf.DUMMYFUNCTION("""COMPUTED_VALUE"""),"Illumeo Learning")</f>
        <v>Illumeo Learning</v>
      </c>
      <c r="F38" t="str">
        <f>IFERROR(__xludf.DUMMYFUNCTION("""COMPUTED_VALUE"""),"Instructor Request- Opted Out")</f>
        <v>Instructor Request- Opted Out</v>
      </c>
      <c r="G38" s="142" t="str">
        <f>IFERROR(__xludf.DUMMYFUNCTION("""COMPUTED_VALUE"""),"Office Productivity")</f>
        <v>Office Productivity</v>
      </c>
      <c r="H38" s="140" t="str">
        <f>IFERROR(__xludf.DUMMYFUNCTION("""COMPUTED_VALUE"""),"Spreadsheets")</f>
        <v>Spreadsheets</v>
      </c>
      <c r="I38">
        <f>IFERROR(__xludf.DUMMYFUNCTION("""COMPUTED_VALUE"""),1506888.0)</f>
        <v>1506888</v>
      </c>
      <c r="J38" s="140" t="str">
        <f>IFERROR(__xludf.DUMMYFUNCTION("""COMPUTED_VALUE"""),"Unlock Excel VBA and Excel Macros")</f>
        <v>Unlock Excel VBA and Excel Macros</v>
      </c>
      <c r="K38">
        <f>IFERROR(__xludf.DUMMYFUNCTION("""COMPUTED_VALUE"""),690066.0)</f>
        <v>690066</v>
      </c>
      <c r="L38" s="140" t="str">
        <f>IFERROR(__xludf.DUMMYFUNCTION("""COMPUTED_VALUE"""),"Master Microsoft Excel Macros and Excel VBA")</f>
        <v>Master Microsoft Excel Macros and Excel VBA</v>
      </c>
    </row>
    <row r="39">
      <c r="A39" s="141">
        <f>IFERROR(__xludf.DUMMYFUNCTION("""COMPUTED_VALUE"""),43819.0)</f>
        <v>43819</v>
      </c>
      <c r="B39" s="140">
        <f>IFERROR(__xludf.DUMMYFUNCTION("""COMPUTED_VALUE"""),1234564.0)</f>
        <v>1234564</v>
      </c>
      <c r="C39" s="140" t="str">
        <f>IFERROR(__xludf.DUMMYFUNCTION("""COMPUTED_VALUE"""),"EN")</f>
        <v>EN</v>
      </c>
      <c r="D39" s="140" t="str">
        <f>IFERROR(__xludf.DUMMYFUNCTION("""COMPUTED_VALUE"""),"Leadership &amp; Likability - Striking the Right Balance")</f>
        <v>Leadership &amp; Likability - Striking the Right Balance</v>
      </c>
      <c r="E39" t="str">
        <f>IFERROR(__xludf.DUMMYFUNCTION("""COMPUTED_VALUE"""),"Illumeo Learning")</f>
        <v>Illumeo Learning</v>
      </c>
      <c r="F39" t="str">
        <f>IFERROR(__xludf.DUMMYFUNCTION("""COMPUTED_VALUE"""),"Instructor Request- Opted Out")</f>
        <v>Instructor Request- Opted Out</v>
      </c>
      <c r="G39" s="142" t="str">
        <f>IFERROR(__xludf.DUMMYFUNCTION("""COMPUTED_VALUE"""),"Leadership &amp; Management")</f>
        <v>Leadership &amp; Management</v>
      </c>
      <c r="H39" s="140" t="str">
        <f>IFERROR(__xludf.DUMMYFUNCTION("""COMPUTED_VALUE"""),"Leadership")</f>
        <v>Leadership</v>
      </c>
      <c r="I39">
        <f>IFERROR(__xludf.DUMMYFUNCTION("""COMPUTED_VALUE"""),613808.0)</f>
        <v>613808</v>
      </c>
      <c r="J39" s="140" t="str">
        <f>IFERROR(__xludf.DUMMYFUNCTION("""COMPUTED_VALUE"""),"Leadership: Practical Leadership Skills")</f>
        <v>Leadership: Practical Leadership Skills</v>
      </c>
      <c r="L39" s="140" t="str">
        <f>IFERROR(__xludf.DUMMYFUNCTION("""COMPUTED_VALUE"""),"")</f>
        <v/>
      </c>
    </row>
    <row r="40">
      <c r="A40" s="141">
        <f>IFERROR(__xludf.DUMMYFUNCTION("""COMPUTED_VALUE"""),43819.0)</f>
        <v>43819</v>
      </c>
      <c r="B40" s="140">
        <f>IFERROR(__xludf.DUMMYFUNCTION("""COMPUTED_VALUE"""),1541238.0)</f>
        <v>1541238</v>
      </c>
      <c r="C40" s="140" t="str">
        <f>IFERROR(__xludf.DUMMYFUNCTION("""COMPUTED_VALUE"""),"EN")</f>
        <v>EN</v>
      </c>
      <c r="D40" s="140" t="str">
        <f>IFERROR(__xludf.DUMMYFUNCTION("""COMPUTED_VALUE"""),"Java Non-Blocking IO with Java.NIO and Design Patterns")</f>
        <v>Java Non-Blocking IO with Java.NIO and Design Patterns</v>
      </c>
      <c r="E40" t="str">
        <f>IFERROR(__xludf.DUMMYFUNCTION("""COMPUTED_VALUE"""),"Heinz Kabutz")</f>
        <v>Heinz Kabutz</v>
      </c>
      <c r="F40" t="str">
        <f>IFERROR(__xludf.DUMMYFUNCTION("""COMPUTED_VALUE"""),"Instructor Request- Opted Out")</f>
        <v>Instructor Request- Opted Out</v>
      </c>
      <c r="G40" s="142" t="str">
        <f>IFERROR(__xludf.DUMMYFUNCTION("""COMPUTED_VALUE"""),"Development")</f>
        <v>Development</v>
      </c>
      <c r="H40" s="140" t="str">
        <f>IFERROR(__xludf.DUMMYFUNCTION("""COMPUTED_VALUE"""),"Web Development")</f>
        <v>Web Development</v>
      </c>
      <c r="J40" s="140" t="str">
        <f>IFERROR(__xludf.DUMMYFUNCTION("""COMPUTED_VALUE"""),"")</f>
        <v/>
      </c>
      <c r="L40" s="140" t="str">
        <f>IFERROR(__xludf.DUMMYFUNCTION("""COMPUTED_VALUE"""),"")</f>
        <v/>
      </c>
    </row>
    <row r="41">
      <c r="A41" s="141">
        <f>IFERROR(__xludf.DUMMYFUNCTION("""COMPUTED_VALUE"""),43819.0)</f>
        <v>43819</v>
      </c>
      <c r="B41" s="140">
        <f>IFERROR(__xludf.DUMMYFUNCTION("""COMPUTED_VALUE"""),339900.0)</f>
        <v>339900</v>
      </c>
      <c r="C41" s="140" t="str">
        <f>IFERROR(__xludf.DUMMYFUNCTION("""COMPUTED_VALUE"""),"EN")</f>
        <v>EN</v>
      </c>
      <c r="D41" s="140" t="str">
        <f>IFERROR(__xludf.DUMMYFUNCTION("""COMPUTED_VALUE"""),"Evernote GTD - How To Maximize Your Productivity in 2019")</f>
        <v>Evernote GTD - How To Maximize Your Productivity in 2019</v>
      </c>
      <c r="E41" t="str">
        <f>IFERROR(__xludf.DUMMYFUNCTION("""COMPUTED_VALUE"""),"James Burchill")</f>
        <v>James Burchill</v>
      </c>
      <c r="F41" t="str">
        <f>IFERROR(__xludf.DUMMYFUNCTION("""COMPUTED_VALUE"""),"Instructor Request- Opted Out")</f>
        <v>Instructor Request- Opted Out</v>
      </c>
      <c r="G41" s="142" t="str">
        <f>IFERROR(__xludf.DUMMYFUNCTION("""COMPUTED_VALUE"""),"Office Productivity")</f>
        <v>Office Productivity</v>
      </c>
      <c r="H41" s="140" t="str">
        <f>IFERROR(__xludf.DUMMYFUNCTION("""COMPUTED_VALUE"""),"Email &amp; Productivity")</f>
        <v>Email &amp; Productivity</v>
      </c>
      <c r="I41">
        <f>IFERROR(__xludf.DUMMYFUNCTION("""COMPUTED_VALUE"""),399334.0)</f>
        <v>399334</v>
      </c>
      <c r="J41" s="140" t="str">
        <f>IFERROR(__xludf.DUMMYFUNCTION("""COMPUTED_VALUE"""),"")</f>
        <v/>
      </c>
      <c r="L41" s="140" t="str">
        <f>IFERROR(__xludf.DUMMYFUNCTION("""COMPUTED_VALUE"""),"")</f>
        <v/>
      </c>
    </row>
    <row r="42">
      <c r="A42" s="141">
        <f>IFERROR(__xludf.DUMMYFUNCTION("""COMPUTED_VALUE"""),43819.0)</f>
        <v>43819</v>
      </c>
      <c r="B42" s="140">
        <f>IFERROR(__xludf.DUMMYFUNCTION("""COMPUTED_VALUE"""),1063430.0)</f>
        <v>1063430</v>
      </c>
      <c r="C42" s="140" t="str">
        <f>IFERROR(__xludf.DUMMYFUNCTION("""COMPUTED_VALUE"""),"EN")</f>
        <v>EN</v>
      </c>
      <c r="D42" s="140" t="str">
        <f>IFERROR(__xludf.DUMMYFUNCTION("""COMPUTED_VALUE"""),"Building WordPress Themes: The Step-by-Step Guide")</f>
        <v>Building WordPress Themes: The Step-by-Step Guide</v>
      </c>
      <c r="E42" t="str">
        <f>IFERROR(__xludf.DUMMYFUNCTION("""COMPUTED_VALUE"""),"Joe Casabona")</f>
        <v>Joe Casabona</v>
      </c>
      <c r="F42" t="str">
        <f>IFERROR(__xludf.DUMMYFUNCTION("""COMPUTED_VALUE"""),"Instructor Request- Opted Out")</f>
        <v>Instructor Request- Opted Out</v>
      </c>
      <c r="G42" s="142" t="str">
        <f>IFERROR(__xludf.DUMMYFUNCTION("""COMPUTED_VALUE"""),"Development")</f>
        <v>Development</v>
      </c>
      <c r="H42" s="140" t="str">
        <f>IFERROR(__xludf.DUMMYFUNCTION("""COMPUTED_VALUE"""),"Web Development")</f>
        <v>Web Development</v>
      </c>
      <c r="I42">
        <f>IFERROR(__xludf.DUMMYFUNCTION("""COMPUTED_VALUE"""),896858.0)</f>
        <v>896858</v>
      </c>
      <c r="J42" s="140" t="str">
        <f>IFERROR(__xludf.DUMMYFUNCTION("""COMPUTED_VALUE"""),"")</f>
        <v/>
      </c>
      <c r="L42" s="140" t="str">
        <f>IFERROR(__xludf.DUMMYFUNCTION("""COMPUTED_VALUE"""),"")</f>
        <v/>
      </c>
    </row>
    <row r="43">
      <c r="A43" s="141">
        <f>IFERROR(__xludf.DUMMYFUNCTION("""COMPUTED_VALUE"""),43819.0)</f>
        <v>43819</v>
      </c>
      <c r="B43" s="140">
        <f>IFERROR(__xludf.DUMMYFUNCTION("""COMPUTED_VALUE"""),1919090.0)</f>
        <v>1919090</v>
      </c>
      <c r="C43" s="140" t="str">
        <f>IFERROR(__xludf.DUMMYFUNCTION("""COMPUTED_VALUE"""),"EN")</f>
        <v>EN</v>
      </c>
      <c r="D43" s="140" t="str">
        <f>IFERROR(__xludf.DUMMYFUNCTION("""COMPUTED_VALUE"""),"Starting with Altium Designer")</f>
        <v>Starting with Altium Designer</v>
      </c>
      <c r="E43" t="str">
        <f>IFERROR(__xludf.DUMMYFUNCTION("""COMPUTED_VALUE"""),"Robert Feranec")</f>
        <v>Robert Feranec</v>
      </c>
      <c r="F43" t="str">
        <f>IFERROR(__xludf.DUMMYFUNCTION("""COMPUTED_VALUE"""),"Instructor Request- Opted Out")</f>
        <v>Instructor Request- Opted Out</v>
      </c>
      <c r="G43" s="142" t="str">
        <f>IFERROR(__xludf.DUMMYFUNCTION("""COMPUTED_VALUE"""),"IT Operations")</f>
        <v>IT Operations</v>
      </c>
      <c r="H43" s="140" t="str">
        <f>IFERROR(__xludf.DUMMYFUNCTION("""COMPUTED_VALUE"""),"Hardware")</f>
        <v>Hardware</v>
      </c>
      <c r="J43" s="140" t="str">
        <f>IFERROR(__xludf.DUMMYFUNCTION("""COMPUTED_VALUE"""),"")</f>
        <v/>
      </c>
      <c r="L43" s="140" t="str">
        <f>IFERROR(__xludf.DUMMYFUNCTION("""COMPUTED_VALUE"""),"")</f>
        <v/>
      </c>
    </row>
    <row r="44">
      <c r="A44" s="141">
        <f>IFERROR(__xludf.DUMMYFUNCTION("""COMPUTED_VALUE"""),43819.0)</f>
        <v>43819</v>
      </c>
      <c r="B44" s="140">
        <f>IFERROR(__xludf.DUMMYFUNCTION("""COMPUTED_VALUE"""),2038206.0)</f>
        <v>2038206</v>
      </c>
      <c r="C44" s="140" t="str">
        <f>IFERROR(__xludf.DUMMYFUNCTION("""COMPUTED_VALUE"""),"EN")</f>
        <v>EN</v>
      </c>
      <c r="D44" s="140" t="str">
        <f>IFERROR(__xludf.DUMMYFUNCTION("""COMPUTED_VALUE"""),"Get Big Things Done: Become a Standout Collaborator")</f>
        <v>Get Big Things Done: Become a Standout Collaborator</v>
      </c>
      <c r="E44" t="str">
        <f>IFERROR(__xludf.DUMMYFUNCTION("""COMPUTED_VALUE"""),"Erica Dhawan")</f>
        <v>Erica Dhawan</v>
      </c>
      <c r="F44" t="str">
        <f>IFERROR(__xludf.DUMMYFUNCTION("""COMPUTED_VALUE"""),"Below Quality Standards- Low Rating")</f>
        <v>Below Quality Standards- Low Rating</v>
      </c>
      <c r="G44" s="142" t="str">
        <f>IFERROR(__xludf.DUMMYFUNCTION("""COMPUTED_VALUE"""),"Leadership &amp; Management")</f>
        <v>Leadership &amp; Management</v>
      </c>
      <c r="H44" s="140" t="str">
        <f>IFERROR(__xludf.DUMMYFUNCTION("""COMPUTED_VALUE"""),"Communication")</f>
        <v>Communication</v>
      </c>
      <c r="I44">
        <f>IFERROR(__xludf.DUMMYFUNCTION("""COMPUTED_VALUE"""),1684752.0)</f>
        <v>1684752</v>
      </c>
      <c r="J44" s="140" t="str">
        <f>IFERROR(__xludf.DUMMYFUNCTION("""COMPUTED_VALUE"""),"Business Strategy Development: The Art of Differentiation")</f>
        <v>Business Strategy Development: The Art of Differentiation</v>
      </c>
      <c r="L44" s="140" t="str">
        <f>IFERROR(__xludf.DUMMYFUNCTION("""COMPUTED_VALUE"""),"")</f>
        <v/>
      </c>
    </row>
    <row r="45">
      <c r="A45" s="141">
        <f>IFERROR(__xludf.DUMMYFUNCTION("""COMPUTED_VALUE"""),43819.0)</f>
        <v>43819</v>
      </c>
      <c r="B45" s="140">
        <f>IFERROR(__xludf.DUMMYFUNCTION("""COMPUTED_VALUE"""),2201816.0)</f>
        <v>2201816</v>
      </c>
      <c r="C45" s="140" t="str">
        <f>IFERROR(__xludf.DUMMYFUNCTION("""COMPUTED_VALUE"""),"EN")</f>
        <v>EN</v>
      </c>
      <c r="D45" s="140" t="str">
        <f>IFERROR(__xludf.DUMMYFUNCTION("""COMPUTED_VALUE"""),"Motivation - Learn to Finally Take Action - by Edwin Diaz")</f>
        <v>Motivation - Learn to Finally Take Action - by Edwin Diaz</v>
      </c>
      <c r="E45" t="str">
        <f>IFERROR(__xludf.DUMMYFUNCTION("""COMPUTED_VALUE"""),"Edwin Diaz")</f>
        <v>Edwin Diaz</v>
      </c>
      <c r="F45" t="str">
        <f>IFERROR(__xludf.DUMMYFUNCTION("""COMPUTED_VALUE"""),"Below Quality Standards- Low Rating")</f>
        <v>Below Quality Standards- Low Rating</v>
      </c>
      <c r="G45" s="142" t="str">
        <f>IFERROR(__xludf.DUMMYFUNCTION("""COMPUTED_VALUE"""),"Personal Development")</f>
        <v>Personal Development</v>
      </c>
      <c r="H45" s="140" t="str">
        <f>IFERROR(__xludf.DUMMYFUNCTION("""COMPUTED_VALUE"""),"Personal Growth")</f>
        <v>Personal Growth</v>
      </c>
      <c r="I45">
        <f>IFERROR(__xludf.DUMMYFUNCTION("""COMPUTED_VALUE"""),991578.0)</f>
        <v>991578</v>
      </c>
      <c r="J45" s="140" t="str">
        <f>IFERROR(__xludf.DUMMYFUNCTION("""COMPUTED_VALUE"""),"Boost Your Productivity: Adapt, Improve, Do!")</f>
        <v>Boost Your Productivity: Adapt, Improve, Do!</v>
      </c>
      <c r="L45" s="140" t="str">
        <f>IFERROR(__xludf.DUMMYFUNCTION("""COMPUTED_VALUE"""),"")</f>
        <v/>
      </c>
    </row>
    <row r="46">
      <c r="A46" s="141">
        <f>IFERROR(__xludf.DUMMYFUNCTION("""COMPUTED_VALUE"""),43819.0)</f>
        <v>43819</v>
      </c>
      <c r="B46" s="140">
        <f>IFERROR(__xludf.DUMMYFUNCTION("""COMPUTED_VALUE"""),1435554.0)</f>
        <v>1435554</v>
      </c>
      <c r="C46" s="140" t="str">
        <f>IFERROR(__xludf.DUMMYFUNCTION("""COMPUTED_VALUE"""),"EN")</f>
        <v>EN</v>
      </c>
      <c r="D46" s="140" t="str">
        <f>IFERROR(__xludf.DUMMYFUNCTION("""COMPUTED_VALUE"""),"ROS Basics: Program Robots!")</f>
        <v>ROS Basics: Program Robots!</v>
      </c>
      <c r="E46" t="str">
        <f>IFERROR(__xludf.DUMMYFUNCTION("""COMPUTED_VALUE"""),"Surya Prakash")</f>
        <v>Surya Prakash</v>
      </c>
      <c r="F46" t="str">
        <f>IFERROR(__xludf.DUMMYFUNCTION("""COMPUTED_VALUE"""),"Below Quality Standards- Low Rating")</f>
        <v>Below Quality Standards- Low Rating</v>
      </c>
      <c r="G46" s="142" t="str">
        <f>IFERROR(__xludf.DUMMYFUNCTION("""COMPUTED_VALUE"""),"Development")</f>
        <v>Development</v>
      </c>
      <c r="H46" s="140" t="str">
        <f>IFERROR(__xludf.DUMMYFUNCTION("""COMPUTED_VALUE"""),"Development Tools")</f>
        <v>Development Tools</v>
      </c>
      <c r="I46">
        <f>IFERROR(__xludf.DUMMYFUNCTION("""COMPUTED_VALUE"""),1725034.0)</f>
        <v>1725034</v>
      </c>
      <c r="J46" s="140" t="str">
        <f>IFERROR(__xludf.DUMMYFUNCTION("""COMPUTED_VALUE"""),"ROS For Beginners (ROS Noetic, Melodic, Kinetic)")</f>
        <v>ROS For Beginners (ROS Noetic, Melodic, Kinetic)</v>
      </c>
      <c r="L46" s="140" t="str">
        <f>IFERROR(__xludf.DUMMYFUNCTION("""COMPUTED_VALUE"""),"")</f>
        <v/>
      </c>
    </row>
    <row r="47">
      <c r="A47" s="141">
        <f>IFERROR(__xludf.DUMMYFUNCTION("""COMPUTED_VALUE"""),43819.0)</f>
        <v>43819</v>
      </c>
      <c r="B47" s="140">
        <f>IFERROR(__xludf.DUMMYFUNCTION("""COMPUTED_VALUE"""),1247992.0)</f>
        <v>1247992</v>
      </c>
      <c r="C47" s="140" t="str">
        <f>IFERROR(__xludf.DUMMYFUNCTION("""COMPUTED_VALUE"""),"EN")</f>
        <v>EN</v>
      </c>
      <c r="D47" s="140" t="str">
        <f>IFERROR(__xludf.DUMMYFUNCTION("""COMPUTED_VALUE"""),"Introduction to Project Management for Finance and Acct'g")</f>
        <v>Introduction to Project Management for Finance and Acct'g</v>
      </c>
      <c r="E47" t="str">
        <f>IFERROR(__xludf.DUMMYFUNCTION("""COMPUTED_VALUE"""),"Illumeo Learning")</f>
        <v>Illumeo Learning</v>
      </c>
      <c r="F47" t="str">
        <f>IFERROR(__xludf.DUMMYFUNCTION("""COMPUTED_VALUE"""),"Instructor Request- Opted Out")</f>
        <v>Instructor Request- Opted Out</v>
      </c>
      <c r="G47" s="142" t="str">
        <f>IFERROR(__xludf.DUMMYFUNCTION("""COMPUTED_VALUE"""),"Project Management &amp; Operations")</f>
        <v>Project Management &amp; Operations</v>
      </c>
      <c r="H47" s="140" t="str">
        <f>IFERROR(__xludf.DUMMYFUNCTION("""COMPUTED_VALUE"""),"Project Management Fundamentals")</f>
        <v>Project Management Fundamentals</v>
      </c>
      <c r="J47" s="140" t="str">
        <f>IFERROR(__xludf.DUMMYFUNCTION("""COMPUTED_VALUE"""),"")</f>
        <v/>
      </c>
      <c r="L47" s="140" t="str">
        <f>IFERROR(__xludf.DUMMYFUNCTION("""COMPUTED_VALUE"""),"")</f>
        <v/>
      </c>
    </row>
    <row r="48">
      <c r="A48" s="141">
        <f>IFERROR(__xludf.DUMMYFUNCTION("""COMPUTED_VALUE"""),43819.0)</f>
        <v>43819</v>
      </c>
      <c r="B48" s="140">
        <f>IFERROR(__xludf.DUMMYFUNCTION("""COMPUTED_VALUE"""),491934.0)</f>
        <v>491934</v>
      </c>
      <c r="C48" s="140" t="str">
        <f>IFERROR(__xludf.DUMMYFUNCTION("""COMPUTED_VALUE"""),"EN")</f>
        <v>EN</v>
      </c>
      <c r="D48" s="140" t="str">
        <f>IFERROR(__xludf.DUMMYFUNCTION("""COMPUTED_VALUE"""),"Recruiter Secrets: How To Find Your Prospects Interests")</f>
        <v>Recruiter Secrets: How To Find Your Prospects Interests</v>
      </c>
      <c r="E48" t="str">
        <f>IFERROR(__xludf.DUMMYFUNCTION("""COMPUTED_VALUE"""),"Clinton Buelter")</f>
        <v>Clinton Buelter</v>
      </c>
      <c r="F48" t="str">
        <f>IFERROR(__xludf.DUMMYFUNCTION("""COMPUTED_VALUE"""),"Instructor Request- Opted Out")</f>
        <v>Instructor Request- Opted Out</v>
      </c>
      <c r="G48" s="142" t="str">
        <f>IFERROR(__xludf.DUMMYFUNCTION("""COMPUTED_VALUE"""),"Human Resources")</f>
        <v>Human Resources</v>
      </c>
      <c r="H48" s="140" t="str">
        <f>IFERROR(__xludf.DUMMYFUNCTION("""COMPUTED_VALUE"""),"Talent Management")</f>
        <v>Talent Management</v>
      </c>
      <c r="I48">
        <f>IFERROR(__xludf.DUMMYFUNCTION("""COMPUTED_VALUE"""),469454.0)</f>
        <v>469454</v>
      </c>
      <c r="J48" s="140" t="str">
        <f>IFERROR(__xludf.DUMMYFUNCTION("""COMPUTED_VALUE"""),"")</f>
        <v/>
      </c>
      <c r="L48" s="140" t="str">
        <f>IFERROR(__xludf.DUMMYFUNCTION("""COMPUTED_VALUE"""),"")</f>
        <v/>
      </c>
    </row>
    <row r="49">
      <c r="A49" s="141">
        <f>IFERROR(__xludf.DUMMYFUNCTION("""COMPUTED_VALUE"""),43819.0)</f>
        <v>43819</v>
      </c>
      <c r="B49" s="140">
        <f>IFERROR(__xludf.DUMMYFUNCTION("""COMPUTED_VALUE"""),690392.0)</f>
        <v>690392</v>
      </c>
      <c r="C49" s="140" t="str">
        <f>IFERROR(__xludf.DUMMYFUNCTION("""COMPUTED_VALUE"""),"EN")</f>
        <v>EN</v>
      </c>
      <c r="D49" s="140" t="str">
        <f>IFERROR(__xludf.DUMMYFUNCTION("""COMPUTED_VALUE"""),"FPGA Design Learning VHDL")</f>
        <v>FPGA Design Learning VHDL</v>
      </c>
      <c r="E49" t="str">
        <f>IFERROR(__xludf.DUMMYFUNCTION("""COMPUTED_VALUE"""),"SURF VHDL")</f>
        <v>SURF VHDL</v>
      </c>
      <c r="F49" t="str">
        <f>IFERROR(__xludf.DUMMYFUNCTION("""COMPUTED_VALUE"""),"Below Quality Standards- 3 Flags")</f>
        <v>Below Quality Standards- 3 Flags</v>
      </c>
      <c r="G49" s="142" t="str">
        <f>IFERROR(__xludf.DUMMYFUNCTION("""COMPUTED_VALUE"""),"IT Operations")</f>
        <v>IT Operations</v>
      </c>
      <c r="H49" s="140" t="str">
        <f>IFERROR(__xludf.DUMMYFUNCTION("""COMPUTED_VALUE"""),"Hardware")</f>
        <v>Hardware</v>
      </c>
      <c r="I49">
        <f>IFERROR(__xludf.DUMMYFUNCTION("""COMPUTED_VALUE"""),425522.0)</f>
        <v>425522</v>
      </c>
      <c r="J49" s="140" t="str">
        <f>IFERROR(__xludf.DUMMYFUNCTION("""COMPUTED_VALUE"""),"Learn VHDL and FPGA Development")</f>
        <v>Learn VHDL and FPGA Development</v>
      </c>
      <c r="L49" s="140" t="str">
        <f>IFERROR(__xludf.DUMMYFUNCTION("""COMPUTED_VALUE"""),"")</f>
        <v/>
      </c>
    </row>
    <row r="50">
      <c r="A50" s="141">
        <f>IFERROR(__xludf.DUMMYFUNCTION("""COMPUTED_VALUE"""),43819.0)</f>
        <v>43819</v>
      </c>
      <c r="B50" s="140">
        <f>IFERROR(__xludf.DUMMYFUNCTION("""COMPUTED_VALUE"""),1102182.0)</f>
        <v>1102182</v>
      </c>
      <c r="C50" s="140" t="str">
        <f>IFERROR(__xludf.DUMMYFUNCTION("""COMPUTED_VALUE"""),"EN")</f>
        <v>EN</v>
      </c>
      <c r="D50" s="140" t="str">
        <f>IFERROR(__xludf.DUMMYFUNCTION("""COMPUTED_VALUE"""),"Balanced Scorecard: Master Your Data Driven Performance")</f>
        <v>Balanced Scorecard: Master Your Data Driven Performance</v>
      </c>
      <c r="E50" t="str">
        <f>IFERROR(__xludf.DUMMYFUNCTION("""COMPUTED_VALUE"""),"Warren Chalklen, PhD")</f>
        <v>Warren Chalklen, PhD</v>
      </c>
      <c r="F50" t="str">
        <f>IFERROR(__xludf.DUMMYFUNCTION("""COMPUTED_VALUE"""),"Below Quality Standards- 3 Flags")</f>
        <v>Below Quality Standards- 3 Flags</v>
      </c>
      <c r="G50" s="142" t="str">
        <f>IFERROR(__xludf.DUMMYFUNCTION("""COMPUTED_VALUE"""),"Leadership &amp; Management")</f>
        <v>Leadership &amp; Management</v>
      </c>
      <c r="H50" s="140" t="str">
        <f>IFERROR(__xludf.DUMMYFUNCTION("""COMPUTED_VALUE"""),"Leadership")</f>
        <v>Leadership</v>
      </c>
      <c r="I50">
        <f>IFERROR(__xludf.DUMMYFUNCTION("""COMPUTED_VALUE"""),1233314.0)</f>
        <v>1233314</v>
      </c>
      <c r="J50" s="140" t="str">
        <f>IFERROR(__xludf.DUMMYFUNCTION("""COMPUTED_VALUE"""),"")</f>
        <v/>
      </c>
      <c r="L50" s="140" t="str">
        <f>IFERROR(__xludf.DUMMYFUNCTION("""COMPUTED_VALUE"""),"")</f>
        <v/>
      </c>
    </row>
    <row r="51">
      <c r="A51" s="141">
        <f>IFERROR(__xludf.DUMMYFUNCTION("""COMPUTED_VALUE"""),43819.0)</f>
        <v>43819</v>
      </c>
      <c r="B51" s="140">
        <f>IFERROR(__xludf.DUMMYFUNCTION("""COMPUTED_VALUE"""),1069336.0)</f>
        <v>1069336</v>
      </c>
      <c r="C51" s="140" t="str">
        <f>IFERROR(__xludf.DUMMYFUNCTION("""COMPUTED_VALUE"""),"EN")</f>
        <v>EN</v>
      </c>
      <c r="D51" s="140" t="str">
        <f>IFERROR(__xludf.DUMMYFUNCTION("""COMPUTED_VALUE"""),"Learning Haskell Programming")</f>
        <v>Learning Haskell Programming</v>
      </c>
      <c r="E51" t="str">
        <f>IFERROR(__xludf.DUMMYFUNCTION("""COMPUTED_VALUE"""),"Packt Publishing")</f>
        <v>Packt Publishing</v>
      </c>
      <c r="F51" t="str">
        <f>IFERROR(__xludf.DUMMYFUNCTION("""COMPUTED_VALUE"""),"Below Quality Standards- 3 Flags")</f>
        <v>Below Quality Standards- 3 Flags</v>
      </c>
      <c r="G51" s="142" t="str">
        <f>IFERROR(__xludf.DUMMYFUNCTION("""COMPUTED_VALUE"""),"Development")</f>
        <v>Development</v>
      </c>
      <c r="H51" s="140" t="str">
        <f>IFERROR(__xludf.DUMMYFUNCTION("""COMPUTED_VALUE"""),"Programming Languages")</f>
        <v>Programming Languages</v>
      </c>
      <c r="J51" s="140" t="str">
        <f>IFERROR(__xludf.DUMMYFUNCTION("""COMPUTED_VALUE"""),"")</f>
        <v/>
      </c>
      <c r="L51" s="140" t="str">
        <f>IFERROR(__xludf.DUMMYFUNCTION("""COMPUTED_VALUE"""),"")</f>
        <v/>
      </c>
    </row>
    <row r="52">
      <c r="A52" s="141">
        <f>IFERROR(__xludf.DUMMYFUNCTION("""COMPUTED_VALUE"""),43819.0)</f>
        <v>43819</v>
      </c>
      <c r="B52" s="140">
        <f>IFERROR(__xludf.DUMMYFUNCTION("""COMPUTED_VALUE"""),1266286.0)</f>
        <v>1266286</v>
      </c>
      <c r="C52" s="140" t="str">
        <f>IFERROR(__xludf.DUMMYFUNCTION("""COMPUTED_VALUE"""),"EN")</f>
        <v>EN</v>
      </c>
      <c r="D52" s="140" t="str">
        <f>IFERROR(__xludf.DUMMYFUNCTION("""COMPUTED_VALUE"""),"Data Mining Through Cluster Analysis Using Python")</f>
        <v>Data Mining Through Cluster Analysis Using Python</v>
      </c>
      <c r="E52" t="str">
        <f>IFERROR(__xludf.DUMMYFUNCTION("""COMPUTED_VALUE"""),"Ermin Dedic")</f>
        <v>Ermin Dedic</v>
      </c>
      <c r="F52" t="str">
        <f>IFERROR(__xludf.DUMMYFUNCTION("""COMPUTED_VALUE"""),"Instructor Request- Wants to Update")</f>
        <v>Instructor Request- Wants to Update</v>
      </c>
      <c r="G52" s="142" t="str">
        <f>IFERROR(__xludf.DUMMYFUNCTION("""COMPUTED_VALUE"""),"Data Science")</f>
        <v>Data Science</v>
      </c>
      <c r="H52" s="140" t="str">
        <f>IFERROR(__xludf.DUMMYFUNCTION("""COMPUTED_VALUE"""),"Big Data")</f>
        <v>Big Data</v>
      </c>
      <c r="I52">
        <f>IFERROR(__xludf.DUMMYFUNCTION("""COMPUTED_VALUE"""),825684.0)</f>
        <v>825684</v>
      </c>
      <c r="J52" s="140" t="str">
        <f>IFERROR(__xludf.DUMMYFUNCTION("""COMPUTED_VALUE"""),"")</f>
        <v/>
      </c>
      <c r="L52" s="140" t="str">
        <f>IFERROR(__xludf.DUMMYFUNCTION("""COMPUTED_VALUE"""),"")</f>
        <v/>
      </c>
    </row>
    <row r="53">
      <c r="A53" s="141">
        <f>IFERROR(__xludf.DUMMYFUNCTION("""COMPUTED_VALUE"""),43819.0)</f>
        <v>43819</v>
      </c>
      <c r="B53" s="140">
        <f>IFERROR(__xludf.DUMMYFUNCTION("""COMPUTED_VALUE"""),982860.0)</f>
        <v>982860</v>
      </c>
      <c r="C53" s="140" t="str">
        <f>IFERROR(__xludf.DUMMYFUNCTION("""COMPUTED_VALUE"""),"EN")</f>
        <v>EN</v>
      </c>
      <c r="D53" s="140" t="str">
        <f>IFERROR(__xludf.DUMMYFUNCTION("""COMPUTED_VALUE"""),"Django + AngularJS for a Powerful Web Application")</f>
        <v>Django + AngularJS for a Powerful Web Application</v>
      </c>
      <c r="E53" t="str">
        <f>IFERROR(__xludf.DUMMYFUNCTION("""COMPUTED_VALUE"""),"Justin Mitchel")</f>
        <v>Justin Mitchel</v>
      </c>
      <c r="F53" t="str">
        <f>IFERROR(__xludf.DUMMYFUNCTION("""COMPUTED_VALUE"""),"Below Quality Standards- 3 Flags")</f>
        <v>Below Quality Standards- 3 Flags</v>
      </c>
      <c r="G53" s="142" t="str">
        <f>IFERROR(__xludf.DUMMYFUNCTION("""COMPUTED_VALUE"""),"Development")</f>
        <v>Development</v>
      </c>
      <c r="H53" s="140" t="str">
        <f>IFERROR(__xludf.DUMMYFUNCTION("""COMPUTED_VALUE"""),"Web Development")</f>
        <v>Web Development</v>
      </c>
      <c r="J53" s="140" t="str">
        <f>IFERROR(__xludf.DUMMYFUNCTION("""COMPUTED_VALUE"""),"")</f>
        <v/>
      </c>
      <c r="L53" s="140" t="str">
        <f>IFERROR(__xludf.DUMMYFUNCTION("""COMPUTED_VALUE"""),"")</f>
        <v/>
      </c>
    </row>
    <row r="54">
      <c r="A54" s="141">
        <f>IFERROR(__xludf.DUMMYFUNCTION("""COMPUTED_VALUE"""),43819.0)</f>
        <v>43819</v>
      </c>
      <c r="B54" s="140">
        <f>IFERROR(__xludf.DUMMYFUNCTION("""COMPUTED_VALUE"""),274222.0)</f>
        <v>274222</v>
      </c>
      <c r="C54" s="140" t="str">
        <f>IFERROR(__xludf.DUMMYFUNCTION("""COMPUTED_VALUE"""),"EN")</f>
        <v>EN</v>
      </c>
      <c r="D54" s="140" t="str">
        <f>IFERROR(__xludf.DUMMYFUNCTION("""COMPUTED_VALUE"""),"How to Negotiate a Higher Salary with Any Employer")</f>
        <v>How to Negotiate a Higher Salary with Any Employer</v>
      </c>
      <c r="E54" t="str">
        <f>IFERROR(__xludf.DUMMYFUNCTION("""COMPUTED_VALUE"""),"McCall Jones")</f>
        <v>McCall Jones</v>
      </c>
      <c r="F54" t="str">
        <f>IFERROR(__xludf.DUMMYFUNCTION("""COMPUTED_VALUE"""),"Below Quality Standards- 3 Flags")</f>
        <v>Below Quality Standards- 3 Flags</v>
      </c>
      <c r="G54" s="142" t="str">
        <f>IFERROR(__xludf.DUMMYFUNCTION("""COMPUTED_VALUE"""),"Leadership &amp; Management")</f>
        <v>Leadership &amp; Management</v>
      </c>
      <c r="H54" s="140" t="str">
        <f>IFERROR(__xludf.DUMMYFUNCTION("""COMPUTED_VALUE"""),"Communication")</f>
        <v>Communication</v>
      </c>
      <c r="J54" s="140" t="str">
        <f>IFERROR(__xludf.DUMMYFUNCTION("""COMPUTED_VALUE"""),"")</f>
        <v/>
      </c>
      <c r="L54" s="140" t="str">
        <f>IFERROR(__xludf.DUMMYFUNCTION("""COMPUTED_VALUE"""),"")</f>
        <v/>
      </c>
    </row>
    <row r="55">
      <c r="A55" s="141">
        <f>IFERROR(__xludf.DUMMYFUNCTION("""COMPUTED_VALUE"""),43819.0)</f>
        <v>43819</v>
      </c>
      <c r="B55" s="140">
        <f>IFERROR(__xludf.DUMMYFUNCTION("""COMPUTED_VALUE"""),953614.0)</f>
        <v>953614</v>
      </c>
      <c r="C55" s="140" t="str">
        <f>IFERROR(__xludf.DUMMYFUNCTION("""COMPUTED_VALUE"""),"EN")</f>
        <v>EN</v>
      </c>
      <c r="D55" s="140" t="str">
        <f>IFERROR(__xludf.DUMMYFUNCTION("""COMPUTED_VALUE"""),"Scale Your Business With Web Analytics &amp; Conversion Strategy")</f>
        <v>Scale Your Business With Web Analytics &amp; Conversion Strategy</v>
      </c>
      <c r="E55" t="str">
        <f>IFERROR(__xludf.DUMMYFUNCTION("""COMPUTED_VALUE"""),"Christine Maisel")</f>
        <v>Christine Maisel</v>
      </c>
      <c r="F55" t="str">
        <f>IFERROR(__xludf.DUMMYFUNCTION("""COMPUTED_VALUE"""),"Below Quality Standards- 3 Flags")</f>
        <v>Below Quality Standards- 3 Flags</v>
      </c>
      <c r="G55" s="142" t="str">
        <f>IFERROR(__xludf.DUMMYFUNCTION("""COMPUTED_VALUE"""),"Marketing")</f>
        <v>Marketing</v>
      </c>
      <c r="H55" s="140" t="str">
        <f>IFERROR(__xludf.DUMMYFUNCTION("""COMPUTED_VALUE"""),"Digital Marketing")</f>
        <v>Digital Marketing</v>
      </c>
      <c r="I55">
        <f>IFERROR(__xludf.DUMMYFUNCTION("""COMPUTED_VALUE"""),1639320.0)</f>
        <v>1639320</v>
      </c>
      <c r="J55" s="140" t="str">
        <f>IFERROR(__xludf.DUMMYFUNCTION("""COMPUTED_VALUE"""),"Web Analytics &amp; Digital Marketing Analytics - Zero to Hero")</f>
        <v>Web Analytics &amp; Digital Marketing Analytics - Zero to Hero</v>
      </c>
      <c r="L55" s="140" t="str">
        <f>IFERROR(__xludf.DUMMYFUNCTION("""COMPUTED_VALUE"""),"")</f>
        <v/>
      </c>
    </row>
    <row r="56">
      <c r="A56" s="141">
        <f>IFERROR(__xludf.DUMMYFUNCTION("""COMPUTED_VALUE"""),43819.0)</f>
        <v>43819</v>
      </c>
      <c r="B56" s="140">
        <f>IFERROR(__xludf.DUMMYFUNCTION("""COMPUTED_VALUE"""),1262190.0)</f>
        <v>1262190</v>
      </c>
      <c r="C56" s="140" t="str">
        <f>IFERROR(__xludf.DUMMYFUNCTION("""COMPUTED_VALUE"""),"EN")</f>
        <v>EN</v>
      </c>
      <c r="D56" s="140" t="str">
        <f>IFERROR(__xludf.DUMMYFUNCTION("""COMPUTED_VALUE"""),"Delivering Useful Feedback in a Corporate Setting")</f>
        <v>Delivering Useful Feedback in a Corporate Setting</v>
      </c>
      <c r="E56" t="str">
        <f>IFERROR(__xludf.DUMMYFUNCTION("""COMPUTED_VALUE"""),"Illumeo Learning")</f>
        <v>Illumeo Learning</v>
      </c>
      <c r="F56" t="str">
        <f>IFERROR(__xludf.DUMMYFUNCTION("""COMPUTED_VALUE"""),"Instructor Request- Opted Out")</f>
        <v>Instructor Request- Opted Out</v>
      </c>
      <c r="G56" s="142" t="str">
        <f>IFERROR(__xludf.DUMMYFUNCTION("""COMPUTED_VALUE"""),"Leadership &amp; Management")</f>
        <v>Leadership &amp; Management</v>
      </c>
      <c r="H56" s="140" t="str">
        <f>IFERROR(__xludf.DUMMYFUNCTION("""COMPUTED_VALUE"""),"Leadership")</f>
        <v>Leadership</v>
      </c>
      <c r="I56">
        <f>IFERROR(__xludf.DUMMYFUNCTION("""COMPUTED_VALUE"""),1331304.0)</f>
        <v>1331304</v>
      </c>
      <c r="J56" s="140" t="str">
        <f>IFERROR(__xludf.DUMMYFUNCTION("""COMPUTED_VALUE"""),"Deliver Powerful, Painless Feedback to Motivate vs Frustrate")</f>
        <v>Deliver Powerful, Painless Feedback to Motivate vs Frustrate</v>
      </c>
      <c r="K56">
        <f>IFERROR(__xludf.DUMMYFUNCTION("""COMPUTED_VALUE"""),1361814.0)</f>
        <v>1361814</v>
      </c>
      <c r="L56" s="140" t="str">
        <f>IFERROR(__xludf.DUMMYFUNCTION("""COMPUTED_VALUE"""),"Giving Effective Feedback: Empower and Retain Your Employees")</f>
        <v>Giving Effective Feedback: Empower and Retain Your Employees</v>
      </c>
    </row>
    <row r="57">
      <c r="A57" s="141">
        <f>IFERROR(__xludf.DUMMYFUNCTION("""COMPUTED_VALUE"""),43819.0)</f>
        <v>43819</v>
      </c>
      <c r="B57" s="140">
        <f>IFERROR(__xludf.DUMMYFUNCTION("""COMPUTED_VALUE"""),376782.0)</f>
        <v>376782</v>
      </c>
      <c r="C57" s="140" t="str">
        <f>IFERROR(__xludf.DUMMYFUNCTION("""COMPUTED_VALUE"""),"EN")</f>
        <v>EN</v>
      </c>
      <c r="D57" s="140" t="str">
        <f>IFERROR(__xludf.DUMMYFUNCTION("""COMPUTED_VALUE"""),"Don't Launch your Survey Yet! 4 Traps to Remove First")</f>
        <v>Don't Launch your Survey Yet! 4 Traps to Remove First</v>
      </c>
      <c r="E57" t="str">
        <f>IFERROR(__xludf.DUMMYFUNCTION("""COMPUTED_VALUE"""),"Matthew Champagne")</f>
        <v>Matthew Champagne</v>
      </c>
      <c r="F57" t="str">
        <f>IFERROR(__xludf.DUMMYFUNCTION("""COMPUTED_VALUE"""),"Below Quality Standards- 3 Flags")</f>
        <v>Below Quality Standards- 3 Flags</v>
      </c>
      <c r="G57" s="142" t="str">
        <f>IFERROR(__xludf.DUMMYFUNCTION("""COMPUTED_VALUE"""),"Data Science")</f>
        <v>Data Science</v>
      </c>
      <c r="H57" s="140" t="str">
        <f>IFERROR(__xludf.DUMMYFUNCTION("""COMPUTED_VALUE"""),"Analytics")</f>
        <v>Analytics</v>
      </c>
      <c r="J57" s="140" t="str">
        <f>IFERROR(__xludf.DUMMYFUNCTION("""COMPUTED_VALUE"""),"")</f>
        <v/>
      </c>
      <c r="L57" s="140" t="str">
        <f>IFERROR(__xludf.DUMMYFUNCTION("""COMPUTED_VALUE"""),"")</f>
        <v/>
      </c>
    </row>
    <row r="58">
      <c r="A58" s="141">
        <f>IFERROR(__xludf.DUMMYFUNCTION("""COMPUTED_VALUE"""),43819.0)</f>
        <v>43819</v>
      </c>
      <c r="B58" s="140">
        <f>IFERROR(__xludf.DUMMYFUNCTION("""COMPUTED_VALUE"""),553832.0)</f>
        <v>553832</v>
      </c>
      <c r="C58" s="140" t="str">
        <f>IFERROR(__xludf.DUMMYFUNCTION("""COMPUTED_VALUE"""),"EN")</f>
        <v>EN</v>
      </c>
      <c r="D58" s="140" t="str">
        <f>IFERROR(__xludf.DUMMYFUNCTION("""COMPUTED_VALUE"""),"Create Professional Character Designs in Photoshop")</f>
        <v>Create Professional Character Designs in Photoshop</v>
      </c>
      <c r="E58" t="str">
        <f>IFERROR(__xludf.DUMMYFUNCTION("""COMPUTED_VALUE"""),"3D BUZZ Programming and Digital Art training")</f>
        <v>3D BUZZ Programming and Digital Art training</v>
      </c>
      <c r="F58" t="str">
        <f>IFERROR(__xludf.DUMMYFUNCTION("""COMPUTED_VALUE"""),"Below Quality Standards- 3 Flags")</f>
        <v>Below Quality Standards- 3 Flags</v>
      </c>
      <c r="G58" s="142" t="str">
        <f>IFERROR(__xludf.DUMMYFUNCTION("""COMPUTED_VALUE"""),"Design")</f>
        <v>Design</v>
      </c>
      <c r="H58" s="140" t="str">
        <f>IFERROR(__xludf.DUMMYFUNCTION("""COMPUTED_VALUE"""),"Graphic Design")</f>
        <v>Graphic Design</v>
      </c>
      <c r="I58">
        <f>IFERROR(__xludf.DUMMYFUNCTION("""COMPUTED_VALUE"""),655208.0)</f>
        <v>655208</v>
      </c>
      <c r="J58" s="140" t="str">
        <f>IFERROR(__xludf.DUMMYFUNCTION("""COMPUTED_VALUE"""),"The Ultimate 2D Game Character Design &amp; Animation Course")</f>
        <v>The Ultimate 2D Game Character Design &amp; Animation Course</v>
      </c>
      <c r="L58" s="140" t="str">
        <f>IFERROR(__xludf.DUMMYFUNCTION("""COMPUTED_VALUE"""),"")</f>
        <v/>
      </c>
    </row>
    <row r="59">
      <c r="A59" s="141">
        <f>IFERROR(__xludf.DUMMYFUNCTION("""COMPUTED_VALUE"""),43819.0)</f>
        <v>43819</v>
      </c>
      <c r="B59" s="140">
        <f>IFERROR(__xludf.DUMMYFUNCTION("""COMPUTED_VALUE"""),42321.0)</f>
        <v>42321</v>
      </c>
      <c r="C59" s="140" t="str">
        <f>IFERROR(__xludf.DUMMYFUNCTION("""COMPUTED_VALUE"""),"EN")</f>
        <v>EN</v>
      </c>
      <c r="D59" s="140" t="str">
        <f>IFERROR(__xludf.DUMMYFUNCTION("""COMPUTED_VALUE"""),"Effortless Email: Achieve Inbox Zero for Good &amp; Master Gmail")</f>
        <v>Effortless Email: Achieve Inbox Zero for Good &amp; Master Gmail</v>
      </c>
      <c r="E59" t="str">
        <f>IFERROR(__xludf.DUMMYFUNCTION("""COMPUTED_VALUE"""),"Arman Assadi")</f>
        <v>Arman Assadi</v>
      </c>
      <c r="F59" t="str">
        <f>IFERROR(__xludf.DUMMYFUNCTION("""COMPUTED_VALUE"""),"Below Quality Standards- 3 Flags")</f>
        <v>Below Quality Standards- 3 Flags</v>
      </c>
      <c r="G59" s="142" t="str">
        <f>IFERROR(__xludf.DUMMYFUNCTION("""COMPUTED_VALUE"""),"Office Productivity")</f>
        <v>Office Productivity</v>
      </c>
      <c r="H59" s="140" t="str">
        <f>IFERROR(__xludf.DUMMYFUNCTION("""COMPUTED_VALUE"""),"Email &amp; Productivity")</f>
        <v>Email &amp; Productivity</v>
      </c>
      <c r="I59">
        <f>IFERROR(__xludf.DUMMYFUNCTION("""COMPUTED_VALUE"""),726230.0)</f>
        <v>726230</v>
      </c>
      <c r="J59" s="140" t="str">
        <f>IFERROR(__xludf.DUMMYFUNCTION("""COMPUTED_VALUE"""),"Double your Gmail productivity in just over one hour")</f>
        <v>Double your Gmail productivity in just over one hour</v>
      </c>
      <c r="K59">
        <f>IFERROR(__xludf.DUMMYFUNCTION("""COMPUTED_VALUE"""),49779.0)</f>
        <v>49779</v>
      </c>
      <c r="L59" s="140" t="str">
        <f>IFERROR(__xludf.DUMMYFUNCTION("""COMPUTED_VALUE"""),"The Ultimate Gmail Productivity System For Business")</f>
        <v>The Ultimate Gmail Productivity System For Business</v>
      </c>
    </row>
    <row r="60">
      <c r="A60" s="141">
        <f>IFERROR(__xludf.DUMMYFUNCTION("""COMPUTED_VALUE"""),43819.0)</f>
        <v>43819</v>
      </c>
      <c r="B60" s="140">
        <f>IFERROR(__xludf.DUMMYFUNCTION("""COMPUTED_VALUE"""),690506.0)</f>
        <v>690506</v>
      </c>
      <c r="C60" s="140" t="str">
        <f>IFERROR(__xludf.DUMMYFUNCTION("""COMPUTED_VALUE"""),"EN")</f>
        <v>EN</v>
      </c>
      <c r="D60" s="140" t="str">
        <f>IFERROR(__xludf.DUMMYFUNCTION("""COMPUTED_VALUE"""),"A Complete Guide to Creating Animated Information Graphics")</f>
        <v>A Complete Guide to Creating Animated Information Graphics</v>
      </c>
      <c r="E60" t="str">
        <f>IFERROR(__xludf.DUMMYFUNCTION("""COMPUTED_VALUE"""),"Graham Roberts")</f>
        <v>Graham Roberts</v>
      </c>
      <c r="F60" t="str">
        <f>IFERROR(__xludf.DUMMYFUNCTION("""COMPUTED_VALUE"""),"Below Quality Standards- 3 Flags")</f>
        <v>Below Quality Standards- 3 Flags</v>
      </c>
      <c r="G60" s="142" t="str">
        <f>IFERROR(__xludf.DUMMYFUNCTION("""COMPUTED_VALUE"""),"Design")</f>
        <v>Design</v>
      </c>
      <c r="H60" s="140" t="str">
        <f>IFERROR(__xludf.DUMMYFUNCTION("""COMPUTED_VALUE"""),"Design Tools")</f>
        <v>Design Tools</v>
      </c>
      <c r="I60">
        <f>IFERROR(__xludf.DUMMYFUNCTION("""COMPUTED_VALUE"""),780118.0)</f>
        <v>780118</v>
      </c>
      <c r="J60" s="140" t="str">
        <f>IFERROR(__xludf.DUMMYFUNCTION("""COMPUTED_VALUE"""),"After Effects CC: Data Visualization &amp; Animated Infographics")</f>
        <v>After Effects CC: Data Visualization &amp; Animated Infographics</v>
      </c>
      <c r="L60" s="140" t="str">
        <f>IFERROR(__xludf.DUMMYFUNCTION("""COMPUTED_VALUE"""),"")</f>
        <v/>
      </c>
    </row>
    <row r="61">
      <c r="A61" s="141">
        <f>IFERROR(__xludf.DUMMYFUNCTION("""COMPUTED_VALUE"""),43819.0)</f>
        <v>43819</v>
      </c>
      <c r="B61" s="140">
        <f>IFERROR(__xludf.DUMMYFUNCTION("""COMPUTED_VALUE"""),1261830.0)</f>
        <v>1261830</v>
      </c>
      <c r="C61" s="140" t="str">
        <f>IFERROR(__xludf.DUMMYFUNCTION("""COMPUTED_VALUE"""),"EN")</f>
        <v>EN</v>
      </c>
      <c r="D61" s="140" t="str">
        <f>IFERROR(__xludf.DUMMYFUNCTION("""COMPUTED_VALUE"""),"iOS 11 &amp; Swift 4: From Beginner to Paid Professional™")</f>
        <v>iOS 11 &amp; Swift 4: From Beginner to Paid Professional™</v>
      </c>
      <c r="E61" t="str">
        <f>IFERROR(__xludf.DUMMYFUNCTION("""COMPUTED_VALUE"""),"Mark Price")</f>
        <v>Mark Price</v>
      </c>
      <c r="F61" t="str">
        <f>IFERROR(__xludf.DUMMYFUNCTION("""COMPUTED_VALUE"""),"Below Quality Standards- Outdated")</f>
        <v>Below Quality Standards- Outdated</v>
      </c>
      <c r="G61" s="142" t="str">
        <f>IFERROR(__xludf.DUMMYFUNCTION("""COMPUTED_VALUE"""),"Development")</f>
        <v>Development</v>
      </c>
      <c r="H61" s="140" t="str">
        <f>IFERROR(__xludf.DUMMYFUNCTION("""COMPUTED_VALUE"""),"Mobile Development")</f>
        <v>Mobile Development</v>
      </c>
      <c r="I61">
        <f>IFERROR(__xludf.DUMMYFUNCTION("""COMPUTED_VALUE"""),1289478.0)</f>
        <v>1289478</v>
      </c>
      <c r="J61" s="140" t="str">
        <f>IFERROR(__xludf.DUMMYFUNCTION("""COMPUTED_VALUE"""),"")</f>
        <v/>
      </c>
      <c r="L61" s="140" t="str">
        <f>IFERROR(__xludf.DUMMYFUNCTION("""COMPUTED_VALUE"""),"")</f>
        <v/>
      </c>
    </row>
    <row r="62">
      <c r="A62" s="141">
        <f>IFERROR(__xludf.DUMMYFUNCTION("""COMPUTED_VALUE"""),43819.0)</f>
        <v>43819</v>
      </c>
      <c r="B62" s="140">
        <f>IFERROR(__xludf.DUMMYFUNCTION("""COMPUTED_VALUE"""),1264880.0)</f>
        <v>1264880</v>
      </c>
      <c r="C62" s="140" t="str">
        <f>IFERROR(__xludf.DUMMYFUNCTION("""COMPUTED_VALUE"""),"EN")</f>
        <v>EN</v>
      </c>
      <c r="D62" s="140" t="str">
        <f>IFERROR(__xludf.DUMMYFUNCTION("""COMPUTED_VALUE"""),"How to Make a Freaking iPhone App - iOS 11 and Swift 4")</f>
        <v>How to Make a Freaking iPhone App - iOS 11 and Swift 4</v>
      </c>
      <c r="E62" t="str">
        <f>IFERROR(__xludf.DUMMYFUNCTION("""COMPUTED_VALUE"""),"Nick Walter")</f>
        <v>Nick Walter</v>
      </c>
      <c r="F62" t="str">
        <f>IFERROR(__xludf.DUMMYFUNCTION("""COMPUTED_VALUE"""),"Below Quality Standards- Outdated")</f>
        <v>Below Quality Standards- Outdated</v>
      </c>
      <c r="G62" s="142" t="str">
        <f>IFERROR(__xludf.DUMMYFUNCTION("""COMPUTED_VALUE"""),"Development")</f>
        <v>Development</v>
      </c>
      <c r="H62" s="140" t="str">
        <f>IFERROR(__xludf.DUMMYFUNCTION("""COMPUTED_VALUE"""),"Mobile Development")</f>
        <v>Mobile Development</v>
      </c>
      <c r="I62">
        <f>IFERROR(__xludf.DUMMYFUNCTION("""COMPUTED_VALUE"""),1289478.0)</f>
        <v>1289478</v>
      </c>
      <c r="J62" s="140" t="str">
        <f>IFERROR(__xludf.DUMMYFUNCTION("""COMPUTED_VALUE"""),"")</f>
        <v/>
      </c>
      <c r="L62" s="140" t="str">
        <f>IFERROR(__xludf.DUMMYFUNCTION("""COMPUTED_VALUE"""),"")</f>
        <v/>
      </c>
    </row>
    <row r="63">
      <c r="A63" s="141">
        <f>IFERROR(__xludf.DUMMYFUNCTION("""COMPUTED_VALUE"""),43819.0)</f>
        <v>43819</v>
      </c>
      <c r="B63" s="140">
        <f>IFERROR(__xludf.DUMMYFUNCTION("""COMPUTED_VALUE"""),1253188.0)</f>
        <v>1253188</v>
      </c>
      <c r="C63" s="140" t="str">
        <f>IFERROR(__xludf.DUMMYFUNCTION("""COMPUTED_VALUE"""),"EN")</f>
        <v>EN</v>
      </c>
      <c r="D63" s="140" t="str">
        <f>IFERROR(__xludf.DUMMYFUNCTION("""COMPUTED_VALUE"""),"The Complete iOS 11 &amp; Swift Developer Course - Build 20 Apps")</f>
        <v>The Complete iOS 11 &amp; Swift Developer Course - Build 20 Apps</v>
      </c>
      <c r="E63" t="str">
        <f>IFERROR(__xludf.DUMMYFUNCTION("""COMPUTED_VALUE"""),"Rob Percival")</f>
        <v>Rob Percival</v>
      </c>
      <c r="F63" t="str">
        <f>IFERROR(__xludf.DUMMYFUNCTION("""COMPUTED_VALUE"""),"Below Quality Standards- Outdated")</f>
        <v>Below Quality Standards- Outdated</v>
      </c>
      <c r="G63" s="142" t="str">
        <f>IFERROR(__xludf.DUMMYFUNCTION("""COMPUTED_VALUE"""),"Development")</f>
        <v>Development</v>
      </c>
      <c r="H63" s="140" t="str">
        <f>IFERROR(__xludf.DUMMYFUNCTION("""COMPUTED_VALUE"""),"Mobile Development")</f>
        <v>Mobile Development</v>
      </c>
      <c r="I63">
        <f>IFERROR(__xludf.DUMMYFUNCTION("""COMPUTED_VALUE"""),1626812.0)</f>
        <v>1626812</v>
      </c>
      <c r="J63" s="140" t="str">
        <f>IFERROR(__xludf.DUMMYFUNCTION("""COMPUTED_VALUE"""),"Intermediate iOS - Complex and Advanced iPhone Apps")</f>
        <v>Intermediate iOS - Complex and Advanced iPhone Apps</v>
      </c>
      <c r="L63" s="140" t="str">
        <f>IFERROR(__xludf.DUMMYFUNCTION("""COMPUTED_VALUE"""),"")</f>
        <v/>
      </c>
    </row>
    <row r="64">
      <c r="A64" s="141">
        <f>IFERROR(__xludf.DUMMYFUNCTION("""COMPUTED_VALUE"""),43819.0)</f>
        <v>43819</v>
      </c>
      <c r="B64" s="140">
        <f>IFERROR(__xludf.DUMMYFUNCTION("""COMPUTED_VALUE"""),1140238.0)</f>
        <v>1140238</v>
      </c>
      <c r="C64" s="140" t="str">
        <f>IFERROR(__xludf.DUMMYFUNCTION("""COMPUTED_VALUE"""),"ES")</f>
        <v>ES</v>
      </c>
      <c r="D64" s="140" t="str">
        <f>IFERROR(__xludf.DUMMYFUNCTION("""COMPUTED_VALUE"""),"Machine Learning y Data Science con Python")</f>
        <v>Machine Learning y Data Science con Python</v>
      </c>
      <c r="E64" t="str">
        <f>IFERROR(__xludf.DUMMYFUNCTION("""COMPUTED_VALUE"""),"Manuel Garrido")</f>
        <v>Manuel Garrido</v>
      </c>
      <c r="F64" t="str">
        <f>IFERROR(__xludf.DUMMYFUNCTION("""COMPUTED_VALUE"""),"Instructor Request- Opted Out")</f>
        <v>Instructor Request- Opted Out</v>
      </c>
      <c r="G64" s="142" t="str">
        <f>IFERROR(__xludf.DUMMYFUNCTION("""COMPUTED_VALUE"""),"Data Science")</f>
        <v>Data Science</v>
      </c>
      <c r="H64" s="140" t="str">
        <f>IFERROR(__xludf.DUMMYFUNCTION("""COMPUTED_VALUE"""),"Machine Learning")</f>
        <v>Machine Learning</v>
      </c>
      <c r="I64">
        <f>IFERROR(__xludf.DUMMYFUNCTION("""COMPUTED_VALUE"""),2241862.0)</f>
        <v>2241862</v>
      </c>
      <c r="J64" s="140" t="str">
        <f>IFERROR(__xludf.DUMMYFUNCTION("""COMPUTED_VALUE"""),"Machine Learning de A a la Z: R y Python para Data Science")</f>
        <v>Machine Learning de A a la Z: R y Python para Data Science</v>
      </c>
      <c r="L64" s="140" t="str">
        <f>IFERROR(__xludf.DUMMYFUNCTION("""COMPUTED_VALUE"""),"")</f>
        <v/>
      </c>
    </row>
    <row r="65">
      <c r="A65" s="141">
        <f>IFERROR(__xludf.DUMMYFUNCTION("""COMPUTED_VALUE"""),43819.0)</f>
        <v>43819</v>
      </c>
      <c r="B65" s="140">
        <f>IFERROR(__xludf.DUMMYFUNCTION("""COMPUTED_VALUE"""),169638.0)</f>
        <v>169638</v>
      </c>
      <c r="C65" s="140" t="str">
        <f>IFERROR(__xludf.DUMMYFUNCTION("""COMPUTED_VALUE"""),"ES")</f>
        <v>ES</v>
      </c>
      <c r="D65" s="140" t="str">
        <f>IFERROR(__xludf.DUMMYFUNCTION("""COMPUTED_VALUE"""),"Fundamentos de Programación con Java")</f>
        <v>Fundamentos de Programación con Java</v>
      </c>
      <c r="E65" t="str">
        <f>IFERROR(__xludf.DUMMYFUNCTION("""COMPUTED_VALUE"""),"Ion Jaureguialzo Sarasola")</f>
        <v>Ion Jaureguialzo Sarasola</v>
      </c>
      <c r="F65" t="str">
        <f>IFERROR(__xludf.DUMMYFUNCTION("""COMPUTED_VALUE"""),"Instructor Request- Opted Out")</f>
        <v>Instructor Request- Opted Out</v>
      </c>
      <c r="G65" s="142" t="str">
        <f>IFERROR(__xludf.DUMMYFUNCTION("""COMPUTED_VALUE"""),"Development")</f>
        <v>Development</v>
      </c>
      <c r="H65" s="140" t="str">
        <f>IFERROR(__xludf.DUMMYFUNCTION("""COMPUTED_VALUE"""),"Programming Languages")</f>
        <v>Programming Languages</v>
      </c>
      <c r="J65" s="140" t="str">
        <f>IFERROR(__xludf.DUMMYFUNCTION("""COMPUTED_VALUE"""),"")</f>
        <v/>
      </c>
      <c r="L65" s="140" t="str">
        <f>IFERROR(__xludf.DUMMYFUNCTION("""COMPUTED_VALUE"""),"")</f>
        <v/>
      </c>
    </row>
    <row r="66">
      <c r="A66" s="141">
        <f>IFERROR(__xludf.DUMMYFUNCTION("""COMPUTED_VALUE"""),43819.0)</f>
        <v>43819</v>
      </c>
      <c r="B66" s="140">
        <f>IFERROR(__xludf.DUMMYFUNCTION("""COMPUTED_VALUE"""),657674.0)</f>
        <v>657674</v>
      </c>
      <c r="C66" s="140" t="str">
        <f>IFERROR(__xludf.DUMMYFUNCTION("""COMPUTED_VALUE"""),"DE")</f>
        <v>DE</v>
      </c>
      <c r="D66" s="140" t="str">
        <f>IFERROR(__xludf.DUMMYFUNCTION("""COMPUTED_VALUE"""),"Einstieg in C# - Software programmieren wie ein Profi")</f>
        <v>Einstieg in C# - Software programmieren wie ein Profi</v>
      </c>
      <c r="E66" t="str">
        <f>IFERROR(__xludf.DUMMYFUNCTION("""COMPUTED_VALUE"""),"Jan Suchotzki")</f>
        <v>Jan Suchotzki</v>
      </c>
      <c r="F66" t="str">
        <f>IFERROR(__xludf.DUMMYFUNCTION("""COMPUTED_VALUE"""),"Instructor Request- Opted Out")</f>
        <v>Instructor Request- Opted Out</v>
      </c>
      <c r="G66" s="142" t="str">
        <f>IFERROR(__xludf.DUMMYFUNCTION("""COMPUTED_VALUE"""),"Development")</f>
        <v>Development</v>
      </c>
      <c r="H66" s="140" t="str">
        <f>IFERROR(__xludf.DUMMYFUNCTION("""COMPUTED_VALUE"""),"Programming Languages")</f>
        <v>Programming Languages</v>
      </c>
      <c r="J66" s="140" t="str">
        <f>IFERROR(__xludf.DUMMYFUNCTION("""COMPUTED_VALUE"""),"")</f>
        <v/>
      </c>
      <c r="L66" s="140" t="str">
        <f>IFERROR(__xludf.DUMMYFUNCTION("""COMPUTED_VALUE"""),"")</f>
        <v/>
      </c>
    </row>
    <row r="67">
      <c r="A67" s="141">
        <f>IFERROR(__xludf.DUMMYFUNCTION("""COMPUTED_VALUE"""),43808.0)</f>
        <v>43808</v>
      </c>
      <c r="B67" s="140">
        <f>IFERROR(__xludf.DUMMYFUNCTION("""COMPUTED_VALUE"""),1692472.0)</f>
        <v>1692472</v>
      </c>
      <c r="C67" s="140" t="str">
        <f>IFERROR(__xludf.DUMMYFUNCTION("""COMPUTED_VALUE"""),"EN")</f>
        <v>EN</v>
      </c>
      <c r="D67" s="140" t="str">
        <f>IFERROR(__xludf.DUMMYFUNCTION("""COMPUTED_VALUE"""),"Complete Oracle JavaFX with Database &amp; Advance Java projects")</f>
        <v>Complete Oracle JavaFX with Database &amp; Advance Java projects</v>
      </c>
      <c r="E67" t="str">
        <f>IFERROR(__xludf.DUMMYFUNCTION("""COMPUTED_VALUE"""),"Ejike IfeanyiChukwu")</f>
        <v>Ejike IfeanyiChukwu</v>
      </c>
      <c r="F67" t="str">
        <f>IFERROR(__xludf.DUMMYFUNCTION("""COMPUTED_VALUE"""),"Instructor Practices")</f>
        <v>Instructor Practices</v>
      </c>
      <c r="G67" s="142" t="str">
        <f>IFERROR(__xludf.DUMMYFUNCTION("""COMPUTED_VALUE"""),"Development")</f>
        <v>Development</v>
      </c>
      <c r="H67" s="140" t="str">
        <f>IFERROR(__xludf.DUMMYFUNCTION("""COMPUTED_VALUE"""),"Programming Languages")</f>
        <v>Programming Languages</v>
      </c>
      <c r="I67">
        <f>IFERROR(__xludf.DUMMYFUNCTION("""COMPUTED_VALUE"""),491352.0)</f>
        <v>491352</v>
      </c>
      <c r="J67" s="140" t="str">
        <f>IFERROR(__xludf.DUMMYFUNCTION("""COMPUTED_VALUE"""),"Java Masterclass - Beginner to Expert Guide: Java &amp; JavaFX")</f>
        <v>Java Masterclass - Beginner to Expert Guide: Java &amp; JavaFX</v>
      </c>
      <c r="L67" s="140" t="str">
        <f>IFERROR(__xludf.DUMMYFUNCTION("""COMPUTED_VALUE"""),"")</f>
        <v/>
      </c>
    </row>
    <row r="68">
      <c r="A68" s="141">
        <f>IFERROR(__xludf.DUMMYFUNCTION("""COMPUTED_VALUE"""),43802.0)</f>
        <v>43802</v>
      </c>
      <c r="B68" s="140">
        <f>IFERROR(__xludf.DUMMYFUNCTION("""COMPUTED_VALUE"""),1242504.0)</f>
        <v>1242504</v>
      </c>
      <c r="C68" s="140" t="str">
        <f>IFERROR(__xludf.DUMMYFUNCTION("""COMPUTED_VALUE"""),"EN")</f>
        <v>EN</v>
      </c>
      <c r="D68" s="140" t="str">
        <f>IFERROR(__xludf.DUMMYFUNCTION("""COMPUTED_VALUE"""),"iOS 11 and Xcode 9 - Complete Swift 4 &amp; Objective-C Course")</f>
        <v>iOS 11 and Xcode 9 - Complete Swift 4 &amp; Objective-C Course</v>
      </c>
      <c r="E68" t="str">
        <f>IFERROR(__xludf.DUMMYFUNCTION("""COMPUTED_VALUE"""),"Aaron Caines")</f>
        <v>Aaron Caines</v>
      </c>
      <c r="F68" t="str">
        <f>IFERROR(__xludf.DUMMYFUNCTION("""COMPUTED_VALUE"""),"Below Quality Standards- Outdated")</f>
        <v>Below Quality Standards- Outdated</v>
      </c>
      <c r="G68" s="142" t="str">
        <f>IFERROR(__xludf.DUMMYFUNCTION("""COMPUTED_VALUE"""),"Development")</f>
        <v>Development</v>
      </c>
      <c r="H68" s="140" t="str">
        <f>IFERROR(__xludf.DUMMYFUNCTION("""COMPUTED_VALUE"""),"Mobile Development")</f>
        <v>Mobile Development</v>
      </c>
      <c r="I68">
        <f>IFERROR(__xludf.DUMMYFUNCTION("""COMPUTED_VALUE"""),1778502.0)</f>
        <v>1778502</v>
      </c>
      <c r="J68" s="140" t="str">
        <f>IFERROR(__xludf.DUMMYFUNCTION("""COMPUTED_VALUE"""),"iOS &amp; Swift - The Complete iOS App Development Bootcamp")</f>
        <v>iOS &amp; Swift - The Complete iOS App Development Bootcamp</v>
      </c>
      <c r="L68" s="140" t="str">
        <f>IFERROR(__xludf.DUMMYFUNCTION("""COMPUTED_VALUE"""),"")</f>
        <v/>
      </c>
    </row>
    <row r="69">
      <c r="A69" s="141">
        <f>IFERROR(__xludf.DUMMYFUNCTION("""COMPUTED_VALUE"""),43801.0)</f>
        <v>43801</v>
      </c>
      <c r="B69" s="140">
        <f>IFERROR(__xludf.DUMMYFUNCTION("""COMPUTED_VALUE"""),1673570.0)</f>
        <v>1673570</v>
      </c>
      <c r="C69" s="140" t="str">
        <f>IFERROR(__xludf.DUMMYFUNCTION("""COMPUTED_VALUE"""),"EN")</f>
        <v>EN</v>
      </c>
      <c r="D69" t="str">
        <f>IFERROR(__xludf.DUMMYFUNCTION("""COMPUTED_VALUE"""),"Machine Learning with Python from Scratch")</f>
        <v>Machine Learning with Python from Scratch</v>
      </c>
      <c r="E69" s="142" t="str">
        <f>IFERROR(__xludf.DUMMYFUNCTION("""COMPUTED_VALUE"""),"Tim Buchalka's Learn Programming Academy")</f>
        <v>Tim Buchalka's Learn Programming Academy</v>
      </c>
      <c r="F69" t="str">
        <f>IFERROR(__xludf.DUMMYFUNCTION("""COMPUTED_VALUE"""),"Below Quality Standards- Low Rating")</f>
        <v>Below Quality Standards- Low Rating</v>
      </c>
      <c r="G69" s="142" t="str">
        <f>IFERROR(__xludf.DUMMYFUNCTION("""COMPUTED_VALUE"""),"Data Science")</f>
        <v>Data Science</v>
      </c>
      <c r="H69" s="140" t="str">
        <f>IFERROR(__xludf.DUMMYFUNCTION("""COMPUTED_VALUE"""),"Machine Learning")</f>
        <v>Machine Learning</v>
      </c>
      <c r="I69">
        <f>IFERROR(__xludf.DUMMYFUNCTION("""COMPUTED_VALUE"""),950390.0)</f>
        <v>950390</v>
      </c>
      <c r="J69" s="140" t="str">
        <f>IFERROR(__xludf.DUMMYFUNCTION("""COMPUTED_VALUE"""),"Machine Learning A-Z™: Hands-On Python &amp; R In Data Science")</f>
        <v>Machine Learning A-Z™: Hands-On Python &amp; R In Data Science</v>
      </c>
      <c r="K69">
        <f>IFERROR(__xludf.DUMMYFUNCTION("""COMPUTED_VALUE"""),903744.0)</f>
        <v>903744</v>
      </c>
      <c r="L69" s="140" t="str">
        <f>IFERROR(__xludf.DUMMYFUNCTION("""COMPUTED_VALUE"""),"Python for Data Science and Machine Learning Bootcamp")</f>
        <v>Python for Data Science and Machine Learning Bootcamp</v>
      </c>
    </row>
    <row r="70">
      <c r="A70" s="141">
        <f>IFERROR(__xludf.DUMMYFUNCTION("""COMPUTED_VALUE"""),43801.0)</f>
        <v>43801</v>
      </c>
      <c r="B70" s="140">
        <f>IFERROR(__xludf.DUMMYFUNCTION("""COMPUTED_VALUE"""),1204360.0)</f>
        <v>1204360</v>
      </c>
      <c r="C70" s="140" t="str">
        <f>IFERROR(__xludf.DUMMYFUNCTION("""COMPUTED_VALUE"""),"EN")</f>
        <v>EN</v>
      </c>
      <c r="D70" t="str">
        <f>IFERROR(__xludf.DUMMYFUNCTION("""COMPUTED_VALUE"""),"Six steps to leading productive meetings")</f>
        <v>Six steps to leading productive meetings</v>
      </c>
      <c r="E70" s="142" t="str">
        <f>IFERROR(__xludf.DUMMYFUNCTION("""COMPUTED_VALUE"""),"Skill Boosters")</f>
        <v>Skill Boosters</v>
      </c>
      <c r="F70" t="str">
        <f>IFERROR(__xludf.DUMMYFUNCTION("""COMPUTED_VALUE"""),"Below Quality Standards- Low Rating")</f>
        <v>Below Quality Standards- Low Rating</v>
      </c>
      <c r="G70" s="142" t="str">
        <f>IFERROR(__xludf.DUMMYFUNCTION("""COMPUTED_VALUE"""),"Leadership &amp; Management")</f>
        <v>Leadership &amp; Management</v>
      </c>
      <c r="H70" s="140" t="str">
        <f>IFERROR(__xludf.DUMMYFUNCTION("""COMPUTED_VALUE"""),"Management")</f>
        <v>Management</v>
      </c>
      <c r="I70">
        <f>IFERROR(__xludf.DUMMYFUNCTION("""COMPUTED_VALUE"""),1937150.0)</f>
        <v>1937150</v>
      </c>
      <c r="J70" s="140" t="str">
        <f>IFERROR(__xludf.DUMMYFUNCTION("""COMPUTED_VALUE"""),"Leading Effective Meetings - You Can Lead Effective Meetings")</f>
        <v>Leading Effective Meetings - You Can Lead Effective Meetings</v>
      </c>
      <c r="L70" s="140" t="str">
        <f>IFERROR(__xludf.DUMMYFUNCTION("""COMPUTED_VALUE"""),"")</f>
        <v/>
      </c>
    </row>
    <row r="71">
      <c r="A71" s="141">
        <f>IFERROR(__xludf.DUMMYFUNCTION("""COMPUTED_VALUE"""),43801.0)</f>
        <v>43801</v>
      </c>
      <c r="B71" s="140">
        <f>IFERROR(__xludf.DUMMYFUNCTION("""COMPUTED_VALUE"""),1009254.0)</f>
        <v>1009254</v>
      </c>
      <c r="C71" s="140" t="str">
        <f>IFERROR(__xludf.DUMMYFUNCTION("""COMPUTED_VALUE"""),"EN")</f>
        <v>EN</v>
      </c>
      <c r="D71" t="str">
        <f>IFERROR(__xludf.DUMMYFUNCTION("""COMPUTED_VALUE"""),"Beginner API development in Node, Express, ES6, &amp; MongoDB")</f>
        <v>Beginner API development in Node, Express, ES6, &amp; MongoDB</v>
      </c>
      <c r="E71" s="142" t="str">
        <f>IFERROR(__xludf.DUMMYFUNCTION("""COMPUTED_VALUE"""),"Mark Price")</f>
        <v>Mark Price</v>
      </c>
      <c r="F71" t="str">
        <f>IFERROR(__xludf.DUMMYFUNCTION("""COMPUTED_VALUE"""),"Below Quality Standards- Low Rating")</f>
        <v>Below Quality Standards- Low Rating</v>
      </c>
      <c r="G71" s="142" t="str">
        <f>IFERROR(__xludf.DUMMYFUNCTION("""COMPUTED_VALUE"""),"Development")</f>
        <v>Development</v>
      </c>
      <c r="H71" s="140" t="str">
        <f>IFERROR(__xludf.DUMMYFUNCTION("""COMPUTED_VALUE"""),"Web Development")</f>
        <v>Web Development</v>
      </c>
      <c r="I71">
        <f>IFERROR(__xludf.DUMMYFUNCTION("""COMPUTED_VALUE"""),1879018.0)</f>
        <v>1879018</v>
      </c>
      <c r="J71" s="140" t="str">
        <f>IFERROR(__xludf.DUMMYFUNCTION("""COMPUTED_VALUE"""),"NodeJS - The Complete Guide (MVC, REST APIs, GraphQL, Deno)")</f>
        <v>NodeJS - The Complete Guide (MVC, REST APIs, GraphQL, Deno)</v>
      </c>
      <c r="L71" s="140" t="str">
        <f>IFERROR(__xludf.DUMMYFUNCTION("""COMPUTED_VALUE"""),"")</f>
        <v/>
      </c>
    </row>
    <row r="72">
      <c r="A72" s="141">
        <f>IFERROR(__xludf.DUMMYFUNCTION("""COMPUTED_VALUE"""),43801.0)</f>
        <v>43801</v>
      </c>
      <c r="B72" s="140">
        <f>IFERROR(__xludf.DUMMYFUNCTION("""COMPUTED_VALUE"""),212388.0)</f>
        <v>212388</v>
      </c>
      <c r="C72" s="140" t="str">
        <f>IFERROR(__xludf.DUMMYFUNCTION("""COMPUTED_VALUE"""),"EN")</f>
        <v>EN</v>
      </c>
      <c r="D72" t="str">
        <f>IFERROR(__xludf.DUMMYFUNCTION("""COMPUTED_VALUE"""),"Introduction to Unit Testing")</f>
        <v>Introduction to Unit Testing</v>
      </c>
      <c r="E72" s="142" t="str">
        <f>IFERROR(__xludf.DUMMYFUNCTION("""COMPUTED_VALUE"""),"RefactorU LLC")</f>
        <v>RefactorU LLC</v>
      </c>
      <c r="F72" t="str">
        <f>IFERROR(__xludf.DUMMYFUNCTION("""COMPUTED_VALUE"""),"Below Quality Standards- 3 Flags")</f>
        <v>Below Quality Standards- 3 Flags</v>
      </c>
      <c r="G72" s="142" t="str">
        <f>IFERROR(__xludf.DUMMYFUNCTION("""COMPUTED_VALUE"""),"Development")</f>
        <v>Development</v>
      </c>
      <c r="H72" s="140" t="str">
        <f>IFERROR(__xludf.DUMMYFUNCTION("""COMPUTED_VALUE"""),"Web Development")</f>
        <v>Web Development</v>
      </c>
      <c r="I72">
        <f>IFERROR(__xludf.DUMMYFUNCTION("""COMPUTED_VALUE"""),721884.0)</f>
        <v>721884</v>
      </c>
      <c r="J72" s="140" t="str">
        <f>IFERROR(__xludf.DUMMYFUNCTION("""COMPUTED_VALUE"""),"MSTest Unit Testing Tutorial for beginners : C# Unit Testing")</f>
        <v>MSTest Unit Testing Tutorial for beginners : C# Unit Testing</v>
      </c>
      <c r="K72">
        <f>IFERROR(__xludf.DUMMYFUNCTION("""COMPUTED_VALUE"""),1496348.0)</f>
        <v>1496348</v>
      </c>
      <c r="L72" s="140" t="str">
        <f>IFERROR(__xludf.DUMMYFUNCTION("""COMPUTED_VALUE"""),"Unit Testing for C# Developers")</f>
        <v>Unit Testing for C# Developers</v>
      </c>
    </row>
    <row r="73">
      <c r="A73" s="141">
        <f>IFERROR(__xludf.DUMMYFUNCTION("""COMPUTED_VALUE"""),43801.0)</f>
        <v>43801</v>
      </c>
      <c r="B73" s="140">
        <f>IFERROR(__xludf.DUMMYFUNCTION("""COMPUTED_VALUE"""),1614452.0)</f>
        <v>1614452</v>
      </c>
      <c r="C73" s="140" t="str">
        <f>IFERROR(__xludf.DUMMYFUNCTION("""COMPUTED_VALUE"""),"EN")</f>
        <v>EN</v>
      </c>
      <c r="D73" t="str">
        <f>IFERROR(__xludf.DUMMYFUNCTION("""COMPUTED_VALUE"""),"AWS Master Class: Databases In The Cloud With AWS RDS")</f>
        <v>AWS Master Class: Databases In The Cloud With AWS RDS</v>
      </c>
      <c r="E73" s="142" t="str">
        <f>IFERROR(__xludf.DUMMYFUNCTION("""COMPUTED_VALUE"""),"TetraNoodle Team")</f>
        <v>TetraNoodle Team</v>
      </c>
      <c r="F73" t="str">
        <f>IFERROR(__xludf.DUMMYFUNCTION("""COMPUTED_VALUE"""),"Below Quality Standards- Low Rating")</f>
        <v>Below Quality Standards- Low Rating</v>
      </c>
      <c r="G73" s="142" t="str">
        <f>IFERROR(__xludf.DUMMYFUNCTION("""COMPUTED_VALUE"""),"Development")</f>
        <v>Development</v>
      </c>
      <c r="H73" s="140" t="str">
        <f>IFERROR(__xludf.DUMMYFUNCTION("""COMPUTED_VALUE"""),"Database Design &amp; Development")</f>
        <v>Database Design &amp; Development</v>
      </c>
      <c r="I73">
        <f>IFERROR(__xludf.DUMMYFUNCTION("""COMPUTED_VALUE"""),1108858.0)</f>
        <v>1108858</v>
      </c>
      <c r="J73" s="140" t="str">
        <f>IFERROR(__xludf.DUMMYFUNCTION("""COMPUTED_VALUE"""),"AWS Essentials")</f>
        <v>AWS Essentials</v>
      </c>
      <c r="L73" s="140" t="str">
        <f>IFERROR(__xludf.DUMMYFUNCTION("""COMPUTED_VALUE"""),"")</f>
        <v/>
      </c>
    </row>
    <row r="74">
      <c r="A74" s="141">
        <f>IFERROR(__xludf.DUMMYFUNCTION("""COMPUTED_VALUE"""),43801.0)</f>
        <v>43801</v>
      </c>
      <c r="B74" s="140">
        <f>IFERROR(__xludf.DUMMYFUNCTION("""COMPUTED_VALUE"""),835316.0)</f>
        <v>835316</v>
      </c>
      <c r="C74" s="140" t="str">
        <f>IFERROR(__xludf.DUMMYFUNCTION("""COMPUTED_VALUE"""),"EN")</f>
        <v>EN</v>
      </c>
      <c r="D74" t="str">
        <f>IFERROR(__xludf.DUMMYFUNCTION("""COMPUTED_VALUE"""),"Become A Conversion Rate Optimization (CRO) Expert")</f>
        <v>Become A Conversion Rate Optimization (CRO) Expert</v>
      </c>
      <c r="E74" s="142" t="str">
        <f>IFERROR(__xludf.DUMMYFUNCTION("""COMPUTED_VALUE"""),"Chris Stolz")</f>
        <v>Chris Stolz</v>
      </c>
      <c r="F74" t="str">
        <f>IFERROR(__xludf.DUMMYFUNCTION("""COMPUTED_VALUE"""),"Below Quality Standards- 3 Flags")</f>
        <v>Below Quality Standards- 3 Flags</v>
      </c>
      <c r="G74" s="142" t="str">
        <f>IFERROR(__xludf.DUMMYFUNCTION("""COMPUTED_VALUE"""),"Marketing")</f>
        <v>Marketing</v>
      </c>
      <c r="H74" s="140" t="str">
        <f>IFERROR(__xludf.DUMMYFUNCTION("""COMPUTED_VALUE"""),"Marketing Strategy")</f>
        <v>Marketing Strategy</v>
      </c>
      <c r="I74">
        <f>IFERROR(__xludf.DUMMYFUNCTION("""COMPUTED_VALUE"""),1048360.0)</f>
        <v>1048360</v>
      </c>
      <c r="J74" s="140" t="str">
        <f>IFERROR(__xludf.DUMMYFUNCTION("""COMPUTED_VALUE"""),"Landing Page Design &amp; Conversion Rate Optimization 2018")</f>
        <v>Landing Page Design &amp; Conversion Rate Optimization 2018</v>
      </c>
      <c r="K74">
        <f>IFERROR(__xludf.DUMMYFUNCTION("""COMPUTED_VALUE"""),953614.0)</f>
        <v>953614</v>
      </c>
      <c r="L74" s="140" t="str">
        <f>IFERROR(__xludf.DUMMYFUNCTION("""COMPUTED_VALUE"""),"")</f>
        <v/>
      </c>
    </row>
    <row r="75">
      <c r="A75" s="141">
        <f>IFERROR(__xludf.DUMMYFUNCTION("""COMPUTED_VALUE"""),43801.0)</f>
        <v>43801</v>
      </c>
      <c r="B75" s="140">
        <f>IFERROR(__xludf.DUMMYFUNCTION("""COMPUTED_VALUE"""),1263184.0)</f>
        <v>1263184</v>
      </c>
      <c r="C75" s="140" t="str">
        <f>IFERROR(__xludf.DUMMYFUNCTION("""COMPUTED_VALUE"""),"EN")</f>
        <v>EN</v>
      </c>
      <c r="D75" t="str">
        <f>IFERROR(__xludf.DUMMYFUNCTION("""COMPUTED_VALUE"""),"Leading Global Virtual Teams")</f>
        <v>Leading Global Virtual Teams</v>
      </c>
      <c r="E75" s="142" t="str">
        <f>IFERROR(__xludf.DUMMYFUNCTION("""COMPUTED_VALUE"""),"Illumeo Learning")</f>
        <v>Illumeo Learning</v>
      </c>
      <c r="F75" t="str">
        <f>IFERROR(__xludf.DUMMYFUNCTION("""COMPUTED_VALUE"""),"Below Quality Standards- 3 Flags")</f>
        <v>Below Quality Standards- 3 Flags</v>
      </c>
      <c r="G75" s="142" t="str">
        <f>IFERROR(__xludf.DUMMYFUNCTION("""COMPUTED_VALUE"""),"Leadership &amp; Management")</f>
        <v>Leadership &amp; Management</v>
      </c>
      <c r="H75" s="140" t="str">
        <f>IFERROR(__xludf.DUMMYFUNCTION("""COMPUTED_VALUE"""),"Leadership")</f>
        <v>Leadership</v>
      </c>
      <c r="I75">
        <f>IFERROR(__xludf.DUMMYFUNCTION("""COMPUTED_VALUE"""),1459818.0)</f>
        <v>1459818</v>
      </c>
      <c r="J75" s="140" t="str">
        <f>IFERROR(__xludf.DUMMYFUNCTION("""COMPUTED_VALUE"""),"Leading Virtual Teams - A Quick Course")</f>
        <v>Leading Virtual Teams - A Quick Course</v>
      </c>
      <c r="K75">
        <f>IFERROR(__xludf.DUMMYFUNCTION("""COMPUTED_VALUE"""),481148.0)</f>
        <v>481148</v>
      </c>
      <c r="L75" s="140" t="str">
        <f>IFERROR(__xludf.DUMMYFUNCTION("""COMPUTED_VALUE"""),"Form Your Virtual Team &amp; Lead Your Virtual Team")</f>
        <v>Form Your Virtual Team &amp; Lead Your Virtual Team</v>
      </c>
    </row>
    <row r="76">
      <c r="A76" s="141">
        <f>IFERROR(__xludf.DUMMYFUNCTION("""COMPUTED_VALUE"""),43801.0)</f>
        <v>43801</v>
      </c>
      <c r="B76" s="140">
        <f>IFERROR(__xludf.DUMMYFUNCTION("""COMPUTED_VALUE"""),2235738.0)</f>
        <v>2235738</v>
      </c>
      <c r="C76" s="140" t="str">
        <f>IFERROR(__xludf.DUMMYFUNCTION("""COMPUTED_VALUE"""),"EN")</f>
        <v>EN</v>
      </c>
      <c r="D76" t="str">
        <f>IFERROR(__xludf.DUMMYFUNCTION("""COMPUTED_VALUE"""),"AWS Certified Big Data - Specialty 2019 (Exam Prep Course)")</f>
        <v>AWS Certified Big Data - Specialty 2019 (Exam Prep Course)</v>
      </c>
      <c r="E76" s="142" t="str">
        <f>IFERROR(__xludf.DUMMYFUNCTION("""COMPUTED_VALUE"""),"Arpan Solanki")</f>
        <v>Arpan Solanki</v>
      </c>
      <c r="F76" t="str">
        <f>IFERROR(__xludf.DUMMYFUNCTION("""COMPUTED_VALUE"""),"Instructor Request- Opted Out")</f>
        <v>Instructor Request- Opted Out</v>
      </c>
      <c r="G76" s="142" t="str">
        <f>IFERROR(__xludf.DUMMYFUNCTION("""COMPUTED_VALUE"""),"IT Operations")</f>
        <v>IT Operations</v>
      </c>
      <c r="H76" s="140" t="str">
        <f>IFERROR(__xludf.DUMMYFUNCTION("""COMPUTED_VALUE"""),"IT Certifications")</f>
        <v>IT Certifications</v>
      </c>
      <c r="I76">
        <f>IFERROR(__xludf.DUMMYFUNCTION("""COMPUTED_VALUE"""),2253706.0)</f>
        <v>2253706</v>
      </c>
      <c r="J76" s="140" t="str">
        <f>IFERROR(__xludf.DUMMYFUNCTION("""COMPUTED_VALUE"""),"AWS Certified Data Analytics Specialty 2021 - Hands On!")</f>
        <v>AWS Certified Data Analytics Specialty 2021 - Hands On!</v>
      </c>
      <c r="L76" s="140" t="str">
        <f>IFERROR(__xludf.DUMMYFUNCTION("""COMPUTED_VALUE"""),"")</f>
        <v/>
      </c>
    </row>
    <row r="77">
      <c r="A77" s="141">
        <f>IFERROR(__xludf.DUMMYFUNCTION("""COMPUTED_VALUE"""),43801.0)</f>
        <v>43801</v>
      </c>
      <c r="B77" s="140">
        <f>IFERROR(__xludf.DUMMYFUNCTION("""COMPUTED_VALUE"""),1752368.0)</f>
        <v>1752368</v>
      </c>
      <c r="C77" s="140" t="str">
        <f>IFERROR(__xludf.DUMMYFUNCTION("""COMPUTED_VALUE"""),"EN")</f>
        <v>EN</v>
      </c>
      <c r="D77" t="str">
        <f>IFERROR(__xludf.DUMMYFUNCTION("""COMPUTED_VALUE"""),"The Complete free SAP NW Installation Guide for ABAP and BW")</f>
        <v>The Complete free SAP NW Installation Guide for ABAP and BW</v>
      </c>
      <c r="E77" s="142" t="str">
        <f>IFERROR(__xludf.DUMMYFUNCTION("""COMPUTED_VALUE"""),"Fuzzy Coder")</f>
        <v>Fuzzy Coder</v>
      </c>
      <c r="F77" t="str">
        <f>IFERROR(__xludf.DUMMYFUNCTION("""COMPUTED_VALUE"""),"Below Quality Standards- 3 Flags")</f>
        <v>Below Quality Standards- 3 Flags</v>
      </c>
      <c r="G77" s="142" t="str">
        <f>IFERROR(__xludf.DUMMYFUNCTION("""COMPUTED_VALUE"""),"Development")</f>
        <v>Development</v>
      </c>
      <c r="H77" s="140" t="str">
        <f>IFERROR(__xludf.DUMMYFUNCTION("""COMPUTED_VALUE"""),"Programming Languages")</f>
        <v>Programming Languages</v>
      </c>
      <c r="J77" s="140" t="str">
        <f>IFERROR(__xludf.DUMMYFUNCTION("""COMPUTED_VALUE"""),"")</f>
        <v/>
      </c>
      <c r="L77" s="140" t="str">
        <f>IFERROR(__xludf.DUMMYFUNCTION("""COMPUTED_VALUE"""),"")</f>
        <v/>
      </c>
    </row>
    <row r="78">
      <c r="A78" s="141">
        <f>IFERROR(__xludf.DUMMYFUNCTION("""COMPUTED_VALUE"""),43801.0)</f>
        <v>43801</v>
      </c>
      <c r="B78" s="140">
        <f>IFERROR(__xludf.DUMMYFUNCTION("""COMPUTED_VALUE"""),1086514.0)</f>
        <v>1086514</v>
      </c>
      <c r="C78" s="140" t="str">
        <f>IFERROR(__xludf.DUMMYFUNCTION("""COMPUTED_VALUE"""),"EN")</f>
        <v>EN</v>
      </c>
      <c r="D78" t="str">
        <f>IFERROR(__xludf.DUMMYFUNCTION("""COMPUTED_VALUE"""),"Managing Change Resistance – Clear a Path to Success")</f>
        <v>Managing Change Resistance – Clear a Path to Success</v>
      </c>
      <c r="E78" s="142" t="str">
        <f>IFERROR(__xludf.DUMMYFUNCTION("""COMPUTED_VALUE"""),"Dr. Ross Wirth")</f>
        <v>Dr. Ross Wirth</v>
      </c>
      <c r="F78" t="str">
        <f>IFERROR(__xludf.DUMMYFUNCTION("""COMPUTED_VALUE"""),"Instructor Request- Opted Out")</f>
        <v>Instructor Request- Opted Out</v>
      </c>
      <c r="G78" s="142" t="str">
        <f>IFERROR(__xludf.DUMMYFUNCTION("""COMPUTED_VALUE"""),"Leadership &amp; Management")</f>
        <v>Leadership &amp; Management</v>
      </c>
      <c r="H78" s="140" t="str">
        <f>IFERROR(__xludf.DUMMYFUNCTION("""COMPUTED_VALUE"""),"Management")</f>
        <v>Management</v>
      </c>
      <c r="I78">
        <f>IFERROR(__xludf.DUMMYFUNCTION("""COMPUTED_VALUE"""),671208.0)</f>
        <v>671208</v>
      </c>
      <c r="J78" s="140" t="str">
        <f>IFERROR(__xludf.DUMMYFUNCTION("""COMPUTED_VALUE"""),"Change Management Training: Master the Change Process!")</f>
        <v>Change Management Training: Master the Change Process!</v>
      </c>
      <c r="L78" s="140" t="str">
        <f>IFERROR(__xludf.DUMMYFUNCTION("""COMPUTED_VALUE"""),"")</f>
        <v/>
      </c>
    </row>
    <row r="79">
      <c r="A79" s="141">
        <f>IFERROR(__xludf.DUMMYFUNCTION("""COMPUTED_VALUE"""),43801.0)</f>
        <v>43801</v>
      </c>
      <c r="B79" s="140">
        <f>IFERROR(__xludf.DUMMYFUNCTION("""COMPUTED_VALUE"""),1506534.0)</f>
        <v>1506534</v>
      </c>
      <c r="C79" s="140" t="str">
        <f>IFERROR(__xludf.DUMMYFUNCTION("""COMPUTED_VALUE"""),"EN")</f>
        <v>EN</v>
      </c>
      <c r="D79" t="str">
        <f>IFERROR(__xludf.DUMMYFUNCTION("""COMPUTED_VALUE"""),"Hands on projects with the I2C protocol - Learn by doing!")</f>
        <v>Hands on projects with the I2C protocol - Learn by doing!</v>
      </c>
      <c r="E79" s="142" t="str">
        <f>IFERROR(__xludf.DUMMYFUNCTION("""COMPUTED_VALUE"""),"Akshay Gill")</f>
        <v>Akshay Gill</v>
      </c>
      <c r="F79" t="str">
        <f>IFERROR(__xludf.DUMMYFUNCTION("""COMPUTED_VALUE"""),"Instructor Request- No Detail")</f>
        <v>Instructor Request- No Detail</v>
      </c>
      <c r="G79" s="142" t="str">
        <f>IFERROR(__xludf.DUMMYFUNCTION("""COMPUTED_VALUE"""),"IT Operations")</f>
        <v>IT Operations</v>
      </c>
      <c r="H79" s="140" t="str">
        <f>IFERROR(__xludf.DUMMYFUNCTION("""COMPUTED_VALUE"""),"Hardware")</f>
        <v>Hardware</v>
      </c>
      <c r="I79">
        <f>IFERROR(__xludf.DUMMYFUNCTION("""COMPUTED_VALUE"""),643206.0)</f>
        <v>643206</v>
      </c>
      <c r="J79" s="140" t="str">
        <f>IFERROR(__xludf.DUMMYFUNCTION("""COMPUTED_VALUE"""),"Mastering Microcontroller and Embedded Driver Development")</f>
        <v>Mastering Microcontroller and Embedded Driver Development</v>
      </c>
      <c r="L79" s="140" t="str">
        <f>IFERROR(__xludf.DUMMYFUNCTION("""COMPUTED_VALUE"""),"")</f>
        <v/>
      </c>
    </row>
    <row r="80">
      <c r="A80" s="141">
        <f>IFERROR(__xludf.DUMMYFUNCTION("""COMPUTED_VALUE"""),43801.0)</f>
        <v>43801</v>
      </c>
      <c r="B80" s="140">
        <f>IFERROR(__xludf.DUMMYFUNCTION("""COMPUTED_VALUE"""),1528708.0)</f>
        <v>1528708</v>
      </c>
      <c r="C80" s="140" t="str">
        <f>IFERROR(__xludf.DUMMYFUNCTION("""COMPUTED_VALUE"""),"EN")</f>
        <v>EN</v>
      </c>
      <c r="D80" t="str">
        <f>IFERROR(__xludf.DUMMYFUNCTION("""COMPUTED_VALUE"""),"Interior Design for your Modern Home: A Room by Room Guide")</f>
        <v>Interior Design for your Modern Home: A Room by Room Guide</v>
      </c>
      <c r="E80" s="142" t="str">
        <f>IFERROR(__xludf.DUMMYFUNCTION("""COMPUTED_VALUE"""),"Rushika Patel")</f>
        <v>Rushika Patel</v>
      </c>
      <c r="F80" t="str">
        <f>IFERROR(__xludf.DUMMYFUNCTION("""COMPUTED_VALUE"""),"Instructor Request- No Detail")</f>
        <v>Instructor Request- No Detail</v>
      </c>
      <c r="G80" s="142" t="str">
        <f>IFERROR(__xludf.DUMMYFUNCTION("""COMPUTED_VALUE"""),"Personal Development")</f>
        <v>Personal Development</v>
      </c>
      <c r="H80" s="140" t="str">
        <f>IFERROR(__xludf.DUMMYFUNCTION("""COMPUTED_VALUE"""),"Arts &amp; Creativity")</f>
        <v>Arts &amp; Creativity</v>
      </c>
      <c r="I80">
        <f>IFERROR(__xludf.DUMMYFUNCTION("""COMPUTED_VALUE"""),1260482.0)</f>
        <v>1260482</v>
      </c>
      <c r="J80" s="140" t="str">
        <f>IFERROR(__xludf.DUMMYFUNCTION("""COMPUTED_VALUE"""),"Design is in the Details:  How to Accessorize Like a Pro")</f>
        <v>Design is in the Details:  How to Accessorize Like a Pro</v>
      </c>
      <c r="L80" s="140" t="str">
        <f>IFERROR(__xludf.DUMMYFUNCTION("""COMPUTED_VALUE"""),"")</f>
        <v/>
      </c>
    </row>
    <row r="81">
      <c r="A81" s="141">
        <f>IFERROR(__xludf.DUMMYFUNCTION("""COMPUTED_VALUE"""),43801.0)</f>
        <v>43801</v>
      </c>
      <c r="B81" s="140">
        <f>IFERROR(__xludf.DUMMYFUNCTION("""COMPUTED_VALUE"""),1577450.0)</f>
        <v>1577450</v>
      </c>
      <c r="C81" s="140" t="str">
        <f>IFERROR(__xludf.DUMMYFUNCTION("""COMPUTED_VALUE"""),"EN")</f>
        <v>EN</v>
      </c>
      <c r="D81" t="str">
        <f>IFERROR(__xludf.DUMMYFUNCTION("""COMPUTED_VALUE"""),"Hacking For Beginners")</f>
        <v>Hacking For Beginners</v>
      </c>
      <c r="E81" s="142" t="str">
        <f>IFERROR(__xludf.DUMMYFUNCTION("""COMPUTED_VALUE"""),"Hackers Academy - Online Ethical Hacking Tutorials")</f>
        <v>Hackers Academy - Online Ethical Hacking Tutorials</v>
      </c>
      <c r="F81" t="str">
        <f>IFERROR(__xludf.DUMMYFUNCTION("""COMPUTED_VALUE"""),"Instructor Request- No Detail")</f>
        <v>Instructor Request- No Detail</v>
      </c>
      <c r="G81" s="142" t="str">
        <f>IFERROR(__xludf.DUMMYFUNCTION("""COMPUTED_VALUE"""),"IT Operations")</f>
        <v>IT Operations</v>
      </c>
      <c r="H81" s="140" t="str">
        <f>IFERROR(__xludf.DUMMYFUNCTION("""COMPUTED_VALUE"""),"Network &amp; Security")</f>
        <v>Network &amp; Security</v>
      </c>
      <c r="I81">
        <f>IFERROR(__xludf.DUMMYFUNCTION("""COMPUTED_VALUE"""),1236568.0)</f>
        <v>1236568</v>
      </c>
      <c r="J81" s="140" t="str">
        <f>IFERROR(__xludf.DUMMYFUNCTION("""COMPUTED_VALUE"""),"The Absolute Beginners Guide to Cyber Security 2021 - Part 1")</f>
        <v>The Absolute Beginners Guide to Cyber Security 2021 - Part 1</v>
      </c>
      <c r="L81" s="140" t="str">
        <f>IFERROR(__xludf.DUMMYFUNCTION("""COMPUTED_VALUE"""),"")</f>
        <v/>
      </c>
    </row>
    <row r="82">
      <c r="A82" s="141">
        <f>IFERROR(__xludf.DUMMYFUNCTION("""COMPUTED_VALUE"""),43801.0)</f>
        <v>43801</v>
      </c>
      <c r="B82" s="140">
        <f>IFERROR(__xludf.DUMMYFUNCTION("""COMPUTED_VALUE"""),1776342.0)</f>
        <v>1776342</v>
      </c>
      <c r="C82" s="140" t="str">
        <f>IFERROR(__xludf.DUMMYFUNCTION("""COMPUTED_VALUE"""),"EN")</f>
        <v>EN</v>
      </c>
      <c r="D82" t="str">
        <f>IFERROR(__xludf.DUMMYFUNCTION("""COMPUTED_VALUE"""),"Webpack 4 in 2019: The Complete Tutorial For Beginners")</f>
        <v>Webpack 4 in 2019: The Complete Tutorial For Beginners</v>
      </c>
      <c r="E82" s="142" t="str">
        <f>IFERROR(__xludf.DUMMYFUNCTION("""COMPUTED_VALUE"""),"Viktor Pyskunov")</f>
        <v>Viktor Pyskunov</v>
      </c>
      <c r="F82" t="str">
        <f>IFERROR(__xludf.DUMMYFUNCTION("""COMPUTED_VALUE"""),"Instructor Request- Outdated")</f>
        <v>Instructor Request- Outdated</v>
      </c>
      <c r="G82" s="142" t="str">
        <f>IFERROR(__xludf.DUMMYFUNCTION("""COMPUTED_VALUE"""),"Development")</f>
        <v>Development</v>
      </c>
      <c r="H82" s="140" t="str">
        <f>IFERROR(__xludf.DUMMYFUNCTION("""COMPUTED_VALUE"""),"Web Development")</f>
        <v>Web Development</v>
      </c>
      <c r="I82">
        <f>IFERROR(__xludf.DUMMYFUNCTION("""COMPUTED_VALUE"""),1420562.0)</f>
        <v>1420562</v>
      </c>
      <c r="J82" s="140" t="str">
        <f>IFERROR(__xludf.DUMMYFUNCTION("""COMPUTED_VALUE"""),"Webpack 4: Beyond the Basics")</f>
        <v>Webpack 4: Beyond the Basics</v>
      </c>
      <c r="L82" s="140" t="str">
        <f>IFERROR(__xludf.DUMMYFUNCTION("""COMPUTED_VALUE"""),"")</f>
        <v/>
      </c>
    </row>
    <row r="83">
      <c r="A83" s="141">
        <f>IFERROR(__xludf.DUMMYFUNCTION("""COMPUTED_VALUE"""),43801.0)</f>
        <v>43801</v>
      </c>
      <c r="B83" s="140">
        <f>IFERROR(__xludf.DUMMYFUNCTION("""COMPUTED_VALUE"""),1014776.0)</f>
        <v>1014776</v>
      </c>
      <c r="C83" s="140" t="str">
        <f>IFERROR(__xludf.DUMMYFUNCTION("""COMPUTED_VALUE"""),"EN")</f>
        <v>EN</v>
      </c>
      <c r="D83" t="str">
        <f>IFERROR(__xludf.DUMMYFUNCTION("""COMPUTED_VALUE"""),"Full-Stack Web Apps with Meteor and React")</f>
        <v>Full-Stack Web Apps with Meteor and React</v>
      </c>
      <c r="E83" s="142" t="str">
        <f>IFERROR(__xludf.DUMMYFUNCTION("""COMPUTED_VALUE"""),"Andrew Mead")</f>
        <v>Andrew Mead</v>
      </c>
      <c r="F83" t="str">
        <f>IFERROR(__xludf.DUMMYFUNCTION("""COMPUTED_VALUE"""),"Instructor Request- Outdated")</f>
        <v>Instructor Request- Outdated</v>
      </c>
      <c r="G83" s="142" t="str">
        <f>IFERROR(__xludf.DUMMYFUNCTION("""COMPUTED_VALUE"""),"Development")</f>
        <v>Development</v>
      </c>
      <c r="H83" s="140" t="str">
        <f>IFERROR(__xludf.DUMMYFUNCTION("""COMPUTED_VALUE"""),"Web Development")</f>
        <v>Web Development</v>
      </c>
      <c r="I83">
        <f>IFERROR(__xludf.DUMMYFUNCTION("""COMPUTED_VALUE"""),1646980.0)</f>
        <v>1646980</v>
      </c>
      <c r="J83" s="140" t="str">
        <f>IFERROR(__xludf.DUMMYFUNCTION("""COMPUTED_VALUE"""),"MERN Stack Front To Back: Full Stack React, Redux &amp; Node.js")</f>
        <v>MERN Stack Front To Back: Full Stack React, Redux &amp; Node.js</v>
      </c>
      <c r="L83" s="140" t="str">
        <f>IFERROR(__xludf.DUMMYFUNCTION("""COMPUTED_VALUE"""),"")</f>
        <v/>
      </c>
    </row>
    <row r="84">
      <c r="A84" s="141">
        <f>IFERROR(__xludf.DUMMYFUNCTION("""COMPUTED_VALUE"""),43801.0)</f>
        <v>43801</v>
      </c>
      <c r="B84" s="140">
        <f>IFERROR(__xludf.DUMMYFUNCTION("""COMPUTED_VALUE"""),284076.0)</f>
        <v>284076</v>
      </c>
      <c r="C84" s="140" t="str">
        <f>IFERROR(__xludf.DUMMYFUNCTION("""COMPUTED_VALUE"""),"EN")</f>
        <v>EN</v>
      </c>
      <c r="D84" t="str">
        <f>IFERROR(__xludf.DUMMYFUNCTION("""COMPUTED_VALUE"""),"Automate Web Development With Gulp JS")</f>
        <v>Automate Web Development With Gulp JS</v>
      </c>
      <c r="E84" s="142" t="str">
        <f>IFERROR(__xludf.DUMMYFUNCTION("""COMPUTED_VALUE"""),"Andrew Mead")</f>
        <v>Andrew Mead</v>
      </c>
      <c r="F84" t="str">
        <f>IFERROR(__xludf.DUMMYFUNCTION("""COMPUTED_VALUE"""),"Instructor Request- Outdated")</f>
        <v>Instructor Request- Outdated</v>
      </c>
      <c r="G84" s="142" t="str">
        <f>IFERROR(__xludf.DUMMYFUNCTION("""COMPUTED_VALUE"""),"Development")</f>
        <v>Development</v>
      </c>
      <c r="H84" s="140" t="str">
        <f>IFERROR(__xludf.DUMMYFUNCTION("""COMPUTED_VALUE"""),"Web Development")</f>
        <v>Web Development</v>
      </c>
      <c r="J84" s="140" t="str">
        <f>IFERROR(__xludf.DUMMYFUNCTION("""COMPUTED_VALUE"""),"")</f>
        <v/>
      </c>
      <c r="L84" s="140" t="str">
        <f>IFERROR(__xludf.DUMMYFUNCTION("""COMPUTED_VALUE"""),"")</f>
        <v/>
      </c>
    </row>
    <row r="85">
      <c r="A85" s="141">
        <f>IFERROR(__xludf.DUMMYFUNCTION("""COMPUTED_VALUE"""),43801.0)</f>
        <v>43801</v>
      </c>
      <c r="B85" s="140">
        <f>IFERROR(__xludf.DUMMYFUNCTION("""COMPUTED_VALUE"""),843854.0)</f>
        <v>843854</v>
      </c>
      <c r="C85" s="140" t="str">
        <f>IFERROR(__xludf.DUMMYFUNCTION("""COMPUTED_VALUE"""),"EN")</f>
        <v>EN</v>
      </c>
      <c r="D85" t="str">
        <f>IFERROR(__xludf.DUMMYFUNCTION("""COMPUTED_VALUE"""),"The Complete Guide to Professional Trading with Elliott Wave")</f>
        <v>The Complete Guide to Professional Trading with Elliott Wave</v>
      </c>
      <c r="E85" s="142" t="str">
        <f>IFERROR(__xludf.DUMMYFUNCTION("""COMPUTED_VALUE"""),"Neerav Yadav")</f>
        <v>Neerav Yadav</v>
      </c>
      <c r="F85" t="str">
        <f>IFERROR(__xludf.DUMMYFUNCTION("""COMPUTED_VALUE"""),"Instructor Request- Opted Out")</f>
        <v>Instructor Request- Opted Out</v>
      </c>
      <c r="G85" s="142" t="str">
        <f>IFERROR(__xludf.DUMMYFUNCTION("""COMPUTED_VALUE"""),"Finance &amp; Accounting")</f>
        <v>Finance &amp; Accounting</v>
      </c>
      <c r="H85" s="140" t="str">
        <f>IFERROR(__xludf.DUMMYFUNCTION("""COMPUTED_VALUE"""),"Investing &amp; Trading")</f>
        <v>Investing &amp; Trading</v>
      </c>
      <c r="J85" s="140" t="str">
        <f>IFERROR(__xludf.DUMMYFUNCTION("""COMPUTED_VALUE"""),"")</f>
        <v/>
      </c>
      <c r="L85" s="140" t="str">
        <f>IFERROR(__xludf.DUMMYFUNCTION("""COMPUTED_VALUE"""),"")</f>
        <v/>
      </c>
    </row>
    <row r="86">
      <c r="A86" s="141">
        <f>IFERROR(__xludf.DUMMYFUNCTION("""COMPUTED_VALUE"""),43801.0)</f>
        <v>43801</v>
      </c>
      <c r="B86" s="140">
        <f>IFERROR(__xludf.DUMMYFUNCTION("""COMPUTED_VALUE"""),1563350.0)</f>
        <v>1563350</v>
      </c>
      <c r="C86" s="140" t="str">
        <f>IFERROR(__xludf.DUMMYFUNCTION("""COMPUTED_VALUE"""),"ES")</f>
        <v>ES</v>
      </c>
      <c r="D86" t="str">
        <f>IFERROR(__xludf.DUMMYFUNCTION("""COMPUTED_VALUE"""),"Desarrollo móvil con React Native, Expo y Firebase")</f>
        <v>Desarrollo móvil con React Native, Expo y Firebase</v>
      </c>
      <c r="E86" s="142" t="str">
        <f>IFERROR(__xludf.DUMMYFUNCTION("""COMPUTED_VALUE"""),"Israel Parra")</f>
        <v>Israel Parra</v>
      </c>
      <c r="F86" t="str">
        <f>IFERROR(__xludf.DUMMYFUNCTION("""COMPUTED_VALUE"""),"Below Quality Standards- Low Rating")</f>
        <v>Below Quality Standards- Low Rating</v>
      </c>
      <c r="G86" s="142" t="str">
        <f>IFERROR(__xludf.DUMMYFUNCTION("""COMPUTED_VALUE"""),"Development")</f>
        <v>Development</v>
      </c>
      <c r="H86" s="140" t="str">
        <f>IFERROR(__xludf.DUMMYFUNCTION("""COMPUTED_VALUE"""),"Mobile Development")</f>
        <v>Mobile Development</v>
      </c>
      <c r="J86" s="140" t="str">
        <f>IFERROR(__xludf.DUMMYFUNCTION("""COMPUTED_VALUE"""),"")</f>
        <v/>
      </c>
      <c r="L86" s="140" t="str">
        <f>IFERROR(__xludf.DUMMYFUNCTION("""COMPUTED_VALUE"""),"")</f>
        <v/>
      </c>
    </row>
    <row r="87">
      <c r="A87" s="141">
        <f>IFERROR(__xludf.DUMMYFUNCTION("""COMPUTED_VALUE"""),43801.0)</f>
        <v>43801</v>
      </c>
      <c r="B87" s="140">
        <f>IFERROR(__xludf.DUMMYFUNCTION("""COMPUTED_VALUE"""),1407694.0)</f>
        <v>1407694</v>
      </c>
      <c r="C87" s="140" t="str">
        <f>IFERROR(__xludf.DUMMYFUNCTION("""COMPUTED_VALUE"""),"ES")</f>
        <v>ES</v>
      </c>
      <c r="D87" t="str">
        <f>IFERROR(__xludf.DUMMYFUNCTION("""COMPUTED_VALUE"""),"MailChimp: Email Marketing Desde Cero Para Negocios")</f>
        <v>MailChimp: Email Marketing Desde Cero Para Negocios</v>
      </c>
      <c r="E87" s="142" t="str">
        <f>IFERROR(__xludf.DUMMYFUNCTION("""COMPUTED_VALUE"""),"Mario Arturo De La Peña Maldonado")</f>
        <v>Mario Arturo De La Peña Maldonado</v>
      </c>
      <c r="F87" t="str">
        <f>IFERROR(__xludf.DUMMYFUNCTION("""COMPUTED_VALUE"""),"Instructor Request- No Detail")</f>
        <v>Instructor Request- No Detail</v>
      </c>
      <c r="G87" s="142" t="str">
        <f>IFERROR(__xludf.DUMMYFUNCTION("""COMPUTED_VALUE"""),"Marketing")</f>
        <v>Marketing</v>
      </c>
      <c r="H87" s="140" t="str">
        <f>IFERROR(__xludf.DUMMYFUNCTION("""COMPUTED_VALUE"""),"Content Marketing")</f>
        <v>Content Marketing</v>
      </c>
      <c r="I87">
        <f>IFERROR(__xludf.DUMMYFUNCTION("""COMPUTED_VALUE"""),1362058.0)</f>
        <v>1362058</v>
      </c>
      <c r="J87" s="140" t="str">
        <f>IFERROR(__xludf.DUMMYFUNCTION("""COMPUTED_VALUE"""),"Curso Completo de Email Marketing para Negocios y Personas")</f>
        <v>Curso Completo de Email Marketing para Negocios y Personas</v>
      </c>
      <c r="L87" s="140" t="str">
        <f>IFERROR(__xludf.DUMMYFUNCTION("""COMPUTED_VALUE"""),"")</f>
        <v/>
      </c>
    </row>
    <row r="88">
      <c r="A88" s="141">
        <f>IFERROR(__xludf.DUMMYFUNCTION("""COMPUTED_VALUE"""),43801.0)</f>
        <v>43801</v>
      </c>
      <c r="B88" s="145">
        <f>IFERROR(__xludf.DUMMYFUNCTION("""COMPUTED_VALUE"""),1359030.0)</f>
        <v>1359030</v>
      </c>
      <c r="C88" s="140" t="str">
        <f>IFERROR(__xludf.DUMMYFUNCTION("""COMPUTED_VALUE"""),"DE")</f>
        <v>DE</v>
      </c>
      <c r="D88" t="str">
        <f>IFERROR(__xludf.DUMMYFUNCTION("""COMPUTED_VALUE"""),"Docker für Anfänger - Eine Reise im Container")</f>
        <v>Docker für Anfänger - Eine Reise im Container</v>
      </c>
      <c r="E88" s="142" t="str">
        <f>IFERROR(__xludf.DUMMYFUNCTION("""COMPUTED_VALUE"""),"Kevin We")</f>
        <v>Kevin We</v>
      </c>
      <c r="F88" t="str">
        <f>IFERROR(__xludf.DUMMYFUNCTION("""COMPUTED_VALUE"""),"Below Quality Standards- Low Rating")</f>
        <v>Below Quality Standards- Low Rating</v>
      </c>
      <c r="G88" s="142" t="str">
        <f>IFERROR(__xludf.DUMMYFUNCTION("""COMPUTED_VALUE"""),"Development")</f>
        <v>Development</v>
      </c>
      <c r="H88" s="140" t="str">
        <f>IFERROR(__xludf.DUMMYFUNCTION("""COMPUTED_VALUE"""),"Development Tools")</f>
        <v>Development Tools</v>
      </c>
      <c r="I88">
        <f>IFERROR(__xludf.DUMMYFUNCTION("""COMPUTED_VALUE"""),2388100.0)</f>
        <v>2388100</v>
      </c>
      <c r="J88" s="140" t="str">
        <f>IFERROR(__xludf.DUMMYFUNCTION("""COMPUTED_VALUE"""),"Docker Bootcamp - vom Anfänger zum Profi")</f>
        <v>Docker Bootcamp - vom Anfänger zum Profi</v>
      </c>
      <c r="L88" s="140" t="str">
        <f>IFERROR(__xludf.DUMMYFUNCTION("""COMPUTED_VALUE"""),"")</f>
        <v/>
      </c>
    </row>
    <row r="89">
      <c r="A89" s="141">
        <f>IFERROR(__xludf.DUMMYFUNCTION("""COMPUTED_VALUE"""),43780.0)</f>
        <v>43780</v>
      </c>
      <c r="B89" s="140">
        <f>IFERROR(__xludf.DUMMYFUNCTION("""COMPUTED_VALUE"""),573524.0)</f>
        <v>573524</v>
      </c>
      <c r="C89" s="140" t="str">
        <f>IFERROR(__xludf.DUMMYFUNCTION("""COMPUTED_VALUE"""),"EN")</f>
        <v>EN</v>
      </c>
      <c r="D89" t="str">
        <f>IFERROR(__xludf.DUMMYFUNCTION("""COMPUTED_VALUE"""),"How To Train Your Team - Team Leadership Management Skills")</f>
        <v>How To Train Your Team - Team Leadership Management Skills</v>
      </c>
      <c r="E89" s="142" t="str">
        <f>IFERROR(__xludf.DUMMYFUNCTION("""COMPUTED_VALUE"""),"Mark Timberlake")</f>
        <v>Mark Timberlake</v>
      </c>
      <c r="F89" t="str">
        <f>IFERROR(__xludf.DUMMYFUNCTION("""COMPUTED_VALUE"""),"Instructor Request- Course Opt Out")</f>
        <v>Instructor Request- Course Opt Out</v>
      </c>
      <c r="G89" s="142" t="str">
        <f>IFERROR(__xludf.DUMMYFUNCTION("""COMPUTED_VALUE"""),"Human Resources")</f>
        <v>Human Resources</v>
      </c>
      <c r="H89" s="140" t="str">
        <f>IFERROR(__xludf.DUMMYFUNCTION("""COMPUTED_VALUE"""),"Learning &amp; Development")</f>
        <v>Learning &amp; Development</v>
      </c>
      <c r="J89" s="140" t="str">
        <f>IFERROR(__xludf.DUMMYFUNCTION("""COMPUTED_VALUE"""),"")</f>
        <v/>
      </c>
      <c r="L89" s="140" t="str">
        <f>IFERROR(__xludf.DUMMYFUNCTION("""COMPUTED_VALUE"""),"")</f>
        <v/>
      </c>
    </row>
    <row r="90">
      <c r="A90" s="141">
        <f>IFERROR(__xludf.DUMMYFUNCTION("""COMPUTED_VALUE"""),43776.0)</f>
        <v>43776</v>
      </c>
      <c r="B90" s="140">
        <f>IFERROR(__xludf.DUMMYFUNCTION("""COMPUTED_VALUE"""),1412638.0)</f>
        <v>1412638</v>
      </c>
      <c r="C90" s="140" t="str">
        <f>IFERROR(__xludf.DUMMYFUNCTION("""COMPUTED_VALUE"""),"PT")</f>
        <v>PT</v>
      </c>
      <c r="D90" t="str">
        <f>IFERROR(__xludf.DUMMYFUNCTION("""COMPUTED_VALUE"""),"Fast MBA - Marketing Digital")</f>
        <v>Fast MBA - Marketing Digital</v>
      </c>
      <c r="E90" s="142" t="str">
        <f>IFERROR(__xludf.DUMMYFUNCTION("""COMPUTED_VALUE"""),"Fast MBA - Marketing Digital")</f>
        <v>Fast MBA - Marketing Digital</v>
      </c>
      <c r="F90" t="str">
        <f>IFERROR(__xludf.DUMMYFUNCTION("""COMPUTED_VALUE"""),"Instructor Request- Revenue")</f>
        <v>Instructor Request- Revenue</v>
      </c>
      <c r="G90" s="142" t="str">
        <f>IFERROR(__xludf.DUMMYFUNCTION("""COMPUTED_VALUE"""),"Marketing")</f>
        <v>Marketing</v>
      </c>
      <c r="H90" s="140" t="str">
        <f>IFERROR(__xludf.DUMMYFUNCTION("""COMPUTED_VALUE"""),"Digital Marketing")</f>
        <v>Digital Marketing</v>
      </c>
    </row>
    <row r="91">
      <c r="A91" s="141">
        <f>IFERROR(__xludf.DUMMYFUNCTION("""COMPUTED_VALUE"""),43769.0)</f>
        <v>43769</v>
      </c>
      <c r="B91" s="140">
        <f>IFERROR(__xludf.DUMMYFUNCTION("""COMPUTED_VALUE"""),1076296.0)</f>
        <v>1076296</v>
      </c>
      <c r="C91" s="140" t="str">
        <f>IFERROR(__xludf.DUMMYFUNCTION("""COMPUTED_VALUE"""),"EN")</f>
        <v>EN</v>
      </c>
      <c r="D91" t="str">
        <f>IFERROR(__xludf.DUMMYFUNCTION("""COMPUTED_VALUE"""),"ITIL Foundation (2011): Complete Course &amp; 2 Practice Exams")</f>
        <v>ITIL Foundation (2011): Complete Course &amp; 2 Practice Exams</v>
      </c>
      <c r="E91" s="142" t="str">
        <f>IFERROR(__xludf.DUMMYFUNCTION("""COMPUTED_VALUE"""),"Jason Dion • 100,000+ Students Worldwide")</f>
        <v>Jason Dion • 100,000+ Students Worldwide</v>
      </c>
      <c r="F91" t="str">
        <f>IFERROR(__xludf.DUMMYFUNCTION("""COMPUTED_VALUE"""),"Axelos")</f>
        <v>Axelos</v>
      </c>
      <c r="G91" s="142" t="str">
        <f>IFERROR(__xludf.DUMMYFUNCTION("""COMPUTED_VALUE"""),"IT Operations")</f>
        <v>IT Operations</v>
      </c>
      <c r="H91" s="140" t="str">
        <f>IFERROR(__xludf.DUMMYFUNCTION("""COMPUTED_VALUE"""),"IT Certifications")</f>
        <v>IT Certifications</v>
      </c>
      <c r="J91" s="140" t="str">
        <f>IFERROR(__xludf.DUMMYFUNCTION("""COMPUTED_VALUE"""),"")</f>
        <v/>
      </c>
      <c r="L91" s="140" t="str">
        <f>IFERROR(__xludf.DUMMYFUNCTION("""COMPUTED_VALUE"""),"")</f>
        <v/>
      </c>
    </row>
    <row r="92">
      <c r="A92" s="141">
        <f>IFERROR(__xludf.DUMMYFUNCTION("""COMPUTED_VALUE"""),43769.0)</f>
        <v>43769</v>
      </c>
      <c r="B92" s="140">
        <f>IFERROR(__xludf.DUMMYFUNCTION("""COMPUTED_VALUE"""),1264966.0)</f>
        <v>1264966</v>
      </c>
      <c r="C92" s="140" t="str">
        <f>IFERROR(__xludf.DUMMYFUNCTION("""COMPUTED_VALUE"""),"EN")</f>
        <v>EN</v>
      </c>
      <c r="D92" t="str">
        <f>IFERROR(__xludf.DUMMYFUNCTION("""COMPUTED_VALUE"""),"ITIL Foundation (2011/v3): Practice Exams (6 Exams)")</f>
        <v>ITIL Foundation (2011/v3): Practice Exams (6 Exams)</v>
      </c>
      <c r="E92" s="142" t="str">
        <f>IFERROR(__xludf.DUMMYFUNCTION("""COMPUTED_VALUE"""),"Jason Dion • 100,000+ Students Worldwide")</f>
        <v>Jason Dion • 100,000+ Students Worldwide</v>
      </c>
      <c r="F92" t="str">
        <f>IFERROR(__xludf.DUMMYFUNCTION("""COMPUTED_VALUE"""),"Axelos")</f>
        <v>Axelos</v>
      </c>
      <c r="G92" s="142" t="str">
        <f>IFERROR(__xludf.DUMMYFUNCTION("""COMPUTED_VALUE"""),"IT Operations")</f>
        <v>IT Operations</v>
      </c>
      <c r="H92" s="140" t="str">
        <f>IFERROR(__xludf.DUMMYFUNCTION("""COMPUTED_VALUE"""),"IT Certifications")</f>
        <v>IT Certifications</v>
      </c>
      <c r="J92" s="140" t="str">
        <f>IFERROR(__xludf.DUMMYFUNCTION("""COMPUTED_VALUE"""),"")</f>
        <v/>
      </c>
      <c r="L92" s="140" t="str">
        <f>IFERROR(__xludf.DUMMYFUNCTION("""COMPUTED_VALUE"""),"")</f>
        <v/>
      </c>
    </row>
    <row r="93">
      <c r="A93" s="141">
        <f>IFERROR(__xludf.DUMMYFUNCTION("""COMPUTED_VALUE"""),43769.0)</f>
        <v>43769</v>
      </c>
      <c r="B93" s="140">
        <f>IFERROR(__xludf.DUMMYFUNCTION("""COMPUTED_VALUE"""),2065369.0)</f>
        <v>2065369</v>
      </c>
      <c r="C93" s="140" t="str">
        <f>IFERROR(__xludf.DUMMYFUNCTION("""COMPUTED_VALUE"""),"EN")</f>
        <v>EN</v>
      </c>
      <c r="D93" t="str">
        <f>IFERROR(__xludf.DUMMYFUNCTION("""COMPUTED_VALUE"""),"ITIL 4 Foundation: Complete Course &amp; 2 Practice Exams")</f>
        <v>ITIL 4 Foundation: Complete Course &amp; 2 Practice Exams</v>
      </c>
      <c r="E93" s="142" t="str">
        <f>IFERROR(__xludf.DUMMYFUNCTION("""COMPUTED_VALUE"""),"Jason Dion • 100,000+ Students Worldwide")</f>
        <v>Jason Dion • 100,000+ Students Worldwide</v>
      </c>
      <c r="F93" t="str">
        <f>IFERROR(__xludf.DUMMYFUNCTION("""COMPUTED_VALUE"""),"Axelos")</f>
        <v>Axelos</v>
      </c>
      <c r="G93" s="142" t="str">
        <f>IFERROR(__xludf.DUMMYFUNCTION("""COMPUTED_VALUE"""),"IT Operations")</f>
        <v>IT Operations</v>
      </c>
      <c r="H93" s="140" t="str">
        <f>IFERROR(__xludf.DUMMYFUNCTION("""COMPUTED_VALUE"""),"IT Certifications")</f>
        <v>IT Certifications</v>
      </c>
      <c r="J93" s="140" t="str">
        <f>IFERROR(__xludf.DUMMYFUNCTION("""COMPUTED_VALUE"""),"")</f>
        <v/>
      </c>
      <c r="L93" s="140" t="str">
        <f>IFERROR(__xludf.DUMMYFUNCTION("""COMPUTED_VALUE"""),"")</f>
        <v/>
      </c>
    </row>
    <row r="94">
      <c r="A94" s="141">
        <f>IFERROR(__xludf.DUMMYFUNCTION("""COMPUTED_VALUE"""),43769.0)</f>
        <v>43769</v>
      </c>
      <c r="B94" s="140">
        <f>IFERROR(__xludf.DUMMYFUNCTION("""COMPUTED_VALUE"""),2193814.0)</f>
        <v>2193814</v>
      </c>
      <c r="C94" s="140" t="str">
        <f>IFERROR(__xludf.DUMMYFUNCTION("""COMPUTED_VALUE"""),"EN")</f>
        <v>EN</v>
      </c>
      <c r="D94" t="str">
        <f>IFERROR(__xludf.DUMMYFUNCTION("""COMPUTED_VALUE"""),"ITIL 4 Foundation: Practice Certification Exams (6 Exams)")</f>
        <v>ITIL 4 Foundation: Practice Certification Exams (6 Exams)</v>
      </c>
      <c r="E94" s="142" t="str">
        <f>IFERROR(__xludf.DUMMYFUNCTION("""COMPUTED_VALUE"""),"Jason Dion • 100,000+ Students Worldwide")</f>
        <v>Jason Dion • 100,000+ Students Worldwide</v>
      </c>
      <c r="F94" t="str">
        <f>IFERROR(__xludf.DUMMYFUNCTION("""COMPUTED_VALUE"""),"Axelos")</f>
        <v>Axelos</v>
      </c>
      <c r="G94" s="142" t="str">
        <f>IFERROR(__xludf.DUMMYFUNCTION("""COMPUTED_VALUE"""),"IT Operations")</f>
        <v>IT Operations</v>
      </c>
      <c r="H94" s="140" t="str">
        <f>IFERROR(__xludf.DUMMYFUNCTION("""COMPUTED_VALUE"""),"IT Certifications")</f>
        <v>IT Certifications</v>
      </c>
      <c r="J94" s="140" t="str">
        <f>IFERROR(__xludf.DUMMYFUNCTION("""COMPUTED_VALUE"""),"")</f>
        <v/>
      </c>
      <c r="L94" s="140" t="str">
        <f>IFERROR(__xludf.DUMMYFUNCTION("""COMPUTED_VALUE"""),"")</f>
        <v/>
      </c>
    </row>
    <row r="95">
      <c r="A95" s="141">
        <f>IFERROR(__xludf.DUMMYFUNCTION("""COMPUTED_VALUE"""),43769.0)</f>
        <v>43769</v>
      </c>
      <c r="B95" s="140">
        <f>IFERROR(__xludf.DUMMYFUNCTION("""COMPUTED_VALUE"""),1683464.0)</f>
        <v>1683464</v>
      </c>
      <c r="C95" s="140" t="str">
        <f>IFERROR(__xludf.DUMMYFUNCTION("""COMPUTED_VALUE"""),"EN")</f>
        <v>EN</v>
      </c>
      <c r="D95" t="str">
        <f>IFERROR(__xludf.DUMMYFUNCTION("""COMPUTED_VALUE"""),"PRINCE2 Foundation Complete Course &amp; 2 Practice Exams")</f>
        <v>PRINCE2 Foundation Complete Course &amp; 2 Practice Exams</v>
      </c>
      <c r="E95" s="142" t="str">
        <f>IFERROR(__xludf.DUMMYFUNCTION("""COMPUTED_VALUE"""),"Jason Dion • 100,000+ Students Worldwide")</f>
        <v>Jason Dion • 100,000+ Students Worldwide</v>
      </c>
      <c r="F95" t="str">
        <f>IFERROR(__xludf.DUMMYFUNCTION("""COMPUTED_VALUE"""),"Axelos")</f>
        <v>Axelos</v>
      </c>
      <c r="G95" s="142" t="str">
        <f>IFERROR(__xludf.DUMMYFUNCTION("""COMPUTED_VALUE"""),"IT Operations")</f>
        <v>IT Operations</v>
      </c>
      <c r="H95" s="140" t="str">
        <f>IFERROR(__xludf.DUMMYFUNCTION("""COMPUTED_VALUE"""),"IT Certifications")</f>
        <v>IT Certifications</v>
      </c>
      <c r="J95" s="140" t="str">
        <f>IFERROR(__xludf.DUMMYFUNCTION("""COMPUTED_VALUE"""),"")</f>
        <v/>
      </c>
      <c r="L95" s="140" t="str">
        <f>IFERROR(__xludf.DUMMYFUNCTION("""COMPUTED_VALUE"""),"")</f>
        <v/>
      </c>
    </row>
    <row r="96">
      <c r="A96" s="141">
        <f>IFERROR(__xludf.DUMMYFUNCTION("""COMPUTED_VALUE"""),43769.0)</f>
        <v>43769</v>
      </c>
      <c r="B96" s="140">
        <f>IFERROR(__xludf.DUMMYFUNCTION("""COMPUTED_VALUE"""),1956974.0)</f>
        <v>1956974</v>
      </c>
      <c r="C96" s="140" t="str">
        <f>IFERROR(__xludf.DUMMYFUNCTION("""COMPUTED_VALUE"""),"EN")</f>
        <v>EN</v>
      </c>
      <c r="D96" t="str">
        <f>IFERROR(__xludf.DUMMYFUNCTION("""COMPUTED_VALUE"""),"PRINCE2 Agile Foundation: Complete Course &amp; 2 Practice Exams")</f>
        <v>PRINCE2 Agile Foundation: Complete Course &amp; 2 Practice Exams</v>
      </c>
      <c r="E96" s="142" t="str">
        <f>IFERROR(__xludf.DUMMYFUNCTION("""COMPUTED_VALUE"""),"Jason Dion • 100,000+ Students Worldwide")</f>
        <v>Jason Dion • 100,000+ Students Worldwide</v>
      </c>
      <c r="F96" t="str">
        <f>IFERROR(__xludf.DUMMYFUNCTION("""COMPUTED_VALUE"""),"Axelos")</f>
        <v>Axelos</v>
      </c>
      <c r="G96" s="142" t="str">
        <f>IFERROR(__xludf.DUMMYFUNCTION("""COMPUTED_VALUE"""),"IT Operations")</f>
        <v>IT Operations</v>
      </c>
      <c r="H96" s="140" t="str">
        <f>IFERROR(__xludf.DUMMYFUNCTION("""COMPUTED_VALUE"""),"IT Certifications")</f>
        <v>IT Certifications</v>
      </c>
      <c r="J96" s="140" t="str">
        <f>IFERROR(__xludf.DUMMYFUNCTION("""COMPUTED_VALUE"""),"")</f>
        <v/>
      </c>
      <c r="L96" s="140" t="str">
        <f>IFERROR(__xludf.DUMMYFUNCTION("""COMPUTED_VALUE"""),"")</f>
        <v/>
      </c>
    </row>
    <row r="97">
      <c r="A97" s="141">
        <f>IFERROR(__xludf.DUMMYFUNCTION("""COMPUTED_VALUE"""),43769.0)</f>
        <v>43769</v>
      </c>
      <c r="B97" s="140">
        <f>IFERROR(__xludf.DUMMYFUNCTION("""COMPUTED_VALUE"""),1491820.0)</f>
        <v>1491820</v>
      </c>
      <c r="C97" s="140" t="str">
        <f>IFERROR(__xludf.DUMMYFUNCTION("""COMPUTED_VALUE"""),"EN")</f>
        <v>EN</v>
      </c>
      <c r="D97" t="str">
        <f>IFERROR(__xludf.DUMMYFUNCTION("""COMPUTED_VALUE"""),"PRINCE2 Foundation: Practice Certification Exams (6 Exams)")</f>
        <v>PRINCE2 Foundation: Practice Certification Exams (6 Exams)</v>
      </c>
      <c r="E97" s="142" t="str">
        <f>IFERROR(__xludf.DUMMYFUNCTION("""COMPUTED_VALUE"""),"Jason Dion • 100,000+ Students Worldwide")</f>
        <v>Jason Dion • 100,000+ Students Worldwide</v>
      </c>
      <c r="F97" t="str">
        <f>IFERROR(__xludf.DUMMYFUNCTION("""COMPUTED_VALUE"""),"Axelos")</f>
        <v>Axelos</v>
      </c>
      <c r="G97" s="142" t="str">
        <f>IFERROR(__xludf.DUMMYFUNCTION("""COMPUTED_VALUE"""),"IT Operations")</f>
        <v>IT Operations</v>
      </c>
      <c r="H97" s="140" t="str">
        <f>IFERROR(__xludf.DUMMYFUNCTION("""COMPUTED_VALUE"""),"IT Certifications")</f>
        <v>IT Certifications</v>
      </c>
      <c r="J97" s="140" t="str">
        <f>IFERROR(__xludf.DUMMYFUNCTION("""COMPUTED_VALUE"""),"")</f>
        <v/>
      </c>
      <c r="L97" s="140" t="str">
        <f>IFERROR(__xludf.DUMMYFUNCTION("""COMPUTED_VALUE"""),"")</f>
        <v/>
      </c>
    </row>
    <row r="98">
      <c r="A98" s="141">
        <f>IFERROR(__xludf.DUMMYFUNCTION("""COMPUTED_VALUE"""),43769.0)</f>
        <v>43769</v>
      </c>
      <c r="B98" s="140">
        <f>IFERROR(__xludf.DUMMYFUNCTION("""COMPUTED_VALUE"""),2292483.0)</f>
        <v>2292483</v>
      </c>
      <c r="C98" s="140" t="str">
        <f>IFERROR(__xludf.DUMMYFUNCTION("""COMPUTED_VALUE"""),"PT")</f>
        <v>PT</v>
      </c>
      <c r="D98" t="str">
        <f>IFERROR(__xludf.DUMMYFUNCTION("""COMPUTED_VALUE"""),"Curso Oficial Preparatório ITIL 4 Foundation")</f>
        <v>Curso Oficial Preparatório ITIL 4 Foundation</v>
      </c>
      <c r="E98" s="142" t="str">
        <f>IFERROR(__xludf.DUMMYFUNCTION("""COMPUTED_VALUE"""),"PMG Academy")</f>
        <v>PMG Academy</v>
      </c>
      <c r="F98" t="str">
        <f>IFERROR(__xludf.DUMMYFUNCTION("""COMPUTED_VALUE"""),"Axelos")</f>
        <v>Axelos</v>
      </c>
      <c r="G98" s="142" t="str">
        <f>IFERROR(__xludf.DUMMYFUNCTION("""COMPUTED_VALUE"""),"IT Operations")</f>
        <v>IT Operations</v>
      </c>
      <c r="H98" s="140" t="str">
        <f>IFERROR(__xludf.DUMMYFUNCTION("""COMPUTED_VALUE"""),"IT Certifications")</f>
        <v>IT Certifications</v>
      </c>
      <c r="J98" s="140" t="str">
        <f>IFERROR(__xludf.DUMMYFUNCTION("""COMPUTED_VALUE"""),"")</f>
        <v/>
      </c>
      <c r="L98" s="140" t="str">
        <f>IFERROR(__xludf.DUMMYFUNCTION("""COMPUTED_VALUE"""),"")</f>
        <v/>
      </c>
    </row>
    <row r="99">
      <c r="A99" s="141">
        <f>IFERROR(__xludf.DUMMYFUNCTION("""COMPUTED_VALUE"""),43769.0)</f>
        <v>43769</v>
      </c>
      <c r="B99" s="140">
        <f>IFERROR(__xludf.DUMMYFUNCTION("""COMPUTED_VALUE"""),92308.0)</f>
        <v>92308</v>
      </c>
      <c r="C99" s="140" t="str">
        <f>IFERROR(__xludf.DUMMYFUNCTION("""COMPUTED_VALUE"""),"EN")</f>
        <v>EN</v>
      </c>
      <c r="D99" t="str">
        <f>IFERROR(__xludf.DUMMYFUNCTION("""COMPUTED_VALUE"""),"Layer 2 Switching &amp; VLAN's for Cisco CCNA")</f>
        <v>Layer 2 Switching &amp; VLAN's for Cisco CCNA</v>
      </c>
      <c r="E99" s="142" t="str">
        <f>IFERROR(__xludf.DUMMYFUNCTION("""COMPUTED_VALUE"""),"Lazaro Diaz")</f>
        <v>Lazaro Diaz</v>
      </c>
      <c r="F99" t="str">
        <f>IFERROR(__xludf.DUMMYFUNCTION("""COMPUTED_VALUE"""),"Below Quality Standards- 3 Flags")</f>
        <v>Below Quality Standards- 3 Flags</v>
      </c>
      <c r="G99" s="142" t="str">
        <f>IFERROR(__xludf.DUMMYFUNCTION("""COMPUTED_VALUE"""),"IT Operations")</f>
        <v>IT Operations</v>
      </c>
      <c r="H99" s="140" t="str">
        <f>IFERROR(__xludf.DUMMYFUNCTION("""COMPUTED_VALUE"""),"IT Certifications")</f>
        <v>IT Certifications</v>
      </c>
      <c r="I99">
        <f>IFERROR(__xludf.DUMMYFUNCTION("""COMPUTED_VALUE"""),52700.0)</f>
        <v>52700</v>
      </c>
      <c r="J99" s="140" t="str">
        <f>IFERROR(__xludf.DUMMYFUNCTION("""COMPUTED_VALUE"""),"")</f>
        <v/>
      </c>
      <c r="K99">
        <f>IFERROR(__xludf.DUMMYFUNCTION("""COMPUTED_VALUE"""),236710.0)</f>
        <v>236710</v>
      </c>
      <c r="L99" s="140" t="str">
        <f>IFERROR(__xludf.DUMMYFUNCTION("""COMPUTED_VALUE"""),"")</f>
        <v/>
      </c>
    </row>
    <row r="100">
      <c r="A100" s="141">
        <f>IFERROR(__xludf.DUMMYFUNCTION("""COMPUTED_VALUE"""),43769.0)</f>
        <v>43769</v>
      </c>
      <c r="B100" s="140">
        <f>IFERROR(__xludf.DUMMYFUNCTION("""COMPUTED_VALUE"""),439898.0)</f>
        <v>439898</v>
      </c>
      <c r="C100" s="140" t="str">
        <f>IFERROR(__xludf.DUMMYFUNCTION("""COMPUTED_VALUE"""),"EN")</f>
        <v>EN</v>
      </c>
      <c r="D100" t="str">
        <f>IFERROR(__xludf.DUMMYFUNCTION("""COMPUTED_VALUE"""),"Recruitment for startups: How to avoid common pitfalls")</f>
        <v>Recruitment for startups: How to avoid common pitfalls</v>
      </c>
      <c r="E100" s="142" t="str">
        <f>IFERROR(__xludf.DUMMYFUNCTION("""COMPUTED_VALUE"""),"Michelle Gyimah")</f>
        <v>Michelle Gyimah</v>
      </c>
      <c r="F100" t="str">
        <f>IFERROR(__xludf.DUMMYFUNCTION("""COMPUTED_VALUE"""),"Below Quality Standards- 3 Flags")</f>
        <v>Below Quality Standards- 3 Flags</v>
      </c>
      <c r="G100" s="142" t="str">
        <f>IFERROR(__xludf.DUMMYFUNCTION("""COMPUTED_VALUE"""),"Human Resources")</f>
        <v>Human Resources</v>
      </c>
      <c r="H100" s="140" t="str">
        <f>IFERROR(__xludf.DUMMYFUNCTION("""COMPUTED_VALUE"""),"Talent Management")</f>
        <v>Talent Management</v>
      </c>
      <c r="I100">
        <f>IFERROR(__xludf.DUMMYFUNCTION("""COMPUTED_VALUE"""),312042.0)</f>
        <v>312042</v>
      </c>
      <c r="J100" s="140" t="str">
        <f>IFERROR(__xludf.DUMMYFUNCTION("""COMPUTED_VALUE"""),"Recruitment Interviewing Essentials: Interviewing Made Easy")</f>
        <v>Recruitment Interviewing Essentials: Interviewing Made Easy</v>
      </c>
      <c r="K100">
        <f>IFERROR(__xludf.DUMMYFUNCTION("""COMPUTED_VALUE"""),1434700.0)</f>
        <v>1434700</v>
      </c>
      <c r="L100" s="140" t="str">
        <f>IFERROR(__xludf.DUMMYFUNCTION("""COMPUTED_VALUE"""),"[2022] Recruiting: Talent Acquisition &amp; Hiring (Version 3)")</f>
        <v>[2022] Recruiting: Talent Acquisition &amp; Hiring (Version 3)</v>
      </c>
    </row>
    <row r="101">
      <c r="A101" s="141">
        <f>IFERROR(__xludf.DUMMYFUNCTION("""COMPUTED_VALUE"""),43769.0)</f>
        <v>43769</v>
      </c>
      <c r="B101" s="140">
        <f>IFERROR(__xludf.DUMMYFUNCTION("""COMPUTED_VALUE"""),487154.0)</f>
        <v>487154</v>
      </c>
      <c r="C101" s="140" t="str">
        <f>IFERROR(__xludf.DUMMYFUNCTION("""COMPUTED_VALUE"""),"EN")</f>
        <v>EN</v>
      </c>
      <c r="D101" t="str">
        <f>IFERROR(__xludf.DUMMYFUNCTION("""COMPUTED_VALUE"""),"Selenium Mastery: Apply What You Learn Here Today By RicherU")</f>
        <v>Selenium Mastery: Apply What You Learn Here Today By RicherU</v>
      </c>
      <c r="E101" s="142" t="str">
        <f>IFERROR(__xludf.DUMMYFUNCTION("""COMPUTED_VALUE"""),"Rico Rodriguez")</f>
        <v>Rico Rodriguez</v>
      </c>
      <c r="F101" t="str">
        <f>IFERROR(__xludf.DUMMYFUNCTION("""COMPUTED_VALUE"""),"Below Quality Standards- 3 Flags")</f>
        <v>Below Quality Standards- 3 Flags</v>
      </c>
      <c r="G101" s="142" t="str">
        <f>IFERROR(__xludf.DUMMYFUNCTION("""COMPUTED_VALUE"""),"Development")</f>
        <v>Development</v>
      </c>
      <c r="H101" s="140" t="str">
        <f>IFERROR(__xludf.DUMMYFUNCTION("""COMPUTED_VALUE"""),"Software Testing")</f>
        <v>Software Testing</v>
      </c>
      <c r="I101">
        <f>IFERROR(__xludf.DUMMYFUNCTION("""COMPUTED_VALUE"""),354176.0)</f>
        <v>354176</v>
      </c>
      <c r="J101" s="140" t="str">
        <f>IFERROR(__xludf.DUMMYFUNCTION("""COMPUTED_VALUE"""),"Selenium WebDriver with Java -Basics to Advanced+Frameworks")</f>
        <v>Selenium WebDriver with Java -Basics to Advanced+Frameworks</v>
      </c>
      <c r="K101">
        <f>IFERROR(__xludf.DUMMYFUNCTION("""COMPUTED_VALUE"""),53670.0)</f>
        <v>53670</v>
      </c>
      <c r="L101" s="140" t="str">
        <f>IFERROR(__xludf.DUMMYFUNCTION("""COMPUTED_VALUE"""),"Selenium WebDriver Training with Java &amp; Many Live Frameworks")</f>
        <v>Selenium WebDriver Training with Java &amp; Many Live Frameworks</v>
      </c>
    </row>
    <row r="102">
      <c r="A102" s="141">
        <f>IFERROR(__xludf.DUMMYFUNCTION("""COMPUTED_VALUE"""),43769.0)</f>
        <v>43769</v>
      </c>
      <c r="B102" s="140">
        <f>IFERROR(__xludf.DUMMYFUNCTION("""COMPUTED_VALUE"""),543766.0)</f>
        <v>543766</v>
      </c>
      <c r="C102" s="140" t="str">
        <f>IFERROR(__xludf.DUMMYFUNCTION("""COMPUTED_VALUE"""),"EN")</f>
        <v>EN</v>
      </c>
      <c r="D102" t="str">
        <f>IFERROR(__xludf.DUMMYFUNCTION("""COMPUTED_VALUE"""),"Advanced SQL Server Performance Tuning")</f>
        <v>Advanced SQL Server Performance Tuning</v>
      </c>
      <c r="E102" s="142" t="str">
        <f>IFERROR(__xludf.DUMMYFUNCTION("""COMPUTED_VALUE"""),"Mike West")</f>
        <v>Mike West</v>
      </c>
      <c r="F102" t="str">
        <f>IFERROR(__xludf.DUMMYFUNCTION("""COMPUTED_VALUE"""),"Below Quality Standards- Low Rating")</f>
        <v>Below Quality Standards- Low Rating</v>
      </c>
      <c r="G102" s="142" t="str">
        <f>IFERROR(__xludf.DUMMYFUNCTION("""COMPUTED_VALUE"""),"IT Operations")</f>
        <v>IT Operations</v>
      </c>
      <c r="H102" s="140" t="str">
        <f>IFERROR(__xludf.DUMMYFUNCTION("""COMPUTED_VALUE"""),"Database Administration")</f>
        <v>Database Administration</v>
      </c>
      <c r="I102">
        <f>IFERROR(__xludf.DUMMYFUNCTION("""COMPUTED_VALUE"""),1091494.0)</f>
        <v>1091494</v>
      </c>
      <c r="J102" s="140" t="str">
        <f>IFERROR(__xludf.DUMMYFUNCTION("""COMPUTED_VALUE"""),"Building an Automated SQL Server Performance Tuning Engine")</f>
        <v>Building an Automated SQL Server Performance Tuning Engine</v>
      </c>
      <c r="K102">
        <f>IFERROR(__xludf.DUMMYFUNCTION("""COMPUTED_VALUE"""),1343814.0)</f>
        <v>1343814</v>
      </c>
      <c r="L102" s="140" t="str">
        <f>IFERROR(__xludf.DUMMYFUNCTION("""COMPUTED_VALUE"""),"SQL Server Performance Tuning Part 1")</f>
        <v>SQL Server Performance Tuning Part 1</v>
      </c>
    </row>
    <row r="103">
      <c r="A103" s="141">
        <f>IFERROR(__xludf.DUMMYFUNCTION("""COMPUTED_VALUE"""),43769.0)</f>
        <v>43769</v>
      </c>
      <c r="B103" s="140">
        <f>IFERROR(__xludf.DUMMYFUNCTION("""COMPUTED_VALUE"""),302306.0)</f>
        <v>302306</v>
      </c>
      <c r="C103" s="140" t="str">
        <f>IFERROR(__xludf.DUMMYFUNCTION("""COMPUTED_VALUE"""),"EN")</f>
        <v>EN</v>
      </c>
      <c r="D103" t="str">
        <f>IFERROR(__xludf.DUMMYFUNCTION("""COMPUTED_VALUE"""),"UX Research for Apps: User-centric from Concept to Launch")</f>
        <v>UX Research for Apps: User-centric from Concept to Launch</v>
      </c>
      <c r="E103" s="142" t="str">
        <f>IFERROR(__xludf.DUMMYFUNCTION("""COMPUTED_VALUE"""),"Todd Greenwood")</f>
        <v>Todd Greenwood</v>
      </c>
      <c r="F103" t="str">
        <f>IFERROR(__xludf.DUMMYFUNCTION("""COMPUTED_VALUE"""),"Below Quality Standards- 3 Flags")</f>
        <v>Below Quality Standards- 3 Flags</v>
      </c>
      <c r="G103" s="142" t="str">
        <f>IFERROR(__xludf.DUMMYFUNCTION("""COMPUTED_VALUE"""),"Design")</f>
        <v>Design</v>
      </c>
      <c r="H103" s="140" t="str">
        <f>IFERROR(__xludf.DUMMYFUNCTION("""COMPUTED_VALUE"""),"User Experience Design")</f>
        <v>User Experience Design</v>
      </c>
      <c r="I103">
        <f>IFERROR(__xludf.DUMMYFUNCTION("""COMPUTED_VALUE"""),1184844.0)</f>
        <v>1184844</v>
      </c>
      <c r="J103" s="140" t="str">
        <f>IFERROR(__xludf.DUMMYFUNCTION("""COMPUTED_VALUE"""),"The Complete App Design Course - UX, UI and Design Thinking")</f>
        <v>The Complete App Design Course - UX, UI and Design Thinking</v>
      </c>
      <c r="K103">
        <f>IFERROR(__xludf.DUMMYFUNCTION("""COMPUTED_VALUE"""),1033446.0)</f>
        <v>1033446</v>
      </c>
      <c r="L103" s="140" t="str">
        <f>IFERROR(__xludf.DUMMYFUNCTION("""COMPUTED_VALUE"""),"UI/UX design with Adobe XD: Design &amp; Prototype a Mobile App")</f>
        <v>UI/UX design with Adobe XD: Design &amp; Prototype a Mobile App</v>
      </c>
    </row>
    <row r="104">
      <c r="A104" s="141">
        <f>IFERROR(__xludf.DUMMYFUNCTION("""COMPUTED_VALUE"""),43769.0)</f>
        <v>43769</v>
      </c>
      <c r="B104" s="140">
        <f>IFERROR(__xludf.DUMMYFUNCTION("""COMPUTED_VALUE"""),1432176.0)</f>
        <v>1432176</v>
      </c>
      <c r="C104" s="140" t="str">
        <f>IFERROR(__xludf.DUMMYFUNCTION("""COMPUTED_VALUE"""),"EN")</f>
        <v>EN</v>
      </c>
      <c r="D104" t="str">
        <f>IFERROR(__xludf.DUMMYFUNCTION("""COMPUTED_VALUE"""),"Serverless Data Processing on AWS")</f>
        <v>Serverless Data Processing on AWS</v>
      </c>
      <c r="E104" s="142" t="str">
        <f>IFERROR(__xludf.DUMMYFUNCTION("""COMPUTED_VALUE"""),"AWS, a subsidiary of Amazon.com")</f>
        <v>AWS, a subsidiary of Amazon.com</v>
      </c>
      <c r="F104" t="str">
        <f>IFERROR(__xludf.DUMMYFUNCTION("""COMPUTED_VALUE"""),"Instructor Request- Outdated")</f>
        <v>Instructor Request- Outdated</v>
      </c>
      <c r="G104" s="142" t="str">
        <f>IFERROR(__xludf.DUMMYFUNCTION("""COMPUTED_VALUE"""),"Cloud Computing")</f>
        <v>Cloud Computing</v>
      </c>
      <c r="H104" s="140" t="str">
        <f>IFERROR(__xludf.DUMMYFUNCTION("""COMPUTED_VALUE"""),"Cloud Development")</f>
        <v>Cloud Development</v>
      </c>
      <c r="I104">
        <f>IFERROR(__xludf.DUMMYFUNCTION("""COMPUTED_VALUE"""),1241254.0)</f>
        <v>1241254</v>
      </c>
      <c r="J104" s="140" t="str">
        <f>IFERROR(__xludf.DUMMYFUNCTION("""COMPUTED_VALUE"""),"AWS Serverless APIs &amp; Apps - A Complete Introduction")</f>
        <v>AWS Serverless APIs &amp; Apps - A Complete Introduction</v>
      </c>
      <c r="K104">
        <f>IFERROR(__xludf.DUMMYFUNCTION("""COMPUTED_VALUE"""),1241098.0)</f>
        <v>1241098</v>
      </c>
      <c r="L104" s="140" t="str">
        <f>IFERROR(__xludf.DUMMYFUNCTION("""COMPUTED_VALUE"""),"AWS Lambda and the Serverless Framework - Hands On Learning!")</f>
        <v>AWS Lambda and the Serverless Framework - Hands On Learning!</v>
      </c>
    </row>
    <row r="105">
      <c r="A105" s="141">
        <f>IFERROR(__xludf.DUMMYFUNCTION("""COMPUTED_VALUE"""),43769.0)</f>
        <v>43769</v>
      </c>
      <c r="B105" s="140">
        <f>IFERROR(__xludf.DUMMYFUNCTION("""COMPUTED_VALUE"""),354910.0)</f>
        <v>354910</v>
      </c>
      <c r="C105" s="140" t="str">
        <f>IFERROR(__xludf.DUMMYFUNCTION("""COMPUTED_VALUE"""),"EN")</f>
        <v>EN</v>
      </c>
      <c r="D105" t="str">
        <f>IFERROR(__xludf.DUMMYFUNCTION("""COMPUTED_VALUE"""),"Microsoft Word for Mac - From Beginner to Expert in 5 Hours")</f>
        <v>Microsoft Word for Mac - From Beginner to Expert in 5 Hours</v>
      </c>
      <c r="E105" s="142" t="str">
        <f>IFERROR(__xludf.DUMMYFUNCTION("""COMPUTED_VALUE"""),"Todd McLeod")</f>
        <v>Todd McLeod</v>
      </c>
      <c r="F105" t="str">
        <f>IFERROR(__xludf.DUMMYFUNCTION("""COMPUTED_VALUE"""),"Below Quality Standards- Outdated")</f>
        <v>Below Quality Standards- Outdated</v>
      </c>
      <c r="G105" s="142" t="str">
        <f>IFERROR(__xludf.DUMMYFUNCTION("""COMPUTED_VALUE"""),"Office Productivity")</f>
        <v>Office Productivity</v>
      </c>
      <c r="H105" s="140" t="str">
        <f>IFERROR(__xludf.DUMMYFUNCTION("""COMPUTED_VALUE"""),"Word Processing")</f>
        <v>Word Processing</v>
      </c>
      <c r="I105">
        <f>IFERROR(__xludf.DUMMYFUNCTION("""COMPUTED_VALUE"""),1250114.0)</f>
        <v>1250114</v>
      </c>
      <c r="J105" s="140" t="str">
        <f>IFERROR(__xludf.DUMMYFUNCTION("""COMPUTED_VALUE"""),"Microsoft Word for Mac - Office 365 on Mac OS")</f>
        <v>Microsoft Word for Mac - Office 365 on Mac OS</v>
      </c>
      <c r="K105">
        <f>IFERROR(__xludf.DUMMYFUNCTION("""COMPUTED_VALUE"""),1235430.0)</f>
        <v>1235430</v>
      </c>
      <c r="L105" s="140" t="str">
        <f>IFERROR(__xludf.DUMMYFUNCTION("""COMPUTED_VALUE"""),"Master Microsoft Word Beginner to Advanced")</f>
        <v>Master Microsoft Word Beginner to Advanced</v>
      </c>
    </row>
    <row r="106">
      <c r="A106" s="141">
        <f>IFERROR(__xludf.DUMMYFUNCTION("""COMPUTED_VALUE"""),43769.0)</f>
        <v>43769</v>
      </c>
      <c r="B106" s="140">
        <f>IFERROR(__xludf.DUMMYFUNCTION("""COMPUTED_VALUE"""),1205478.0)</f>
        <v>1205478</v>
      </c>
      <c r="C106" s="140" t="str">
        <f>IFERROR(__xludf.DUMMYFUNCTION("""COMPUTED_VALUE"""),"EN")</f>
        <v>EN</v>
      </c>
      <c r="D106" t="str">
        <f>IFERROR(__xludf.DUMMYFUNCTION("""COMPUTED_VALUE"""),"Programming Internet of Things - Beginning to Advanced Level")</f>
        <v>Programming Internet of Things - Beginning to Advanced Level</v>
      </c>
      <c r="E106" s="142" t="str">
        <f>IFERROR(__xludf.DUMMYFUNCTION("""COMPUTED_VALUE"""),"- SchoolSteps")</f>
        <v>- SchoolSteps</v>
      </c>
      <c r="F106" t="str">
        <f>IFERROR(__xludf.DUMMYFUNCTION("""COMPUTED_VALUE"""),"Below Quality Standards- Low Rating")</f>
        <v>Below Quality Standards- Low Rating</v>
      </c>
      <c r="G106" s="142" t="str">
        <f>IFERROR(__xludf.DUMMYFUNCTION("""COMPUTED_VALUE"""),"Development")</f>
        <v>Development</v>
      </c>
      <c r="H106" s="140" t="str">
        <f>IFERROR(__xludf.DUMMYFUNCTION("""COMPUTED_VALUE"""),"Development Tools")</f>
        <v>Development Tools</v>
      </c>
      <c r="I106">
        <f>IFERROR(__xludf.DUMMYFUNCTION("""COMPUTED_VALUE"""),1316068.0)</f>
        <v>1316068</v>
      </c>
      <c r="J106" s="140" t="str">
        <f>IFERROR(__xludf.DUMMYFUNCTION("""COMPUTED_VALUE"""),"")</f>
        <v/>
      </c>
      <c r="K106">
        <f>IFERROR(__xludf.DUMMYFUNCTION("""COMPUTED_VALUE"""),1483106.0)</f>
        <v>1483106</v>
      </c>
      <c r="L106" s="140" t="str">
        <f>IFERROR(__xludf.DUMMYFUNCTION("""COMPUTED_VALUE"""),"Exploring AWS IoT")</f>
        <v>Exploring AWS IoT</v>
      </c>
    </row>
    <row r="107">
      <c r="A107" s="141">
        <f>IFERROR(__xludf.DUMMYFUNCTION("""COMPUTED_VALUE"""),43769.0)</f>
        <v>43769</v>
      </c>
      <c r="B107" s="140">
        <f>IFERROR(__xludf.DUMMYFUNCTION("""COMPUTED_VALUE"""),49651.0)</f>
        <v>49651</v>
      </c>
      <c r="C107" s="140" t="str">
        <f>IFERROR(__xludf.DUMMYFUNCTION("""COMPUTED_VALUE"""),"EN")</f>
        <v>EN</v>
      </c>
      <c r="D107" t="str">
        <f>IFERROR(__xludf.DUMMYFUNCTION("""COMPUTED_VALUE"""),"Excel 2010 Introduction")</f>
        <v>Excel 2010 Introduction</v>
      </c>
      <c r="E107" s="142" t="str">
        <f>IFERROR(__xludf.DUMMYFUNCTION("""COMPUTED_VALUE"""),"Intellezy Trainers")</f>
        <v>Intellezy Trainers</v>
      </c>
      <c r="F107" t="str">
        <f>IFERROR(__xludf.DUMMYFUNCTION("""COMPUTED_VALUE"""),"Instructor Request- Opted Out")</f>
        <v>Instructor Request- Opted Out</v>
      </c>
      <c r="G107" s="142" t="str">
        <f>IFERROR(__xludf.DUMMYFUNCTION("""COMPUTED_VALUE"""),"Office Productivity")</f>
        <v>Office Productivity</v>
      </c>
      <c r="H107" s="140" t="str">
        <f>IFERROR(__xludf.DUMMYFUNCTION("""COMPUTED_VALUE"""),"Spreadsheets")</f>
        <v>Spreadsheets</v>
      </c>
      <c r="I107">
        <f>IFERROR(__xludf.DUMMYFUNCTION("""COMPUTED_VALUE"""),793796.0)</f>
        <v>793796</v>
      </c>
      <c r="J107" s="140" t="str">
        <f>IFERROR(__xludf.DUMMYFUNCTION("""COMPUTED_VALUE"""),"Microsoft Excel - Excel from Beginner to Advanced")</f>
        <v>Microsoft Excel - Excel from Beginner to Advanced</v>
      </c>
      <c r="K107">
        <f>IFERROR(__xludf.DUMMYFUNCTION("""COMPUTED_VALUE"""),472214.0)</f>
        <v>472214</v>
      </c>
      <c r="L107" s="140" t="str">
        <f>IFERROR(__xludf.DUMMYFUNCTION("""COMPUTED_VALUE"""),"Introduction to Microsoft Excel 2010")</f>
        <v>Introduction to Microsoft Excel 2010</v>
      </c>
    </row>
    <row r="108">
      <c r="A108" s="141">
        <f>IFERROR(__xludf.DUMMYFUNCTION("""COMPUTED_VALUE"""),43769.0)</f>
        <v>43769</v>
      </c>
      <c r="B108" s="140">
        <f>IFERROR(__xludf.DUMMYFUNCTION("""COMPUTED_VALUE"""),1334924.0)</f>
        <v>1334924</v>
      </c>
      <c r="C108" s="140" t="str">
        <f>IFERROR(__xludf.DUMMYFUNCTION("""COMPUTED_VALUE"""),"EN")</f>
        <v>EN</v>
      </c>
      <c r="D108" t="str">
        <f>IFERROR(__xludf.DUMMYFUNCTION("""COMPUTED_VALUE"""),"CISSP practice questions #3 - ALL CISSP domains 250 Q - 2019")</f>
        <v>CISSP practice questions #3 - ALL CISSP domains 250 Q - 2019</v>
      </c>
      <c r="E108" s="142" t="str">
        <f>IFERROR(__xludf.DUMMYFUNCTION("""COMPUTED_VALUE"""),"Thor Pedersen - IT &amp; Cyber Security Trainer - CISSP | CISM")</f>
        <v>Thor Pedersen - IT &amp; Cyber Security Trainer - CISSP | CISM</v>
      </c>
      <c r="F108" t="str">
        <f>IFERROR(__xludf.DUMMYFUNCTION("""COMPUTED_VALUE"""),"Below Quality Standards- Low Rating")</f>
        <v>Below Quality Standards- Low Rating</v>
      </c>
      <c r="G108" s="142" t="str">
        <f>IFERROR(__xludf.DUMMYFUNCTION("""COMPUTED_VALUE"""),"IT Operations")</f>
        <v>IT Operations</v>
      </c>
      <c r="H108" s="140" t="str">
        <f>IFERROR(__xludf.DUMMYFUNCTION("""COMPUTED_VALUE"""),"IT Certifications")</f>
        <v>IT Certifications</v>
      </c>
      <c r="I108">
        <f>IFERROR(__xludf.DUMMYFUNCTION("""COMPUTED_VALUE"""),1348924.0)</f>
        <v>1348924</v>
      </c>
      <c r="J108" s="140" t="str">
        <f>IFERROR(__xludf.DUMMYFUNCTION("""COMPUTED_VALUE"""),"CISSP Certification: CISSP Domain 1 &amp; 2 Boot Camp UPDATED 22")</f>
        <v>CISSP Certification: CISSP Domain 1 &amp; 2 Boot Camp UPDATED 22</v>
      </c>
      <c r="K108">
        <f>IFERROR(__xludf.DUMMYFUNCTION("""COMPUTED_VALUE"""),1420626.0)</f>
        <v>1420626</v>
      </c>
      <c r="L108" s="140" t="str">
        <f>IFERROR(__xludf.DUMMYFUNCTION("""COMPUTED_VALUE"""),"CISSP: How to study, plans, tips, materials, approach - 2022")</f>
        <v>CISSP: How to study, plans, tips, materials, approach - 2022</v>
      </c>
    </row>
    <row r="109">
      <c r="A109" s="141">
        <f>IFERROR(__xludf.DUMMYFUNCTION("""COMPUTED_VALUE"""),43769.0)</f>
        <v>43769</v>
      </c>
      <c r="B109" s="140">
        <f>IFERROR(__xludf.DUMMYFUNCTION("""COMPUTED_VALUE"""),1382436.0)</f>
        <v>1382436</v>
      </c>
      <c r="C109" s="140" t="str">
        <f>IFERROR(__xludf.DUMMYFUNCTION("""COMPUTED_VALUE"""),"EN")</f>
        <v>EN</v>
      </c>
      <c r="D109" t="str">
        <f>IFERROR(__xludf.DUMMYFUNCTION("""COMPUTED_VALUE"""),"Understanding Unconscious Bias")</f>
        <v>Understanding Unconscious Bias</v>
      </c>
      <c r="E109" s="142" t="str">
        <f>IFERROR(__xludf.DUMMYFUNCTION("""COMPUTED_VALUE"""),"Nikki Woodford")</f>
        <v>Nikki Woodford</v>
      </c>
      <c r="F109" t="str">
        <f>IFERROR(__xludf.DUMMYFUNCTION("""COMPUTED_VALUE"""),"Below Quality Standards- 3 Flags")</f>
        <v>Below Quality Standards- 3 Flags</v>
      </c>
      <c r="G109" s="142" t="str">
        <f>IFERROR(__xludf.DUMMYFUNCTION("""COMPUTED_VALUE"""),"Human Resources")</f>
        <v>Human Resources</v>
      </c>
      <c r="H109" s="140" t="str">
        <f>IFERROR(__xludf.DUMMYFUNCTION("""COMPUTED_VALUE"""),"Compliance")</f>
        <v>Compliance</v>
      </c>
      <c r="I109">
        <f>IFERROR(__xludf.DUMMYFUNCTION("""COMPUTED_VALUE"""),1355906.0)</f>
        <v>1355906</v>
      </c>
      <c r="J109" s="140" t="str">
        <f>IFERROR(__xludf.DUMMYFUNCTION("""COMPUTED_VALUE"""),"")</f>
        <v/>
      </c>
      <c r="K109">
        <f>IFERROR(__xludf.DUMMYFUNCTION("""COMPUTED_VALUE"""),1210442.0)</f>
        <v>1210442</v>
      </c>
      <c r="L109" s="140" t="str">
        <f>IFERROR(__xludf.DUMMYFUNCTION("""COMPUTED_VALUE"""),"Psychology of Diversity and Unconscious Bias")</f>
        <v>Psychology of Diversity and Unconscious Bias</v>
      </c>
    </row>
    <row r="110">
      <c r="A110" s="141">
        <f>IFERROR(__xludf.DUMMYFUNCTION("""COMPUTED_VALUE"""),43769.0)</f>
        <v>43769</v>
      </c>
      <c r="B110" s="140">
        <f>IFERROR(__xludf.DUMMYFUNCTION("""COMPUTED_VALUE"""),1263258.0)</f>
        <v>1263258</v>
      </c>
      <c r="C110" s="140" t="str">
        <f>IFERROR(__xludf.DUMMYFUNCTION("""COMPUTED_VALUE"""),"EN")</f>
        <v>EN</v>
      </c>
      <c r="D110" t="str">
        <f>IFERROR(__xludf.DUMMYFUNCTION("""COMPUTED_VALUE"""),"Business Leadership &amp; Management: How To Be A Better Leader")</f>
        <v>Business Leadership &amp; Management: How To Be A Better Leader</v>
      </c>
      <c r="E110" s="142" t="str">
        <f>IFERROR(__xludf.DUMMYFUNCTION("""COMPUTED_VALUE"""),"Life Progression Project")</f>
        <v>Life Progression Project</v>
      </c>
      <c r="F110" t="str">
        <f>IFERROR(__xludf.DUMMYFUNCTION("""COMPUTED_VALUE"""),"Below Quality Standards- Low Rating")</f>
        <v>Below Quality Standards- Low Rating</v>
      </c>
      <c r="G110" s="142" t="str">
        <f>IFERROR(__xludf.DUMMYFUNCTION("""COMPUTED_VALUE"""),"Leadership &amp; Management")</f>
        <v>Leadership &amp; Management</v>
      </c>
      <c r="H110" s="140" t="str">
        <f>IFERROR(__xludf.DUMMYFUNCTION("""COMPUTED_VALUE"""),"Leadership")</f>
        <v>Leadership</v>
      </c>
      <c r="I110">
        <f>IFERROR(__xludf.DUMMYFUNCTION("""COMPUTED_VALUE"""),1362218.0)</f>
        <v>1362218</v>
      </c>
      <c r="J110" s="140" t="str">
        <f>IFERROR(__xludf.DUMMYFUNCTION("""COMPUTED_VALUE"""),"Leadership: How to Influence, Inspire and Impact as a Leader")</f>
        <v>Leadership: How to Influence, Inspire and Impact as a Leader</v>
      </c>
      <c r="K110">
        <f>IFERROR(__xludf.DUMMYFUNCTION("""COMPUTED_VALUE"""),1415934.0)</f>
        <v>1415934</v>
      </c>
      <c r="L110" s="140" t="str">
        <f>IFERROR(__xludf.DUMMYFUNCTION("""COMPUTED_VALUE"""),"Management Skills - Team Leadership Skills Masterclass 2021")</f>
        <v>Management Skills - Team Leadership Skills Masterclass 2021</v>
      </c>
    </row>
    <row r="111">
      <c r="A111" s="141">
        <f>IFERROR(__xludf.DUMMYFUNCTION("""COMPUTED_VALUE"""),43769.0)</f>
        <v>43769</v>
      </c>
      <c r="B111" s="140">
        <f>IFERROR(__xludf.DUMMYFUNCTION("""COMPUTED_VALUE"""),590962.0)</f>
        <v>590962</v>
      </c>
      <c r="C111" s="140" t="str">
        <f>IFERROR(__xludf.DUMMYFUNCTION("""COMPUTED_VALUE"""),"EN")</f>
        <v>EN</v>
      </c>
      <c r="D111" t="str">
        <f>IFERROR(__xludf.DUMMYFUNCTION("""COMPUTED_VALUE"""),"Data Mining with Rattle")</f>
        <v>Data Mining with Rattle</v>
      </c>
      <c r="E111" s="142" t="str">
        <f>IFERROR(__xludf.DUMMYFUNCTION("""COMPUTED_VALUE"""),"Geoffrey Hubona, Ph.D.")</f>
        <v>Geoffrey Hubona, Ph.D.</v>
      </c>
      <c r="F111" t="str">
        <f>IFERROR(__xludf.DUMMYFUNCTION("""COMPUTED_VALUE"""),"Below Quality Standards- 3 Flags")</f>
        <v>Below Quality Standards- 3 Flags</v>
      </c>
      <c r="G111" s="142" t="str">
        <f>IFERROR(__xludf.DUMMYFUNCTION("""COMPUTED_VALUE"""),"Data Science")</f>
        <v>Data Science</v>
      </c>
      <c r="H111" s="140" t="str">
        <f>IFERROR(__xludf.DUMMYFUNCTION("""COMPUTED_VALUE"""),"Big Data")</f>
        <v>Big Data</v>
      </c>
      <c r="I111">
        <f>IFERROR(__xludf.DUMMYFUNCTION("""COMPUTED_VALUE"""),1413580.0)</f>
        <v>1413580</v>
      </c>
      <c r="J111" s="140" t="str">
        <f>IFERROR(__xludf.DUMMYFUNCTION("""COMPUTED_VALUE"""),"Data Science:Data Mining &amp; Natural Language Processing in R")</f>
        <v>Data Science:Data Mining &amp; Natural Language Processing in R</v>
      </c>
      <c r="K111">
        <f>IFERROR(__xludf.DUMMYFUNCTION("""COMPUTED_VALUE"""),257414.0)</f>
        <v>257414</v>
      </c>
      <c r="L111" s="140" t="str">
        <f>IFERROR(__xludf.DUMMYFUNCTION("""COMPUTED_VALUE"""),"R Level 1 - Data Analytics with R")</f>
        <v>R Level 1 - Data Analytics with R</v>
      </c>
    </row>
    <row r="112">
      <c r="A112" s="141">
        <f>IFERROR(__xludf.DUMMYFUNCTION("""COMPUTED_VALUE"""),43769.0)</f>
        <v>43769</v>
      </c>
      <c r="B112" s="140">
        <f>IFERROR(__xludf.DUMMYFUNCTION("""COMPUTED_VALUE"""),1016856.0)</f>
        <v>1016856</v>
      </c>
      <c r="C112" s="140" t="str">
        <f>IFERROR(__xludf.DUMMYFUNCTION("""COMPUTED_VALUE"""),"EN")</f>
        <v>EN</v>
      </c>
      <c r="D112" t="str">
        <f>IFERROR(__xludf.DUMMYFUNCTION("""COMPUTED_VALUE"""),"Modern .NET Ecosystem and .NET Core")</f>
        <v>Modern .NET Ecosystem and .NET Core</v>
      </c>
      <c r="E112" s="142" t="str">
        <f>IFERROR(__xludf.DUMMYFUNCTION("""COMPUTED_VALUE"""),"Engineer Spock")</f>
        <v>Engineer Spock</v>
      </c>
      <c r="F112" t="str">
        <f>IFERROR(__xludf.DUMMYFUNCTION("""COMPUTED_VALUE"""),"Below Quality Standards- Low Rating")</f>
        <v>Below Quality Standards- Low Rating</v>
      </c>
      <c r="G112" s="142" t="str">
        <f>IFERROR(__xludf.DUMMYFUNCTION("""COMPUTED_VALUE"""),"Development")</f>
        <v>Development</v>
      </c>
      <c r="H112" s="140" t="str">
        <f>IFERROR(__xludf.DUMMYFUNCTION("""COMPUTED_VALUE"""),"Web Development")</f>
        <v>Web Development</v>
      </c>
      <c r="I112">
        <f>IFERROR(__xludf.DUMMYFUNCTION("""COMPUTED_VALUE"""),1455016.0)</f>
        <v>1455016</v>
      </c>
      <c r="J112" s="140" t="str">
        <f>IFERROR(__xludf.DUMMYFUNCTION("""COMPUTED_VALUE"""),"Build an app with ASPNET Core and Angular from scratch")</f>
        <v>Build an app with ASPNET Core and Angular from scratch</v>
      </c>
      <c r="K112">
        <f>IFERROR(__xludf.DUMMYFUNCTION("""COMPUTED_VALUE"""),2120618.0)</f>
        <v>2120618</v>
      </c>
      <c r="L112" s="140" t="str">
        <f>IFERROR(__xludf.DUMMYFUNCTION("""COMPUTED_VALUE"""),"Master ASP.NET MVC Core 3.1")</f>
        <v>Master ASP.NET MVC Core 3.1</v>
      </c>
    </row>
    <row r="113">
      <c r="A113" s="141">
        <f>IFERROR(__xludf.DUMMYFUNCTION("""COMPUTED_VALUE"""),43769.0)</f>
        <v>43769</v>
      </c>
      <c r="B113" s="140">
        <f>IFERROR(__xludf.DUMMYFUNCTION("""COMPUTED_VALUE"""),1578354.0)</f>
        <v>1578354</v>
      </c>
      <c r="C113" s="140" t="str">
        <f>IFERROR(__xludf.DUMMYFUNCTION("""COMPUTED_VALUE"""),"EN")</f>
        <v>EN</v>
      </c>
      <c r="D113" t="str">
        <f>IFERROR(__xludf.DUMMYFUNCTION("""COMPUTED_VALUE"""),"ServiceNow Certified System Administrator CSA Practice Exam")</f>
        <v>ServiceNow Certified System Administrator CSA Practice Exam</v>
      </c>
      <c r="E113" s="142" t="str">
        <f>IFERROR(__xludf.DUMMYFUNCTION("""COMPUTED_VALUE"""),"Mohsin Raza")</f>
        <v>Mohsin Raza</v>
      </c>
      <c r="F113" t="str">
        <f>IFERROR(__xludf.DUMMYFUNCTION("""COMPUTED_VALUE"""),"Below Quality Standards- Low Rating")</f>
        <v>Below Quality Standards- Low Rating</v>
      </c>
      <c r="G113" s="142" t="str">
        <f>IFERROR(__xludf.DUMMYFUNCTION("""COMPUTED_VALUE"""),"IT Operations")</f>
        <v>IT Operations</v>
      </c>
      <c r="H113" s="140" t="str">
        <f>IFERROR(__xludf.DUMMYFUNCTION("""COMPUTED_VALUE"""),"IT Certifications")</f>
        <v>IT Certifications</v>
      </c>
      <c r="I113">
        <f>IFERROR(__xludf.DUMMYFUNCTION("""COMPUTED_VALUE"""),1480108.0)</f>
        <v>1480108</v>
      </c>
      <c r="J113" s="140" t="str">
        <f>IFERROR(__xludf.DUMMYFUNCTION("""COMPUTED_VALUE"""),"The Complete ServiceNow System Administrator Course")</f>
        <v>The Complete ServiceNow System Administrator Course</v>
      </c>
      <c r="K113">
        <f>IFERROR(__xludf.DUMMYFUNCTION("""COMPUTED_VALUE"""),1417656.0)</f>
        <v>1417656</v>
      </c>
      <c r="L113" s="140" t="str">
        <f>IFERROR(__xludf.DUMMYFUNCTION("""COMPUTED_VALUE"""),"ServiceNow Certified Administration For Beginners")</f>
        <v>ServiceNow Certified Administration For Beginners</v>
      </c>
    </row>
    <row r="114">
      <c r="A114" s="141">
        <f>IFERROR(__xludf.DUMMYFUNCTION("""COMPUTED_VALUE"""),43769.0)</f>
        <v>43769</v>
      </c>
      <c r="B114" s="140">
        <f>IFERROR(__xludf.DUMMYFUNCTION("""COMPUTED_VALUE"""),1240326.0)</f>
        <v>1240326</v>
      </c>
      <c r="C114" s="140" t="str">
        <f>IFERROR(__xludf.DUMMYFUNCTION("""COMPUTED_VALUE"""),"EN")</f>
        <v>EN</v>
      </c>
      <c r="D114" t="str">
        <f>IFERROR(__xludf.DUMMYFUNCTION("""COMPUTED_VALUE"""),"The Complete Soft Skills Course for Techies and Coders")</f>
        <v>The Complete Soft Skills Course for Techies and Coders</v>
      </c>
      <c r="E114" s="142" t="str">
        <f>IFERROR(__xludf.DUMMYFUNCTION("""COMPUTED_VALUE"""),"Libby Seery - Founder of Renaissance Life Therapies")</f>
        <v>Libby Seery - Founder of Renaissance Life Therapies</v>
      </c>
      <c r="F114" t="str">
        <f>IFERROR(__xludf.DUMMYFUNCTION("""COMPUTED_VALUE"""),"Below Quality Standards- 3 Flags")</f>
        <v>Below Quality Standards- 3 Flags</v>
      </c>
      <c r="G114" s="142" t="str">
        <f>IFERROR(__xludf.DUMMYFUNCTION("""COMPUTED_VALUE"""),"Leadership &amp; Management")</f>
        <v>Leadership &amp; Management</v>
      </c>
      <c r="H114" s="140" t="str">
        <f>IFERROR(__xludf.DUMMYFUNCTION("""COMPUTED_VALUE"""),"Management")</f>
        <v>Management</v>
      </c>
      <c r="I114">
        <f>IFERROR(__xludf.DUMMYFUNCTION("""COMPUTED_VALUE"""),1546424.0)</f>
        <v>1546424</v>
      </c>
      <c r="J114" s="140" t="str">
        <f>IFERROR(__xludf.DUMMYFUNCTION("""COMPUTED_VALUE"""),"Soft Skills: The 11 Essential Career Soft Skills")</f>
        <v>Soft Skills: The 11 Essential Career Soft Skills</v>
      </c>
      <c r="K114">
        <f>IFERROR(__xludf.DUMMYFUNCTION("""COMPUTED_VALUE"""),1802404.0)</f>
        <v>1802404</v>
      </c>
      <c r="L114" s="140" t="str">
        <f>IFERROR(__xludf.DUMMYFUNCTION("""COMPUTED_VALUE"""),"The Complete Communication Skills Master Class for Life")</f>
        <v>The Complete Communication Skills Master Class for Life</v>
      </c>
    </row>
    <row r="115">
      <c r="A115" s="141">
        <f>IFERROR(__xludf.DUMMYFUNCTION("""COMPUTED_VALUE"""),43769.0)</f>
        <v>43769</v>
      </c>
      <c r="B115" s="140">
        <f>IFERROR(__xludf.DUMMYFUNCTION("""COMPUTED_VALUE"""),1361838.0)</f>
        <v>1361838</v>
      </c>
      <c r="C115" s="140" t="str">
        <f>IFERROR(__xludf.DUMMYFUNCTION("""COMPUTED_VALUE"""),"EN")</f>
        <v>EN</v>
      </c>
      <c r="D115" t="str">
        <f>IFERROR(__xludf.DUMMYFUNCTION("""COMPUTED_VALUE"""),"CCL Boost™: Flip Your Script For New Leader Success")</f>
        <v>CCL Boost™: Flip Your Script For New Leader Success</v>
      </c>
      <c r="E115" s="142" t="str">
        <f>IFERROR(__xludf.DUMMYFUNCTION("""COMPUTED_VALUE"""),"Center for Creative Leadership")</f>
        <v>Center for Creative Leadership</v>
      </c>
      <c r="F115" t="str">
        <f>IFERROR(__xludf.DUMMYFUNCTION("""COMPUTED_VALUE"""),"Instructor Request- Opted Out")</f>
        <v>Instructor Request- Opted Out</v>
      </c>
      <c r="G115" s="142" t="str">
        <f>IFERROR(__xludf.DUMMYFUNCTION("""COMPUTED_VALUE"""),"Leadership &amp; Management")</f>
        <v>Leadership &amp; Management</v>
      </c>
      <c r="H115" s="140" t="str">
        <f>IFERROR(__xludf.DUMMYFUNCTION("""COMPUTED_VALUE"""),"Leadership")</f>
        <v>Leadership</v>
      </c>
      <c r="I115">
        <f>IFERROR(__xludf.DUMMYFUNCTION("""COMPUTED_VALUE"""),613808.0)</f>
        <v>613808</v>
      </c>
      <c r="J115" s="140" t="str">
        <f>IFERROR(__xludf.DUMMYFUNCTION("""COMPUTED_VALUE"""),"Leadership: Practical Leadership Skills")</f>
        <v>Leadership: Practical Leadership Skills</v>
      </c>
      <c r="K115">
        <f>IFERROR(__xludf.DUMMYFUNCTION("""COMPUTED_VALUE"""),1362218.0)</f>
        <v>1362218</v>
      </c>
      <c r="L115" s="140" t="str">
        <f>IFERROR(__xludf.DUMMYFUNCTION("""COMPUTED_VALUE"""),"Leadership: How to Influence, Inspire and Impact as a Leader")</f>
        <v>Leadership: How to Influence, Inspire and Impact as a Leader</v>
      </c>
    </row>
    <row r="116">
      <c r="A116" s="141">
        <f>IFERROR(__xludf.DUMMYFUNCTION("""COMPUTED_VALUE"""),43769.0)</f>
        <v>43769</v>
      </c>
      <c r="B116" s="140">
        <f>IFERROR(__xludf.DUMMYFUNCTION("""COMPUTED_VALUE"""),212396.0)</f>
        <v>212396</v>
      </c>
      <c r="C116" s="140" t="str">
        <f>IFERROR(__xludf.DUMMYFUNCTION("""COMPUTED_VALUE"""),"EN")</f>
        <v>EN</v>
      </c>
      <c r="D116" t="str">
        <f>IFERROR(__xludf.DUMMYFUNCTION("""COMPUTED_VALUE"""),"Working with MongoDB")</f>
        <v>Working with MongoDB</v>
      </c>
      <c r="E116" s="142" t="str">
        <f>IFERROR(__xludf.DUMMYFUNCTION("""COMPUTED_VALUE"""),"RefactorU LLC")</f>
        <v>RefactorU LLC</v>
      </c>
      <c r="F116" t="str">
        <f>IFERROR(__xludf.DUMMYFUNCTION("""COMPUTED_VALUE"""),"Below Quality Standards- Low Rating")</f>
        <v>Below Quality Standards- Low Rating</v>
      </c>
      <c r="G116" s="142" t="str">
        <f>IFERROR(__xludf.DUMMYFUNCTION("""COMPUTED_VALUE"""),"Development")</f>
        <v>Development</v>
      </c>
      <c r="H116" s="140" t="str">
        <f>IFERROR(__xludf.DUMMYFUNCTION("""COMPUTED_VALUE"""),"Database Design &amp; Development")</f>
        <v>Database Design &amp; Development</v>
      </c>
      <c r="I116">
        <f>IFERROR(__xludf.DUMMYFUNCTION("""COMPUTED_VALUE"""),1906852.0)</f>
        <v>1906852</v>
      </c>
      <c r="J116" s="140" t="str">
        <f>IFERROR(__xludf.DUMMYFUNCTION("""COMPUTED_VALUE"""),"MongoDB - The Complete Developer's Guide 2022")</f>
        <v>MongoDB - The Complete Developer's Guide 2022</v>
      </c>
      <c r="K116">
        <f>IFERROR(__xludf.DUMMYFUNCTION("""COMPUTED_VALUE"""),1000574.0)</f>
        <v>1000574</v>
      </c>
      <c r="L116" s="140" t="str">
        <f>IFERROR(__xludf.DUMMYFUNCTION("""COMPUTED_VALUE"""),"The Complete Developers Guide to MongoDB")</f>
        <v>The Complete Developers Guide to MongoDB</v>
      </c>
    </row>
    <row r="117">
      <c r="A117" s="141">
        <f>IFERROR(__xludf.DUMMYFUNCTION("""COMPUTED_VALUE"""),43769.0)</f>
        <v>43769</v>
      </c>
      <c r="B117" s="140">
        <f>IFERROR(__xludf.DUMMYFUNCTION("""COMPUTED_VALUE"""),738198.0)</f>
        <v>738198</v>
      </c>
      <c r="C117" s="140" t="str">
        <f>IFERROR(__xludf.DUMMYFUNCTION("""COMPUTED_VALUE"""),"EN")</f>
        <v>EN</v>
      </c>
      <c r="D117" t="str">
        <f>IFERROR(__xludf.DUMMYFUNCTION("""COMPUTED_VALUE"""),"Make flat design trees in Adobe Illustrator in 30 minutes!")</f>
        <v>Make flat design trees in Adobe Illustrator in 30 minutes!</v>
      </c>
      <c r="E117" s="142" t="str">
        <f>IFERROR(__xludf.DUMMYFUNCTION("""COMPUTED_VALUE"""),"John Bura")</f>
        <v>John Bura</v>
      </c>
      <c r="F117" t="str">
        <f>IFERROR(__xludf.DUMMYFUNCTION("""COMPUTED_VALUE"""),"Below Quality Standards- 3 Flags")</f>
        <v>Below Quality Standards- 3 Flags</v>
      </c>
      <c r="G117" s="142" t="str">
        <f>IFERROR(__xludf.DUMMYFUNCTION("""COMPUTED_VALUE"""),"Design")</f>
        <v>Design</v>
      </c>
      <c r="H117" s="140" t="str">
        <f>IFERROR(__xludf.DUMMYFUNCTION("""COMPUTED_VALUE"""),"Graphic Design")</f>
        <v>Graphic Design</v>
      </c>
      <c r="I117">
        <f>IFERROR(__xludf.DUMMYFUNCTION("""COMPUTED_VALUE"""),1197206.0)</f>
        <v>1197206</v>
      </c>
      <c r="J117" s="140" t="str">
        <f>IFERROR(__xludf.DUMMYFUNCTION("""COMPUTED_VALUE"""),"Illustrator 2022 MasterClass")</f>
        <v>Illustrator 2022 MasterClass</v>
      </c>
      <c r="L117" s="140" t="str">
        <f>IFERROR(__xludf.DUMMYFUNCTION("""COMPUTED_VALUE"""),"")</f>
        <v/>
      </c>
    </row>
    <row r="118">
      <c r="A118" s="141">
        <f>IFERROR(__xludf.DUMMYFUNCTION("""COMPUTED_VALUE"""),43769.0)</f>
        <v>43769</v>
      </c>
      <c r="B118" s="140">
        <f>IFERROR(__xludf.DUMMYFUNCTION("""COMPUTED_VALUE"""),1460900.0)</f>
        <v>1460900</v>
      </c>
      <c r="C118" s="140" t="str">
        <f>IFERROR(__xludf.DUMMYFUNCTION("""COMPUTED_VALUE"""),"EN")</f>
        <v>EN</v>
      </c>
      <c r="D118" t="str">
        <f>IFERROR(__xludf.DUMMYFUNCTION("""COMPUTED_VALUE"""),"ARKit and Unity : Build a Drivable Car in Augmented Reality")</f>
        <v>ARKit and Unity : Build a Drivable Car in Augmented Reality</v>
      </c>
      <c r="E118" s="142" t="str">
        <f>IFERROR(__xludf.DUMMYFUNCTION("""COMPUTED_VALUE"""),"Parth Anand")</f>
        <v>Parth Anand</v>
      </c>
      <c r="F118" t="str">
        <f>IFERROR(__xludf.DUMMYFUNCTION("""COMPUTED_VALUE"""),"Below Quality Standards- 3 Flags")</f>
        <v>Below Quality Standards- 3 Flags</v>
      </c>
      <c r="G118" s="142" t="str">
        <f>IFERROR(__xludf.DUMMYFUNCTION("""COMPUTED_VALUE"""),"Development")</f>
        <v>Development</v>
      </c>
      <c r="H118" s="140" t="str">
        <f>IFERROR(__xludf.DUMMYFUNCTION("""COMPUTED_VALUE"""),"Mobile Development")</f>
        <v>Mobile Development</v>
      </c>
      <c r="I118">
        <f>IFERROR(__xludf.DUMMYFUNCTION("""COMPUTED_VALUE"""),1934462.0)</f>
        <v>1934462</v>
      </c>
      <c r="J118" s="140" t="str">
        <f>IFERROR(__xludf.DUMMYFUNCTION("""COMPUTED_VALUE"""),"A Beginner's Guide to Augmented Reality with Unity")</f>
        <v>A Beginner's Guide to Augmented Reality with Unity</v>
      </c>
      <c r="K118">
        <f>IFERROR(__xludf.DUMMYFUNCTION("""COMPUTED_VALUE"""),1338454.0)</f>
        <v>1338454</v>
      </c>
      <c r="L118" s="140" t="str">
        <f>IFERROR(__xludf.DUMMYFUNCTION("""COMPUTED_VALUE"""),"The Complete ARKit Course - Build 11 Augmented Reality Apps")</f>
        <v>The Complete ARKit Course - Build 11 Augmented Reality Apps</v>
      </c>
    </row>
    <row r="119">
      <c r="A119" s="141">
        <f>IFERROR(__xludf.DUMMYFUNCTION("""COMPUTED_VALUE"""),43769.0)</f>
        <v>43769</v>
      </c>
      <c r="B119" s="140">
        <f>IFERROR(__xludf.DUMMYFUNCTION("""COMPUTED_VALUE"""),1024862.0)</f>
        <v>1024862</v>
      </c>
      <c r="C119" s="140" t="str">
        <f>IFERROR(__xludf.DUMMYFUNCTION("""COMPUTED_VALUE"""),"EN")</f>
        <v>EN</v>
      </c>
      <c r="D119" t="str">
        <f>IFERROR(__xludf.DUMMYFUNCTION("""COMPUTED_VALUE"""),"Making Tax Digital - UK HMRC Legislation Explained")</f>
        <v>Making Tax Digital - UK HMRC Legislation Explained</v>
      </c>
      <c r="E119" s="142" t="str">
        <f>IFERROR(__xludf.DUMMYFUNCTION("""COMPUTED_VALUE"""),"Lisa Newton")</f>
        <v>Lisa Newton</v>
      </c>
      <c r="F119" t="str">
        <f>IFERROR(__xludf.DUMMYFUNCTION("""COMPUTED_VALUE"""),"Below Quality Standards- 3 Flags")</f>
        <v>Below Quality Standards- 3 Flags</v>
      </c>
      <c r="G119" s="142" t="str">
        <f>IFERROR(__xludf.DUMMYFUNCTION("""COMPUTED_VALUE"""),"Finance &amp; Accounting")</f>
        <v>Finance &amp; Accounting</v>
      </c>
      <c r="H119" s="140" t="str">
        <f>IFERROR(__xludf.DUMMYFUNCTION("""COMPUTED_VALUE"""),"Accounting")</f>
        <v>Accounting</v>
      </c>
      <c r="I119">
        <f>IFERROR(__xludf.DUMMYFUNCTION("""COMPUTED_VALUE"""),945336.0)</f>
        <v>945336</v>
      </c>
      <c r="J119" s="140" t="str">
        <f>IFERROR(__xludf.DUMMYFUNCTION("""COMPUTED_VALUE"""),"Javascript Intermediate level 1 - Mastering the DOM")</f>
        <v>Javascript Intermediate level 1 - Mastering the DOM</v>
      </c>
      <c r="L119" s="140" t="str">
        <f>IFERROR(__xludf.DUMMYFUNCTION("""COMPUTED_VALUE"""),"")</f>
        <v/>
      </c>
    </row>
    <row r="120">
      <c r="A120" s="141">
        <f>IFERROR(__xludf.DUMMYFUNCTION("""COMPUTED_VALUE"""),43769.0)</f>
        <v>43769</v>
      </c>
      <c r="B120" s="140">
        <f>IFERROR(__xludf.DUMMYFUNCTION("""COMPUTED_VALUE"""),449050.0)</f>
        <v>449050</v>
      </c>
      <c r="C120" s="140" t="str">
        <f>IFERROR(__xludf.DUMMYFUNCTION("""COMPUTED_VALUE"""),"EN")</f>
        <v>EN</v>
      </c>
      <c r="D120" t="str">
        <f>IFERROR(__xludf.DUMMYFUNCTION("""COMPUTED_VALUE"""),"Six Sigma Green Belt")</f>
        <v>Six Sigma Green Belt</v>
      </c>
      <c r="E120" s="142" t="str">
        <f>IFERROR(__xludf.DUMMYFUNCTION("""COMPUTED_VALUE"""),"Sandeep Kumar ­")</f>
        <v>Sandeep Kumar ­</v>
      </c>
      <c r="F120" t="str">
        <f>IFERROR(__xludf.DUMMYFUNCTION("""COMPUTED_VALUE"""),"Instructor Request- Outdated")</f>
        <v>Instructor Request- Outdated</v>
      </c>
      <c r="G120" s="142" t="str">
        <f>IFERROR(__xludf.DUMMYFUNCTION("""COMPUTED_VALUE"""),"Project Management &amp; Operations")</f>
        <v>Project Management &amp; Operations</v>
      </c>
      <c r="H120" s="140" t="str">
        <f>IFERROR(__xludf.DUMMYFUNCTION("""COMPUTED_VALUE"""),"Operations Management")</f>
        <v>Operations Management</v>
      </c>
      <c r="I120">
        <f>IFERROR(__xludf.DUMMYFUNCTION("""COMPUTED_VALUE"""),314744.0)</f>
        <v>314744</v>
      </c>
      <c r="J120" s="140" t="str">
        <f>IFERROR(__xludf.DUMMYFUNCTION("""COMPUTED_VALUE"""),"Lean Six Sigma Green Belt Online Course (2021)")</f>
        <v>Lean Six Sigma Green Belt Online Course (2021)</v>
      </c>
      <c r="K120">
        <f>IFERROR(__xludf.DUMMYFUNCTION("""COMPUTED_VALUE"""),1495884.0)</f>
        <v>1495884</v>
      </c>
      <c r="L120" s="140" t="str">
        <f>IFERROR(__xludf.DUMMYFUNCTION("""COMPUTED_VALUE"""),"Six Sigma: Certified Lean Six Sigma Green Belt (Accredited)")</f>
        <v>Six Sigma: Certified Lean Six Sigma Green Belt (Accredited)</v>
      </c>
    </row>
    <row r="121">
      <c r="A121" s="141">
        <f>IFERROR(__xludf.DUMMYFUNCTION("""COMPUTED_VALUE"""),43769.0)</f>
        <v>43769</v>
      </c>
      <c r="B121" s="140">
        <f>IFERROR(__xludf.DUMMYFUNCTION("""COMPUTED_VALUE"""),1831260.0)</f>
        <v>1831260</v>
      </c>
      <c r="C121" s="140" t="str">
        <f>IFERROR(__xludf.DUMMYFUNCTION("""COMPUTED_VALUE"""),"EN")</f>
        <v>EN</v>
      </c>
      <c r="D121" t="str">
        <f>IFERROR(__xludf.DUMMYFUNCTION("""COMPUTED_VALUE"""),"Design The Future: UX Design For Emerging Technologies")</f>
        <v>Design The Future: UX Design For Emerging Technologies</v>
      </c>
      <c r="E121" s="142" t="str">
        <f>IFERROR(__xludf.DUMMYFUNCTION("""COMPUTED_VALUE"""),"Jamal Nichols")</f>
        <v>Jamal Nichols</v>
      </c>
      <c r="F121" t="str">
        <f>IFERROR(__xludf.DUMMYFUNCTION("""COMPUTED_VALUE"""),"Instructor Request- Outdated")</f>
        <v>Instructor Request- Outdated</v>
      </c>
      <c r="G121" s="142" t="str">
        <f>IFERROR(__xludf.DUMMYFUNCTION("""COMPUTED_VALUE"""),"Design")</f>
        <v>Design</v>
      </c>
      <c r="H121" s="140" t="str">
        <f>IFERROR(__xludf.DUMMYFUNCTION("""COMPUTED_VALUE"""),"User Experience Design")</f>
        <v>User Experience Design</v>
      </c>
      <c r="I121">
        <f>IFERROR(__xludf.DUMMYFUNCTION("""COMPUTED_VALUE"""),1452908.0)</f>
        <v>1452908</v>
      </c>
      <c r="J121" s="140" t="str">
        <f>IFERROR(__xludf.DUMMYFUNCTION("""COMPUTED_VALUE"""),"User Experience Design Essentials - Adobe XD UI UX Design")</f>
        <v>User Experience Design Essentials - Adobe XD UI UX Design</v>
      </c>
      <c r="K121">
        <f>IFERROR(__xludf.DUMMYFUNCTION("""COMPUTED_VALUE"""),58207.0)</f>
        <v>58207</v>
      </c>
      <c r="L121" s="140" t="str">
        <f>IFERROR(__xludf.DUMMYFUNCTION("""COMPUTED_VALUE"""),"User Experience Design Fundamentals")</f>
        <v>User Experience Design Fundamentals</v>
      </c>
    </row>
    <row r="122">
      <c r="A122" s="141">
        <f>IFERROR(__xludf.DUMMYFUNCTION("""COMPUTED_VALUE"""),43769.0)</f>
        <v>43769</v>
      </c>
      <c r="B122" s="140">
        <f>IFERROR(__xludf.DUMMYFUNCTION("""COMPUTED_VALUE"""),1033058.0)</f>
        <v>1033058</v>
      </c>
      <c r="C122" s="140" t="str">
        <f>IFERROR(__xludf.DUMMYFUNCTION("""COMPUTED_VALUE"""),"EN")</f>
        <v>EN</v>
      </c>
      <c r="D122" t="str">
        <f>IFERROR(__xludf.DUMMYFUNCTION("""COMPUTED_VALUE"""),"Anatomy of a Cyber Attack: Beginner Hacking with Metasploit!")</f>
        <v>Anatomy of a Cyber Attack: Beginner Hacking with Metasploit!</v>
      </c>
      <c r="E122" s="142" t="str">
        <f>IFERROR(__xludf.DUMMYFUNCTION("""COMPUTED_VALUE"""),"Jason Dion • 100,000+ Students Worldwide")</f>
        <v>Jason Dion • 100,000+ Students Worldwide</v>
      </c>
      <c r="F122" t="str">
        <f>IFERROR(__xludf.DUMMYFUNCTION("""COMPUTED_VALUE"""),"Instructor Request- Outdated")</f>
        <v>Instructor Request- Outdated</v>
      </c>
      <c r="G122" s="142" t="str">
        <f>IFERROR(__xludf.DUMMYFUNCTION("""COMPUTED_VALUE"""),"IT Operations")</f>
        <v>IT Operations</v>
      </c>
      <c r="H122" s="140" t="str">
        <f>IFERROR(__xludf.DUMMYFUNCTION("""COMPUTED_VALUE"""),"Network &amp; Security")</f>
        <v>Network &amp; Security</v>
      </c>
      <c r="I122">
        <f>IFERROR(__xludf.DUMMYFUNCTION("""COMPUTED_VALUE"""),1663160.0)</f>
        <v>1663160</v>
      </c>
      <c r="J122" s="140" t="str">
        <f>IFERROR(__xludf.DUMMYFUNCTION("""COMPUTED_VALUE"""),"Ethical Hacking with Metasploit: Exploit &amp; Post Exploit")</f>
        <v>Ethical Hacking with Metasploit: Exploit &amp; Post Exploit</v>
      </c>
      <c r="K122">
        <f>IFERROR(__xludf.DUMMYFUNCTION("""COMPUTED_VALUE"""),2209122.0)</f>
        <v>2209122</v>
      </c>
      <c r="L122" s="140" t="str">
        <f>IFERROR(__xludf.DUMMYFUNCTION("""COMPUTED_VALUE"""),"Metasploit Framework: Penetration Testing with Metasploit")</f>
        <v>Metasploit Framework: Penetration Testing with Metasploit</v>
      </c>
    </row>
    <row r="123">
      <c r="A123" s="141">
        <f>IFERROR(__xludf.DUMMYFUNCTION("""COMPUTED_VALUE"""),43769.0)</f>
        <v>43769</v>
      </c>
      <c r="B123" s="140">
        <f>IFERROR(__xludf.DUMMYFUNCTION("""COMPUTED_VALUE"""),1231866.0)</f>
        <v>1231866</v>
      </c>
      <c r="C123" s="140" t="str">
        <f>IFERROR(__xludf.DUMMYFUNCTION("""COMPUTED_VALUE"""),"EN")</f>
        <v>EN</v>
      </c>
      <c r="D123" t="str">
        <f>IFERROR(__xludf.DUMMYFUNCTION("""COMPUTED_VALUE"""),"WiFi Hacking: Wireless Penetration Testing for Beginners")</f>
        <v>WiFi Hacking: Wireless Penetration Testing for Beginners</v>
      </c>
      <c r="E123" s="142" t="str">
        <f>IFERROR(__xludf.DUMMYFUNCTION("""COMPUTED_VALUE"""),"Jason Dion • 100,000+ Students Worldwide")</f>
        <v>Jason Dion • 100,000+ Students Worldwide</v>
      </c>
      <c r="F123" t="str">
        <f>IFERROR(__xludf.DUMMYFUNCTION("""COMPUTED_VALUE"""),"Instructor Request- Outdated")</f>
        <v>Instructor Request- Outdated</v>
      </c>
      <c r="G123" s="142" t="str">
        <f>IFERROR(__xludf.DUMMYFUNCTION("""COMPUTED_VALUE"""),"IT Operations")</f>
        <v>IT Operations</v>
      </c>
      <c r="H123" s="140" t="str">
        <f>IFERROR(__xludf.DUMMYFUNCTION("""COMPUTED_VALUE"""),"Network &amp; Security")</f>
        <v>Network &amp; Security</v>
      </c>
      <c r="J123" s="140" t="str">
        <f>IFERROR(__xludf.DUMMYFUNCTION("""COMPUTED_VALUE"""),"")</f>
        <v/>
      </c>
      <c r="L123" s="140" t="str">
        <f>IFERROR(__xludf.DUMMYFUNCTION("""COMPUTED_VALUE"""),"")</f>
        <v/>
      </c>
    </row>
    <row r="124">
      <c r="A124" s="141">
        <f>IFERROR(__xludf.DUMMYFUNCTION("""COMPUTED_VALUE"""),43769.0)</f>
        <v>43769</v>
      </c>
      <c r="B124" s="140">
        <f>IFERROR(__xludf.DUMMYFUNCTION("""COMPUTED_VALUE"""),1356460.0)</f>
        <v>1356460</v>
      </c>
      <c r="C124" s="140" t="str">
        <f>IFERROR(__xludf.DUMMYFUNCTION("""COMPUTED_VALUE"""),"EN")</f>
        <v>EN</v>
      </c>
      <c r="D124" t="str">
        <f>IFERROR(__xludf.DUMMYFUNCTION("""COMPUTED_VALUE"""),"Introduction to Malware Analysis for Incident Responders")</f>
        <v>Introduction to Malware Analysis for Incident Responders</v>
      </c>
      <c r="E124" s="142" t="str">
        <f>IFERROR(__xludf.DUMMYFUNCTION("""COMPUTED_VALUE"""),"Jason Dion • 100,000+ Students Worldwide")</f>
        <v>Jason Dion • 100,000+ Students Worldwide</v>
      </c>
      <c r="F124" t="str">
        <f>IFERROR(__xludf.DUMMYFUNCTION("""COMPUTED_VALUE"""),"Instructor Request- Outdated")</f>
        <v>Instructor Request- Outdated</v>
      </c>
      <c r="G124" s="142" t="str">
        <f>IFERROR(__xludf.DUMMYFUNCTION("""COMPUTED_VALUE"""),"IT Operations")</f>
        <v>IT Operations</v>
      </c>
      <c r="H124" s="140" t="str">
        <f>IFERROR(__xludf.DUMMYFUNCTION("""COMPUTED_VALUE"""),"Network &amp; Security")</f>
        <v>Network &amp; Security</v>
      </c>
      <c r="J124" s="140" t="str">
        <f>IFERROR(__xludf.DUMMYFUNCTION("""COMPUTED_VALUE"""),"")</f>
        <v/>
      </c>
      <c r="L124" s="140" t="str">
        <f>IFERROR(__xludf.DUMMYFUNCTION("""COMPUTED_VALUE"""),"")</f>
        <v/>
      </c>
    </row>
    <row r="125">
      <c r="A125" s="141">
        <f>IFERROR(__xludf.DUMMYFUNCTION("""COMPUTED_VALUE"""),43769.0)</f>
        <v>43769</v>
      </c>
      <c r="B125" s="140">
        <f>IFERROR(__xludf.DUMMYFUNCTION("""COMPUTED_VALUE"""),1483206.0)</f>
        <v>1483206</v>
      </c>
      <c r="C125" s="140" t="str">
        <f>IFERROR(__xludf.DUMMYFUNCTION("""COMPUTED_VALUE"""),"EN")</f>
        <v>EN</v>
      </c>
      <c r="D125" t="str">
        <f>IFERROR(__xludf.DUMMYFUNCTION("""COMPUTED_VALUE"""),"Certified Ethical Hacker (CEHv10) Exams #UNOFFICIAL#")</f>
        <v>Certified Ethical Hacker (CEHv10) Exams #UNOFFICIAL#</v>
      </c>
      <c r="E125" s="142" t="str">
        <f>IFERROR(__xludf.DUMMYFUNCTION("""COMPUTED_VALUE"""),"Jason Dion • 100,000+ Students Worldwide")</f>
        <v>Jason Dion • 100,000+ Students Worldwide</v>
      </c>
      <c r="F125" t="str">
        <f>IFERROR(__xludf.DUMMYFUNCTION("""COMPUTED_VALUE"""),"Instructor Request- Outdated")</f>
        <v>Instructor Request- Outdated</v>
      </c>
      <c r="G125" s="142" t="str">
        <f>IFERROR(__xludf.DUMMYFUNCTION("""COMPUTED_VALUE"""),"IT Operations")</f>
        <v>IT Operations</v>
      </c>
      <c r="H125" s="140" t="str">
        <f>IFERROR(__xludf.DUMMYFUNCTION("""COMPUTED_VALUE"""),"IT Certifications")</f>
        <v>IT Certifications</v>
      </c>
      <c r="J125" s="140" t="str">
        <f>IFERROR(__xludf.DUMMYFUNCTION("""COMPUTED_VALUE"""),"")</f>
        <v/>
      </c>
      <c r="L125" s="140" t="str">
        <f>IFERROR(__xludf.DUMMYFUNCTION("""COMPUTED_VALUE"""),"")</f>
        <v/>
      </c>
    </row>
    <row r="126">
      <c r="A126" s="141">
        <f>IFERROR(__xludf.DUMMYFUNCTION("""COMPUTED_VALUE"""),43769.0)</f>
        <v>43769</v>
      </c>
      <c r="B126" s="140">
        <f>IFERROR(__xludf.DUMMYFUNCTION("""COMPUTED_VALUE"""),662038.0)</f>
        <v>662038</v>
      </c>
      <c r="C126" s="140" t="str">
        <f>IFERROR(__xludf.DUMMYFUNCTION("""COMPUTED_VALUE"""),"EN")</f>
        <v>EN</v>
      </c>
      <c r="D126" t="str">
        <f>IFERROR(__xludf.DUMMYFUNCTION("""COMPUTED_VALUE"""),"English Grammar: Apostrophe Beginner to Apostrophe Expert")</f>
        <v>English Grammar: Apostrophe Beginner to Apostrophe Expert</v>
      </c>
      <c r="E126" s="142" t="str">
        <f>IFERROR(__xludf.DUMMYFUNCTION("""COMPUTED_VALUE"""),"Clare Lynch")</f>
        <v>Clare Lynch</v>
      </c>
      <c r="F126" t="str">
        <f>IFERROR(__xludf.DUMMYFUNCTION("""COMPUTED_VALUE"""),"Instructor Request- Outdated")</f>
        <v>Instructor Request- Outdated</v>
      </c>
      <c r="G126" s="142" t="str">
        <f>IFERROR(__xludf.DUMMYFUNCTION("""COMPUTED_VALUE"""),"Personal Development")</f>
        <v>Personal Development</v>
      </c>
      <c r="H126" s="140" t="str">
        <f>IFERROR(__xludf.DUMMYFUNCTION("""COMPUTED_VALUE"""),"Language Learning")</f>
        <v>Language Learning</v>
      </c>
      <c r="I126">
        <f>IFERROR(__xludf.DUMMYFUNCTION("""COMPUTED_VALUE"""),647980.0)</f>
        <v>647980</v>
      </c>
      <c r="J126" s="140" t="str">
        <f>IFERROR(__xludf.DUMMYFUNCTION("""COMPUTED_VALUE"""),"Master English: Improve Your Speaking, Listening, &amp; Writing")</f>
        <v>Master English: Improve Your Speaking, Listening, &amp; Writing</v>
      </c>
      <c r="K126">
        <f>IFERROR(__xludf.DUMMYFUNCTION("""COMPUTED_VALUE"""),1037886.0)</f>
        <v>1037886</v>
      </c>
      <c r="L126" s="140" t="str">
        <f>IFERROR(__xludf.DUMMYFUNCTION("""COMPUTED_VALUE"""),"English Speaking Patterns Mastery: Upgrade your English")</f>
        <v>English Speaking Patterns Mastery: Upgrade your English</v>
      </c>
    </row>
    <row r="127">
      <c r="A127" s="141">
        <f>IFERROR(__xludf.DUMMYFUNCTION("""COMPUTED_VALUE"""),43769.0)</f>
        <v>43769</v>
      </c>
      <c r="B127" s="140">
        <f>IFERROR(__xludf.DUMMYFUNCTION("""COMPUTED_VALUE"""),982416.0)</f>
        <v>982416</v>
      </c>
      <c r="C127" s="140" t="str">
        <f>IFERROR(__xludf.DUMMYFUNCTION("""COMPUTED_VALUE"""),"EN")</f>
        <v>EN</v>
      </c>
      <c r="D127" t="str">
        <f>IFERROR(__xludf.DUMMYFUNCTION("""COMPUTED_VALUE"""),"Increase sales through great customer service skills")</f>
        <v>Increase sales through great customer service skills</v>
      </c>
      <c r="E127" s="142" t="str">
        <f>IFERROR(__xludf.DUMMYFUNCTION("""COMPUTED_VALUE"""),"Robert Da Costa")</f>
        <v>Robert Da Costa</v>
      </c>
      <c r="F127" t="str">
        <f>IFERROR(__xludf.DUMMYFUNCTION("""COMPUTED_VALUE"""),"Below Quality Standards- Deep Dive")</f>
        <v>Below Quality Standards- Deep Dive</v>
      </c>
      <c r="G127" s="142" t="str">
        <f>IFERROR(__xludf.DUMMYFUNCTION("""COMPUTED_VALUE"""),"Sales")</f>
        <v>Sales</v>
      </c>
      <c r="H127" s="140" t="str">
        <f>IFERROR(__xludf.DUMMYFUNCTION("""COMPUTED_VALUE"""),"Customer Service")</f>
        <v>Customer Service</v>
      </c>
      <c r="I127">
        <f>IFERROR(__xludf.DUMMYFUNCTION("""COMPUTED_VALUE"""),1436164.0)</f>
        <v>1436164</v>
      </c>
      <c r="J127" s="140" t="str">
        <f>IFERROR(__xludf.DUMMYFUNCTION("""COMPUTED_VALUE"""),"Customer Service: Soft Skills Fundamentals")</f>
        <v>Customer Service: Soft Skills Fundamentals</v>
      </c>
      <c r="K127">
        <f>IFERROR(__xludf.DUMMYFUNCTION("""COMPUTED_VALUE"""),672290.0)</f>
        <v>672290</v>
      </c>
      <c r="L127" s="140" t="str">
        <f>IFERROR(__xludf.DUMMYFUNCTION("""COMPUTED_VALUE"""),"Brilliant Customer Service: How to Impress your Customers!")</f>
        <v>Brilliant Customer Service: How to Impress your Customers!</v>
      </c>
    </row>
    <row r="128">
      <c r="A128" s="141">
        <f>IFERROR(__xludf.DUMMYFUNCTION("""COMPUTED_VALUE"""),43769.0)</f>
        <v>43769</v>
      </c>
      <c r="B128" s="140">
        <f>IFERROR(__xludf.DUMMYFUNCTION("""COMPUTED_VALUE"""),1281528.0)</f>
        <v>1281528</v>
      </c>
      <c r="C128" s="140" t="str">
        <f>IFERROR(__xludf.DUMMYFUNCTION("""COMPUTED_VALUE"""),"EN")</f>
        <v>EN</v>
      </c>
      <c r="D128" t="str">
        <f>IFERROR(__xludf.DUMMYFUNCTION("""COMPUTED_VALUE"""),"First Meeting B2B Sales Tips That Close for the Next Step")</f>
        <v>First Meeting B2B Sales Tips That Close for the Next Step</v>
      </c>
      <c r="E128" s="142" t="str">
        <f>IFERROR(__xludf.DUMMYFUNCTION("""COMPUTED_VALUE"""),"Derek Shebby")</f>
        <v>Derek Shebby</v>
      </c>
      <c r="F128" t="str">
        <f>IFERROR(__xludf.DUMMYFUNCTION("""COMPUTED_VALUE"""),"Below Quality Standards- Deep Dive")</f>
        <v>Below Quality Standards- Deep Dive</v>
      </c>
      <c r="G128" s="142" t="str">
        <f>IFERROR(__xludf.DUMMYFUNCTION("""COMPUTED_VALUE"""),"Sales")</f>
        <v>Sales</v>
      </c>
      <c r="H128" s="140" t="str">
        <f>IFERROR(__xludf.DUMMYFUNCTION("""COMPUTED_VALUE"""),"Sales Skills &amp; Tools")</f>
        <v>Sales Skills &amp; Tools</v>
      </c>
      <c r="I128">
        <f>IFERROR(__xludf.DUMMYFUNCTION("""COMPUTED_VALUE"""),1315784.0)</f>
        <v>1315784</v>
      </c>
      <c r="J128" s="140" t="str">
        <f>IFERROR(__xludf.DUMMYFUNCTION("""COMPUTED_VALUE"""),"")</f>
        <v/>
      </c>
      <c r="L128" s="140" t="str">
        <f>IFERROR(__xludf.DUMMYFUNCTION("""COMPUTED_VALUE"""),"")</f>
        <v/>
      </c>
    </row>
    <row r="129">
      <c r="A129" s="141">
        <f>IFERROR(__xludf.DUMMYFUNCTION("""COMPUTED_VALUE"""),43769.0)</f>
        <v>43769</v>
      </c>
      <c r="B129" s="140">
        <f>IFERROR(__xludf.DUMMYFUNCTION("""COMPUTED_VALUE"""),545206.0)</f>
        <v>545206</v>
      </c>
      <c r="C129" s="140" t="str">
        <f>IFERROR(__xludf.DUMMYFUNCTION("""COMPUTED_VALUE"""),"EN")</f>
        <v>EN</v>
      </c>
      <c r="D129" t="str">
        <f>IFERROR(__xludf.DUMMYFUNCTION("""COMPUTED_VALUE"""),"Closing Sales - Business by Design")</f>
        <v>Closing Sales - Business by Design</v>
      </c>
      <c r="E129" s="142" t="str">
        <f>IFERROR(__xludf.DUMMYFUNCTION("""COMPUTED_VALUE"""),"Bob Marx")</f>
        <v>Bob Marx</v>
      </c>
      <c r="F129" t="str">
        <f>IFERROR(__xludf.DUMMYFUNCTION("""COMPUTED_VALUE"""),"Below Quality Standards- Deep Dive")</f>
        <v>Below Quality Standards- Deep Dive</v>
      </c>
      <c r="G129" s="142" t="str">
        <f>IFERROR(__xludf.DUMMYFUNCTION("""COMPUTED_VALUE"""),"Sales")</f>
        <v>Sales</v>
      </c>
      <c r="H129" s="140" t="str">
        <f>IFERROR(__xludf.DUMMYFUNCTION("""COMPUTED_VALUE"""),"Sales Skills &amp; Tools")</f>
        <v>Sales Skills &amp; Tools</v>
      </c>
      <c r="I129">
        <f>IFERROR(__xludf.DUMMYFUNCTION("""COMPUTED_VALUE"""),1426364.0)</f>
        <v>1426364</v>
      </c>
      <c r="J129" s="140" t="str">
        <f>IFERROR(__xludf.DUMMYFUNCTION("""COMPUTED_VALUE"""),"Sales Machine: The Sales Training B2B Master Course")</f>
        <v>Sales Machine: The Sales Training B2B Master Course</v>
      </c>
      <c r="K129">
        <f>IFERROR(__xludf.DUMMYFUNCTION("""COMPUTED_VALUE"""),563478.0)</f>
        <v>563478</v>
      </c>
      <c r="L129" s="140" t="str">
        <f>IFERROR(__xludf.DUMMYFUNCTION("""COMPUTED_VALUE"""),"Sales Training: Practical Sales Techniques")</f>
        <v>Sales Training: Practical Sales Techniques</v>
      </c>
    </row>
    <row r="130">
      <c r="A130" s="141">
        <f>IFERROR(__xludf.DUMMYFUNCTION("""COMPUTED_VALUE"""),43769.0)</f>
        <v>43769</v>
      </c>
      <c r="B130" s="140">
        <f>IFERROR(__xludf.DUMMYFUNCTION("""COMPUTED_VALUE"""),189940.0)</f>
        <v>189940</v>
      </c>
      <c r="C130" s="140" t="str">
        <f>IFERROR(__xludf.DUMMYFUNCTION("""COMPUTED_VALUE"""),"EN")</f>
        <v>EN</v>
      </c>
      <c r="D130" t="str">
        <f>IFERROR(__xludf.DUMMYFUNCTION("""COMPUTED_VALUE"""),"No Pressure Prospecting - Close More Sales")</f>
        <v>No Pressure Prospecting - Close More Sales</v>
      </c>
      <c r="E130" s="142" t="str">
        <f>IFERROR(__xludf.DUMMYFUNCTION("""COMPUTED_VALUE"""),"Bob Marx")</f>
        <v>Bob Marx</v>
      </c>
      <c r="F130" t="str">
        <f>IFERROR(__xludf.DUMMYFUNCTION("""COMPUTED_VALUE"""),"Below Quality Standards- Deep Dive")</f>
        <v>Below Quality Standards- Deep Dive</v>
      </c>
      <c r="G130" s="142" t="str">
        <f>IFERROR(__xludf.DUMMYFUNCTION("""COMPUTED_VALUE"""),"Sales")</f>
        <v>Sales</v>
      </c>
      <c r="H130" s="140" t="str">
        <f>IFERROR(__xludf.DUMMYFUNCTION("""COMPUTED_VALUE"""),"Sales Skills &amp; Tools")</f>
        <v>Sales Skills &amp; Tools</v>
      </c>
      <c r="I130">
        <f>IFERROR(__xludf.DUMMYFUNCTION("""COMPUTED_VALUE"""),1449746.0)</f>
        <v>1449746</v>
      </c>
      <c r="J130" s="140" t="str">
        <f>IFERROR(__xludf.DUMMYFUNCTION("""COMPUTED_VALUE"""),"Business Development &amp; B2B Sales for Startups- Sales Valley")</f>
        <v>Business Development &amp; B2B Sales for Startups- Sales Valley</v>
      </c>
      <c r="L130" s="140" t="str">
        <f>IFERROR(__xludf.DUMMYFUNCTION("""COMPUTED_VALUE"""),"")</f>
        <v/>
      </c>
    </row>
    <row r="131">
      <c r="A131" s="141">
        <f>IFERROR(__xludf.DUMMYFUNCTION("""COMPUTED_VALUE"""),43769.0)</f>
        <v>43769</v>
      </c>
      <c r="B131" s="140">
        <f>IFERROR(__xludf.DUMMYFUNCTION("""COMPUTED_VALUE"""),415758.0)</f>
        <v>415758</v>
      </c>
      <c r="C131" s="140" t="str">
        <f>IFERROR(__xludf.DUMMYFUNCTION("""COMPUTED_VALUE"""),"EN")</f>
        <v>EN</v>
      </c>
      <c r="D131" t="str">
        <f>IFERROR(__xludf.DUMMYFUNCTION("""COMPUTED_VALUE"""),"POWER Sales Questions")</f>
        <v>POWER Sales Questions</v>
      </c>
      <c r="E131" s="142" t="str">
        <f>IFERROR(__xludf.DUMMYFUNCTION("""COMPUTED_VALUE"""),"Bob Marx")</f>
        <v>Bob Marx</v>
      </c>
      <c r="F131" t="str">
        <f>IFERROR(__xludf.DUMMYFUNCTION("""COMPUTED_VALUE"""),"Below Quality Standards- Deep Dive")</f>
        <v>Below Quality Standards- Deep Dive</v>
      </c>
      <c r="G131" s="142" t="str">
        <f>IFERROR(__xludf.DUMMYFUNCTION("""COMPUTED_VALUE"""),"Sales")</f>
        <v>Sales</v>
      </c>
      <c r="H131" s="140" t="str">
        <f>IFERROR(__xludf.DUMMYFUNCTION("""COMPUTED_VALUE"""),"Sales Skills &amp; Tools")</f>
        <v>Sales Skills &amp; Tools</v>
      </c>
      <c r="I131">
        <f>IFERROR(__xludf.DUMMYFUNCTION("""COMPUTED_VALUE"""),563478.0)</f>
        <v>563478</v>
      </c>
      <c r="J131" s="140" t="str">
        <f>IFERROR(__xludf.DUMMYFUNCTION("""COMPUTED_VALUE"""),"Sales Training: Practical Sales Techniques")</f>
        <v>Sales Training: Practical Sales Techniques</v>
      </c>
      <c r="K131">
        <f>IFERROR(__xludf.DUMMYFUNCTION("""COMPUTED_VALUE"""),619692.0)</f>
        <v>619692</v>
      </c>
      <c r="L131" s="140" t="str">
        <f>IFERROR(__xludf.DUMMYFUNCTION("""COMPUTED_VALUE"""),"Learn to Sell Anything by Grant Cardone")</f>
        <v>Learn to Sell Anything by Grant Cardone</v>
      </c>
    </row>
    <row r="132">
      <c r="A132" s="141">
        <f>IFERROR(__xludf.DUMMYFUNCTION("""COMPUTED_VALUE"""),43769.0)</f>
        <v>43769</v>
      </c>
      <c r="B132" s="140">
        <f>IFERROR(__xludf.DUMMYFUNCTION("""COMPUTED_VALUE"""),1439058.0)</f>
        <v>1439058</v>
      </c>
      <c r="C132" s="140" t="str">
        <f>IFERROR(__xludf.DUMMYFUNCTION("""COMPUTED_VALUE"""),"EN")</f>
        <v>EN</v>
      </c>
      <c r="D132" t="str">
        <f>IFERROR(__xludf.DUMMYFUNCTION("""COMPUTED_VALUE"""),"Compile Your First Ethereum Smart Contract With Solidity")</f>
        <v>Compile Your First Ethereum Smart Contract With Solidity</v>
      </c>
      <c r="E132" s="142" t="str">
        <f>IFERROR(__xludf.DUMMYFUNCTION("""COMPUTED_VALUE"""),"Will Bunker")</f>
        <v>Will Bunker</v>
      </c>
      <c r="F132" t="str">
        <f>IFERROR(__xludf.DUMMYFUNCTION("""COMPUTED_VALUE"""),"Instructor Request- Outdated")</f>
        <v>Instructor Request- Outdated</v>
      </c>
      <c r="G132" s="142" t="str">
        <f>IFERROR(__xludf.DUMMYFUNCTION("""COMPUTED_VALUE"""),"Development")</f>
        <v>Development</v>
      </c>
      <c r="H132" s="140" t="str">
        <f>IFERROR(__xludf.DUMMYFUNCTION("""COMPUTED_VALUE"""),"Database Design &amp; Development")</f>
        <v>Database Design &amp; Development</v>
      </c>
      <c r="I132">
        <f>IFERROR(__xludf.DUMMYFUNCTION("""COMPUTED_VALUE"""),1404946.0)</f>
        <v>1404946</v>
      </c>
      <c r="J132" s="140" t="str">
        <f>IFERROR(__xludf.DUMMYFUNCTION("""COMPUTED_VALUE"""),"Build and Deploy Your First Decentralized App with Etherem")</f>
        <v>Build and Deploy Your First Decentralized App with Etherem</v>
      </c>
      <c r="L132" s="140" t="str">
        <f>IFERROR(__xludf.DUMMYFUNCTION("""COMPUTED_VALUE"""),"")</f>
        <v/>
      </c>
    </row>
    <row r="133">
      <c r="A133" s="141">
        <f>IFERROR(__xludf.DUMMYFUNCTION("""COMPUTED_VALUE"""),43769.0)</f>
        <v>43769</v>
      </c>
      <c r="B133" s="140">
        <f>IFERROR(__xludf.DUMMYFUNCTION("""COMPUTED_VALUE"""),352150.0)</f>
        <v>352150</v>
      </c>
      <c r="C133" s="140" t="str">
        <f>IFERROR(__xludf.DUMMYFUNCTION("""COMPUTED_VALUE"""),"EN")</f>
        <v>EN</v>
      </c>
      <c r="D133" t="str">
        <f>IFERROR(__xludf.DUMMYFUNCTION("""COMPUTED_VALUE"""),"Learn to Trade for Profit: Ten Most Profitable Trading Rules")</f>
        <v>Learn to Trade for Profit: Ten Most Profitable Trading Rules</v>
      </c>
      <c r="E133" s="142" t="str">
        <f>IFERROR(__xludf.DUMMYFUNCTION("""COMPUTED_VALUE"""),"Luca Moschini")</f>
        <v>Luca Moschini</v>
      </c>
      <c r="F133" t="str">
        <f>IFERROR(__xludf.DUMMYFUNCTION("""COMPUTED_VALUE"""),"Instructor Request- Outdated")</f>
        <v>Instructor Request- Outdated</v>
      </c>
      <c r="G133" s="142" t="str">
        <f>IFERROR(__xludf.DUMMYFUNCTION("""COMPUTED_VALUE"""),"Finance &amp; Accounting")</f>
        <v>Finance &amp; Accounting</v>
      </c>
      <c r="H133" s="140" t="str">
        <f>IFERROR(__xludf.DUMMYFUNCTION("""COMPUTED_VALUE"""),"Investing &amp; Trading")</f>
        <v>Investing &amp; Trading</v>
      </c>
      <c r="I133">
        <f>IFERROR(__xludf.DUMMYFUNCTION("""COMPUTED_VALUE"""),765562.0)</f>
        <v>765562</v>
      </c>
      <c r="J133" s="140" t="str">
        <f>IFERROR(__xludf.DUMMYFUNCTION("""COMPUTED_VALUE"""),"Comprehensive Guide to Financial Markets, Investing &amp;Trading")</f>
        <v>Comprehensive Guide to Financial Markets, Investing &amp;Trading</v>
      </c>
      <c r="K133">
        <f>IFERROR(__xludf.DUMMYFUNCTION("""COMPUTED_VALUE"""),1587644.0)</f>
        <v>1587644</v>
      </c>
      <c r="L133" s="140" t="str">
        <f>IFERROR(__xludf.DUMMYFUNCTION("""COMPUTED_VALUE"""),"Advanced Stock Trading Course + Strategies")</f>
        <v>Advanced Stock Trading Course + Strategies</v>
      </c>
    </row>
    <row r="134">
      <c r="A134" s="141">
        <f>IFERROR(__xludf.DUMMYFUNCTION("""COMPUTED_VALUE"""),43769.0)</f>
        <v>43769</v>
      </c>
      <c r="B134" s="140">
        <f>IFERROR(__xludf.DUMMYFUNCTION("""COMPUTED_VALUE"""),294292.0)</f>
        <v>294292</v>
      </c>
      <c r="C134" s="140" t="str">
        <f>IFERROR(__xludf.DUMMYFUNCTION("""COMPUTED_VALUE"""),"EN")</f>
        <v>EN</v>
      </c>
      <c r="D134" t="str">
        <f>IFERROR(__xludf.DUMMYFUNCTION("""COMPUTED_VALUE"""),"Trading for Profit: 10 Primary Candlestick Reversal Patterns")</f>
        <v>Trading for Profit: 10 Primary Candlestick Reversal Patterns</v>
      </c>
      <c r="E134" s="142" t="str">
        <f>IFERROR(__xludf.DUMMYFUNCTION("""COMPUTED_VALUE"""),"Luca Moschini")</f>
        <v>Luca Moschini</v>
      </c>
      <c r="F134" t="str">
        <f>IFERROR(__xludf.DUMMYFUNCTION("""COMPUTED_VALUE"""),"Instructor Request- Outdated")</f>
        <v>Instructor Request- Outdated</v>
      </c>
      <c r="G134" s="142" t="str">
        <f>IFERROR(__xludf.DUMMYFUNCTION("""COMPUTED_VALUE"""),"Finance &amp; Accounting")</f>
        <v>Finance &amp; Accounting</v>
      </c>
      <c r="H134" s="140" t="str">
        <f>IFERROR(__xludf.DUMMYFUNCTION("""COMPUTED_VALUE"""),"Investing &amp; Trading")</f>
        <v>Investing &amp; Trading</v>
      </c>
      <c r="I134">
        <f>IFERROR(__xludf.DUMMYFUNCTION("""COMPUTED_VALUE"""),765562.0)</f>
        <v>765562</v>
      </c>
      <c r="J134" s="140" t="str">
        <f>IFERROR(__xludf.DUMMYFUNCTION("""COMPUTED_VALUE"""),"Comprehensive Guide to Financial Markets, Investing &amp;Trading")</f>
        <v>Comprehensive Guide to Financial Markets, Investing &amp;Trading</v>
      </c>
      <c r="K134">
        <f>IFERROR(__xludf.DUMMYFUNCTION("""COMPUTED_VALUE"""),848664.0)</f>
        <v>848664</v>
      </c>
      <c r="L134" s="140" t="str">
        <f>IFERROR(__xludf.DUMMYFUNCTION("""COMPUTED_VALUE"""),"Options Trading for Rookies:  Understand Options Completely")</f>
        <v>Options Trading for Rookies:  Understand Options Completely</v>
      </c>
    </row>
    <row r="135">
      <c r="A135" s="141">
        <f>IFERROR(__xludf.DUMMYFUNCTION("""COMPUTED_VALUE"""),43763.0)</f>
        <v>43763</v>
      </c>
      <c r="B135" s="140">
        <f>IFERROR(__xludf.DUMMYFUNCTION("""COMPUTED_VALUE"""),1358300.0)</f>
        <v>1358300</v>
      </c>
      <c r="C135" s="140" t="str">
        <f>IFERROR(__xludf.DUMMYFUNCTION("""COMPUTED_VALUE"""),"EN")</f>
        <v>EN</v>
      </c>
      <c r="D135" t="str">
        <f>IFERROR(__xludf.DUMMYFUNCTION("""COMPUTED_VALUE"""),"Node.js, Express &amp; MongoDB Dev to Deployment")</f>
        <v>Node.js, Express &amp; MongoDB Dev to Deployment</v>
      </c>
      <c r="E135" s="142" t="str">
        <f>IFERROR(__xludf.DUMMYFUNCTION("""COMPUTED_VALUE"""),"Brad Traversy")</f>
        <v>Brad Traversy</v>
      </c>
      <c r="F135" t="str">
        <f>IFERROR(__xludf.DUMMYFUNCTION("""COMPUTED_VALUE"""),"Instructor Request- Outdated")</f>
        <v>Instructor Request- Outdated</v>
      </c>
      <c r="G135" s="142" t="str">
        <f>IFERROR(__xludf.DUMMYFUNCTION("""COMPUTED_VALUE"""),"Development")</f>
        <v>Development</v>
      </c>
      <c r="H135" s="140" t="str">
        <f>IFERROR(__xludf.DUMMYFUNCTION("""COMPUTED_VALUE"""),"Web Development")</f>
        <v>Web Development</v>
      </c>
      <c r="I135">
        <f>IFERROR(__xludf.DUMMYFUNCTION("""COMPUTED_VALUE"""),2609434.0)</f>
        <v>2609434</v>
      </c>
      <c r="J135" s="140" t="str">
        <f>IFERROR(__xludf.DUMMYFUNCTION("""COMPUTED_VALUE"""),"Node.js API Masterclass With Express &amp; MongoDB")</f>
        <v>Node.js API Masterclass With Express &amp; MongoDB</v>
      </c>
      <c r="L135" s="140" t="str">
        <f>IFERROR(__xludf.DUMMYFUNCTION("""COMPUTED_VALUE"""),"")</f>
        <v/>
      </c>
    </row>
    <row r="136">
      <c r="A136" s="141">
        <f>IFERROR(__xludf.DUMMYFUNCTION("""COMPUTED_VALUE"""),43752.0)</f>
        <v>43752</v>
      </c>
      <c r="B136" s="140">
        <f>IFERROR(__xludf.DUMMYFUNCTION("""COMPUTED_VALUE"""),1461592.0)</f>
        <v>1461592</v>
      </c>
      <c r="C136" s="140" t="str">
        <f>IFERROR(__xludf.DUMMYFUNCTION("""COMPUTED_VALUE"""),"EN")</f>
        <v>EN</v>
      </c>
      <c r="D136" t="str">
        <f>IFERROR(__xludf.DUMMYFUNCTION("""COMPUTED_VALUE"""),"Become AWS Certified - Solutions Architect Associate (CSA)")</f>
        <v>Become AWS Certified - Solutions Architect Associate (CSA)</v>
      </c>
      <c r="E136" s="142" t="str">
        <f>IFERROR(__xludf.DUMMYFUNCTION("""COMPUTED_VALUE"""),"Codestars by Rob Percival")</f>
        <v>Codestars by Rob Percival</v>
      </c>
      <c r="F136" t="str">
        <f>IFERROR(__xludf.DUMMYFUNCTION("""COMPUTED_VALUE"""),"Instructor Request- Outdated")</f>
        <v>Instructor Request- Outdated</v>
      </c>
      <c r="G136" s="142" t="str">
        <f>IFERROR(__xludf.DUMMYFUNCTION("""COMPUTED_VALUE"""),"IT Operations")</f>
        <v>IT Operations</v>
      </c>
      <c r="H136" s="140" t="str">
        <f>IFERROR(__xludf.DUMMYFUNCTION("""COMPUTED_VALUE"""),"IT Certifications")</f>
        <v>IT Certifications</v>
      </c>
      <c r="I136">
        <f>IFERROR(__xludf.DUMMYFUNCTION("""COMPUTED_VALUE"""),2369182.0)</f>
        <v>2369182</v>
      </c>
      <c r="J136" s="140" t="str">
        <f>IFERROR(__xludf.DUMMYFUNCTION("""COMPUTED_VALUE"""),"AWS Solutions Architect Associate 2021 with Practice Test")</f>
        <v>AWS Solutions Architect Associate 2021 with Practice Test</v>
      </c>
      <c r="L136" s="140" t="str">
        <f>IFERROR(__xludf.DUMMYFUNCTION("""COMPUTED_VALUE"""),"")</f>
        <v/>
      </c>
    </row>
    <row r="137">
      <c r="A137" s="141">
        <f>IFERROR(__xludf.DUMMYFUNCTION("""COMPUTED_VALUE"""),43738.0)</f>
        <v>43738</v>
      </c>
      <c r="B137" s="140">
        <f>IFERROR(__xludf.DUMMYFUNCTION("""COMPUTED_VALUE"""),1289478.0)</f>
        <v>1289478</v>
      </c>
      <c r="C137" s="140" t="str">
        <f>IFERROR(__xludf.DUMMYFUNCTION("""COMPUTED_VALUE"""),"EN")</f>
        <v>EN</v>
      </c>
      <c r="D137" t="str">
        <f>IFERROR(__xludf.DUMMYFUNCTION("""COMPUTED_VALUE"""),"iOS 11 &amp; Swift 4 - The Complete iOS App Development Bootcamp")</f>
        <v>iOS 11 &amp; Swift 4 - The Complete iOS App Development Bootcamp</v>
      </c>
      <c r="E137" s="142" t="str">
        <f>IFERROR(__xludf.DUMMYFUNCTION("""COMPUTED_VALUE"""),"Angela Yu")</f>
        <v>Angela Yu</v>
      </c>
      <c r="F137" t="str">
        <f>IFERROR(__xludf.DUMMYFUNCTION("""COMPUTED_VALUE"""),"Below Quality Standards- Outdated")</f>
        <v>Below Quality Standards- Outdated</v>
      </c>
      <c r="G137" s="142" t="str">
        <f>IFERROR(__xludf.DUMMYFUNCTION("""COMPUTED_VALUE"""),"Development")</f>
        <v>Development</v>
      </c>
      <c r="H137" s="140" t="str">
        <f>IFERROR(__xludf.DUMMYFUNCTION("""COMPUTED_VALUE"""),"Mobile Development")</f>
        <v>Mobile Development</v>
      </c>
      <c r="I137">
        <f>IFERROR(__xludf.DUMMYFUNCTION("""COMPUTED_VALUE"""),1778502.0)</f>
        <v>1778502</v>
      </c>
      <c r="J137" s="140" t="str">
        <f>IFERROR(__xludf.DUMMYFUNCTION("""COMPUTED_VALUE"""),"iOS &amp; Swift - The Complete iOS App Development Bootcamp")</f>
        <v>iOS &amp; Swift - The Complete iOS App Development Bootcamp</v>
      </c>
      <c r="L137" s="140" t="str">
        <f>IFERROR(__xludf.DUMMYFUNCTION("""COMPUTED_VALUE"""),"")</f>
        <v/>
      </c>
    </row>
    <row r="138">
      <c r="A138" s="141">
        <f>IFERROR(__xludf.DUMMYFUNCTION("""COMPUTED_VALUE"""),43738.0)</f>
        <v>43738</v>
      </c>
      <c r="B138" s="140">
        <f>IFERROR(__xludf.DUMMYFUNCTION("""COMPUTED_VALUE"""),1311068.0)</f>
        <v>1311068</v>
      </c>
      <c r="C138" s="140" t="str">
        <f>IFERROR(__xludf.DUMMYFUNCTION("""COMPUTED_VALUE"""),"EN")</f>
        <v>EN</v>
      </c>
      <c r="D138" t="str">
        <f>IFERROR(__xludf.DUMMYFUNCTION("""COMPUTED_VALUE"""),"Linux Academy Red Hat Certified Systems Administrator Prep")</f>
        <v>Linux Academy Red Hat Certified Systems Administrator Prep</v>
      </c>
      <c r="E138" s="142" t="str">
        <f>IFERROR(__xludf.DUMMYFUNCTION("""COMPUTED_VALUE"""),"Linux Academy")</f>
        <v>Linux Academy</v>
      </c>
      <c r="F138" t="str">
        <f>IFERROR(__xludf.DUMMYFUNCTION("""COMPUTED_VALUE"""),"Instructor Request- Outdated")</f>
        <v>Instructor Request- Outdated</v>
      </c>
      <c r="G138" s="142" t="str">
        <f>IFERROR(__xludf.DUMMYFUNCTION("""COMPUTED_VALUE"""),"IT Operations")</f>
        <v>IT Operations</v>
      </c>
      <c r="H138" s="140" t="str">
        <f>IFERROR(__xludf.DUMMYFUNCTION("""COMPUTED_VALUE"""),"IT Certifications")</f>
        <v>IT Certifications</v>
      </c>
      <c r="I138">
        <f>IFERROR(__xludf.DUMMYFUNCTION("""COMPUTED_VALUE"""),502924.0)</f>
        <v>502924</v>
      </c>
      <c r="J138" s="140" t="str">
        <f>IFERROR(__xludf.DUMMYFUNCTION("""COMPUTED_VALUE"""),"")</f>
        <v/>
      </c>
      <c r="K138" s="140">
        <f>IFERROR(__xludf.DUMMYFUNCTION("""COMPUTED_VALUE"""),1431270.0)</f>
        <v>1431270</v>
      </c>
      <c r="L138" s="140" t="str">
        <f>IFERROR(__xludf.DUMMYFUNCTION("""COMPUTED_VALUE"""),"Prepare RHCSA 8 Exams on RHEL 8 with Real Exam Practice Test")</f>
        <v>Prepare RHCSA 8 Exams on RHEL 8 with Real Exam Practice Test</v>
      </c>
    </row>
    <row r="139">
      <c r="A139" s="141">
        <f>IFERROR(__xludf.DUMMYFUNCTION("""COMPUTED_VALUE"""),43738.0)</f>
        <v>43738</v>
      </c>
      <c r="B139" s="140">
        <f>IFERROR(__xludf.DUMMYFUNCTION("""COMPUTED_VALUE"""),751602.0)</f>
        <v>751602</v>
      </c>
      <c r="C139" s="140" t="str">
        <f>IFERROR(__xludf.DUMMYFUNCTION("""COMPUTED_VALUE"""),"EN")</f>
        <v>EN</v>
      </c>
      <c r="D139" t="str">
        <f>IFERROR(__xludf.DUMMYFUNCTION("""COMPUTED_VALUE"""),"Acumen Presents: Seth Godin's Leadership Workshop")</f>
        <v>Acumen Presents: Seth Godin's Leadership Workshop</v>
      </c>
      <c r="E139" s="142" t="str">
        <f>IFERROR(__xludf.DUMMYFUNCTION("""COMPUTED_VALUE"""),"Acumen Courses")</f>
        <v>Acumen Courses</v>
      </c>
      <c r="F139" t="str">
        <f>IFERROR(__xludf.DUMMYFUNCTION("""COMPUTED_VALUE"""),"Instructor Request- Opted Out")</f>
        <v>Instructor Request- Opted Out</v>
      </c>
      <c r="G139" s="142" t="str">
        <f>IFERROR(__xludf.DUMMYFUNCTION("""COMPUTED_VALUE"""),"Leadership &amp; Management")</f>
        <v>Leadership &amp; Management</v>
      </c>
      <c r="H139" s="140" t="str">
        <f>IFERROR(__xludf.DUMMYFUNCTION("""COMPUTED_VALUE"""),"Leadership")</f>
        <v>Leadership</v>
      </c>
      <c r="I139">
        <f>IFERROR(__xludf.DUMMYFUNCTION("""COMPUTED_VALUE"""),2092642.0)</f>
        <v>2092642</v>
      </c>
      <c r="J139" s="140" t="str">
        <f>IFERROR(__xludf.DUMMYFUNCTION("""COMPUTED_VALUE"""),"The Superboss Playbook for Managers")</f>
        <v>The Superboss Playbook for Managers</v>
      </c>
      <c r="K139">
        <f>IFERROR(__xludf.DUMMYFUNCTION("""COMPUTED_VALUE"""),613808.0)</f>
        <v>613808</v>
      </c>
      <c r="L139" s="140" t="str">
        <f>IFERROR(__xludf.DUMMYFUNCTION("""COMPUTED_VALUE"""),"Leadership: Practical Leadership Skills")</f>
        <v>Leadership: Practical Leadership Skills</v>
      </c>
    </row>
    <row r="140">
      <c r="A140" s="141">
        <f>IFERROR(__xludf.DUMMYFUNCTION("""COMPUTED_VALUE"""),43738.0)</f>
        <v>43738</v>
      </c>
      <c r="B140" s="140">
        <f>IFERROR(__xludf.DUMMYFUNCTION("""COMPUTED_VALUE"""),852192.0)</f>
        <v>852192</v>
      </c>
      <c r="C140" s="140" t="str">
        <f>IFERROR(__xludf.DUMMYFUNCTION("""COMPUTED_VALUE"""),"EN")</f>
        <v>EN</v>
      </c>
      <c r="D140" t="str">
        <f>IFERROR(__xludf.DUMMYFUNCTION("""COMPUTED_VALUE"""),"Acumen Presents: Chris Anderson on Public Speaking")</f>
        <v>Acumen Presents: Chris Anderson on Public Speaking</v>
      </c>
      <c r="E140" s="142" t="str">
        <f>IFERROR(__xludf.DUMMYFUNCTION("""COMPUTED_VALUE"""),"Acumen Courses")</f>
        <v>Acumen Courses</v>
      </c>
      <c r="F140" t="str">
        <f>IFERROR(__xludf.DUMMYFUNCTION("""COMPUTED_VALUE"""),"Instructor Request- Opted Out")</f>
        <v>Instructor Request- Opted Out</v>
      </c>
      <c r="G140" s="142" t="str">
        <f>IFERROR(__xludf.DUMMYFUNCTION("""COMPUTED_VALUE"""),"Leadership &amp; Management")</f>
        <v>Leadership &amp; Management</v>
      </c>
      <c r="H140" s="140" t="str">
        <f>IFERROR(__xludf.DUMMYFUNCTION("""COMPUTED_VALUE"""),"Communication")</f>
        <v>Communication</v>
      </c>
      <c r="I140">
        <f>IFERROR(__xludf.DUMMYFUNCTION("""COMPUTED_VALUE"""),1448556.0)</f>
        <v>1448556</v>
      </c>
      <c r="J140" s="140" t="str">
        <f>IFERROR(__xludf.DUMMYFUNCTION("""COMPUTED_VALUE"""),"Effective Presentation and TED like Public Speaking")</f>
        <v>Effective Presentation and TED like Public Speaking</v>
      </c>
      <c r="K140">
        <f>IFERROR(__xludf.DUMMYFUNCTION("""COMPUTED_VALUE"""),139200.0)</f>
        <v>139200</v>
      </c>
      <c r="L140" s="140" t="str">
        <f>IFERROR(__xludf.DUMMYFUNCTION("""COMPUTED_VALUE"""),"Powerful speaking")</f>
        <v>Powerful speaking</v>
      </c>
    </row>
    <row r="141">
      <c r="A141" s="141">
        <f>IFERROR(__xludf.DUMMYFUNCTION("""COMPUTED_VALUE"""),43738.0)</f>
        <v>43738</v>
      </c>
      <c r="B141" s="140">
        <f>IFERROR(__xludf.DUMMYFUNCTION("""COMPUTED_VALUE"""),939206.0)</f>
        <v>939206</v>
      </c>
      <c r="C141" s="140" t="str">
        <f>IFERROR(__xludf.DUMMYFUNCTION("""COMPUTED_VALUE"""),"EN")</f>
        <v>EN</v>
      </c>
      <c r="D141" t="str">
        <f>IFERROR(__xludf.DUMMYFUNCTION("""COMPUTED_VALUE"""),"Acumen Presents: Dan Ariely on Changing Customer Behavior")</f>
        <v>Acumen Presents: Dan Ariely on Changing Customer Behavior</v>
      </c>
      <c r="E141" s="142" t="str">
        <f>IFERROR(__xludf.DUMMYFUNCTION("""COMPUTED_VALUE"""),"Acumen Courses")</f>
        <v>Acumen Courses</v>
      </c>
      <c r="F141" t="str">
        <f>IFERROR(__xludf.DUMMYFUNCTION("""COMPUTED_VALUE"""),"Instructor Request- Opted Out")</f>
        <v>Instructor Request- Opted Out</v>
      </c>
      <c r="G141" s="142" t="str">
        <f>IFERROR(__xludf.DUMMYFUNCTION("""COMPUTED_VALUE"""),"Marketing")</f>
        <v>Marketing</v>
      </c>
      <c r="H141" s="140" t="str">
        <f>IFERROR(__xludf.DUMMYFUNCTION("""COMPUTED_VALUE"""),"Marketing Strategy")</f>
        <v>Marketing Strategy</v>
      </c>
      <c r="I141">
        <f>IFERROR(__xludf.DUMMYFUNCTION("""COMPUTED_VALUE"""),672290.0)</f>
        <v>672290</v>
      </c>
      <c r="J141" s="140" t="str">
        <f>IFERROR(__xludf.DUMMYFUNCTION("""COMPUTED_VALUE"""),"Brilliant Customer Service: How to Impress your Customers!")</f>
        <v>Brilliant Customer Service: How to Impress your Customers!</v>
      </c>
      <c r="L141" s="140" t="str">
        <f>IFERROR(__xludf.DUMMYFUNCTION("""COMPUTED_VALUE"""),"")</f>
        <v/>
      </c>
    </row>
    <row r="142">
      <c r="A142" s="141">
        <f>IFERROR(__xludf.DUMMYFUNCTION("""COMPUTED_VALUE"""),43738.0)</f>
        <v>43738</v>
      </c>
      <c r="B142" s="140">
        <f>IFERROR(__xludf.DUMMYFUNCTION("""COMPUTED_VALUE"""),1969694.0)</f>
        <v>1969694</v>
      </c>
      <c r="C142" s="140" t="str">
        <f>IFERROR(__xludf.DUMMYFUNCTION("""COMPUTED_VALUE"""),"EN")</f>
        <v>EN</v>
      </c>
      <c r="D142" t="str">
        <f>IFERROR(__xludf.DUMMYFUNCTION("""COMPUTED_VALUE"""),"The Ultimate Facebook Ads and Facebook Marketing Guide 2019")</f>
        <v>The Ultimate Facebook Ads and Facebook Marketing Guide 2019</v>
      </c>
      <c r="E142" s="142" t="str">
        <f>IFERROR(__xludf.DUMMYFUNCTION("""COMPUTED_VALUE"""),"Indian Institute of Digital Education - IIDE")</f>
        <v>Indian Institute of Digital Education - IIDE</v>
      </c>
      <c r="F142" t="str">
        <f>IFERROR(__xludf.DUMMYFUNCTION("""COMPUTED_VALUE"""),"Instructor Request- Opted Out")</f>
        <v>Instructor Request- Opted Out</v>
      </c>
      <c r="G142" s="142" t="str">
        <f>IFERROR(__xludf.DUMMYFUNCTION("""COMPUTED_VALUE"""),"Marketing")</f>
        <v>Marketing</v>
      </c>
      <c r="H142" s="140" t="str">
        <f>IFERROR(__xludf.DUMMYFUNCTION("""COMPUTED_VALUE"""),"Paid Advertising")</f>
        <v>Paid Advertising</v>
      </c>
      <c r="I142">
        <f>IFERROR(__xludf.DUMMYFUNCTION("""COMPUTED_VALUE"""),403314.0)</f>
        <v>403314</v>
      </c>
      <c r="J142" s="140" t="str">
        <f>IFERROR(__xludf.DUMMYFUNCTION("""COMPUTED_VALUE"""),"Facebook Ads &amp; Facebook Marketing MASTERY 2022 | Coursenvy ®")</f>
        <v>Facebook Ads &amp; Facebook Marketing MASTERY 2022 | Coursenvy ®</v>
      </c>
      <c r="K142">
        <f>IFERROR(__xludf.DUMMYFUNCTION("""COMPUTED_VALUE"""),987428.0)</f>
        <v>987428</v>
      </c>
      <c r="L142" s="140" t="str">
        <f>IFERROR(__xludf.DUMMYFUNCTION("""COMPUTED_VALUE"""),"The Complete Facebook Ads Course - Beginner to Advanced")</f>
        <v>The Complete Facebook Ads Course - Beginner to Advanced</v>
      </c>
    </row>
    <row r="143">
      <c r="A143" s="141">
        <f>IFERROR(__xludf.DUMMYFUNCTION("""COMPUTED_VALUE"""),43738.0)</f>
        <v>43738</v>
      </c>
      <c r="B143" s="140">
        <f>IFERROR(__xludf.DUMMYFUNCTION("""COMPUTED_VALUE"""),1428724.0)</f>
        <v>1428724</v>
      </c>
      <c r="C143" s="140" t="str">
        <f>IFERROR(__xludf.DUMMYFUNCTION("""COMPUTED_VALUE"""),"EN")</f>
        <v>EN</v>
      </c>
      <c r="D143" t="str">
        <f>IFERROR(__xludf.DUMMYFUNCTION("""COMPUTED_VALUE"""),"Acumen Presents: Sheila Heen on Difficult Conversations")</f>
        <v>Acumen Presents: Sheila Heen on Difficult Conversations</v>
      </c>
      <c r="E143" s="142" t="str">
        <f>IFERROR(__xludf.DUMMYFUNCTION("""COMPUTED_VALUE"""),"Acumen Courses")</f>
        <v>Acumen Courses</v>
      </c>
      <c r="F143" t="str">
        <f>IFERROR(__xludf.DUMMYFUNCTION("""COMPUTED_VALUE"""),"Instructor Request- Opted Out")</f>
        <v>Instructor Request- Opted Out</v>
      </c>
      <c r="G143" s="142" t="str">
        <f>IFERROR(__xludf.DUMMYFUNCTION("""COMPUTED_VALUE"""),"Leadership &amp; Management")</f>
        <v>Leadership &amp; Management</v>
      </c>
      <c r="H143" s="140" t="str">
        <f>IFERROR(__xludf.DUMMYFUNCTION("""COMPUTED_VALUE"""),"Communication")</f>
        <v>Communication</v>
      </c>
      <c r="I143">
        <f>IFERROR(__xludf.DUMMYFUNCTION("""COMPUTED_VALUE"""),526000.0)</f>
        <v>526000</v>
      </c>
      <c r="J143" s="140" t="str">
        <f>IFERROR(__xludf.DUMMYFUNCTION("""COMPUTED_VALUE"""),"How to Manage Difficult Conversations: Beginner's Guide")</f>
        <v>How to Manage Difficult Conversations: Beginner's Guide</v>
      </c>
      <c r="K143">
        <f>IFERROR(__xludf.DUMMYFUNCTION("""COMPUTED_VALUE"""),430604.0)</f>
        <v>430604</v>
      </c>
      <c r="L143" s="140" t="str">
        <f>IFERROR(__xludf.DUMMYFUNCTION("""COMPUTED_VALUE"""),"12 Strategies for Dealing With Difficult People")</f>
        <v>12 Strategies for Dealing With Difficult People</v>
      </c>
    </row>
    <row r="144">
      <c r="A144" s="141">
        <f>IFERROR(__xludf.DUMMYFUNCTION("""COMPUTED_VALUE"""),43738.0)</f>
        <v>43738</v>
      </c>
      <c r="B144" s="140">
        <f>IFERROR(__xludf.DUMMYFUNCTION("""COMPUTED_VALUE"""),806626.0)</f>
        <v>806626</v>
      </c>
      <c r="C144" s="140" t="str">
        <f>IFERROR(__xludf.DUMMYFUNCTION("""COMPUTED_VALUE"""),"EN")</f>
        <v>EN</v>
      </c>
      <c r="D144" t="str">
        <f>IFERROR(__xludf.DUMMYFUNCTION("""COMPUTED_VALUE"""),"Acumen Presents: Elizabeth Gilbert's Creativity Workshop")</f>
        <v>Acumen Presents: Elizabeth Gilbert's Creativity Workshop</v>
      </c>
      <c r="E144" s="142" t="str">
        <f>IFERROR(__xludf.DUMMYFUNCTION("""COMPUTED_VALUE"""),"Acumen Courses")</f>
        <v>Acumen Courses</v>
      </c>
      <c r="F144" t="str">
        <f>IFERROR(__xludf.DUMMYFUNCTION("""COMPUTED_VALUE"""),"Instructor Request- Opted Out")</f>
        <v>Instructor Request- Opted Out</v>
      </c>
      <c r="G144" s="142" t="str">
        <f>IFERROR(__xludf.DUMMYFUNCTION("""COMPUTED_VALUE"""),"Personal Development")</f>
        <v>Personal Development</v>
      </c>
      <c r="H144" s="140" t="str">
        <f>IFERROR(__xludf.DUMMYFUNCTION("""COMPUTED_VALUE"""),"Arts &amp; Creativity")</f>
        <v>Arts &amp; Creativity</v>
      </c>
      <c r="I144">
        <f>IFERROR(__xludf.DUMMYFUNCTION("""COMPUTED_VALUE"""),1355158.0)</f>
        <v>1355158</v>
      </c>
      <c r="J144" s="140" t="str">
        <f>IFERROR(__xludf.DUMMYFUNCTION("""COMPUTED_VALUE"""),"Creativity, Design Thinking, and Innovation for Business")</f>
        <v>Creativity, Design Thinking, and Innovation for Business</v>
      </c>
      <c r="K144">
        <f>IFERROR(__xludf.DUMMYFUNCTION("""COMPUTED_VALUE"""),1119698.0)</f>
        <v>1119698</v>
      </c>
      <c r="L144" s="140" t="str">
        <f>IFERROR(__xludf.DUMMYFUNCTION("""COMPUTED_VALUE"""),"Skyrocket Your Creativity and Get Better Ideas: 7 Easy Ways")</f>
        <v>Skyrocket Your Creativity and Get Better Ideas: 7 Easy Ways</v>
      </c>
    </row>
    <row r="145">
      <c r="A145" s="141">
        <f>IFERROR(__xludf.DUMMYFUNCTION("""COMPUTED_VALUE"""),43738.0)</f>
        <v>43738</v>
      </c>
      <c r="B145" s="140">
        <f>IFERROR(__xludf.DUMMYFUNCTION("""COMPUTED_VALUE"""),1188870.0)</f>
        <v>1188870</v>
      </c>
      <c r="C145" s="140" t="str">
        <f>IFERROR(__xludf.DUMMYFUNCTION("""COMPUTED_VALUE"""),"EN")</f>
        <v>EN</v>
      </c>
      <c r="D145" t="str">
        <f>IFERROR(__xludf.DUMMYFUNCTION("""COMPUTED_VALUE"""),"Acumen Presents: Angela Duckworth on Building Grit")</f>
        <v>Acumen Presents: Angela Duckworth on Building Grit</v>
      </c>
      <c r="E145" s="142" t="str">
        <f>IFERROR(__xludf.DUMMYFUNCTION("""COMPUTED_VALUE"""),"Acumen Courses")</f>
        <v>Acumen Courses</v>
      </c>
      <c r="F145" t="str">
        <f>IFERROR(__xludf.DUMMYFUNCTION("""COMPUTED_VALUE"""),"Instructor Request- Opted Out")</f>
        <v>Instructor Request- Opted Out</v>
      </c>
      <c r="G145" s="142" t="str">
        <f>IFERROR(__xludf.DUMMYFUNCTION("""COMPUTED_VALUE"""),"Personal Development")</f>
        <v>Personal Development</v>
      </c>
      <c r="H145" s="140" t="str">
        <f>IFERROR(__xludf.DUMMYFUNCTION("""COMPUTED_VALUE"""),"Personal Growth")</f>
        <v>Personal Growth</v>
      </c>
      <c r="I145">
        <f>IFERROR(__xludf.DUMMYFUNCTION("""COMPUTED_VALUE"""),963970.0)</f>
        <v>963970</v>
      </c>
      <c r="J145" s="140" t="str">
        <f>IFERROR(__xludf.DUMMYFUNCTION("""COMPUTED_VALUE"""),"Build Grit")</f>
        <v>Build Grit</v>
      </c>
      <c r="L145" s="140" t="str">
        <f>IFERROR(__xludf.DUMMYFUNCTION("""COMPUTED_VALUE"""),"")</f>
        <v/>
      </c>
    </row>
    <row r="146">
      <c r="A146" s="141">
        <f>IFERROR(__xludf.DUMMYFUNCTION("""COMPUTED_VALUE"""),43738.0)</f>
        <v>43738</v>
      </c>
      <c r="B146" s="140">
        <f>IFERROR(__xludf.DUMMYFUNCTION("""COMPUTED_VALUE"""),323448.0)</f>
        <v>323448</v>
      </c>
      <c r="C146" s="140" t="str">
        <f>IFERROR(__xludf.DUMMYFUNCTION("""COMPUTED_VALUE"""),"EN")</f>
        <v>EN</v>
      </c>
      <c r="D146" t="str">
        <f>IFERROR(__xludf.DUMMYFUNCTION("""COMPUTED_VALUE"""),"Become the Leader on Effective Workplace Communication")</f>
        <v>Become the Leader on Effective Workplace Communication</v>
      </c>
      <c r="E146" s="142" t="str">
        <f>IFERROR(__xludf.DUMMYFUNCTION("""COMPUTED_VALUE"""),"Gordon Adelsberg")</f>
        <v>Gordon Adelsberg</v>
      </c>
      <c r="F146" t="str">
        <f>IFERROR(__xludf.DUMMYFUNCTION("""COMPUTED_VALUE"""),"Below Quality Standards- 3 Flags")</f>
        <v>Below Quality Standards- 3 Flags</v>
      </c>
      <c r="G146" s="142" t="str">
        <f>IFERROR(__xludf.DUMMYFUNCTION("""COMPUTED_VALUE"""),"Leadership &amp; Management")</f>
        <v>Leadership &amp; Management</v>
      </c>
      <c r="H146" s="140" t="str">
        <f>IFERROR(__xludf.DUMMYFUNCTION("""COMPUTED_VALUE"""),"Communication")</f>
        <v>Communication</v>
      </c>
      <c r="I146">
        <f>IFERROR(__xludf.DUMMYFUNCTION("""COMPUTED_VALUE"""),1802404.0)</f>
        <v>1802404</v>
      </c>
      <c r="J146" s="140" t="str">
        <f>IFERROR(__xludf.DUMMYFUNCTION("""COMPUTED_VALUE"""),"The Complete Communication Skills Master Class for Life")</f>
        <v>The Complete Communication Skills Master Class for Life</v>
      </c>
      <c r="L146" s="140" t="str">
        <f>IFERROR(__xludf.DUMMYFUNCTION("""COMPUTED_VALUE"""),"")</f>
        <v/>
      </c>
    </row>
    <row r="147">
      <c r="A147" s="141">
        <f>IFERROR(__xludf.DUMMYFUNCTION("""COMPUTED_VALUE"""),43738.0)</f>
        <v>43738</v>
      </c>
      <c r="B147" s="140">
        <f>IFERROR(__xludf.DUMMYFUNCTION("""COMPUTED_VALUE"""),1122854.0)</f>
        <v>1122854</v>
      </c>
      <c r="C147" s="140" t="str">
        <f>IFERROR(__xludf.DUMMYFUNCTION("""COMPUTED_VALUE"""),"EN")</f>
        <v>EN</v>
      </c>
      <c r="D147" t="str">
        <f>IFERROR(__xludf.DUMMYFUNCTION("""COMPUTED_VALUE"""),"Acumen Presents: Adam Grant on Developing Original Ideas")</f>
        <v>Acumen Presents: Adam Grant on Developing Original Ideas</v>
      </c>
      <c r="E147" s="142" t="str">
        <f>IFERROR(__xludf.DUMMYFUNCTION("""COMPUTED_VALUE"""),"Adam Grant")</f>
        <v>Adam Grant</v>
      </c>
      <c r="F147" t="str">
        <f>IFERROR(__xludf.DUMMYFUNCTION("""COMPUTED_VALUE"""),"Instructor Request- Opted Out")</f>
        <v>Instructor Request- Opted Out</v>
      </c>
      <c r="G147" s="142" t="str">
        <f>IFERROR(__xludf.DUMMYFUNCTION("""COMPUTED_VALUE"""),"Leadership &amp; Management")</f>
        <v>Leadership &amp; Management</v>
      </c>
      <c r="H147" s="140" t="str">
        <f>IFERROR(__xludf.DUMMYFUNCTION("""COMPUTED_VALUE"""),"Strategy")</f>
        <v>Strategy</v>
      </c>
      <c r="I147">
        <f>IFERROR(__xludf.DUMMYFUNCTION("""COMPUTED_VALUE"""),1389870.0)</f>
        <v>1389870</v>
      </c>
      <c r="J147" s="140" t="str">
        <f>IFERROR(__xludf.DUMMYFUNCTION("""COMPUTED_VALUE"""),"Accelerate Innovation &amp; Creativity, a Research based Guide !")</f>
        <v>Accelerate Innovation &amp; Creativity, a Research based Guide !</v>
      </c>
      <c r="L147" s="140" t="str">
        <f>IFERROR(__xludf.DUMMYFUNCTION("""COMPUTED_VALUE"""),"")</f>
        <v/>
      </c>
    </row>
    <row r="148">
      <c r="A148" s="141">
        <f>IFERROR(__xludf.DUMMYFUNCTION("""COMPUTED_VALUE"""),43738.0)</f>
        <v>43738</v>
      </c>
      <c r="B148" s="140">
        <f>IFERROR(__xludf.DUMMYFUNCTION("""COMPUTED_VALUE"""),1333522.0)</f>
        <v>1333522</v>
      </c>
      <c r="C148" s="140" t="str">
        <f>IFERROR(__xludf.DUMMYFUNCTION("""COMPUTED_VALUE"""),"EN")</f>
        <v>EN</v>
      </c>
      <c r="D148" t="str">
        <f>IFERROR(__xludf.DUMMYFUNCTION("""COMPUTED_VALUE"""),"IBM Qradar SIEM Admin&amp;Config for Incident Response")</f>
        <v>IBM Qradar SIEM Admin&amp;Config for Incident Response</v>
      </c>
      <c r="E148" s="142" t="str">
        <f>IFERROR(__xludf.DUMMYFUNCTION("""COMPUTED_VALUE"""),"Roland Costea")</f>
        <v>Roland Costea</v>
      </c>
      <c r="F148" t="str">
        <f>IFERROR(__xludf.DUMMYFUNCTION("""COMPUTED_VALUE"""),"Below Quality Standards- Low Rating")</f>
        <v>Below Quality Standards- Low Rating</v>
      </c>
      <c r="G148" s="142" t="str">
        <f>IFERROR(__xludf.DUMMYFUNCTION("""COMPUTED_VALUE"""),"IT Operations")</f>
        <v>IT Operations</v>
      </c>
      <c r="H148" s="140" t="str">
        <f>IFERROR(__xludf.DUMMYFUNCTION("""COMPUTED_VALUE"""),"Network &amp; Security")</f>
        <v>Network &amp; Security</v>
      </c>
      <c r="J148" s="140" t="str">
        <f>IFERROR(__xludf.DUMMYFUNCTION("""COMPUTED_VALUE"""),"")</f>
        <v/>
      </c>
      <c r="L148" s="140" t="str">
        <f>IFERROR(__xludf.DUMMYFUNCTION("""COMPUTED_VALUE"""),"")</f>
        <v/>
      </c>
    </row>
    <row r="149">
      <c r="A149" s="141">
        <f>IFERROR(__xludf.DUMMYFUNCTION("""COMPUTED_VALUE"""),43738.0)</f>
        <v>43738</v>
      </c>
      <c r="B149" s="140">
        <f>IFERROR(__xludf.DUMMYFUNCTION("""COMPUTED_VALUE"""),897895.0)</f>
        <v>897895</v>
      </c>
      <c r="C149" s="140" t="str">
        <f>IFERROR(__xludf.DUMMYFUNCTION("""COMPUTED_VALUE"""),"EN")</f>
        <v>EN</v>
      </c>
      <c r="D149" t="str">
        <f>IFERROR(__xludf.DUMMYFUNCTION("""COMPUTED_VALUE"""),"Azure - Deploying Virtual Machines")</f>
        <v>Azure - Deploying Virtual Machines</v>
      </c>
      <c r="E149" s="142" t="str">
        <f>IFERROR(__xludf.DUMMYFUNCTION("""COMPUTED_VALUE"""),"Intellezy Trainers")</f>
        <v>Intellezy Trainers</v>
      </c>
      <c r="F149" t="str">
        <f>IFERROR(__xludf.DUMMYFUNCTION("""COMPUTED_VALUE"""),"Instructor Request- Opted Out")</f>
        <v>Instructor Request- Opted Out</v>
      </c>
      <c r="G149" s="142" t="str">
        <f>IFERROR(__xludf.DUMMYFUNCTION("""COMPUTED_VALUE"""),"IT Operations")</f>
        <v>IT Operations</v>
      </c>
      <c r="H149" s="140" t="str">
        <f>IFERROR(__xludf.DUMMYFUNCTION("""COMPUTED_VALUE"""),"Operating Systems &amp; Servers")</f>
        <v>Operating Systems &amp; Servers</v>
      </c>
      <c r="I149">
        <f>IFERROR(__xludf.DUMMYFUNCTION("""COMPUTED_VALUE"""),1704776.0)</f>
        <v>1704776</v>
      </c>
      <c r="J149" s="140" t="str">
        <f>IFERROR(__xludf.DUMMYFUNCTION("""COMPUTED_VALUE"""),"Microsoft Azure - Beginner's Guide + AZ-900 -  2021")</f>
        <v>Microsoft Azure - Beginner's Guide + AZ-900 -  2021</v>
      </c>
      <c r="L149" s="140" t="str">
        <f>IFERROR(__xludf.DUMMYFUNCTION("""COMPUTED_VALUE"""),"")</f>
        <v/>
      </c>
    </row>
    <row r="150">
      <c r="A150" s="141">
        <f>IFERROR(__xludf.DUMMYFUNCTION("""COMPUTED_VALUE"""),43738.0)</f>
        <v>43738</v>
      </c>
      <c r="B150" s="140">
        <f>IFERROR(__xludf.DUMMYFUNCTION("""COMPUTED_VALUE"""),1613360.0)</f>
        <v>1613360</v>
      </c>
      <c r="C150" s="140" t="str">
        <f>IFERROR(__xludf.DUMMYFUNCTION("""COMPUTED_VALUE"""),"EN")</f>
        <v>EN</v>
      </c>
      <c r="D150" t="str">
        <f>IFERROR(__xludf.DUMMYFUNCTION("""COMPUTED_VALUE"""),"How a Building is Designed and Built - Part 1 of 6")</f>
        <v>How a Building is Designed and Built - Part 1 of 6</v>
      </c>
      <c r="E150" s="142" t="str">
        <f>IFERROR(__xludf.DUMMYFUNCTION("""COMPUTED_VALUE"""),"Matthew Morris")</f>
        <v>Matthew Morris</v>
      </c>
      <c r="F150" t="str">
        <f>IFERROR(__xludf.DUMMYFUNCTION("""COMPUTED_VALUE"""),"Instructor Request- Opted Out")</f>
        <v>Instructor Request- Opted Out</v>
      </c>
      <c r="G150" s="142" t="str">
        <f>IFERROR(__xludf.DUMMYFUNCTION("""COMPUTED_VALUE"""),"Design")</f>
        <v>Design</v>
      </c>
      <c r="H150" s="140" t="str">
        <f>IFERROR(__xludf.DUMMYFUNCTION("""COMPUTED_VALUE"""),"Design Tools")</f>
        <v>Design Tools</v>
      </c>
      <c r="J150" s="140" t="str">
        <f>IFERROR(__xludf.DUMMYFUNCTION("""COMPUTED_VALUE"""),"")</f>
        <v/>
      </c>
      <c r="L150" s="140" t="str">
        <f>IFERROR(__xludf.DUMMYFUNCTION("""COMPUTED_VALUE"""),"")</f>
        <v/>
      </c>
    </row>
    <row r="151">
      <c r="A151" s="141">
        <f>IFERROR(__xludf.DUMMYFUNCTION("""COMPUTED_VALUE"""),43738.0)</f>
        <v>43738</v>
      </c>
      <c r="B151" s="140">
        <f>IFERROR(__xludf.DUMMYFUNCTION("""COMPUTED_VALUE"""),1314572.0)</f>
        <v>1314572</v>
      </c>
      <c r="C151" s="140" t="str">
        <f>IFERROR(__xludf.DUMMYFUNCTION("""COMPUTED_VALUE"""),"EN")</f>
        <v>EN</v>
      </c>
      <c r="D151" t="str">
        <f>IFERROR(__xludf.DUMMYFUNCTION("""COMPUTED_VALUE"""),"Linux Academy Red Hat Certified Engineer Prep")</f>
        <v>Linux Academy Red Hat Certified Engineer Prep</v>
      </c>
      <c r="E151" s="142" t="str">
        <f>IFERROR(__xludf.DUMMYFUNCTION("""COMPUTED_VALUE"""),"Linux Academy")</f>
        <v>Linux Academy</v>
      </c>
      <c r="F151" t="str">
        <f>IFERROR(__xludf.DUMMYFUNCTION("""COMPUTED_VALUE"""),"Instructor Request- Outdated")</f>
        <v>Instructor Request- Outdated</v>
      </c>
      <c r="G151" s="142" t="str">
        <f>IFERROR(__xludf.DUMMYFUNCTION("""COMPUTED_VALUE"""),"IT Operations")</f>
        <v>IT Operations</v>
      </c>
      <c r="H151" s="140" t="str">
        <f>IFERROR(__xludf.DUMMYFUNCTION("""COMPUTED_VALUE"""),"IT Certifications")</f>
        <v>IT Certifications</v>
      </c>
      <c r="I151">
        <f>IFERROR(__xludf.DUMMYFUNCTION("""COMPUTED_VALUE"""),1007632.0)</f>
        <v>1007632</v>
      </c>
      <c r="J151" s="140" t="str">
        <f>IFERROR(__xludf.DUMMYFUNCTION("""COMPUTED_VALUE"""),"RHCE Linux System Engineer Complete Course")</f>
        <v>RHCE Linux System Engineer Complete Course</v>
      </c>
      <c r="L151" s="140" t="str">
        <f>IFERROR(__xludf.DUMMYFUNCTION("""COMPUTED_VALUE"""),"")</f>
        <v/>
      </c>
    </row>
    <row r="152">
      <c r="A152" s="141">
        <f>IFERROR(__xludf.DUMMYFUNCTION("""COMPUTED_VALUE"""),43738.0)</f>
        <v>43738</v>
      </c>
      <c r="B152" s="140">
        <f>IFERROR(__xludf.DUMMYFUNCTION("""COMPUTED_VALUE"""),1196416.0)</f>
        <v>1196416</v>
      </c>
      <c r="C152" s="140" t="str">
        <f>IFERROR(__xludf.DUMMYFUNCTION("""COMPUTED_VALUE"""),"EN")</f>
        <v>EN</v>
      </c>
      <c r="D152" t="str">
        <f>IFERROR(__xludf.DUMMYFUNCTION("""COMPUTED_VALUE"""),"Protocol Oriented Programming in Swift 4 and iOS 11")</f>
        <v>Protocol Oriented Programming in Swift 4 and iOS 11</v>
      </c>
      <c r="E152" s="142" t="str">
        <f>IFERROR(__xludf.DUMMYFUNCTION("""COMPUTED_VALUE"""),"Andi Setiyadi")</f>
        <v>Andi Setiyadi</v>
      </c>
      <c r="F152" t="str">
        <f>IFERROR(__xludf.DUMMYFUNCTION("""COMPUTED_VALUE"""),"Instructor Request- Opted Out")</f>
        <v>Instructor Request- Opted Out</v>
      </c>
      <c r="G152" s="142" t="str">
        <f>IFERROR(__xludf.DUMMYFUNCTION("""COMPUTED_VALUE"""),"Development")</f>
        <v>Development</v>
      </c>
      <c r="H152" s="140" t="str">
        <f>IFERROR(__xludf.DUMMYFUNCTION("""COMPUTED_VALUE"""),"Mobile Development")</f>
        <v>Mobile Development</v>
      </c>
      <c r="I152">
        <f>IFERROR(__xludf.DUMMYFUNCTION("""COMPUTED_VALUE"""),1862678.0)</f>
        <v>1862678</v>
      </c>
      <c r="J152" s="140" t="str">
        <f>IFERROR(__xludf.DUMMYFUNCTION("""COMPUTED_VALUE"""),"iOS &amp; Swift: Become An App Developer")</f>
        <v>iOS &amp; Swift: Become An App Developer</v>
      </c>
      <c r="L152" s="140" t="str">
        <f>IFERROR(__xludf.DUMMYFUNCTION("""COMPUTED_VALUE"""),"")</f>
        <v/>
      </c>
    </row>
    <row r="153">
      <c r="A153" s="141">
        <f>IFERROR(__xludf.DUMMYFUNCTION("""COMPUTED_VALUE"""),43738.0)</f>
        <v>43738</v>
      </c>
      <c r="B153" s="140">
        <f>IFERROR(__xludf.DUMMYFUNCTION("""COMPUTED_VALUE"""),1840354.0)</f>
        <v>1840354</v>
      </c>
      <c r="C153" s="140" t="str">
        <f>IFERROR(__xludf.DUMMYFUNCTION("""COMPUTED_VALUE"""),"EN")</f>
        <v>EN</v>
      </c>
      <c r="D153" t="str">
        <f>IFERROR(__xludf.DUMMYFUNCTION("""COMPUTED_VALUE"""),"Constructive Feedback: Manager's Step-By-Step Guide")</f>
        <v>Constructive Feedback: Manager's Step-By-Step Guide</v>
      </c>
      <c r="E153" s="142" t="str">
        <f>IFERROR(__xludf.DUMMYFUNCTION("""COMPUTED_VALUE"""),"Silvia Wright-Davies")</f>
        <v>Silvia Wright-Davies</v>
      </c>
      <c r="F153" t="str">
        <f>IFERROR(__xludf.DUMMYFUNCTION("""COMPUTED_VALUE"""),"Below Quality Standards- 3 Flags")</f>
        <v>Below Quality Standards- 3 Flags</v>
      </c>
      <c r="G153" s="142" t="str">
        <f>IFERROR(__xludf.DUMMYFUNCTION("""COMPUTED_VALUE"""),"Leadership &amp; Management")</f>
        <v>Leadership &amp; Management</v>
      </c>
      <c r="H153" s="140" t="str">
        <f>IFERROR(__xludf.DUMMYFUNCTION("""COMPUTED_VALUE"""),"Communication")</f>
        <v>Communication</v>
      </c>
      <c r="I153">
        <f>IFERROR(__xludf.DUMMYFUNCTION("""COMPUTED_VALUE"""),1337206.0)</f>
        <v>1337206</v>
      </c>
      <c r="J153" s="140" t="str">
        <f>IFERROR(__xludf.DUMMYFUNCTION("""COMPUTED_VALUE"""),"Feedback is Fuel")</f>
        <v>Feedback is Fuel</v>
      </c>
      <c r="K153">
        <f>IFERROR(__xludf.DUMMYFUNCTION("""COMPUTED_VALUE"""),1333184.0)</f>
        <v>1333184</v>
      </c>
      <c r="L153" s="140" t="str">
        <f>IFERROR(__xludf.DUMMYFUNCTION("""COMPUTED_VALUE"""),"Giving and Receiving Feedback for Management and Leadership")</f>
        <v>Giving and Receiving Feedback for Management and Leadership</v>
      </c>
    </row>
    <row r="154">
      <c r="A154" s="141">
        <f>IFERROR(__xludf.DUMMYFUNCTION("""COMPUTED_VALUE"""),43738.0)</f>
        <v>43738</v>
      </c>
      <c r="B154" s="140">
        <f>IFERROR(__xludf.DUMMYFUNCTION("""COMPUTED_VALUE"""),1192456.0)</f>
        <v>1192456</v>
      </c>
      <c r="C154" s="140" t="str">
        <f>IFERROR(__xludf.DUMMYFUNCTION("""COMPUTED_VALUE"""),"EN")</f>
        <v>EN</v>
      </c>
      <c r="D154" t="str">
        <f>IFERROR(__xludf.DUMMYFUNCTION("""COMPUTED_VALUE"""),"Zimbra Messaging Server Complete Course")</f>
        <v>Zimbra Messaging Server Complete Course</v>
      </c>
      <c r="E154" s="142" t="str">
        <f>IFERROR(__xludf.DUMMYFUNCTION("""COMPUTED_VALUE"""),"Muhammed Torkey")</f>
        <v>Muhammed Torkey</v>
      </c>
      <c r="F154" t="str">
        <f>IFERROR(__xludf.DUMMYFUNCTION("""COMPUTED_VALUE"""),"Below Quality Standards- 3 Flags")</f>
        <v>Below Quality Standards- 3 Flags</v>
      </c>
      <c r="G154" s="142" t="str">
        <f>IFERROR(__xludf.DUMMYFUNCTION("""COMPUTED_VALUE"""),"IT Operations")</f>
        <v>IT Operations</v>
      </c>
      <c r="H154" s="140" t="str">
        <f>IFERROR(__xludf.DUMMYFUNCTION("""COMPUTED_VALUE"""),"Network &amp; Security")</f>
        <v>Network &amp; Security</v>
      </c>
      <c r="J154" s="140" t="str">
        <f>IFERROR(__xludf.DUMMYFUNCTION("""COMPUTED_VALUE"""),"")</f>
        <v/>
      </c>
      <c r="L154" s="140" t="str">
        <f>IFERROR(__xludf.DUMMYFUNCTION("""COMPUTED_VALUE"""),"")</f>
        <v/>
      </c>
    </row>
    <row r="155">
      <c r="A155" s="141">
        <f>IFERROR(__xludf.DUMMYFUNCTION("""COMPUTED_VALUE"""),43738.0)</f>
        <v>43738</v>
      </c>
      <c r="B155" s="140">
        <f>IFERROR(__xludf.DUMMYFUNCTION("""COMPUTED_VALUE"""),635970.0)</f>
        <v>635970</v>
      </c>
      <c r="C155" s="140" t="str">
        <f>IFERROR(__xludf.DUMMYFUNCTION("""COMPUTED_VALUE"""),"EN")</f>
        <v>EN</v>
      </c>
      <c r="D155" t="str">
        <f>IFERROR(__xludf.DUMMYFUNCTION("""COMPUTED_VALUE"""),"iPexpert's CCNA DCICN Data Center Course")</f>
        <v>iPexpert's CCNA DCICN Data Center Course</v>
      </c>
      <c r="E155" s="142" t="str">
        <f>IFERROR(__xludf.DUMMYFUNCTION("""COMPUTED_VALUE"""),"iPexpert Inc")</f>
        <v>iPexpert Inc</v>
      </c>
      <c r="F155" t="str">
        <f>IFERROR(__xludf.DUMMYFUNCTION("""COMPUTED_VALUE"""),"Below Quality Standards- Outdated")</f>
        <v>Below Quality Standards- Outdated</v>
      </c>
      <c r="G155" s="142" t="str">
        <f>IFERROR(__xludf.DUMMYFUNCTION("""COMPUTED_VALUE"""),"IT Operations")</f>
        <v>IT Operations</v>
      </c>
      <c r="H155" s="140" t="str">
        <f>IFERROR(__xludf.DUMMYFUNCTION("""COMPUTED_VALUE"""),"IT Certifications")</f>
        <v>IT Certifications</v>
      </c>
      <c r="I155">
        <f>IFERROR(__xludf.DUMMYFUNCTION("""COMPUTED_VALUE"""),751094.0)</f>
        <v>751094</v>
      </c>
      <c r="J155" s="140" t="str">
        <f>IFERROR(__xludf.DUMMYFUNCTION("""COMPUTED_VALUE"""),"The Complete Networking Fundamentals Course. Your CCNA start")</f>
        <v>The Complete Networking Fundamentals Course. Your CCNA start</v>
      </c>
      <c r="L155" s="140" t="str">
        <f>IFERROR(__xludf.DUMMYFUNCTION("""COMPUTED_VALUE"""),"")</f>
        <v/>
      </c>
    </row>
    <row r="156">
      <c r="A156" s="141">
        <f>IFERROR(__xludf.DUMMYFUNCTION("""COMPUTED_VALUE"""),43738.0)</f>
        <v>43738</v>
      </c>
      <c r="B156" s="140">
        <f>IFERROR(__xludf.DUMMYFUNCTION("""COMPUTED_VALUE"""),814168.0)</f>
        <v>814168</v>
      </c>
      <c r="C156" s="140" t="str">
        <f>IFERROR(__xludf.DUMMYFUNCTION("""COMPUTED_VALUE"""),"EN")</f>
        <v>EN</v>
      </c>
      <c r="D156" t="str">
        <f>IFERROR(__xludf.DUMMYFUNCTION("""COMPUTED_VALUE"""),"Acumen Presents: Krista Tippett on the Art of Conversation")</f>
        <v>Acumen Presents: Krista Tippett on the Art of Conversation</v>
      </c>
      <c r="E156" s="142" t="str">
        <f>IFERROR(__xludf.DUMMYFUNCTION("""COMPUTED_VALUE"""),"Acumen Courses")</f>
        <v>Acumen Courses</v>
      </c>
      <c r="F156" t="str">
        <f>IFERROR(__xludf.DUMMYFUNCTION("""COMPUTED_VALUE"""),"Instructor Request- Opted Out")</f>
        <v>Instructor Request- Opted Out</v>
      </c>
      <c r="G156" s="142" t="str">
        <f>IFERROR(__xludf.DUMMYFUNCTION("""COMPUTED_VALUE"""),"Personal Development")</f>
        <v>Personal Development</v>
      </c>
      <c r="H156" s="140" t="str">
        <f>IFERROR(__xludf.DUMMYFUNCTION("""COMPUTED_VALUE"""),"Personal Growth")</f>
        <v>Personal Growth</v>
      </c>
      <c r="I156">
        <f>IFERROR(__xludf.DUMMYFUNCTION("""COMPUTED_VALUE"""),1563628.0)</f>
        <v>1563628</v>
      </c>
      <c r="J156" s="140" t="str">
        <f>IFERROR(__xludf.DUMMYFUNCTION("""COMPUTED_VALUE"""),"Listening Skills - The Ultimate Workplace Soft Skills")</f>
        <v>Listening Skills - The Ultimate Workplace Soft Skills</v>
      </c>
      <c r="K156">
        <f>IFERROR(__xludf.DUMMYFUNCTION("""COMPUTED_VALUE"""),1299614.0)</f>
        <v>1299614</v>
      </c>
      <c r="L156" s="140" t="str">
        <f>IFERROR(__xludf.DUMMYFUNCTION("""COMPUTED_VALUE"""),"Active Listening Masterclass")</f>
        <v>Active Listening Masterclass</v>
      </c>
    </row>
    <row r="157">
      <c r="A157" s="141">
        <f>IFERROR(__xludf.DUMMYFUNCTION("""COMPUTED_VALUE"""),43738.0)</f>
        <v>43738</v>
      </c>
      <c r="B157" s="140">
        <f>IFERROR(__xludf.DUMMYFUNCTION("""COMPUTED_VALUE"""),1347836.0)</f>
        <v>1347836</v>
      </c>
      <c r="C157" s="140" t="str">
        <f>IFERROR(__xludf.DUMMYFUNCTION("""COMPUTED_VALUE"""),"EN")</f>
        <v>EN</v>
      </c>
      <c r="D157" t="str">
        <f>IFERROR(__xludf.DUMMYFUNCTION("""COMPUTED_VALUE"""),"Acumen Presents: Daniel Pink on the Art of Selling")</f>
        <v>Acumen Presents: Daniel Pink on the Art of Selling</v>
      </c>
      <c r="E157" s="142" t="str">
        <f>IFERROR(__xludf.DUMMYFUNCTION("""COMPUTED_VALUE"""),"Acumen Courses")</f>
        <v>Acumen Courses</v>
      </c>
      <c r="F157" t="str">
        <f>IFERROR(__xludf.DUMMYFUNCTION("""COMPUTED_VALUE"""),"Instructor Request- Opted Out")</f>
        <v>Instructor Request- Opted Out</v>
      </c>
      <c r="G157" s="142" t="str">
        <f>IFERROR(__xludf.DUMMYFUNCTION("""COMPUTED_VALUE"""),"Sales")</f>
        <v>Sales</v>
      </c>
      <c r="H157" s="140" t="str">
        <f>IFERROR(__xludf.DUMMYFUNCTION("""COMPUTED_VALUE"""),"Sales Skills &amp; Tools")</f>
        <v>Sales Skills &amp; Tools</v>
      </c>
      <c r="I157">
        <f>IFERROR(__xludf.DUMMYFUNCTION("""COMPUTED_VALUE"""),619692.0)</f>
        <v>619692</v>
      </c>
      <c r="J157" s="140" t="str">
        <f>IFERROR(__xludf.DUMMYFUNCTION("""COMPUTED_VALUE"""),"Learn to Sell Anything by Grant Cardone")</f>
        <v>Learn to Sell Anything by Grant Cardone</v>
      </c>
      <c r="L157" s="140" t="str">
        <f>IFERROR(__xludf.DUMMYFUNCTION("""COMPUTED_VALUE"""),"")</f>
        <v/>
      </c>
    </row>
    <row r="158">
      <c r="A158" s="141">
        <f>IFERROR(__xludf.DUMMYFUNCTION("""COMPUTED_VALUE"""),43738.0)</f>
        <v>43738</v>
      </c>
      <c r="B158" s="140">
        <f>IFERROR(__xludf.DUMMYFUNCTION("""COMPUTED_VALUE"""),1598404.0)</f>
        <v>1598404</v>
      </c>
      <c r="C158" s="140" t="str">
        <f>IFERROR(__xludf.DUMMYFUNCTION("""COMPUTED_VALUE"""),"EN")</f>
        <v>EN</v>
      </c>
      <c r="D158" t="str">
        <f>IFERROR(__xludf.DUMMYFUNCTION("""COMPUTED_VALUE"""),"Acumen Presents: Mihir Desai on Demystifying Finance")</f>
        <v>Acumen Presents: Mihir Desai on Demystifying Finance</v>
      </c>
      <c r="E158" s="142" t="str">
        <f>IFERROR(__xludf.DUMMYFUNCTION("""COMPUTED_VALUE"""),"Acumen Courses")</f>
        <v>Acumen Courses</v>
      </c>
      <c r="F158" t="str">
        <f>IFERROR(__xludf.DUMMYFUNCTION("""COMPUTED_VALUE"""),"Instructor Request- Opted Out")</f>
        <v>Instructor Request- Opted Out</v>
      </c>
      <c r="G158" s="142" t="str">
        <f>IFERROR(__xludf.DUMMYFUNCTION("""COMPUTED_VALUE"""),"Finance &amp; Accounting")</f>
        <v>Finance &amp; Accounting</v>
      </c>
      <c r="H158" s="140" t="str">
        <f>IFERROR(__xludf.DUMMYFUNCTION("""COMPUTED_VALUE"""),"Financial Modeling &amp; Analysis")</f>
        <v>Financial Modeling &amp; Analysis</v>
      </c>
      <c r="I158">
        <f>IFERROR(__xludf.DUMMYFUNCTION("""COMPUTED_VALUE"""),595258.0)</f>
        <v>595258</v>
      </c>
      <c r="J158" s="140" t="str">
        <f>IFERROR(__xludf.DUMMYFUNCTION("""COMPUTED_VALUE"""),"Finance for Non-Finance: Learn Quick and Easy")</f>
        <v>Finance for Non-Finance: Learn Quick and Easy</v>
      </c>
      <c r="L158" s="140" t="str">
        <f>IFERROR(__xludf.DUMMYFUNCTION("""COMPUTED_VALUE"""),"")</f>
        <v/>
      </c>
    </row>
    <row r="159">
      <c r="A159" s="141">
        <f>IFERROR(__xludf.DUMMYFUNCTION("""COMPUTED_VALUE"""),43738.0)</f>
        <v>43738</v>
      </c>
      <c r="B159" s="140">
        <f>IFERROR(__xludf.DUMMYFUNCTION("""COMPUTED_VALUE"""),1670456.0)</f>
        <v>1670456</v>
      </c>
      <c r="C159" s="140" t="str">
        <f>IFERROR(__xludf.DUMMYFUNCTION("""COMPUTED_VALUE"""),"EN")</f>
        <v>EN</v>
      </c>
      <c r="D159" t="str">
        <f>IFERROR(__xludf.DUMMYFUNCTION("""COMPUTED_VALUE"""),"Acumen Presents: Sarah Robb O'Hagan on Competitive Advantage")</f>
        <v>Acumen Presents: Sarah Robb O'Hagan on Competitive Advantage</v>
      </c>
      <c r="E159" s="142" t="str">
        <f>IFERROR(__xludf.DUMMYFUNCTION("""COMPUTED_VALUE"""),"Acumen Courses")</f>
        <v>Acumen Courses</v>
      </c>
      <c r="F159" t="str">
        <f>IFERROR(__xludf.DUMMYFUNCTION("""COMPUTED_VALUE"""),"Instructor Request- Opted Out")</f>
        <v>Instructor Request- Opted Out</v>
      </c>
      <c r="G159" s="142" t="str">
        <f>IFERROR(__xludf.DUMMYFUNCTION("""COMPUTED_VALUE"""),"Personal Development")</f>
        <v>Personal Development</v>
      </c>
      <c r="H159" s="140" t="str">
        <f>IFERROR(__xludf.DUMMYFUNCTION("""COMPUTED_VALUE"""),"Personal Growth")</f>
        <v>Personal Growth</v>
      </c>
      <c r="I159">
        <f>IFERROR(__xludf.DUMMYFUNCTION("""COMPUTED_VALUE"""),1608640.0)</f>
        <v>1608640</v>
      </c>
      <c r="J159" s="140" t="str">
        <f>IFERROR(__xludf.DUMMYFUNCTION("""COMPUTED_VALUE"""),"The Ultimate Disruption Playbook with Charlene Li")</f>
        <v>The Ultimate Disruption Playbook with Charlene Li</v>
      </c>
      <c r="L159" s="140" t="str">
        <f>IFERROR(__xludf.DUMMYFUNCTION("""COMPUTED_VALUE"""),"")</f>
        <v/>
      </c>
    </row>
    <row r="160">
      <c r="A160" s="141">
        <f>IFERROR(__xludf.DUMMYFUNCTION("""COMPUTED_VALUE"""),43738.0)</f>
        <v>43738</v>
      </c>
      <c r="B160" s="140">
        <f>IFERROR(__xludf.DUMMYFUNCTION("""COMPUTED_VALUE"""),42640.0)</f>
        <v>42640</v>
      </c>
      <c r="C160" s="140" t="str">
        <f>IFERROR(__xludf.DUMMYFUNCTION("""COMPUTED_VALUE"""),"EN")</f>
        <v>EN</v>
      </c>
      <c r="D160" t="str">
        <f>IFERROR(__xludf.DUMMYFUNCTION("""COMPUTED_VALUE"""),"Technical Analysis - A practical approach for trade entry")</f>
        <v>Technical Analysis - A practical approach for trade entry</v>
      </c>
      <c r="E160" s="142" t="str">
        <f>IFERROR(__xludf.DUMMYFUNCTION("""COMPUTED_VALUE"""),"Hari Swaminathan")</f>
        <v>Hari Swaminathan</v>
      </c>
      <c r="F160" t="str">
        <f>IFERROR(__xludf.DUMMYFUNCTION("""COMPUTED_VALUE"""),"Below Quality Standards- 3 Flags")</f>
        <v>Below Quality Standards- 3 Flags</v>
      </c>
      <c r="G160" s="142" t="str">
        <f>IFERROR(__xludf.DUMMYFUNCTION("""COMPUTED_VALUE"""),"Finance &amp; Accounting")</f>
        <v>Finance &amp; Accounting</v>
      </c>
      <c r="H160" s="140" t="str">
        <f>IFERROR(__xludf.DUMMYFUNCTION("""COMPUTED_VALUE"""),"Investing &amp; Trading")</f>
        <v>Investing &amp; Trading</v>
      </c>
      <c r="I160">
        <f>IFERROR(__xludf.DUMMYFUNCTION("""COMPUTED_VALUE"""),1263966.0)</f>
        <v>1263966</v>
      </c>
      <c r="J160" s="140" t="str">
        <f>IFERROR(__xludf.DUMMYFUNCTION("""COMPUTED_VALUE"""),"Advanced Technical Analysis PART1!")</f>
        <v>Advanced Technical Analysis PART1!</v>
      </c>
      <c r="K160">
        <f>IFERROR(__xludf.DUMMYFUNCTION("""COMPUTED_VALUE"""),1355782.0)</f>
        <v>1355782</v>
      </c>
      <c r="L160" s="140" t="str">
        <f>IFERROR(__xludf.DUMMYFUNCTION("""COMPUTED_VALUE"""),"Advanced Technical Analysis PART 2")</f>
        <v>Advanced Technical Analysis PART 2</v>
      </c>
    </row>
    <row r="161">
      <c r="A161" s="141">
        <f>IFERROR(__xludf.DUMMYFUNCTION("""COMPUTED_VALUE"""),43738.0)</f>
        <v>43738</v>
      </c>
      <c r="B161" s="140">
        <f>IFERROR(__xludf.DUMMYFUNCTION("""COMPUTED_VALUE"""),1613366.0)</f>
        <v>1613366</v>
      </c>
      <c r="C161" s="140" t="str">
        <f>IFERROR(__xludf.DUMMYFUNCTION("""COMPUTED_VALUE"""),"EN")</f>
        <v>EN</v>
      </c>
      <c r="D161" t="str">
        <f>IFERROR(__xludf.DUMMYFUNCTION("""COMPUTED_VALUE"""),"How a Building is Designed and Built - Part 2 of 6")</f>
        <v>How a Building is Designed and Built - Part 2 of 6</v>
      </c>
      <c r="E161" s="142" t="str">
        <f>IFERROR(__xludf.DUMMYFUNCTION("""COMPUTED_VALUE"""),"Matthew Morris")</f>
        <v>Matthew Morris</v>
      </c>
      <c r="F161" t="str">
        <f>IFERROR(__xludf.DUMMYFUNCTION("""COMPUTED_VALUE"""),"Instructor Request- Opted Out")</f>
        <v>Instructor Request- Opted Out</v>
      </c>
      <c r="G161" s="142" t="str">
        <f>IFERROR(__xludf.DUMMYFUNCTION("""COMPUTED_VALUE"""),"Design")</f>
        <v>Design</v>
      </c>
      <c r="H161" s="140" t="str">
        <f>IFERROR(__xludf.DUMMYFUNCTION("""COMPUTED_VALUE"""),"Design Tools")</f>
        <v>Design Tools</v>
      </c>
      <c r="J161" s="140" t="str">
        <f>IFERROR(__xludf.DUMMYFUNCTION("""COMPUTED_VALUE"""),"")</f>
        <v/>
      </c>
      <c r="L161" s="140" t="str">
        <f>IFERROR(__xludf.DUMMYFUNCTION("""COMPUTED_VALUE"""),"")</f>
        <v/>
      </c>
    </row>
    <row r="162">
      <c r="A162" s="141">
        <f>IFERROR(__xludf.DUMMYFUNCTION("""COMPUTED_VALUE"""),43738.0)</f>
        <v>43738</v>
      </c>
      <c r="B162" s="140">
        <f>IFERROR(__xludf.DUMMYFUNCTION("""COMPUTED_VALUE"""),986612.0)</f>
        <v>986612</v>
      </c>
      <c r="C162" s="140" t="str">
        <f>IFERROR(__xludf.DUMMYFUNCTION("""COMPUTED_VALUE"""),"EN")</f>
        <v>EN</v>
      </c>
      <c r="D162" t="str">
        <f>IFERROR(__xludf.DUMMYFUNCTION("""COMPUTED_VALUE"""),"Create a vSphere 6.0 VCP Lab with VMware Workstation")</f>
        <v>Create a vSphere 6.0 VCP Lab with VMware Workstation</v>
      </c>
      <c r="E162" s="142" t="str">
        <f>IFERROR(__xludf.DUMMYFUNCTION("""COMPUTED_VALUE"""),"Rick Crisci")</f>
        <v>Rick Crisci</v>
      </c>
      <c r="F162" t="str">
        <f>IFERROR(__xludf.DUMMYFUNCTION("""COMPUTED_VALUE"""),"Instructor Request- Outdated")</f>
        <v>Instructor Request- Outdated</v>
      </c>
      <c r="G162" s="142" t="str">
        <f>IFERROR(__xludf.DUMMYFUNCTION("""COMPUTED_VALUE"""),"IT Operations")</f>
        <v>IT Operations</v>
      </c>
      <c r="H162" s="140" t="str">
        <f>IFERROR(__xludf.DUMMYFUNCTION("""COMPUTED_VALUE"""),"Operating Systems &amp; Servers")</f>
        <v>Operating Systems &amp; Servers</v>
      </c>
      <c r="I162">
        <f>IFERROR(__xludf.DUMMYFUNCTION("""COMPUTED_VALUE"""),1237876.0)</f>
        <v>1237876</v>
      </c>
      <c r="J162" s="140" t="str">
        <f>IFERROR(__xludf.DUMMYFUNCTION("""COMPUTED_VALUE"""),"Clear and Simple VMware vSphere 6.5 Foundations VCP - Part 1")</f>
        <v>Clear and Simple VMware vSphere 6.5 Foundations VCP - Part 1</v>
      </c>
      <c r="K162">
        <f>IFERROR(__xludf.DUMMYFUNCTION("""COMPUTED_VALUE"""),1305696.0)</f>
        <v>1305696</v>
      </c>
      <c r="L162" s="140" t="str">
        <f>IFERROR(__xludf.DUMMYFUNCTION("""COMPUTED_VALUE"""),"Clear and Simple VMware vSphere 6.5 VCP-DCV (VCP 2019)")</f>
        <v>Clear and Simple VMware vSphere 6.5 VCP-DCV (VCP 2019)</v>
      </c>
    </row>
    <row r="163">
      <c r="A163" s="141">
        <f>IFERROR(__xludf.DUMMYFUNCTION("""COMPUTED_VALUE"""),43738.0)</f>
        <v>43738</v>
      </c>
      <c r="B163" s="140">
        <f>IFERROR(__xludf.DUMMYFUNCTION("""COMPUTED_VALUE"""),908996.0)</f>
        <v>908996</v>
      </c>
      <c r="C163" s="140" t="str">
        <f>IFERROR(__xludf.DUMMYFUNCTION("""COMPUTED_VALUE"""),"EN")</f>
        <v>EN</v>
      </c>
      <c r="D163" t="str">
        <f>IFERROR(__xludf.DUMMYFUNCTION("""COMPUTED_VALUE"""),"[DEPRECIATED] Parse Server: From Front End to Full Stack")</f>
        <v>[DEPRECIATED] Parse Server: From Front End to Full Stack</v>
      </c>
      <c r="E163" s="142" t="str">
        <f>IFERROR(__xludf.DUMMYFUNCTION("""COMPUTED_VALUE"""),"Asim Hussain")</f>
        <v>Asim Hussain</v>
      </c>
      <c r="F163" t="str">
        <f>IFERROR(__xludf.DUMMYFUNCTION("""COMPUTED_VALUE"""),"Below Quality Standards- Outdated")</f>
        <v>Below Quality Standards- Outdated</v>
      </c>
      <c r="G163" s="142" t="str">
        <f>IFERROR(__xludf.DUMMYFUNCTION("""COMPUTED_VALUE"""),"Development")</f>
        <v>Development</v>
      </c>
      <c r="H163" s="140" t="str">
        <f>IFERROR(__xludf.DUMMYFUNCTION("""COMPUTED_VALUE"""),"Web Development")</f>
        <v>Web Development</v>
      </c>
      <c r="I163">
        <f>IFERROR(__xludf.DUMMYFUNCTION("""COMPUTED_VALUE"""),986894.0)</f>
        <v>986894</v>
      </c>
      <c r="J163" s="140" t="str">
        <f>IFERROR(__xludf.DUMMYFUNCTION("""COMPUTED_VALUE"""),"Getting Started with Ionic v2/v3 and Parse Server")</f>
        <v>Getting Started with Ionic v2/v3 and Parse Server</v>
      </c>
      <c r="L163" s="140" t="str">
        <f>IFERROR(__xludf.DUMMYFUNCTION("""COMPUTED_VALUE"""),"")</f>
        <v/>
      </c>
    </row>
    <row r="164">
      <c r="A164" s="141">
        <f>IFERROR(__xludf.DUMMYFUNCTION("""COMPUTED_VALUE"""),43738.0)</f>
        <v>43738</v>
      </c>
      <c r="B164" s="140">
        <f>IFERROR(__xludf.DUMMYFUNCTION("""COMPUTED_VALUE"""),1619188.0)</f>
        <v>1619188</v>
      </c>
      <c r="C164" s="140" t="str">
        <f>IFERROR(__xludf.DUMMYFUNCTION("""COMPUTED_VALUE"""),"EN")</f>
        <v>EN</v>
      </c>
      <c r="D164" t="str">
        <f>IFERROR(__xludf.DUMMYFUNCTION("""COMPUTED_VALUE"""),"How a Building is Designed and Built - Part 5 of 6")</f>
        <v>How a Building is Designed and Built - Part 5 of 6</v>
      </c>
      <c r="E164" s="142" t="str">
        <f>IFERROR(__xludf.DUMMYFUNCTION("""COMPUTED_VALUE"""),"Matthew Morris")</f>
        <v>Matthew Morris</v>
      </c>
      <c r="F164" t="str">
        <f>IFERROR(__xludf.DUMMYFUNCTION("""COMPUTED_VALUE"""),"Instructor Request- Opted Out")</f>
        <v>Instructor Request- Opted Out</v>
      </c>
      <c r="G164" s="142" t="str">
        <f>IFERROR(__xludf.DUMMYFUNCTION("""COMPUTED_VALUE"""),"Design")</f>
        <v>Design</v>
      </c>
      <c r="H164" s="140" t="str">
        <f>IFERROR(__xludf.DUMMYFUNCTION("""COMPUTED_VALUE"""),"Design Tools")</f>
        <v>Design Tools</v>
      </c>
      <c r="J164" s="140" t="str">
        <f>IFERROR(__xludf.DUMMYFUNCTION("""COMPUTED_VALUE"""),"")</f>
        <v/>
      </c>
      <c r="L164" s="140" t="str">
        <f>IFERROR(__xludf.DUMMYFUNCTION("""COMPUTED_VALUE"""),"")</f>
        <v/>
      </c>
    </row>
    <row r="165">
      <c r="A165" s="141">
        <f>IFERROR(__xludf.DUMMYFUNCTION("""COMPUTED_VALUE"""),43738.0)</f>
        <v>43738</v>
      </c>
      <c r="B165" s="140">
        <f>IFERROR(__xludf.DUMMYFUNCTION("""COMPUTED_VALUE"""),1619230.0)</f>
        <v>1619230</v>
      </c>
      <c r="C165" s="140" t="str">
        <f>IFERROR(__xludf.DUMMYFUNCTION("""COMPUTED_VALUE"""),"EN")</f>
        <v>EN</v>
      </c>
      <c r="D165" t="str">
        <f>IFERROR(__xludf.DUMMYFUNCTION("""COMPUTED_VALUE"""),"How a Building is Designed and Built - Part 6 of 6")</f>
        <v>How a Building is Designed and Built - Part 6 of 6</v>
      </c>
      <c r="E165" s="142" t="str">
        <f>IFERROR(__xludf.DUMMYFUNCTION("""COMPUTED_VALUE"""),"Matthew Morris")</f>
        <v>Matthew Morris</v>
      </c>
      <c r="F165" t="str">
        <f>IFERROR(__xludf.DUMMYFUNCTION("""COMPUTED_VALUE"""),"Instructor Request- Opted Out")</f>
        <v>Instructor Request- Opted Out</v>
      </c>
      <c r="G165" s="142" t="str">
        <f>IFERROR(__xludf.DUMMYFUNCTION("""COMPUTED_VALUE"""),"Design")</f>
        <v>Design</v>
      </c>
      <c r="H165" s="140" t="str">
        <f>IFERROR(__xludf.DUMMYFUNCTION("""COMPUTED_VALUE"""),"Design Tools")</f>
        <v>Design Tools</v>
      </c>
      <c r="J165" s="140" t="str">
        <f>IFERROR(__xludf.DUMMYFUNCTION("""COMPUTED_VALUE"""),"")</f>
        <v/>
      </c>
      <c r="L165" s="140" t="str">
        <f>IFERROR(__xludf.DUMMYFUNCTION("""COMPUTED_VALUE"""),"")</f>
        <v/>
      </c>
    </row>
    <row r="166">
      <c r="A166" s="141">
        <f>IFERROR(__xludf.DUMMYFUNCTION("""COMPUTED_VALUE"""),43738.0)</f>
        <v>43738</v>
      </c>
      <c r="B166" s="140">
        <f>IFERROR(__xludf.DUMMYFUNCTION("""COMPUTED_VALUE"""),1614344.0)</f>
        <v>1614344</v>
      </c>
      <c r="C166" s="140" t="str">
        <f>IFERROR(__xludf.DUMMYFUNCTION("""COMPUTED_VALUE"""),"EN")</f>
        <v>EN</v>
      </c>
      <c r="D166" t="str">
        <f>IFERROR(__xludf.DUMMYFUNCTION("""COMPUTED_VALUE"""),"How a Building is Designed and Built - Part 4 of 6")</f>
        <v>How a Building is Designed and Built - Part 4 of 6</v>
      </c>
      <c r="E166" s="142" t="str">
        <f>IFERROR(__xludf.DUMMYFUNCTION("""COMPUTED_VALUE"""),"Matthew Morris")</f>
        <v>Matthew Morris</v>
      </c>
      <c r="F166" t="str">
        <f>IFERROR(__xludf.DUMMYFUNCTION("""COMPUTED_VALUE"""),"Instructor Request- Opted Out")</f>
        <v>Instructor Request- Opted Out</v>
      </c>
      <c r="G166" s="142" t="str">
        <f>IFERROR(__xludf.DUMMYFUNCTION("""COMPUTED_VALUE"""),"Design")</f>
        <v>Design</v>
      </c>
      <c r="H166" s="140" t="str">
        <f>IFERROR(__xludf.DUMMYFUNCTION("""COMPUTED_VALUE"""),"Design Tools")</f>
        <v>Design Tools</v>
      </c>
      <c r="J166" s="140" t="str">
        <f>IFERROR(__xludf.DUMMYFUNCTION("""COMPUTED_VALUE"""),"")</f>
        <v/>
      </c>
      <c r="L166" s="140" t="str">
        <f>IFERROR(__xludf.DUMMYFUNCTION("""COMPUTED_VALUE"""),"")</f>
        <v/>
      </c>
    </row>
    <row r="167">
      <c r="A167" s="141">
        <f>IFERROR(__xludf.DUMMYFUNCTION("""COMPUTED_VALUE"""),43738.0)</f>
        <v>43738</v>
      </c>
      <c r="B167" s="140">
        <f>IFERROR(__xludf.DUMMYFUNCTION("""COMPUTED_VALUE"""),1614016.0)</f>
        <v>1614016</v>
      </c>
      <c r="C167" s="140" t="str">
        <f>IFERROR(__xludf.DUMMYFUNCTION("""COMPUTED_VALUE"""),"EN")</f>
        <v>EN</v>
      </c>
      <c r="D167" t="str">
        <f>IFERROR(__xludf.DUMMYFUNCTION("""COMPUTED_VALUE"""),"How a Building is Designed and Built - Part 3 of 6")</f>
        <v>How a Building is Designed and Built - Part 3 of 6</v>
      </c>
      <c r="E167" s="142" t="str">
        <f>IFERROR(__xludf.DUMMYFUNCTION("""COMPUTED_VALUE"""),"Matthew Morris")</f>
        <v>Matthew Morris</v>
      </c>
      <c r="F167" t="str">
        <f>IFERROR(__xludf.DUMMYFUNCTION("""COMPUTED_VALUE"""),"Instructor Request- Opted Out")</f>
        <v>Instructor Request- Opted Out</v>
      </c>
      <c r="G167" s="142" t="str">
        <f>IFERROR(__xludf.DUMMYFUNCTION("""COMPUTED_VALUE"""),"Design")</f>
        <v>Design</v>
      </c>
      <c r="H167" s="140" t="str">
        <f>IFERROR(__xludf.DUMMYFUNCTION("""COMPUTED_VALUE"""),"Design Tools")</f>
        <v>Design Tools</v>
      </c>
      <c r="J167" s="140" t="str">
        <f>IFERROR(__xludf.DUMMYFUNCTION("""COMPUTED_VALUE"""),"")</f>
        <v/>
      </c>
      <c r="L167" s="140" t="str">
        <f>IFERROR(__xludf.DUMMYFUNCTION("""COMPUTED_VALUE"""),"")</f>
        <v/>
      </c>
    </row>
    <row r="168">
      <c r="A168" s="141">
        <f>IFERROR(__xludf.DUMMYFUNCTION("""COMPUTED_VALUE"""),43738.0)</f>
        <v>43738</v>
      </c>
      <c r="B168" s="140">
        <f>IFERROR(__xludf.DUMMYFUNCTION("""COMPUTED_VALUE"""),927326.0)</f>
        <v>927326</v>
      </c>
      <c r="C168" s="140" t="str">
        <f>IFERROR(__xludf.DUMMYFUNCTION("""COMPUTED_VALUE"""),"EN")</f>
        <v>EN</v>
      </c>
      <c r="D168" t="str">
        <f>IFERROR(__xludf.DUMMYFUNCTION("""COMPUTED_VALUE"""),"New Leader Crash Course Part 2")</f>
        <v>New Leader Crash Course Part 2</v>
      </c>
      <c r="E168" s="142" t="str">
        <f>IFERROR(__xludf.DUMMYFUNCTION("""COMPUTED_VALUE"""),"Eleventure Team")</f>
        <v>Eleventure Team</v>
      </c>
      <c r="F168" t="str">
        <f>IFERROR(__xludf.DUMMYFUNCTION("""COMPUTED_VALUE"""),"Instructor Request- Reviews")</f>
        <v>Instructor Request- Reviews</v>
      </c>
      <c r="G168" s="142" t="str">
        <f>IFERROR(__xludf.DUMMYFUNCTION("""COMPUTED_VALUE"""),"Leadership &amp; Management")</f>
        <v>Leadership &amp; Management</v>
      </c>
      <c r="H168" s="140" t="str">
        <f>IFERROR(__xludf.DUMMYFUNCTION("""COMPUTED_VALUE"""),"Leadership")</f>
        <v>Leadership</v>
      </c>
      <c r="I168">
        <f>IFERROR(__xludf.DUMMYFUNCTION("""COMPUTED_VALUE"""),613808.0)</f>
        <v>613808</v>
      </c>
      <c r="J168" s="140" t="str">
        <f>IFERROR(__xludf.DUMMYFUNCTION("""COMPUTED_VALUE"""),"Leadership: Practical Leadership Skills")</f>
        <v>Leadership: Practical Leadership Skills</v>
      </c>
      <c r="K168">
        <f>IFERROR(__xludf.DUMMYFUNCTION("""COMPUTED_VALUE"""),1362218.0)</f>
        <v>1362218</v>
      </c>
      <c r="L168" s="140" t="str">
        <f>IFERROR(__xludf.DUMMYFUNCTION("""COMPUTED_VALUE"""),"Leadership: How to Influence, Inspire and Impact as a Leader")</f>
        <v>Leadership: How to Influence, Inspire and Impact as a Leader</v>
      </c>
    </row>
    <row r="169">
      <c r="A169" s="141">
        <f>IFERROR(__xludf.DUMMYFUNCTION("""COMPUTED_VALUE"""),43738.0)</f>
        <v>43738</v>
      </c>
      <c r="B169" s="140">
        <f>IFERROR(__xludf.DUMMYFUNCTION("""COMPUTED_VALUE"""),928250.0)</f>
        <v>928250</v>
      </c>
      <c r="C169" s="140" t="str">
        <f>IFERROR(__xludf.DUMMYFUNCTION("""COMPUTED_VALUE"""),"EN")</f>
        <v>EN</v>
      </c>
      <c r="D169" t="str">
        <f>IFERROR(__xludf.DUMMYFUNCTION("""COMPUTED_VALUE"""),"New Leader Crash Course Part 3")</f>
        <v>New Leader Crash Course Part 3</v>
      </c>
      <c r="E169" s="142" t="str">
        <f>IFERROR(__xludf.DUMMYFUNCTION("""COMPUTED_VALUE"""),"Eleventure Team")</f>
        <v>Eleventure Team</v>
      </c>
      <c r="F169" t="str">
        <f>IFERROR(__xludf.DUMMYFUNCTION("""COMPUTED_VALUE"""),"Instructor Request- Reviews")</f>
        <v>Instructor Request- Reviews</v>
      </c>
      <c r="G169" s="142" t="str">
        <f>IFERROR(__xludf.DUMMYFUNCTION("""COMPUTED_VALUE"""),"Leadership &amp; Management")</f>
        <v>Leadership &amp; Management</v>
      </c>
      <c r="H169" s="140" t="str">
        <f>IFERROR(__xludf.DUMMYFUNCTION("""COMPUTED_VALUE"""),"Leadership")</f>
        <v>Leadership</v>
      </c>
      <c r="I169">
        <f>IFERROR(__xludf.DUMMYFUNCTION("""COMPUTED_VALUE"""),613808.0)</f>
        <v>613808</v>
      </c>
      <c r="J169" s="140" t="str">
        <f>IFERROR(__xludf.DUMMYFUNCTION("""COMPUTED_VALUE"""),"Leadership: Practical Leadership Skills")</f>
        <v>Leadership: Practical Leadership Skills</v>
      </c>
      <c r="K169">
        <f>IFERROR(__xludf.DUMMYFUNCTION("""COMPUTED_VALUE"""),1362218.0)</f>
        <v>1362218</v>
      </c>
      <c r="L169" s="140" t="str">
        <f>IFERROR(__xludf.DUMMYFUNCTION("""COMPUTED_VALUE"""),"Leadership: How to Influence, Inspire and Impact as a Leader")</f>
        <v>Leadership: How to Influence, Inspire and Impact as a Leader</v>
      </c>
    </row>
    <row r="170">
      <c r="A170" s="141">
        <f>IFERROR(__xludf.DUMMYFUNCTION("""COMPUTED_VALUE"""),43738.0)</f>
        <v>43738</v>
      </c>
      <c r="B170" s="140">
        <f>IFERROR(__xludf.DUMMYFUNCTION("""COMPUTED_VALUE"""),770678.0)</f>
        <v>770678</v>
      </c>
      <c r="C170" s="140" t="str">
        <f>IFERROR(__xludf.DUMMYFUNCTION("""COMPUTED_VALUE"""),"EN")</f>
        <v>EN</v>
      </c>
      <c r="D170" t="str">
        <f>IFERROR(__xludf.DUMMYFUNCTION("""COMPUTED_VALUE"""),"Acumen Presents: Al Pittampalli on Open-Mindedness")</f>
        <v>Acumen Presents: Al Pittampalli on Open-Mindedness</v>
      </c>
      <c r="E170" s="142" t="str">
        <f>IFERROR(__xludf.DUMMYFUNCTION("""COMPUTED_VALUE"""),"Acumen Courses")</f>
        <v>Acumen Courses</v>
      </c>
      <c r="F170" t="str">
        <f>IFERROR(__xludf.DUMMYFUNCTION("""COMPUTED_VALUE"""),"Instructor Request- Opted Out")</f>
        <v>Instructor Request- Opted Out</v>
      </c>
      <c r="G170" s="142" t="str">
        <f>IFERROR(__xludf.DUMMYFUNCTION("""COMPUTED_VALUE"""),"Leadership &amp; Management")</f>
        <v>Leadership &amp; Management</v>
      </c>
      <c r="H170" s="140" t="str">
        <f>IFERROR(__xludf.DUMMYFUNCTION("""COMPUTED_VALUE"""),"Leadership")</f>
        <v>Leadership</v>
      </c>
      <c r="I170">
        <f>IFERROR(__xludf.DUMMYFUNCTION("""COMPUTED_VALUE"""),836842.0)</f>
        <v>836842</v>
      </c>
      <c r="J170" s="140" t="str">
        <f>IFERROR(__xludf.DUMMYFUNCTION("""COMPUTED_VALUE"""),"Neuroplasticity: How To Rewire Your Brain")</f>
        <v>Neuroplasticity: How To Rewire Your Brain</v>
      </c>
      <c r="K170">
        <f>IFERROR(__xludf.DUMMYFUNCTION("""COMPUTED_VALUE"""),1007674.0)</f>
        <v>1007674</v>
      </c>
      <c r="L170" s="140" t="str">
        <f>IFERROR(__xludf.DUMMYFUNCTION("""COMPUTED_VALUE"""),"How to be Successful: Create A Growth Mindset For Success")</f>
        <v>How to be Successful: Create A Growth Mindset For Success</v>
      </c>
    </row>
    <row r="171">
      <c r="A171" s="141">
        <f>IFERROR(__xludf.DUMMYFUNCTION("""COMPUTED_VALUE"""),43738.0)</f>
        <v>43738</v>
      </c>
      <c r="B171" s="140">
        <f>IFERROR(__xludf.DUMMYFUNCTION("""COMPUTED_VALUE"""),1254568.0)</f>
        <v>1254568</v>
      </c>
      <c r="C171" s="140" t="str">
        <f>IFERROR(__xludf.DUMMYFUNCTION("""COMPUTED_VALUE"""),"EN")</f>
        <v>EN</v>
      </c>
      <c r="D171" t="str">
        <f>IFERROR(__xludf.DUMMYFUNCTION("""COMPUTED_VALUE"""),"Acumen Presents: Scott Sonenshein on Resourcefulness")</f>
        <v>Acumen Presents: Scott Sonenshein on Resourcefulness</v>
      </c>
      <c r="E171" s="142" t="str">
        <f>IFERROR(__xludf.DUMMYFUNCTION("""COMPUTED_VALUE"""),"Acumen Courses")</f>
        <v>Acumen Courses</v>
      </c>
      <c r="F171" t="str">
        <f>IFERROR(__xludf.DUMMYFUNCTION("""COMPUTED_VALUE"""),"Instructor Request- Opted Out")</f>
        <v>Instructor Request- Opted Out</v>
      </c>
      <c r="G171" s="142" t="str">
        <f>IFERROR(__xludf.DUMMYFUNCTION("""COMPUTED_VALUE"""),"Personal Development")</f>
        <v>Personal Development</v>
      </c>
      <c r="H171" s="140" t="str">
        <f>IFERROR(__xludf.DUMMYFUNCTION("""COMPUTED_VALUE"""),"Personal Growth")</f>
        <v>Personal Growth</v>
      </c>
      <c r="I171">
        <f>IFERROR(__xludf.DUMMYFUNCTION("""COMPUTED_VALUE"""),1007674.0)</f>
        <v>1007674</v>
      </c>
      <c r="J171" s="140" t="str">
        <f>IFERROR(__xludf.DUMMYFUNCTION("""COMPUTED_VALUE"""),"How to be Successful: Create A Growth Mindset For Success")</f>
        <v>How to be Successful: Create A Growth Mindset For Success</v>
      </c>
      <c r="L171" s="140" t="str">
        <f>IFERROR(__xludf.DUMMYFUNCTION("""COMPUTED_VALUE"""),"")</f>
        <v/>
      </c>
    </row>
    <row r="172">
      <c r="A172" s="141">
        <f>IFERROR(__xludf.DUMMYFUNCTION("""COMPUTED_VALUE"""),43738.0)</f>
        <v>43738</v>
      </c>
      <c r="B172" s="140">
        <f>IFERROR(__xludf.DUMMYFUNCTION("""COMPUTED_VALUE"""),1460118.0)</f>
        <v>1460118</v>
      </c>
      <c r="C172" s="140" t="str">
        <f>IFERROR(__xludf.DUMMYFUNCTION("""COMPUTED_VALUE"""),"EN")</f>
        <v>EN</v>
      </c>
      <c r="D172" t="str">
        <f>IFERROR(__xludf.DUMMYFUNCTION("""COMPUTED_VALUE"""),"Acumen Presents: Jonathan Greenblatt on Fighting Hate &amp; Bias")</f>
        <v>Acumen Presents: Jonathan Greenblatt on Fighting Hate &amp; Bias</v>
      </c>
      <c r="E172" s="142" t="str">
        <f>IFERROR(__xludf.DUMMYFUNCTION("""COMPUTED_VALUE"""),"Acumen Courses")</f>
        <v>Acumen Courses</v>
      </c>
      <c r="F172" t="str">
        <f>IFERROR(__xludf.DUMMYFUNCTION("""COMPUTED_VALUE"""),"Instructor Request- Opted Out")</f>
        <v>Instructor Request- Opted Out</v>
      </c>
      <c r="G172" s="142" t="str">
        <f>IFERROR(__xludf.DUMMYFUNCTION("""COMPUTED_VALUE"""),"Human Resources")</f>
        <v>Human Resources</v>
      </c>
      <c r="H172" s="140" t="str">
        <f>IFERROR(__xludf.DUMMYFUNCTION("""COMPUTED_VALUE"""),"Compliance")</f>
        <v>Compliance</v>
      </c>
      <c r="I172">
        <f>IFERROR(__xludf.DUMMYFUNCTION("""COMPUTED_VALUE"""),1210442.0)</f>
        <v>1210442</v>
      </c>
      <c r="J172" s="140" t="str">
        <f>IFERROR(__xludf.DUMMYFUNCTION("""COMPUTED_VALUE"""),"Psychology of Diversity and Unconscious Bias")</f>
        <v>Psychology of Diversity and Unconscious Bias</v>
      </c>
      <c r="K172">
        <f>IFERROR(__xludf.DUMMYFUNCTION("""COMPUTED_VALUE"""),1355906.0)</f>
        <v>1355906</v>
      </c>
      <c r="L172" s="140" t="str">
        <f>IFERROR(__xludf.DUMMYFUNCTION("""COMPUTED_VALUE"""),"")</f>
        <v/>
      </c>
    </row>
    <row r="173">
      <c r="A173" s="141">
        <f>IFERROR(__xludf.DUMMYFUNCTION("""COMPUTED_VALUE"""),43738.0)</f>
        <v>43738</v>
      </c>
      <c r="B173" s="140">
        <f>IFERROR(__xludf.DUMMYFUNCTION("""COMPUTED_VALUE"""),1796306.0)</f>
        <v>1796306</v>
      </c>
      <c r="C173" s="140" t="str">
        <f>IFERROR(__xludf.DUMMYFUNCTION("""COMPUTED_VALUE"""),"EN")</f>
        <v>EN</v>
      </c>
      <c r="D173" t="str">
        <f>IFERROR(__xludf.DUMMYFUNCTION("""COMPUTED_VALUE"""),"Debbie Millman on Branding for Social Change")</f>
        <v>Debbie Millman on Branding for Social Change</v>
      </c>
      <c r="E173" s="142" t="str">
        <f>IFERROR(__xludf.DUMMYFUNCTION("""COMPUTED_VALUE"""),"Acumen Courses")</f>
        <v>Acumen Courses</v>
      </c>
      <c r="F173" t="str">
        <f>IFERROR(__xludf.DUMMYFUNCTION("""COMPUTED_VALUE"""),"Instructor Request- Opted Out")</f>
        <v>Instructor Request- Opted Out</v>
      </c>
      <c r="G173" s="142" t="str">
        <f>IFERROR(__xludf.DUMMYFUNCTION("""COMPUTED_VALUE"""),"Marketing")</f>
        <v>Marketing</v>
      </c>
      <c r="H173" s="140" t="str">
        <f>IFERROR(__xludf.DUMMYFUNCTION("""COMPUTED_VALUE"""),"Marketing Strategy")</f>
        <v>Marketing Strategy</v>
      </c>
      <c r="I173">
        <f>IFERROR(__xludf.DUMMYFUNCTION("""COMPUTED_VALUE"""),2037952.0)</f>
        <v>2037952</v>
      </c>
      <c r="J173" s="140" t="str">
        <f>IFERROR(__xludf.DUMMYFUNCTION("""COMPUTED_VALUE"""),"Business Branding With Personality: Build An Authentic Brand")</f>
        <v>Business Branding With Personality: Build An Authentic Brand</v>
      </c>
      <c r="L173" s="140" t="str">
        <f>IFERROR(__xludf.DUMMYFUNCTION("""COMPUTED_VALUE"""),"")</f>
        <v/>
      </c>
    </row>
    <row r="174">
      <c r="A174" s="141">
        <f>IFERROR(__xludf.DUMMYFUNCTION("""COMPUTED_VALUE"""),43738.0)</f>
        <v>43738</v>
      </c>
      <c r="B174" s="140">
        <f>IFERROR(__xludf.DUMMYFUNCTION("""COMPUTED_VALUE"""),1966616.0)</f>
        <v>1966616</v>
      </c>
      <c r="C174" s="140" t="str">
        <f>IFERROR(__xludf.DUMMYFUNCTION("""COMPUTED_VALUE"""),"EN")</f>
        <v>EN</v>
      </c>
      <c r="D174" t="str">
        <f>IFERROR(__xludf.DUMMYFUNCTION("""COMPUTED_VALUE"""),"End-to-end Machine Learning: Polynomial Regression")</f>
        <v>End-to-end Machine Learning: Polynomial Regression</v>
      </c>
      <c r="E174" s="142" t="str">
        <f>IFERROR(__xludf.DUMMYFUNCTION("""COMPUTED_VALUE"""),"Brandon Rohrer")</f>
        <v>Brandon Rohrer</v>
      </c>
      <c r="F174" t="str">
        <f>IFERROR(__xludf.DUMMYFUNCTION("""COMPUTED_VALUE"""),"Instructor Request- Opted Out")</f>
        <v>Instructor Request- Opted Out</v>
      </c>
      <c r="G174" s="142" t="str">
        <f>IFERROR(__xludf.DUMMYFUNCTION("""COMPUTED_VALUE"""),"Data Science")</f>
        <v>Data Science</v>
      </c>
      <c r="H174" s="140" t="str">
        <f>IFERROR(__xludf.DUMMYFUNCTION("""COMPUTED_VALUE"""),"Analytics")</f>
        <v>Analytics</v>
      </c>
      <c r="J174" s="140" t="str">
        <f>IFERROR(__xludf.DUMMYFUNCTION("""COMPUTED_VALUE"""),"")</f>
        <v/>
      </c>
      <c r="L174" s="140" t="str">
        <f>IFERROR(__xludf.DUMMYFUNCTION("""COMPUTED_VALUE"""),"")</f>
        <v/>
      </c>
    </row>
    <row r="175">
      <c r="A175" s="141">
        <f>IFERROR(__xludf.DUMMYFUNCTION("""COMPUTED_VALUE"""),43738.0)</f>
        <v>43738</v>
      </c>
      <c r="B175" s="140">
        <f>IFERROR(__xludf.DUMMYFUNCTION("""COMPUTED_VALUE"""),1828766.0)</f>
        <v>1828766</v>
      </c>
      <c r="C175" s="140" t="str">
        <f>IFERROR(__xludf.DUMMYFUNCTION("""COMPUTED_VALUE"""),"EN")</f>
        <v>EN</v>
      </c>
      <c r="D175" t="str">
        <f>IFERROR(__xludf.DUMMYFUNCTION("""COMPUTED_VALUE"""),"End-to-end Machine Learning: Decision trees")</f>
        <v>End-to-end Machine Learning: Decision trees</v>
      </c>
      <c r="E175" s="142" t="str">
        <f>IFERROR(__xludf.DUMMYFUNCTION("""COMPUTED_VALUE"""),"Brandon Rohrer")</f>
        <v>Brandon Rohrer</v>
      </c>
      <c r="F175" t="str">
        <f>IFERROR(__xludf.DUMMYFUNCTION("""COMPUTED_VALUE"""),"Instructor Request- Opted Out")</f>
        <v>Instructor Request- Opted Out</v>
      </c>
      <c r="G175" s="142" t="str">
        <f>IFERROR(__xludf.DUMMYFUNCTION("""COMPUTED_VALUE"""),"Data Science")</f>
        <v>Data Science</v>
      </c>
      <c r="H175" s="140" t="str">
        <f>IFERROR(__xludf.DUMMYFUNCTION("""COMPUTED_VALUE"""),"Machine Learning")</f>
        <v>Machine Learning</v>
      </c>
      <c r="I175">
        <f>IFERROR(__xludf.DUMMYFUNCTION("""COMPUTED_VALUE"""),1644472.0)</f>
        <v>1644472</v>
      </c>
      <c r="J175" s="140" t="str">
        <f>IFERROR(__xludf.DUMMYFUNCTION("""COMPUTED_VALUE"""),"")</f>
        <v/>
      </c>
      <c r="L175" s="140" t="str">
        <f>IFERROR(__xludf.DUMMYFUNCTION("""COMPUTED_VALUE"""),"")</f>
        <v/>
      </c>
    </row>
    <row r="176">
      <c r="A176" s="141">
        <f>IFERROR(__xludf.DUMMYFUNCTION("""COMPUTED_VALUE"""),43738.0)</f>
        <v>43738</v>
      </c>
      <c r="B176" s="140">
        <f>IFERROR(__xludf.DUMMYFUNCTION("""COMPUTED_VALUE"""),406820.0)</f>
        <v>406820</v>
      </c>
      <c r="C176" s="140" t="str">
        <f>IFERROR(__xludf.DUMMYFUNCTION("""COMPUTED_VALUE"""),"EN")</f>
        <v>EN</v>
      </c>
      <c r="D176" t="str">
        <f>IFERROR(__xludf.DUMMYFUNCTION("""COMPUTED_VALUE"""),"RESTful API with Laravel (5.0 to 5.2)")</f>
        <v>RESTful API with Laravel (5.0 to 5.2)</v>
      </c>
      <c r="E176" s="142" t="str">
        <f>IFERROR(__xludf.DUMMYFUNCTION("""COMPUTED_VALUE"""),"JuanD MeGon")</f>
        <v>JuanD MeGon</v>
      </c>
      <c r="F176" t="str">
        <f>IFERROR(__xludf.DUMMYFUNCTION("""COMPUTED_VALUE"""),"Instructor Request- Course Opt Out")</f>
        <v>Instructor Request- Course Opt Out</v>
      </c>
      <c r="G176" s="142" t="str">
        <f>IFERROR(__xludf.DUMMYFUNCTION("""COMPUTED_VALUE"""),"Development")</f>
        <v>Development</v>
      </c>
      <c r="H176" s="140" t="str">
        <f>IFERROR(__xludf.DUMMYFUNCTION("""COMPUTED_VALUE"""),"Web Development")</f>
        <v>Web Development</v>
      </c>
      <c r="J176" s="140" t="str">
        <f>IFERROR(__xludf.DUMMYFUNCTION("""COMPUTED_VALUE"""),"")</f>
        <v/>
      </c>
      <c r="L176" s="140" t="str">
        <f>IFERROR(__xludf.DUMMYFUNCTION("""COMPUTED_VALUE"""),"")</f>
        <v/>
      </c>
    </row>
    <row r="177">
      <c r="A177" s="141">
        <f>IFERROR(__xludf.DUMMYFUNCTION("""COMPUTED_VALUE"""),43738.0)</f>
        <v>43738</v>
      </c>
      <c r="B177" s="140">
        <f>IFERROR(__xludf.DUMMYFUNCTION("""COMPUTED_VALUE"""),634634.0)</f>
        <v>634634</v>
      </c>
      <c r="C177" s="140" t="str">
        <f>IFERROR(__xludf.DUMMYFUNCTION("""COMPUTED_VALUE"""),"EN")</f>
        <v>EN</v>
      </c>
      <c r="D177" t="str">
        <f>IFERROR(__xludf.DUMMYFUNCTION("""COMPUTED_VALUE"""),"Personal Branding Blueprint")</f>
        <v>Personal Branding Blueprint</v>
      </c>
      <c r="E177" s="142" t="str">
        <f>IFERROR(__xludf.DUMMYFUNCTION("""COMPUTED_VALUE"""),"Dragos Stefanescu")</f>
        <v>Dragos Stefanescu</v>
      </c>
      <c r="F177" t="str">
        <f>IFERROR(__xludf.DUMMYFUNCTION("""COMPUTED_VALUE"""),"Below Quality Standards- 3 Flags")</f>
        <v>Below Quality Standards- 3 Flags</v>
      </c>
      <c r="G177" s="142" t="str">
        <f>IFERROR(__xludf.DUMMYFUNCTION("""COMPUTED_VALUE"""),"Marketing")</f>
        <v>Marketing</v>
      </c>
      <c r="H177" s="140" t="str">
        <f>IFERROR(__xludf.DUMMYFUNCTION("""COMPUTED_VALUE"""),"Marketing Strategy")</f>
        <v>Marketing Strategy</v>
      </c>
      <c r="I177">
        <f>IFERROR(__xludf.DUMMYFUNCTION("""COMPUTED_VALUE"""),563556.0)</f>
        <v>563556</v>
      </c>
      <c r="J177" s="140" t="str">
        <f>IFERROR(__xludf.DUMMYFUNCTION("""COMPUTED_VALUE"""),"Personal Branding: Strengthen Your Professional Reputation")</f>
        <v>Personal Branding: Strengthen Your Professional Reputation</v>
      </c>
      <c r="L177" s="140" t="str">
        <f>IFERROR(__xludf.DUMMYFUNCTION("""COMPUTED_VALUE"""),"")</f>
        <v/>
      </c>
    </row>
    <row r="178">
      <c r="A178" s="141">
        <f>IFERROR(__xludf.DUMMYFUNCTION("""COMPUTED_VALUE"""),43738.0)</f>
        <v>43738</v>
      </c>
      <c r="B178" s="140">
        <f>IFERROR(__xludf.DUMMYFUNCTION("""COMPUTED_VALUE"""),963600.0)</f>
        <v>963600</v>
      </c>
      <c r="C178" s="140" t="str">
        <f>IFERROR(__xludf.DUMMYFUNCTION("""COMPUTED_VALUE"""),"EN")</f>
        <v>EN</v>
      </c>
      <c r="D178" t="str">
        <f>IFERROR(__xludf.DUMMYFUNCTION("""COMPUTED_VALUE"""),"How To Write Better Headlines - For Content, Email &amp; Social")</f>
        <v>How To Write Better Headlines - For Content, Email &amp; Social</v>
      </c>
      <c r="E178" s="142" t="str">
        <f>IFERROR(__xludf.DUMMYFUNCTION("""COMPUTED_VALUE"""),"Nick Usborne")</f>
        <v>Nick Usborne</v>
      </c>
      <c r="F178" t="str">
        <f>IFERROR(__xludf.DUMMYFUNCTION("""COMPUTED_VALUE"""),"Below Quality Standards- 3 Flags")</f>
        <v>Below Quality Standards- 3 Flags</v>
      </c>
      <c r="G178" s="142" t="str">
        <f>IFERROR(__xludf.DUMMYFUNCTION("""COMPUTED_VALUE"""),"Marketing")</f>
        <v>Marketing</v>
      </c>
      <c r="H178" s="140" t="str">
        <f>IFERROR(__xludf.DUMMYFUNCTION("""COMPUTED_VALUE"""),"Content Marketing")</f>
        <v>Content Marketing</v>
      </c>
      <c r="I178">
        <f>IFERROR(__xludf.DUMMYFUNCTION("""COMPUTED_VALUE"""),196152.0)</f>
        <v>196152</v>
      </c>
      <c r="J178" s="140" t="str">
        <f>IFERROR(__xludf.DUMMYFUNCTION("""COMPUTED_VALUE"""),"Writing With Flair: How To Become An Exceptional Writer")</f>
        <v>Writing With Flair: How To Become An Exceptional Writer</v>
      </c>
      <c r="L178" s="140" t="str">
        <f>IFERROR(__xludf.DUMMYFUNCTION("""COMPUTED_VALUE"""),"")</f>
        <v/>
      </c>
    </row>
    <row r="179">
      <c r="A179" s="141">
        <f>IFERROR(__xludf.DUMMYFUNCTION("""COMPUTED_VALUE"""),43738.0)</f>
        <v>43738</v>
      </c>
      <c r="B179" s="140">
        <f>IFERROR(__xludf.DUMMYFUNCTION("""COMPUTED_VALUE"""),175802.0)</f>
        <v>175802</v>
      </c>
      <c r="C179" s="140" t="str">
        <f>IFERROR(__xludf.DUMMYFUNCTION("""COMPUTED_VALUE"""),"EN")</f>
        <v>EN</v>
      </c>
      <c r="D179" t="str">
        <f>IFERROR(__xludf.DUMMYFUNCTION("""COMPUTED_VALUE"""),"Getting Started with Google Drive")</f>
        <v>Getting Started with Google Drive</v>
      </c>
      <c r="E179" s="142" t="str">
        <f>IFERROR(__xludf.DUMMYFUNCTION("""COMPUTED_VALUE"""),"Chris Wilkey")</f>
        <v>Chris Wilkey</v>
      </c>
      <c r="F179" t="str">
        <f>IFERROR(__xludf.DUMMYFUNCTION("""COMPUTED_VALUE"""),"Below Quality Standards- 3 Flags")</f>
        <v>Below Quality Standards- 3 Flags</v>
      </c>
      <c r="G179" s="142" t="str">
        <f>IFERROR(__xludf.DUMMYFUNCTION("""COMPUTED_VALUE"""),"Office Productivity")</f>
        <v>Office Productivity</v>
      </c>
      <c r="H179" s="140" t="str">
        <f>IFERROR(__xludf.DUMMYFUNCTION("""COMPUTED_VALUE"""),"Collaboration")</f>
        <v>Collaboration</v>
      </c>
      <c r="I179">
        <f>IFERROR(__xludf.DUMMYFUNCTION("""COMPUTED_VALUE"""),827712.0)</f>
        <v>827712</v>
      </c>
      <c r="J179" s="140" t="str">
        <f>IFERROR(__xludf.DUMMYFUNCTION("""COMPUTED_VALUE"""),"Google Cloud Productivity - Drive and Google's Office Suite")</f>
        <v>Google Cloud Productivity - Drive and Google's Office Suite</v>
      </c>
      <c r="L179" s="140" t="str">
        <f>IFERROR(__xludf.DUMMYFUNCTION("""COMPUTED_VALUE"""),"")</f>
        <v/>
      </c>
    </row>
    <row r="180">
      <c r="A180" s="141">
        <f>IFERROR(__xludf.DUMMYFUNCTION("""COMPUTED_VALUE"""),43738.0)</f>
        <v>43738</v>
      </c>
      <c r="B180" s="140">
        <f>IFERROR(__xludf.DUMMYFUNCTION("""COMPUTED_VALUE"""),1040900.0)</f>
        <v>1040900</v>
      </c>
      <c r="C180" s="140" t="str">
        <f>IFERROR(__xludf.DUMMYFUNCTION("""COMPUTED_VALUE"""),"EN")</f>
        <v>EN</v>
      </c>
      <c r="D180" t="str">
        <f>IFERROR(__xludf.DUMMYFUNCTION("""COMPUTED_VALUE"""),"SystemVerilog Verification -5: Functional Coverage Coding")</f>
        <v>SystemVerilog Verification -5: Functional Coverage Coding</v>
      </c>
      <c r="E180" s="142" t="str">
        <f>IFERROR(__xludf.DUMMYFUNCTION("""COMPUTED_VALUE"""),"Ajith Jose")</f>
        <v>Ajith Jose</v>
      </c>
      <c r="F180" t="str">
        <f>IFERROR(__xludf.DUMMYFUNCTION("""COMPUTED_VALUE"""),"Below Quality Standards- 3 Flags")</f>
        <v>Below Quality Standards- 3 Flags</v>
      </c>
      <c r="G180" s="142" t="str">
        <f>IFERROR(__xludf.DUMMYFUNCTION("""COMPUTED_VALUE"""),"IT Operations")</f>
        <v>IT Operations</v>
      </c>
      <c r="H180" s="140" t="str">
        <f>IFERROR(__xludf.DUMMYFUNCTION("""COMPUTED_VALUE"""),"Hardware")</f>
        <v>Hardware</v>
      </c>
      <c r="I180">
        <f>IFERROR(__xludf.DUMMYFUNCTION("""COMPUTED_VALUE"""),186420.0)</f>
        <v>186420</v>
      </c>
      <c r="J180" s="140" t="str">
        <f>IFERROR(__xludf.DUMMYFUNCTION("""COMPUTED_VALUE"""),"Learn SystemVerilog Assertions and Coverage Coding in-depth")</f>
        <v>Learn SystemVerilog Assertions and Coverage Coding in-depth</v>
      </c>
      <c r="K180">
        <f>IFERROR(__xludf.DUMMYFUNCTION("""COMPUTED_VALUE"""),888660.0)</f>
        <v>888660</v>
      </c>
      <c r="L180" s="140" t="str">
        <f>IFERROR(__xludf.DUMMYFUNCTION("""COMPUTED_VALUE"""),"")</f>
        <v/>
      </c>
    </row>
    <row r="181">
      <c r="A181" s="141">
        <f>IFERROR(__xludf.DUMMYFUNCTION("""COMPUTED_VALUE"""),43738.0)</f>
        <v>43738</v>
      </c>
      <c r="B181" s="140">
        <f>IFERROR(__xludf.DUMMYFUNCTION("""COMPUTED_VALUE"""),389244.0)</f>
        <v>389244</v>
      </c>
      <c r="C181" s="140" t="str">
        <f>IFERROR(__xludf.DUMMYFUNCTION("""COMPUTED_VALUE"""),"EN")</f>
        <v>EN</v>
      </c>
      <c r="D181" t="str">
        <f>IFERROR(__xludf.DUMMYFUNCTION("""COMPUTED_VALUE"""),"Email Sales Prospecting – With The High Value Email")</f>
        <v>Email Sales Prospecting – With The High Value Email</v>
      </c>
      <c r="E181" s="142" t="str">
        <f>IFERROR(__xludf.DUMMYFUNCTION("""COMPUTED_VALUE"""),"Bob Marx")</f>
        <v>Bob Marx</v>
      </c>
      <c r="F181" t="str">
        <f>IFERROR(__xludf.DUMMYFUNCTION("""COMPUTED_VALUE"""),"Below Quality Standards- 3 Flags")</f>
        <v>Below Quality Standards- 3 Flags</v>
      </c>
      <c r="G181" s="142" t="str">
        <f>IFERROR(__xludf.DUMMYFUNCTION("""COMPUTED_VALUE"""),"Sales")</f>
        <v>Sales</v>
      </c>
      <c r="H181" s="140" t="str">
        <f>IFERROR(__xludf.DUMMYFUNCTION("""COMPUTED_VALUE"""),"Sales Skills &amp; Tools")</f>
        <v>Sales Skills &amp; Tools</v>
      </c>
      <c r="I181">
        <f>IFERROR(__xludf.DUMMYFUNCTION("""COMPUTED_VALUE"""),573994.0)</f>
        <v>573994</v>
      </c>
      <c r="J181" s="140" t="str">
        <f>IFERROR(__xludf.DUMMYFUNCTION("""COMPUTED_VALUE"""),"The Complete Mailchimp Email Marketing Course")</f>
        <v>The Complete Mailchimp Email Marketing Course</v>
      </c>
      <c r="K181">
        <f>IFERROR(__xludf.DUMMYFUNCTION("""COMPUTED_VALUE"""),1600628.0)</f>
        <v>1600628</v>
      </c>
      <c r="L181" s="140" t="str">
        <f>IFERROR(__xludf.DUMMYFUNCTION("""COMPUTED_VALUE"""),"Email Marketing with Mailchimp + Sales Funnels &amp; Copywriting")</f>
        <v>Email Marketing with Mailchimp + Sales Funnels &amp; Copywriting</v>
      </c>
    </row>
    <row r="182">
      <c r="A182" s="141">
        <f>IFERROR(__xludf.DUMMYFUNCTION("""COMPUTED_VALUE"""),43738.0)</f>
        <v>43738</v>
      </c>
      <c r="B182" s="140">
        <f>IFERROR(__xludf.DUMMYFUNCTION("""COMPUTED_VALUE"""),1362834.0)</f>
        <v>1362834</v>
      </c>
      <c r="C182" s="140" t="str">
        <f>IFERROR(__xludf.DUMMYFUNCTION("""COMPUTED_VALUE"""),"EN")</f>
        <v>EN</v>
      </c>
      <c r="D182" t="str">
        <f>IFERROR(__xludf.DUMMYFUNCTION("""COMPUTED_VALUE"""),"Competition Analysis course for new digital marketers")</f>
        <v>Competition Analysis course for new digital marketers</v>
      </c>
      <c r="E182" s="142" t="str">
        <f>IFERROR(__xludf.DUMMYFUNCTION("""COMPUTED_VALUE"""),"Ali Chaus")</f>
        <v>Ali Chaus</v>
      </c>
      <c r="F182" t="str">
        <f>IFERROR(__xludf.DUMMYFUNCTION("""COMPUTED_VALUE"""),"Below Quality Standards- 3 Flags")</f>
        <v>Below Quality Standards- 3 Flags</v>
      </c>
      <c r="G182" s="142" t="str">
        <f>IFERROR(__xludf.DUMMYFUNCTION("""COMPUTED_VALUE"""),"Marketing")</f>
        <v>Marketing</v>
      </c>
      <c r="H182" s="140" t="str">
        <f>IFERROR(__xludf.DUMMYFUNCTION("""COMPUTED_VALUE"""),"Digital Marketing")</f>
        <v>Digital Marketing</v>
      </c>
      <c r="J182" s="140" t="str">
        <f>IFERROR(__xludf.DUMMYFUNCTION("""COMPUTED_VALUE"""),"")</f>
        <v/>
      </c>
      <c r="L182" s="140" t="str">
        <f>IFERROR(__xludf.DUMMYFUNCTION("""COMPUTED_VALUE"""),"")</f>
        <v/>
      </c>
    </row>
    <row r="183">
      <c r="A183" s="141">
        <f>IFERROR(__xludf.DUMMYFUNCTION("""COMPUTED_VALUE"""),43738.0)</f>
        <v>43738</v>
      </c>
      <c r="B183" s="140">
        <f>IFERROR(__xludf.DUMMYFUNCTION("""COMPUTED_VALUE"""),399334.0)</f>
        <v>399334</v>
      </c>
      <c r="C183" s="140" t="str">
        <f>IFERROR(__xludf.DUMMYFUNCTION("""COMPUTED_VALUE"""),"EN")</f>
        <v>EN</v>
      </c>
      <c r="D183" t="str">
        <f>IFERROR(__xludf.DUMMYFUNCTION("""COMPUTED_VALUE"""),"How to be uncommonly productive using Evernote")</f>
        <v>How to be uncommonly productive using Evernote</v>
      </c>
      <c r="E183" s="142" t="str">
        <f>IFERROR(__xludf.DUMMYFUNCTION("""COMPUTED_VALUE"""),"Alin Vrancila")</f>
        <v>Alin Vrancila</v>
      </c>
      <c r="F183" t="str">
        <f>IFERROR(__xludf.DUMMYFUNCTION("""COMPUTED_VALUE"""),"Below Quality Standards- 3 Flags")</f>
        <v>Below Quality Standards- 3 Flags</v>
      </c>
      <c r="G183" s="142" t="str">
        <f>IFERROR(__xludf.DUMMYFUNCTION("""COMPUTED_VALUE"""),"Office Productivity")</f>
        <v>Office Productivity</v>
      </c>
      <c r="H183" s="140" t="str">
        <f>IFERROR(__xludf.DUMMYFUNCTION("""COMPUTED_VALUE"""),"Email &amp; Productivity")</f>
        <v>Email &amp; Productivity</v>
      </c>
      <c r="I183">
        <f>IFERROR(__xludf.DUMMYFUNCTION("""COMPUTED_VALUE"""),339900.0)</f>
        <v>339900</v>
      </c>
      <c r="J183" s="140" t="str">
        <f>IFERROR(__xludf.DUMMYFUNCTION("""COMPUTED_VALUE"""),"")</f>
        <v/>
      </c>
      <c r="L183" s="140" t="str">
        <f>IFERROR(__xludf.DUMMYFUNCTION("""COMPUTED_VALUE"""),"")</f>
        <v/>
      </c>
    </row>
    <row r="184">
      <c r="A184" s="141">
        <f>IFERROR(__xludf.DUMMYFUNCTION("""COMPUTED_VALUE"""),43738.0)</f>
        <v>43738</v>
      </c>
      <c r="B184" s="140">
        <f>IFERROR(__xludf.DUMMYFUNCTION("""COMPUTED_VALUE"""),362518.0)</f>
        <v>362518</v>
      </c>
      <c r="C184" s="140" t="str">
        <f>IFERROR(__xludf.DUMMYFUNCTION("""COMPUTED_VALUE"""),"EN")</f>
        <v>EN</v>
      </c>
      <c r="D184" t="str">
        <f>IFERROR(__xludf.DUMMYFUNCTION("""COMPUTED_VALUE"""),"Presentation Skills: How to Give a Virtual Keynote Speech")</f>
        <v>Presentation Skills: How to Give a Virtual Keynote Speech</v>
      </c>
      <c r="E184" s="142" t="str">
        <f>IFERROR(__xludf.DUMMYFUNCTION("""COMPUTED_VALUE"""),"TJ Walker")</f>
        <v>TJ Walker</v>
      </c>
      <c r="F184" t="str">
        <f>IFERROR(__xludf.DUMMYFUNCTION("""COMPUTED_VALUE"""),"Below Quality Standards- 3 Flags")</f>
        <v>Below Quality Standards- 3 Flags</v>
      </c>
      <c r="G184" s="142" t="str">
        <f>IFERROR(__xludf.DUMMYFUNCTION("""COMPUTED_VALUE"""),"Leadership &amp; Management")</f>
        <v>Leadership &amp; Management</v>
      </c>
      <c r="H184" s="140" t="str">
        <f>IFERROR(__xludf.DUMMYFUNCTION("""COMPUTED_VALUE"""),"Communication")</f>
        <v>Communication</v>
      </c>
      <c r="I184">
        <f>IFERROR(__xludf.DUMMYFUNCTION("""COMPUTED_VALUE"""),1576710.0)</f>
        <v>1576710</v>
      </c>
      <c r="J184" s="140" t="str">
        <f>IFERROR(__xludf.DUMMYFUNCTION("""COMPUTED_VALUE"""),"2021 Complete Public Speaking Masterclass For Every Occasion")</f>
        <v>2021 Complete Public Speaking Masterclass For Every Occasion</v>
      </c>
      <c r="K184">
        <f>IFERROR(__xludf.DUMMYFUNCTION("""COMPUTED_VALUE"""),1098006.0)</f>
        <v>1098006</v>
      </c>
      <c r="L184" s="140" t="str">
        <f>IFERROR(__xludf.DUMMYFUNCTION("""COMPUTED_VALUE"""),"The Complete Presentation and Public Speaking/Speech Course")</f>
        <v>The Complete Presentation and Public Speaking/Speech Course</v>
      </c>
    </row>
    <row r="185">
      <c r="A185" s="141">
        <f>IFERROR(__xludf.DUMMYFUNCTION("""COMPUTED_VALUE"""),43731.0)</f>
        <v>43731</v>
      </c>
      <c r="B185" s="140">
        <f>IFERROR(__xludf.DUMMYFUNCTION("""COMPUTED_VALUE"""),2292199.0)</f>
        <v>2292199</v>
      </c>
      <c r="C185" s="140" t="str">
        <f>IFERROR(__xludf.DUMMYFUNCTION("""COMPUTED_VALUE"""),"EN")</f>
        <v>EN</v>
      </c>
      <c r="D185" t="str">
        <f>IFERROR(__xludf.DUMMYFUNCTION("""COMPUTED_VALUE"""),"Blender 2.8 Game Character Creation")</f>
        <v>Blender 2.8 Game Character Creation</v>
      </c>
      <c r="E185" s="142" t="str">
        <f>IFERROR(__xludf.DUMMYFUNCTION("""COMPUTED_VALUE"""),"Darrin Lile")</f>
        <v>Darrin Lile</v>
      </c>
      <c r="F185" t="str">
        <f>IFERROR(__xludf.DUMMYFUNCTION("""COMPUTED_VALUE"""),"Instructor Request- Course Opt Out")</f>
        <v>Instructor Request- Course Opt Out</v>
      </c>
      <c r="G185" s="142" t="str">
        <f>IFERROR(__xludf.DUMMYFUNCTION("""COMPUTED_VALUE"""),"Design")</f>
        <v>Design</v>
      </c>
      <c r="H185" s="140" t="str">
        <f>IFERROR(__xludf.DUMMYFUNCTION("""COMPUTED_VALUE"""),"Game Design")</f>
        <v>Game Design</v>
      </c>
      <c r="J185" s="140" t="str">
        <f>IFERROR(__xludf.DUMMYFUNCTION("""COMPUTED_VALUE"""),"")</f>
        <v/>
      </c>
      <c r="L185" s="140" t="str">
        <f>IFERROR(__xludf.DUMMYFUNCTION("""COMPUTED_VALUE"""),"")</f>
        <v/>
      </c>
    </row>
    <row r="186">
      <c r="A186" s="141">
        <f>IFERROR(__xludf.DUMMYFUNCTION("""COMPUTED_VALUE"""),43724.0)</f>
        <v>43724</v>
      </c>
      <c r="B186" s="140">
        <f>IFERROR(__xludf.DUMMYFUNCTION("""COMPUTED_VALUE"""),1511582.0)</f>
        <v>1511582</v>
      </c>
      <c r="C186" s="140" t="str">
        <f>IFERROR(__xludf.DUMMYFUNCTION("""COMPUTED_VALUE"""),"EN")</f>
        <v>EN</v>
      </c>
      <c r="D186" t="str">
        <f>IFERROR(__xludf.DUMMYFUNCTION("""COMPUTED_VALUE"""),"Preparing to Certified OpenStack Administrator (COA) Exam")</f>
        <v>Preparing to Certified OpenStack Administrator (COA) Exam</v>
      </c>
      <c r="E186" t="str">
        <f>IFERROR(__xludf.DUMMYFUNCTION("""COMPUTED_VALUE"""),"Kris Celmer")</f>
        <v>Kris Celmer</v>
      </c>
      <c r="F186" t="str">
        <f>IFERROR(__xludf.DUMMYFUNCTION("""COMPUTED_VALUE"""),"Below Quality Standards- Outdated")</f>
        <v>Below Quality Standards- Outdated</v>
      </c>
      <c r="G186" s="142" t="str">
        <f>IFERROR(__xludf.DUMMYFUNCTION("""COMPUTED_VALUE"""),"IT Operations")</f>
        <v>IT Operations</v>
      </c>
      <c r="H186" s="142" t="str">
        <f>IFERROR(__xludf.DUMMYFUNCTION("""COMPUTED_VALUE"""),"IT Certifications")</f>
        <v>IT Certifications</v>
      </c>
      <c r="I186">
        <f>IFERROR(__xludf.DUMMYFUNCTION("""COMPUTED_VALUE"""),1076804.0)</f>
        <v>1076804</v>
      </c>
      <c r="J186" s="140" t="str">
        <f>IFERROR(__xludf.DUMMYFUNCTION("""COMPUTED_VALUE"""),"OpenStack Essentials")</f>
        <v>OpenStack Essentials</v>
      </c>
      <c r="L186" s="140" t="str">
        <f>IFERROR(__xludf.DUMMYFUNCTION("""COMPUTED_VALUE"""),"")</f>
        <v/>
      </c>
    </row>
    <row r="187">
      <c r="A187" s="143">
        <f>IFERROR(__xludf.DUMMYFUNCTION("""COMPUTED_VALUE"""),43721.0)</f>
        <v>43721</v>
      </c>
      <c r="B187" s="145">
        <f>IFERROR(__xludf.DUMMYFUNCTION("""COMPUTED_VALUE"""),2434682.0)</f>
        <v>2434682</v>
      </c>
      <c r="C187" s="140" t="str">
        <f>IFERROR(__xludf.DUMMYFUNCTION("""COMPUTED_VALUE"""),"EN")</f>
        <v>EN</v>
      </c>
      <c r="D187" t="str">
        <f>IFERROR(__xludf.DUMMYFUNCTION("""COMPUTED_VALUE"""),"The Complete SDLC Course for Beginners")</f>
        <v>The Complete SDLC Course for Beginners</v>
      </c>
      <c r="E187" t="str">
        <f>IFERROR(__xludf.DUMMYFUNCTION("""COMPUTED_VALUE"""),"Online Courses Institute")</f>
        <v>Online Courses Institute</v>
      </c>
      <c r="F187" t="str">
        <f>IFERROR(__xludf.DUMMYFUNCTION("""COMPUTED_VALUE"""),"Instructor Request- Course Opt Out")</f>
        <v>Instructor Request- Course Opt Out</v>
      </c>
      <c r="J187" s="140" t="str">
        <f>IFERROR(__xludf.DUMMYFUNCTION("""COMPUTED_VALUE"""),"")</f>
        <v/>
      </c>
      <c r="L187" s="140" t="str">
        <f>IFERROR(__xludf.DUMMYFUNCTION("""COMPUTED_VALUE"""),"")</f>
        <v/>
      </c>
    </row>
    <row r="188">
      <c r="A188" s="143">
        <f>IFERROR(__xludf.DUMMYFUNCTION("""COMPUTED_VALUE"""),43707.0)</f>
        <v>43707</v>
      </c>
      <c r="B188" s="140">
        <f>IFERROR(__xludf.DUMMYFUNCTION("""COMPUTED_VALUE"""),579392.0)</f>
        <v>579392</v>
      </c>
      <c r="C188" s="140" t="str">
        <f>IFERROR(__xludf.DUMMYFUNCTION("""COMPUTED_VALUE"""),"EN")</f>
        <v>EN</v>
      </c>
      <c r="D188" t="str">
        <f>IFERROR(__xludf.DUMMYFUNCTION("""COMPUTED_VALUE"""),"G Suite Setup for Your Business - The Right Way")</f>
        <v>G Suite Setup for Your Business - The Right Way</v>
      </c>
      <c r="E188" t="str">
        <f>IFERROR(__xludf.DUMMYFUNCTION("""COMPUTED_VALUE"""),"Goldy Arora")</f>
        <v>Goldy Arora</v>
      </c>
      <c r="F188" t="str">
        <f>IFERROR(__xludf.DUMMYFUNCTION("""COMPUTED_VALUE"""),"Instructor Request- Revenue")</f>
        <v>Instructor Request- Revenue</v>
      </c>
      <c r="G188" t="str">
        <f>IFERROR(__xludf.DUMMYFUNCTION("""COMPUTED_VALUE"""),"Office Productivity")</f>
        <v>Office Productivity</v>
      </c>
      <c r="H188" t="str">
        <f>IFERROR(__xludf.DUMMYFUNCTION("""COMPUTED_VALUE"""),"Email &amp; Productivity")</f>
        <v>Email &amp; Productivity</v>
      </c>
      <c r="I188">
        <f>IFERROR(__xludf.DUMMYFUNCTION("""COMPUTED_VALUE"""),1321382.0)</f>
        <v>1321382</v>
      </c>
      <c r="J188" s="140" t="str">
        <f>IFERROR(__xludf.DUMMYFUNCTION("""COMPUTED_VALUE"""),"Google Workspace (G Suite) Admin - The Complete Course")</f>
        <v>Google Workspace (G Suite) Admin - The Complete Course</v>
      </c>
      <c r="L188" s="140" t="str">
        <f>IFERROR(__xludf.DUMMYFUNCTION("""COMPUTED_VALUE"""),"")</f>
        <v/>
      </c>
    </row>
    <row r="189">
      <c r="A189" s="143">
        <f>IFERROR(__xludf.DUMMYFUNCTION("""COMPUTED_VALUE"""),43707.0)</f>
        <v>43707</v>
      </c>
      <c r="B189" s="140">
        <f>IFERROR(__xludf.DUMMYFUNCTION("""COMPUTED_VALUE"""),528192.0)</f>
        <v>528192</v>
      </c>
      <c r="C189" s="140" t="str">
        <f>IFERROR(__xludf.DUMMYFUNCTION("""COMPUTED_VALUE"""),"EN")</f>
        <v>EN</v>
      </c>
      <c r="D189" t="str">
        <f>IFERROR(__xludf.DUMMYFUNCTION("""COMPUTED_VALUE"""),"Leadership | How to Succeed through Direction")</f>
        <v>Leadership | How to Succeed through Direction</v>
      </c>
      <c r="E189" t="str">
        <f>IFERROR(__xludf.DUMMYFUNCTION("""COMPUTED_VALUE"""),"Learoy Tonight")</f>
        <v>Learoy Tonight</v>
      </c>
      <c r="F189" t="str">
        <f>IFERROR(__xludf.DUMMYFUNCTION("""COMPUTED_VALUE"""),"Below Quality Standards- 3 Flags")</f>
        <v>Below Quality Standards- 3 Flags</v>
      </c>
      <c r="G189" t="str">
        <f>IFERROR(__xludf.DUMMYFUNCTION("""COMPUTED_VALUE"""),"Leadership &amp; Management")</f>
        <v>Leadership &amp; Management</v>
      </c>
      <c r="H189" t="str">
        <f>IFERROR(__xludf.DUMMYFUNCTION("""COMPUTED_VALUE"""),"Leadership")</f>
        <v>Leadership</v>
      </c>
      <c r="I189">
        <f>IFERROR(__xludf.DUMMYFUNCTION("""COMPUTED_VALUE"""),613808.0)</f>
        <v>613808</v>
      </c>
      <c r="J189" s="140" t="str">
        <f>IFERROR(__xludf.DUMMYFUNCTION("""COMPUTED_VALUE"""),"Leadership: Practical Leadership Skills")</f>
        <v>Leadership: Practical Leadership Skills</v>
      </c>
      <c r="K189" s="140">
        <f>IFERROR(__xludf.DUMMYFUNCTION("""COMPUTED_VALUE"""),1415934.0)</f>
        <v>1415934</v>
      </c>
      <c r="L189" s="140" t="str">
        <f>IFERROR(__xludf.DUMMYFUNCTION("""COMPUTED_VALUE"""),"Management Skills - Team Leadership Skills Masterclass 2021")</f>
        <v>Management Skills - Team Leadership Skills Masterclass 2021</v>
      </c>
    </row>
    <row r="190">
      <c r="A190" s="143">
        <f>IFERROR(__xludf.DUMMYFUNCTION("""COMPUTED_VALUE"""),43707.0)</f>
        <v>43707</v>
      </c>
      <c r="B190" s="140">
        <f>IFERROR(__xludf.DUMMYFUNCTION("""COMPUTED_VALUE"""),1859168.0)</f>
        <v>1859168</v>
      </c>
      <c r="C190" s="140" t="str">
        <f>IFERROR(__xludf.DUMMYFUNCTION("""COMPUTED_VALUE"""),"EN")</f>
        <v>EN</v>
      </c>
      <c r="D190" t="str">
        <f>IFERROR(__xludf.DUMMYFUNCTION("""COMPUTED_VALUE"""),"Startup Fundamentals! Become a Successful Business Owner!")</f>
        <v>Startup Fundamentals! Become a Successful Business Owner!</v>
      </c>
      <c r="E190" t="str">
        <f>IFERROR(__xludf.DUMMYFUNCTION("""COMPUTED_VALUE"""),"Landon Rowinski")</f>
        <v>Landon Rowinski</v>
      </c>
      <c r="F190" t="str">
        <f>IFERROR(__xludf.DUMMYFUNCTION("""COMPUTED_VALUE"""),"Below Quality Standards- Low Rating")</f>
        <v>Below Quality Standards- Low Rating</v>
      </c>
      <c r="G190" t="str">
        <f>IFERROR(__xludf.DUMMYFUNCTION("""COMPUTED_VALUE"""),"Leadership &amp; Management")</f>
        <v>Leadership &amp; Management</v>
      </c>
      <c r="H190" t="str">
        <f>IFERROR(__xludf.DUMMYFUNCTION("""COMPUTED_VALUE"""),"Strategy")</f>
        <v>Strategy</v>
      </c>
      <c r="I190">
        <f>IFERROR(__xludf.DUMMYFUNCTION("""COMPUTED_VALUE"""),1300254.0)</f>
        <v>1300254</v>
      </c>
      <c r="J190" s="140" t="str">
        <f>IFERROR(__xludf.DUMMYFUNCTION("""COMPUTED_VALUE"""),"Business Fundamentals: Corporate Strategy")</f>
        <v>Business Fundamentals: Corporate Strategy</v>
      </c>
      <c r="L190" s="140" t="str">
        <f>IFERROR(__xludf.DUMMYFUNCTION("""COMPUTED_VALUE"""),"")</f>
        <v/>
      </c>
    </row>
    <row r="191">
      <c r="A191" s="143">
        <f>IFERROR(__xludf.DUMMYFUNCTION("""COMPUTED_VALUE"""),43707.0)</f>
        <v>43707</v>
      </c>
      <c r="B191" s="140">
        <f>IFERROR(__xludf.DUMMYFUNCTION("""COMPUTED_VALUE"""),1146324.0)</f>
        <v>1146324</v>
      </c>
      <c r="C191" s="140" t="str">
        <f>IFERROR(__xludf.DUMMYFUNCTION("""COMPUTED_VALUE"""),"EN")</f>
        <v>EN</v>
      </c>
      <c r="D191" t="str">
        <f>IFERROR(__xludf.DUMMYFUNCTION("""COMPUTED_VALUE"""),"Introduction to PgMP® Certification (1 PDU)")</f>
        <v>Introduction to PgMP® Certification (1 PDU)</v>
      </c>
      <c r="E191" t="str">
        <f>IFERROR(__xludf.DUMMYFUNCTION("""COMPUTED_VALUE"""),"Leithy Mohamed Leithy")</f>
        <v>Leithy Mohamed Leithy</v>
      </c>
      <c r="F191" t="str">
        <f>IFERROR(__xludf.DUMMYFUNCTION("""COMPUTED_VALUE"""),"Below Quality Standards- Low Rating")</f>
        <v>Below Quality Standards- Low Rating</v>
      </c>
      <c r="G191" t="str">
        <f>IFERROR(__xludf.DUMMYFUNCTION("""COMPUTED_VALUE"""),"Project Management &amp; Operations")</f>
        <v>Project Management &amp; Operations</v>
      </c>
      <c r="H191" t="str">
        <f>IFERROR(__xludf.DUMMYFUNCTION("""COMPUTED_VALUE"""),"Project Management Certifications")</f>
        <v>Project Management Certifications</v>
      </c>
      <c r="I191">
        <f>IFERROR(__xludf.DUMMYFUNCTION("""COMPUTED_VALUE"""),555696.0)</f>
        <v>555696</v>
      </c>
      <c r="J191" s="140" t="str">
        <f>IFERROR(__xludf.DUMMYFUNCTION("""COMPUTED_VALUE"""),"PMP Exam Prep Project Management Professional Certification")</f>
        <v>PMP Exam Prep Project Management Professional Certification</v>
      </c>
      <c r="L191" s="140" t="str">
        <f>IFERROR(__xludf.DUMMYFUNCTION("""COMPUTED_VALUE"""),"")</f>
        <v/>
      </c>
    </row>
    <row r="192">
      <c r="A192" s="143">
        <f>IFERROR(__xludf.DUMMYFUNCTION("""COMPUTED_VALUE"""),43707.0)</f>
        <v>43707</v>
      </c>
      <c r="B192" s="140">
        <f>IFERROR(__xludf.DUMMYFUNCTION("""COMPUTED_VALUE"""),1919446.0)</f>
        <v>1919446</v>
      </c>
      <c r="C192" s="140" t="str">
        <f>IFERROR(__xludf.DUMMYFUNCTION("""COMPUTED_VALUE"""),"EN")</f>
        <v>EN</v>
      </c>
      <c r="D192" t="str">
        <f>IFERROR(__xludf.DUMMYFUNCTION("""COMPUTED_VALUE"""),"MB2-718 Dynamics 365 Unified Service Desk (USD) (Part 4)")</f>
        <v>MB2-718 Dynamics 365 Unified Service Desk (USD) (Part 4)</v>
      </c>
      <c r="E192" t="str">
        <f>IFERROR(__xludf.DUMMYFUNCTION("""COMPUTED_VALUE"""),"Online CRM Training (3E Consulting Private Limited)")</f>
        <v>Online CRM Training (3E Consulting Private Limited)</v>
      </c>
      <c r="F192" t="str">
        <f>IFERROR(__xludf.DUMMYFUNCTION("""COMPUTED_VALUE"""),"Below Quality Standards- Outdated")</f>
        <v>Below Quality Standards- Outdated</v>
      </c>
      <c r="G192" t="str">
        <f>IFERROR(__xludf.DUMMYFUNCTION("""COMPUTED_VALUE"""),"IT Operations")</f>
        <v>IT Operations</v>
      </c>
      <c r="H192" t="str">
        <f>IFERROR(__xludf.DUMMYFUNCTION("""COMPUTED_VALUE"""),"IT Certifications")</f>
        <v>IT Certifications</v>
      </c>
      <c r="J192" s="140" t="str">
        <f>IFERROR(__xludf.DUMMYFUNCTION("""COMPUTED_VALUE"""),"")</f>
        <v/>
      </c>
      <c r="L192" s="140" t="str">
        <f>IFERROR(__xludf.DUMMYFUNCTION("""COMPUTED_VALUE"""),"")</f>
        <v/>
      </c>
    </row>
    <row r="193">
      <c r="A193" s="143">
        <f>IFERROR(__xludf.DUMMYFUNCTION("""COMPUTED_VALUE"""),43707.0)</f>
        <v>43707</v>
      </c>
      <c r="B193" s="140">
        <f>IFERROR(__xludf.DUMMYFUNCTION("""COMPUTED_VALUE"""),1746290.0)</f>
        <v>1746290</v>
      </c>
      <c r="C193" s="140" t="str">
        <f>IFERROR(__xludf.DUMMYFUNCTION("""COMPUTED_VALUE"""),"EN")</f>
        <v>EN</v>
      </c>
      <c r="D193" t="str">
        <f>IFERROR(__xludf.DUMMYFUNCTION("""COMPUTED_VALUE"""),"AWS Certified Security Specialty - Practice Tests")</f>
        <v>AWS Certified Security Specialty - Practice Tests</v>
      </c>
      <c r="E193" t="str">
        <f>IFERROR(__xludf.DUMMYFUNCTION("""COMPUTED_VALUE"""),"Whizlabs Learning Center")</f>
        <v>Whizlabs Learning Center</v>
      </c>
      <c r="F193" t="str">
        <f>IFERROR(__xludf.DUMMYFUNCTION("""COMPUTED_VALUE"""),"Below Quality Standards- Low Rating")</f>
        <v>Below Quality Standards- Low Rating</v>
      </c>
      <c r="G193" t="str">
        <f>IFERROR(__xludf.DUMMYFUNCTION("""COMPUTED_VALUE"""),"IT Operations")</f>
        <v>IT Operations</v>
      </c>
      <c r="H193" t="str">
        <f>IFERROR(__xludf.DUMMYFUNCTION("""COMPUTED_VALUE"""),"IT Certifications")</f>
        <v>IT Certifications</v>
      </c>
      <c r="I193">
        <f>IFERROR(__xludf.DUMMYFUNCTION("""COMPUTED_VALUE"""),1102458.0)</f>
        <v>1102458</v>
      </c>
      <c r="J193" s="140" t="str">
        <f>IFERROR(__xludf.DUMMYFUNCTION("""COMPUTED_VALUE"""),"AWS Certified Security Specialty 2021")</f>
        <v>AWS Certified Security Specialty 2021</v>
      </c>
      <c r="L193" s="140" t="str">
        <f>IFERROR(__xludf.DUMMYFUNCTION("""COMPUTED_VALUE"""),"")</f>
        <v/>
      </c>
    </row>
    <row r="194">
      <c r="A194" s="143">
        <f>IFERROR(__xludf.DUMMYFUNCTION("""COMPUTED_VALUE"""),43707.0)</f>
        <v>43707</v>
      </c>
      <c r="B194" s="140">
        <f>IFERROR(__xludf.DUMMYFUNCTION("""COMPUTED_VALUE"""),858156.0)</f>
        <v>858156</v>
      </c>
      <c r="C194" s="140" t="str">
        <f>IFERROR(__xludf.DUMMYFUNCTION("""COMPUTED_VALUE"""),"EN")</f>
        <v>EN</v>
      </c>
      <c r="D194" t="str">
        <f>IFERROR(__xludf.DUMMYFUNCTION("""COMPUTED_VALUE"""),"Coaching Skills For Retail Managers")</f>
        <v>Coaching Skills For Retail Managers</v>
      </c>
      <c r="E194" t="str">
        <f>IFERROR(__xludf.DUMMYFUNCTION("""COMPUTED_VALUE"""),"Jon Dario")</f>
        <v>Jon Dario</v>
      </c>
      <c r="F194" t="str">
        <f>IFERROR(__xludf.DUMMYFUNCTION("""COMPUTED_VALUE"""),"Below Quality Standards- Low Rating")</f>
        <v>Below Quality Standards- Low Rating</v>
      </c>
      <c r="G194" t="str">
        <f>IFERROR(__xludf.DUMMYFUNCTION("""COMPUTED_VALUE"""),"Leadership &amp; Management")</f>
        <v>Leadership &amp; Management</v>
      </c>
      <c r="H194" t="str">
        <f>IFERROR(__xludf.DUMMYFUNCTION("""COMPUTED_VALUE"""),"Leadership")</f>
        <v>Leadership</v>
      </c>
      <c r="I194">
        <f>IFERROR(__xludf.DUMMYFUNCTION("""COMPUTED_VALUE"""),946742.0)</f>
        <v>946742</v>
      </c>
      <c r="J194" s="140" t="str">
        <f>IFERROR(__xludf.DUMMYFUNCTION("""COMPUTED_VALUE"""),"Beginning Project Management: Project Management Level One")</f>
        <v>Beginning Project Management: Project Management Level One</v>
      </c>
      <c r="K194" s="140">
        <f>IFERROR(__xludf.DUMMYFUNCTION("""COMPUTED_VALUE"""),988524.0)</f>
        <v>988524</v>
      </c>
      <c r="L194" s="140" t="str">
        <f>IFERROR(__xludf.DUMMYFUNCTION("""COMPUTED_VALUE"""),"Management Skills: New Manager Training in Essential Skills")</f>
        <v>Management Skills: New Manager Training in Essential Skills</v>
      </c>
    </row>
    <row r="195">
      <c r="A195" s="143">
        <f>IFERROR(__xludf.DUMMYFUNCTION("""COMPUTED_VALUE"""),43707.0)</f>
        <v>43707</v>
      </c>
      <c r="B195" s="140">
        <f>IFERROR(__xludf.DUMMYFUNCTION("""COMPUTED_VALUE"""),530088.0)</f>
        <v>530088</v>
      </c>
      <c r="C195" s="140" t="str">
        <f>IFERROR(__xludf.DUMMYFUNCTION("""COMPUTED_VALUE"""),"EN")</f>
        <v>EN</v>
      </c>
      <c r="D195" t="str">
        <f>IFERROR(__xludf.DUMMYFUNCTION("""COMPUTED_VALUE"""),"Tech Explorations™ Raspberry Pi: Full Stack Minibian")</f>
        <v>Tech Explorations™ Raspberry Pi: Full Stack Minibian</v>
      </c>
      <c r="E195" t="str">
        <f>IFERROR(__xludf.DUMMYFUNCTION("""COMPUTED_VALUE"""),"Dr. Peter Dalmaris")</f>
        <v>Dr. Peter Dalmaris</v>
      </c>
      <c r="F195" t="str">
        <f>IFERROR(__xludf.DUMMYFUNCTION("""COMPUTED_VALUE"""),"Instructor Request- Outdated")</f>
        <v>Instructor Request- Outdated</v>
      </c>
      <c r="G195" t="str">
        <f>IFERROR(__xludf.DUMMYFUNCTION("""COMPUTED_VALUE"""),"IT Operations")</f>
        <v>IT Operations</v>
      </c>
      <c r="H195" t="str">
        <f>IFERROR(__xludf.DUMMYFUNCTION("""COMPUTED_VALUE"""),"Hardware")</f>
        <v>Hardware</v>
      </c>
      <c r="I195">
        <f>IFERROR(__xludf.DUMMYFUNCTION("""COMPUTED_VALUE"""),1546712.0)</f>
        <v>1546712</v>
      </c>
      <c r="J195" s="140" t="str">
        <f>IFERROR(__xludf.DUMMYFUNCTION("""COMPUTED_VALUE"""),"")</f>
        <v/>
      </c>
      <c r="L195" s="140" t="str">
        <f>IFERROR(__xludf.DUMMYFUNCTION("""COMPUTED_VALUE"""),"")</f>
        <v/>
      </c>
    </row>
    <row r="196">
      <c r="A196" s="143">
        <f>IFERROR(__xludf.DUMMYFUNCTION("""COMPUTED_VALUE"""),43707.0)</f>
        <v>43707</v>
      </c>
      <c r="B196" s="140">
        <f>IFERROR(__xludf.DUMMYFUNCTION("""COMPUTED_VALUE"""),635248.0)</f>
        <v>635248</v>
      </c>
      <c r="C196" s="140" t="str">
        <f>IFERROR(__xludf.DUMMYFUNCTION("""COMPUTED_VALUE"""),"EN")</f>
        <v>EN</v>
      </c>
      <c r="D196" t="str">
        <f>IFERROR(__xludf.DUMMYFUNCTION("""COMPUTED_VALUE"""),"Learn and Build using Polymer LitElement (beyond Polymer 3)")</f>
        <v>Learn and Build using Polymer LitElement (beyond Polymer 3)</v>
      </c>
      <c r="E196" t="str">
        <f>IFERROR(__xludf.DUMMYFUNCTION("""COMPUTED_VALUE"""),"Arman Eker")</f>
        <v>Arman Eker</v>
      </c>
      <c r="F196" t="str">
        <f>IFERROR(__xludf.DUMMYFUNCTION("""COMPUTED_VALUE"""),"Below Quality Standards- Low Rating")</f>
        <v>Below Quality Standards- Low Rating</v>
      </c>
      <c r="G196" t="str">
        <f>IFERROR(__xludf.DUMMYFUNCTION("""COMPUTED_VALUE"""),"Development")</f>
        <v>Development</v>
      </c>
      <c r="H196" t="str">
        <f>IFERROR(__xludf.DUMMYFUNCTION("""COMPUTED_VALUE"""),"Web Development")</f>
        <v>Web Development</v>
      </c>
      <c r="J196" s="140" t="str">
        <f>IFERROR(__xludf.DUMMYFUNCTION("""COMPUTED_VALUE"""),"")</f>
        <v/>
      </c>
      <c r="L196" s="140" t="str">
        <f>IFERROR(__xludf.DUMMYFUNCTION("""COMPUTED_VALUE"""),"")</f>
        <v/>
      </c>
    </row>
    <row r="197">
      <c r="A197" s="143">
        <f>IFERROR(__xludf.DUMMYFUNCTION("""COMPUTED_VALUE"""),43707.0)</f>
        <v>43707</v>
      </c>
      <c r="B197" s="140">
        <f>IFERROR(__xludf.DUMMYFUNCTION("""COMPUTED_VALUE"""),838418.0)</f>
        <v>838418</v>
      </c>
      <c r="C197" s="140" t="str">
        <f>IFERROR(__xludf.DUMMYFUNCTION("""COMPUTED_VALUE"""),"EN")</f>
        <v>EN</v>
      </c>
      <c r="D197" t="str">
        <f>IFERROR(__xludf.DUMMYFUNCTION("""COMPUTED_VALUE"""),"PHP Date and Time with Carbon by Edwin Diaz")</f>
        <v>PHP Date and Time with Carbon by Edwin Diaz</v>
      </c>
      <c r="E197" t="str">
        <f>IFERROR(__xludf.DUMMYFUNCTION("""COMPUTED_VALUE"""),"Edwin Diaz")</f>
        <v>Edwin Diaz</v>
      </c>
      <c r="F197" t="str">
        <f>IFERROR(__xludf.DUMMYFUNCTION("""COMPUTED_VALUE"""),"Below Quality Standards- 3 Flags")</f>
        <v>Below Quality Standards- 3 Flags</v>
      </c>
      <c r="G197" t="str">
        <f>IFERROR(__xludf.DUMMYFUNCTION("""COMPUTED_VALUE"""),"Development")</f>
        <v>Development</v>
      </c>
      <c r="H197" t="str">
        <f>IFERROR(__xludf.DUMMYFUNCTION("""COMPUTED_VALUE"""),"Web Development")</f>
        <v>Web Development</v>
      </c>
      <c r="I197">
        <f>IFERROR(__xludf.DUMMYFUNCTION("""COMPUTED_VALUE"""),405282.0)</f>
        <v>405282</v>
      </c>
      <c r="J197" s="140" t="str">
        <f>IFERROR(__xludf.DUMMYFUNCTION("""COMPUTED_VALUE"""),"PHP for Beginners - Become a PHP Master - CMS Project")</f>
        <v>PHP for Beginners - Become a PHP Master - CMS Project</v>
      </c>
      <c r="K197" s="140">
        <f>IFERROR(__xludf.DUMMYFUNCTION("""COMPUTED_VALUE"""),130064.0)</f>
        <v>130064</v>
      </c>
      <c r="L197" s="140" t="str">
        <f>IFERROR(__xludf.DUMMYFUNCTION("""COMPUTED_VALUE"""),"Practical PHP: Master the Basics and Code Dynamic Websites")</f>
        <v>Practical PHP: Master the Basics and Code Dynamic Websites</v>
      </c>
    </row>
    <row r="198">
      <c r="A198" s="143">
        <f>IFERROR(__xludf.DUMMYFUNCTION("""COMPUTED_VALUE"""),43707.0)</f>
        <v>43707</v>
      </c>
      <c r="B198" s="140">
        <f>IFERROR(__xludf.DUMMYFUNCTION("""COMPUTED_VALUE"""),1809466.0)</f>
        <v>1809466</v>
      </c>
      <c r="C198" s="140" t="str">
        <f>IFERROR(__xludf.DUMMYFUNCTION("""COMPUTED_VALUE"""),"EN")</f>
        <v>EN</v>
      </c>
      <c r="D198" t="str">
        <f>IFERROR(__xludf.DUMMYFUNCTION("""COMPUTED_VALUE"""),"Google Cloud Professional Cloud Architect Practice Test")</f>
        <v>Google Cloud Professional Cloud Architect Practice Test</v>
      </c>
      <c r="E198" t="str">
        <f>IFERROR(__xludf.DUMMYFUNCTION("""COMPUTED_VALUE"""),"Whizlabs Learning Center")</f>
        <v>Whizlabs Learning Center</v>
      </c>
      <c r="F198" t="str">
        <f>IFERROR(__xludf.DUMMYFUNCTION("""COMPUTED_VALUE"""),"Below Quality Standards- Low Rating")</f>
        <v>Below Quality Standards- Low Rating</v>
      </c>
      <c r="G198" t="str">
        <f>IFERROR(__xludf.DUMMYFUNCTION("""COMPUTED_VALUE"""),"IT Operations")</f>
        <v>IT Operations</v>
      </c>
      <c r="H198" t="str">
        <f>IFERROR(__xludf.DUMMYFUNCTION("""COMPUTED_VALUE"""),"IT Certifications")</f>
        <v>IT Certifications</v>
      </c>
      <c r="J198" s="140" t="str">
        <f>IFERROR(__xludf.DUMMYFUNCTION("""COMPUTED_VALUE"""),"")</f>
        <v/>
      </c>
      <c r="L198" s="140" t="str">
        <f>IFERROR(__xludf.DUMMYFUNCTION("""COMPUTED_VALUE"""),"")</f>
        <v/>
      </c>
    </row>
    <row r="199">
      <c r="A199" s="143">
        <f>IFERROR(__xludf.DUMMYFUNCTION("""COMPUTED_VALUE"""),43707.0)</f>
        <v>43707</v>
      </c>
      <c r="B199" s="140">
        <f>IFERROR(__xludf.DUMMYFUNCTION("""COMPUTED_VALUE"""),395140.0)</f>
        <v>395140</v>
      </c>
      <c r="C199" s="140" t="str">
        <f>IFERROR(__xludf.DUMMYFUNCTION("""COMPUTED_VALUE"""),"EN")</f>
        <v>EN</v>
      </c>
      <c r="D199" t="str">
        <f>IFERROR(__xludf.DUMMYFUNCTION("""COMPUTED_VALUE"""),"Design and Animate a Gamer UI")</f>
        <v>Design and Animate a Gamer UI</v>
      </c>
      <c r="E199" t="str">
        <f>IFERROR(__xludf.DUMMYFUNCTION("""COMPUTED_VALUE"""),"Gary Simon")</f>
        <v>Gary Simon</v>
      </c>
      <c r="F199" t="str">
        <f>IFERROR(__xludf.DUMMYFUNCTION("""COMPUTED_VALUE"""),"Below Quality Standards- 3 Flags")</f>
        <v>Below Quality Standards- 3 Flags</v>
      </c>
      <c r="G199" t="str">
        <f>IFERROR(__xludf.DUMMYFUNCTION("""COMPUTED_VALUE"""),"Design")</f>
        <v>Design</v>
      </c>
      <c r="H199" t="str">
        <f>IFERROR(__xludf.DUMMYFUNCTION("""COMPUTED_VALUE"""),"Graphic Design")</f>
        <v>Graphic Design</v>
      </c>
      <c r="J199" s="140" t="str">
        <f>IFERROR(__xludf.DUMMYFUNCTION("""COMPUTED_VALUE"""),"")</f>
        <v/>
      </c>
      <c r="L199" s="140" t="str">
        <f>IFERROR(__xludf.DUMMYFUNCTION("""COMPUTED_VALUE"""),"")</f>
        <v/>
      </c>
    </row>
    <row r="200">
      <c r="A200" s="143">
        <f>IFERROR(__xludf.DUMMYFUNCTION("""COMPUTED_VALUE"""),43707.0)</f>
        <v>43707</v>
      </c>
      <c r="B200" s="140">
        <f>IFERROR(__xludf.DUMMYFUNCTION("""COMPUTED_VALUE"""),950758.0)</f>
        <v>950758</v>
      </c>
      <c r="C200" s="140" t="str">
        <f>IFERROR(__xludf.DUMMYFUNCTION("""COMPUTED_VALUE"""),"EN")</f>
        <v>EN</v>
      </c>
      <c r="D200" t="str">
        <f>IFERROR(__xludf.DUMMYFUNCTION("""COMPUTED_VALUE"""),"Using Advanced iOS Frameworks and Techniques with Swift 3")</f>
        <v>Using Advanced iOS Frameworks and Techniques with Swift 3</v>
      </c>
      <c r="E200" t="str">
        <f>IFERROR(__xludf.DUMMYFUNCTION("""COMPUTED_VALUE"""),"Brian Advent")</f>
        <v>Brian Advent</v>
      </c>
      <c r="F200" t="str">
        <f>IFERROR(__xludf.DUMMYFUNCTION("""COMPUTED_VALUE"""),"Below Quality Standards- Outdated")</f>
        <v>Below Quality Standards- Outdated</v>
      </c>
      <c r="G200" t="str">
        <f>IFERROR(__xludf.DUMMYFUNCTION("""COMPUTED_VALUE"""),"Development")</f>
        <v>Development</v>
      </c>
      <c r="H200" t="str">
        <f>IFERROR(__xludf.DUMMYFUNCTION("""COMPUTED_VALUE"""),"Mobile Development")</f>
        <v>Mobile Development</v>
      </c>
      <c r="I200">
        <f>IFERROR(__xludf.DUMMYFUNCTION("""COMPUTED_VALUE"""),1862802.0)</f>
        <v>1862802</v>
      </c>
      <c r="J200" s="140" t="str">
        <f>IFERROR(__xludf.DUMMYFUNCTION("""COMPUTED_VALUE"""),"iOS 12: Learn to Code &amp; Build Real iOS 12 Apps in Swift 4.2")</f>
        <v>iOS 12: Learn to Code &amp; Build Real iOS 12 Apps in Swift 4.2</v>
      </c>
      <c r="K200" s="140">
        <f>IFERROR(__xludf.DUMMYFUNCTION("""COMPUTED_VALUE"""),1778502.0)</f>
        <v>1778502</v>
      </c>
      <c r="L200" s="140" t="str">
        <f>IFERROR(__xludf.DUMMYFUNCTION("""COMPUTED_VALUE"""),"iOS &amp; Swift - The Complete iOS App Development Bootcamp")</f>
        <v>iOS &amp; Swift - The Complete iOS App Development Bootcamp</v>
      </c>
    </row>
    <row r="201">
      <c r="A201" s="143">
        <f>IFERROR(__xludf.DUMMYFUNCTION("""COMPUTED_VALUE"""),43707.0)</f>
        <v>43707</v>
      </c>
      <c r="B201" s="140">
        <f>IFERROR(__xludf.DUMMYFUNCTION("""COMPUTED_VALUE"""),1919442.0)</f>
        <v>1919442</v>
      </c>
      <c r="C201" s="140" t="str">
        <f>IFERROR(__xludf.DUMMYFUNCTION("""COMPUTED_VALUE"""),"EN")</f>
        <v>EN</v>
      </c>
      <c r="D201" t="str">
        <f>IFERROR(__xludf.DUMMYFUNCTION("""COMPUTED_VALUE"""),"MB2-718 Dynamics 365 Queues, Entitlements and SLAs (Part 2)")</f>
        <v>MB2-718 Dynamics 365 Queues, Entitlements and SLAs (Part 2)</v>
      </c>
      <c r="E201" t="str">
        <f>IFERROR(__xludf.DUMMYFUNCTION("""COMPUTED_VALUE"""),"Online CRM Training (3E Consulting Private Limited)")</f>
        <v>Online CRM Training (3E Consulting Private Limited)</v>
      </c>
      <c r="F201" t="str">
        <f>IFERROR(__xludf.DUMMYFUNCTION("""COMPUTED_VALUE"""),"Below Quality Standards- Outdated")</f>
        <v>Below Quality Standards- Outdated</v>
      </c>
      <c r="G201" t="str">
        <f>IFERROR(__xludf.DUMMYFUNCTION("""COMPUTED_VALUE"""),"IT Operations")</f>
        <v>IT Operations</v>
      </c>
      <c r="H201" t="str">
        <f>IFERROR(__xludf.DUMMYFUNCTION("""COMPUTED_VALUE"""),"IT Certifications")</f>
        <v>IT Certifications</v>
      </c>
      <c r="J201" s="140" t="str">
        <f>IFERROR(__xludf.DUMMYFUNCTION("""COMPUTED_VALUE"""),"")</f>
        <v/>
      </c>
      <c r="L201" s="140" t="str">
        <f>IFERROR(__xludf.DUMMYFUNCTION("""COMPUTED_VALUE"""),"")</f>
        <v/>
      </c>
    </row>
    <row r="202">
      <c r="A202" s="143">
        <f>IFERROR(__xludf.DUMMYFUNCTION("""COMPUTED_VALUE"""),43707.0)</f>
        <v>43707</v>
      </c>
      <c r="B202" s="140">
        <f>IFERROR(__xludf.DUMMYFUNCTION("""COMPUTED_VALUE"""),1868210.0)</f>
        <v>1868210</v>
      </c>
      <c r="C202" s="140" t="str">
        <f>IFERROR(__xludf.DUMMYFUNCTION("""COMPUTED_VALUE"""),"EN")</f>
        <v>EN</v>
      </c>
      <c r="D202" t="str">
        <f>IFERROR(__xludf.DUMMYFUNCTION("""COMPUTED_VALUE"""),"MB2-718 Cases, Knowledge Base, Customer Service Hub (Part 1)")</f>
        <v>MB2-718 Cases, Knowledge Base, Customer Service Hub (Part 1)</v>
      </c>
      <c r="E202" t="str">
        <f>IFERROR(__xludf.DUMMYFUNCTION("""COMPUTED_VALUE"""),"Online CRM Training (3E Consulting Private Limited)")</f>
        <v>Online CRM Training (3E Consulting Private Limited)</v>
      </c>
      <c r="F202" t="str">
        <f>IFERROR(__xludf.DUMMYFUNCTION("""COMPUTED_VALUE"""),"Below Quality Standards- Outdated")</f>
        <v>Below Quality Standards- Outdated</v>
      </c>
      <c r="G202" t="str">
        <f>IFERROR(__xludf.DUMMYFUNCTION("""COMPUTED_VALUE"""),"IT Operations")</f>
        <v>IT Operations</v>
      </c>
      <c r="H202" t="str">
        <f>IFERROR(__xludf.DUMMYFUNCTION("""COMPUTED_VALUE"""),"IT Certifications")</f>
        <v>IT Certifications</v>
      </c>
      <c r="J202" s="140" t="str">
        <f>IFERROR(__xludf.DUMMYFUNCTION("""COMPUTED_VALUE"""),"")</f>
        <v/>
      </c>
      <c r="L202" s="140" t="str">
        <f>IFERROR(__xludf.DUMMYFUNCTION("""COMPUTED_VALUE"""),"")</f>
        <v/>
      </c>
    </row>
    <row r="203">
      <c r="A203" s="143">
        <f>IFERROR(__xludf.DUMMYFUNCTION("""COMPUTED_VALUE"""),43707.0)</f>
        <v>43707</v>
      </c>
      <c r="B203" s="140">
        <f>IFERROR(__xludf.DUMMYFUNCTION("""COMPUTED_VALUE"""),1919444.0)</f>
        <v>1919444</v>
      </c>
      <c r="C203" s="140" t="str">
        <f>IFERROR(__xludf.DUMMYFUNCTION("""COMPUTED_VALUE"""),"EN")</f>
        <v>EN</v>
      </c>
      <c r="D203" t="str">
        <f>IFERROR(__xludf.DUMMYFUNCTION("""COMPUTED_VALUE"""),"MB2-718 Service Analysis &amp; Voice of the Customer (Part 3)")</f>
        <v>MB2-718 Service Analysis &amp; Voice of the Customer (Part 3)</v>
      </c>
      <c r="E203" t="str">
        <f>IFERROR(__xludf.DUMMYFUNCTION("""COMPUTED_VALUE"""),"Online CRM Training (3E Consulting Private Limited)")</f>
        <v>Online CRM Training (3E Consulting Private Limited)</v>
      </c>
      <c r="F203" t="str">
        <f>IFERROR(__xludf.DUMMYFUNCTION("""COMPUTED_VALUE"""),"Below Quality Standards- Outdated")</f>
        <v>Below Quality Standards- Outdated</v>
      </c>
      <c r="G203" t="str">
        <f>IFERROR(__xludf.DUMMYFUNCTION("""COMPUTED_VALUE"""),"IT Operations")</f>
        <v>IT Operations</v>
      </c>
      <c r="H203" t="str">
        <f>IFERROR(__xludf.DUMMYFUNCTION("""COMPUTED_VALUE"""),"IT Certifications")</f>
        <v>IT Certifications</v>
      </c>
      <c r="J203" s="140" t="str">
        <f>IFERROR(__xludf.DUMMYFUNCTION("""COMPUTED_VALUE"""),"")</f>
        <v/>
      </c>
      <c r="L203" s="140" t="str">
        <f>IFERROR(__xludf.DUMMYFUNCTION("""COMPUTED_VALUE"""),"")</f>
        <v/>
      </c>
    </row>
    <row r="204">
      <c r="A204" s="143">
        <f>IFERROR(__xludf.DUMMYFUNCTION("""COMPUTED_VALUE"""),43707.0)</f>
        <v>43707</v>
      </c>
      <c r="B204" s="140">
        <f>IFERROR(__xludf.DUMMYFUNCTION("""COMPUTED_VALUE"""),824796.0)</f>
        <v>824796</v>
      </c>
      <c r="C204" s="140" t="str">
        <f>IFERROR(__xludf.DUMMYFUNCTION("""COMPUTED_VALUE"""),"EN")</f>
        <v>EN</v>
      </c>
      <c r="D204" t="str">
        <f>IFERROR(__xludf.DUMMYFUNCTION("""COMPUTED_VALUE"""),"Become an expert in the new SAP Activate Methodology.")</f>
        <v>Become an expert in the new SAP Activate Methodology.</v>
      </c>
      <c r="E204" t="str">
        <f>IFERROR(__xludf.DUMMYFUNCTION("""COMPUTED_VALUE"""),"Success Learner")</f>
        <v>Success Learner</v>
      </c>
      <c r="F204" t="str">
        <f>IFERROR(__xludf.DUMMYFUNCTION("""COMPUTED_VALUE"""),"Instructor Request- Opted Out")</f>
        <v>Instructor Request- Opted Out</v>
      </c>
      <c r="G204" t="str">
        <f>IFERROR(__xludf.DUMMYFUNCTION("""COMPUTED_VALUE"""),"Project Management &amp; Operations")</f>
        <v>Project Management &amp; Operations</v>
      </c>
      <c r="H204" t="str">
        <f>IFERROR(__xludf.DUMMYFUNCTION("""COMPUTED_VALUE"""),"Operations Management")</f>
        <v>Operations Management</v>
      </c>
      <c r="J204" s="140" t="str">
        <f>IFERROR(__xludf.DUMMYFUNCTION("""COMPUTED_VALUE"""),"")</f>
        <v/>
      </c>
      <c r="L204" s="140" t="str">
        <f>IFERROR(__xludf.DUMMYFUNCTION("""COMPUTED_VALUE"""),"")</f>
        <v/>
      </c>
    </row>
    <row r="205">
      <c r="A205" s="143">
        <f>IFERROR(__xludf.DUMMYFUNCTION("""COMPUTED_VALUE"""),43707.0)</f>
        <v>43707</v>
      </c>
      <c r="B205" s="140">
        <f>IFERROR(__xludf.DUMMYFUNCTION("""COMPUTED_VALUE"""),908916.0)</f>
        <v>908916</v>
      </c>
      <c r="C205" s="140" t="str">
        <f>IFERROR(__xludf.DUMMYFUNCTION("""COMPUTED_VALUE"""),"EN")</f>
        <v>EN</v>
      </c>
      <c r="D205" t="str">
        <f>IFERROR(__xludf.DUMMYFUNCTION("""COMPUTED_VALUE"""),"PowerPoint 2016 Introduction")</f>
        <v>PowerPoint 2016 Introduction</v>
      </c>
      <c r="E205" t="str">
        <f>IFERROR(__xludf.DUMMYFUNCTION("""COMPUTED_VALUE"""),"Intellezy Trainers")</f>
        <v>Intellezy Trainers</v>
      </c>
      <c r="F205" t="str">
        <f>IFERROR(__xludf.DUMMYFUNCTION("""COMPUTED_VALUE"""),"Instructor Request- Opted Out")</f>
        <v>Instructor Request- Opted Out</v>
      </c>
      <c r="G205" t="str">
        <f>IFERROR(__xludf.DUMMYFUNCTION("""COMPUTED_VALUE"""),"Office Productivity")</f>
        <v>Office Productivity</v>
      </c>
      <c r="H205" t="str">
        <f>IFERROR(__xludf.DUMMYFUNCTION("""COMPUTED_VALUE"""),"Presentations")</f>
        <v>Presentations</v>
      </c>
      <c r="I205">
        <f>IFERROR(__xludf.DUMMYFUNCTION("""COMPUTED_VALUE"""),799638.0)</f>
        <v>799638</v>
      </c>
      <c r="J205" s="140" t="str">
        <f>IFERROR(__xludf.DUMMYFUNCTION("""COMPUTED_VALUE"""),"Master Microsoft PowerPoint 2016 the Easy Way")</f>
        <v>Master Microsoft PowerPoint 2016 the Easy Way</v>
      </c>
      <c r="L205" s="140" t="str">
        <f>IFERROR(__xludf.DUMMYFUNCTION("""COMPUTED_VALUE"""),"")</f>
        <v/>
      </c>
    </row>
    <row r="206">
      <c r="A206" s="143">
        <f>IFERROR(__xludf.DUMMYFUNCTION("""COMPUTED_VALUE"""),43707.0)</f>
        <v>43707</v>
      </c>
      <c r="B206" s="140">
        <f>IFERROR(__xludf.DUMMYFUNCTION("""COMPUTED_VALUE"""),1765060.0)</f>
        <v>1765060</v>
      </c>
      <c r="C206" s="140" t="str">
        <f>IFERROR(__xludf.DUMMYFUNCTION("""COMPUTED_VALUE"""),"EN")</f>
        <v>EN</v>
      </c>
      <c r="D206" t="str">
        <f>IFERROR(__xludf.DUMMYFUNCTION("""COMPUTED_VALUE"""),"The FliPsides of Collaborative Decision Making")</f>
        <v>The FliPsides of Collaborative Decision Making</v>
      </c>
      <c r="E206" t="str">
        <f>IFERROR(__xludf.DUMMYFUNCTION("""COMPUTED_VALUE"""),"Samantha &amp; Marc Hurwitz")</f>
        <v>Samantha &amp; Marc Hurwitz</v>
      </c>
      <c r="F206" t="str">
        <f>IFERROR(__xludf.DUMMYFUNCTION("""COMPUTED_VALUE"""),"Instructor Request- No Detail")</f>
        <v>Instructor Request- No Detail</v>
      </c>
      <c r="G206" t="str">
        <f>IFERROR(__xludf.DUMMYFUNCTION("""COMPUTED_VALUE"""),"Leadership &amp; Management")</f>
        <v>Leadership &amp; Management</v>
      </c>
      <c r="H206" t="str">
        <f>IFERROR(__xludf.DUMMYFUNCTION("""COMPUTED_VALUE"""),"Leadership")</f>
        <v>Leadership</v>
      </c>
      <c r="I206">
        <f>IFERROR(__xludf.DUMMYFUNCTION("""COMPUTED_VALUE"""),585072.0)</f>
        <v>585072</v>
      </c>
      <c r="J206" s="140" t="str">
        <f>IFERROR(__xludf.DUMMYFUNCTION("""COMPUTED_VALUE"""),"Culture | How to Make Team Decisions")</f>
        <v>Culture | How to Make Team Decisions</v>
      </c>
      <c r="K206" s="140">
        <f>IFERROR(__xludf.DUMMYFUNCTION("""COMPUTED_VALUE"""),684890.0)</f>
        <v>684890</v>
      </c>
      <c r="L206" s="140" t="str">
        <f>IFERROR(__xludf.DUMMYFUNCTION("""COMPUTED_VALUE"""),"Decision Making: Solve Problems with Emotional Intelligence")</f>
        <v>Decision Making: Solve Problems with Emotional Intelligence</v>
      </c>
    </row>
    <row r="207">
      <c r="A207" s="143">
        <f>IFERROR(__xludf.DUMMYFUNCTION("""COMPUTED_VALUE"""),43707.0)</f>
        <v>43707</v>
      </c>
      <c r="B207" s="140">
        <f>IFERROR(__xludf.DUMMYFUNCTION("""COMPUTED_VALUE"""),371206.0)</f>
        <v>371206</v>
      </c>
      <c r="C207" s="140" t="str">
        <f>IFERROR(__xludf.DUMMYFUNCTION("""COMPUTED_VALUE"""),"EN")</f>
        <v>EN</v>
      </c>
      <c r="D207" t="str">
        <f>IFERROR(__xludf.DUMMYFUNCTION("""COMPUTED_VALUE"""),"Short and Sweet: Basic Programming Concepts in 2 Hours")</f>
        <v>Short and Sweet: Basic Programming Concepts in 2 Hours</v>
      </c>
      <c r="E207" t="str">
        <f>IFERROR(__xludf.DUMMYFUNCTION("""COMPUTED_VALUE"""),"Stephanie Losi")</f>
        <v>Stephanie Losi</v>
      </c>
      <c r="F207" t="str">
        <f>IFERROR(__xludf.DUMMYFUNCTION("""COMPUTED_VALUE"""),"Instructor Request- Opted Out")</f>
        <v>Instructor Request- Opted Out</v>
      </c>
      <c r="G207" t="str">
        <f>IFERROR(__xludf.DUMMYFUNCTION("""COMPUTED_VALUE"""),"Development")</f>
        <v>Development</v>
      </c>
      <c r="H207" t="str">
        <f>IFERROR(__xludf.DUMMYFUNCTION("""COMPUTED_VALUE"""),"Programming Languages")</f>
        <v>Programming Languages</v>
      </c>
      <c r="I207">
        <f>IFERROR(__xludf.DUMMYFUNCTION("""COMPUTED_VALUE"""),956404.0)</f>
        <v>956404</v>
      </c>
      <c r="J207" s="140" t="str">
        <f>IFERROR(__xludf.DUMMYFUNCTION("""COMPUTED_VALUE"""),"Programming 101")</f>
        <v>Programming 101</v>
      </c>
      <c r="K207" s="140">
        <f>IFERROR(__xludf.DUMMYFUNCTION("""COMPUTED_VALUE"""),848714.0)</f>
        <v>848714</v>
      </c>
      <c r="L207" s="140" t="str">
        <f>IFERROR(__xludf.DUMMYFUNCTION("""COMPUTED_VALUE"""),"Coding for Writers: Basic Programming")</f>
        <v>Coding for Writers: Basic Programming</v>
      </c>
    </row>
    <row r="208">
      <c r="A208" s="143">
        <f>IFERROR(__xludf.DUMMYFUNCTION("""COMPUTED_VALUE"""),43707.0)</f>
        <v>43707</v>
      </c>
      <c r="B208" s="140">
        <f>IFERROR(__xludf.DUMMYFUNCTION("""COMPUTED_VALUE"""),1919450.0)</f>
        <v>1919450</v>
      </c>
      <c r="C208" s="140" t="str">
        <f>IFERROR(__xludf.DUMMYFUNCTION("""COMPUTED_VALUE"""),"EN")</f>
        <v>EN</v>
      </c>
      <c r="D208" t="str">
        <f>IFERROR(__xludf.DUMMYFUNCTION("""COMPUTED_VALUE"""),"MB2-718 Microsoft Dynamics 365 Field Service (Part 5)")</f>
        <v>MB2-718 Microsoft Dynamics 365 Field Service (Part 5)</v>
      </c>
      <c r="E208" t="str">
        <f>IFERROR(__xludf.DUMMYFUNCTION("""COMPUTED_VALUE"""),"Online CRM Training (3E Consulting Private Limited)")</f>
        <v>Online CRM Training (3E Consulting Private Limited)</v>
      </c>
      <c r="F208" t="str">
        <f>IFERROR(__xludf.DUMMYFUNCTION("""COMPUTED_VALUE"""),"Below Quality Standards- Outdated")</f>
        <v>Below Quality Standards- Outdated</v>
      </c>
      <c r="G208" t="str">
        <f>IFERROR(__xludf.DUMMYFUNCTION("""COMPUTED_VALUE"""),"IT Operations")</f>
        <v>IT Operations</v>
      </c>
      <c r="H208" t="str">
        <f>IFERROR(__xludf.DUMMYFUNCTION("""COMPUTED_VALUE"""),"IT Certifications")</f>
        <v>IT Certifications</v>
      </c>
      <c r="J208" s="140" t="str">
        <f>IFERROR(__xludf.DUMMYFUNCTION("""COMPUTED_VALUE"""),"")</f>
        <v/>
      </c>
      <c r="L208" s="140" t="str">
        <f>IFERROR(__xludf.DUMMYFUNCTION("""COMPUTED_VALUE"""),"")</f>
        <v/>
      </c>
    </row>
    <row r="209">
      <c r="A209" s="143">
        <f>IFERROR(__xludf.DUMMYFUNCTION("""COMPUTED_VALUE"""),43707.0)</f>
        <v>43707</v>
      </c>
      <c r="B209" s="140">
        <f>IFERROR(__xludf.DUMMYFUNCTION("""COMPUTED_VALUE"""),531846.0)</f>
        <v>531846</v>
      </c>
      <c r="C209" s="140" t="str">
        <f>IFERROR(__xludf.DUMMYFUNCTION("""COMPUTED_VALUE"""),"EN")</f>
        <v>EN</v>
      </c>
      <c r="D209" t="str">
        <f>IFERROR(__xludf.DUMMYFUNCTION("""COMPUTED_VALUE"""),"Short and Sweet: Next-Level Git and GitHub - Get Productive")</f>
        <v>Short and Sweet: Next-Level Git and GitHub - Get Productive</v>
      </c>
      <c r="E209" t="str">
        <f>IFERROR(__xludf.DUMMYFUNCTION("""COMPUTED_VALUE"""),"Stephanie Losi")</f>
        <v>Stephanie Losi</v>
      </c>
      <c r="F209" t="str">
        <f>IFERROR(__xludf.DUMMYFUNCTION("""COMPUTED_VALUE"""),"Instructor Request- Opted Out")</f>
        <v>Instructor Request- Opted Out</v>
      </c>
      <c r="G209" t="str">
        <f>IFERROR(__xludf.DUMMYFUNCTION("""COMPUTED_VALUE"""),"Development")</f>
        <v>Development</v>
      </c>
      <c r="H209" t="str">
        <f>IFERROR(__xludf.DUMMYFUNCTION("""COMPUTED_VALUE"""),"Development Tools")</f>
        <v>Development Tools</v>
      </c>
      <c r="I209">
        <f>IFERROR(__xludf.DUMMYFUNCTION("""COMPUTED_VALUE"""),221674.0)</f>
        <v>221674</v>
      </c>
      <c r="J209" s="140" t="str">
        <f>IFERROR(__xludf.DUMMYFUNCTION("""COMPUTED_VALUE"""),"Git Complete: The definitive, step-by-step guide to Git")</f>
        <v>Git Complete: The definitive, step-by-step guide to Git</v>
      </c>
      <c r="K209" s="140">
        <f>IFERROR(__xludf.DUMMYFUNCTION("""COMPUTED_VALUE"""),221696.0)</f>
        <v>221696</v>
      </c>
      <c r="L209" s="140" t="str">
        <f>IFERROR(__xludf.DUMMYFUNCTION("""COMPUTED_VALUE"""),"Git Going Fast: One Hour Git Crash Course")</f>
        <v>Git Going Fast: One Hour Git Crash Course</v>
      </c>
    </row>
    <row r="210">
      <c r="A210" s="143">
        <f>IFERROR(__xludf.DUMMYFUNCTION("""COMPUTED_VALUE"""),43707.0)</f>
        <v>43707</v>
      </c>
      <c r="B210" s="140">
        <f>IFERROR(__xludf.DUMMYFUNCTION("""COMPUTED_VALUE"""),1341638.0)</f>
        <v>1341638</v>
      </c>
      <c r="C210" s="140" t="str">
        <f>IFERROR(__xludf.DUMMYFUNCTION("""COMPUTED_VALUE"""),"ES")</f>
        <v>ES</v>
      </c>
      <c r="D210" t="str">
        <f>IFERROR(__xludf.DUMMYFUNCTION("""COMPUTED_VALUE"""),"Sketchup PRO - Curso completo")</f>
        <v>Sketchup PRO - Curso completo</v>
      </c>
      <c r="E210" t="str">
        <f>IFERROR(__xludf.DUMMYFUNCTION("""COMPUTED_VALUE"""),"Robson Jacobsen")</f>
        <v>Robson Jacobsen</v>
      </c>
      <c r="F210" t="str">
        <f>IFERROR(__xludf.DUMMYFUNCTION("""COMPUTED_VALUE"""),"Instructor Request- No Detail")</f>
        <v>Instructor Request- No Detail</v>
      </c>
      <c r="G210" t="str">
        <f>IFERROR(__xludf.DUMMYFUNCTION("""COMPUTED_VALUE"""),"Design")</f>
        <v>Design</v>
      </c>
      <c r="H210" t="str">
        <f>IFERROR(__xludf.DUMMYFUNCTION("""COMPUTED_VALUE"""),"Design Tools")</f>
        <v>Design Tools</v>
      </c>
      <c r="I210">
        <f>IFERROR(__xludf.DUMMYFUNCTION("""COMPUTED_VALUE"""),1117281.0)</f>
        <v>1117281</v>
      </c>
      <c r="J210" s="140" t="str">
        <f>IFERROR(__xludf.DUMMYFUNCTION("""COMPUTED_VALUE"""),"Modela en 3D con SketchUp Pro. 2021 Impartido por Arquitecto")</f>
        <v>Modela en 3D con SketchUp Pro. 2021 Impartido por Arquitecto</v>
      </c>
      <c r="L210" s="140" t="str">
        <f>IFERROR(__xludf.DUMMYFUNCTION("""COMPUTED_VALUE"""),"")</f>
        <v/>
      </c>
    </row>
    <row r="211">
      <c r="A211" s="143">
        <f>IFERROR(__xludf.DUMMYFUNCTION("""COMPUTED_VALUE"""),43707.0)</f>
        <v>43707</v>
      </c>
      <c r="B211" s="140">
        <f>IFERROR(__xludf.DUMMYFUNCTION("""COMPUTED_VALUE"""),1325746.0)</f>
        <v>1325746</v>
      </c>
      <c r="C211" s="140" t="str">
        <f>IFERROR(__xludf.DUMMYFUNCTION("""COMPUTED_VALUE"""),"EN")</f>
        <v>EN</v>
      </c>
      <c r="D211" t="str">
        <f>IFERROR(__xludf.DUMMYFUNCTION("""COMPUTED_VALUE"""),"Writing With Flair (New Edition)")</f>
        <v>Writing With Flair (New Edition)</v>
      </c>
      <c r="E211" t="str">
        <f>IFERROR(__xludf.DUMMYFUNCTION("""COMPUTED_VALUE"""),"Shani Raja")</f>
        <v>Shani Raja</v>
      </c>
      <c r="F211" t="str">
        <f>IFERROR(__xludf.DUMMYFUNCTION("""COMPUTED_VALUE"""),"Instructor Request- Outdated")</f>
        <v>Instructor Request- Outdated</v>
      </c>
      <c r="G211" t="str">
        <f>IFERROR(__xludf.DUMMYFUNCTION("""COMPUTED_VALUE"""),"Leadership &amp; Management")</f>
        <v>Leadership &amp; Management</v>
      </c>
      <c r="H211" t="str">
        <f>IFERROR(__xludf.DUMMYFUNCTION("""COMPUTED_VALUE"""),"Communication")</f>
        <v>Communication</v>
      </c>
      <c r="I211">
        <f>IFERROR(__xludf.DUMMYFUNCTION("""COMPUTED_VALUE"""),196152.0)</f>
        <v>196152</v>
      </c>
      <c r="J211" s="140" t="str">
        <f>IFERROR(__xludf.DUMMYFUNCTION("""COMPUTED_VALUE"""),"Writing With Flair: How To Become An Exceptional Writer")</f>
        <v>Writing With Flair: How To Become An Exceptional Writer</v>
      </c>
      <c r="L211" s="140" t="str">
        <f>IFERROR(__xludf.DUMMYFUNCTION("""COMPUTED_VALUE"""),"")</f>
        <v/>
      </c>
    </row>
    <row r="212">
      <c r="A212" s="143">
        <f>IFERROR(__xludf.DUMMYFUNCTION("""COMPUTED_VALUE"""),43707.0)</f>
        <v>43707</v>
      </c>
      <c r="B212" s="140">
        <f>IFERROR(__xludf.DUMMYFUNCTION("""COMPUTED_VALUE"""),1556300.0)</f>
        <v>1556300</v>
      </c>
      <c r="C212" s="140" t="str">
        <f>IFERROR(__xludf.DUMMYFUNCTION("""COMPUTED_VALUE"""),"ES")</f>
        <v>ES</v>
      </c>
      <c r="D212" t="str">
        <f>IFERROR(__xludf.DUMMYFUNCTION("""COMPUTED_VALUE"""),"Lumion 8 Pro - Del Básico al Avanzado")</f>
        <v>Lumion 8 Pro - Del Básico al Avanzado</v>
      </c>
      <c r="E212" t="str">
        <f>IFERROR(__xludf.DUMMYFUNCTION("""COMPUTED_VALUE"""),"Robson Jacobsen")</f>
        <v>Robson Jacobsen</v>
      </c>
      <c r="F212" t="str">
        <f>IFERROR(__xludf.DUMMYFUNCTION("""COMPUTED_VALUE"""),"Instructor Request- No Detail")</f>
        <v>Instructor Request- No Detail</v>
      </c>
      <c r="G212" t="str">
        <f>IFERROR(__xludf.DUMMYFUNCTION("""COMPUTED_VALUE"""),"Design")</f>
        <v>Design</v>
      </c>
      <c r="H212" t="str">
        <f>IFERROR(__xludf.DUMMYFUNCTION("""COMPUTED_VALUE"""),"Design Tools")</f>
        <v>Design Tools</v>
      </c>
      <c r="J212" s="140" t="str">
        <f>IFERROR(__xludf.DUMMYFUNCTION("""COMPUTED_VALUE"""),"")</f>
        <v/>
      </c>
      <c r="L212" s="140" t="str">
        <f>IFERROR(__xludf.DUMMYFUNCTION("""COMPUTED_VALUE"""),"")</f>
        <v/>
      </c>
    </row>
    <row r="213">
      <c r="A213" s="143">
        <f>IFERROR(__xludf.DUMMYFUNCTION("""COMPUTED_VALUE"""),43677.0)</f>
        <v>43677</v>
      </c>
      <c r="B213" s="140">
        <f>IFERROR(__xludf.DUMMYFUNCTION("""COMPUTED_VALUE"""),574332.0)</f>
        <v>574332</v>
      </c>
      <c r="C213" s="140" t="str">
        <f>IFERROR(__xludf.DUMMYFUNCTION("""COMPUTED_VALUE"""),"EN")</f>
        <v>EN</v>
      </c>
      <c r="D213" t="str">
        <f>IFERROR(__xludf.DUMMYFUNCTION("""COMPUTED_VALUE"""),"Storage Area Network with Oracle ZFS on Centos Linux : L1")</f>
        <v>Storage Area Network with Oracle ZFS on Centos Linux : L1</v>
      </c>
      <c r="E213" t="str">
        <f>IFERROR(__xludf.DUMMYFUNCTION("""COMPUTED_VALUE"""),"Muhamad Elkenany")</f>
        <v>Muhamad Elkenany</v>
      </c>
      <c r="F213" t="str">
        <f>IFERROR(__xludf.DUMMYFUNCTION("""COMPUTED_VALUE"""),"Instructor Request- Opted Out")</f>
        <v>Instructor Request- Opted Out</v>
      </c>
      <c r="G213" t="str">
        <f>IFERROR(__xludf.DUMMYFUNCTION("""COMPUTED_VALUE"""),"IT Operations")</f>
        <v>IT Operations</v>
      </c>
      <c r="H213" t="str">
        <f>IFERROR(__xludf.DUMMYFUNCTION("""COMPUTED_VALUE"""),"Network &amp; Security")</f>
        <v>Network &amp; Security</v>
      </c>
      <c r="J213" s="140" t="str">
        <f>IFERROR(__xludf.DUMMYFUNCTION("""COMPUTED_VALUE"""),"")</f>
        <v/>
      </c>
      <c r="L213" s="140" t="str">
        <f>IFERROR(__xludf.DUMMYFUNCTION("""COMPUTED_VALUE"""),"")</f>
        <v/>
      </c>
    </row>
    <row r="214">
      <c r="A214" s="143">
        <f>IFERROR(__xludf.DUMMYFUNCTION("""COMPUTED_VALUE"""),43677.0)</f>
        <v>43677</v>
      </c>
      <c r="B214" s="140">
        <f>IFERROR(__xludf.DUMMYFUNCTION("""COMPUTED_VALUE"""),1400386.0)</f>
        <v>1400386</v>
      </c>
      <c r="C214" s="140" t="str">
        <f>IFERROR(__xludf.DUMMYFUNCTION("""COMPUTED_VALUE"""),"EN")</f>
        <v>EN</v>
      </c>
      <c r="D214" t="str">
        <f>IFERROR(__xludf.DUMMYFUNCTION("""COMPUTED_VALUE"""),"Cryptocurrency Trading Course 2019: Achieve Wins Daily!")</f>
        <v>Cryptocurrency Trading Course 2019: Achieve Wins Daily!</v>
      </c>
      <c r="E214" t="str">
        <f>IFERROR(__xludf.DUMMYFUNCTION("""COMPUTED_VALUE"""),"Suppoman ™")</f>
        <v>Suppoman ™</v>
      </c>
      <c r="F214" t="str">
        <f>IFERROR(__xludf.DUMMYFUNCTION("""COMPUTED_VALUE"""),"Below Quality Standards- Low Rating")</f>
        <v>Below Quality Standards- Low Rating</v>
      </c>
      <c r="G214" t="str">
        <f>IFERROR(__xludf.DUMMYFUNCTION("""COMPUTED_VALUE"""),"Finance &amp; Accounting")</f>
        <v>Finance &amp; Accounting</v>
      </c>
      <c r="H214" t="str">
        <f>IFERROR(__xludf.DUMMYFUNCTION("""COMPUTED_VALUE"""),"Investing &amp; Trading")</f>
        <v>Investing &amp; Trading</v>
      </c>
      <c r="I214">
        <f>IFERROR(__xludf.DUMMYFUNCTION("""COMPUTED_VALUE"""),1329878.0)</f>
        <v>1329878</v>
      </c>
      <c r="J214" s="140" t="str">
        <f>IFERROR(__xludf.DUMMYFUNCTION("""COMPUTED_VALUE"""),"Cryptocurrency Investing: Buy &amp; Trade Bitcoin &amp; Altcoins")</f>
        <v>Cryptocurrency Investing: Buy &amp; Trade Bitcoin &amp; Altcoins</v>
      </c>
      <c r="K214" s="140">
        <f>IFERROR(__xludf.DUMMYFUNCTION("""COMPUTED_VALUE"""),1464932.0)</f>
        <v>1464932</v>
      </c>
      <c r="L214" s="140" t="str">
        <f>IFERROR(__xludf.DUMMYFUNCTION("""COMPUTED_VALUE"""),"Full Cryptocurrency Course: Bitcoin, Ethereum &amp; Blockchain")</f>
        <v>Full Cryptocurrency Course: Bitcoin, Ethereum &amp; Blockchain</v>
      </c>
    </row>
    <row r="215">
      <c r="A215" s="143">
        <f>IFERROR(__xludf.DUMMYFUNCTION("""COMPUTED_VALUE"""),43677.0)</f>
        <v>43677</v>
      </c>
      <c r="B215" s="140">
        <f>IFERROR(__xludf.DUMMYFUNCTION("""COMPUTED_VALUE"""),1412986.0)</f>
        <v>1412986</v>
      </c>
      <c r="C215" s="140" t="str">
        <f>IFERROR(__xludf.DUMMYFUNCTION("""COMPUTED_VALUE"""),"EN")</f>
        <v>EN</v>
      </c>
      <c r="D215" t="str">
        <f>IFERROR(__xludf.DUMMYFUNCTION("""COMPUTED_VALUE"""),"RabbitMQ: The Complete Guide with Software Architecture Applications")</f>
        <v>RabbitMQ: The Complete Guide with Software Architecture Applications</v>
      </c>
      <c r="E215" t="str">
        <f>IFERROR(__xludf.DUMMYFUNCTION("""COMPUTED_VALUE"""),"Binary Brain")</f>
        <v>Binary Brain</v>
      </c>
      <c r="F215" t="str">
        <f>IFERROR(__xludf.DUMMYFUNCTION("""COMPUTED_VALUE"""),"Below Quality Standards- Low Rating")</f>
        <v>Below Quality Standards- Low Rating</v>
      </c>
      <c r="G215" t="str">
        <f>IFERROR(__xludf.DUMMYFUNCTION("""COMPUTED_VALUE"""),"Development")</f>
        <v>Development</v>
      </c>
      <c r="H215" t="str">
        <f>IFERROR(__xludf.DUMMYFUNCTION("""COMPUTED_VALUE"""),"Programming Languages")</f>
        <v>Programming Languages</v>
      </c>
      <c r="I215">
        <f>IFERROR(__xludf.DUMMYFUNCTION("""COMPUTED_VALUE"""),1423634.0)</f>
        <v>1423634</v>
      </c>
      <c r="J215" s="140" t="str">
        <f>IFERROR(__xludf.DUMMYFUNCTION("""COMPUTED_VALUE"""),"Learn RabbitMQ: Asynchronous Messaging with Java and Spring")</f>
        <v>Learn RabbitMQ: Asynchronous Messaging with Java and Spring</v>
      </c>
      <c r="L215" s="140" t="str">
        <f>IFERROR(__xludf.DUMMYFUNCTION("""COMPUTED_VALUE"""),"")</f>
        <v/>
      </c>
    </row>
    <row r="216">
      <c r="A216" s="143">
        <f>IFERROR(__xludf.DUMMYFUNCTION("""COMPUTED_VALUE"""),43677.0)</f>
        <v>43677</v>
      </c>
      <c r="B216" s="140">
        <f>IFERROR(__xludf.DUMMYFUNCTION("""COMPUTED_VALUE"""),1333668.0)</f>
        <v>1333668</v>
      </c>
      <c r="C216" s="140" t="str">
        <f>IFERROR(__xludf.DUMMYFUNCTION("""COMPUTED_VALUE"""),"EN")</f>
        <v>EN</v>
      </c>
      <c r="D216" t="str">
        <f>IFERROR(__xludf.DUMMYFUNCTION("""COMPUTED_VALUE"""),"IBM Qradar SIEM Fundamentals for Incident Response")</f>
        <v>IBM Qradar SIEM Fundamentals for Incident Response</v>
      </c>
      <c r="E216" t="str">
        <f>IFERROR(__xludf.DUMMYFUNCTION("""COMPUTED_VALUE"""),"Roland Costea")</f>
        <v>Roland Costea</v>
      </c>
      <c r="F216" t="str">
        <f>IFERROR(__xludf.DUMMYFUNCTION("""COMPUTED_VALUE"""),"Below Quality Standards- Low Rating")</f>
        <v>Below Quality Standards- Low Rating</v>
      </c>
      <c r="G216" t="str">
        <f>IFERROR(__xludf.DUMMYFUNCTION("""COMPUTED_VALUE"""),"IT Operations")</f>
        <v>IT Operations</v>
      </c>
      <c r="H216" t="str">
        <f>IFERROR(__xludf.DUMMYFUNCTION("""COMPUTED_VALUE"""),"Network &amp; Security")</f>
        <v>Network &amp; Security</v>
      </c>
      <c r="I216">
        <f>IFERROR(__xludf.DUMMYFUNCTION("""COMPUTED_VALUE"""),1333522.0)</f>
        <v>1333522</v>
      </c>
      <c r="J216" s="140" t="str">
        <f>IFERROR(__xludf.DUMMYFUNCTION("""COMPUTED_VALUE"""),"")</f>
        <v/>
      </c>
      <c r="L216" s="140" t="str">
        <f>IFERROR(__xludf.DUMMYFUNCTION("""COMPUTED_VALUE"""),"")</f>
        <v/>
      </c>
    </row>
    <row r="217">
      <c r="A217" s="143">
        <f>IFERROR(__xludf.DUMMYFUNCTION("""COMPUTED_VALUE"""),43677.0)</f>
        <v>43677</v>
      </c>
      <c r="B217" s="140">
        <f>IFERROR(__xludf.DUMMYFUNCTION("""COMPUTED_VALUE"""),1739596.0)</f>
        <v>1739596</v>
      </c>
      <c r="C217" s="140" t="str">
        <f>IFERROR(__xludf.DUMMYFUNCTION("""COMPUTED_VALUE"""),"EN")</f>
        <v>EN</v>
      </c>
      <c r="D217" t="str">
        <f>IFERROR(__xludf.DUMMYFUNCTION("""COMPUTED_VALUE"""),"Red Hat OpenShift With Jenkins: DevOps For Beginners")</f>
        <v>Red Hat OpenShift With Jenkins: DevOps For Beginners</v>
      </c>
      <c r="E217" t="str">
        <f>IFERROR(__xludf.DUMMYFUNCTION("""COMPUTED_VALUE"""),"Syed Raza")</f>
        <v>Syed Raza</v>
      </c>
      <c r="F217" t="str">
        <f>IFERROR(__xludf.DUMMYFUNCTION("""COMPUTED_VALUE"""),"Below Quality Standards- Low Rating")</f>
        <v>Below Quality Standards- Low Rating</v>
      </c>
      <c r="G217" t="str">
        <f>IFERROR(__xludf.DUMMYFUNCTION("""COMPUTED_VALUE"""),"Development")</f>
        <v>Development</v>
      </c>
      <c r="H217" t="str">
        <f>IFERROR(__xludf.DUMMYFUNCTION("""COMPUTED_VALUE"""),"Development Tools")</f>
        <v>Development Tools</v>
      </c>
      <c r="J217" s="140" t="str">
        <f>IFERROR(__xludf.DUMMYFUNCTION("""COMPUTED_VALUE"""),"")</f>
        <v/>
      </c>
      <c r="L217" s="140" t="str">
        <f>IFERROR(__xludf.DUMMYFUNCTION("""COMPUTED_VALUE"""),"")</f>
        <v/>
      </c>
    </row>
    <row r="218">
      <c r="A218" s="143">
        <f>IFERROR(__xludf.DUMMYFUNCTION("""COMPUTED_VALUE"""),43677.0)</f>
        <v>43677</v>
      </c>
      <c r="B218" s="140">
        <f>IFERROR(__xludf.DUMMYFUNCTION("""COMPUTED_VALUE"""),1855330.0)</f>
        <v>1855330</v>
      </c>
      <c r="C218" s="140" t="str">
        <f>IFERROR(__xludf.DUMMYFUNCTION("""COMPUTED_VALUE"""),"EN")</f>
        <v>EN</v>
      </c>
      <c r="D218" t="str">
        <f>IFERROR(__xludf.DUMMYFUNCTION("""COMPUTED_VALUE"""),"Snowflake Data Warehouse and Cloud Data Analytics")</f>
        <v>Snowflake Data Warehouse and Cloud Data Analytics</v>
      </c>
      <c r="E218" t="str">
        <f>IFERROR(__xludf.DUMMYFUNCTION("""COMPUTED_VALUE"""),"Rajkumar Govindaraman")</f>
        <v>Rajkumar Govindaraman</v>
      </c>
      <c r="F218" t="str">
        <f>IFERROR(__xludf.DUMMYFUNCTION("""COMPUTED_VALUE"""),"Instructor Request- Opted Out")</f>
        <v>Instructor Request- Opted Out</v>
      </c>
      <c r="G218" t="str">
        <f>IFERROR(__xludf.DUMMYFUNCTION("""COMPUTED_VALUE"""),"Data Science")</f>
        <v>Data Science</v>
      </c>
      <c r="H218" t="str">
        <f>IFERROR(__xludf.DUMMYFUNCTION("""COMPUTED_VALUE"""),"Analytics")</f>
        <v>Analytics</v>
      </c>
      <c r="J218" s="140" t="str">
        <f>IFERROR(__xludf.DUMMYFUNCTION("""COMPUTED_VALUE"""),"")</f>
        <v/>
      </c>
      <c r="L218" s="140" t="str">
        <f>IFERROR(__xludf.DUMMYFUNCTION("""COMPUTED_VALUE"""),"")</f>
        <v/>
      </c>
    </row>
    <row r="219">
      <c r="A219" s="143">
        <f>IFERROR(__xludf.DUMMYFUNCTION("""COMPUTED_VALUE"""),43677.0)</f>
        <v>43677</v>
      </c>
      <c r="B219" s="140">
        <f>IFERROR(__xludf.DUMMYFUNCTION("""COMPUTED_VALUE"""),1401596.0)</f>
        <v>1401596</v>
      </c>
      <c r="C219" s="140" t="str">
        <f>IFERROR(__xludf.DUMMYFUNCTION("""COMPUTED_VALUE"""),"EN")</f>
        <v>EN</v>
      </c>
      <c r="D219" t="str">
        <f>IFERROR(__xludf.DUMMYFUNCTION("""COMPUTED_VALUE"""),"Hands-on Chatbots with Google Dialogflow")</f>
        <v>Hands-on Chatbots with Google Dialogflow</v>
      </c>
      <c r="E219" t="str">
        <f>IFERROR(__xludf.DUMMYFUNCTION("""COMPUTED_VALUE"""),"Loony Corn")</f>
        <v>Loony Corn</v>
      </c>
      <c r="F219" t="str">
        <f>IFERROR(__xludf.DUMMYFUNCTION("""COMPUTED_VALUE"""),"Below Quality Standards- Low Rating")</f>
        <v>Below Quality Standards- Low Rating</v>
      </c>
      <c r="G219" t="str">
        <f>IFERROR(__xludf.DUMMYFUNCTION("""COMPUTED_VALUE"""),"Development")</f>
        <v>Development</v>
      </c>
      <c r="H219" t="str">
        <f>IFERROR(__xludf.DUMMYFUNCTION("""COMPUTED_VALUE"""),"Web Development")</f>
        <v>Web Development</v>
      </c>
      <c r="I219">
        <f>IFERROR(__xludf.DUMMYFUNCTION("""COMPUTED_VALUE"""),875194.0)</f>
        <v>875194</v>
      </c>
      <c r="J219" s="140" t="str">
        <f>IFERROR(__xludf.DUMMYFUNCTION("""COMPUTED_VALUE"""),"Build Incredible Chatbots")</f>
        <v>Build Incredible Chatbots</v>
      </c>
      <c r="L219" s="140" t="str">
        <f>IFERROR(__xludf.DUMMYFUNCTION("""COMPUTED_VALUE"""),"")</f>
        <v/>
      </c>
    </row>
    <row r="220">
      <c r="A220" s="143">
        <f>IFERROR(__xludf.DUMMYFUNCTION("""COMPUTED_VALUE"""),43677.0)</f>
        <v>43677</v>
      </c>
      <c r="B220" s="140">
        <f>IFERROR(__xludf.DUMMYFUNCTION("""COMPUTED_VALUE"""),1251784.0)</f>
        <v>1251784</v>
      </c>
      <c r="C220" s="140" t="str">
        <f>IFERROR(__xludf.DUMMYFUNCTION("""COMPUTED_VALUE"""),"EN")</f>
        <v>EN</v>
      </c>
      <c r="D220" t="str">
        <f>IFERROR(__xludf.DUMMYFUNCTION("""COMPUTED_VALUE"""),"Payroll Accounting Introduction")</f>
        <v>Payroll Accounting Introduction</v>
      </c>
      <c r="E220" t="str">
        <f>IFERROR(__xludf.DUMMYFUNCTION("""COMPUTED_VALUE"""),"Illumeo Learning")</f>
        <v>Illumeo Learning</v>
      </c>
      <c r="F220" t="str">
        <f>IFERROR(__xludf.DUMMYFUNCTION("""COMPUTED_VALUE"""),"Below Quality Standards- Low Rating")</f>
        <v>Below Quality Standards- Low Rating</v>
      </c>
      <c r="G220" t="str">
        <f>IFERROR(__xludf.DUMMYFUNCTION("""COMPUTED_VALUE"""),"Finance &amp; Accounting")</f>
        <v>Finance &amp; Accounting</v>
      </c>
      <c r="H220" t="str">
        <f>IFERROR(__xludf.DUMMYFUNCTION("""COMPUTED_VALUE"""),"Accounting")</f>
        <v>Accounting</v>
      </c>
      <c r="I220">
        <f>IFERROR(__xludf.DUMMYFUNCTION("""COMPUTED_VALUE"""),354324.0)</f>
        <v>354324</v>
      </c>
      <c r="J220" s="140" t="str">
        <f>IFERROR(__xludf.DUMMYFUNCTION("""COMPUTED_VALUE"""),"Accounting 2 Simplified for You")</f>
        <v>Accounting 2 Simplified for You</v>
      </c>
      <c r="L220" s="140" t="str">
        <f>IFERROR(__xludf.DUMMYFUNCTION("""COMPUTED_VALUE"""),"")</f>
        <v/>
      </c>
    </row>
    <row r="221">
      <c r="A221" s="143">
        <f>IFERROR(__xludf.DUMMYFUNCTION("""COMPUTED_VALUE"""),43677.0)</f>
        <v>43677</v>
      </c>
      <c r="B221" s="140">
        <f>IFERROR(__xludf.DUMMYFUNCTION("""COMPUTED_VALUE"""),23881.0)</f>
        <v>23881</v>
      </c>
      <c r="C221" s="140" t="str">
        <f>IFERROR(__xludf.DUMMYFUNCTION("""COMPUTED_VALUE"""),"EN")</f>
        <v>EN</v>
      </c>
      <c r="D221" t="str">
        <f>IFERROR(__xludf.DUMMYFUNCTION("""COMPUTED_VALUE"""),"How to Ask Powerful, Emotionally Engaging Questions")</f>
        <v>How to Ask Powerful, Emotionally Engaging Questions</v>
      </c>
      <c r="E221" t="str">
        <f>IFERROR(__xludf.DUMMYFUNCTION("""COMPUTED_VALUE"""),"Jeffrey Gitomer")</f>
        <v>Jeffrey Gitomer</v>
      </c>
      <c r="F221" t="str">
        <f>IFERROR(__xludf.DUMMYFUNCTION("""COMPUTED_VALUE"""),"Below Quality Standards- 3 Flags")</f>
        <v>Below Quality Standards- 3 Flags</v>
      </c>
      <c r="G221" t="str">
        <f>IFERROR(__xludf.DUMMYFUNCTION("""COMPUTED_VALUE"""),"Sales")</f>
        <v>Sales</v>
      </c>
      <c r="H221" t="str">
        <f>IFERROR(__xludf.DUMMYFUNCTION("""COMPUTED_VALUE"""),"Sales Skills &amp; Tools")</f>
        <v>Sales Skills &amp; Tools</v>
      </c>
      <c r="I221">
        <f>IFERROR(__xludf.DUMMYFUNCTION("""COMPUTED_VALUE"""),285934.0)</f>
        <v>285934</v>
      </c>
      <c r="J221" s="140" t="str">
        <f>IFERROR(__xludf.DUMMYFUNCTION("""COMPUTED_VALUE"""),"Ask Better Questions - Build Better Relationships")</f>
        <v>Ask Better Questions - Build Better Relationships</v>
      </c>
      <c r="L221" s="140" t="str">
        <f>IFERROR(__xludf.DUMMYFUNCTION("""COMPUTED_VALUE"""),"")</f>
        <v/>
      </c>
    </row>
    <row r="222">
      <c r="A222" s="143">
        <f>IFERROR(__xludf.DUMMYFUNCTION("""COMPUTED_VALUE"""),43677.0)</f>
        <v>43677</v>
      </c>
      <c r="B222" s="140">
        <f>IFERROR(__xludf.DUMMYFUNCTION("""COMPUTED_VALUE"""),523328.0)</f>
        <v>523328</v>
      </c>
      <c r="C222" s="140" t="str">
        <f>IFERROR(__xludf.DUMMYFUNCTION("""COMPUTED_VALUE"""),"EN")</f>
        <v>EN</v>
      </c>
      <c r="D222" t="str">
        <f>IFERROR(__xludf.DUMMYFUNCTION("""COMPUTED_VALUE"""),"Mindfulness For Busy People")</f>
        <v>Mindfulness For Busy People</v>
      </c>
      <c r="E222" t="str">
        <f>IFERROR(__xludf.DUMMYFUNCTION("""COMPUTED_VALUE"""),"Vincent van Overveld |&amp;samhoud media")</f>
        <v>Vincent van Overveld |&amp;samhoud media</v>
      </c>
      <c r="F222" t="str">
        <f>IFERROR(__xludf.DUMMYFUNCTION("""COMPUTED_VALUE"""),"Below Quality Standards- 3 Flags")</f>
        <v>Below Quality Standards- 3 Flags</v>
      </c>
      <c r="G222" t="str">
        <f>IFERROR(__xludf.DUMMYFUNCTION("""COMPUTED_VALUE"""),"Personal Development")</f>
        <v>Personal Development</v>
      </c>
      <c r="H222" t="str">
        <f>IFERROR(__xludf.DUMMYFUNCTION("""COMPUTED_VALUE"""),"Stress Management")</f>
        <v>Stress Management</v>
      </c>
      <c r="I222">
        <f>IFERROR(__xludf.DUMMYFUNCTION("""COMPUTED_VALUE"""),613214.0)</f>
        <v>613214</v>
      </c>
      <c r="J222" s="140" t="str">
        <f>IFERROR(__xludf.DUMMYFUNCTION("""COMPUTED_VALUE"""),"Practical Mindfulness - Mindfulness and mindful meditation")</f>
        <v>Practical Mindfulness - Mindfulness and mindful meditation</v>
      </c>
      <c r="K222" s="140">
        <f>IFERROR(__xludf.DUMMYFUNCTION("""COMPUTED_VALUE"""),1412618.0)</f>
        <v>1412618</v>
      </c>
      <c r="L222" s="140" t="str">
        <f>IFERROR(__xludf.DUMMYFUNCTION("""COMPUTED_VALUE"""),"Mindfulness Meditation for Real Life")</f>
        <v>Mindfulness Meditation for Real Life</v>
      </c>
    </row>
    <row r="223">
      <c r="A223" s="143">
        <f>IFERROR(__xludf.DUMMYFUNCTION("""COMPUTED_VALUE"""),43677.0)</f>
        <v>43677</v>
      </c>
      <c r="B223" s="140">
        <f>IFERROR(__xludf.DUMMYFUNCTION("""COMPUTED_VALUE"""),9513.0)</f>
        <v>9513</v>
      </c>
      <c r="C223" s="140" t="str">
        <f>IFERROR(__xludf.DUMMYFUNCTION("""COMPUTED_VALUE"""),"EN")</f>
        <v>EN</v>
      </c>
      <c r="D223" t="str">
        <f>IFERROR(__xludf.DUMMYFUNCTION("""COMPUTED_VALUE"""),"Learning Autodesk AutoCAD - Crash Course")</f>
        <v>Learning Autodesk AutoCAD - Crash Course</v>
      </c>
      <c r="E223" t="str">
        <f>IFERROR(__xludf.DUMMYFUNCTION("""COMPUTED_VALUE"""),"Andrew Schroeder")</f>
        <v>Andrew Schroeder</v>
      </c>
      <c r="F223" t="str">
        <f>IFERROR(__xludf.DUMMYFUNCTION("""COMPUTED_VALUE"""),"Below Quality Standards- 3 Flags")</f>
        <v>Below Quality Standards- 3 Flags</v>
      </c>
      <c r="G223" t="str">
        <f>IFERROR(__xludf.DUMMYFUNCTION("""COMPUTED_VALUE"""),"Design")</f>
        <v>Design</v>
      </c>
      <c r="H223" t="str">
        <f>IFERROR(__xludf.DUMMYFUNCTION("""COMPUTED_VALUE"""),"Design Tools")</f>
        <v>Design Tools</v>
      </c>
      <c r="I223">
        <f>IFERROR(__xludf.DUMMYFUNCTION("""COMPUTED_VALUE"""),1271196.0)</f>
        <v>1271196</v>
      </c>
      <c r="J223" s="140" t="str">
        <f>IFERROR(__xludf.DUMMYFUNCTION("""COMPUTED_VALUE"""),"The complete AutoCAD 2018-21 course")</f>
        <v>The complete AutoCAD 2018-21 course</v>
      </c>
      <c r="L223" s="140" t="str">
        <f>IFERROR(__xludf.DUMMYFUNCTION("""COMPUTED_VALUE"""),"")</f>
        <v/>
      </c>
    </row>
    <row r="224">
      <c r="A224" s="143">
        <f>IFERROR(__xludf.DUMMYFUNCTION("""COMPUTED_VALUE"""),43677.0)</f>
        <v>43677</v>
      </c>
      <c r="B224" s="140">
        <f>IFERROR(__xludf.DUMMYFUNCTION("""COMPUTED_VALUE"""),820582.0)</f>
        <v>820582</v>
      </c>
      <c r="C224" s="140" t="str">
        <f>IFERROR(__xludf.DUMMYFUNCTION("""COMPUTED_VALUE"""),"EN")</f>
        <v>EN</v>
      </c>
      <c r="D224" t="str">
        <f>IFERROR(__xludf.DUMMYFUNCTION("""COMPUTED_VALUE"""),"YouTube: Get Laser Targeted Traffic With YouTube Ads")</f>
        <v>YouTube: Get Laser Targeted Traffic With YouTube Ads</v>
      </c>
      <c r="E224" t="str">
        <f>IFERROR(__xludf.DUMMYFUNCTION("""COMPUTED_VALUE"""),"Skill Pride .")</f>
        <v>Skill Pride .</v>
      </c>
      <c r="F224" t="str">
        <f>IFERROR(__xludf.DUMMYFUNCTION("""COMPUTED_VALUE"""),"Below Quality Standards- 3 Flags")</f>
        <v>Below Quality Standards- 3 Flags</v>
      </c>
      <c r="G224" t="str">
        <f>IFERROR(__xludf.DUMMYFUNCTION("""COMPUTED_VALUE"""),"Marketing")</f>
        <v>Marketing</v>
      </c>
      <c r="H224" t="str">
        <f>IFERROR(__xludf.DUMMYFUNCTION("""COMPUTED_VALUE"""),"Video &amp; Mobile Marketing")</f>
        <v>Video &amp; Mobile Marketing</v>
      </c>
      <c r="I224">
        <f>IFERROR(__xludf.DUMMYFUNCTION("""COMPUTED_VALUE"""),690694.0)</f>
        <v>690694</v>
      </c>
      <c r="J224" s="140" t="str">
        <f>IFERROR(__xludf.DUMMYFUNCTION("""COMPUTED_VALUE"""),"YouTube Marketing 2021: YouTube SEO &amp; YouTube Algorithms")</f>
        <v>YouTube Marketing 2021: YouTube SEO &amp; YouTube Algorithms</v>
      </c>
      <c r="K224" s="140">
        <f>IFERROR(__xludf.DUMMYFUNCTION("""COMPUTED_VALUE"""),934032.0)</f>
        <v>934032</v>
      </c>
      <c r="L224" s="140" t="str">
        <f>IFERROR(__xludf.DUMMYFUNCTION("""COMPUTED_VALUE"""),"YouTube SEO: How to Rank #1 on YouTube")</f>
        <v>YouTube SEO: How to Rank #1 on YouTube</v>
      </c>
    </row>
    <row r="225">
      <c r="A225" s="143">
        <f>IFERROR(__xludf.DUMMYFUNCTION("""COMPUTED_VALUE"""),43677.0)</f>
        <v>43677</v>
      </c>
      <c r="B225" s="140">
        <f>IFERROR(__xludf.DUMMYFUNCTION("""COMPUTED_VALUE"""),1078808.0)</f>
        <v>1078808</v>
      </c>
      <c r="C225" s="140" t="str">
        <f>IFERROR(__xludf.DUMMYFUNCTION("""COMPUTED_VALUE"""),"EN")</f>
        <v>EN</v>
      </c>
      <c r="D225" t="str">
        <f>IFERROR(__xludf.DUMMYFUNCTION("""COMPUTED_VALUE"""),"Negotiate like a Champion in Any Walk of Life")</f>
        <v>Negotiate like a Champion in Any Walk of Life</v>
      </c>
      <c r="E225" t="str">
        <f>IFERROR(__xludf.DUMMYFUNCTION("""COMPUTED_VALUE"""),"Sundar Nathan")</f>
        <v>Sundar Nathan</v>
      </c>
      <c r="F225" t="str">
        <f>IFERROR(__xludf.DUMMYFUNCTION("""COMPUTED_VALUE"""),"Below Quality Standards- 3 Flags")</f>
        <v>Below Quality Standards- 3 Flags</v>
      </c>
      <c r="G225" t="str">
        <f>IFERROR(__xludf.DUMMYFUNCTION("""COMPUTED_VALUE"""),"Sales")</f>
        <v>Sales</v>
      </c>
      <c r="H225" t="str">
        <f>IFERROR(__xludf.DUMMYFUNCTION("""COMPUTED_VALUE"""),"Sales Skills &amp; Tools")</f>
        <v>Sales Skills &amp; Tools</v>
      </c>
      <c r="I225">
        <f>IFERROR(__xludf.DUMMYFUNCTION("""COMPUTED_VALUE"""),477888.0)</f>
        <v>477888</v>
      </c>
      <c r="J225" s="140" t="str">
        <f>IFERROR(__xludf.DUMMYFUNCTION("""COMPUTED_VALUE"""),"Successful Negotiation: Master Your Negotiating Skills")</f>
        <v>Successful Negotiation: Master Your Negotiating Skills</v>
      </c>
      <c r="K225" s="140">
        <f>IFERROR(__xludf.DUMMYFUNCTION("""COMPUTED_VALUE"""),1364336.0)</f>
        <v>1364336</v>
      </c>
      <c r="L225" s="140" t="str">
        <f>IFERROR(__xludf.DUMMYFUNCTION("""COMPUTED_VALUE"""),"Negotiation Fundamentals: How To Negotiate Effectively")</f>
        <v>Negotiation Fundamentals: How To Negotiate Effectively</v>
      </c>
    </row>
    <row r="226">
      <c r="A226" s="143">
        <f>IFERROR(__xludf.DUMMYFUNCTION("""COMPUTED_VALUE"""),43677.0)</f>
        <v>43677</v>
      </c>
      <c r="B226" s="140">
        <f>IFERROR(__xludf.DUMMYFUNCTION("""COMPUTED_VALUE"""),512922.0)</f>
        <v>512922</v>
      </c>
      <c r="C226" s="140" t="str">
        <f>IFERROR(__xludf.DUMMYFUNCTION("""COMPUTED_VALUE"""),"EN")</f>
        <v>EN</v>
      </c>
      <c r="D226" t="str">
        <f>IFERROR(__xludf.DUMMYFUNCTION("""COMPUTED_VALUE"""),"Introduction to Microsoft Windows Workflow Foundation WF")</f>
        <v>Introduction to Microsoft Windows Workflow Foundation WF</v>
      </c>
      <c r="E226" t="str">
        <f>IFERROR(__xludf.DUMMYFUNCTION("""COMPUTED_VALUE"""),"Scott Duffy")</f>
        <v>Scott Duffy</v>
      </c>
      <c r="F226" t="str">
        <f>IFERROR(__xludf.DUMMYFUNCTION("""COMPUTED_VALUE"""),"Below Quality Standards- 3 Flags")</f>
        <v>Below Quality Standards- 3 Flags</v>
      </c>
      <c r="G226" t="str">
        <f>IFERROR(__xludf.DUMMYFUNCTION("""COMPUTED_VALUE"""),"Development")</f>
        <v>Development</v>
      </c>
      <c r="H226" t="str">
        <f>IFERROR(__xludf.DUMMYFUNCTION("""COMPUTED_VALUE"""),"Development Tools")</f>
        <v>Development Tools</v>
      </c>
      <c r="J226" s="140" t="str">
        <f>IFERROR(__xludf.DUMMYFUNCTION("""COMPUTED_VALUE"""),"")</f>
        <v/>
      </c>
      <c r="L226" s="140" t="str">
        <f>IFERROR(__xludf.DUMMYFUNCTION("""COMPUTED_VALUE"""),"")</f>
        <v/>
      </c>
    </row>
    <row r="227">
      <c r="A227" s="143">
        <f>IFERROR(__xludf.DUMMYFUNCTION("""COMPUTED_VALUE"""),43677.0)</f>
        <v>43677</v>
      </c>
      <c r="B227" s="140">
        <f>IFERROR(__xludf.DUMMYFUNCTION("""COMPUTED_VALUE"""),849592.0)</f>
        <v>849592</v>
      </c>
      <c r="C227" s="140" t="str">
        <f>IFERROR(__xludf.DUMMYFUNCTION("""COMPUTED_VALUE"""),"EN")</f>
        <v>EN</v>
      </c>
      <c r="D227" t="str">
        <f>IFERROR(__xludf.DUMMYFUNCTION("""COMPUTED_VALUE"""),"Building Games with Phaser")</f>
        <v>Building Games with Phaser</v>
      </c>
      <c r="E227" t="str">
        <f>IFERROR(__xludf.DUMMYFUNCTION("""COMPUTED_VALUE"""),"William Clarkson")</f>
        <v>William Clarkson</v>
      </c>
      <c r="F227" t="str">
        <f>IFERROR(__xludf.DUMMYFUNCTION("""COMPUTED_VALUE"""),"Below Quality Standards- 3 Flags")</f>
        <v>Below Quality Standards- 3 Flags</v>
      </c>
      <c r="G227" t="str">
        <f>IFERROR(__xludf.DUMMYFUNCTION("""COMPUTED_VALUE"""),"Development")</f>
        <v>Development</v>
      </c>
      <c r="H227" t="str">
        <f>IFERROR(__xludf.DUMMYFUNCTION("""COMPUTED_VALUE"""),"Mobile Development")</f>
        <v>Mobile Development</v>
      </c>
      <c r="J227" s="140" t="str">
        <f>IFERROR(__xludf.DUMMYFUNCTION("""COMPUTED_VALUE"""),"")</f>
        <v/>
      </c>
      <c r="L227" s="140" t="str">
        <f>IFERROR(__xludf.DUMMYFUNCTION("""COMPUTED_VALUE"""),"")</f>
        <v/>
      </c>
    </row>
    <row r="228">
      <c r="A228" s="143">
        <f>IFERROR(__xludf.DUMMYFUNCTION("""COMPUTED_VALUE"""),43677.0)</f>
        <v>43677</v>
      </c>
      <c r="B228" s="140">
        <f>IFERROR(__xludf.DUMMYFUNCTION("""COMPUTED_VALUE"""),660870.0)</f>
        <v>660870</v>
      </c>
      <c r="C228" s="140" t="str">
        <f>IFERROR(__xludf.DUMMYFUNCTION("""COMPUTED_VALUE"""),"EN")</f>
        <v>EN</v>
      </c>
      <c r="D228" t="str">
        <f>IFERROR(__xludf.DUMMYFUNCTION("""COMPUTED_VALUE"""),"Mastering Yii 2")</f>
        <v>Mastering Yii 2</v>
      </c>
      <c r="E228" t="str">
        <f>IFERROR(__xludf.DUMMYFUNCTION("""COMPUTED_VALUE"""),"Packt Publishing")</f>
        <v>Packt Publishing</v>
      </c>
      <c r="F228" t="str">
        <f>IFERROR(__xludf.DUMMYFUNCTION("""COMPUTED_VALUE"""),"Below Quality Standards- 3 Flags")</f>
        <v>Below Quality Standards- 3 Flags</v>
      </c>
      <c r="G228" t="str">
        <f>IFERROR(__xludf.DUMMYFUNCTION("""COMPUTED_VALUE"""),"Development")</f>
        <v>Development</v>
      </c>
      <c r="H228" t="str">
        <f>IFERROR(__xludf.DUMMYFUNCTION("""COMPUTED_VALUE"""),"Web Development")</f>
        <v>Web Development</v>
      </c>
      <c r="J228" s="140" t="str">
        <f>IFERROR(__xludf.DUMMYFUNCTION("""COMPUTED_VALUE"""),"")</f>
        <v/>
      </c>
      <c r="L228" s="140" t="str">
        <f>IFERROR(__xludf.DUMMYFUNCTION("""COMPUTED_VALUE"""),"")</f>
        <v/>
      </c>
    </row>
    <row r="229">
      <c r="A229" s="143">
        <f>IFERROR(__xludf.DUMMYFUNCTION("""COMPUTED_VALUE"""),43677.0)</f>
        <v>43677</v>
      </c>
      <c r="B229" s="140">
        <f>IFERROR(__xludf.DUMMYFUNCTION("""COMPUTED_VALUE"""),946788.0)</f>
        <v>946788</v>
      </c>
      <c r="C229" s="140" t="str">
        <f>IFERROR(__xludf.DUMMYFUNCTION("""COMPUTED_VALUE"""),"EN")</f>
        <v>EN</v>
      </c>
      <c r="D229" t="str">
        <f>IFERROR(__xludf.DUMMYFUNCTION("""COMPUTED_VALUE"""),"Introduction to Organization Change - Getting Started")</f>
        <v>Introduction to Organization Change - Getting Started</v>
      </c>
      <c r="E229" t="str">
        <f>IFERROR(__xludf.DUMMYFUNCTION("""COMPUTED_VALUE"""),"Dr. Ross Wirth")</f>
        <v>Dr. Ross Wirth</v>
      </c>
      <c r="F229" t="str">
        <f>IFERROR(__xludf.DUMMYFUNCTION("""COMPUTED_VALUE"""),"Below Quality Standards- 3 Flags")</f>
        <v>Below Quality Standards- 3 Flags</v>
      </c>
      <c r="G229" t="str">
        <f>IFERROR(__xludf.DUMMYFUNCTION("""COMPUTED_VALUE"""),"Leadership &amp; Management")</f>
        <v>Leadership &amp; Management</v>
      </c>
      <c r="H229" t="str">
        <f>IFERROR(__xludf.DUMMYFUNCTION("""COMPUTED_VALUE"""),"Strategy")</f>
        <v>Strategy</v>
      </c>
      <c r="I229">
        <f>IFERROR(__xludf.DUMMYFUNCTION("""COMPUTED_VALUE"""),671208.0)</f>
        <v>671208</v>
      </c>
      <c r="J229" s="140" t="str">
        <f>IFERROR(__xludf.DUMMYFUNCTION("""COMPUTED_VALUE"""),"Change Management Training: Master the Change Process!")</f>
        <v>Change Management Training: Master the Change Process!</v>
      </c>
      <c r="L229" s="140" t="str">
        <f>IFERROR(__xludf.DUMMYFUNCTION("""COMPUTED_VALUE"""),"")</f>
        <v/>
      </c>
    </row>
    <row r="230">
      <c r="A230" s="143">
        <f>IFERROR(__xludf.DUMMYFUNCTION("""COMPUTED_VALUE"""),43677.0)</f>
        <v>43677</v>
      </c>
      <c r="B230" s="140">
        <f>IFERROR(__xludf.DUMMYFUNCTION("""COMPUTED_VALUE"""),1343726.0)</f>
        <v>1343726</v>
      </c>
      <c r="C230" s="140" t="str">
        <f>IFERROR(__xludf.DUMMYFUNCTION("""COMPUTED_VALUE"""),"EN")</f>
        <v>EN</v>
      </c>
      <c r="D230" t="str">
        <f>IFERROR(__xludf.DUMMYFUNCTION("""COMPUTED_VALUE"""),"Acumen Presents: Kim Scott on Radical Candor")</f>
        <v>Acumen Presents: Kim Scott on Radical Candor</v>
      </c>
      <c r="E230" t="str">
        <f>IFERROR(__xludf.DUMMYFUNCTION("""COMPUTED_VALUE"""),"Acumen Courses")</f>
        <v>Acumen Courses</v>
      </c>
      <c r="F230" t="str">
        <f>IFERROR(__xludf.DUMMYFUNCTION("""COMPUTED_VALUE"""),"Instructor Request- Opted Out")</f>
        <v>Instructor Request- Opted Out</v>
      </c>
      <c r="G230" t="str">
        <f>IFERROR(__xludf.DUMMYFUNCTION("""COMPUTED_VALUE"""),"Leadership &amp; Management")</f>
        <v>Leadership &amp; Management</v>
      </c>
      <c r="H230" t="str">
        <f>IFERROR(__xludf.DUMMYFUNCTION("""COMPUTED_VALUE"""),"Leadership")</f>
        <v>Leadership</v>
      </c>
      <c r="I230">
        <f>IFERROR(__xludf.DUMMYFUNCTION("""COMPUTED_VALUE"""),1337206.0)</f>
        <v>1337206</v>
      </c>
      <c r="J230" s="140" t="str">
        <f>IFERROR(__xludf.DUMMYFUNCTION("""COMPUTED_VALUE"""),"Feedback is Fuel")</f>
        <v>Feedback is Fuel</v>
      </c>
      <c r="K230" s="140">
        <f>IFERROR(__xludf.DUMMYFUNCTION("""COMPUTED_VALUE"""),1333184.0)</f>
        <v>1333184</v>
      </c>
      <c r="L230" s="140" t="str">
        <f>IFERROR(__xludf.DUMMYFUNCTION("""COMPUTED_VALUE"""),"Giving and Receiving Feedback for Management and Leadership")</f>
        <v>Giving and Receiving Feedback for Management and Leadership</v>
      </c>
    </row>
    <row r="231">
      <c r="A231" s="143">
        <f>IFERROR(__xludf.DUMMYFUNCTION("""COMPUTED_VALUE"""),43677.0)</f>
        <v>43677</v>
      </c>
      <c r="B231" s="140">
        <f>IFERROR(__xludf.DUMMYFUNCTION("""COMPUTED_VALUE"""),1325686.0)</f>
        <v>1325686</v>
      </c>
      <c r="C231" s="140" t="str">
        <f>IFERROR(__xludf.DUMMYFUNCTION("""COMPUTED_VALUE"""),"EN")</f>
        <v>EN</v>
      </c>
      <c r="D231" t="str">
        <f>IFERROR(__xludf.DUMMYFUNCTION("""COMPUTED_VALUE"""),"Learn Android Application Development")</f>
        <v>Learn Android Application Development</v>
      </c>
      <c r="E231" t="str">
        <f>IFERROR(__xludf.DUMMYFUNCTION("""COMPUTED_VALUE"""),"ProgramMe Programming")</f>
        <v>ProgramMe Programming</v>
      </c>
      <c r="F231" t="str">
        <f>IFERROR(__xludf.DUMMYFUNCTION("""COMPUTED_VALUE"""),"Instructor Request- No Detail")</f>
        <v>Instructor Request- No Detail</v>
      </c>
      <c r="G231" t="str">
        <f>IFERROR(__xludf.DUMMYFUNCTION("""COMPUTED_VALUE"""),"Development")</f>
        <v>Development</v>
      </c>
      <c r="H231" t="str">
        <f>IFERROR(__xludf.DUMMYFUNCTION("""COMPUTED_VALUE"""),"Mobile Development")</f>
        <v>Mobile Development</v>
      </c>
      <c r="I231">
        <f>IFERROR(__xludf.DUMMYFUNCTION("""COMPUTED_VALUE"""),146156.0)</f>
        <v>146156</v>
      </c>
      <c r="J231" s="140" t="str">
        <f>IFERROR(__xludf.DUMMYFUNCTION("""COMPUTED_VALUE"""),"")</f>
        <v/>
      </c>
      <c r="K231" s="140">
        <f>IFERROR(__xludf.DUMMYFUNCTION("""COMPUTED_VALUE"""),919872.0)</f>
        <v>919872</v>
      </c>
      <c r="L231" s="140" t="str">
        <f>IFERROR(__xludf.DUMMYFUNCTION("""COMPUTED_VALUE"""),"Android Java Masterclass - Become an App Developer")</f>
        <v>Android Java Masterclass - Become an App Developer</v>
      </c>
    </row>
    <row r="232">
      <c r="A232" s="143">
        <f>IFERROR(__xludf.DUMMYFUNCTION("""COMPUTED_VALUE"""),43677.0)</f>
        <v>43677</v>
      </c>
      <c r="B232" s="145">
        <f>IFERROR(__xludf.DUMMYFUNCTION("""COMPUTED_VALUE"""),984372.0)</f>
        <v>984372</v>
      </c>
      <c r="C232" s="140" t="str">
        <f>IFERROR(__xludf.DUMMYFUNCTION("""COMPUTED_VALUE"""),"DE")</f>
        <v>DE</v>
      </c>
      <c r="D232" t="str">
        <f>IFERROR(__xludf.DUMMYFUNCTION("""COMPUTED_VALUE"""),"Angular 4: Entwickle tolle Webseiten und Apps")</f>
        <v>Angular 4: Entwickle tolle Webseiten und Apps</v>
      </c>
      <c r="E232" t="str">
        <f>IFERROR(__xludf.DUMMYFUNCTION("""COMPUTED_VALUE"""),"Jannis Seemann")</f>
        <v>Jannis Seemann</v>
      </c>
      <c r="F232" t="str">
        <f>IFERROR(__xludf.DUMMYFUNCTION("""COMPUTED_VALUE"""),"Instructor Request- Outdated")</f>
        <v>Instructor Request- Outdated</v>
      </c>
      <c r="G232" t="str">
        <f>IFERROR(__xludf.DUMMYFUNCTION("""COMPUTED_VALUE"""),"Development")</f>
        <v>Development</v>
      </c>
      <c r="H232" t="str">
        <f>IFERROR(__xludf.DUMMYFUNCTION("""COMPUTED_VALUE"""),"Web Development")</f>
        <v>Web Development</v>
      </c>
      <c r="I232">
        <f>IFERROR(__xludf.DUMMYFUNCTION("""COMPUTED_VALUE"""),1009096.0)</f>
        <v>1009096</v>
      </c>
      <c r="J232" s="140" t="str">
        <f>IFERROR(__xludf.DUMMYFUNCTION("""COMPUTED_VALUE"""),"Angular (2+) verstehen und anwenden")</f>
        <v>Angular (2+) verstehen und anwenden</v>
      </c>
      <c r="L232" s="140" t="str">
        <f>IFERROR(__xludf.DUMMYFUNCTION("""COMPUTED_VALUE"""),"")</f>
        <v/>
      </c>
    </row>
    <row r="233">
      <c r="A233" s="143">
        <f>IFERROR(__xludf.DUMMYFUNCTION("""COMPUTED_VALUE"""),43677.0)</f>
        <v>43677</v>
      </c>
      <c r="B233" s="140">
        <f>IFERROR(__xludf.DUMMYFUNCTION("""COMPUTED_VALUE"""),1909698.0)</f>
        <v>1909698</v>
      </c>
      <c r="C233" s="140" t="str">
        <f>IFERROR(__xludf.DUMMYFUNCTION("""COMPUTED_VALUE"""),"EN")</f>
        <v>EN</v>
      </c>
      <c r="D233" t="str">
        <f>IFERROR(__xludf.DUMMYFUNCTION("""COMPUTED_VALUE"""),"Learn FISMA Compliance (RMF steps 1-5)")</f>
        <v>Learn FISMA Compliance (RMF steps 1-5)</v>
      </c>
      <c r="E233" t="str">
        <f>IFERROR(__xludf.DUMMYFUNCTION("""COMPUTED_VALUE"""),"Paul Oyelakin")</f>
        <v>Paul Oyelakin</v>
      </c>
      <c r="F233" t="str">
        <f>IFERROR(__xludf.DUMMYFUNCTION("""COMPUTED_VALUE"""),"Instructor Request- No Detail")</f>
        <v>Instructor Request- No Detail</v>
      </c>
      <c r="G233" t="str">
        <f>IFERROR(__xludf.DUMMYFUNCTION("""COMPUTED_VALUE"""),"IT Operations")</f>
        <v>IT Operations</v>
      </c>
      <c r="H233" t="str">
        <f>IFERROR(__xludf.DUMMYFUNCTION("""COMPUTED_VALUE"""),"Network &amp; Security")</f>
        <v>Network &amp; Security</v>
      </c>
      <c r="J233" s="140" t="str">
        <f>IFERROR(__xludf.DUMMYFUNCTION("""COMPUTED_VALUE"""),"")</f>
        <v/>
      </c>
      <c r="L233" s="140" t="str">
        <f>IFERROR(__xludf.DUMMYFUNCTION("""COMPUTED_VALUE"""),"")</f>
        <v/>
      </c>
    </row>
    <row r="234">
      <c r="A234" s="143">
        <f>IFERROR(__xludf.DUMMYFUNCTION("""COMPUTED_VALUE"""),43677.0)</f>
        <v>43677</v>
      </c>
      <c r="B234" s="140">
        <f>IFERROR(__xludf.DUMMYFUNCTION("""COMPUTED_VALUE"""),723790.0)</f>
        <v>723790</v>
      </c>
      <c r="C234" s="140" t="str">
        <f>IFERROR(__xludf.DUMMYFUNCTION("""COMPUTED_VALUE"""),"EN")</f>
        <v>EN</v>
      </c>
      <c r="D234" t="str">
        <f>IFERROR(__xludf.DUMMYFUNCTION("""COMPUTED_VALUE"""),"Python 2 Network Programming - Build 12 Multi-Vendor Tools")</f>
        <v>Python 2 Network Programming - Build 12 Multi-Vendor Tools</v>
      </c>
      <c r="E234" t="str">
        <f>IFERROR(__xludf.DUMMYFUNCTION("""COMPUTED_VALUE"""),"Mihai Catalin Teodosiu, Python Developer")</f>
        <v>Mihai Catalin Teodosiu, Python Developer</v>
      </c>
      <c r="F234" t="str">
        <f>IFERROR(__xludf.DUMMYFUNCTION("""COMPUTED_VALUE"""),"Instructor Request- Outdated")</f>
        <v>Instructor Request- Outdated</v>
      </c>
      <c r="G234" t="str">
        <f>IFERROR(__xludf.DUMMYFUNCTION("""COMPUTED_VALUE"""),"Development")</f>
        <v>Development</v>
      </c>
      <c r="H234" t="str">
        <f>IFERROR(__xludf.DUMMYFUNCTION("""COMPUTED_VALUE"""),"Programming Languages")</f>
        <v>Programming Languages</v>
      </c>
      <c r="I234">
        <f>IFERROR(__xludf.DUMMYFUNCTION("""COMPUTED_VALUE"""),405456.0)</f>
        <v>405456</v>
      </c>
      <c r="J234" s="140" t="str">
        <f>IFERROR(__xludf.DUMMYFUNCTION("""COMPUTED_VALUE"""),"Python Network Programming Complete Masterclass")</f>
        <v>Python Network Programming Complete Masterclass</v>
      </c>
      <c r="L234" s="140" t="str">
        <f>IFERROR(__xludf.DUMMYFUNCTION("""COMPUTED_VALUE"""),"")</f>
        <v/>
      </c>
    </row>
    <row r="235">
      <c r="A235" s="143">
        <f>IFERROR(__xludf.DUMMYFUNCTION("""COMPUTED_VALUE"""),43677.0)</f>
        <v>43677</v>
      </c>
      <c r="B235" s="140">
        <f>IFERROR(__xludf.DUMMYFUNCTION("""COMPUTED_VALUE"""),1440632.0)</f>
        <v>1440632</v>
      </c>
      <c r="C235" s="140" t="str">
        <f>IFERROR(__xludf.DUMMYFUNCTION("""COMPUTED_VALUE"""),"EN")</f>
        <v>EN</v>
      </c>
      <c r="D235" t="str">
        <f>IFERROR(__xludf.DUMMYFUNCTION("""COMPUTED_VALUE"""),"Complete Russian Language course for Beginners A1")</f>
        <v>Complete Russian Language course for Beginners A1</v>
      </c>
      <c r="E235" t="str">
        <f>IFERROR(__xludf.DUMMYFUNCTION("""COMPUTED_VALUE"""),"Siaso Academy")</f>
        <v>Siaso Academy</v>
      </c>
      <c r="F235" t="str">
        <f>IFERROR(__xludf.DUMMYFUNCTION("""COMPUTED_VALUE"""),"Instructor Request- Opted Out")</f>
        <v>Instructor Request- Opted Out</v>
      </c>
      <c r="G235" t="str">
        <f>IFERROR(__xludf.DUMMYFUNCTION("""COMPUTED_VALUE"""),"Personal Development")</f>
        <v>Personal Development</v>
      </c>
      <c r="H235" t="str">
        <f>IFERROR(__xludf.DUMMYFUNCTION("""COMPUTED_VALUE"""),"Language Learning")</f>
        <v>Language Learning</v>
      </c>
      <c r="I235">
        <f>IFERROR(__xludf.DUMMYFUNCTION("""COMPUTED_VALUE"""),560408.0)</f>
        <v>560408</v>
      </c>
      <c r="J235" s="140" t="str">
        <f>IFERROR(__xludf.DUMMYFUNCTION("""COMPUTED_VALUE"""),"Conversational Russian for beginners")</f>
        <v>Conversational Russian for beginners</v>
      </c>
      <c r="L235" s="140" t="str">
        <f>IFERROR(__xludf.DUMMYFUNCTION("""COMPUTED_VALUE"""),"")</f>
        <v/>
      </c>
    </row>
    <row r="236">
      <c r="A236" s="143">
        <f>IFERROR(__xludf.DUMMYFUNCTION("""COMPUTED_VALUE"""),43677.0)</f>
        <v>43677</v>
      </c>
      <c r="B236" s="140">
        <f>IFERROR(__xludf.DUMMYFUNCTION("""COMPUTED_VALUE"""),988908.0)</f>
        <v>988908</v>
      </c>
      <c r="C236" s="140" t="str">
        <f>IFERROR(__xludf.DUMMYFUNCTION("""COMPUTED_VALUE"""),"EN")</f>
        <v>EN</v>
      </c>
      <c r="D236" t="str">
        <f>IFERROR(__xludf.DUMMYFUNCTION("""COMPUTED_VALUE"""),"SAS Programming Advanced Certification Prep Course: 3 in 1")</f>
        <v>SAS Programming Advanced Certification Prep Course: 3 in 1</v>
      </c>
      <c r="E236" t="str">
        <f>IFERROR(__xludf.DUMMYFUNCTION("""COMPUTED_VALUE"""),"sharon cheng")</f>
        <v>sharon cheng</v>
      </c>
      <c r="F236" t="str">
        <f>IFERROR(__xludf.DUMMYFUNCTION("""COMPUTED_VALUE"""),"Instructor Request- Opted Out")</f>
        <v>Instructor Request- Opted Out</v>
      </c>
      <c r="G236" t="str">
        <f>IFERROR(__xludf.DUMMYFUNCTION("""COMPUTED_VALUE"""),"IT Operations")</f>
        <v>IT Operations</v>
      </c>
      <c r="H236" t="str">
        <f>IFERROR(__xludf.DUMMYFUNCTION("""COMPUTED_VALUE"""),"IT Certifications")</f>
        <v>IT Certifications</v>
      </c>
      <c r="I236">
        <f>IFERROR(__xludf.DUMMYFUNCTION("""COMPUTED_VALUE"""),1470846.0)</f>
        <v>1470846</v>
      </c>
      <c r="J236" s="140" t="str">
        <f>IFERROR(__xludf.DUMMYFUNCTION("""COMPUTED_VALUE"""),"")</f>
        <v/>
      </c>
      <c r="L236" s="140" t="str">
        <f>IFERROR(__xludf.DUMMYFUNCTION("""COMPUTED_VALUE"""),"")</f>
        <v/>
      </c>
    </row>
    <row r="237">
      <c r="A237" s="143">
        <f>IFERROR(__xludf.DUMMYFUNCTION("""COMPUTED_VALUE"""),43677.0)</f>
        <v>43677</v>
      </c>
      <c r="B237" s="140">
        <f>IFERROR(__xludf.DUMMYFUNCTION("""COMPUTED_VALUE"""),877160.0)</f>
        <v>877160</v>
      </c>
      <c r="C237" s="140" t="str">
        <f>IFERROR(__xludf.DUMMYFUNCTION("""COMPUTED_VALUE"""),"EN")</f>
        <v>EN</v>
      </c>
      <c r="D237" t="str">
        <f>IFERROR(__xludf.DUMMYFUNCTION("""COMPUTED_VALUE"""),"CompTIA A+ Certification 901. The Total Course")</f>
        <v>CompTIA A+ Certification 901. The Total Course</v>
      </c>
      <c r="E237" t="str">
        <f>IFERROR(__xludf.DUMMYFUNCTION("""COMPUTED_VALUE"""),"Total Seminars • 170,000+ Students")</f>
        <v>Total Seminars • 170,000+ Students</v>
      </c>
      <c r="F237" t="str">
        <f>IFERROR(__xludf.DUMMYFUNCTION("""COMPUTED_VALUE"""),"Instructor Request- Outdated")</f>
        <v>Instructor Request- Outdated</v>
      </c>
      <c r="G237" t="str">
        <f>IFERROR(__xludf.DUMMYFUNCTION("""COMPUTED_VALUE"""),"IT Operations")</f>
        <v>IT Operations</v>
      </c>
      <c r="H237" t="str">
        <f>IFERROR(__xludf.DUMMYFUNCTION("""COMPUTED_VALUE"""),"IT Certifications")</f>
        <v>IT Certifications</v>
      </c>
      <c r="I237">
        <f>IFERROR(__xludf.DUMMYFUNCTION("""COMPUTED_VALUE"""),2359992.0)</f>
        <v>2359992</v>
      </c>
      <c r="J237" s="140" t="str">
        <f>IFERROR(__xludf.DUMMYFUNCTION("""COMPUTED_VALUE"""),"TOTAL: CompTIA A+ Certification (220-1001).")</f>
        <v>TOTAL: CompTIA A+ Certification (220-1001).</v>
      </c>
      <c r="L237" s="140" t="str">
        <f>IFERROR(__xludf.DUMMYFUNCTION("""COMPUTED_VALUE"""),"")</f>
        <v/>
      </c>
    </row>
    <row r="238">
      <c r="A238" s="143">
        <f>IFERROR(__xludf.DUMMYFUNCTION("""COMPUTED_VALUE"""),43677.0)</f>
        <v>43677</v>
      </c>
      <c r="B238" s="140">
        <f>IFERROR(__xludf.DUMMYFUNCTION("""COMPUTED_VALUE"""),878110.0)</f>
        <v>878110</v>
      </c>
      <c r="C238" s="140" t="str">
        <f>IFERROR(__xludf.DUMMYFUNCTION("""COMPUTED_VALUE"""),"EN")</f>
        <v>EN</v>
      </c>
      <c r="D238" t="str">
        <f>IFERROR(__xludf.DUMMYFUNCTION("""COMPUTED_VALUE"""),"CompTIA A+ Certification 902. The Total Course")</f>
        <v>CompTIA A+ Certification 902. The Total Course</v>
      </c>
      <c r="E238" t="str">
        <f>IFERROR(__xludf.DUMMYFUNCTION("""COMPUTED_VALUE"""),"Total Seminars • 170,000+ Students")</f>
        <v>Total Seminars • 170,000+ Students</v>
      </c>
      <c r="F238" t="str">
        <f>IFERROR(__xludf.DUMMYFUNCTION("""COMPUTED_VALUE"""),"Instructor Request- Outdated")</f>
        <v>Instructor Request- Outdated</v>
      </c>
      <c r="G238" t="str">
        <f>IFERROR(__xludf.DUMMYFUNCTION("""COMPUTED_VALUE"""),"IT Operations")</f>
        <v>IT Operations</v>
      </c>
      <c r="H238" t="str">
        <f>IFERROR(__xludf.DUMMYFUNCTION("""COMPUTED_VALUE"""),"IT Certifications")</f>
        <v>IT Certifications</v>
      </c>
      <c r="I238">
        <f>IFERROR(__xludf.DUMMYFUNCTION("""COMPUTED_VALUE"""),2360064.0)</f>
        <v>2360064</v>
      </c>
      <c r="J238" s="140" t="str">
        <f>IFERROR(__xludf.DUMMYFUNCTION("""COMPUTED_VALUE"""),"TOTAL: CompTIA A+ Certification (220-1002).")</f>
        <v>TOTAL: CompTIA A+ Certification (220-1002).</v>
      </c>
      <c r="L238" s="140" t="str">
        <f>IFERROR(__xludf.DUMMYFUNCTION("""COMPUTED_VALUE"""),"")</f>
        <v/>
      </c>
    </row>
    <row r="239">
      <c r="A239" s="143">
        <f>IFERROR(__xludf.DUMMYFUNCTION("""COMPUTED_VALUE"""),43677.0)</f>
        <v>43677</v>
      </c>
      <c r="B239" s="140">
        <f>IFERROR(__xludf.DUMMYFUNCTION("""COMPUTED_VALUE"""),1002324.0)</f>
        <v>1002324</v>
      </c>
      <c r="C239" s="140" t="str">
        <f>IFERROR(__xludf.DUMMYFUNCTION("""COMPUTED_VALUE"""),"EN")</f>
        <v>EN</v>
      </c>
      <c r="D239" t="str">
        <f>IFERROR(__xludf.DUMMYFUNCTION("""COMPUTED_VALUE"""),"CompTIA A+ Certification 220-901: Practice Tests")</f>
        <v>CompTIA A+ Certification 220-901: Practice Tests</v>
      </c>
      <c r="E239" t="str">
        <f>IFERROR(__xludf.DUMMYFUNCTION("""COMPUTED_VALUE"""),"Total Seminars • 170,000+ Students")</f>
        <v>Total Seminars • 170,000+ Students</v>
      </c>
      <c r="F239" t="str">
        <f>IFERROR(__xludf.DUMMYFUNCTION("""COMPUTED_VALUE"""),"Instructor Request- Outdated")</f>
        <v>Instructor Request- Outdated</v>
      </c>
      <c r="G239" t="str">
        <f>IFERROR(__xludf.DUMMYFUNCTION("""COMPUTED_VALUE"""),"IT Operations")</f>
        <v>IT Operations</v>
      </c>
      <c r="H239" t="str">
        <f>IFERROR(__xludf.DUMMYFUNCTION("""COMPUTED_VALUE"""),"IT Certifications")</f>
        <v>IT Certifications</v>
      </c>
      <c r="I239">
        <f>IFERROR(__xludf.DUMMYFUNCTION("""COMPUTED_VALUE"""),2359992.0)</f>
        <v>2359992</v>
      </c>
      <c r="J239" s="140" t="str">
        <f>IFERROR(__xludf.DUMMYFUNCTION("""COMPUTED_VALUE"""),"TOTAL: CompTIA A+ Certification (220-1001).")</f>
        <v>TOTAL: CompTIA A+ Certification (220-1001).</v>
      </c>
      <c r="L239" s="140" t="str">
        <f>IFERROR(__xludf.DUMMYFUNCTION("""COMPUTED_VALUE"""),"")</f>
        <v/>
      </c>
    </row>
    <row r="240">
      <c r="A240" s="143">
        <f>IFERROR(__xludf.DUMMYFUNCTION("""COMPUTED_VALUE"""),43677.0)</f>
        <v>43677</v>
      </c>
      <c r="B240" s="140">
        <f>IFERROR(__xludf.DUMMYFUNCTION("""COMPUTED_VALUE"""),1002336.0)</f>
        <v>1002336</v>
      </c>
      <c r="C240" s="140" t="str">
        <f>IFERROR(__xludf.DUMMYFUNCTION("""COMPUTED_VALUE"""),"EN")</f>
        <v>EN</v>
      </c>
      <c r="D240" t="str">
        <f>IFERROR(__xludf.DUMMYFUNCTION("""COMPUTED_VALUE"""),"CompTIA A+ Certification 220-902: Practice Tests")</f>
        <v>CompTIA A+ Certification 220-902: Practice Tests</v>
      </c>
      <c r="E240" t="str">
        <f>IFERROR(__xludf.DUMMYFUNCTION("""COMPUTED_VALUE"""),"Total Seminars • 170,000+ Students")</f>
        <v>Total Seminars • 170,000+ Students</v>
      </c>
      <c r="F240" t="str">
        <f>IFERROR(__xludf.DUMMYFUNCTION("""COMPUTED_VALUE"""),"Instructor Request- Outdated")</f>
        <v>Instructor Request- Outdated</v>
      </c>
      <c r="G240" t="str">
        <f>IFERROR(__xludf.DUMMYFUNCTION("""COMPUTED_VALUE"""),"IT Operations")</f>
        <v>IT Operations</v>
      </c>
      <c r="H240" t="str">
        <f>IFERROR(__xludf.DUMMYFUNCTION("""COMPUTED_VALUE"""),"IT Certifications")</f>
        <v>IT Certifications</v>
      </c>
      <c r="I240">
        <f>IFERROR(__xludf.DUMMYFUNCTION("""COMPUTED_VALUE"""),2360064.0)</f>
        <v>2360064</v>
      </c>
      <c r="J240" s="140" t="str">
        <f>IFERROR(__xludf.DUMMYFUNCTION("""COMPUTED_VALUE"""),"TOTAL: CompTIA A+ Certification (220-1002).")</f>
        <v>TOTAL: CompTIA A+ Certification (220-1002).</v>
      </c>
      <c r="L240" s="140" t="str">
        <f>IFERROR(__xludf.DUMMYFUNCTION("""COMPUTED_VALUE"""),"")</f>
        <v/>
      </c>
    </row>
    <row r="241">
      <c r="A241" s="143">
        <f>IFERROR(__xludf.DUMMYFUNCTION("""COMPUTED_VALUE"""),43677.0)</f>
        <v>43677</v>
      </c>
      <c r="B241" s="140">
        <f>IFERROR(__xludf.DUMMYFUNCTION("""COMPUTED_VALUE"""),57074.0)</f>
        <v>57074</v>
      </c>
      <c r="C241" s="140" t="str">
        <f>IFERROR(__xludf.DUMMYFUNCTION("""COMPUTED_VALUE"""),"EN")</f>
        <v>EN</v>
      </c>
      <c r="D241" t="str">
        <f>IFERROR(__xludf.DUMMYFUNCTION("""COMPUTED_VALUE"""),"HP ATP HP0-Y49 and HP2-Z30 exams. Downloadable Videos +more")</f>
        <v>HP ATP HP0-Y49 and HP2-Z30 exams. Downloadable Videos +more</v>
      </c>
      <c r="E241" t="str">
        <f>IFERROR(__xludf.DUMMYFUNCTION("""COMPUTED_VALUE"""),"David Bombal")</f>
        <v>David Bombal</v>
      </c>
      <c r="F241" t="str">
        <f>IFERROR(__xludf.DUMMYFUNCTION("""COMPUTED_VALUE"""),"Below Quality Standards- Outdated")</f>
        <v>Below Quality Standards- Outdated</v>
      </c>
      <c r="G241" t="str">
        <f>IFERROR(__xludf.DUMMYFUNCTION("""COMPUTED_VALUE"""),"Development")</f>
        <v>Development</v>
      </c>
      <c r="H241" t="str">
        <f>IFERROR(__xludf.DUMMYFUNCTION("""COMPUTED_VALUE"""),"IT Certifications")</f>
        <v>IT Certifications</v>
      </c>
      <c r="J241" s="140" t="str">
        <f>IFERROR(__xludf.DUMMYFUNCTION("""COMPUTED_VALUE"""),"")</f>
        <v/>
      </c>
      <c r="L241" s="140" t="str">
        <f>IFERROR(__xludf.DUMMYFUNCTION("""COMPUTED_VALUE"""),"")</f>
        <v/>
      </c>
    </row>
    <row r="242">
      <c r="A242" s="143">
        <f>IFERROR(__xludf.DUMMYFUNCTION("""COMPUTED_VALUE"""),43675.0)</f>
        <v>43675</v>
      </c>
      <c r="B242" s="145">
        <f>IFERROR(__xludf.DUMMYFUNCTION("""COMPUTED_VALUE"""),2241936.0)</f>
        <v>2241936</v>
      </c>
      <c r="C242" s="140" t="str">
        <f>IFERROR(__xludf.DUMMYFUNCTION("""COMPUTED_VALUE"""),"EN")</f>
        <v>EN</v>
      </c>
      <c r="D242" t="str">
        <f>IFERROR(__xludf.DUMMYFUNCTION("""COMPUTED_VALUE"""),"Java Application Performance and Memory Management")</f>
        <v>Java Application Performance and Memory Management</v>
      </c>
      <c r="E242" t="str">
        <f>IFERROR(__xludf.DUMMYFUNCTION("""COMPUTED_VALUE"""),"Matt Greencroft")</f>
        <v>Matt Greencroft</v>
      </c>
      <c r="F242" t="str">
        <f>IFERROR(__xludf.DUMMYFUNCTION("""COMPUTED_VALUE"""),"Instructor Request- Course Opt Out")</f>
        <v>Instructor Request- Course Opt Out</v>
      </c>
      <c r="G242" t="str">
        <f>IFERROR(__xludf.DUMMYFUNCTION("""COMPUTED_VALUE"""),"Development")</f>
        <v>Development</v>
      </c>
      <c r="H242" t="str">
        <f>IFERROR(__xludf.DUMMYFUNCTION("""COMPUTED_VALUE"""),"Programming Languages")</f>
        <v>Programming Languages</v>
      </c>
      <c r="I242">
        <f>IFERROR(__xludf.DUMMYFUNCTION("""COMPUTED_VALUE"""),1014442.0)</f>
        <v>1014442</v>
      </c>
      <c r="J242" s="140" t="str">
        <f>IFERROR(__xludf.DUMMYFUNCTION("""COMPUTED_VALUE"""),"")</f>
        <v/>
      </c>
      <c r="K242" s="140">
        <f>IFERROR(__xludf.DUMMYFUNCTION("""COMPUTED_VALUE"""),1656228.0)</f>
        <v>1656228</v>
      </c>
      <c r="L242" s="140" t="str">
        <f>IFERROR(__xludf.DUMMYFUNCTION("""COMPUTED_VALUE"""),"Java Multithreading, Concurrency &amp; Performance Optimization")</f>
        <v>Java Multithreading, Concurrency &amp; Performance Optimization</v>
      </c>
    </row>
    <row r="243">
      <c r="A243" s="141">
        <f>IFERROR(__xludf.DUMMYFUNCTION("""COMPUTED_VALUE"""),43665.0)</f>
        <v>43665</v>
      </c>
      <c r="B243" s="145">
        <f>IFERROR(__xludf.DUMMYFUNCTION("""COMPUTED_VALUE"""),1442460.0)</f>
        <v>1442460</v>
      </c>
      <c r="C243" s="140" t="str">
        <f>IFERROR(__xludf.DUMMYFUNCTION("""COMPUTED_VALUE"""),"PT")</f>
        <v>PT</v>
      </c>
      <c r="D243" s="145" t="str">
        <f>IFERROR(__xludf.DUMMYFUNCTION("""COMPUTED_VALUE"""),"AWS para administradores de sistemas e profissionais de TI")</f>
        <v>AWS para administradores de sistemas e profissionais de TI</v>
      </c>
      <c r="E243" t="str">
        <f>IFERROR(__xludf.DUMMYFUNCTION("""COMPUTED_VALUE"""),"Douglas Bussoli Mugnos")</f>
        <v>Douglas Bussoli Mugnos</v>
      </c>
      <c r="F243" t="str">
        <f>IFERROR(__xludf.DUMMYFUNCTION("""COMPUTED_VALUE"""),"Instructor Request- Opted Out")</f>
        <v>Instructor Request- Opted Out</v>
      </c>
      <c r="G243" s="142" t="str">
        <f>IFERROR(__xludf.DUMMYFUNCTION("""COMPUTED_VALUE"""),"Cloud Computing")</f>
        <v>Cloud Computing</v>
      </c>
      <c r="H243" s="142" t="str">
        <f>IFERROR(__xludf.DUMMYFUNCTION("""COMPUTED_VALUE"""),"Cloud Fundamentals")</f>
        <v>Cloud Fundamentals</v>
      </c>
      <c r="I243">
        <f>IFERROR(__xludf.DUMMYFUNCTION("""COMPUTED_VALUE"""),2269618.0)</f>
        <v>2269618</v>
      </c>
      <c r="J243" s="140" t="str">
        <f>IFERROR(__xludf.DUMMYFUNCTION("""COMPUTED_VALUE"""),"Certificação Amazon AWS para Iniciantes 2021")</f>
        <v>Certificação Amazon AWS para Iniciantes 2021</v>
      </c>
      <c r="K243" s="140">
        <f>IFERROR(__xludf.DUMMYFUNCTION("""COMPUTED_VALUE"""),1099324.0)</f>
        <v>1099324</v>
      </c>
      <c r="L243" s="140" t="str">
        <f>IFERROR(__xludf.DUMMYFUNCTION("""COMPUTED_VALUE"""),"AWS para Iniciantes")</f>
        <v>AWS para Iniciantes</v>
      </c>
      <c r="M243" s="140" t="str">
        <f>IFERROR(__xludf.DUMMYFUNCTION("""COMPUTED_VALUE"""),"Course opted out after being added as part of PT Collection build-out. ")</f>
        <v>Course opted out after being added as part of PT Collection build-out. </v>
      </c>
    </row>
    <row r="244">
      <c r="A244" s="141">
        <f>IFERROR(__xludf.DUMMYFUNCTION("""COMPUTED_VALUE"""),43665.0)</f>
        <v>43665</v>
      </c>
      <c r="B244" s="145">
        <f>IFERROR(__xludf.DUMMYFUNCTION("""COMPUTED_VALUE"""),2187504.0)</f>
        <v>2187504</v>
      </c>
      <c r="C244" s="140" t="str">
        <f>IFERROR(__xludf.DUMMYFUNCTION("""COMPUTED_VALUE"""),"PT")</f>
        <v>PT</v>
      </c>
      <c r="D244" s="145" t="str">
        <f>IFERROR(__xludf.DUMMYFUNCTION("""COMPUTED_VALUE"""),"Curso Blender 2.8 | Aprenda 3D do Zero!")</f>
        <v>Curso Blender 2.8 | Aprenda 3D do Zero!</v>
      </c>
      <c r="E244" t="str">
        <f>IFERROR(__xludf.DUMMYFUNCTION("""COMPUTED_VALUE"""),"Daniel Franco")</f>
        <v>Daniel Franco</v>
      </c>
      <c r="F244" t="str">
        <f>IFERROR(__xludf.DUMMYFUNCTION("""COMPUTED_VALUE"""),"Instructor Request- Opted Out")</f>
        <v>Instructor Request- Opted Out</v>
      </c>
      <c r="G244" s="142" t="str">
        <f>IFERROR(__xludf.DUMMYFUNCTION("""COMPUTED_VALUE"""),"Design")</f>
        <v>Design</v>
      </c>
      <c r="H244" s="142" t="str">
        <f>IFERROR(__xludf.DUMMYFUNCTION("""COMPUTED_VALUE"""),"Design Tools")</f>
        <v>Design Tools</v>
      </c>
      <c r="I244">
        <f>IFERROR(__xludf.DUMMYFUNCTION("""COMPUTED_VALUE"""),1480378.0)</f>
        <v>1480378</v>
      </c>
      <c r="J244" s="140" t="str">
        <f>IFERROR(__xludf.DUMMYFUNCTION("""COMPUTED_VALUE"""),"Crie seu personagem 3D completo no Blender!")</f>
        <v>Crie seu personagem 3D completo no Blender!</v>
      </c>
      <c r="L244" s="140" t="str">
        <f>IFERROR(__xludf.DUMMYFUNCTION("""COMPUTED_VALUE"""),"")</f>
        <v/>
      </c>
      <c r="M244" s="140" t="str">
        <f>IFERROR(__xludf.DUMMYFUNCTION("""COMPUTED_VALUE"""),"Course opted out after being added as part of PT Collection build-out. ")</f>
        <v>Course opted out after being added as part of PT Collection build-out. </v>
      </c>
    </row>
    <row r="245">
      <c r="A245" s="141">
        <f>IFERROR(__xludf.DUMMYFUNCTION("""COMPUTED_VALUE"""),43665.0)</f>
        <v>43665</v>
      </c>
      <c r="B245" s="145">
        <f>IFERROR(__xludf.DUMMYFUNCTION("""COMPUTED_VALUE"""),1405816.0)</f>
        <v>1405816</v>
      </c>
      <c r="C245" s="140" t="str">
        <f>IFERROR(__xludf.DUMMYFUNCTION("""COMPUTED_VALUE"""),"PT")</f>
        <v>PT</v>
      </c>
      <c r="D245" s="145" t="str">
        <f>IFERROR(__xludf.DUMMYFUNCTION("""COMPUTED_VALUE"""),"Curso de Fluxo de Caixa em Excel")</f>
        <v>Curso de Fluxo de Caixa em Excel</v>
      </c>
      <c r="E245" t="str">
        <f>IFERROR(__xludf.DUMMYFUNCTION("""COMPUTED_VALUE"""),"Rafael Avila")</f>
        <v>Rafael Avila</v>
      </c>
      <c r="F245" t="str">
        <f>IFERROR(__xludf.DUMMYFUNCTION("""COMPUTED_VALUE"""),"Instructor Request- Opted Out")</f>
        <v>Instructor Request- Opted Out</v>
      </c>
      <c r="G245" s="142" t="str">
        <f>IFERROR(__xludf.DUMMYFUNCTION("""COMPUTED_VALUE"""),"Finance &amp; Accounting")</f>
        <v>Finance &amp; Accounting</v>
      </c>
      <c r="H245" s="142" t="str">
        <f>IFERROR(__xludf.DUMMYFUNCTION("""COMPUTED_VALUE"""),"Financial Modeling &amp; Analysis")</f>
        <v>Financial Modeling &amp; Analysis</v>
      </c>
      <c r="I245">
        <f>IFERROR(__xludf.DUMMYFUNCTION("""COMPUTED_VALUE"""),2365840.0)</f>
        <v>2365840</v>
      </c>
      <c r="J245" s="140" t="str">
        <f>IFERROR(__xludf.DUMMYFUNCTION("""COMPUTED_VALUE"""),"Curso Excel COMPLETO do Básico ao Avançado")</f>
        <v>Curso Excel COMPLETO do Básico ao Avançado</v>
      </c>
      <c r="L245" s="140" t="str">
        <f>IFERROR(__xludf.DUMMYFUNCTION("""COMPUTED_VALUE"""),"")</f>
        <v/>
      </c>
      <c r="M245" s="140" t="str">
        <f>IFERROR(__xludf.DUMMYFUNCTION("""COMPUTED_VALUE"""),"Course opted out after being added as part of PT Collection build-out. ")</f>
        <v>Course opted out after being added as part of PT Collection build-out. </v>
      </c>
    </row>
    <row r="246">
      <c r="A246" s="141">
        <f>IFERROR(__xludf.DUMMYFUNCTION("""COMPUTED_VALUE"""),43665.0)</f>
        <v>43665</v>
      </c>
      <c r="B246" s="145">
        <f>IFERROR(__xludf.DUMMYFUNCTION("""COMPUTED_VALUE"""),588444.0)</f>
        <v>588444</v>
      </c>
      <c r="C246" s="140" t="str">
        <f>IFERROR(__xludf.DUMMYFUNCTION("""COMPUTED_VALUE"""),"PT")</f>
        <v>PT</v>
      </c>
      <c r="D246" s="145" t="str">
        <f>IFERROR(__xludf.DUMMYFUNCTION("""COMPUTED_VALUE"""),"Curso ISO/IEC20000 Foundation Bridge")</f>
        <v>Curso ISO/IEC20000 Foundation Bridge</v>
      </c>
      <c r="E246" t="str">
        <f>IFERROR(__xludf.DUMMYFUNCTION("""COMPUTED_VALUE"""),"Renê Chiari")</f>
        <v>Renê Chiari</v>
      </c>
      <c r="F246" t="str">
        <f>IFERROR(__xludf.DUMMYFUNCTION("""COMPUTED_VALUE"""),"Instructor Request- Opted Out")</f>
        <v>Instructor Request- Opted Out</v>
      </c>
      <c r="G246" s="142" t="str">
        <f>IFERROR(__xludf.DUMMYFUNCTION("""COMPUTED_VALUE"""),"IT Operations")</f>
        <v>IT Operations</v>
      </c>
      <c r="H246" s="142" t="str">
        <f>IFERROR(__xludf.DUMMYFUNCTION("""COMPUTED_VALUE"""),"IT Certifications")</f>
        <v>IT Certifications</v>
      </c>
      <c r="I246">
        <f>IFERROR(__xludf.DUMMYFUNCTION("""COMPUTED_VALUE"""),1964340.0)</f>
        <v>1964340</v>
      </c>
      <c r="J246" s="140" t="str">
        <f>IFERROR(__xludf.DUMMYFUNCTION("""COMPUTED_VALUE"""),"ISO 27001: Curso completo para certificação EXIN ISFS!")</f>
        <v>ISO 27001: Curso completo para certificação EXIN ISFS!</v>
      </c>
      <c r="L246" s="140" t="str">
        <f>IFERROR(__xludf.DUMMYFUNCTION("""COMPUTED_VALUE"""),"")</f>
        <v/>
      </c>
      <c r="M246" s="140" t="str">
        <f>IFERROR(__xludf.DUMMYFUNCTION("""COMPUTED_VALUE"""),"Course opted out after being added as part of PT Collection build-out. ")</f>
        <v>Course opted out after being added as part of PT Collection build-out. </v>
      </c>
    </row>
    <row r="247">
      <c r="A247" s="141">
        <f>IFERROR(__xludf.DUMMYFUNCTION("""COMPUTED_VALUE"""),43665.0)</f>
        <v>43665</v>
      </c>
      <c r="B247" s="145">
        <f>IFERROR(__xludf.DUMMYFUNCTION("""COMPUTED_VALUE"""),1692898.0)</f>
        <v>1692898</v>
      </c>
      <c r="C247" s="140" t="str">
        <f>IFERROR(__xludf.DUMMYFUNCTION("""COMPUTED_VALUE"""),"PT")</f>
        <v>PT</v>
      </c>
      <c r="D247" s="145" t="str">
        <f>IFERROR(__xludf.DUMMYFUNCTION("""COMPUTED_VALUE"""),"Curso Preparatório para Certificação Linux LPIC-2")</f>
        <v>Curso Preparatório para Certificação Linux LPIC-2</v>
      </c>
      <c r="E247" t="str">
        <f>IFERROR(__xludf.DUMMYFUNCTION("""COMPUTED_VALUE"""),"Ricardo. Prudenciato")</f>
        <v>Ricardo. Prudenciato</v>
      </c>
      <c r="F247" t="str">
        <f>IFERROR(__xludf.DUMMYFUNCTION("""COMPUTED_VALUE"""),"Instructor Request- Opted Out")</f>
        <v>Instructor Request- Opted Out</v>
      </c>
      <c r="G247" s="142" t="str">
        <f>IFERROR(__xludf.DUMMYFUNCTION("""COMPUTED_VALUE"""),"IT Operations")</f>
        <v>IT Operations</v>
      </c>
      <c r="H247" s="142" t="str">
        <f>IFERROR(__xludf.DUMMYFUNCTION("""COMPUTED_VALUE"""),"IT Certifications")</f>
        <v>IT Certifications</v>
      </c>
      <c r="J247" s="140" t="str">
        <f>IFERROR(__xludf.DUMMYFUNCTION("""COMPUTED_VALUE"""),"")</f>
        <v/>
      </c>
      <c r="L247" s="140" t="str">
        <f>IFERROR(__xludf.DUMMYFUNCTION("""COMPUTED_VALUE"""),"")</f>
        <v/>
      </c>
      <c r="M247" s="140" t="str">
        <f>IFERROR(__xludf.DUMMYFUNCTION("""COMPUTED_VALUE"""),"Course opted out after being added as part of PT Collection build-out. ")</f>
        <v>Course opted out after being added as part of PT Collection build-out. </v>
      </c>
    </row>
    <row r="248">
      <c r="A248" s="141">
        <f>IFERROR(__xludf.DUMMYFUNCTION("""COMPUTED_VALUE"""),43665.0)</f>
        <v>43665</v>
      </c>
      <c r="B248" s="145">
        <f>IFERROR(__xludf.DUMMYFUNCTION("""COMPUTED_VALUE"""),680602.0)</f>
        <v>680602</v>
      </c>
      <c r="C248" s="140" t="str">
        <f>IFERROR(__xludf.DUMMYFUNCTION("""COMPUTED_VALUE"""),"PT")</f>
        <v>PT</v>
      </c>
      <c r="D248" s="145" t="str">
        <f>IFERROR(__xludf.DUMMYFUNCTION("""COMPUTED_VALUE"""),"Curso de Excel 2013 Avançado - Super Didático")</f>
        <v>Curso de Excel 2013 Avançado - Super Didático</v>
      </c>
      <c r="E248" t="str">
        <f>IFERROR(__xludf.DUMMYFUNCTION("""COMPUTED_VALUE"""),"Rafael Avila")</f>
        <v>Rafael Avila</v>
      </c>
      <c r="F248" t="str">
        <f>IFERROR(__xludf.DUMMYFUNCTION("""COMPUTED_VALUE"""),"Instructor Request- Opted Out")</f>
        <v>Instructor Request- Opted Out</v>
      </c>
      <c r="G248" s="142" t="str">
        <f>IFERROR(__xludf.DUMMYFUNCTION("""COMPUTED_VALUE"""),"Office Productivity")</f>
        <v>Office Productivity</v>
      </c>
      <c r="H248" s="142" t="str">
        <f>IFERROR(__xludf.DUMMYFUNCTION("""COMPUTED_VALUE"""),"Spreadsheets")</f>
        <v>Spreadsheets</v>
      </c>
      <c r="I248">
        <f>IFERROR(__xludf.DUMMYFUNCTION("""COMPUTED_VALUE"""),566284.0)</f>
        <v>566284</v>
      </c>
      <c r="J248" s="140" t="str">
        <f>IFERROR(__xludf.DUMMYFUNCTION("""COMPUTED_VALUE"""),"Do Básico ao Avançado - O Curso Completo de Microsoft Excel")</f>
        <v>Do Básico ao Avançado - O Curso Completo de Microsoft Excel</v>
      </c>
      <c r="K248">
        <f>IFERROR(__xludf.DUMMYFUNCTION("""COMPUTED_VALUE"""),2365840.0)</f>
        <v>2365840</v>
      </c>
      <c r="L248" s="140" t="str">
        <f>IFERROR(__xludf.DUMMYFUNCTION("""COMPUTED_VALUE"""),"Curso Excel COMPLETO do Básico ao Avançado")</f>
        <v>Curso Excel COMPLETO do Básico ao Avançado</v>
      </c>
      <c r="M248" s="140" t="str">
        <f>IFERROR(__xludf.DUMMYFUNCTION("""COMPUTED_VALUE"""),"Course opted out after being added as part of PT Collection build-out. ")</f>
        <v>Course opted out after being added as part of PT Collection build-out. </v>
      </c>
    </row>
    <row r="249">
      <c r="A249" s="141">
        <f>IFERROR(__xludf.DUMMYFUNCTION("""COMPUTED_VALUE"""),43665.0)</f>
        <v>43665</v>
      </c>
      <c r="B249" s="145">
        <f>IFERROR(__xludf.DUMMYFUNCTION("""COMPUTED_VALUE"""),1210488.0)</f>
        <v>1210488</v>
      </c>
      <c r="C249" s="140" t="str">
        <f>IFERROR(__xludf.DUMMYFUNCTION("""COMPUTED_VALUE"""),"PT")</f>
        <v>PT</v>
      </c>
      <c r="D249" s="145" t="str">
        <f>IFERROR(__xludf.DUMMYFUNCTION("""COMPUTED_VALUE"""),"Curso de Excel Básico - Super Didático")</f>
        <v>Curso de Excel Básico - Super Didático</v>
      </c>
      <c r="E249" t="str">
        <f>IFERROR(__xludf.DUMMYFUNCTION("""COMPUTED_VALUE"""),"Rafael Avila")</f>
        <v>Rafael Avila</v>
      </c>
      <c r="F249" t="str">
        <f>IFERROR(__xludf.DUMMYFUNCTION("""COMPUTED_VALUE"""),"Instructor Request- Opted Out")</f>
        <v>Instructor Request- Opted Out</v>
      </c>
      <c r="G249" s="142" t="str">
        <f>IFERROR(__xludf.DUMMYFUNCTION("""COMPUTED_VALUE"""),"Office Productivity")</f>
        <v>Office Productivity</v>
      </c>
      <c r="H249" s="142" t="str">
        <f>IFERROR(__xludf.DUMMYFUNCTION("""COMPUTED_VALUE"""),"Spreadsheets")</f>
        <v>Spreadsheets</v>
      </c>
      <c r="I249">
        <f>IFERROR(__xludf.DUMMYFUNCTION("""COMPUTED_VALUE"""),566284.0)</f>
        <v>566284</v>
      </c>
      <c r="J249" s="140" t="str">
        <f>IFERROR(__xludf.DUMMYFUNCTION("""COMPUTED_VALUE"""),"Do Básico ao Avançado - O Curso Completo de Microsoft Excel")</f>
        <v>Do Básico ao Avançado - O Curso Completo de Microsoft Excel</v>
      </c>
      <c r="K249">
        <f>IFERROR(__xludf.DUMMYFUNCTION("""COMPUTED_VALUE"""),2365840.0)</f>
        <v>2365840</v>
      </c>
      <c r="L249" s="140" t="str">
        <f>IFERROR(__xludf.DUMMYFUNCTION("""COMPUTED_VALUE"""),"Curso Excel COMPLETO do Básico ao Avançado")</f>
        <v>Curso Excel COMPLETO do Básico ao Avançado</v>
      </c>
      <c r="M249" s="140" t="str">
        <f>IFERROR(__xludf.DUMMYFUNCTION("""COMPUTED_VALUE"""),"Course opted out after being added as part of PT Collection build-out. ")</f>
        <v>Course opted out after being added as part of PT Collection build-out. </v>
      </c>
    </row>
    <row r="250">
      <c r="A250" s="141">
        <f>IFERROR(__xludf.DUMMYFUNCTION("""COMPUTED_VALUE"""),43665.0)</f>
        <v>43665</v>
      </c>
      <c r="B250" s="145">
        <f>IFERROR(__xludf.DUMMYFUNCTION("""COMPUTED_VALUE"""),1272220.0)</f>
        <v>1272220</v>
      </c>
      <c r="C250" s="140" t="str">
        <f>IFERROR(__xludf.DUMMYFUNCTION("""COMPUTED_VALUE"""),"PT")</f>
        <v>PT</v>
      </c>
      <c r="D250" s="145" t="str">
        <f>IFERROR(__xludf.DUMMYFUNCTION("""COMPUTED_VALUE"""),"Curso Avançado de Gráficos em Excel 2016 - Super Didático")</f>
        <v>Curso Avançado de Gráficos em Excel 2016 - Super Didático</v>
      </c>
      <c r="E250" t="str">
        <f>IFERROR(__xludf.DUMMYFUNCTION("""COMPUTED_VALUE"""),"Rafael Avila")</f>
        <v>Rafael Avila</v>
      </c>
      <c r="F250" t="str">
        <f>IFERROR(__xludf.DUMMYFUNCTION("""COMPUTED_VALUE"""),"Instructor Request- Opted Out")</f>
        <v>Instructor Request- Opted Out</v>
      </c>
      <c r="G250" s="142" t="str">
        <f>IFERROR(__xludf.DUMMYFUNCTION("""COMPUTED_VALUE"""),"Office Productivity")</f>
        <v>Office Productivity</v>
      </c>
      <c r="H250" s="142" t="str">
        <f>IFERROR(__xludf.DUMMYFUNCTION("""COMPUTED_VALUE"""),"Spreadsheets")</f>
        <v>Spreadsheets</v>
      </c>
      <c r="I250">
        <f>IFERROR(__xludf.DUMMYFUNCTION("""COMPUTED_VALUE"""),2365840.0)</f>
        <v>2365840</v>
      </c>
      <c r="J250" s="140" t="str">
        <f>IFERROR(__xludf.DUMMYFUNCTION("""COMPUTED_VALUE"""),"Curso Excel COMPLETO do Básico ao Avançado")</f>
        <v>Curso Excel COMPLETO do Básico ao Avançado</v>
      </c>
      <c r="L250" s="140" t="str">
        <f>IFERROR(__xludf.DUMMYFUNCTION("""COMPUTED_VALUE"""),"")</f>
        <v/>
      </c>
      <c r="M250" s="140" t="str">
        <f>IFERROR(__xludf.DUMMYFUNCTION("""COMPUTED_VALUE"""),"Course opted out after being added as part of PT Collection build-out. ")</f>
        <v>Course opted out after being added as part of PT Collection build-out. </v>
      </c>
    </row>
    <row r="251">
      <c r="A251" s="141">
        <f>IFERROR(__xludf.DUMMYFUNCTION("""COMPUTED_VALUE"""),43665.0)</f>
        <v>43665</v>
      </c>
      <c r="B251" s="145">
        <f>IFERROR(__xludf.DUMMYFUNCTION("""COMPUTED_VALUE"""),1310208.0)</f>
        <v>1310208</v>
      </c>
      <c r="C251" s="140" t="str">
        <f>IFERROR(__xludf.DUMMYFUNCTION("""COMPUTED_VALUE"""),"PT")</f>
        <v>PT</v>
      </c>
      <c r="D251" s="145" t="str">
        <f>IFERROR(__xludf.DUMMYFUNCTION("""COMPUTED_VALUE"""),"Curso de Dashboard em Excel 2016 - Super Didático")</f>
        <v>Curso de Dashboard em Excel 2016 - Super Didático</v>
      </c>
      <c r="E251" t="str">
        <f>IFERROR(__xludf.DUMMYFUNCTION("""COMPUTED_VALUE"""),"Rafael Avila")</f>
        <v>Rafael Avila</v>
      </c>
      <c r="F251" t="str">
        <f>IFERROR(__xludf.DUMMYFUNCTION("""COMPUTED_VALUE"""),"Instructor Request- Opted Out")</f>
        <v>Instructor Request- Opted Out</v>
      </c>
      <c r="G251" s="142" t="str">
        <f>IFERROR(__xludf.DUMMYFUNCTION("""COMPUTED_VALUE"""),"Office Productivity")</f>
        <v>Office Productivity</v>
      </c>
      <c r="H251" s="142" t="str">
        <f>IFERROR(__xludf.DUMMYFUNCTION("""COMPUTED_VALUE"""),"Spreadsheets")</f>
        <v>Spreadsheets</v>
      </c>
      <c r="I251">
        <f>IFERROR(__xludf.DUMMYFUNCTION("""COMPUTED_VALUE"""),2365840.0)</f>
        <v>2365840</v>
      </c>
      <c r="J251" s="140" t="str">
        <f>IFERROR(__xludf.DUMMYFUNCTION("""COMPUTED_VALUE"""),"Curso Excel COMPLETO do Básico ao Avançado")</f>
        <v>Curso Excel COMPLETO do Básico ao Avançado</v>
      </c>
      <c r="K251">
        <f>IFERROR(__xludf.DUMMYFUNCTION("""COMPUTED_VALUE"""),1050618.0)</f>
        <v>1050618</v>
      </c>
      <c r="L251" s="140" t="str">
        <f>IFERROR(__xludf.DUMMYFUNCTION("""COMPUTED_VALUE"""),"Excel Profissional | Do Básico ao Avançado")</f>
        <v>Excel Profissional | Do Básico ao Avançado</v>
      </c>
      <c r="M251" s="140" t="str">
        <f>IFERROR(__xludf.DUMMYFUNCTION("""COMPUTED_VALUE"""),"Course opted out after being added as part of PT Collection build-out. ")</f>
        <v>Course opted out after being added as part of PT Collection build-out. </v>
      </c>
    </row>
    <row r="252">
      <c r="A252" s="141">
        <f>IFERROR(__xludf.DUMMYFUNCTION("""COMPUTED_VALUE"""),43665.0)</f>
        <v>43665</v>
      </c>
      <c r="B252" s="145">
        <f>IFERROR(__xludf.DUMMYFUNCTION("""COMPUTED_VALUE"""),1354424.0)</f>
        <v>1354424</v>
      </c>
      <c r="C252" s="140" t="str">
        <f>IFERROR(__xludf.DUMMYFUNCTION("""COMPUTED_VALUE"""),"PT")</f>
        <v>PT</v>
      </c>
      <c r="D252" s="145" t="str">
        <f>IFERROR(__xludf.DUMMYFUNCTION("""COMPUTED_VALUE"""),"Curso de VBA para Excel")</f>
        <v>Curso de VBA para Excel</v>
      </c>
      <c r="E252" t="str">
        <f>IFERROR(__xludf.DUMMYFUNCTION("""COMPUTED_VALUE"""),"Rafael Avila")</f>
        <v>Rafael Avila</v>
      </c>
      <c r="F252" t="str">
        <f>IFERROR(__xludf.DUMMYFUNCTION("""COMPUTED_VALUE"""),"Instructor Request- Opted Out")</f>
        <v>Instructor Request- Opted Out</v>
      </c>
      <c r="G252" s="142" t="str">
        <f>IFERROR(__xludf.DUMMYFUNCTION("""COMPUTED_VALUE"""),"Office Productivity")</f>
        <v>Office Productivity</v>
      </c>
      <c r="H252" s="142" t="str">
        <f>IFERROR(__xludf.DUMMYFUNCTION("""COMPUTED_VALUE"""),"Spreadsheets")</f>
        <v>Spreadsheets</v>
      </c>
      <c r="I252">
        <f>IFERROR(__xludf.DUMMYFUNCTION("""COMPUTED_VALUE"""),818104.0)</f>
        <v>818104</v>
      </c>
      <c r="J252" s="140" t="str">
        <f>IFERROR(__xludf.DUMMYFUNCTION("""COMPUTED_VALUE"""),"Macros VBA para Excel Completo - Construa 7+ Ferramentas")</f>
        <v>Macros VBA para Excel Completo - Construa 7+ Ferramentas</v>
      </c>
      <c r="K252">
        <f>IFERROR(__xludf.DUMMYFUNCTION("""COMPUTED_VALUE"""),560700.0)</f>
        <v>560700</v>
      </c>
      <c r="L252" s="140" t="str">
        <f>IFERROR(__xludf.DUMMYFUNCTION("""COMPUTED_VALUE"""),"VBA Descomplicado: Como Criar Ferramentas Incríveis no Excel")</f>
        <v>VBA Descomplicado: Como Criar Ferramentas Incríveis no Excel</v>
      </c>
      <c r="M252" s="140" t="str">
        <f>IFERROR(__xludf.DUMMYFUNCTION("""COMPUTED_VALUE"""),"Course opted out after being added as part of PT Collection build-out. ")</f>
        <v>Course opted out after being added as part of PT Collection build-out. </v>
      </c>
    </row>
    <row r="253">
      <c r="A253" s="141">
        <f>IFERROR(__xludf.DUMMYFUNCTION("""COMPUTED_VALUE"""),43665.0)</f>
        <v>43665</v>
      </c>
      <c r="B253" s="145">
        <f>IFERROR(__xludf.DUMMYFUNCTION("""COMPUTED_VALUE"""),2091356.0)</f>
        <v>2091356</v>
      </c>
      <c r="C253" s="140" t="str">
        <f>IFERROR(__xludf.DUMMYFUNCTION("""COMPUTED_VALUE"""),"PT")</f>
        <v>PT</v>
      </c>
      <c r="D253" s="145" t="str">
        <f>IFERROR(__xludf.DUMMYFUNCTION("""COMPUTED_VALUE"""),"Espanhol para Iniciantes - Nível 1")</f>
        <v>Espanhol para Iniciantes - Nível 1</v>
      </c>
      <c r="E253" t="str">
        <f>IFERROR(__xludf.DUMMYFUNCTION("""COMPUTED_VALUE"""),"Juliana Maester")</f>
        <v>Juliana Maester</v>
      </c>
      <c r="F253" t="str">
        <f>IFERROR(__xludf.DUMMYFUNCTION("""COMPUTED_VALUE"""),"Instructor Request- Opted Out")</f>
        <v>Instructor Request- Opted Out</v>
      </c>
      <c r="G253" s="142" t="str">
        <f>IFERROR(__xludf.DUMMYFUNCTION("""COMPUTED_VALUE"""),"Personal Development")</f>
        <v>Personal Development</v>
      </c>
      <c r="H253" s="142" t="str">
        <f>IFERROR(__xludf.DUMMYFUNCTION("""COMPUTED_VALUE"""),"Language Learning")</f>
        <v>Language Learning</v>
      </c>
      <c r="J253" s="140" t="str">
        <f>IFERROR(__xludf.DUMMYFUNCTION("""COMPUTED_VALUE"""),"")</f>
        <v/>
      </c>
      <c r="L253" s="140" t="str">
        <f>IFERROR(__xludf.DUMMYFUNCTION("""COMPUTED_VALUE"""),"")</f>
        <v/>
      </c>
      <c r="M253" s="140" t="str">
        <f>IFERROR(__xludf.DUMMYFUNCTION("""COMPUTED_VALUE"""),"Course opted out after being added as part of PT Collection build-out. ")</f>
        <v>Course opted out after being added as part of PT Collection build-out. </v>
      </c>
    </row>
    <row r="254">
      <c r="A254" s="141">
        <f>IFERROR(__xludf.DUMMYFUNCTION("""COMPUTED_VALUE"""),43665.0)</f>
        <v>43665</v>
      </c>
      <c r="B254" s="145">
        <f>IFERROR(__xludf.DUMMYFUNCTION("""COMPUTED_VALUE"""),2155078.0)</f>
        <v>2155078</v>
      </c>
      <c r="C254" s="140" t="str">
        <f>IFERROR(__xludf.DUMMYFUNCTION("""COMPUTED_VALUE"""),"PT")</f>
        <v>PT</v>
      </c>
      <c r="D254" s="145" t="str">
        <f>IFERROR(__xludf.DUMMYFUNCTION("""COMPUTED_VALUE"""),"Espanhol para Iniciantes - Nível 2")</f>
        <v>Espanhol para Iniciantes - Nível 2</v>
      </c>
      <c r="E254" t="str">
        <f>IFERROR(__xludf.DUMMYFUNCTION("""COMPUTED_VALUE"""),"Juliana Maester")</f>
        <v>Juliana Maester</v>
      </c>
      <c r="F254" t="str">
        <f>IFERROR(__xludf.DUMMYFUNCTION("""COMPUTED_VALUE"""),"Instructor Request- Opted Out")</f>
        <v>Instructor Request- Opted Out</v>
      </c>
      <c r="G254" s="142" t="str">
        <f>IFERROR(__xludf.DUMMYFUNCTION("""COMPUTED_VALUE"""),"Personal Development")</f>
        <v>Personal Development</v>
      </c>
      <c r="H254" s="142" t="str">
        <f>IFERROR(__xludf.DUMMYFUNCTION("""COMPUTED_VALUE"""),"Language Learning")</f>
        <v>Language Learning</v>
      </c>
      <c r="J254" s="140" t="str">
        <f>IFERROR(__xludf.DUMMYFUNCTION("""COMPUTED_VALUE"""),"")</f>
        <v/>
      </c>
      <c r="L254" s="140" t="str">
        <f>IFERROR(__xludf.DUMMYFUNCTION("""COMPUTED_VALUE"""),"")</f>
        <v/>
      </c>
      <c r="M254" s="140" t="str">
        <f>IFERROR(__xludf.DUMMYFUNCTION("""COMPUTED_VALUE"""),"Course opted out after being added as part of PT Collection build-out. ")</f>
        <v>Course opted out after being added as part of PT Collection build-out. </v>
      </c>
    </row>
    <row r="255">
      <c r="A255" s="143">
        <f>IFERROR(__xludf.DUMMYFUNCTION("""COMPUTED_VALUE"""),43663.0)</f>
        <v>43663</v>
      </c>
      <c r="B255" s="140">
        <f>IFERROR(__xludf.DUMMYFUNCTION("""COMPUTED_VALUE"""),2137184.0)</f>
        <v>2137184</v>
      </c>
      <c r="C255" s="140" t="str">
        <f>IFERROR(__xludf.DUMMYFUNCTION("""COMPUTED_VALUE"""),"EN")</f>
        <v>EN</v>
      </c>
      <c r="D255" t="str">
        <f>IFERROR(__xludf.DUMMYFUNCTION("""COMPUTED_VALUE"""),"PMP® Practice Exam 2019")</f>
        <v>PMP® Practice Exam 2019</v>
      </c>
      <c r="E255" t="str">
        <f>IFERROR(__xludf.DUMMYFUNCTION("""COMPUTED_VALUE"""),"Georgio Daccache™")</f>
        <v>Georgio Daccache™</v>
      </c>
      <c r="F255" t="str">
        <f>IFERROR(__xludf.DUMMYFUNCTION("""COMPUTED_VALUE"""),"Instructor Practices")</f>
        <v>Instructor Practices</v>
      </c>
      <c r="G255" t="str">
        <f>IFERROR(__xludf.DUMMYFUNCTION("""COMPUTED_VALUE"""),"Project Management &amp; Operations")</f>
        <v>Project Management &amp; Operations</v>
      </c>
      <c r="H255" t="str">
        <f>IFERROR(__xludf.DUMMYFUNCTION("""COMPUTED_VALUE"""),"Project Management Certifications")</f>
        <v>Project Management Certifications</v>
      </c>
      <c r="I255">
        <f>IFERROR(__xludf.DUMMYFUNCTION("""COMPUTED_VALUE"""),1361790.0)</f>
        <v>1361790</v>
      </c>
      <c r="J255" s="140" t="str">
        <f>IFERROR(__xludf.DUMMYFUNCTION("""COMPUTED_VALUE"""),"PMP Exam Prep Seminar - 2021 Exam Content with 35 PDUs")</f>
        <v>PMP Exam Prep Seminar - 2021 Exam Content with 35 PDUs</v>
      </c>
      <c r="K255" s="140">
        <f>IFERROR(__xludf.DUMMYFUNCTION("""COMPUTED_VALUE"""),1279990.0)</f>
        <v>1279990</v>
      </c>
      <c r="L255" s="140" t="str">
        <f>IFERROR(__xludf.DUMMYFUNCTION("""COMPUTED_VALUE"""),"PMP Certification Practice Test Exam-High Quality Questions")</f>
        <v>PMP Certification Practice Test Exam-High Quality Questions</v>
      </c>
    </row>
    <row r="256">
      <c r="A256" s="143">
        <f>IFERROR(__xludf.DUMMYFUNCTION("""COMPUTED_VALUE"""),43663.0)</f>
        <v>43663</v>
      </c>
      <c r="B256" s="140">
        <f>IFERROR(__xludf.DUMMYFUNCTION("""COMPUTED_VALUE"""),1914968.0)</f>
        <v>1914968</v>
      </c>
      <c r="C256" s="140" t="str">
        <f>IFERROR(__xludf.DUMMYFUNCTION("""COMPUTED_VALUE"""),"EN")</f>
        <v>EN</v>
      </c>
      <c r="D256" t="str">
        <f>IFERROR(__xludf.DUMMYFUNCTION("""COMPUTED_VALUE"""),"Trade: Supply Chain, Logistics,Transportation, Import-Export")</f>
        <v>Trade: Supply Chain, Logistics,Transportation, Import-Export</v>
      </c>
      <c r="E256" t="str">
        <f>IFERROR(__xludf.DUMMYFUNCTION("""COMPUTED_VALUE"""),"Georgio Daccache™")</f>
        <v>Georgio Daccache™</v>
      </c>
      <c r="F256" t="str">
        <f>IFERROR(__xludf.DUMMYFUNCTION("""COMPUTED_VALUE"""),"Instructor Practices")</f>
        <v>Instructor Practices</v>
      </c>
      <c r="G256" t="str">
        <f>IFERROR(__xludf.DUMMYFUNCTION("""COMPUTED_VALUE"""),"Project Management &amp; Operations")</f>
        <v>Project Management &amp; Operations</v>
      </c>
      <c r="H256" t="str">
        <f>IFERROR(__xludf.DUMMYFUNCTION("""COMPUTED_VALUE"""),"Operations Management")</f>
        <v>Operations Management</v>
      </c>
      <c r="I256">
        <f>IFERROR(__xludf.DUMMYFUNCTION("""COMPUTED_VALUE"""),677348.0)</f>
        <v>677348</v>
      </c>
      <c r="J256" s="140" t="str">
        <f>IFERROR(__xludf.DUMMYFUNCTION("""COMPUTED_VALUE"""),"Supply Chain Fundamentals:  Understanding the Basics")</f>
        <v>Supply Chain Fundamentals:  Understanding the Basics</v>
      </c>
      <c r="K256">
        <f>IFERROR(__xludf.DUMMYFUNCTION("""COMPUTED_VALUE"""),1288468.0)</f>
        <v>1288468</v>
      </c>
      <c r="L256" s="140" t="str">
        <f>IFERROR(__xludf.DUMMYFUNCTION("""COMPUTED_VALUE"""),"Supply Chain:  Planning of Resources &amp; Detailed Scheduling")</f>
        <v>Supply Chain:  Planning of Resources &amp; Detailed Scheduling</v>
      </c>
    </row>
    <row r="257">
      <c r="A257" s="143">
        <f>IFERROR(__xludf.DUMMYFUNCTION("""COMPUTED_VALUE"""),43663.0)</f>
        <v>43663</v>
      </c>
      <c r="B257" s="140">
        <f>IFERROR(__xludf.DUMMYFUNCTION("""COMPUTED_VALUE"""),1956440.0)</f>
        <v>1956440</v>
      </c>
      <c r="C257" s="140" t="str">
        <f>IFERROR(__xludf.DUMMYFUNCTION("""COMPUTED_VALUE"""),"EN")</f>
        <v>EN</v>
      </c>
      <c r="D257" t="str">
        <f>IFERROR(__xludf.DUMMYFUNCTION("""COMPUTED_VALUE"""),"Python Certification Exam Preparation ‎PCAP &amp; ‎PCPP")</f>
        <v>Python Certification Exam Preparation ‎PCAP &amp; ‎PCPP</v>
      </c>
      <c r="E257" t="str">
        <f>IFERROR(__xludf.DUMMYFUNCTION("""COMPUTED_VALUE"""),"Georgio Daccache™")</f>
        <v>Georgio Daccache™</v>
      </c>
      <c r="F257" t="str">
        <f>IFERROR(__xludf.DUMMYFUNCTION("""COMPUTED_VALUE"""),"Instructor Practices")</f>
        <v>Instructor Practices</v>
      </c>
      <c r="G257" t="str">
        <f>IFERROR(__xludf.DUMMYFUNCTION("""COMPUTED_VALUE"""),"IT Operations")</f>
        <v>IT Operations</v>
      </c>
      <c r="H257" t="str">
        <f>IFERROR(__xludf.DUMMYFUNCTION("""COMPUTED_VALUE"""),"IT Certifications")</f>
        <v>IT Certifications</v>
      </c>
      <c r="J257" s="140" t="str">
        <f>IFERROR(__xludf.DUMMYFUNCTION("""COMPUTED_VALUE"""),"")</f>
        <v/>
      </c>
      <c r="L257" s="140" t="str">
        <f>IFERROR(__xludf.DUMMYFUNCTION("""COMPUTED_VALUE"""),"")</f>
        <v/>
      </c>
    </row>
    <row r="258">
      <c r="A258" s="143">
        <f>IFERROR(__xludf.DUMMYFUNCTION("""COMPUTED_VALUE"""),43647.0)</f>
        <v>43647</v>
      </c>
      <c r="B258" s="140">
        <f>IFERROR(__xludf.DUMMYFUNCTION("""COMPUTED_VALUE"""),1443418.0)</f>
        <v>1443418</v>
      </c>
      <c r="C258" s="140" t="str">
        <f>IFERROR(__xludf.DUMMYFUNCTION("""COMPUTED_VALUE"""),"EN")</f>
        <v>EN</v>
      </c>
      <c r="D258" t="str">
        <f>IFERROR(__xludf.DUMMYFUNCTION("""COMPUTED_VALUE"""),"Azure 70-473 Designing and Implementing Cloud Data Solutions")</f>
        <v>Azure 70-473 Designing and Implementing Cloud Data Solutions</v>
      </c>
      <c r="E258" t="str">
        <f>IFERROR(__xludf.DUMMYFUNCTION("""COMPUTED_VALUE"""),"Scott Duffy")</f>
        <v>Scott Duffy</v>
      </c>
      <c r="F258" t="str">
        <f>IFERROR(__xludf.DUMMYFUNCTION("""COMPUTED_VALUE"""),"Instructor Request- Outdated")</f>
        <v>Instructor Request- Outdated</v>
      </c>
      <c r="G258" t="str">
        <f>IFERROR(__xludf.DUMMYFUNCTION("""COMPUTED_VALUE"""),"Cloud Computing")</f>
        <v>Cloud Computing</v>
      </c>
      <c r="H258" t="str">
        <f>IFERROR(__xludf.DUMMYFUNCTION("""COMPUTED_VALUE"""),"Cloud Certification")</f>
        <v>Cloud Certification</v>
      </c>
      <c r="J258" s="140" t="str">
        <f>IFERROR(__xludf.DUMMYFUNCTION("""COMPUTED_VALUE"""),"")</f>
        <v/>
      </c>
      <c r="L258" s="140" t="str">
        <f>IFERROR(__xludf.DUMMYFUNCTION("""COMPUTED_VALUE"""),"")</f>
        <v/>
      </c>
      <c r="M258" s="145" t="str">
        <f>IFERROR(__xludf.DUMMYFUNCTION("""COMPUTED_VALUE"""),"No Alternatives in Collection- 06/26")</f>
        <v>No Alternatives in Collection- 06/26</v>
      </c>
    </row>
    <row r="259">
      <c r="A259" s="143">
        <f>IFERROR(__xludf.DUMMYFUNCTION("""COMPUTED_VALUE"""),43647.0)</f>
        <v>43647</v>
      </c>
      <c r="B259">
        <f>IFERROR(__xludf.DUMMYFUNCTION("""COMPUTED_VALUE"""),2020474.0)</f>
        <v>2020474</v>
      </c>
      <c r="C259" s="140" t="str">
        <f>IFERROR(__xludf.DUMMYFUNCTION("""COMPUTED_VALUE"""),"EN")</f>
        <v>EN</v>
      </c>
      <c r="D259" t="str">
        <f>IFERROR(__xludf.DUMMYFUNCTION("""COMPUTED_VALUE"""),"Microsoft AZ-102: Azure Administrator Cert Transition")</f>
        <v>Microsoft AZ-102: Azure Administrator Cert Transition</v>
      </c>
      <c r="E259" t="str">
        <f>IFERROR(__xludf.DUMMYFUNCTION("""COMPUTED_VALUE"""),"Nick Colyer")</f>
        <v>Nick Colyer</v>
      </c>
      <c r="F259" t="str">
        <f>IFERROR(__xludf.DUMMYFUNCTION("""COMPUTED_VALUE"""),"Instructor Request- Outdated")</f>
        <v>Instructor Request- Outdated</v>
      </c>
      <c r="G259" t="str">
        <f>IFERROR(__xludf.DUMMYFUNCTION("""COMPUTED_VALUE"""),"IT Operations")</f>
        <v>IT Operations</v>
      </c>
      <c r="H259" t="str">
        <f>IFERROR(__xludf.DUMMYFUNCTION("""COMPUTED_VALUE"""),"IT Certifications")</f>
        <v>IT Certifications</v>
      </c>
      <c r="I259">
        <f>IFERROR(__xludf.DUMMYFUNCTION("""COMPUTED_VALUE"""),1927250.0)</f>
        <v>1927250</v>
      </c>
      <c r="J259" s="140" t="str">
        <f>IFERROR(__xludf.DUMMYFUNCTION("""COMPUTED_VALUE"""),"Microsoft AZ-104:Azure Administrator Exam Certification 2020")</f>
        <v>Microsoft AZ-104:Azure Administrator Exam Certification 2020</v>
      </c>
      <c r="L259" s="140" t="str">
        <f>IFERROR(__xludf.DUMMYFUNCTION("""COMPUTED_VALUE"""),"")</f>
        <v/>
      </c>
    </row>
    <row r="260">
      <c r="A260" s="143">
        <f>IFERROR(__xludf.DUMMYFUNCTION("""COMPUTED_VALUE"""),43647.0)</f>
        <v>43647</v>
      </c>
      <c r="B260">
        <f>IFERROR(__xludf.DUMMYFUNCTION("""COMPUTED_VALUE"""),1986878.0)</f>
        <v>1986878</v>
      </c>
      <c r="C260" s="140" t="str">
        <f>IFERROR(__xludf.DUMMYFUNCTION("""COMPUTED_VALUE"""),"EN")</f>
        <v>EN</v>
      </c>
      <c r="D260" t="str">
        <f>IFERROR(__xludf.DUMMYFUNCTION("""COMPUTED_VALUE"""),"AZ-102 Azure Administrator Transition Exam Cert Prep")</f>
        <v>AZ-102 Azure Administrator Transition Exam Cert Prep</v>
      </c>
      <c r="E260" t="str">
        <f>IFERROR(__xludf.DUMMYFUNCTION("""COMPUTED_VALUE"""),"Scott Duffy")</f>
        <v>Scott Duffy</v>
      </c>
      <c r="F260" t="str">
        <f>IFERROR(__xludf.DUMMYFUNCTION("""COMPUTED_VALUE"""),"Below Quality Standards- Outdated")</f>
        <v>Below Quality Standards- Outdated</v>
      </c>
      <c r="G260" t="str">
        <f>IFERROR(__xludf.DUMMYFUNCTION("""COMPUTED_VALUE"""),"IT Operations")</f>
        <v>IT Operations</v>
      </c>
      <c r="H260" t="str">
        <f>IFERROR(__xludf.DUMMYFUNCTION("""COMPUTED_VALUE"""),"IT Certifications")</f>
        <v>IT Certifications</v>
      </c>
      <c r="I260">
        <f>IFERROR(__xludf.DUMMYFUNCTION("""COMPUTED_VALUE"""),1927250.0)</f>
        <v>1927250</v>
      </c>
      <c r="J260" s="140" t="str">
        <f>IFERROR(__xludf.DUMMYFUNCTION("""COMPUTED_VALUE"""),"Microsoft AZ-104:Azure Administrator Exam Certification 2020")</f>
        <v>Microsoft AZ-104:Azure Administrator Exam Certification 2020</v>
      </c>
      <c r="L260" s="140" t="str">
        <f>IFERROR(__xludf.DUMMYFUNCTION("""COMPUTED_VALUE"""),"")</f>
        <v/>
      </c>
    </row>
    <row r="261">
      <c r="A261" s="199">
        <f>IFERROR(__xludf.DUMMYFUNCTION("""COMPUTED_VALUE"""),43644.0)</f>
        <v>43644</v>
      </c>
      <c r="B261" s="140">
        <f>IFERROR(__xludf.DUMMYFUNCTION("""COMPUTED_VALUE"""),1849250.0)</f>
        <v>1849250</v>
      </c>
      <c r="C261" s="140" t="str">
        <f>IFERROR(__xludf.DUMMYFUNCTION("""COMPUTED_VALUE"""),"EN")</f>
        <v>EN</v>
      </c>
      <c r="D261" s="140" t="str">
        <f>IFERROR(__xludf.DUMMYFUNCTION("""COMPUTED_VALUE"""),"Navigating Through Change")</f>
        <v>Navigating Through Change</v>
      </c>
      <c r="E261" t="str">
        <f>IFERROR(__xludf.DUMMYFUNCTION("""COMPUTED_VALUE"""),"Sharlyn Lauby")</f>
        <v>Sharlyn Lauby</v>
      </c>
      <c r="F261" t="str">
        <f>IFERROR(__xludf.DUMMYFUNCTION("""COMPUTED_VALUE"""),"Instructor Request- Opted Out")</f>
        <v>Instructor Request- Opted Out</v>
      </c>
      <c r="G261" t="str">
        <f>IFERROR(__xludf.DUMMYFUNCTION("""COMPUTED_VALUE"""),"Leadership &amp; Management")</f>
        <v>Leadership &amp; Management</v>
      </c>
      <c r="H261" t="str">
        <f>IFERROR(__xludf.DUMMYFUNCTION("""COMPUTED_VALUE"""),"Strategy")</f>
        <v>Strategy</v>
      </c>
      <c r="I261">
        <f>IFERROR(__xludf.DUMMYFUNCTION("""COMPUTED_VALUE"""),1476730.0)</f>
        <v>1476730</v>
      </c>
      <c r="J261" s="140" t="str">
        <f>IFERROR(__xludf.DUMMYFUNCTION("""COMPUTED_VALUE"""),"Lean Leadership Skills, Lean Culture &amp; Lean Management")</f>
        <v>Lean Leadership Skills, Lean Culture &amp; Lean Management</v>
      </c>
      <c r="L261" s="140" t="str">
        <f>IFERROR(__xludf.DUMMYFUNCTION("""COMPUTED_VALUE"""),"")</f>
        <v/>
      </c>
    </row>
    <row r="262">
      <c r="A262" s="199">
        <f>IFERROR(__xludf.DUMMYFUNCTION("""COMPUTED_VALUE"""),43644.0)</f>
        <v>43644</v>
      </c>
      <c r="B262" s="140">
        <f>IFERROR(__xludf.DUMMYFUNCTION("""COMPUTED_VALUE"""),1349678.0)</f>
        <v>1349678</v>
      </c>
      <c r="C262" s="140" t="str">
        <f>IFERROR(__xludf.DUMMYFUNCTION("""COMPUTED_VALUE"""),"EN")</f>
        <v>EN</v>
      </c>
      <c r="D262" s="140" t="str">
        <f>IFERROR(__xludf.DUMMYFUNCTION("""COMPUTED_VALUE"""),"​Influence at Work for Managers, Team Members &amp; New Leaders")</f>
        <v>​Influence at Work for Managers, Team Members &amp; New Leaders</v>
      </c>
      <c r="E262" t="str">
        <f>IFERROR(__xludf.DUMMYFUNCTION("""COMPUTED_VALUE"""),"Jean-Gabriel Paquette")</f>
        <v>Jean-Gabriel Paquette</v>
      </c>
      <c r="F262" t="str">
        <f>IFERROR(__xludf.DUMMYFUNCTION("""COMPUTED_VALUE"""),"Below Quality Standards- 3 Flags")</f>
        <v>Below Quality Standards- 3 Flags</v>
      </c>
      <c r="G262" t="str">
        <f>IFERROR(__xludf.DUMMYFUNCTION("""COMPUTED_VALUE"""),"Leadership &amp; Management")</f>
        <v>Leadership &amp; Management</v>
      </c>
      <c r="H262" t="str">
        <f>IFERROR(__xludf.DUMMYFUNCTION("""COMPUTED_VALUE"""),"Leadership")</f>
        <v>Leadership</v>
      </c>
      <c r="I262">
        <f>IFERROR(__xludf.DUMMYFUNCTION("""COMPUTED_VALUE"""),1361098.0)</f>
        <v>1361098</v>
      </c>
      <c r="J262" s="140" t="str">
        <f>IFERROR(__xludf.DUMMYFUNCTION("""COMPUTED_VALUE"""),"Leadership Skills: How to Increase Your Influence at Work")</f>
        <v>Leadership Skills: How to Increase Your Influence at Work</v>
      </c>
      <c r="L262" s="140" t="str">
        <f>IFERROR(__xludf.DUMMYFUNCTION("""COMPUTED_VALUE"""),"")</f>
        <v/>
      </c>
    </row>
    <row r="263">
      <c r="A263" s="199">
        <f>IFERROR(__xludf.DUMMYFUNCTION("""COMPUTED_VALUE"""),43644.0)</f>
        <v>43644</v>
      </c>
      <c r="B263" s="140">
        <f>IFERROR(__xludf.DUMMYFUNCTION("""COMPUTED_VALUE"""),294530.0)</f>
        <v>294530</v>
      </c>
      <c r="C263" s="140" t="str">
        <f>IFERROR(__xludf.DUMMYFUNCTION("""COMPUTED_VALUE"""),"EN")</f>
        <v>EN</v>
      </c>
      <c r="D263" s="140" t="str">
        <f>IFERROR(__xludf.DUMMYFUNCTION("""COMPUTED_VALUE"""),"The Game Theory - John Nash")</f>
        <v>The Game Theory - John Nash</v>
      </c>
      <c r="E263" t="str">
        <f>IFERROR(__xludf.DUMMYFUNCTION("""COMPUTED_VALUE"""),"EDOOTV - The knowledge dispenser")</f>
        <v>EDOOTV - The knowledge dispenser</v>
      </c>
      <c r="F263" t="str">
        <f>IFERROR(__xludf.DUMMYFUNCTION("""COMPUTED_VALUE"""),"Below Quality Standards- 3 Flags")</f>
        <v>Below Quality Standards- 3 Flags</v>
      </c>
      <c r="G263" t="str">
        <f>IFERROR(__xludf.DUMMYFUNCTION("""COMPUTED_VALUE"""),"Leadership &amp; Management")</f>
        <v>Leadership &amp; Management</v>
      </c>
      <c r="H263" t="str">
        <f>IFERROR(__xludf.DUMMYFUNCTION("""COMPUTED_VALUE"""),"Strategy")</f>
        <v>Strategy</v>
      </c>
      <c r="I263">
        <f>IFERROR(__xludf.DUMMYFUNCTION("""COMPUTED_VALUE"""),1174274.0)</f>
        <v>1174274</v>
      </c>
      <c r="J263" s="140" t="str">
        <f>IFERROR(__xludf.DUMMYFUNCTION("""COMPUTED_VALUE"""),"Simple Strategies from Game Theory, for Leaders &amp; Managers !")</f>
        <v>Simple Strategies from Game Theory, for Leaders &amp; Managers !</v>
      </c>
      <c r="L263" s="140" t="str">
        <f>IFERROR(__xludf.DUMMYFUNCTION("""COMPUTED_VALUE"""),"")</f>
        <v/>
      </c>
    </row>
    <row r="264">
      <c r="A264" s="199">
        <f>IFERROR(__xludf.DUMMYFUNCTION("""COMPUTED_VALUE"""),43644.0)</f>
        <v>43644</v>
      </c>
      <c r="B264" s="140">
        <f>IFERROR(__xludf.DUMMYFUNCTION("""COMPUTED_VALUE"""),41356.0)</f>
        <v>41356</v>
      </c>
      <c r="C264" s="140" t="str">
        <f>IFERROR(__xludf.DUMMYFUNCTION("""COMPUTED_VALUE"""),"EN")</f>
        <v>EN</v>
      </c>
      <c r="D264" s="140" t="str">
        <f>IFERROR(__xludf.DUMMYFUNCTION("""COMPUTED_VALUE"""),"Create a Responsive Business Website with WordPress")</f>
        <v>Create a Responsive Business Website with WordPress</v>
      </c>
      <c r="E264" t="str">
        <f>IFERROR(__xludf.DUMMYFUNCTION("""COMPUTED_VALUE"""),"Rob Cubbon")</f>
        <v>Rob Cubbon</v>
      </c>
      <c r="F264" t="str">
        <f>IFERROR(__xludf.DUMMYFUNCTION("""COMPUTED_VALUE"""),"Instructor Request- Outdated")</f>
        <v>Instructor Request- Outdated</v>
      </c>
      <c r="G264" t="str">
        <f>IFERROR(__xludf.DUMMYFUNCTION("""COMPUTED_VALUE"""),"Development")</f>
        <v>Development</v>
      </c>
      <c r="H264" t="str">
        <f>IFERROR(__xludf.DUMMYFUNCTION("""COMPUTED_VALUE"""),"Web Development")</f>
        <v>Web Development</v>
      </c>
      <c r="I264">
        <f>IFERROR(__xludf.DUMMYFUNCTION("""COMPUTED_VALUE"""),1010586.0)</f>
        <v>1010586</v>
      </c>
      <c r="J264" s="140" t="str">
        <f>IFERROR(__xludf.DUMMYFUNCTION("""COMPUTED_VALUE"""),"Become a WordPress Developer: Unlocking Power With Code")</f>
        <v>Become a WordPress Developer: Unlocking Power With Code</v>
      </c>
      <c r="K264">
        <f>IFERROR(__xludf.DUMMYFUNCTION("""COMPUTED_VALUE"""),355212.0)</f>
        <v>355212</v>
      </c>
      <c r="L264" s="140" t="str">
        <f>IFERROR(__xludf.DUMMYFUNCTION("""COMPUTED_VALUE"""),"Wordpress for Beginners - Master Wordpress Quickly")</f>
        <v>Wordpress for Beginners - Master Wordpress Quickly</v>
      </c>
    </row>
    <row r="265">
      <c r="A265" s="199">
        <f>IFERROR(__xludf.DUMMYFUNCTION("""COMPUTED_VALUE"""),43644.0)</f>
        <v>43644</v>
      </c>
      <c r="B265" s="140">
        <f>IFERROR(__xludf.DUMMYFUNCTION("""COMPUTED_VALUE"""),633466.0)</f>
        <v>633466</v>
      </c>
      <c r="C265" s="140" t="str">
        <f>IFERROR(__xludf.DUMMYFUNCTION("""COMPUTED_VALUE"""),"EN")</f>
        <v>EN</v>
      </c>
      <c r="D265" s="140" t="str">
        <f>IFERROR(__xludf.DUMMYFUNCTION("""COMPUTED_VALUE"""),"From 0 to 1: Design Patterns - 24 That Matter - In Java")</f>
        <v>From 0 to 1: Design Patterns - 24 That Matter - In Java</v>
      </c>
      <c r="E265" t="str">
        <f>IFERROR(__xludf.DUMMYFUNCTION("""COMPUTED_VALUE"""),"Loony Corn")</f>
        <v>Loony Corn</v>
      </c>
      <c r="F265" t="str">
        <f>IFERROR(__xludf.DUMMYFUNCTION("""COMPUTED_VALUE"""),"Below Quality Standards- Low Rating")</f>
        <v>Below Quality Standards- Low Rating</v>
      </c>
      <c r="G265" t="str">
        <f>IFERROR(__xludf.DUMMYFUNCTION("""COMPUTED_VALUE"""),"Development")</f>
        <v>Development</v>
      </c>
      <c r="H265" t="str">
        <f>IFERROR(__xludf.DUMMYFUNCTION("""COMPUTED_VALUE"""),"Mobile Development")</f>
        <v>Mobile Development</v>
      </c>
      <c r="I265">
        <f>IFERROR(__xludf.DUMMYFUNCTION("""COMPUTED_VALUE"""),1568344.0)</f>
        <v>1568344</v>
      </c>
      <c r="J265" s="140" t="str">
        <f>IFERROR(__xludf.DUMMYFUNCTION("""COMPUTED_VALUE"""),"Java Design Patterns &amp; SOLID Design Principles")</f>
        <v>Java Design Patterns &amp; SOLID Design Principles</v>
      </c>
      <c r="K265">
        <f>IFERROR(__xludf.DUMMYFUNCTION("""COMPUTED_VALUE"""),1358570.0)</f>
        <v>1358570</v>
      </c>
      <c r="L265" s="140" t="str">
        <f>IFERROR(__xludf.DUMMYFUNCTION("""COMPUTED_VALUE"""),"Design Patterns in Java")</f>
        <v>Design Patterns in Java</v>
      </c>
    </row>
    <row r="266">
      <c r="A266" s="199">
        <f>IFERROR(__xludf.DUMMYFUNCTION("""COMPUTED_VALUE"""),43644.0)</f>
        <v>43644</v>
      </c>
      <c r="B266" s="140">
        <f>IFERROR(__xludf.DUMMYFUNCTION("""COMPUTED_VALUE"""),336400.0)</f>
        <v>336400</v>
      </c>
      <c r="C266" s="140" t="str">
        <f>IFERROR(__xludf.DUMMYFUNCTION("""COMPUTED_VALUE"""),"EN")</f>
        <v>EN</v>
      </c>
      <c r="D266" s="140" t="str">
        <f>IFERROR(__xludf.DUMMYFUNCTION("""COMPUTED_VALUE"""),"Power Pitch: use presentations to sell your ideas to anyone")</f>
        <v>Power Pitch: use presentations to sell your ideas to anyone</v>
      </c>
      <c r="E266" t="str">
        <f>IFERROR(__xludf.DUMMYFUNCTION("""COMPUTED_VALUE"""),"Livello 7")</f>
        <v>Livello 7</v>
      </c>
      <c r="F266" t="str">
        <f>IFERROR(__xludf.DUMMYFUNCTION("""COMPUTED_VALUE"""),"Instructor Request- Revenue")</f>
        <v>Instructor Request- Revenue</v>
      </c>
      <c r="G266" t="str">
        <f>IFERROR(__xludf.DUMMYFUNCTION("""COMPUTED_VALUE"""),"Leadership &amp; Management")</f>
        <v>Leadership &amp; Management</v>
      </c>
      <c r="H266" t="str">
        <f>IFERROR(__xludf.DUMMYFUNCTION("""COMPUTED_VALUE"""),"Communication")</f>
        <v>Communication</v>
      </c>
      <c r="I266">
        <f>IFERROR(__xludf.DUMMYFUNCTION("""COMPUTED_VALUE"""),137144.0)</f>
        <v>137144</v>
      </c>
      <c r="J266" s="140" t="str">
        <f>IFERROR(__xludf.DUMMYFUNCTION("""COMPUTED_VALUE"""),"Public Speaking and Presentations Pro: No Beginners Allowed!")</f>
        <v>Public Speaking and Presentations Pro: No Beginners Allowed!</v>
      </c>
      <c r="K266">
        <f>IFERROR(__xludf.DUMMYFUNCTION("""COMPUTED_VALUE"""),1689362.0)</f>
        <v>1689362</v>
      </c>
      <c r="L266" s="140" t="str">
        <f>IFERROR(__xludf.DUMMYFUNCTION("""COMPUTED_VALUE"""),"Complete Presentation Skills Masterclass for Every Occasion")</f>
        <v>Complete Presentation Skills Masterclass for Every Occasion</v>
      </c>
    </row>
    <row r="267">
      <c r="A267" s="199">
        <f>IFERROR(__xludf.DUMMYFUNCTION("""COMPUTED_VALUE"""),43644.0)</f>
        <v>43644</v>
      </c>
      <c r="B267" s="140">
        <f>IFERROR(__xludf.DUMMYFUNCTION("""COMPUTED_VALUE"""),1573144.0)</f>
        <v>1573144</v>
      </c>
      <c r="C267" s="140" t="str">
        <f>IFERROR(__xludf.DUMMYFUNCTION("""COMPUTED_VALUE"""),"EN")</f>
        <v>EN</v>
      </c>
      <c r="D267" s="140" t="str">
        <f>IFERROR(__xludf.DUMMYFUNCTION("""COMPUTED_VALUE"""),"A Million Subs In A Year: YouTube Marketing and YouTube SEO")</f>
        <v>A Million Subs In A Year: YouTube Marketing and YouTube SEO</v>
      </c>
      <c r="E267" t="str">
        <f>IFERROR(__xludf.DUMMYFUNCTION("""COMPUTED_VALUE"""),"Max Wilhard")</f>
        <v>Max Wilhard</v>
      </c>
      <c r="F267" t="str">
        <f>IFERROR(__xludf.DUMMYFUNCTION("""COMPUTED_VALUE"""),"Instructor Request- Opted Out")</f>
        <v>Instructor Request- Opted Out</v>
      </c>
      <c r="G267" t="str">
        <f>IFERROR(__xludf.DUMMYFUNCTION("""COMPUTED_VALUE"""),"Marketing")</f>
        <v>Marketing</v>
      </c>
      <c r="H267" t="str">
        <f>IFERROR(__xludf.DUMMYFUNCTION("""COMPUTED_VALUE"""),"Video &amp; Mobile Marketing")</f>
        <v>Video &amp; Mobile Marketing</v>
      </c>
      <c r="I267">
        <f>IFERROR(__xludf.DUMMYFUNCTION("""COMPUTED_VALUE"""),690694.0)</f>
        <v>690694</v>
      </c>
      <c r="J267" s="140" t="str">
        <f>IFERROR(__xludf.DUMMYFUNCTION("""COMPUTED_VALUE"""),"YouTube Marketing 2021: YouTube SEO &amp; YouTube Algorithms")</f>
        <v>YouTube Marketing 2021: YouTube SEO &amp; YouTube Algorithms</v>
      </c>
      <c r="K267">
        <f>IFERROR(__xludf.DUMMYFUNCTION("""COMPUTED_VALUE"""),934032.0)</f>
        <v>934032</v>
      </c>
      <c r="L267" s="140" t="str">
        <f>IFERROR(__xludf.DUMMYFUNCTION("""COMPUTED_VALUE"""),"YouTube SEO: How to Rank #1 on YouTube")</f>
        <v>YouTube SEO: How to Rank #1 on YouTube</v>
      </c>
    </row>
    <row r="268">
      <c r="A268" s="199">
        <f>IFERROR(__xludf.DUMMYFUNCTION("""COMPUTED_VALUE"""),43644.0)</f>
        <v>43644</v>
      </c>
      <c r="B268" s="140">
        <f>IFERROR(__xludf.DUMMYFUNCTION("""COMPUTED_VALUE"""),1567004.0)</f>
        <v>1567004</v>
      </c>
      <c r="C268" s="140" t="str">
        <f>IFERROR(__xludf.DUMMYFUNCTION("""COMPUTED_VALUE"""),"EN")</f>
        <v>EN</v>
      </c>
      <c r="D268" s="140" t="str">
        <f>IFERROR(__xludf.DUMMYFUNCTION("""COMPUTED_VALUE"""),"PMI Program Management Professional (PgMP®) practice tests")</f>
        <v>PMI Program Management Professional (PgMP®) practice tests</v>
      </c>
      <c r="E268" t="str">
        <f>IFERROR(__xludf.DUMMYFUNCTION("""COMPUTED_VALUE"""),"BE certified")</f>
        <v>BE certified</v>
      </c>
      <c r="F268" t="str">
        <f>IFERROR(__xludf.DUMMYFUNCTION("""COMPUTED_VALUE"""),"Instructor Request- No Detail")</f>
        <v>Instructor Request- No Detail</v>
      </c>
      <c r="G268" t="str">
        <f>IFERROR(__xludf.DUMMYFUNCTION("""COMPUTED_VALUE"""),"Project Management &amp; Operations")</f>
        <v>Project Management &amp; Operations</v>
      </c>
      <c r="H268" t="str">
        <f>IFERROR(__xludf.DUMMYFUNCTION("""COMPUTED_VALUE"""),"Project Management Certifications")</f>
        <v>Project Management Certifications</v>
      </c>
      <c r="I268">
        <f>IFERROR(__xludf.DUMMYFUNCTION("""COMPUTED_VALUE"""),856992.0)</f>
        <v>856992</v>
      </c>
      <c r="J268" s="140" t="str">
        <f>IFERROR(__xludf.DUMMYFUNCTION("""COMPUTED_VALUE"""),"PMI-ACP Agile Certified Exam Prep - 21 PDUs")</f>
        <v>PMI-ACP Agile Certified Exam Prep - 21 PDUs</v>
      </c>
      <c r="L268" s="140" t="str">
        <f>IFERROR(__xludf.DUMMYFUNCTION("""COMPUTED_VALUE"""),"")</f>
        <v/>
      </c>
    </row>
    <row r="269">
      <c r="A269" s="199">
        <f>IFERROR(__xludf.DUMMYFUNCTION("""COMPUTED_VALUE"""),43644.0)</f>
        <v>43644</v>
      </c>
      <c r="B269" s="140">
        <f>IFERROR(__xludf.DUMMYFUNCTION("""COMPUTED_VALUE"""),1258434.0)</f>
        <v>1258434</v>
      </c>
      <c r="C269" s="140" t="str">
        <f>IFERROR(__xludf.DUMMYFUNCTION("""COMPUTED_VALUE"""),"EN")</f>
        <v>EN</v>
      </c>
      <c r="D269" s="140" t="str">
        <f>IFERROR(__xludf.DUMMYFUNCTION("""COMPUTED_VALUE"""),"Revamp your belief system to overcome limiting beliefs")</f>
        <v>Revamp your belief system to overcome limiting beliefs</v>
      </c>
      <c r="E269" t="str">
        <f>IFERROR(__xludf.DUMMYFUNCTION("""COMPUTED_VALUE"""),"Rohit Sethi")</f>
        <v>Rohit Sethi</v>
      </c>
      <c r="F269" t="str">
        <f>IFERROR(__xludf.DUMMYFUNCTION("""COMPUTED_VALUE"""),"Below Quality Standards- 3 Flags")</f>
        <v>Below Quality Standards- 3 Flags</v>
      </c>
      <c r="G269" t="str">
        <f>IFERROR(__xludf.DUMMYFUNCTION("""COMPUTED_VALUE"""),"Personal Development")</f>
        <v>Personal Development</v>
      </c>
      <c r="H269" t="str">
        <f>IFERROR(__xludf.DUMMYFUNCTION("""COMPUTED_VALUE"""),"Personal Growth")</f>
        <v>Personal Growth</v>
      </c>
      <c r="I269">
        <f>IFERROR(__xludf.DUMMYFUNCTION("""COMPUTED_VALUE"""),1116388.0)</f>
        <v>1116388</v>
      </c>
      <c r="J269" s="140" t="str">
        <f>IFERROR(__xludf.DUMMYFUNCTION("""COMPUTED_VALUE"""),"How to Build Confidence in Your Abilities")</f>
        <v>How to Build Confidence in Your Abilities</v>
      </c>
      <c r="L269" s="140" t="str">
        <f>IFERROR(__xludf.DUMMYFUNCTION("""COMPUTED_VALUE"""),"")</f>
        <v/>
      </c>
    </row>
    <row r="270">
      <c r="A270" s="199">
        <f>IFERROR(__xludf.DUMMYFUNCTION("""COMPUTED_VALUE"""),43644.0)</f>
        <v>43644</v>
      </c>
      <c r="B270" s="140">
        <f>IFERROR(__xludf.DUMMYFUNCTION("""COMPUTED_VALUE"""),317438.0)</f>
        <v>317438</v>
      </c>
      <c r="C270" s="140" t="str">
        <f>IFERROR(__xludf.DUMMYFUNCTION("""COMPUTED_VALUE"""),"EN")</f>
        <v>EN</v>
      </c>
      <c r="D270" s="140" t="str">
        <f>IFERROR(__xludf.DUMMYFUNCTION("""COMPUTED_VALUE"""),"Introduction to Google Slides")</f>
        <v>Introduction to Google Slides</v>
      </c>
      <c r="E270" t="str">
        <f>IFERROR(__xludf.DUMMYFUNCTION("""COMPUTED_VALUE"""),"Intellezy Trainers")</f>
        <v>Intellezy Trainers</v>
      </c>
      <c r="F270" t="str">
        <f>IFERROR(__xludf.DUMMYFUNCTION("""COMPUTED_VALUE"""),"Below Quality Standards- 3 Flags")</f>
        <v>Below Quality Standards- 3 Flags</v>
      </c>
      <c r="G270" t="str">
        <f>IFERROR(__xludf.DUMMYFUNCTION("""COMPUTED_VALUE"""),"Office Productivity")</f>
        <v>Office Productivity</v>
      </c>
      <c r="H270" t="str">
        <f>IFERROR(__xludf.DUMMYFUNCTION("""COMPUTED_VALUE"""),"Presentations")</f>
        <v>Presentations</v>
      </c>
      <c r="I270">
        <f>IFERROR(__xludf.DUMMYFUNCTION("""COMPUTED_VALUE"""),827712.0)</f>
        <v>827712</v>
      </c>
      <c r="J270" s="140" t="str">
        <f>IFERROR(__xludf.DUMMYFUNCTION("""COMPUTED_VALUE"""),"Google Cloud Productivity - Drive and Google's Office Suite")</f>
        <v>Google Cloud Productivity - Drive and Google's Office Suite</v>
      </c>
      <c r="K270">
        <f>IFERROR(__xludf.DUMMYFUNCTION("""COMPUTED_VALUE"""),587890.0)</f>
        <v>587890</v>
      </c>
      <c r="L270" s="140" t="str">
        <f>IFERROR(__xludf.DUMMYFUNCTION("""COMPUTED_VALUE"""),"Getting Started with Google Office: Docs, Sheets, Slides")</f>
        <v>Getting Started with Google Office: Docs, Sheets, Slides</v>
      </c>
    </row>
    <row r="271">
      <c r="A271" s="199">
        <f>IFERROR(__xludf.DUMMYFUNCTION("""COMPUTED_VALUE"""),43644.0)</f>
        <v>43644</v>
      </c>
      <c r="B271" s="140">
        <f>IFERROR(__xludf.DUMMYFUNCTION("""COMPUTED_VALUE"""),1245426.0)</f>
        <v>1245426</v>
      </c>
      <c r="C271" s="140" t="str">
        <f>IFERROR(__xludf.DUMMYFUNCTION("""COMPUTED_VALUE"""),"EN")</f>
        <v>EN</v>
      </c>
      <c r="D271" s="140" t="str">
        <f>IFERROR(__xludf.DUMMYFUNCTION("""COMPUTED_VALUE"""),"Top Tips for Corporate Leader &amp; Employee Conflict Resolution")</f>
        <v>Top Tips for Corporate Leader &amp; Employee Conflict Resolution</v>
      </c>
      <c r="E271" t="str">
        <f>IFERROR(__xludf.DUMMYFUNCTION("""COMPUTED_VALUE"""),"Illumeo Learning")</f>
        <v>Illumeo Learning</v>
      </c>
      <c r="F271" t="str">
        <f>IFERROR(__xludf.DUMMYFUNCTION("""COMPUTED_VALUE"""),"Below Quality Standards- 3 Flags")</f>
        <v>Below Quality Standards- 3 Flags</v>
      </c>
      <c r="G271" t="str">
        <f>IFERROR(__xludf.DUMMYFUNCTION("""COMPUTED_VALUE"""),"Leadership &amp; Management")</f>
        <v>Leadership &amp; Management</v>
      </c>
      <c r="H271" t="str">
        <f>IFERROR(__xludf.DUMMYFUNCTION("""COMPUTED_VALUE"""),"Communication")</f>
        <v>Communication</v>
      </c>
      <c r="I271">
        <f>IFERROR(__xludf.DUMMYFUNCTION("""COMPUTED_VALUE"""),1337450.0)</f>
        <v>1337450</v>
      </c>
      <c r="J271" s="140" t="str">
        <f>IFERROR(__xludf.DUMMYFUNCTION("""COMPUTED_VALUE"""),"Conflict Management at Work: Real World Strategies &amp; Tools")</f>
        <v>Conflict Management at Work: Real World Strategies &amp; Tools</v>
      </c>
      <c r="K271">
        <f>IFERROR(__xludf.DUMMYFUNCTION("""COMPUTED_VALUE"""),1389360.0)</f>
        <v>1389360</v>
      </c>
      <c r="L271" s="140" t="str">
        <f>IFERROR(__xludf.DUMMYFUNCTION("""COMPUTED_VALUE"""),"Complete Guide to Conflict Management in the Workplace")</f>
        <v>Complete Guide to Conflict Management in the Workplace</v>
      </c>
    </row>
    <row r="272">
      <c r="A272" s="199">
        <f>IFERROR(__xludf.DUMMYFUNCTION("""COMPUTED_VALUE"""),43644.0)</f>
        <v>43644</v>
      </c>
      <c r="B272" s="140">
        <f>IFERROR(__xludf.DUMMYFUNCTION("""COMPUTED_VALUE"""),23918.0)</f>
        <v>23918</v>
      </c>
      <c r="C272" s="140" t="str">
        <f>IFERROR(__xludf.DUMMYFUNCTION("""COMPUTED_VALUE"""),"EN")</f>
        <v>EN</v>
      </c>
      <c r="D272" s="140" t="str">
        <f>IFERROR(__xludf.DUMMYFUNCTION("""COMPUTED_VALUE"""),"Deliver Value: A Cash Source Crash Course")</f>
        <v>Deliver Value: A Cash Source Crash Course</v>
      </c>
      <c r="E272" t="str">
        <f>IFERROR(__xludf.DUMMYFUNCTION("""COMPUTED_VALUE"""),"Jeffrey Gitomer")</f>
        <v>Jeffrey Gitomer</v>
      </c>
      <c r="F272" t="str">
        <f>IFERROR(__xludf.DUMMYFUNCTION("""COMPUTED_VALUE"""),"Below Quality Standards- 3 Flags")</f>
        <v>Below Quality Standards- 3 Flags</v>
      </c>
      <c r="G272" t="str">
        <f>IFERROR(__xludf.DUMMYFUNCTION("""COMPUTED_VALUE"""),"Sales")</f>
        <v>Sales</v>
      </c>
      <c r="H272" t="str">
        <f>IFERROR(__xludf.DUMMYFUNCTION("""COMPUTED_VALUE"""),"Sales Skills &amp; Tools")</f>
        <v>Sales Skills &amp; Tools</v>
      </c>
      <c r="I272">
        <f>IFERROR(__xludf.DUMMYFUNCTION("""COMPUTED_VALUE"""),563478.0)</f>
        <v>563478</v>
      </c>
      <c r="J272" s="140" t="str">
        <f>IFERROR(__xludf.DUMMYFUNCTION("""COMPUTED_VALUE"""),"Sales Training: Practical Sales Techniques")</f>
        <v>Sales Training: Practical Sales Techniques</v>
      </c>
      <c r="L272" s="140" t="str">
        <f>IFERROR(__xludf.DUMMYFUNCTION("""COMPUTED_VALUE"""),"")</f>
        <v/>
      </c>
    </row>
    <row r="273">
      <c r="A273" s="199">
        <f>IFERROR(__xludf.DUMMYFUNCTION("""COMPUTED_VALUE"""),43644.0)</f>
        <v>43644</v>
      </c>
      <c r="B273" s="140">
        <f>IFERROR(__xludf.DUMMYFUNCTION("""COMPUTED_VALUE"""),605670.0)</f>
        <v>605670</v>
      </c>
      <c r="C273" s="140" t="str">
        <f>IFERROR(__xludf.DUMMYFUNCTION("""COMPUTED_VALUE"""),"EN")</f>
        <v>EN</v>
      </c>
      <c r="D273" s="140" t="str">
        <f>IFERROR(__xludf.DUMMYFUNCTION("""COMPUTED_VALUE"""),"Diversity for Dummies: Making Multiculturalism Work")</f>
        <v>Diversity for Dummies: Making Multiculturalism Work</v>
      </c>
      <c r="E273" t="str">
        <f>IFERROR(__xludf.DUMMYFUNCTION("""COMPUTED_VALUE"""),"Warren Chalklen, PhD")</f>
        <v>Warren Chalklen, PhD</v>
      </c>
      <c r="F273" t="str">
        <f>IFERROR(__xludf.DUMMYFUNCTION("""COMPUTED_VALUE"""),"Below Quality Standards- 3 Flags")</f>
        <v>Below Quality Standards- 3 Flags</v>
      </c>
      <c r="G273" t="str">
        <f>IFERROR(__xludf.DUMMYFUNCTION("""COMPUTED_VALUE"""),"Human Resources")</f>
        <v>Human Resources</v>
      </c>
      <c r="H273" t="str">
        <f>IFERROR(__xludf.DUMMYFUNCTION("""COMPUTED_VALUE"""),"Compliance")</f>
        <v>Compliance</v>
      </c>
      <c r="I273">
        <f>IFERROR(__xludf.DUMMYFUNCTION("""COMPUTED_VALUE"""),909996.0)</f>
        <v>909996</v>
      </c>
      <c r="J273" s="140" t="str">
        <f>IFERROR(__xludf.DUMMYFUNCTION("""COMPUTED_VALUE"""),"Navigate Diversity")</f>
        <v>Navigate Diversity</v>
      </c>
      <c r="K273">
        <f>IFERROR(__xludf.DUMMYFUNCTION("""COMPUTED_VALUE"""),911024.0)</f>
        <v>911024</v>
      </c>
      <c r="L273" s="140" t="str">
        <f>IFERROR(__xludf.DUMMYFUNCTION("""COMPUTED_VALUE"""),"Manage Diversity")</f>
        <v>Manage Diversity</v>
      </c>
    </row>
    <row r="274">
      <c r="A274" s="199">
        <f>IFERROR(__xludf.DUMMYFUNCTION("""COMPUTED_VALUE"""),43619.0)</f>
        <v>43619</v>
      </c>
      <c r="B274" s="140">
        <f>IFERROR(__xludf.DUMMYFUNCTION("""COMPUTED_VALUE"""),57153.0)</f>
        <v>57153</v>
      </c>
      <c r="C274" s="140" t="str">
        <f>IFERROR(__xludf.DUMMYFUNCTION("""COMPUTED_VALUE"""),"EN")</f>
        <v>EN</v>
      </c>
      <c r="D274" s="140" t="str">
        <f>IFERROR(__xludf.DUMMYFUNCTION("""COMPUTED_VALUE"""),"Pass the Cisco CCNA Voice 640-461 exam (ICOMM) Downloadable")</f>
        <v>Pass the Cisco CCNA Voice 640-461 exam (ICOMM) Downloadable</v>
      </c>
      <c r="E274" t="str">
        <f>IFERROR(__xludf.DUMMYFUNCTION("""COMPUTED_VALUE"""),"David Bombal")</f>
        <v>David Bombal</v>
      </c>
      <c r="F274" t="str">
        <f>IFERROR(__xludf.DUMMYFUNCTION("""COMPUTED_VALUE"""),"Below Quality Standards- Outdated")</f>
        <v>Below Quality Standards- Outdated</v>
      </c>
      <c r="G274" t="str">
        <f>IFERROR(__xludf.DUMMYFUNCTION("""COMPUTED_VALUE"""),"IT Operations")</f>
        <v>IT Operations</v>
      </c>
      <c r="H274" t="str">
        <f>IFERROR(__xludf.DUMMYFUNCTION("""COMPUTED_VALUE"""),"IT Certifications")</f>
        <v>IT Certifications</v>
      </c>
      <c r="J274" s="140" t="str">
        <f>IFERROR(__xludf.DUMMYFUNCTION("""COMPUTED_VALUE"""),"")</f>
        <v/>
      </c>
      <c r="L274" s="140" t="str">
        <f>IFERROR(__xludf.DUMMYFUNCTION("""COMPUTED_VALUE"""),"")</f>
        <v/>
      </c>
    </row>
    <row r="275">
      <c r="A275" s="199">
        <f>IFERROR(__xludf.DUMMYFUNCTION("""COMPUTED_VALUE"""),43619.0)</f>
        <v>43619</v>
      </c>
      <c r="B275" s="140">
        <f>IFERROR(__xludf.DUMMYFUNCTION("""COMPUTED_VALUE"""),267898.0)</f>
        <v>267898</v>
      </c>
      <c r="C275" s="140" t="str">
        <f>IFERROR(__xludf.DUMMYFUNCTION("""COMPUTED_VALUE"""),"EN")</f>
        <v>EN</v>
      </c>
      <c r="D275" s="140" t="str">
        <f>IFERROR(__xludf.DUMMYFUNCTION("""COMPUTED_VALUE"""),"Discover the Secrets to Being an Awesome Radio DJ")</f>
        <v>Discover the Secrets to Being an Awesome Radio DJ</v>
      </c>
      <c r="E275" t="str">
        <f>IFERROR(__xludf.DUMMYFUNCTION("""COMPUTED_VALUE"""),"Ashley Cowan")</f>
        <v>Ashley Cowan</v>
      </c>
      <c r="F275" t="str">
        <f>IFERROR(__xludf.DUMMYFUNCTION("""COMPUTED_VALUE"""),"Instructor Request- Opted Out")</f>
        <v>Instructor Request- Opted Out</v>
      </c>
      <c r="G275" t="str">
        <f>IFERROR(__xludf.DUMMYFUNCTION("""COMPUTED_VALUE"""),"Personal Development")</f>
        <v>Personal Development</v>
      </c>
      <c r="H275" t="str">
        <f>IFERROR(__xludf.DUMMYFUNCTION("""COMPUTED_VALUE"""),"Arts &amp; Creativity")</f>
        <v>Arts &amp; Creativity</v>
      </c>
      <c r="J275" s="140" t="str">
        <f>IFERROR(__xludf.DUMMYFUNCTION("""COMPUTED_VALUE"""),"")</f>
        <v/>
      </c>
      <c r="L275" s="140" t="str">
        <f>IFERROR(__xludf.DUMMYFUNCTION("""COMPUTED_VALUE"""),"")</f>
        <v/>
      </c>
    </row>
    <row r="276">
      <c r="A276" s="199">
        <f>IFERROR(__xludf.DUMMYFUNCTION("""COMPUTED_VALUE"""),43619.0)</f>
        <v>43619</v>
      </c>
      <c r="B276" s="140">
        <f>IFERROR(__xludf.DUMMYFUNCTION("""COMPUTED_VALUE"""),1146984.0)</f>
        <v>1146984</v>
      </c>
      <c r="C276" s="140" t="str">
        <f>IFERROR(__xludf.DUMMYFUNCTION("""COMPUTED_VALUE"""),"EN")</f>
        <v>EN</v>
      </c>
      <c r="D276" s="140" t="str">
        <f>IFERROR(__xludf.DUMMYFUNCTION("""COMPUTED_VALUE"""),"Setup Free SAP 7.5 Trial System")</f>
        <v>Setup Free SAP 7.5 Trial System</v>
      </c>
      <c r="E276" t="str">
        <f>IFERROR(__xludf.DUMMYFUNCTION("""COMPUTED_VALUE"""),"Rob Davis")</f>
        <v>Rob Davis</v>
      </c>
      <c r="F276" t="str">
        <f>IFERROR(__xludf.DUMMYFUNCTION("""COMPUTED_VALUE"""),"Instructor Request- Outdated")</f>
        <v>Instructor Request- Outdated</v>
      </c>
      <c r="G276" t="str">
        <f>IFERROR(__xludf.DUMMYFUNCTION("""COMPUTED_VALUE"""),"Project Management &amp; Operations")</f>
        <v>Project Management &amp; Operations</v>
      </c>
      <c r="H276" t="str">
        <f>IFERROR(__xludf.DUMMYFUNCTION("""COMPUTED_VALUE"""),"Operations Management")</f>
        <v>Operations Management</v>
      </c>
      <c r="J276" s="140" t="str">
        <f>IFERROR(__xludf.DUMMYFUNCTION("""COMPUTED_VALUE"""),"")</f>
        <v/>
      </c>
      <c r="L276" s="140" t="str">
        <f>IFERROR(__xludf.DUMMYFUNCTION("""COMPUTED_VALUE"""),"")</f>
        <v/>
      </c>
    </row>
    <row r="277">
      <c r="A277" s="199">
        <f>IFERROR(__xludf.DUMMYFUNCTION("""COMPUTED_VALUE"""),43619.0)</f>
        <v>43619</v>
      </c>
      <c r="B277" s="140">
        <f>IFERROR(__xludf.DUMMYFUNCTION("""COMPUTED_VALUE"""),256488.0)</f>
        <v>256488</v>
      </c>
      <c r="C277" s="140" t="str">
        <f>IFERROR(__xludf.DUMMYFUNCTION("""COMPUTED_VALUE"""),"EN")</f>
        <v>EN</v>
      </c>
      <c r="D277" s="140" t="str">
        <f>IFERROR(__xludf.DUMMYFUNCTION("""COMPUTED_VALUE"""),"Interactive Dashboards with Excel Pivot Tables &amp; PivotCharts")</f>
        <v>Interactive Dashboards with Excel Pivot Tables &amp; PivotCharts</v>
      </c>
      <c r="E277" t="str">
        <f>IFERROR(__xludf.DUMMYFUNCTION("""COMPUTED_VALUE"""),"Ian Littlejohn")</f>
        <v>Ian Littlejohn</v>
      </c>
      <c r="F277" t="str">
        <f>IFERROR(__xludf.DUMMYFUNCTION("""COMPUTED_VALUE"""),"Instructor Request- Outdated")</f>
        <v>Instructor Request- Outdated</v>
      </c>
      <c r="G277" t="str">
        <f>IFERROR(__xludf.DUMMYFUNCTION("""COMPUTED_VALUE"""),"Office Productivity")</f>
        <v>Office Productivity</v>
      </c>
      <c r="H277" t="str">
        <f>IFERROR(__xludf.DUMMYFUNCTION("""COMPUTED_VALUE"""),"Spreadsheets")</f>
        <v>Spreadsheets</v>
      </c>
      <c r="I277">
        <f>IFERROR(__xludf.DUMMYFUNCTION("""COMPUTED_VALUE"""),1122362.0)</f>
        <v>1122362</v>
      </c>
      <c r="J277" s="140" t="str">
        <f>IFERROR(__xludf.DUMMYFUNCTION("""COMPUTED_VALUE"""),"Visually Effective Excel Dashboards")</f>
        <v>Visually Effective Excel Dashboards</v>
      </c>
      <c r="K277">
        <f>IFERROR(__xludf.DUMMYFUNCTION("""COMPUTED_VALUE"""),1698420.0)</f>
        <v>1698420</v>
      </c>
      <c r="L277" s="140" t="str">
        <f>IFERROR(__xludf.DUMMYFUNCTION("""COMPUTED_VALUE"""),"Excel Interactive Dashboards and Data Analysis")</f>
        <v>Excel Interactive Dashboards and Data Analysis</v>
      </c>
    </row>
    <row r="278">
      <c r="A278" s="199">
        <f>IFERROR(__xludf.DUMMYFUNCTION("""COMPUTED_VALUE"""),43619.0)</f>
        <v>43619</v>
      </c>
      <c r="B278" s="140">
        <f>IFERROR(__xludf.DUMMYFUNCTION("""COMPUTED_VALUE"""),256490.0)</f>
        <v>256490</v>
      </c>
      <c r="C278" s="140" t="str">
        <f>IFERROR(__xludf.DUMMYFUNCTION("""COMPUTED_VALUE"""),"EN")</f>
        <v>EN</v>
      </c>
      <c r="D278" s="140" t="str">
        <f>IFERROR(__xludf.DUMMYFUNCTION("""COMPUTED_VALUE"""),"Data Modelling and Analysis with Excel Power Pivot")</f>
        <v>Data Modelling and Analysis with Excel Power Pivot</v>
      </c>
      <c r="E278" t="str">
        <f>IFERROR(__xludf.DUMMYFUNCTION("""COMPUTED_VALUE"""),"Ian Littlejohn")</f>
        <v>Ian Littlejohn</v>
      </c>
      <c r="F278" t="str">
        <f>IFERROR(__xludf.DUMMYFUNCTION("""COMPUTED_VALUE"""),"Instructor Request- Outdated")</f>
        <v>Instructor Request- Outdated</v>
      </c>
      <c r="G278" t="str">
        <f>IFERROR(__xludf.DUMMYFUNCTION("""COMPUTED_VALUE"""),"Data Science")</f>
        <v>Data Science</v>
      </c>
      <c r="H278" t="str">
        <f>IFERROR(__xludf.DUMMYFUNCTION("""COMPUTED_VALUE"""),"Analytics")</f>
        <v>Analytics</v>
      </c>
      <c r="I278">
        <f>IFERROR(__xludf.DUMMYFUNCTION("""COMPUTED_VALUE"""),1137048.0)</f>
        <v>1137048</v>
      </c>
      <c r="J278" s="140" t="str">
        <f>IFERROR(__xludf.DUMMYFUNCTION("""COMPUTED_VALUE"""),"Microsoft Excel: Business Intelligence w/ Power Query &amp; DAX")</f>
        <v>Microsoft Excel: Business Intelligence w/ Power Query &amp; DAX</v>
      </c>
      <c r="K278">
        <f>IFERROR(__xludf.DUMMYFUNCTION("""COMPUTED_VALUE"""),419404.0)</f>
        <v>419404</v>
      </c>
      <c r="L278" s="140" t="str">
        <f>IFERROR(__xludf.DUMMYFUNCTION("""COMPUTED_VALUE"""),"Excel Power Query, Power Pivot, Power Map &amp; DAX Masterclass")</f>
        <v>Excel Power Query, Power Pivot, Power Map &amp; DAX Masterclass</v>
      </c>
    </row>
    <row r="279">
      <c r="A279" s="199">
        <f>IFERROR(__xludf.DUMMYFUNCTION("""COMPUTED_VALUE"""),43619.0)</f>
        <v>43619</v>
      </c>
      <c r="B279" s="140">
        <f>IFERROR(__xludf.DUMMYFUNCTION("""COMPUTED_VALUE"""),256492.0)</f>
        <v>256492</v>
      </c>
      <c r="C279" s="140" t="str">
        <f>IFERROR(__xludf.DUMMYFUNCTION("""COMPUTED_VALUE"""),"EN")</f>
        <v>EN</v>
      </c>
      <c r="D279" s="140" t="str">
        <f>IFERROR(__xludf.DUMMYFUNCTION("""COMPUTED_VALUE"""),"Amazing Reports and Dashboards with Excel Power View")</f>
        <v>Amazing Reports and Dashboards with Excel Power View</v>
      </c>
      <c r="E279" t="str">
        <f>IFERROR(__xludf.DUMMYFUNCTION("""COMPUTED_VALUE"""),"Ian Littlejohn")</f>
        <v>Ian Littlejohn</v>
      </c>
      <c r="F279" t="str">
        <f>IFERROR(__xludf.DUMMYFUNCTION("""COMPUTED_VALUE"""),"Instructor Request- Outdated")</f>
        <v>Instructor Request- Outdated</v>
      </c>
      <c r="G279" t="str">
        <f>IFERROR(__xludf.DUMMYFUNCTION("""COMPUTED_VALUE"""),"Office Productivity")</f>
        <v>Office Productivity</v>
      </c>
      <c r="H279" t="str">
        <f>IFERROR(__xludf.DUMMYFUNCTION("""COMPUTED_VALUE"""),"Spreadsheets")</f>
        <v>Spreadsheets</v>
      </c>
      <c r="I279">
        <f>IFERROR(__xludf.DUMMYFUNCTION("""COMPUTED_VALUE"""),1122362.0)</f>
        <v>1122362</v>
      </c>
      <c r="J279" s="140" t="str">
        <f>IFERROR(__xludf.DUMMYFUNCTION("""COMPUTED_VALUE"""),"Visually Effective Excel Dashboards")</f>
        <v>Visually Effective Excel Dashboards</v>
      </c>
      <c r="K279">
        <f>IFERROR(__xludf.DUMMYFUNCTION("""COMPUTED_VALUE"""),1698420.0)</f>
        <v>1698420</v>
      </c>
      <c r="L279" s="140" t="str">
        <f>IFERROR(__xludf.DUMMYFUNCTION("""COMPUTED_VALUE"""),"Excel Interactive Dashboards and Data Analysis")</f>
        <v>Excel Interactive Dashboards and Data Analysis</v>
      </c>
    </row>
    <row r="280">
      <c r="A280" s="199">
        <f>IFERROR(__xludf.DUMMYFUNCTION("""COMPUTED_VALUE"""),43619.0)</f>
        <v>43619</v>
      </c>
      <c r="B280" s="140">
        <f>IFERROR(__xludf.DUMMYFUNCTION("""COMPUTED_VALUE"""),468118.0)</f>
        <v>468118</v>
      </c>
      <c r="C280" s="140" t="str">
        <f>IFERROR(__xludf.DUMMYFUNCTION("""COMPUTED_VALUE"""),"EN")</f>
        <v>EN</v>
      </c>
      <c r="D280" s="140" t="str">
        <f>IFERROR(__xludf.DUMMYFUNCTION("""COMPUTED_VALUE"""),"Business Intelligence with Excel 2013")</f>
        <v>Business Intelligence with Excel 2013</v>
      </c>
      <c r="E280" t="str">
        <f>IFERROR(__xludf.DUMMYFUNCTION("""COMPUTED_VALUE"""),"Ian Littlejohn")</f>
        <v>Ian Littlejohn</v>
      </c>
      <c r="F280" t="str">
        <f>IFERROR(__xludf.DUMMYFUNCTION("""COMPUTED_VALUE"""),"Instructor Request- Outdated")</f>
        <v>Instructor Request- Outdated</v>
      </c>
      <c r="G280" t="str">
        <f>IFERROR(__xludf.DUMMYFUNCTION("""COMPUTED_VALUE"""),"Office Productivity")</f>
        <v>Office Productivity</v>
      </c>
      <c r="H280" t="str">
        <f>IFERROR(__xludf.DUMMYFUNCTION("""COMPUTED_VALUE"""),"Spreadsheets")</f>
        <v>Spreadsheets</v>
      </c>
      <c r="I280">
        <f>IFERROR(__xludf.DUMMYFUNCTION("""COMPUTED_VALUE"""),948866.0)</f>
        <v>948866</v>
      </c>
      <c r="J280" s="140" t="str">
        <f>IFERROR(__xludf.DUMMYFUNCTION("""COMPUTED_VALUE"""),"Excel Essentials: The Complete Excel Series - Level 1, 2 &amp; 3")</f>
        <v>Excel Essentials: The Complete Excel Series - Level 1, 2 &amp; 3</v>
      </c>
      <c r="K280">
        <f>IFERROR(__xludf.DUMMYFUNCTION("""COMPUTED_VALUE"""),49250.0)</f>
        <v>49250</v>
      </c>
      <c r="L280" s="140" t="str">
        <f>IFERROR(__xludf.DUMMYFUNCTION("""COMPUTED_VALUE"""),"Microsoft Excel - From Beginner to Expert in 6 Hours")</f>
        <v>Microsoft Excel - From Beginner to Expert in 6 Hours</v>
      </c>
    </row>
    <row r="281">
      <c r="A281" s="199">
        <f>IFERROR(__xludf.DUMMYFUNCTION("""COMPUTED_VALUE"""),43619.0)</f>
        <v>43619</v>
      </c>
      <c r="B281" s="140">
        <f>IFERROR(__xludf.DUMMYFUNCTION("""COMPUTED_VALUE"""),1281044.0)</f>
        <v>1281044</v>
      </c>
      <c r="C281" s="140" t="str">
        <f>IFERROR(__xludf.DUMMYFUNCTION("""COMPUTED_VALUE"""),"EN")</f>
        <v>EN</v>
      </c>
      <c r="D281" s="140" t="str">
        <f>IFERROR(__xludf.DUMMYFUNCTION("""COMPUTED_VALUE"""),"The Smart Guide to Marketing Your Business on Social Media")</f>
        <v>The Smart Guide to Marketing Your Business on Social Media</v>
      </c>
      <c r="E281" t="str">
        <f>IFERROR(__xludf.DUMMYFUNCTION("""COMPUTED_VALUE"""),"Rebekah Radice")</f>
        <v>Rebekah Radice</v>
      </c>
      <c r="F281" t="str">
        <f>IFERROR(__xludf.DUMMYFUNCTION("""COMPUTED_VALUE"""),"Instructor Request- Outdated")</f>
        <v>Instructor Request- Outdated</v>
      </c>
      <c r="G281" t="str">
        <f>IFERROR(__xludf.DUMMYFUNCTION("""COMPUTED_VALUE"""),"Marketing")</f>
        <v>Marketing</v>
      </c>
      <c r="H281" t="str">
        <f>IFERROR(__xludf.DUMMYFUNCTION("""COMPUTED_VALUE"""),"Social Media Marketing")</f>
        <v>Social Media Marketing</v>
      </c>
      <c r="I281">
        <f>IFERROR(__xludf.DUMMYFUNCTION("""COMPUTED_VALUE"""),959128.0)</f>
        <v>959128</v>
      </c>
      <c r="J281" s="140" t="str">
        <f>IFERROR(__xludf.DUMMYFUNCTION("""COMPUTED_VALUE"""),"Social Media Marketing - Content Marketing Masterclass 2021")</f>
        <v>Social Media Marketing - Content Marketing Masterclass 2021</v>
      </c>
      <c r="K281">
        <f>IFERROR(__xludf.DUMMYFUNCTION("""COMPUTED_VALUE"""),573984.0)</f>
        <v>573984</v>
      </c>
      <c r="L281" s="140" t="str">
        <f>IFERROR(__xludf.DUMMYFUNCTION("""COMPUTED_VALUE"""),"Social Media Marketing MASTERY | Learn Ads on 10+ Platforms")</f>
        <v>Social Media Marketing MASTERY | Learn Ads on 10+ Platforms</v>
      </c>
    </row>
    <row r="282">
      <c r="A282" s="199">
        <f>IFERROR(__xludf.DUMMYFUNCTION("""COMPUTED_VALUE"""),43619.0)</f>
        <v>43619</v>
      </c>
      <c r="B282" s="140">
        <f>IFERROR(__xludf.DUMMYFUNCTION("""COMPUTED_VALUE"""),1232282.0)</f>
        <v>1232282</v>
      </c>
      <c r="C282" s="140" t="str">
        <f>IFERROR(__xludf.DUMMYFUNCTION("""COMPUTED_VALUE"""),"EN")</f>
        <v>EN</v>
      </c>
      <c r="D282" s="140" t="str">
        <f>IFERROR(__xludf.DUMMYFUNCTION("""COMPUTED_VALUE"""),"The Cash Flow Statement - An Introduction")</f>
        <v>The Cash Flow Statement - An Introduction</v>
      </c>
      <c r="E282" t="str">
        <f>IFERROR(__xludf.DUMMYFUNCTION("""COMPUTED_VALUE"""),"Illumeo Learning")</f>
        <v>Illumeo Learning</v>
      </c>
      <c r="F282" t="str">
        <f>IFERROR(__xludf.DUMMYFUNCTION("""COMPUTED_VALUE"""),"Below Quality Standards- Deep Dive")</f>
        <v>Below Quality Standards- Deep Dive</v>
      </c>
      <c r="G282" t="str">
        <f>IFERROR(__xludf.DUMMYFUNCTION("""COMPUTED_VALUE"""),"Finance &amp; Accounting")</f>
        <v>Finance &amp; Accounting</v>
      </c>
      <c r="H282" t="str">
        <f>IFERROR(__xludf.DUMMYFUNCTION("""COMPUTED_VALUE"""),"Accounting")</f>
        <v>Accounting</v>
      </c>
      <c r="J282" s="140" t="str">
        <f>IFERROR(__xludf.DUMMYFUNCTION("""COMPUTED_VALUE"""),"")</f>
        <v/>
      </c>
      <c r="L282" s="140" t="str">
        <f>IFERROR(__xludf.DUMMYFUNCTION("""COMPUTED_VALUE"""),"")</f>
        <v/>
      </c>
    </row>
    <row r="283">
      <c r="A283" s="199">
        <f>IFERROR(__xludf.DUMMYFUNCTION("""COMPUTED_VALUE"""),43619.0)</f>
        <v>43619</v>
      </c>
      <c r="B283" s="140">
        <f>IFERROR(__xludf.DUMMYFUNCTION("""COMPUTED_VALUE"""),179824.0)</f>
        <v>179824</v>
      </c>
      <c r="C283" s="140" t="str">
        <f>IFERROR(__xludf.DUMMYFUNCTION("""COMPUTED_VALUE"""),"EN")</f>
        <v>EN</v>
      </c>
      <c r="D283" s="140" t="str">
        <f>IFERROR(__xludf.DUMMYFUNCTION("""COMPUTED_VALUE"""),"Equity Products")</f>
        <v>Equity Products</v>
      </c>
      <c r="E283" t="str">
        <f>IFERROR(__xludf.DUMMYFUNCTION("""COMPUTED_VALUE"""),"Starweaver Group")</f>
        <v>Starweaver Group</v>
      </c>
      <c r="F283" t="str">
        <f>IFERROR(__xludf.DUMMYFUNCTION("""COMPUTED_VALUE"""),"Below Quality Standards- Deep Dive")</f>
        <v>Below Quality Standards- Deep Dive</v>
      </c>
      <c r="G283" t="str">
        <f>IFERROR(__xludf.DUMMYFUNCTION("""COMPUTED_VALUE"""),"Finance &amp; Accounting")</f>
        <v>Finance &amp; Accounting</v>
      </c>
      <c r="H283" t="str">
        <f>IFERROR(__xludf.DUMMYFUNCTION("""COMPUTED_VALUE"""),"Investing &amp; Trading")</f>
        <v>Investing &amp; Trading</v>
      </c>
      <c r="I283">
        <f>IFERROR(__xludf.DUMMYFUNCTION("""COMPUTED_VALUE"""),30481.0)</f>
        <v>30481</v>
      </c>
      <c r="J283" s="140" t="str">
        <f>IFERROR(__xludf.DUMMYFUNCTION("""COMPUTED_VALUE"""),"")</f>
        <v/>
      </c>
      <c r="L283" s="140" t="str">
        <f>IFERROR(__xludf.DUMMYFUNCTION("""COMPUTED_VALUE"""),"")</f>
        <v/>
      </c>
    </row>
    <row r="284">
      <c r="A284" s="199">
        <f>IFERROR(__xludf.DUMMYFUNCTION("""COMPUTED_VALUE"""),43619.0)</f>
        <v>43619</v>
      </c>
      <c r="B284" s="140">
        <f>IFERROR(__xludf.DUMMYFUNCTION("""COMPUTED_VALUE"""),395872.0)</f>
        <v>395872</v>
      </c>
      <c r="C284" s="140" t="str">
        <f>IFERROR(__xludf.DUMMYFUNCTION("""COMPUTED_VALUE"""),"EN")</f>
        <v>EN</v>
      </c>
      <c r="D284" s="140" t="str">
        <f>IFERROR(__xludf.DUMMYFUNCTION("""COMPUTED_VALUE"""),"The Stock Market - Robert Merton")</f>
        <v>The Stock Market - Robert Merton</v>
      </c>
      <c r="E284" t="str">
        <f>IFERROR(__xludf.DUMMYFUNCTION("""COMPUTED_VALUE"""),"EDOOTV - The knowledge dispenser")</f>
        <v>EDOOTV - The knowledge dispenser</v>
      </c>
      <c r="F284" t="str">
        <f>IFERROR(__xludf.DUMMYFUNCTION("""COMPUTED_VALUE"""),"Below Quality Standards- Deep Dive")</f>
        <v>Below Quality Standards- Deep Dive</v>
      </c>
      <c r="G284" t="str">
        <f>IFERROR(__xludf.DUMMYFUNCTION("""COMPUTED_VALUE"""),"Finance &amp; Accounting")</f>
        <v>Finance &amp; Accounting</v>
      </c>
      <c r="H284" t="str">
        <f>IFERROR(__xludf.DUMMYFUNCTION("""COMPUTED_VALUE"""),"Investing &amp; Trading")</f>
        <v>Investing &amp; Trading</v>
      </c>
      <c r="I284">
        <f>IFERROR(__xludf.DUMMYFUNCTION("""COMPUTED_VALUE"""),285638.0)</f>
        <v>285638</v>
      </c>
      <c r="J284" s="140" t="str">
        <f>IFERROR(__xludf.DUMMYFUNCTION("""COMPUTED_VALUE"""),"Guide to Stock Trading with Candlestick &amp; Technical Analysis")</f>
        <v>Guide to Stock Trading with Candlestick &amp; Technical Analysis</v>
      </c>
      <c r="L284" s="140" t="str">
        <f>IFERROR(__xludf.DUMMYFUNCTION("""COMPUTED_VALUE"""),"")</f>
        <v/>
      </c>
    </row>
    <row r="285">
      <c r="A285" s="199">
        <f>IFERROR(__xludf.DUMMYFUNCTION("""COMPUTED_VALUE"""),43619.0)</f>
        <v>43619</v>
      </c>
      <c r="B285" s="140">
        <f>IFERROR(__xludf.DUMMYFUNCTION("""COMPUTED_VALUE"""),824132.0)</f>
        <v>824132</v>
      </c>
      <c r="C285" s="140" t="str">
        <f>IFERROR(__xludf.DUMMYFUNCTION("""COMPUTED_VALUE"""),"EN")</f>
        <v>EN</v>
      </c>
      <c r="D285" s="140" t="str">
        <f>IFERROR(__xludf.DUMMYFUNCTION("""COMPUTED_VALUE"""),"Real Estate Investing: Analysis Made Simple")</f>
        <v>Real Estate Investing: Analysis Made Simple</v>
      </c>
      <c r="E285" t="str">
        <f>IFERROR(__xludf.DUMMYFUNCTION("""COMPUTED_VALUE"""),"Alex Richichi")</f>
        <v>Alex Richichi</v>
      </c>
      <c r="F285" t="str">
        <f>IFERROR(__xludf.DUMMYFUNCTION("""COMPUTED_VALUE"""),"Below Quality Standards- Deep Dive")</f>
        <v>Below Quality Standards- Deep Dive</v>
      </c>
      <c r="G285" t="str">
        <f>IFERROR(__xludf.DUMMYFUNCTION("""COMPUTED_VALUE"""),"Finance &amp; Accounting")</f>
        <v>Finance &amp; Accounting</v>
      </c>
      <c r="H285" t="str">
        <f>IFERROR(__xludf.DUMMYFUNCTION("""COMPUTED_VALUE"""),"Investing &amp; Trading")</f>
        <v>Investing &amp; Trading</v>
      </c>
      <c r="I285">
        <f>IFERROR(__xludf.DUMMYFUNCTION("""COMPUTED_VALUE"""),148902.0)</f>
        <v>148902</v>
      </c>
      <c r="J285" s="140" t="str">
        <f>IFERROR(__xludf.DUMMYFUNCTION("""COMPUTED_VALUE"""),"Fundamentals of Analyzing Real Estate Investments")</f>
        <v>Fundamentals of Analyzing Real Estate Investments</v>
      </c>
      <c r="K285">
        <f>IFERROR(__xludf.DUMMYFUNCTION("""COMPUTED_VALUE"""),667880.0)</f>
        <v>667880</v>
      </c>
      <c r="L285" s="140" t="str">
        <f>IFERROR(__xludf.DUMMYFUNCTION("""COMPUTED_VALUE"""),"Multifamily Real Estate Investing Rules of Thumb")</f>
        <v>Multifamily Real Estate Investing Rules of Thumb</v>
      </c>
    </row>
    <row r="286">
      <c r="A286" s="199">
        <f>IFERROR(__xludf.DUMMYFUNCTION("""COMPUTED_VALUE"""),43619.0)</f>
        <v>43619</v>
      </c>
      <c r="B286" s="140">
        <f>IFERROR(__xludf.DUMMYFUNCTION("""COMPUTED_VALUE"""),1441172.0)</f>
        <v>1441172</v>
      </c>
      <c r="C286" s="140" t="str">
        <f>IFERROR(__xludf.DUMMYFUNCTION("""COMPUTED_VALUE"""),"EN")</f>
        <v>EN</v>
      </c>
      <c r="D286" s="140" t="str">
        <f>IFERROR(__xludf.DUMMYFUNCTION("""COMPUTED_VALUE"""),"Vagrant for DevOps")</f>
        <v>Vagrant for DevOps</v>
      </c>
      <c r="E286" t="str">
        <f>IFERROR(__xludf.DUMMYFUNCTION("""COMPUTED_VALUE"""),"Yogesh Mehta")</f>
        <v>Yogesh Mehta</v>
      </c>
      <c r="F286" t="str">
        <f>IFERROR(__xludf.DUMMYFUNCTION("""COMPUTED_VALUE"""),"Below Quality Standards- 3 Flags")</f>
        <v>Below Quality Standards- 3 Flags</v>
      </c>
      <c r="G286" t="str">
        <f>IFERROR(__xludf.DUMMYFUNCTION("""COMPUTED_VALUE"""),"Development")</f>
        <v>Development</v>
      </c>
      <c r="H286" t="str">
        <f>IFERROR(__xludf.DUMMYFUNCTION("""COMPUTED_VALUE"""),"Database Design &amp; Development")</f>
        <v>Database Design &amp; Development</v>
      </c>
      <c r="I286">
        <f>IFERROR(__xludf.DUMMYFUNCTION("""COMPUTED_VALUE"""),852944.0)</f>
        <v>852944</v>
      </c>
      <c r="J286" s="140" t="str">
        <f>IFERROR(__xludf.DUMMYFUNCTION("""COMPUTED_VALUE"""),"")</f>
        <v/>
      </c>
      <c r="L286" s="140" t="str">
        <f>IFERROR(__xludf.DUMMYFUNCTION("""COMPUTED_VALUE"""),"")</f>
        <v/>
      </c>
    </row>
    <row r="287">
      <c r="A287" s="199">
        <f>IFERROR(__xludf.DUMMYFUNCTION("""COMPUTED_VALUE"""),43619.0)</f>
        <v>43619</v>
      </c>
      <c r="B287" s="140">
        <f>IFERROR(__xludf.DUMMYFUNCTION("""COMPUTED_VALUE"""),861528.0)</f>
        <v>861528</v>
      </c>
      <c r="C287" s="140" t="str">
        <f>IFERROR(__xludf.DUMMYFUNCTION("""COMPUTED_VALUE"""),"EN")</f>
        <v>EN</v>
      </c>
      <c r="D287" s="140" t="str">
        <f>IFERROR(__xludf.DUMMYFUNCTION("""COMPUTED_VALUE"""),"PHP Security")</f>
        <v>PHP Security</v>
      </c>
      <c r="E287" t="str">
        <f>IFERROR(__xludf.DUMMYFUNCTION("""COMPUTED_VALUE"""),"Edwin Diaz")</f>
        <v>Edwin Diaz</v>
      </c>
      <c r="F287" t="str">
        <f>IFERROR(__xludf.DUMMYFUNCTION("""COMPUTED_VALUE"""),"Below Quality Standards- 3 Flags")</f>
        <v>Below Quality Standards- 3 Flags</v>
      </c>
      <c r="G287" t="str">
        <f>IFERROR(__xludf.DUMMYFUNCTION("""COMPUTED_VALUE"""),"Development")</f>
        <v>Development</v>
      </c>
      <c r="H287" t="str">
        <f>IFERROR(__xludf.DUMMYFUNCTION("""COMPUTED_VALUE"""),"Web Development")</f>
        <v>Web Development</v>
      </c>
      <c r="J287" s="140" t="str">
        <f>IFERROR(__xludf.DUMMYFUNCTION("""COMPUTED_VALUE"""),"")</f>
        <v/>
      </c>
      <c r="L287" s="140" t="str">
        <f>IFERROR(__xludf.DUMMYFUNCTION("""COMPUTED_VALUE"""),"")</f>
        <v/>
      </c>
    </row>
    <row r="288">
      <c r="A288" s="199">
        <f>IFERROR(__xludf.DUMMYFUNCTION("""COMPUTED_VALUE"""),43619.0)</f>
        <v>43619</v>
      </c>
      <c r="B288" s="140">
        <f>IFERROR(__xludf.DUMMYFUNCTION("""COMPUTED_VALUE"""),807874.0)</f>
        <v>807874</v>
      </c>
      <c r="C288" s="140" t="str">
        <f>IFERROR(__xludf.DUMMYFUNCTION("""COMPUTED_VALUE"""),"EN")</f>
        <v>EN</v>
      </c>
      <c r="D288" s="140" t="str">
        <f>IFERROR(__xludf.DUMMYFUNCTION("""COMPUTED_VALUE"""),"Modern JavaScript: Building Real-World, Real-Time Apps")</f>
        <v>Modern JavaScript: Building Real-World, Real-Time Apps</v>
      </c>
      <c r="E288" t="str">
        <f>IFERROR(__xludf.DUMMYFUNCTION("""COMPUTED_VALUE"""),"3D BUZZ Programming and Digital Art training")</f>
        <v>3D BUZZ Programming and Digital Art training</v>
      </c>
      <c r="F288" t="str">
        <f>IFERROR(__xludf.DUMMYFUNCTION("""COMPUTED_VALUE"""),"Below Quality Standards- 3 Flags")</f>
        <v>Below Quality Standards- 3 Flags</v>
      </c>
      <c r="G288" t="str">
        <f>IFERROR(__xludf.DUMMYFUNCTION("""COMPUTED_VALUE"""),"Development")</f>
        <v>Development</v>
      </c>
      <c r="H288" t="str">
        <f>IFERROR(__xludf.DUMMYFUNCTION("""COMPUTED_VALUE"""),"Web Development")</f>
        <v>Web Development</v>
      </c>
      <c r="I288">
        <f>IFERROR(__xludf.DUMMYFUNCTION("""COMPUTED_VALUE"""),851712.0)</f>
        <v>851712</v>
      </c>
      <c r="J288" s="140" t="str">
        <f>IFERROR(__xludf.DUMMYFUNCTION("""COMPUTED_VALUE"""),"The Complete JavaScript Course 2022: From Zero to Expert!")</f>
        <v>The Complete JavaScript Course 2022: From Zero to Expert!</v>
      </c>
      <c r="L288" s="140" t="str">
        <f>IFERROR(__xludf.DUMMYFUNCTION("""COMPUTED_VALUE"""),"")</f>
        <v/>
      </c>
    </row>
    <row r="289">
      <c r="A289" s="199">
        <f>IFERROR(__xludf.DUMMYFUNCTION("""COMPUTED_VALUE"""),43619.0)</f>
        <v>43619</v>
      </c>
      <c r="B289" s="140">
        <f>IFERROR(__xludf.DUMMYFUNCTION("""COMPUTED_VALUE"""),523546.0)</f>
        <v>523546</v>
      </c>
      <c r="C289" s="140" t="str">
        <f>IFERROR(__xludf.DUMMYFUNCTION("""COMPUTED_VALUE"""),"EN")</f>
        <v>EN</v>
      </c>
      <c r="D289" s="140" t="str">
        <f>IFERROR(__xludf.DUMMYFUNCTION("""COMPUTED_VALUE"""),"Performance Tuning SQL Server On RDS")</f>
        <v>Performance Tuning SQL Server On RDS</v>
      </c>
      <c r="E289" t="str">
        <f>IFERROR(__xludf.DUMMYFUNCTION("""COMPUTED_VALUE"""),"Mike West")</f>
        <v>Mike West</v>
      </c>
      <c r="F289" t="str">
        <f>IFERROR(__xludf.DUMMYFUNCTION("""COMPUTED_VALUE"""),"Below Quality Standards- 3 Flags")</f>
        <v>Below Quality Standards- 3 Flags</v>
      </c>
      <c r="G289" t="str">
        <f>IFERROR(__xludf.DUMMYFUNCTION("""COMPUTED_VALUE"""),"IT Operations")</f>
        <v>IT Operations</v>
      </c>
      <c r="H289" t="str">
        <f>IFERROR(__xludf.DUMMYFUNCTION("""COMPUTED_VALUE"""),"Database Administration")</f>
        <v>Database Administration</v>
      </c>
      <c r="I289">
        <f>IFERROR(__xludf.DUMMYFUNCTION("""COMPUTED_VALUE"""),543766.0)</f>
        <v>543766</v>
      </c>
      <c r="J289" s="140" t="str">
        <f>IFERROR(__xludf.DUMMYFUNCTION("""COMPUTED_VALUE"""),"")</f>
        <v/>
      </c>
      <c r="L289" s="140" t="str">
        <f>IFERROR(__xludf.DUMMYFUNCTION("""COMPUTED_VALUE"""),"")</f>
        <v/>
      </c>
    </row>
    <row r="290">
      <c r="A290" s="199">
        <f>IFERROR(__xludf.DUMMYFUNCTION("""COMPUTED_VALUE"""),43619.0)</f>
        <v>43619</v>
      </c>
      <c r="B290" s="140">
        <f>IFERROR(__xludf.DUMMYFUNCTION("""COMPUTED_VALUE"""),839634.0)</f>
        <v>839634</v>
      </c>
      <c r="C290" s="140" t="str">
        <f>IFERROR(__xludf.DUMMYFUNCTION("""COMPUTED_VALUE"""),"EN")</f>
        <v>EN</v>
      </c>
      <c r="D290" s="140" t="str">
        <f>IFERROR(__xludf.DUMMYFUNCTION("""COMPUTED_VALUE"""),"SystemVerilog Verification -3: Object Oriented Programming")</f>
        <v>SystemVerilog Verification -3: Object Oriented Programming</v>
      </c>
      <c r="E290" t="str">
        <f>IFERROR(__xludf.DUMMYFUNCTION("""COMPUTED_VALUE"""),"Ajith Jose")</f>
        <v>Ajith Jose</v>
      </c>
      <c r="F290" t="str">
        <f>IFERROR(__xludf.DUMMYFUNCTION("""COMPUTED_VALUE"""),"Below Quality Standards- 3 Flags")</f>
        <v>Below Quality Standards- 3 Flags</v>
      </c>
      <c r="G290" t="str">
        <f>IFERROR(__xludf.DUMMYFUNCTION("""COMPUTED_VALUE"""),"IT Operations")</f>
        <v>IT Operations</v>
      </c>
      <c r="H290" t="str">
        <f>IFERROR(__xludf.DUMMYFUNCTION("""COMPUTED_VALUE"""),"Hardware")</f>
        <v>Hardware</v>
      </c>
      <c r="I290">
        <f>IFERROR(__xludf.DUMMYFUNCTION("""COMPUTED_VALUE"""),761780.0)</f>
        <v>761780</v>
      </c>
      <c r="J290" s="140" t="str">
        <f>IFERROR(__xludf.DUMMYFUNCTION("""COMPUTED_VALUE"""),"SystemVerilog Assertions &amp; Functional Coverage FROM SCRATCH")</f>
        <v>SystemVerilog Assertions &amp; Functional Coverage FROM SCRATCH</v>
      </c>
      <c r="L290" s="140" t="str">
        <f>IFERROR(__xludf.DUMMYFUNCTION("""COMPUTED_VALUE"""),"")</f>
        <v/>
      </c>
    </row>
    <row r="291">
      <c r="A291" s="199">
        <f>IFERROR(__xludf.DUMMYFUNCTION("""COMPUTED_VALUE"""),43619.0)</f>
        <v>43619</v>
      </c>
      <c r="B291" s="140">
        <f>IFERROR(__xludf.DUMMYFUNCTION("""COMPUTED_VALUE"""),623152.0)</f>
        <v>623152</v>
      </c>
      <c r="C291" s="140" t="str">
        <f>IFERROR(__xludf.DUMMYFUNCTION("""COMPUTED_VALUE"""),"EN")</f>
        <v>EN</v>
      </c>
      <c r="D291" s="140" t="str">
        <f>IFERROR(__xludf.DUMMYFUNCTION("""COMPUTED_VALUE"""),"One Week To Better Sleep")</f>
        <v>One Week To Better Sleep</v>
      </c>
      <c r="E291" t="str">
        <f>IFERROR(__xludf.DUMMYFUNCTION("""COMPUTED_VALUE"""),"Mitchel Schwindt")</f>
        <v>Mitchel Schwindt</v>
      </c>
      <c r="F291" t="str">
        <f>IFERROR(__xludf.DUMMYFUNCTION("""COMPUTED_VALUE"""),"Below Quality Standards- Low Rating")</f>
        <v>Below Quality Standards- Low Rating</v>
      </c>
      <c r="G291" t="str">
        <f>IFERROR(__xludf.DUMMYFUNCTION("""COMPUTED_VALUE"""),"Personal Development")</f>
        <v>Personal Development</v>
      </c>
      <c r="H291" t="str">
        <f>IFERROR(__xludf.DUMMYFUNCTION("""COMPUTED_VALUE"""),"Health &amp; Fitness")</f>
        <v>Health &amp; Fitness</v>
      </c>
      <c r="I291">
        <f>IFERROR(__xludf.DUMMYFUNCTION("""COMPUTED_VALUE"""),329346.0)</f>
        <v>329346</v>
      </c>
      <c r="J291" s="140" t="str">
        <f>IFERROR(__xludf.DUMMYFUNCTION("""COMPUTED_VALUE"""),"YOGA FOR INSOMNIA: 7 DAYS TO SLEEP LIKE A DREAM!")</f>
        <v>YOGA FOR INSOMNIA: 7 DAYS TO SLEEP LIKE A DREAM!</v>
      </c>
      <c r="L291" s="140" t="str">
        <f>IFERROR(__xludf.DUMMYFUNCTION("""COMPUTED_VALUE"""),"")</f>
        <v/>
      </c>
    </row>
    <row r="292">
      <c r="A292" s="199">
        <f>IFERROR(__xludf.DUMMYFUNCTION("""COMPUTED_VALUE"""),43619.0)</f>
        <v>43619</v>
      </c>
      <c r="B292" s="140">
        <f>IFERROR(__xludf.DUMMYFUNCTION("""COMPUTED_VALUE"""),1642806.0)</f>
        <v>1642806</v>
      </c>
      <c r="C292" s="140" t="str">
        <f>IFERROR(__xludf.DUMMYFUNCTION("""COMPUTED_VALUE"""),"EN")</f>
        <v>EN</v>
      </c>
      <c r="D292" s="140" t="str">
        <f>IFERROR(__xludf.DUMMYFUNCTION("""COMPUTED_VALUE"""),"Introduction to Internet of Things")</f>
        <v>Introduction to Internet of Things</v>
      </c>
      <c r="E292" t="str">
        <f>IFERROR(__xludf.DUMMYFUNCTION("""COMPUTED_VALUE"""),"Packt Publishing")</f>
        <v>Packt Publishing</v>
      </c>
      <c r="F292" t="str">
        <f>IFERROR(__xludf.DUMMYFUNCTION("""COMPUTED_VALUE"""),"Below Quality Standards- Low Rating")</f>
        <v>Below Quality Standards- Low Rating</v>
      </c>
      <c r="G292" t="str">
        <f>IFERROR(__xludf.DUMMYFUNCTION("""COMPUTED_VALUE"""),"IT Operations")</f>
        <v>IT Operations</v>
      </c>
      <c r="H292" t="str">
        <f>IFERROR(__xludf.DUMMYFUNCTION("""COMPUTED_VALUE"""),"Hardware")</f>
        <v>Hardware</v>
      </c>
      <c r="I292">
        <f>IFERROR(__xludf.DUMMYFUNCTION("""COMPUTED_VALUE"""),1205478.0)</f>
        <v>1205478</v>
      </c>
      <c r="J292" s="140" t="str">
        <f>IFERROR(__xludf.DUMMYFUNCTION("""COMPUTED_VALUE"""),"")</f>
        <v/>
      </c>
      <c r="L292" s="140" t="str">
        <f>IFERROR(__xludf.DUMMYFUNCTION("""COMPUTED_VALUE"""),"")</f>
        <v/>
      </c>
    </row>
    <row r="293">
      <c r="A293" s="199">
        <f>IFERROR(__xludf.DUMMYFUNCTION("""COMPUTED_VALUE"""),43619.0)</f>
        <v>43619</v>
      </c>
      <c r="B293" s="140">
        <f>IFERROR(__xludf.DUMMYFUNCTION("""COMPUTED_VALUE"""),1570408.0)</f>
        <v>1570408</v>
      </c>
      <c r="C293" s="140" t="str">
        <f>IFERROR(__xludf.DUMMYFUNCTION("""COMPUTED_VALUE"""),"EN")</f>
        <v>EN</v>
      </c>
      <c r="D293" s="140" t="str">
        <f>IFERROR(__xludf.DUMMYFUNCTION("""COMPUTED_VALUE"""),"Master Python and Excel: File Automation with OpenPyXL")</f>
        <v>Master Python and Excel: File Automation with OpenPyXL</v>
      </c>
      <c r="E293" t="str">
        <f>IFERROR(__xludf.DUMMYFUNCTION("""COMPUTED_VALUE"""),"Avinash Jain")</f>
        <v>Avinash Jain</v>
      </c>
      <c r="F293" t="str">
        <f>IFERROR(__xludf.DUMMYFUNCTION("""COMPUTED_VALUE"""),"Below Quality Standards- Low Rating")</f>
        <v>Below Quality Standards- Low Rating</v>
      </c>
      <c r="G293" t="str">
        <f>IFERROR(__xludf.DUMMYFUNCTION("""COMPUTED_VALUE"""),"Development")</f>
        <v>Development</v>
      </c>
      <c r="H293" t="str">
        <f>IFERROR(__xludf.DUMMYFUNCTION("""COMPUTED_VALUE"""),"Programming Languages")</f>
        <v>Programming Languages</v>
      </c>
      <c r="J293" s="140" t="str">
        <f>IFERROR(__xludf.DUMMYFUNCTION("""COMPUTED_VALUE"""),"")</f>
        <v/>
      </c>
      <c r="L293" s="140" t="str">
        <f>IFERROR(__xludf.DUMMYFUNCTION("""COMPUTED_VALUE"""),"")</f>
        <v/>
      </c>
    </row>
    <row r="294">
      <c r="A294" s="199">
        <f>IFERROR(__xludf.DUMMYFUNCTION("""COMPUTED_VALUE"""),43619.0)</f>
        <v>43619</v>
      </c>
      <c r="B294" s="140">
        <f>IFERROR(__xludf.DUMMYFUNCTION("""COMPUTED_VALUE"""),1267680.0)</f>
        <v>1267680</v>
      </c>
      <c r="C294" s="140" t="str">
        <f>IFERROR(__xludf.DUMMYFUNCTION("""COMPUTED_VALUE"""),"EN")</f>
        <v>EN</v>
      </c>
      <c r="D294" s="140" t="str">
        <f>IFERROR(__xludf.DUMMYFUNCTION("""COMPUTED_VALUE"""),"Modern, Effective Leadership")</f>
        <v>Modern, Effective Leadership</v>
      </c>
      <c r="E294" t="str">
        <f>IFERROR(__xludf.DUMMYFUNCTION("""COMPUTED_VALUE"""),"Illumeo Learning")</f>
        <v>Illumeo Learning</v>
      </c>
      <c r="F294" t="str">
        <f>IFERROR(__xludf.DUMMYFUNCTION("""COMPUTED_VALUE"""),"Below Quality Standards- Low Rating")</f>
        <v>Below Quality Standards- Low Rating</v>
      </c>
      <c r="G294" t="str">
        <f>IFERROR(__xludf.DUMMYFUNCTION("""COMPUTED_VALUE"""),"Leadership &amp; Management")</f>
        <v>Leadership &amp; Management</v>
      </c>
      <c r="H294" t="str">
        <f>IFERROR(__xludf.DUMMYFUNCTION("""COMPUTED_VALUE"""),"Leadership")</f>
        <v>Leadership</v>
      </c>
      <c r="I294">
        <f>IFERROR(__xludf.DUMMYFUNCTION("""COMPUTED_VALUE"""),613808.0)</f>
        <v>613808</v>
      </c>
      <c r="J294" s="140" t="str">
        <f>IFERROR(__xludf.DUMMYFUNCTION("""COMPUTED_VALUE"""),"Leadership: Practical Leadership Skills")</f>
        <v>Leadership: Practical Leadership Skills</v>
      </c>
      <c r="L294" s="140" t="str">
        <f>IFERROR(__xludf.DUMMYFUNCTION("""COMPUTED_VALUE"""),"")</f>
        <v/>
      </c>
    </row>
    <row r="295">
      <c r="A295" s="199">
        <f>IFERROR(__xludf.DUMMYFUNCTION("""COMPUTED_VALUE"""),43619.0)</f>
        <v>43619</v>
      </c>
      <c r="B295" s="140">
        <f>IFERROR(__xludf.DUMMYFUNCTION("""COMPUTED_VALUE"""),1865304.0)</f>
        <v>1865304</v>
      </c>
      <c r="C295" s="140" t="str">
        <f>IFERROR(__xludf.DUMMYFUNCTION("""COMPUTED_VALUE"""),"EN")</f>
        <v>EN</v>
      </c>
      <c r="D295" s="140" t="str">
        <f>IFERROR(__xludf.DUMMYFUNCTION("""COMPUTED_VALUE"""),"Learn DevOps Helm/Helmfile Kubernetes deployment")</f>
        <v>Learn DevOps Helm/Helmfile Kubernetes deployment</v>
      </c>
      <c r="E295" t="str">
        <f>IFERROR(__xludf.DUMMYFUNCTION("""COMPUTED_VALUE"""),"Jan Toth")</f>
        <v>Jan Toth</v>
      </c>
      <c r="F295" t="str">
        <f>IFERROR(__xludf.DUMMYFUNCTION("""COMPUTED_VALUE"""),"Below Quality Standards- Low Rating")</f>
        <v>Below Quality Standards- Low Rating</v>
      </c>
      <c r="G295" t="str">
        <f>IFERROR(__xludf.DUMMYFUNCTION("""COMPUTED_VALUE"""),"Development")</f>
        <v>Development</v>
      </c>
      <c r="H295" t="str">
        <f>IFERROR(__xludf.DUMMYFUNCTION("""COMPUTED_VALUE"""),"Development Tools")</f>
        <v>Development Tools</v>
      </c>
      <c r="I295">
        <f>IFERROR(__xludf.DUMMYFUNCTION("""COMPUTED_VALUE"""),1007250.0)</f>
        <v>1007250</v>
      </c>
      <c r="J295" s="140" t="str">
        <f>IFERROR(__xludf.DUMMYFUNCTION("""COMPUTED_VALUE"""),"Learn DevOps: The Complete Kubernetes Course")</f>
        <v>Learn DevOps: The Complete Kubernetes Course</v>
      </c>
      <c r="L295" s="140" t="str">
        <f>IFERROR(__xludf.DUMMYFUNCTION("""COMPUTED_VALUE"""),"")</f>
        <v/>
      </c>
    </row>
    <row r="296">
      <c r="A296" s="199">
        <f>IFERROR(__xludf.DUMMYFUNCTION("""COMPUTED_VALUE"""),43619.0)</f>
        <v>43619</v>
      </c>
      <c r="B296" s="140">
        <f>IFERROR(__xludf.DUMMYFUNCTION("""COMPUTED_VALUE"""),1279612.0)</f>
        <v>1279612</v>
      </c>
      <c r="C296" s="140" t="str">
        <f>IFERROR(__xludf.DUMMYFUNCTION("""COMPUTED_VALUE"""),"EN")</f>
        <v>EN</v>
      </c>
      <c r="D296" s="140" t="str">
        <f>IFERROR(__xludf.DUMMYFUNCTION("""COMPUTED_VALUE"""),"Mastering Server Side Swift Using Vapor 2")</f>
        <v>Mastering Server Side Swift Using Vapor 2</v>
      </c>
      <c r="E296" t="str">
        <f>IFERROR(__xludf.DUMMYFUNCTION("""COMPUTED_VALUE"""),"Mohammad Azam")</f>
        <v>Mohammad Azam</v>
      </c>
      <c r="F296" t="str">
        <f>IFERROR(__xludf.DUMMYFUNCTION("""COMPUTED_VALUE"""),"Instructor Request- Outdated")</f>
        <v>Instructor Request- Outdated</v>
      </c>
      <c r="G296" t="str">
        <f>IFERROR(__xludf.DUMMYFUNCTION("""COMPUTED_VALUE"""),"Development")</f>
        <v>Development</v>
      </c>
      <c r="H296" t="str">
        <f>IFERROR(__xludf.DUMMYFUNCTION("""COMPUTED_VALUE"""),"Mobile Development")</f>
        <v>Mobile Development</v>
      </c>
      <c r="I296">
        <f>IFERROR(__xludf.DUMMYFUNCTION("""COMPUTED_VALUE"""),1778502.0)</f>
        <v>1778502</v>
      </c>
      <c r="J296" s="140" t="str">
        <f>IFERROR(__xludf.DUMMYFUNCTION("""COMPUTED_VALUE"""),"iOS &amp; Swift - The Complete iOS App Development Bootcamp")</f>
        <v>iOS &amp; Swift - The Complete iOS App Development Bootcamp</v>
      </c>
      <c r="L296" s="140" t="str">
        <f>IFERROR(__xludf.DUMMYFUNCTION("""COMPUTED_VALUE"""),"")</f>
        <v/>
      </c>
    </row>
    <row r="297">
      <c r="A297" s="199">
        <f>IFERROR(__xludf.DUMMYFUNCTION("""COMPUTED_VALUE"""),43614.0)</f>
        <v>43614</v>
      </c>
      <c r="B297" s="140">
        <f>IFERROR(__xludf.DUMMYFUNCTION("""COMPUTED_VALUE"""),57153.0)</f>
        <v>57153</v>
      </c>
      <c r="C297" s="140" t="str">
        <f>IFERROR(__xludf.DUMMYFUNCTION("""COMPUTED_VALUE"""),"EN")</f>
        <v>EN</v>
      </c>
      <c r="D297" s="140" t="str">
        <f>IFERROR(__xludf.DUMMYFUNCTION("""COMPUTED_VALUE"""),"Pass the Cisco CCNA Voice 640-461 exam (ICOMM) Downloadable")</f>
        <v>Pass the Cisco CCNA Voice 640-461 exam (ICOMM) Downloadable</v>
      </c>
      <c r="E297" t="str">
        <f>IFERROR(__xludf.DUMMYFUNCTION("""COMPUTED_VALUE"""),"David Bombal")</f>
        <v>David Bombal</v>
      </c>
      <c r="F297" t="str">
        <f>IFERROR(__xludf.DUMMYFUNCTION("""COMPUTED_VALUE"""),"Below Quality Standards- Outdated")</f>
        <v>Below Quality Standards- Outdated</v>
      </c>
      <c r="G297" t="str">
        <f>IFERROR(__xludf.DUMMYFUNCTION("""COMPUTED_VALUE"""),"IT Operations")</f>
        <v>IT Operations</v>
      </c>
      <c r="H297" t="str">
        <f>IFERROR(__xludf.DUMMYFUNCTION("""COMPUTED_VALUE"""),"IT Certifications")</f>
        <v>IT Certifications</v>
      </c>
      <c r="I297">
        <f>IFERROR(__xludf.DUMMYFUNCTION("""COMPUTED_VALUE"""),27970.0)</f>
        <v>27970</v>
      </c>
      <c r="J297" s="140" t="str">
        <f>IFERROR(__xludf.DUMMYFUNCTION("""COMPUTED_VALUE"""),"")</f>
        <v/>
      </c>
      <c r="K297">
        <f>IFERROR(__xludf.DUMMYFUNCTION("""COMPUTED_VALUE"""),522258.0)</f>
        <v>522258</v>
      </c>
      <c r="L297" s="140" t="str">
        <f>IFERROR(__xludf.DUMMYFUNCTION("""COMPUTED_VALUE"""),"Cisco Network Security Master Class")</f>
        <v>Cisco Network Security Master Class</v>
      </c>
    </row>
    <row r="298">
      <c r="A298" s="199">
        <f>IFERROR(__xludf.DUMMYFUNCTION("""COMPUTED_VALUE"""),43595.0)</f>
        <v>43595</v>
      </c>
      <c r="B298" s="140">
        <f>IFERROR(__xludf.DUMMYFUNCTION("""COMPUTED_VALUE"""),1749276.0)</f>
        <v>1749276</v>
      </c>
      <c r="C298" s="140" t="str">
        <f>IFERROR(__xludf.DUMMYFUNCTION("""COMPUTED_VALUE"""),"EN")</f>
        <v>EN</v>
      </c>
      <c r="D298" s="140" t="str">
        <f>IFERROR(__xludf.DUMMYFUNCTION("""COMPUTED_VALUE"""),"Azure Bundle Prep for AZ-100 , AZ-101 and 70-533")</f>
        <v>Azure Bundle Prep for AZ-100 , AZ-101 and 70-533</v>
      </c>
      <c r="E298" t="str">
        <f>IFERROR(__xludf.DUMMYFUNCTION("""COMPUTED_VALUE"""),"Anand Nednur")</f>
        <v>Anand Nednur</v>
      </c>
      <c r="F298" t="str">
        <f>IFERROR(__xludf.DUMMYFUNCTION("""COMPUTED_VALUE"""),"Below Quality Standards- Outdated")</f>
        <v>Below Quality Standards- Outdated</v>
      </c>
      <c r="G298" t="str">
        <f>IFERROR(__xludf.DUMMYFUNCTION("""COMPUTED_VALUE"""),"IT Operations")</f>
        <v>IT Operations</v>
      </c>
      <c r="H298" t="str">
        <f>IFERROR(__xludf.DUMMYFUNCTION("""COMPUTED_VALUE"""),"IT Certifications")</f>
        <v>IT Certifications</v>
      </c>
      <c r="I298">
        <f>IFERROR(__xludf.DUMMYFUNCTION("""COMPUTED_VALUE"""),1927250.0)</f>
        <v>1927250</v>
      </c>
      <c r="J298" s="140" t="str">
        <f>IFERROR(__xludf.DUMMYFUNCTION("""COMPUTED_VALUE"""),"Microsoft AZ-104:Azure Administrator Exam Certification 2020")</f>
        <v>Microsoft AZ-104:Azure Administrator Exam Certification 2020</v>
      </c>
      <c r="L298" s="140" t="str">
        <f>IFERROR(__xludf.DUMMYFUNCTION("""COMPUTED_VALUE"""),"")</f>
        <v/>
      </c>
      <c r="M298" s="145" t="str">
        <f>IFERROR(__xludf.DUMMYFUNCTION("""COMPUTED_VALUE"""),"Exam Retired")</f>
        <v>Exam Retired</v>
      </c>
    </row>
    <row r="299">
      <c r="A299" s="199">
        <f>IFERROR(__xludf.DUMMYFUNCTION("""COMPUTED_VALUE"""),43595.0)</f>
        <v>43595</v>
      </c>
      <c r="B299" s="140">
        <f>IFERROR(__xludf.DUMMYFUNCTION("""COMPUTED_VALUE"""),2007550.0)</f>
        <v>2007550</v>
      </c>
      <c r="C299" s="140" t="str">
        <f>IFERROR(__xludf.DUMMYFUNCTION("""COMPUTED_VALUE"""),"EN")</f>
        <v>EN</v>
      </c>
      <c r="D299" s="140" t="str">
        <f>IFERROR(__xludf.DUMMYFUNCTION("""COMPUTED_VALUE"""),"Microsoft AZ-101: Azure Integration and Security Exam Prep")</f>
        <v>Microsoft AZ-101: Azure Integration and Security Exam Prep</v>
      </c>
      <c r="E299" t="str">
        <f>IFERROR(__xludf.DUMMYFUNCTION("""COMPUTED_VALUE"""),"Nick Colyer")</f>
        <v>Nick Colyer</v>
      </c>
      <c r="F299" t="str">
        <f>IFERROR(__xludf.DUMMYFUNCTION("""COMPUTED_VALUE"""),"Below Quality Standards- Outdated")</f>
        <v>Below Quality Standards- Outdated</v>
      </c>
      <c r="G299" t="str">
        <f>IFERROR(__xludf.DUMMYFUNCTION("""COMPUTED_VALUE"""),"IT Operations")</f>
        <v>IT Operations</v>
      </c>
      <c r="H299" t="str">
        <f>IFERROR(__xludf.DUMMYFUNCTION("""COMPUTED_VALUE"""),"IT Certifications")</f>
        <v>IT Certifications</v>
      </c>
      <c r="I299">
        <f>IFERROR(__xludf.DUMMYFUNCTION("""COMPUTED_VALUE"""),1927250.0)</f>
        <v>1927250</v>
      </c>
      <c r="J299" s="140" t="str">
        <f>IFERROR(__xludf.DUMMYFUNCTION("""COMPUTED_VALUE"""),"Microsoft AZ-104:Azure Administrator Exam Certification 2020")</f>
        <v>Microsoft AZ-104:Azure Administrator Exam Certification 2020</v>
      </c>
      <c r="L299" s="140" t="str">
        <f>IFERROR(__xludf.DUMMYFUNCTION("""COMPUTED_VALUE"""),"")</f>
        <v/>
      </c>
      <c r="M299" s="145" t="str">
        <f>IFERROR(__xludf.DUMMYFUNCTION("""COMPUTED_VALUE"""),"Exam Retired")</f>
        <v>Exam Retired</v>
      </c>
    </row>
    <row r="300">
      <c r="A300" s="199">
        <f>IFERROR(__xludf.DUMMYFUNCTION("""COMPUTED_VALUE"""),43593.0)</f>
        <v>43593</v>
      </c>
      <c r="B300" s="140">
        <f>IFERROR(__xludf.DUMMYFUNCTION("""COMPUTED_VALUE"""),1088942.0)</f>
        <v>1088942</v>
      </c>
      <c r="C300" s="140" t="str">
        <f>IFERROR(__xludf.DUMMYFUNCTION("""COMPUTED_VALUE"""),"ES")</f>
        <v>ES</v>
      </c>
      <c r="D300" t="str">
        <f>IFERROR(__xludf.DUMMYFUNCTION("""COMPUTED_VALUE"""),"70-347: Administración de Office 365")</f>
        <v>70-347: Administración de Office 365</v>
      </c>
      <c r="E300" s="142" t="str">
        <f>IFERROR(__xludf.DUMMYFUNCTION("""COMPUTED_VALUE"""),"OpenLearning España")</f>
        <v>OpenLearning España</v>
      </c>
      <c r="F300" t="str">
        <f>IFERROR(__xludf.DUMMYFUNCTION("""COMPUTED_VALUE"""),"Below Quality Standards- Outdated")</f>
        <v>Below Quality Standards- Outdated</v>
      </c>
      <c r="G300" t="str">
        <f>IFERROR(__xludf.DUMMYFUNCTION("""COMPUTED_VALUE"""),"Cloud Computing")</f>
        <v>Cloud Computing</v>
      </c>
      <c r="H300" t="str">
        <f>IFERROR(__xludf.DUMMYFUNCTION("""COMPUTED_VALUE"""),"Cloud Certification")</f>
        <v>Cloud Certification</v>
      </c>
      <c r="M300" s="145" t="str">
        <f>IFERROR(__xludf.DUMMYFUNCTION("""COMPUTED_VALUE"""),"Exam retired. No replacement because new exam only available in English")</f>
        <v>Exam retired. No replacement because new exam only available in English</v>
      </c>
    </row>
    <row r="301">
      <c r="A301" s="199">
        <f>IFERROR(__xludf.DUMMYFUNCTION("""COMPUTED_VALUE"""),43587.0)</f>
        <v>43587</v>
      </c>
      <c r="B301" s="140">
        <f>IFERROR(__xludf.DUMMYFUNCTION("""COMPUTED_VALUE"""),891644.0)</f>
        <v>891644</v>
      </c>
      <c r="C301" s="140" t="str">
        <f>IFERROR(__xludf.DUMMYFUNCTION("""COMPUTED_VALUE"""),"EN")</f>
        <v>EN</v>
      </c>
      <c r="D301" t="str">
        <f>IFERROR(__xludf.DUMMYFUNCTION("""COMPUTED_VALUE"""),"Office 365 Administration (Exam 70-346)")</f>
        <v>Office 365 Administration (Exam 70-346)</v>
      </c>
      <c r="E301" s="142" t="str">
        <f>IFERROR(__xludf.DUMMYFUNCTION("""COMPUTED_VALUE"""),"Intellezy Trainers")</f>
        <v>Intellezy Trainers</v>
      </c>
      <c r="F301" t="str">
        <f>IFERROR(__xludf.DUMMYFUNCTION("""COMPUTED_VALUE"""),"Below Quality Standards- Outdated")</f>
        <v>Below Quality Standards- Outdated</v>
      </c>
      <c r="G301" t="str">
        <f>IFERROR(__xludf.DUMMYFUNCTION("""COMPUTED_VALUE"""),"IT Operations")</f>
        <v>IT Operations</v>
      </c>
      <c r="H301" t="str">
        <f>IFERROR(__xludf.DUMMYFUNCTION("""COMPUTED_VALUE"""),"IT Certifications")</f>
        <v>IT Certifications</v>
      </c>
      <c r="J301" s="140" t="str">
        <f>IFERROR(__xludf.DUMMYFUNCTION("""COMPUTED_VALUE"""),"")</f>
        <v/>
      </c>
      <c r="L301" s="140" t="str">
        <f>IFERROR(__xludf.DUMMYFUNCTION("""COMPUTED_VALUE"""),"")</f>
        <v/>
      </c>
      <c r="M301" s="145" t="str">
        <f>IFERROR(__xludf.DUMMYFUNCTION("""COMPUTED_VALUE"""),"Exam Retired")</f>
        <v>Exam Retired</v>
      </c>
    </row>
    <row r="302">
      <c r="A302" s="199">
        <f>IFERROR(__xludf.DUMMYFUNCTION("""COMPUTED_VALUE"""),43587.0)</f>
        <v>43587</v>
      </c>
      <c r="B302" s="140">
        <f>IFERROR(__xludf.DUMMYFUNCTION("""COMPUTED_VALUE"""),1473282.0)</f>
        <v>1473282</v>
      </c>
      <c r="C302" s="140" t="str">
        <f>IFERROR(__xludf.DUMMYFUNCTION("""COMPUTED_VALUE"""),"EN")</f>
        <v>EN</v>
      </c>
      <c r="D302" t="str">
        <f>IFERROR(__xludf.DUMMYFUNCTION("""COMPUTED_VALUE"""),"Azure Solutions (Exam 70-533) &amp; 365 Admin–(10-Course Bundle)")</f>
        <v>Azure Solutions (Exam 70-533) &amp; 365 Admin–(10-Course Bundle)</v>
      </c>
      <c r="E302" s="142" t="str">
        <f>IFERROR(__xludf.DUMMYFUNCTION("""COMPUTED_VALUE"""),"Intellezy Trainers")</f>
        <v>Intellezy Trainers</v>
      </c>
      <c r="F302" t="str">
        <f>IFERROR(__xludf.DUMMYFUNCTION("""COMPUTED_VALUE"""),"Below Quality Standards- Outdated")</f>
        <v>Below Quality Standards- Outdated</v>
      </c>
      <c r="G302" t="str">
        <f>IFERROR(__xludf.DUMMYFUNCTION("""COMPUTED_VALUE"""),"IT Operations")</f>
        <v>IT Operations</v>
      </c>
      <c r="H302" t="str">
        <f>IFERROR(__xludf.DUMMYFUNCTION("""COMPUTED_VALUE"""),"IT Certifications")</f>
        <v>IT Certifications</v>
      </c>
      <c r="J302" s="140" t="str">
        <f>IFERROR(__xludf.DUMMYFUNCTION("""COMPUTED_VALUE"""),"")</f>
        <v/>
      </c>
      <c r="L302" s="140" t="str">
        <f>IFERROR(__xludf.DUMMYFUNCTION("""COMPUTED_VALUE"""),"")</f>
        <v/>
      </c>
      <c r="M302" s="145" t="str">
        <f>IFERROR(__xludf.DUMMYFUNCTION("""COMPUTED_VALUE"""),"Exam Retired")</f>
        <v>Exam Retired</v>
      </c>
    </row>
    <row r="303">
      <c r="A303" s="199">
        <f>IFERROR(__xludf.DUMMYFUNCTION("""COMPUTED_VALUE"""),43587.0)</f>
        <v>43587</v>
      </c>
      <c r="B303" s="140">
        <f>IFERROR(__xludf.DUMMYFUNCTION("""COMPUTED_VALUE"""),1076296.0)</f>
        <v>1076296</v>
      </c>
      <c r="C303" s="140" t="str">
        <f>IFERROR(__xludf.DUMMYFUNCTION("""COMPUTED_VALUE"""),"EN")</f>
        <v>EN</v>
      </c>
      <c r="D303" t="str">
        <f>IFERROR(__xludf.DUMMYFUNCTION("""COMPUTED_VALUE"""),"ITIL Foundation (2011): Complete Course &amp; 2 Practice Exams")</f>
        <v>ITIL Foundation (2011): Complete Course &amp; 2 Practice Exams</v>
      </c>
      <c r="E303" s="142" t="str">
        <f>IFERROR(__xludf.DUMMYFUNCTION("""COMPUTED_VALUE"""),"Jason Dion • 80,000+ Students Worldwide")</f>
        <v>Jason Dion • 80,000+ Students Worldwide</v>
      </c>
      <c r="F303" t="str">
        <f>IFERROR(__xludf.DUMMYFUNCTION("""COMPUTED_VALUE"""),"Below Quality Standards- Outdated")</f>
        <v>Below Quality Standards- Outdated</v>
      </c>
      <c r="G303" t="str">
        <f>IFERROR(__xludf.DUMMYFUNCTION("""COMPUTED_VALUE"""),"IT Operations")</f>
        <v>IT Operations</v>
      </c>
      <c r="H303" t="str">
        <f>IFERROR(__xludf.DUMMYFUNCTION("""COMPUTED_VALUE"""),"IT Certifications")</f>
        <v>IT Certifications</v>
      </c>
      <c r="I303">
        <f>IFERROR(__xludf.DUMMYFUNCTION("""COMPUTED_VALUE"""),2065369.0)</f>
        <v>2065369</v>
      </c>
      <c r="J303" s="140" t="str">
        <f>IFERROR(__xludf.DUMMYFUNCTION("""COMPUTED_VALUE"""),"")</f>
        <v/>
      </c>
      <c r="K303" s="140">
        <f>IFERROR(__xludf.DUMMYFUNCTION("""COMPUTED_VALUE"""),2193814.0)</f>
        <v>2193814</v>
      </c>
      <c r="L303" s="140" t="str">
        <f>IFERROR(__xludf.DUMMYFUNCTION("""COMPUTED_VALUE"""),"ITIL 4 Foundation Practice Certification Exams (6 Exams)")</f>
        <v>ITIL 4 Foundation Practice Certification Exams (6 Exams)</v>
      </c>
    </row>
    <row r="304">
      <c r="A304" s="199">
        <f>IFERROR(__xludf.DUMMYFUNCTION("""COMPUTED_VALUE"""),43585.0)</f>
        <v>43585</v>
      </c>
      <c r="B304" s="140">
        <f>IFERROR(__xludf.DUMMYFUNCTION("""COMPUTED_VALUE"""),1253974.0)</f>
        <v>1253974</v>
      </c>
      <c r="C304" s="140" t="str">
        <f>IFERROR(__xludf.DUMMYFUNCTION("""COMPUTED_VALUE"""),"EN")</f>
        <v>EN</v>
      </c>
      <c r="D304" t="str">
        <f>IFERROR(__xludf.DUMMYFUNCTION("""COMPUTED_VALUE"""),"ITIL Foundation (2011/v3): Cram to Pass the ITIL Exam!")</f>
        <v>ITIL Foundation (2011/v3): Cram to Pass the ITIL Exam!</v>
      </c>
      <c r="E304" t="str">
        <f>IFERROR(__xludf.DUMMYFUNCTION("""COMPUTED_VALUE"""),"Jason Dion • 80,000+ Students Worldwide")</f>
        <v>Jason Dion • 80,000+ Students Worldwide</v>
      </c>
      <c r="F304" t="str">
        <f>IFERROR(__xludf.DUMMYFUNCTION("""COMPUTED_VALUE"""),"Below Quality Standards- Outdated")</f>
        <v>Below Quality Standards- Outdated</v>
      </c>
      <c r="G304" t="str">
        <f>IFERROR(__xludf.DUMMYFUNCTION("""COMPUTED_VALUE"""),"IT Operations")</f>
        <v>IT Operations</v>
      </c>
      <c r="H304" t="str">
        <f>IFERROR(__xludf.DUMMYFUNCTION("""COMPUTED_VALUE"""),"IT Certifications")</f>
        <v>IT Certifications</v>
      </c>
      <c r="I304">
        <f>IFERROR(__xludf.DUMMYFUNCTION("""COMPUTED_VALUE"""),2065369.0)</f>
        <v>2065369</v>
      </c>
      <c r="J304" s="140" t="str">
        <f>IFERROR(__xludf.DUMMYFUNCTION("""COMPUTED_VALUE"""),"")</f>
        <v/>
      </c>
      <c r="L304" s="140" t="str">
        <f>IFERROR(__xludf.DUMMYFUNCTION("""COMPUTED_VALUE"""),"")</f>
        <v/>
      </c>
    </row>
    <row r="305">
      <c r="A305" s="199">
        <f>IFERROR(__xludf.DUMMYFUNCTION("""COMPUTED_VALUE"""),43585.0)</f>
        <v>43585</v>
      </c>
      <c r="B305" s="140">
        <f>IFERROR(__xludf.DUMMYFUNCTION("""COMPUTED_VALUE"""),1264966.0)</f>
        <v>1264966</v>
      </c>
      <c r="C305" s="140" t="str">
        <f>IFERROR(__xludf.DUMMYFUNCTION("""COMPUTED_VALUE"""),"EN")</f>
        <v>EN</v>
      </c>
      <c r="D305" t="str">
        <f>IFERROR(__xludf.DUMMYFUNCTION("""COMPUTED_VALUE"""),"ITIL Foundation (2011/v3): Practice Exams (6 Exams)")</f>
        <v>ITIL Foundation (2011/v3): Practice Exams (6 Exams)</v>
      </c>
      <c r="E305" t="str">
        <f>IFERROR(__xludf.DUMMYFUNCTION("""COMPUTED_VALUE"""),"Jason Dion • 80,000+ Students Worldwide")</f>
        <v>Jason Dion • 80,000+ Students Worldwide</v>
      </c>
      <c r="F305" t="str">
        <f>IFERROR(__xludf.DUMMYFUNCTION("""COMPUTED_VALUE"""),"Below Quality Standards- Outdated")</f>
        <v>Below Quality Standards- Outdated</v>
      </c>
      <c r="G305" t="str">
        <f>IFERROR(__xludf.DUMMYFUNCTION("""COMPUTED_VALUE"""),"IT Operations")</f>
        <v>IT Operations</v>
      </c>
      <c r="H305" t="str">
        <f>IFERROR(__xludf.DUMMYFUNCTION("""COMPUTED_VALUE"""),"IT Certifications")</f>
        <v>IT Certifications</v>
      </c>
      <c r="I305">
        <f>IFERROR(__xludf.DUMMYFUNCTION("""COMPUTED_VALUE"""),2193814.0)</f>
        <v>2193814</v>
      </c>
      <c r="J305" s="140" t="str">
        <f>IFERROR(__xludf.DUMMYFUNCTION("""COMPUTED_VALUE"""),"ITIL 4 Foundation Practice Certification Exams (6 Exams)")</f>
        <v>ITIL 4 Foundation Practice Certification Exams (6 Exams)</v>
      </c>
      <c r="L305" s="140" t="str">
        <f>IFERROR(__xludf.DUMMYFUNCTION("""COMPUTED_VALUE"""),"")</f>
        <v/>
      </c>
    </row>
    <row r="306">
      <c r="A306" s="199">
        <f>IFERROR(__xludf.DUMMYFUNCTION("""COMPUTED_VALUE"""),43585.0)</f>
        <v>43585</v>
      </c>
      <c r="B306" s="140">
        <f>IFERROR(__xludf.DUMMYFUNCTION("""COMPUTED_VALUE"""),1273938.0)</f>
        <v>1273938</v>
      </c>
      <c r="C306" s="140" t="str">
        <f>IFERROR(__xludf.DUMMYFUNCTION("""COMPUTED_VALUE"""),"EN")</f>
        <v>EN</v>
      </c>
      <c r="D306" t="str">
        <f>IFERROR(__xludf.DUMMYFUNCTION("""COMPUTED_VALUE"""),"Building Effective Employee Rewards and Recognition Programs")</f>
        <v>Building Effective Employee Rewards and Recognition Programs</v>
      </c>
      <c r="E306" t="str">
        <f>IFERROR(__xludf.DUMMYFUNCTION("""COMPUTED_VALUE"""),"Illumeo Learning")</f>
        <v>Illumeo Learning</v>
      </c>
      <c r="F306" t="str">
        <f>IFERROR(__xludf.DUMMYFUNCTION("""COMPUTED_VALUE"""),"Below Quality Standards- 3 Flags")</f>
        <v>Below Quality Standards- 3 Flags</v>
      </c>
      <c r="G306" t="str">
        <f>IFERROR(__xludf.DUMMYFUNCTION("""COMPUTED_VALUE"""),"Human Resources")</f>
        <v>Human Resources</v>
      </c>
      <c r="H306" t="str">
        <f>IFERROR(__xludf.DUMMYFUNCTION("""COMPUTED_VALUE"""),"Human Resources Fundamentals")</f>
        <v>Human Resources Fundamentals</v>
      </c>
      <c r="J306" s="140" t="str">
        <f>IFERROR(__xludf.DUMMYFUNCTION("""COMPUTED_VALUE"""),"")</f>
        <v/>
      </c>
      <c r="L306" s="140" t="str">
        <f>IFERROR(__xludf.DUMMYFUNCTION("""COMPUTED_VALUE"""),"")</f>
        <v/>
      </c>
    </row>
    <row r="307">
      <c r="A307" s="199">
        <f>IFERROR(__xludf.DUMMYFUNCTION("""COMPUTED_VALUE"""),43585.0)</f>
        <v>43585</v>
      </c>
      <c r="B307" s="140">
        <f>IFERROR(__xludf.DUMMYFUNCTION("""COMPUTED_VALUE"""),1304138.0)</f>
        <v>1304138</v>
      </c>
      <c r="C307" s="140" t="str">
        <f>IFERROR(__xludf.DUMMYFUNCTION("""COMPUTED_VALUE"""),"EN")</f>
        <v>EN</v>
      </c>
      <c r="D307" t="str">
        <f>IFERROR(__xludf.DUMMYFUNCTION("""COMPUTED_VALUE"""),"The People Side of Change Management")</f>
        <v>The People Side of Change Management</v>
      </c>
      <c r="E307" t="str">
        <f>IFERROR(__xludf.DUMMYFUNCTION("""COMPUTED_VALUE"""),"Illumeo Learning")</f>
        <v>Illumeo Learning</v>
      </c>
      <c r="F307" t="str">
        <f>IFERROR(__xludf.DUMMYFUNCTION("""COMPUTED_VALUE"""),"Below Quality Standards- 3 Flags")</f>
        <v>Below Quality Standards- 3 Flags</v>
      </c>
      <c r="G307" t="str">
        <f>IFERROR(__xludf.DUMMYFUNCTION("""COMPUTED_VALUE"""),"Leadership &amp; Management")</f>
        <v>Leadership &amp; Management</v>
      </c>
      <c r="H307" t="str">
        <f>IFERROR(__xludf.DUMMYFUNCTION("""COMPUTED_VALUE"""),"Strategy")</f>
        <v>Strategy</v>
      </c>
      <c r="I307">
        <f>IFERROR(__xludf.DUMMYFUNCTION("""COMPUTED_VALUE"""),256464.0)</f>
        <v>256464</v>
      </c>
      <c r="J307" s="140" t="str">
        <f>IFERROR(__xludf.DUMMYFUNCTION("""COMPUTED_VALUE"""),"Manage Change Through Collaboration and Team Work")</f>
        <v>Manage Change Through Collaboration and Team Work</v>
      </c>
      <c r="L307" s="140" t="str">
        <f>IFERROR(__xludf.DUMMYFUNCTION("""COMPUTED_VALUE"""),"")</f>
        <v/>
      </c>
    </row>
    <row r="308">
      <c r="A308" s="199">
        <f>IFERROR(__xludf.DUMMYFUNCTION("""COMPUTED_VALUE"""),43585.0)</f>
        <v>43585</v>
      </c>
      <c r="B308" s="140">
        <f>IFERROR(__xludf.DUMMYFUNCTION("""COMPUTED_VALUE"""),852944.0)</f>
        <v>852944</v>
      </c>
      <c r="C308" s="140" t="str">
        <f>IFERROR(__xludf.DUMMYFUNCTION("""COMPUTED_VALUE"""),"EN")</f>
        <v>EN</v>
      </c>
      <c r="D308" t="str">
        <f>IFERROR(__xludf.DUMMYFUNCTION("""COMPUTED_VALUE"""),"Learn DevOps: Scaling apps On-Premises and in the Cloud")</f>
        <v>Learn DevOps: Scaling apps On-Premises and in the Cloud</v>
      </c>
      <c r="E308" t="str">
        <f>IFERROR(__xludf.DUMMYFUNCTION("""COMPUTED_VALUE"""),"Edward Viaene")</f>
        <v>Edward Viaene</v>
      </c>
      <c r="F308" t="str">
        <f>IFERROR(__xludf.DUMMYFUNCTION("""COMPUTED_VALUE"""),"Below Quality Standards- 3 Flags")</f>
        <v>Below Quality Standards- 3 Flags</v>
      </c>
      <c r="G308" t="str">
        <f>IFERROR(__xludf.DUMMYFUNCTION("""COMPUTED_VALUE"""),"Development")</f>
        <v>Development</v>
      </c>
      <c r="H308" t="str">
        <f>IFERROR(__xludf.DUMMYFUNCTION("""COMPUTED_VALUE"""),"Development Tools")</f>
        <v>Development Tools</v>
      </c>
      <c r="I308">
        <f>IFERROR(__xludf.DUMMYFUNCTION("""COMPUTED_VALUE"""),1693610.0)</f>
        <v>1693610</v>
      </c>
      <c r="J308" s="140" t="str">
        <f>IFERROR(__xludf.DUMMYFUNCTION("""COMPUTED_VALUE"""),"Learn DevOps: On-Prem or Cloud Agnostic Kubernetes")</f>
        <v>Learn DevOps: On-Prem or Cloud Agnostic Kubernetes</v>
      </c>
      <c r="L308" s="140" t="str">
        <f>IFERROR(__xludf.DUMMYFUNCTION("""COMPUTED_VALUE"""),"")</f>
        <v/>
      </c>
    </row>
    <row r="309">
      <c r="A309" s="199">
        <f>IFERROR(__xludf.DUMMYFUNCTION("""COMPUTED_VALUE"""),43585.0)</f>
        <v>43585</v>
      </c>
      <c r="B309" s="140">
        <f>IFERROR(__xludf.DUMMYFUNCTION("""COMPUTED_VALUE"""),479046.0)</f>
        <v>479046</v>
      </c>
      <c r="C309" s="140" t="str">
        <f>IFERROR(__xludf.DUMMYFUNCTION("""COMPUTED_VALUE"""),"EN")</f>
        <v>EN</v>
      </c>
      <c r="D309" t="str">
        <f>IFERROR(__xludf.DUMMYFUNCTION("""COMPUTED_VALUE"""),"Craft a Value Proposition &amp; Ready Your Sales Team")</f>
        <v>Craft a Value Proposition &amp; Ready Your Sales Team</v>
      </c>
      <c r="E309" t="str">
        <f>IFERROR(__xludf.DUMMYFUNCTION("""COMPUTED_VALUE"""),"Eleventure Team")</f>
        <v>Eleventure Team</v>
      </c>
      <c r="F309" t="str">
        <f>IFERROR(__xludf.DUMMYFUNCTION("""COMPUTED_VALUE"""),"Instructor Request- Reviews")</f>
        <v>Instructor Request- Reviews</v>
      </c>
      <c r="G309" t="str">
        <f>IFERROR(__xludf.DUMMYFUNCTION("""COMPUTED_VALUE"""),"Sales")</f>
        <v>Sales</v>
      </c>
      <c r="H309" t="str">
        <f>IFERROR(__xludf.DUMMYFUNCTION("""COMPUTED_VALUE"""),"Sales Skills &amp; Tools")</f>
        <v>Sales Skills &amp; Tools</v>
      </c>
      <c r="I309">
        <f>IFERROR(__xludf.DUMMYFUNCTION("""COMPUTED_VALUE"""),1338126.0)</f>
        <v>1338126</v>
      </c>
      <c r="J309" s="140" t="str">
        <f>IFERROR(__xludf.DUMMYFUNCTION("""COMPUTED_VALUE"""),"Create B2B Sales Cold Calling Scripts &amp; Value Propositions")</f>
        <v>Create B2B Sales Cold Calling Scripts &amp; Value Propositions</v>
      </c>
      <c r="L309" s="140" t="str">
        <f>IFERROR(__xludf.DUMMYFUNCTION("""COMPUTED_VALUE"""),"")</f>
        <v/>
      </c>
    </row>
    <row r="310">
      <c r="A310" s="199">
        <f>IFERROR(__xludf.DUMMYFUNCTION("""COMPUTED_VALUE"""),43585.0)</f>
        <v>43585</v>
      </c>
      <c r="B310" s="140">
        <f>IFERROR(__xludf.DUMMYFUNCTION("""COMPUTED_VALUE"""),537282.0)</f>
        <v>537282</v>
      </c>
      <c r="C310" s="140" t="str">
        <f>IFERROR(__xludf.DUMMYFUNCTION("""COMPUTED_VALUE"""),"EN")</f>
        <v>EN</v>
      </c>
      <c r="D310" t="str">
        <f>IFERROR(__xludf.DUMMYFUNCTION("""COMPUTED_VALUE"""),"Hosting Django: Amazon Web Services (AWS) Fundamentals")</f>
        <v>Hosting Django: Amazon Web Services (AWS) Fundamentals</v>
      </c>
      <c r="E310" t="str">
        <f>IFERROR(__xludf.DUMMYFUNCTION("""COMPUTED_VALUE"""),"BlueApple Courses")</f>
        <v>BlueApple Courses</v>
      </c>
      <c r="F310" t="str">
        <f>IFERROR(__xludf.DUMMYFUNCTION("""COMPUTED_VALUE"""),"Below Quality Standards- 3 Flags")</f>
        <v>Below Quality Standards- 3 Flags</v>
      </c>
      <c r="G310" t="str">
        <f>IFERROR(__xludf.DUMMYFUNCTION("""COMPUTED_VALUE"""),"Development")</f>
        <v>Development</v>
      </c>
      <c r="H310" t="str">
        <f>IFERROR(__xludf.DUMMYFUNCTION("""COMPUTED_VALUE"""),"Web Development")</f>
        <v>Web Development</v>
      </c>
      <c r="J310" s="140" t="str">
        <f>IFERROR(__xludf.DUMMYFUNCTION("""COMPUTED_VALUE"""),"")</f>
        <v/>
      </c>
      <c r="L310" s="140" t="str">
        <f>IFERROR(__xludf.DUMMYFUNCTION("""COMPUTED_VALUE"""),"")</f>
        <v/>
      </c>
    </row>
    <row r="311">
      <c r="A311" s="199">
        <f>IFERROR(__xludf.DUMMYFUNCTION("""COMPUTED_VALUE"""),43585.0)</f>
        <v>43585</v>
      </c>
      <c r="B311" s="140">
        <f>IFERROR(__xludf.DUMMYFUNCTION("""COMPUTED_VALUE"""),358740.0)</f>
        <v>358740</v>
      </c>
      <c r="C311" s="140" t="str">
        <f>IFERROR(__xludf.DUMMYFUNCTION("""COMPUTED_VALUE"""),"EN")</f>
        <v>EN</v>
      </c>
      <c r="D311" t="str">
        <f>IFERROR(__xludf.DUMMYFUNCTION("""COMPUTED_VALUE"""),"Leadership: Advanced Training for Experienced Managers")</f>
        <v>Leadership: Advanced Training for Experienced Managers</v>
      </c>
      <c r="E311" t="str">
        <f>IFERROR(__xludf.DUMMYFUNCTION("""COMPUTED_VALUE"""),"LearnSmart LLC")</f>
        <v>LearnSmart LLC</v>
      </c>
      <c r="F311" t="str">
        <f>IFERROR(__xludf.DUMMYFUNCTION("""COMPUTED_VALUE"""),"Below Quality Standards- 3 Flags")</f>
        <v>Below Quality Standards- 3 Flags</v>
      </c>
      <c r="G311" t="str">
        <f>IFERROR(__xludf.DUMMYFUNCTION("""COMPUTED_VALUE"""),"Leadership &amp; Management")</f>
        <v>Leadership &amp; Management</v>
      </c>
      <c r="H311" t="str">
        <f>IFERROR(__xludf.DUMMYFUNCTION("""COMPUTED_VALUE"""),"Leadership")</f>
        <v>Leadership</v>
      </c>
      <c r="I311">
        <f>IFERROR(__xludf.DUMMYFUNCTION("""COMPUTED_VALUE"""),613808.0)</f>
        <v>613808</v>
      </c>
      <c r="J311" s="140" t="str">
        <f>IFERROR(__xludf.DUMMYFUNCTION("""COMPUTED_VALUE"""),"Leadership: Practical Leadership Skills")</f>
        <v>Leadership: Practical Leadership Skills</v>
      </c>
      <c r="K311">
        <f>IFERROR(__xludf.DUMMYFUNCTION("""COMPUTED_VALUE"""),1415934.0)</f>
        <v>1415934</v>
      </c>
      <c r="L311" s="140" t="str">
        <f>IFERROR(__xludf.DUMMYFUNCTION("""COMPUTED_VALUE"""),"Management Skills - Team Leadership Skills Masterclass 2021")</f>
        <v>Management Skills - Team Leadership Skills Masterclass 2021</v>
      </c>
    </row>
    <row r="312">
      <c r="A312" s="199">
        <f>IFERROR(__xludf.DUMMYFUNCTION("""COMPUTED_VALUE"""),43585.0)</f>
        <v>43585</v>
      </c>
      <c r="B312" s="140">
        <f>IFERROR(__xludf.DUMMYFUNCTION("""COMPUTED_VALUE"""),550198.0)</f>
        <v>550198</v>
      </c>
      <c r="C312" s="140" t="str">
        <f>IFERROR(__xludf.DUMMYFUNCTION("""COMPUTED_VALUE"""),"EN")</f>
        <v>EN</v>
      </c>
      <c r="D312" t="str">
        <f>IFERROR(__xludf.DUMMYFUNCTION("""COMPUTED_VALUE"""),"Low-cost Marketing Strategies: Social Media and Beyond")</f>
        <v>Low-cost Marketing Strategies: Social Media and Beyond</v>
      </c>
      <c r="E312" t="str">
        <f>IFERROR(__xludf.DUMMYFUNCTION("""COMPUTED_VALUE"""),"The Main Street Entrepreneur")</f>
        <v>The Main Street Entrepreneur</v>
      </c>
      <c r="F312" t="str">
        <f>IFERROR(__xludf.DUMMYFUNCTION("""COMPUTED_VALUE"""),"Below Quality Standards- 3 Flags")</f>
        <v>Below Quality Standards- 3 Flags</v>
      </c>
      <c r="G312" t="str">
        <f>IFERROR(__xludf.DUMMYFUNCTION("""COMPUTED_VALUE"""),"Marketing")</f>
        <v>Marketing</v>
      </c>
      <c r="H312" t="str">
        <f>IFERROR(__xludf.DUMMYFUNCTION("""COMPUTED_VALUE"""),"Social Media Marketing")</f>
        <v>Social Media Marketing</v>
      </c>
      <c r="I312">
        <f>IFERROR(__xludf.DUMMYFUNCTION("""COMPUTED_VALUE"""),959128.0)</f>
        <v>959128</v>
      </c>
      <c r="J312" s="140" t="str">
        <f>IFERROR(__xludf.DUMMYFUNCTION("""COMPUTED_VALUE"""),"Social Media Marketing - Content Marketing Masterclass 2021")</f>
        <v>Social Media Marketing - Content Marketing Masterclass 2021</v>
      </c>
      <c r="L312" s="140" t="str">
        <f>IFERROR(__xludf.DUMMYFUNCTION("""COMPUTED_VALUE"""),"")</f>
        <v/>
      </c>
    </row>
    <row r="313">
      <c r="A313" s="199">
        <f>IFERROR(__xludf.DUMMYFUNCTION("""COMPUTED_VALUE"""),43585.0)</f>
        <v>43585</v>
      </c>
      <c r="B313" s="140">
        <f>IFERROR(__xludf.DUMMYFUNCTION("""COMPUTED_VALUE"""),782192.0)</f>
        <v>782192</v>
      </c>
      <c r="C313" s="140" t="str">
        <f>IFERROR(__xludf.DUMMYFUNCTION("""COMPUTED_VALUE"""),"EN")</f>
        <v>EN</v>
      </c>
      <c r="D313" t="str">
        <f>IFERROR(__xludf.DUMMYFUNCTION("""COMPUTED_VALUE"""),"Introduction to HTML5 Canvas basics of drawing")</f>
        <v>Introduction to HTML5 Canvas basics of drawing</v>
      </c>
      <c r="E313" t="str">
        <f>IFERROR(__xludf.DUMMYFUNCTION("""COMPUTED_VALUE"""),"Laurence Svekis")</f>
        <v>Laurence Svekis</v>
      </c>
      <c r="F313" t="str">
        <f>IFERROR(__xludf.DUMMYFUNCTION("""COMPUTED_VALUE"""),"Below Quality Standards- 3 Flags")</f>
        <v>Below Quality Standards- 3 Flags</v>
      </c>
      <c r="G313" t="str">
        <f>IFERROR(__xludf.DUMMYFUNCTION("""COMPUTED_VALUE"""),"Development")</f>
        <v>Development</v>
      </c>
      <c r="H313" t="str">
        <f>IFERROR(__xludf.DUMMYFUNCTION("""COMPUTED_VALUE"""),"Web Development")</f>
        <v>Web Development</v>
      </c>
      <c r="J313" s="140" t="str">
        <f>IFERROR(__xludf.DUMMYFUNCTION("""COMPUTED_VALUE"""),"")</f>
        <v/>
      </c>
      <c r="L313" s="140" t="str">
        <f>IFERROR(__xludf.DUMMYFUNCTION("""COMPUTED_VALUE"""),"")</f>
        <v/>
      </c>
    </row>
    <row r="314">
      <c r="A314" s="199">
        <f>IFERROR(__xludf.DUMMYFUNCTION("""COMPUTED_VALUE"""),43585.0)</f>
        <v>43585</v>
      </c>
      <c r="B314" s="140">
        <f>IFERROR(__xludf.DUMMYFUNCTION("""COMPUTED_VALUE"""),204650.0)</f>
        <v>204650</v>
      </c>
      <c r="C314" s="140" t="str">
        <f>IFERROR(__xludf.DUMMYFUNCTION("""COMPUTED_VALUE"""),"EN")</f>
        <v>EN</v>
      </c>
      <c r="D314" t="str">
        <f>IFERROR(__xludf.DUMMYFUNCTION("""COMPUTED_VALUE"""),"Strategy Unplugged")</f>
        <v>Strategy Unplugged</v>
      </c>
      <c r="E314" t="str">
        <f>IFERROR(__xludf.DUMMYFUNCTION("""COMPUTED_VALUE"""),"Sid Peimer")</f>
        <v>Sid Peimer</v>
      </c>
      <c r="F314" t="str">
        <f>IFERROR(__xludf.DUMMYFUNCTION("""COMPUTED_VALUE"""),"Below Quality Standards- 3 Flags")</f>
        <v>Below Quality Standards- 3 Flags</v>
      </c>
      <c r="G314" t="str">
        <f>IFERROR(__xludf.DUMMYFUNCTION("""COMPUTED_VALUE"""),"Leadership &amp; Management")</f>
        <v>Leadership &amp; Management</v>
      </c>
      <c r="H314" t="str">
        <f>IFERROR(__xludf.DUMMYFUNCTION("""COMPUTED_VALUE"""),"Strategy")</f>
        <v>Strategy</v>
      </c>
      <c r="I314">
        <f>IFERROR(__xludf.DUMMYFUNCTION("""COMPUTED_VALUE"""),1300254.0)</f>
        <v>1300254</v>
      </c>
      <c r="J314" s="140" t="str">
        <f>IFERROR(__xludf.DUMMYFUNCTION("""COMPUTED_VALUE"""),"Business Fundamentals: Corporate Strategy")</f>
        <v>Business Fundamentals: Corporate Strategy</v>
      </c>
      <c r="K314">
        <f>IFERROR(__xludf.DUMMYFUNCTION("""COMPUTED_VALUE"""),240450.0)</f>
        <v>240450</v>
      </c>
      <c r="L314" s="140" t="str">
        <f>IFERROR(__xludf.DUMMYFUNCTION("""COMPUTED_VALUE"""),"Business Strategy Execution: Agile Organization Design")</f>
        <v>Business Strategy Execution: Agile Organization Design</v>
      </c>
    </row>
    <row r="315">
      <c r="A315" s="199">
        <f>IFERROR(__xludf.DUMMYFUNCTION("""COMPUTED_VALUE"""),43585.0)</f>
        <v>43585</v>
      </c>
      <c r="B315" s="140">
        <f>IFERROR(__xludf.DUMMYFUNCTION("""COMPUTED_VALUE"""),780242.0)</f>
        <v>780242</v>
      </c>
      <c r="C315" s="140" t="str">
        <f>IFERROR(__xludf.DUMMYFUNCTION("""COMPUTED_VALUE"""),"EN")</f>
        <v>EN</v>
      </c>
      <c r="D315" t="str">
        <f>IFERROR(__xludf.DUMMYFUNCTION("""COMPUTED_VALUE"""),"SystemVerilog Functional Coverage Language/methodology/apps")</f>
        <v>SystemVerilog Functional Coverage Language/methodology/apps</v>
      </c>
      <c r="E315" t="str">
        <f>IFERROR(__xludf.DUMMYFUNCTION("""COMPUTED_VALUE"""),"Ashok B. Mehta")</f>
        <v>Ashok B. Mehta</v>
      </c>
      <c r="F315" t="str">
        <f>IFERROR(__xludf.DUMMYFUNCTION("""COMPUTED_VALUE"""),"Instructor Request- Outdated")</f>
        <v>Instructor Request- Outdated</v>
      </c>
      <c r="G315" t="str">
        <f>IFERROR(__xludf.DUMMYFUNCTION("""COMPUTED_VALUE"""),"IT Operations")</f>
        <v>IT Operations</v>
      </c>
      <c r="H315" t="str">
        <f>IFERROR(__xludf.DUMMYFUNCTION("""COMPUTED_VALUE"""),"Hardware")</f>
        <v>Hardware</v>
      </c>
      <c r="I315">
        <f>IFERROR(__xludf.DUMMYFUNCTION("""COMPUTED_VALUE"""),186420.0)</f>
        <v>186420</v>
      </c>
      <c r="J315" s="140" t="str">
        <f>IFERROR(__xludf.DUMMYFUNCTION("""COMPUTED_VALUE"""),"Learn SystemVerilog Assertions and Coverage Coding in-depth")</f>
        <v>Learn SystemVerilog Assertions and Coverage Coding in-depth</v>
      </c>
      <c r="K315">
        <f>IFERROR(__xludf.DUMMYFUNCTION("""COMPUTED_VALUE"""),761780.0)</f>
        <v>761780</v>
      </c>
      <c r="L315" s="140" t="str">
        <f>IFERROR(__xludf.DUMMYFUNCTION("""COMPUTED_VALUE"""),"SystemVerilog Assertions &amp; Functional Coverage FROM SCRATCH")</f>
        <v>SystemVerilog Assertions &amp; Functional Coverage FROM SCRATCH</v>
      </c>
    </row>
    <row r="316">
      <c r="A316" s="199">
        <f>IFERROR(__xludf.DUMMYFUNCTION("""COMPUTED_VALUE"""),43585.0)</f>
        <v>43585</v>
      </c>
      <c r="B316" s="140">
        <f>IFERROR(__xludf.DUMMYFUNCTION("""COMPUTED_VALUE"""),190816.0)</f>
        <v>190816</v>
      </c>
      <c r="C316" s="140" t="str">
        <f>IFERROR(__xludf.DUMMYFUNCTION("""COMPUTED_VALUE"""),"EN")</f>
        <v>EN</v>
      </c>
      <c r="D316" t="str">
        <f>IFERROR(__xludf.DUMMYFUNCTION("""COMPUTED_VALUE"""),"IAS 18 - Revenue")</f>
        <v>IAS 18 - Revenue</v>
      </c>
      <c r="E316" t="str">
        <f>IFERROR(__xludf.DUMMYFUNCTION("""COMPUTED_VALUE"""),"Tabaldi Accounting Education")</f>
        <v>Tabaldi Accounting Education</v>
      </c>
      <c r="F316" t="str">
        <f>IFERROR(__xludf.DUMMYFUNCTION("""COMPUTED_VALUE"""),"Instructor Request- Outdated")</f>
        <v>Instructor Request- Outdated</v>
      </c>
      <c r="G316" t="str">
        <f>IFERROR(__xludf.DUMMYFUNCTION("""COMPUTED_VALUE"""),"Finance &amp; Accounting")</f>
        <v>Finance &amp; Accounting</v>
      </c>
      <c r="H316" t="str">
        <f>IFERROR(__xludf.DUMMYFUNCTION("""COMPUTED_VALUE"""),"Accounting")</f>
        <v>Accounting</v>
      </c>
      <c r="J316" s="140" t="str">
        <f>IFERROR(__xludf.DUMMYFUNCTION("""COMPUTED_VALUE"""),"")</f>
        <v/>
      </c>
      <c r="L316" s="140" t="str">
        <f>IFERROR(__xludf.DUMMYFUNCTION("""COMPUTED_VALUE"""),"")</f>
        <v/>
      </c>
    </row>
    <row r="317">
      <c r="A317" s="199">
        <f>IFERROR(__xludf.DUMMYFUNCTION("""COMPUTED_VALUE"""),43585.0)</f>
        <v>43585</v>
      </c>
      <c r="B317" s="140">
        <f>IFERROR(__xludf.DUMMYFUNCTION("""COMPUTED_VALUE"""),579102.0)</f>
        <v>579102</v>
      </c>
      <c r="C317" s="140" t="str">
        <f>IFERROR(__xludf.DUMMYFUNCTION("""COMPUTED_VALUE"""),"EN")</f>
        <v>EN</v>
      </c>
      <c r="D317" t="str">
        <f>IFERROR(__xludf.DUMMYFUNCTION("""COMPUTED_VALUE"""),"Organisational Culture Change Training - Management Skills")</f>
        <v>Organisational Culture Change Training - Management Skills</v>
      </c>
      <c r="E317" t="str">
        <f>IFERROR(__xludf.DUMMYFUNCTION("""COMPUTED_VALUE"""),"Mark Timberlake")</f>
        <v>Mark Timberlake</v>
      </c>
      <c r="F317" t="str">
        <f>IFERROR(__xludf.DUMMYFUNCTION("""COMPUTED_VALUE"""),"Instructor Request- Outdated")</f>
        <v>Instructor Request- Outdated</v>
      </c>
      <c r="G317" t="str">
        <f>IFERROR(__xludf.DUMMYFUNCTION("""COMPUTED_VALUE"""),"Human Resources")</f>
        <v>Human Resources</v>
      </c>
      <c r="H317" t="str">
        <f>IFERROR(__xludf.DUMMYFUNCTION("""COMPUTED_VALUE"""),"Talent Management")</f>
        <v>Talent Management</v>
      </c>
      <c r="I317">
        <f>IFERROR(__xludf.DUMMYFUNCTION("""COMPUTED_VALUE"""),988524.0)</f>
        <v>988524</v>
      </c>
      <c r="J317" s="140" t="str">
        <f>IFERROR(__xludf.DUMMYFUNCTION("""COMPUTED_VALUE"""),"Management Skills: New Manager Training in Essential Skills")</f>
        <v>Management Skills: New Manager Training in Essential Skills</v>
      </c>
      <c r="K317">
        <f>IFERROR(__xludf.DUMMYFUNCTION("""COMPUTED_VALUE"""),1774414.0)</f>
        <v>1774414</v>
      </c>
      <c r="L317" s="140" t="str">
        <f>IFERROR(__xludf.DUMMYFUNCTION("""COMPUTED_VALUE"""),"Management Crash Course: Tactical Training for New Managers")</f>
        <v>Management Crash Course: Tactical Training for New Managers</v>
      </c>
    </row>
    <row r="318">
      <c r="A318" s="199">
        <f>IFERROR(__xludf.DUMMYFUNCTION("""COMPUTED_VALUE"""),43585.0)</f>
        <v>43585</v>
      </c>
      <c r="B318" s="140">
        <f>IFERROR(__xludf.DUMMYFUNCTION("""COMPUTED_VALUE"""),915490.0)</f>
        <v>915490</v>
      </c>
      <c r="C318" s="140" t="str">
        <f>IFERROR(__xludf.DUMMYFUNCTION("""COMPUTED_VALUE"""),"EN")</f>
        <v>EN</v>
      </c>
      <c r="D318" t="str">
        <f>IFERROR(__xludf.DUMMYFUNCTION("""COMPUTED_VALUE"""),"New Leader Crash Course")</f>
        <v>New Leader Crash Course</v>
      </c>
      <c r="E318" t="str">
        <f>IFERROR(__xludf.DUMMYFUNCTION("""COMPUTED_VALUE"""),"Eleventure Team")</f>
        <v>Eleventure Team</v>
      </c>
      <c r="F318" t="str">
        <f>IFERROR(__xludf.DUMMYFUNCTION("""COMPUTED_VALUE"""),"Instructor Request- Reviews")</f>
        <v>Instructor Request- Reviews</v>
      </c>
      <c r="G318" t="str">
        <f>IFERROR(__xludf.DUMMYFUNCTION("""COMPUTED_VALUE"""),"Leadership &amp; Management")</f>
        <v>Leadership &amp; Management</v>
      </c>
      <c r="H318" t="str">
        <f>IFERROR(__xludf.DUMMYFUNCTION("""COMPUTED_VALUE"""),"Leadership")</f>
        <v>Leadership</v>
      </c>
      <c r="I318">
        <f>IFERROR(__xludf.DUMMYFUNCTION("""COMPUTED_VALUE"""),613808.0)</f>
        <v>613808</v>
      </c>
      <c r="J318" s="140" t="str">
        <f>IFERROR(__xludf.DUMMYFUNCTION("""COMPUTED_VALUE"""),"Leadership: Practical Leadership Skills")</f>
        <v>Leadership: Practical Leadership Skills</v>
      </c>
      <c r="L318" s="140" t="str">
        <f>IFERROR(__xludf.DUMMYFUNCTION("""COMPUTED_VALUE"""),"")</f>
        <v/>
      </c>
    </row>
    <row r="319">
      <c r="A319" s="199">
        <f>IFERROR(__xludf.DUMMYFUNCTION("""COMPUTED_VALUE"""),43577.0)</f>
        <v>43577</v>
      </c>
      <c r="B319" s="140">
        <f>IFERROR(__xludf.DUMMYFUNCTION("""COMPUTED_VALUE"""),1425612.0)</f>
        <v>1425612</v>
      </c>
      <c r="C319" s="140" t="str">
        <f>IFERROR(__xludf.DUMMYFUNCTION("""COMPUTED_VALUE"""),"EN")</f>
        <v>EN</v>
      </c>
      <c r="D319" t="str">
        <f>IFERROR(__xludf.DUMMYFUNCTION("""COMPUTED_VALUE"""),"PMP® Real Exams - PMBOK Sixth Edition")</f>
        <v>PMP® Real Exams - PMBOK Sixth Edition</v>
      </c>
      <c r="E319" t="str">
        <f>IFERROR(__xludf.DUMMYFUNCTION("""COMPUTED_VALUE"""),"ELSAYED MOHSEN")</f>
        <v>ELSAYED MOHSEN</v>
      </c>
      <c r="F319" t="str">
        <f>IFERROR(__xludf.DUMMYFUNCTION("""COMPUTED_VALUE"""),"Copyright")</f>
        <v>Copyright</v>
      </c>
      <c r="G319" t="str">
        <f>IFERROR(__xludf.DUMMYFUNCTION("""COMPUTED_VALUE"""),"Project Management &amp; Operations")</f>
        <v>Project Management &amp; Operations</v>
      </c>
      <c r="H319" t="str">
        <f>IFERROR(__xludf.DUMMYFUNCTION("""COMPUTED_VALUE"""),"Project Management Certifications")</f>
        <v>Project Management Certifications</v>
      </c>
      <c r="I319">
        <f>IFERROR(__xludf.DUMMYFUNCTION("""COMPUTED_VALUE"""),2137184.0)</f>
        <v>2137184</v>
      </c>
      <c r="J319" s="140" t="str">
        <f>IFERROR(__xludf.DUMMYFUNCTION("""COMPUTED_VALUE"""),"")</f>
        <v/>
      </c>
      <c r="K319">
        <f>IFERROR(__xludf.DUMMYFUNCTION("""COMPUTED_VALUE"""),1279990.0)</f>
        <v>1279990</v>
      </c>
      <c r="L319" s="140" t="str">
        <f>IFERROR(__xludf.DUMMYFUNCTION("""COMPUTED_VALUE"""),"PMP Certification Practice Test Exam-High Quality Questions")</f>
        <v>PMP Certification Practice Test Exam-High Quality Questions</v>
      </c>
    </row>
    <row r="320">
      <c r="A320" s="199">
        <f>IFERROR(__xludf.DUMMYFUNCTION("""COMPUTED_VALUE"""),43566.0)</f>
        <v>43566</v>
      </c>
      <c r="B320" s="140">
        <f>IFERROR(__xludf.DUMMYFUNCTION("""COMPUTED_VALUE"""),1972358.0)</f>
        <v>1972358</v>
      </c>
      <c r="C320" s="140" t="str">
        <f>IFERROR(__xludf.DUMMYFUNCTION("""COMPUTED_VALUE"""),"ES")</f>
        <v>ES</v>
      </c>
      <c r="D320" t="str">
        <f>IFERROR(__xludf.DUMMYFUNCTION("""COMPUTED_VALUE"""),"Adobe XD CC - Master: Professional design prototypes. 2019")</f>
        <v>Adobe XD CC - Master: Professional design prototypes. 2019</v>
      </c>
      <c r="E320" t="str">
        <f>IFERROR(__xludf.DUMMYFUNCTION("""COMPUTED_VALUE"""),"Marlon Ceballos")</f>
        <v>Marlon Ceballos</v>
      </c>
      <c r="F320" t="str">
        <f>IFERROR(__xludf.DUMMYFUNCTION("""COMPUTED_VALUE"""),"Instructor Practices")</f>
        <v>Instructor Practices</v>
      </c>
      <c r="G320" t="str">
        <f>IFERROR(__xludf.DUMMYFUNCTION("""COMPUTED_VALUE"""),"Design")</f>
        <v>Design</v>
      </c>
      <c r="H320" t="str">
        <f>IFERROR(__xludf.DUMMYFUNCTION("""COMPUTED_VALUE"""),"User Experience Design")</f>
        <v>User Experience Design</v>
      </c>
      <c r="I320">
        <f>IFERROR(__xludf.DUMMYFUNCTION("""COMPUTED_VALUE"""),1754560.0)</f>
        <v>1754560</v>
      </c>
      <c r="J320" s="140" t="str">
        <f>IFERROR(__xludf.DUMMYFUNCTION("""COMPUTED_VALUE"""),"Adobe XD: Aprende a crear prototipos profesionales desde 0")</f>
        <v>Adobe XD: Aprende a crear prototipos profesionales desde 0</v>
      </c>
      <c r="L320" s="140" t="str">
        <f>IFERROR(__xludf.DUMMYFUNCTION("""COMPUTED_VALUE"""),"")</f>
        <v/>
      </c>
    </row>
    <row r="321">
      <c r="A321" s="199">
        <f>IFERROR(__xludf.DUMMYFUNCTION("""COMPUTED_VALUE"""),43566.0)</f>
        <v>43566</v>
      </c>
      <c r="B321" s="140">
        <f>IFERROR(__xludf.DUMMYFUNCTION("""COMPUTED_VALUE"""),1559396.0)</f>
        <v>1559396</v>
      </c>
      <c r="C321" s="140" t="str">
        <f>IFERROR(__xludf.DUMMYFUNCTION("""COMPUTED_VALUE"""),"ES")</f>
        <v>ES</v>
      </c>
      <c r="D321" t="str">
        <f>IFERROR(__xludf.DUMMYFUNCTION("""COMPUTED_VALUE"""),"Adobe Illustrator CC Master: Basic to Professional. 2019.")</f>
        <v>Adobe Illustrator CC Master: Basic to Professional. 2019.</v>
      </c>
      <c r="E321" t="str">
        <f>IFERROR(__xludf.DUMMYFUNCTION("""COMPUTED_VALUE"""),"Marlon Ceballos")</f>
        <v>Marlon Ceballos</v>
      </c>
      <c r="F321" t="str">
        <f>IFERROR(__xludf.DUMMYFUNCTION("""COMPUTED_VALUE"""),"Instructor Practices")</f>
        <v>Instructor Practices</v>
      </c>
      <c r="G321" t="str">
        <f>IFERROR(__xludf.DUMMYFUNCTION("""COMPUTED_VALUE"""),"Design")</f>
        <v>Design</v>
      </c>
      <c r="H321" t="str">
        <f>IFERROR(__xludf.DUMMYFUNCTION("""COMPUTED_VALUE"""),"Graphic Design")</f>
        <v>Graphic Design</v>
      </c>
      <c r="I321">
        <f>IFERROR(__xludf.DUMMYFUNCTION("""COMPUTED_VALUE"""),1442180.0)</f>
        <v>1442180</v>
      </c>
      <c r="J321" s="140" t="str">
        <f>IFERROR(__xludf.DUMMYFUNCTION("""COMPUTED_VALUE"""),"Ilustración Digital para Principiantes en Adobe Illustrator")</f>
        <v>Ilustración Digital para Principiantes en Adobe Illustrator</v>
      </c>
      <c r="L321" s="140" t="str">
        <f>IFERROR(__xludf.DUMMYFUNCTION("""COMPUTED_VALUE"""),"")</f>
        <v/>
      </c>
    </row>
    <row r="322">
      <c r="A322" s="199">
        <f>IFERROR(__xludf.DUMMYFUNCTION("""COMPUTED_VALUE"""),43566.0)</f>
        <v>43566</v>
      </c>
      <c r="B322" s="140">
        <f>IFERROR(__xludf.DUMMYFUNCTION("""COMPUTED_VALUE"""),1784656.0)</f>
        <v>1784656</v>
      </c>
      <c r="C322" s="140" t="str">
        <f>IFERROR(__xludf.DUMMYFUNCTION("""COMPUTED_VALUE"""),"ES")</f>
        <v>ES</v>
      </c>
      <c r="D322" t="str">
        <f>IFERROR(__xludf.DUMMYFUNCTION("""COMPUTED_VALUE"""),"Adobe InDesign CC Masters: From Basic to Professional. New in 2018.")</f>
        <v>Adobe InDesign CC Masters: From Basic to Professional. New in 2018.</v>
      </c>
      <c r="E322" t="str">
        <f>IFERROR(__xludf.DUMMYFUNCTION("""COMPUTED_VALUE"""),"Marlon Ceballos")</f>
        <v>Marlon Ceballos</v>
      </c>
      <c r="F322" t="str">
        <f>IFERROR(__xludf.DUMMYFUNCTION("""COMPUTED_VALUE"""),"Instructor Practices")</f>
        <v>Instructor Practices</v>
      </c>
      <c r="G322" t="str">
        <f>IFERROR(__xludf.DUMMYFUNCTION("""COMPUTED_VALUE"""),"Design")</f>
        <v>Design</v>
      </c>
      <c r="H322" t="str">
        <f>IFERROR(__xludf.DUMMYFUNCTION("""COMPUTED_VALUE"""),"Design Tools")</f>
        <v>Design Tools</v>
      </c>
      <c r="I322">
        <f>IFERROR(__xludf.DUMMYFUNCTION("""COMPUTED_VALUE"""),1426848.0)</f>
        <v>1426848</v>
      </c>
      <c r="J322" s="140" t="str">
        <f>IFERROR(__xludf.DUMMYFUNCTION("""COMPUTED_VALUE"""),"Adobe InDesign CC: Curso Completo desde Cero")</f>
        <v>Adobe InDesign CC: Curso Completo desde Cero</v>
      </c>
      <c r="L322" s="140" t="str">
        <f>IFERROR(__xludf.DUMMYFUNCTION("""COMPUTED_VALUE"""),"")</f>
        <v/>
      </c>
    </row>
    <row r="323">
      <c r="A323" s="199">
        <f>IFERROR(__xludf.DUMMYFUNCTION("""COMPUTED_VALUE"""),43559.0)</f>
        <v>43559</v>
      </c>
      <c r="B323" s="140">
        <f>IFERROR(__xludf.DUMMYFUNCTION("""COMPUTED_VALUE"""),476300.0)</f>
        <v>476300</v>
      </c>
      <c r="C323" s="140" t="str">
        <f>IFERROR(__xludf.DUMMYFUNCTION("""COMPUTED_VALUE"""),"EN")</f>
        <v>EN</v>
      </c>
      <c r="D323" t="str">
        <f>IFERROR(__xludf.DUMMYFUNCTION("""COMPUTED_VALUE"""),"***OUTDATED*** Salesforce for NonProfits &amp; NGOs")</f>
        <v>***OUTDATED*** Salesforce for NonProfits &amp; NGOs</v>
      </c>
      <c r="E323" t="str">
        <f>IFERROR(__xludf.DUMMYFUNCTION("""COMPUTED_VALUE"""),"Aja McClanahan")</f>
        <v>Aja McClanahan</v>
      </c>
      <c r="F323" t="str">
        <f>IFERROR(__xludf.DUMMYFUNCTION("""COMPUTED_VALUE"""),"Below Quality Standards- Outdated")</f>
        <v>Below Quality Standards- Outdated</v>
      </c>
      <c r="G323" t="str">
        <f>IFERROR(__xludf.DUMMYFUNCTION("""COMPUTED_VALUE"""),"IT Operations")</f>
        <v>IT Operations</v>
      </c>
      <c r="H323" t="str">
        <f>IFERROR(__xludf.DUMMYFUNCTION("""COMPUTED_VALUE"""),"Operating Systems &amp; Servers")</f>
        <v>Operating Systems &amp; Servers</v>
      </c>
      <c r="J323" s="140" t="str">
        <f>IFERROR(__xludf.DUMMYFUNCTION("""COMPUTED_VALUE"""),"")</f>
        <v/>
      </c>
      <c r="L323" s="140" t="str">
        <f>IFERROR(__xludf.DUMMYFUNCTION("""COMPUTED_VALUE"""),"")</f>
        <v/>
      </c>
      <c r="M323" s="145" t="str">
        <f>IFERROR(__xludf.DUMMYFUNCTION("""COMPUTED_VALUE"""),"Course initially scheduled for removal in January")</f>
        <v>Course initially scheduled for removal in January</v>
      </c>
    </row>
    <row r="324">
      <c r="A324" s="199">
        <f>IFERROR(__xludf.DUMMYFUNCTION("""COMPUTED_VALUE"""),43556.0)</f>
        <v>43556</v>
      </c>
      <c r="B324" s="140">
        <f>IFERROR(__xludf.DUMMYFUNCTION("""COMPUTED_VALUE"""),1427102.0)</f>
        <v>1427102</v>
      </c>
      <c r="C324" s="140" t="str">
        <f>IFERROR(__xludf.DUMMYFUNCTION("""COMPUTED_VALUE"""),"EN")</f>
        <v>EN</v>
      </c>
      <c r="D324" t="str">
        <f>IFERROR(__xludf.DUMMYFUNCTION("""COMPUTED_VALUE"""),"The Complete Spring Security Developer Course")</f>
        <v>The Complete Spring Security Developer Course</v>
      </c>
      <c r="E324" t="str">
        <f>IFERROR(__xludf.DUMMYFUNCTION("""COMPUTED_VALUE"""),"AlyTech Academy, Inc.")</f>
        <v>AlyTech Academy, Inc.</v>
      </c>
      <c r="F324" t="str">
        <f>IFERROR(__xludf.DUMMYFUNCTION("""COMPUTED_VALUE"""),"Instructor Practices")</f>
        <v>Instructor Practices</v>
      </c>
      <c r="G324" t="str">
        <f>IFERROR(__xludf.DUMMYFUNCTION("""COMPUTED_VALUE"""),"Development")</f>
        <v>Development</v>
      </c>
      <c r="H324" t="str">
        <f>IFERROR(__xludf.DUMMYFUNCTION("""COMPUTED_VALUE"""),"Web Development")</f>
        <v>Web Development</v>
      </c>
      <c r="I324">
        <f>IFERROR(__xludf.DUMMYFUNCTION("""COMPUTED_VALUE"""),647428.0)</f>
        <v>647428</v>
      </c>
      <c r="J324" s="140" t="str">
        <f>IFERROR(__xludf.DUMMYFUNCTION("""COMPUTED_VALUE"""),"Spring &amp; Hibernate for Beginners (includes Spring Boot)")</f>
        <v>Spring &amp; Hibernate for Beginners (includes Spring Boot)</v>
      </c>
      <c r="K324">
        <f>IFERROR(__xludf.DUMMYFUNCTION("""COMPUTED_VALUE"""),1078208.0)</f>
        <v>1078208</v>
      </c>
      <c r="L324" s="140" t="str">
        <f>IFERROR(__xludf.DUMMYFUNCTION("""COMPUTED_VALUE"""),"Learn Spring Boot in 100 Steps - No 1 Java Framework")</f>
        <v>Learn Spring Boot in 100 Steps - No 1 Java Framework</v>
      </c>
    </row>
    <row r="325">
      <c r="A325" s="199">
        <f>IFERROR(__xludf.DUMMYFUNCTION("""COMPUTED_VALUE"""),43556.0)</f>
        <v>43556</v>
      </c>
      <c r="B325" s="140">
        <f>IFERROR(__xludf.DUMMYFUNCTION("""COMPUTED_VALUE"""),1427088.0)</f>
        <v>1427088</v>
      </c>
      <c r="C325" s="140" t="str">
        <f>IFERROR(__xludf.DUMMYFUNCTION("""COMPUTED_VALUE"""),"EN")</f>
        <v>EN</v>
      </c>
      <c r="D325" t="str">
        <f>IFERROR(__xludf.DUMMYFUNCTION("""COMPUTED_VALUE"""),"The Complete Spring Batch Developer Course")</f>
        <v>The Complete Spring Batch Developer Course</v>
      </c>
      <c r="E325" t="str">
        <f>IFERROR(__xludf.DUMMYFUNCTION("""COMPUTED_VALUE"""),"AlyTech Academy, Inc.")</f>
        <v>AlyTech Academy, Inc.</v>
      </c>
      <c r="F325" t="str">
        <f>IFERROR(__xludf.DUMMYFUNCTION("""COMPUTED_VALUE"""),"Copyright")</f>
        <v>Copyright</v>
      </c>
      <c r="G325" t="str">
        <f>IFERROR(__xludf.DUMMYFUNCTION("""COMPUTED_VALUE"""),"Development")</f>
        <v>Development</v>
      </c>
      <c r="H325" t="str">
        <f>IFERROR(__xludf.DUMMYFUNCTION("""COMPUTED_VALUE"""),"Web Development")</f>
        <v>Web Development</v>
      </c>
      <c r="I325">
        <f>IFERROR(__xludf.DUMMYFUNCTION("""COMPUTED_VALUE"""),1217894.0)</f>
        <v>1217894</v>
      </c>
      <c r="J325" s="140" t="str">
        <f>IFERROR(__xludf.DUMMYFUNCTION("""COMPUTED_VALUE"""),"Spring Framework 5: Beginner to Guru")</f>
        <v>Spring Framework 5: Beginner to Guru</v>
      </c>
      <c r="K325">
        <f>IFERROR(__xludf.DUMMYFUNCTION("""COMPUTED_VALUE"""),684824.0)</f>
        <v>684824</v>
      </c>
      <c r="L325" s="140" t="str">
        <f>IFERROR(__xludf.DUMMYFUNCTION("""COMPUTED_VALUE"""),"Spring Framework Master Class - Java Spring the Modern Way")</f>
        <v>Spring Framework Master Class - Java Spring the Modern Way</v>
      </c>
    </row>
    <row r="326">
      <c r="A326" s="199">
        <f>IFERROR(__xludf.DUMMYFUNCTION("""COMPUTED_VALUE"""),43553.0)</f>
        <v>43553</v>
      </c>
      <c r="B326" s="140">
        <f>IFERROR(__xludf.DUMMYFUNCTION("""COMPUTED_VALUE"""),880418.0)</f>
        <v>880418</v>
      </c>
      <c r="C326" s="140" t="str">
        <f>IFERROR(__xludf.DUMMYFUNCTION("""COMPUTED_VALUE"""),"EN")</f>
        <v>EN</v>
      </c>
      <c r="D326" t="str">
        <f>IFERROR(__xludf.DUMMYFUNCTION("""COMPUTED_VALUE"""),"Selling With Stories - For Content Writers and Copywriters")</f>
        <v>Selling With Stories - For Content Writers and Copywriters</v>
      </c>
      <c r="E326" t="str">
        <f>IFERROR(__xludf.DUMMYFUNCTION("""COMPUTED_VALUE"""),"Nick Usborne")</f>
        <v>Nick Usborne</v>
      </c>
      <c r="F326" t="str">
        <f>IFERROR(__xludf.DUMMYFUNCTION("""COMPUTED_VALUE"""),"Instructor Request- No Detail")</f>
        <v>Instructor Request- No Detail</v>
      </c>
      <c r="G326" t="str">
        <f>IFERROR(__xludf.DUMMYFUNCTION("""COMPUTED_VALUE"""),"Marketing")</f>
        <v>Marketing</v>
      </c>
      <c r="H326" t="str">
        <f>IFERROR(__xludf.DUMMYFUNCTION("""COMPUTED_VALUE"""),"Marketing Strategy")</f>
        <v>Marketing Strategy</v>
      </c>
      <c r="I326">
        <f>IFERROR(__xludf.DUMMYFUNCTION("""COMPUTED_VALUE"""),1331661.0)</f>
        <v>1331661</v>
      </c>
      <c r="J326" s="140" t="str">
        <f>IFERROR(__xludf.DUMMYFUNCTION("""COMPUTED_VALUE"""),"Writing Tools &amp; Hacks: Copywriting/Blogging/Content Writing")</f>
        <v>Writing Tools &amp; Hacks: Copywriting/Blogging/Content Writing</v>
      </c>
      <c r="K326">
        <f>IFERROR(__xludf.DUMMYFUNCTION("""COMPUTED_VALUE"""),335610.0)</f>
        <v>335610</v>
      </c>
      <c r="L326" s="140" t="str">
        <f>IFERROR(__xludf.DUMMYFUNCTION("""COMPUTED_VALUE"""),"Writing With Confidence: Writing Beginner To Writing Pro")</f>
        <v>Writing With Confidence: Writing Beginner To Writing Pro</v>
      </c>
    </row>
    <row r="327">
      <c r="A327" s="199">
        <f>IFERROR(__xludf.DUMMYFUNCTION("""COMPUTED_VALUE"""),43553.0)</f>
        <v>43553</v>
      </c>
      <c r="B327" s="140">
        <f>IFERROR(__xludf.DUMMYFUNCTION("""COMPUTED_VALUE"""),1747516.0)</f>
        <v>1747516</v>
      </c>
      <c r="C327" s="140" t="str">
        <f>IFERROR(__xludf.DUMMYFUNCTION("""COMPUTED_VALUE"""),"EN")</f>
        <v>EN</v>
      </c>
      <c r="D327" t="str">
        <f>IFERROR(__xludf.DUMMYFUNCTION("""COMPUTED_VALUE"""),"Rust Programming Language for Beginners")</f>
        <v>Rust Programming Language for Beginners</v>
      </c>
      <c r="E327" t="str">
        <f>IFERROR(__xludf.DUMMYFUNCTION("""COMPUTED_VALUE"""),"Tim Buchalka's Learn Programming Academy")</f>
        <v>Tim Buchalka's Learn Programming Academy</v>
      </c>
      <c r="F327" t="str">
        <f>IFERROR(__xludf.DUMMYFUNCTION("""COMPUTED_VALUE"""),"Below Quality Standards- Low Rating")</f>
        <v>Below Quality Standards- Low Rating</v>
      </c>
      <c r="G327" t="str">
        <f>IFERROR(__xludf.DUMMYFUNCTION("""COMPUTED_VALUE"""),"Development")</f>
        <v>Development</v>
      </c>
      <c r="H327" t="str">
        <f>IFERROR(__xludf.DUMMYFUNCTION("""COMPUTED_VALUE"""),"Programming Languages")</f>
        <v>Programming Languages</v>
      </c>
      <c r="J327" s="140" t="str">
        <f>IFERROR(__xludf.DUMMYFUNCTION("""COMPUTED_VALUE"""),"")</f>
        <v/>
      </c>
      <c r="L327" s="140" t="str">
        <f>IFERROR(__xludf.DUMMYFUNCTION("""COMPUTED_VALUE"""),"")</f>
        <v/>
      </c>
    </row>
    <row r="328">
      <c r="A328" s="199">
        <f>IFERROR(__xludf.DUMMYFUNCTION("""COMPUTED_VALUE"""),43553.0)</f>
        <v>43553</v>
      </c>
      <c r="B328" s="140">
        <f>IFERROR(__xludf.DUMMYFUNCTION("""COMPUTED_VALUE"""),1386194.0)</f>
        <v>1386194</v>
      </c>
      <c r="C328" s="140" t="str">
        <f>IFERROR(__xludf.DUMMYFUNCTION("""COMPUTED_VALUE"""),"EN")</f>
        <v>EN</v>
      </c>
      <c r="D328" t="str">
        <f>IFERROR(__xludf.DUMMYFUNCTION("""COMPUTED_VALUE"""),"Microsoft Certification for SQL server 70-762 Practice Test")</f>
        <v>Microsoft Certification for SQL server 70-762 Practice Test</v>
      </c>
      <c r="E328" t="str">
        <f>IFERROR(__xludf.DUMMYFUNCTION("""COMPUTED_VALUE"""),"Gulab Chand Tejwani")</f>
        <v>Gulab Chand Tejwani</v>
      </c>
      <c r="F328" t="str">
        <f>IFERROR(__xludf.DUMMYFUNCTION("""COMPUTED_VALUE"""),"Below Quality Standards- 3 Flags")</f>
        <v>Below Quality Standards- 3 Flags</v>
      </c>
      <c r="G328" t="str">
        <f>IFERROR(__xludf.DUMMYFUNCTION("""COMPUTED_VALUE"""),"IT Operations")</f>
        <v>IT Operations</v>
      </c>
      <c r="H328" t="str">
        <f>IFERROR(__xludf.DUMMYFUNCTION("""COMPUTED_VALUE"""),"IT Certifications")</f>
        <v>IT Certifications</v>
      </c>
      <c r="I328">
        <f>IFERROR(__xludf.DUMMYFUNCTION("""COMPUTED_VALUE"""),551498.0)</f>
        <v>551498</v>
      </c>
      <c r="J328" s="140" t="str">
        <f>IFERROR(__xludf.DUMMYFUNCTION("""COMPUTED_VALUE"""),"Entity Framework in Depth: The Complete Guide")</f>
        <v>Entity Framework in Depth: The Complete Guide</v>
      </c>
      <c r="K328">
        <f>IFERROR(__xludf.DUMMYFUNCTION("""COMPUTED_VALUE"""),459948.0)</f>
        <v>459948</v>
      </c>
      <c r="L328" s="140" t="str">
        <f>IFERROR(__xludf.DUMMYFUNCTION("""COMPUTED_VALUE"""),"Microsoft SQL for Beginners")</f>
        <v>Microsoft SQL for Beginners</v>
      </c>
    </row>
    <row r="329">
      <c r="A329" s="199">
        <f>IFERROR(__xludf.DUMMYFUNCTION("""COMPUTED_VALUE"""),43553.0)</f>
        <v>43553</v>
      </c>
      <c r="B329" s="140">
        <f>IFERROR(__xludf.DUMMYFUNCTION("""COMPUTED_VALUE"""),554318.0)</f>
        <v>554318</v>
      </c>
      <c r="C329" s="140" t="str">
        <f>IFERROR(__xludf.DUMMYFUNCTION("""COMPUTED_VALUE"""),"EN")</f>
        <v>EN</v>
      </c>
      <c r="D329" t="str">
        <f>IFERROR(__xludf.DUMMYFUNCTION("""COMPUTED_VALUE"""),"C# Anti-Patterns: A List Of Programming Practices To Avoid")</f>
        <v>C# Anti-Patterns: A List Of Programming Practices To Avoid</v>
      </c>
      <c r="E329" t="str">
        <f>IFERROR(__xludf.DUMMYFUNCTION("""COMPUTED_VALUE"""),"Mark Farragher")</f>
        <v>Mark Farragher</v>
      </c>
      <c r="F329" t="str">
        <f>IFERROR(__xludf.DUMMYFUNCTION("""COMPUTED_VALUE"""),"Below Quality Standards- 3 Flags")</f>
        <v>Below Quality Standards- 3 Flags</v>
      </c>
      <c r="G329" t="str">
        <f>IFERROR(__xludf.DUMMYFUNCTION("""COMPUTED_VALUE"""),"Development")</f>
        <v>Development</v>
      </c>
      <c r="H329" t="str">
        <f>IFERROR(__xludf.DUMMYFUNCTION("""COMPUTED_VALUE"""),"Programming Languages")</f>
        <v>Programming Languages</v>
      </c>
      <c r="I329">
        <f>IFERROR(__xludf.DUMMYFUNCTION("""COMPUTED_VALUE"""),258316.0)</f>
        <v>258316</v>
      </c>
      <c r="J329" s="140" t="str">
        <f>IFERROR(__xludf.DUMMYFUNCTION("""COMPUTED_VALUE"""),"Complete C# Unity Game Developer 2D")</f>
        <v>Complete C# Unity Game Developer 2D</v>
      </c>
      <c r="K329">
        <f>IFERROR(__xludf.DUMMYFUNCTION("""COMPUTED_VALUE"""),382002.0)</f>
        <v>382002</v>
      </c>
      <c r="L329" s="140" t="str">
        <f>IFERROR(__xludf.DUMMYFUNCTION("""COMPUTED_VALUE"""),"C# Basics for Beginners: Learn C# Fundamentals by Coding")</f>
        <v>C# Basics for Beginners: Learn C# Fundamentals by Coding</v>
      </c>
    </row>
    <row r="330">
      <c r="A330" s="199">
        <f>IFERROR(__xludf.DUMMYFUNCTION("""COMPUTED_VALUE"""),43553.0)</f>
        <v>43553</v>
      </c>
      <c r="B330" s="140">
        <f>IFERROR(__xludf.DUMMYFUNCTION("""COMPUTED_VALUE"""),635616.0)</f>
        <v>635616</v>
      </c>
      <c r="C330" s="140" t="str">
        <f>IFERROR(__xludf.DUMMYFUNCTION("""COMPUTED_VALUE"""),"EN")</f>
        <v>EN</v>
      </c>
      <c r="D330" t="str">
        <f>IFERROR(__xludf.DUMMYFUNCTION("""COMPUTED_VALUE"""),"Cisco CCNA 200-125: Beginner's Guide to Networking World")</f>
        <v>Cisco CCNA 200-125: Beginner's Guide to Networking World</v>
      </c>
      <c r="E330" t="str">
        <f>IFERROR(__xludf.DUMMYFUNCTION("""COMPUTED_VALUE"""),"Ashar Fraz")</f>
        <v>Ashar Fraz</v>
      </c>
      <c r="F330" t="str">
        <f>IFERROR(__xludf.DUMMYFUNCTION("""COMPUTED_VALUE"""),"Below Quality Standards- 3 Flags")</f>
        <v>Below Quality Standards- 3 Flags</v>
      </c>
      <c r="G330" t="str">
        <f>IFERROR(__xludf.DUMMYFUNCTION("""COMPUTED_VALUE"""),"IT Operations")</f>
        <v>IT Operations</v>
      </c>
      <c r="H330" t="str">
        <f>IFERROR(__xludf.DUMMYFUNCTION("""COMPUTED_VALUE"""),"IT Certifications")</f>
        <v>IT Certifications</v>
      </c>
      <c r="I330">
        <f>IFERROR(__xludf.DUMMYFUNCTION("""COMPUTED_VALUE"""),10812.0)</f>
        <v>10812</v>
      </c>
      <c r="J330" s="140" t="str">
        <f>IFERROR(__xludf.DUMMYFUNCTION("""COMPUTED_VALUE"""),"")</f>
        <v/>
      </c>
      <c r="L330" s="140" t="str">
        <f>IFERROR(__xludf.DUMMYFUNCTION("""COMPUTED_VALUE"""),"")</f>
        <v/>
      </c>
    </row>
    <row r="331">
      <c r="A331" s="199">
        <f>IFERROR(__xludf.DUMMYFUNCTION("""COMPUTED_VALUE"""),43553.0)</f>
        <v>43553</v>
      </c>
      <c r="B331" s="140">
        <f>IFERROR(__xludf.DUMMYFUNCTION("""COMPUTED_VALUE"""),1079370.0)</f>
        <v>1079370</v>
      </c>
      <c r="C331" s="140" t="str">
        <f>IFERROR(__xludf.DUMMYFUNCTION("""COMPUTED_VALUE"""),"EN")</f>
        <v>EN</v>
      </c>
      <c r="D331" t="str">
        <f>IFERROR(__xludf.DUMMYFUNCTION("""COMPUTED_VALUE"""),"Sublime Text for Rapid Web Development with code auto-format")</f>
        <v>Sublime Text for Rapid Web Development with code auto-format</v>
      </c>
      <c r="E331" t="str">
        <f>IFERROR(__xludf.DUMMYFUNCTION("""COMPUTED_VALUE"""),"Ryan Dhungel")</f>
        <v>Ryan Dhungel</v>
      </c>
      <c r="F331" t="str">
        <f>IFERROR(__xludf.DUMMYFUNCTION("""COMPUTED_VALUE"""),"Below Quality Standards- 3 Flags")</f>
        <v>Below Quality Standards- 3 Flags</v>
      </c>
      <c r="G331" t="str">
        <f>IFERROR(__xludf.DUMMYFUNCTION("""COMPUTED_VALUE"""),"Development")</f>
        <v>Development</v>
      </c>
      <c r="H331" t="str">
        <f>IFERROR(__xludf.DUMMYFUNCTION("""COMPUTED_VALUE"""),"Web Development")</f>
        <v>Web Development</v>
      </c>
      <c r="J331" s="140" t="str">
        <f>IFERROR(__xludf.DUMMYFUNCTION("""COMPUTED_VALUE"""),"")</f>
        <v/>
      </c>
      <c r="L331" s="140" t="str">
        <f>IFERROR(__xludf.DUMMYFUNCTION("""COMPUTED_VALUE"""),"")</f>
        <v/>
      </c>
    </row>
    <row r="332">
      <c r="A332" s="199">
        <f>IFERROR(__xludf.DUMMYFUNCTION("""COMPUTED_VALUE"""),43553.0)</f>
        <v>43553</v>
      </c>
      <c r="B332" s="140">
        <f>IFERROR(__xludf.DUMMYFUNCTION("""COMPUTED_VALUE"""),1042234.0)</f>
        <v>1042234</v>
      </c>
      <c r="C332" s="140" t="str">
        <f>IFERROR(__xludf.DUMMYFUNCTION("""COMPUTED_VALUE"""),"EN")</f>
        <v>EN</v>
      </c>
      <c r="D332" t="str">
        <f>IFERROR(__xludf.DUMMYFUNCTION("""COMPUTED_VALUE"""),"Deeper Instructional Design")</f>
        <v>Deeper Instructional Design</v>
      </c>
      <c r="E332" t="str">
        <f>IFERROR(__xludf.DUMMYFUNCTION("""COMPUTED_VALUE"""),"Clark Quinn")</f>
        <v>Clark Quinn</v>
      </c>
      <c r="F332" t="str">
        <f>IFERROR(__xludf.DUMMYFUNCTION("""COMPUTED_VALUE"""),"Below Quality Standards- 3 Flags")</f>
        <v>Below Quality Standards- 3 Flags</v>
      </c>
      <c r="G332" t="str">
        <f>IFERROR(__xludf.DUMMYFUNCTION("""COMPUTED_VALUE"""),"Human Resources")</f>
        <v>Human Resources</v>
      </c>
      <c r="H332" t="str">
        <f>IFERROR(__xludf.DUMMYFUNCTION("""COMPUTED_VALUE"""),"Learning &amp; Development")</f>
        <v>Learning &amp; Development</v>
      </c>
      <c r="I332">
        <f>IFERROR(__xludf.DUMMYFUNCTION("""COMPUTED_VALUE"""),1342360.0)</f>
        <v>1342360</v>
      </c>
      <c r="J332" s="140" t="str">
        <f>IFERROR(__xludf.DUMMYFUNCTION("""COMPUTED_VALUE"""),"Instructional Design Pro (Part 1): No Beginners Allowed!")</f>
        <v>Instructional Design Pro (Part 1): No Beginners Allowed!</v>
      </c>
      <c r="L332" s="140" t="str">
        <f>IFERROR(__xludf.DUMMYFUNCTION("""COMPUTED_VALUE"""),"")</f>
        <v/>
      </c>
    </row>
    <row r="333">
      <c r="A333" s="199">
        <f>IFERROR(__xludf.DUMMYFUNCTION("""COMPUTED_VALUE"""),43550.0)</f>
        <v>43550</v>
      </c>
      <c r="B333" s="140">
        <f>IFERROR(__xludf.DUMMYFUNCTION("""COMPUTED_VALUE"""),1529558.0)</f>
        <v>1529558</v>
      </c>
      <c r="C333" s="140" t="str">
        <f>IFERROR(__xludf.DUMMYFUNCTION("""COMPUTED_VALUE"""),"EN")</f>
        <v>EN</v>
      </c>
      <c r="D333" t="str">
        <f>IFERROR(__xludf.DUMMYFUNCTION("""COMPUTED_VALUE"""),"70-533 Implementing Microsoft Azure Infrastructure Solutions")</f>
        <v>70-533 Implementing Microsoft Azure Infrastructure Solutions</v>
      </c>
      <c r="E333" t="str">
        <f>IFERROR(__xludf.DUMMYFUNCTION("""COMPUTED_VALUE"""),"Nick Colyer")</f>
        <v>Nick Colyer</v>
      </c>
      <c r="F333" t="str">
        <f>IFERROR(__xludf.DUMMYFUNCTION("""COMPUTED_VALUE"""),"Instructor Request- Outdated")</f>
        <v>Instructor Request- Outdated</v>
      </c>
      <c r="G333" t="str">
        <f>IFERROR(__xludf.DUMMYFUNCTION("""COMPUTED_VALUE"""),"IT Operations")</f>
        <v>IT Operations</v>
      </c>
      <c r="H333" t="str">
        <f>IFERROR(__xludf.DUMMYFUNCTION("""COMPUTED_VALUE"""),"IT Certifications")</f>
        <v>IT Certifications</v>
      </c>
      <c r="J333" s="140" t="str">
        <f>IFERROR(__xludf.DUMMYFUNCTION("""COMPUTED_VALUE"""),"")</f>
        <v/>
      </c>
      <c r="L333" s="140" t="str">
        <f>IFERROR(__xludf.DUMMYFUNCTION("""COMPUTED_VALUE"""),"")</f>
        <v/>
      </c>
      <c r="M333" s="145" t="str">
        <f>IFERROR(__xludf.DUMMYFUNCTION("""COMPUTED_VALUE"""),"No update or alternative here")</f>
        <v>No update or alternative here</v>
      </c>
    </row>
    <row r="334">
      <c r="A334" s="199">
        <f>IFERROR(__xludf.DUMMYFUNCTION("""COMPUTED_VALUE"""),43545.0)</f>
        <v>43545</v>
      </c>
      <c r="B334" s="140">
        <f>IFERROR(__xludf.DUMMYFUNCTION("""COMPUTED_VALUE"""),1034400.0)</f>
        <v>1034400</v>
      </c>
      <c r="C334" s="140" t="str">
        <f>IFERROR(__xludf.DUMMYFUNCTION("""COMPUTED_VALUE"""),"EN")</f>
        <v>EN</v>
      </c>
      <c r="D334" t="str">
        <f>IFERROR(__xludf.DUMMYFUNCTION("""COMPUTED_VALUE"""),"Master Jenkins CI For DevOps and Developers")</f>
        <v>Master Jenkins CI For DevOps and Developers</v>
      </c>
      <c r="E334" t="str">
        <f>IFERROR(__xludf.DUMMYFUNCTION("""COMPUTED_VALUE"""),"Level Up")</f>
        <v>Level Up</v>
      </c>
      <c r="F334" t="str">
        <f>IFERROR(__xludf.DUMMYFUNCTION("""COMPUTED_VALUE"""),"Instructor Practices")</f>
        <v>Instructor Practices</v>
      </c>
      <c r="G334" t="str">
        <f>IFERROR(__xludf.DUMMYFUNCTION("""COMPUTED_VALUE"""),"Development")</f>
        <v>Development</v>
      </c>
      <c r="H334" t="str">
        <f>IFERROR(__xludf.DUMMYFUNCTION("""COMPUTED_VALUE"""),"Development Tools")</f>
        <v>Development Tools</v>
      </c>
      <c r="I334">
        <f>IFERROR(__xludf.DUMMYFUNCTION("""COMPUTED_VALUE"""),1087656.0)</f>
        <v>1087656</v>
      </c>
      <c r="J334" s="140" t="str">
        <f>IFERROR(__xludf.DUMMYFUNCTION("""COMPUTED_VALUE"""),"Robot Framework - Jenkins CI &amp; Git Version Control")</f>
        <v>Robot Framework - Jenkins CI &amp; Git Version Control</v>
      </c>
      <c r="K334">
        <f>IFERROR(__xludf.DUMMYFUNCTION("""COMPUTED_VALUE"""),694982.0)</f>
        <v>694982</v>
      </c>
      <c r="L334" s="140" t="str">
        <f>IFERROR(__xludf.DUMMYFUNCTION("""COMPUTED_VALUE"""),"Rest API Testing (Automation) from Scratch-Rest Assured Java")</f>
        <v>Rest API Testing (Automation) from Scratch-Rest Assured Java</v>
      </c>
    </row>
    <row r="335">
      <c r="A335" s="199">
        <f>IFERROR(__xludf.DUMMYFUNCTION("""COMPUTED_VALUE"""),43543.0)</f>
        <v>43543</v>
      </c>
      <c r="B335" s="140">
        <f>IFERROR(__xludf.DUMMYFUNCTION("""COMPUTED_VALUE"""),1036550.0)</f>
        <v>1036550</v>
      </c>
      <c r="C335" s="140" t="str">
        <f>IFERROR(__xludf.DUMMYFUNCTION("""COMPUTED_VALUE"""),"EN")</f>
        <v>EN</v>
      </c>
      <c r="D335" t="str">
        <f>IFERROR(__xludf.DUMMYFUNCTION("""COMPUTED_VALUE"""),"AWS Essentials")</f>
        <v>AWS Essentials</v>
      </c>
      <c r="E335" t="str">
        <f>IFERROR(__xludf.DUMMYFUNCTION("""COMPUTED_VALUE"""),"Linux Academy")</f>
        <v>Linux Academy</v>
      </c>
      <c r="F335" t="str">
        <f>IFERROR(__xludf.DUMMYFUNCTION("""COMPUTED_VALUE"""),"Instructor Request- Outdated")</f>
        <v>Instructor Request- Outdated</v>
      </c>
      <c r="G335" t="str">
        <f>IFERROR(__xludf.DUMMYFUNCTION("""COMPUTED_VALUE"""),"Cloud Computing")</f>
        <v>Cloud Computing</v>
      </c>
      <c r="H335" t="str">
        <f>IFERROR(__xludf.DUMMYFUNCTION("""COMPUTED_VALUE"""),"Cloud Fundamentals")</f>
        <v>Cloud Fundamentals</v>
      </c>
      <c r="I335">
        <f>IFERROR(__xludf.DUMMYFUNCTION("""COMPUTED_VALUE"""),2231112.0)</f>
        <v>2231112</v>
      </c>
      <c r="J335" s="140" t="str">
        <f>IFERROR(__xludf.DUMMYFUNCTION("""COMPUTED_VALUE"""),"")</f>
        <v/>
      </c>
      <c r="L335" s="140" t="str">
        <f>IFERROR(__xludf.DUMMYFUNCTION("""COMPUTED_VALUE"""),"")</f>
        <v/>
      </c>
    </row>
    <row r="336">
      <c r="A336" s="199">
        <f>IFERROR(__xludf.DUMMYFUNCTION("""COMPUTED_VALUE"""),43532.0)</f>
        <v>43532</v>
      </c>
      <c r="B336" s="140">
        <f>IFERROR(__xludf.DUMMYFUNCTION("""COMPUTED_VALUE"""),1635346.0)</f>
        <v>1635346</v>
      </c>
      <c r="C336" s="140" t="str">
        <f>IFERROR(__xludf.DUMMYFUNCTION("""COMPUTED_VALUE"""),"EN")</f>
        <v>EN</v>
      </c>
      <c r="D336" t="str">
        <f>IFERROR(__xludf.DUMMYFUNCTION("""COMPUTED_VALUE"""),"TOGAF 9 Level 2 (OG0-092) Practice tests ( NEW - 2019)")</f>
        <v>TOGAF 9 Level 2 (OG0-092) Practice tests ( NEW - 2019)</v>
      </c>
      <c r="E336" t="str">
        <f>IFERROR(__xludf.DUMMYFUNCTION("""COMPUTED_VALUE"""),"Mozdora Education")</f>
        <v>Mozdora Education</v>
      </c>
      <c r="F336" t="str">
        <f>IFERROR(__xludf.DUMMYFUNCTION("""COMPUTED_VALUE"""),"Copyright")</f>
        <v>Copyright</v>
      </c>
      <c r="G336" t="str">
        <f>IFERROR(__xludf.DUMMYFUNCTION("""COMPUTED_VALUE"""),"IT Operations")</f>
        <v>IT Operations</v>
      </c>
      <c r="H336" t="str">
        <f>IFERROR(__xludf.DUMMYFUNCTION("""COMPUTED_VALUE"""),"IT Certifications")</f>
        <v>IT Certifications</v>
      </c>
      <c r="I336">
        <f>IFERROR(__xludf.DUMMYFUNCTION("""COMPUTED_VALUE"""),312662.0)</f>
        <v>312662</v>
      </c>
      <c r="J336" s="140" t="str">
        <f>IFERROR(__xludf.DUMMYFUNCTION("""COMPUTED_VALUE"""),"Standard 9.1- Part 1 Foundation Enterprise Architect Course")</f>
        <v>Standard 9.1- Part 1 Foundation Enterprise Architect Course</v>
      </c>
      <c r="K336">
        <f>IFERROR(__xludf.DUMMYFUNCTION("""COMPUTED_VALUE"""),479440.0)</f>
        <v>479440</v>
      </c>
      <c r="L336" s="140" t="str">
        <f>IFERROR(__xludf.DUMMYFUNCTION("""COMPUTED_VALUE"""),"Standard 9.1- Part 2 Certified Enterprise Architect Course")</f>
        <v>Standard 9.1- Part 2 Certified Enterprise Architect Course</v>
      </c>
    </row>
    <row r="337">
      <c r="A337" s="199">
        <f>IFERROR(__xludf.DUMMYFUNCTION("""COMPUTED_VALUE"""),43528.0)</f>
        <v>43528</v>
      </c>
      <c r="B337" s="140">
        <f>IFERROR(__xludf.DUMMYFUNCTION("""COMPUTED_VALUE"""),1494160.0)</f>
        <v>1494160</v>
      </c>
      <c r="C337" s="140" t="str">
        <f>IFERROR(__xludf.DUMMYFUNCTION("""COMPUTED_VALUE"""),"EN")</f>
        <v>EN</v>
      </c>
      <c r="D337" t="str">
        <f>IFERROR(__xludf.DUMMYFUNCTION("""COMPUTED_VALUE"""),"PMP Exam Prep 2019: Pass the PMP Exam on your first try!")</f>
        <v>PMP Exam Prep 2019: Pass the PMP Exam on your first try!</v>
      </c>
      <c r="E337" t="str">
        <f>IFERROR(__xludf.DUMMYFUNCTION("""COMPUTED_VALUE"""),"Adel Mansour")</f>
        <v>Adel Mansour</v>
      </c>
      <c r="F337" t="str">
        <f>IFERROR(__xludf.DUMMYFUNCTION("""COMPUTED_VALUE"""),"Instructor Practices")</f>
        <v>Instructor Practices</v>
      </c>
      <c r="G337" t="str">
        <f>IFERROR(__xludf.DUMMYFUNCTION("""COMPUTED_VALUE"""),"Project Management &amp; Operations")</f>
        <v>Project Management &amp; Operations</v>
      </c>
      <c r="H337" t="str">
        <f>IFERROR(__xludf.DUMMYFUNCTION("""COMPUTED_VALUE"""),"Project Management Certifications")</f>
        <v>Project Management Certifications</v>
      </c>
      <c r="I337">
        <f>IFERROR(__xludf.DUMMYFUNCTION("""COMPUTED_VALUE"""),1361790.0)</f>
        <v>1361790</v>
      </c>
      <c r="J337" s="140" t="str">
        <f>IFERROR(__xludf.DUMMYFUNCTION("""COMPUTED_VALUE"""),"PMP Exam Prep Seminar - 2021 Exam Content with 35 PDUs")</f>
        <v>PMP Exam Prep Seminar - 2021 Exam Content with 35 PDUs</v>
      </c>
      <c r="K337">
        <f>IFERROR(__xludf.DUMMYFUNCTION("""COMPUTED_VALUE"""),555696.0)</f>
        <v>555696</v>
      </c>
      <c r="L337" s="140" t="str">
        <f>IFERROR(__xludf.DUMMYFUNCTION("""COMPUTED_VALUE"""),"PMP Exam Prep Project Management Professional Certification")</f>
        <v>PMP Exam Prep Project Management Professional Certification</v>
      </c>
    </row>
    <row r="338">
      <c r="A338" s="199">
        <f>IFERROR(__xludf.DUMMYFUNCTION("""COMPUTED_VALUE"""),43524.0)</f>
        <v>43524</v>
      </c>
      <c r="B338" s="140">
        <f>IFERROR(__xludf.DUMMYFUNCTION("""COMPUTED_VALUE"""),762202.0)</f>
        <v>762202</v>
      </c>
      <c r="C338" s="140" t="str">
        <f>IFERROR(__xludf.DUMMYFUNCTION("""COMPUTED_VALUE"""),"EN")</f>
        <v>EN</v>
      </c>
      <c r="D338" t="str">
        <f>IFERROR(__xludf.DUMMYFUNCTION("""COMPUTED_VALUE"""),"Google Ads / AdWords Certification - Get Certified in 2 Days")</f>
        <v>Google Ads / AdWords Certification - Get Certified in 2 Days</v>
      </c>
      <c r="E338" t="str">
        <f>IFERROR(__xludf.DUMMYFUNCTION("""COMPUTED_VALUE"""),"Daragh Walsh")</f>
        <v>Daragh Walsh</v>
      </c>
      <c r="F338" t="str">
        <f>IFERROR(__xludf.DUMMYFUNCTION("""COMPUTED_VALUE"""),"Copyright")</f>
        <v>Copyright</v>
      </c>
      <c r="G338" t="str">
        <f>IFERROR(__xludf.DUMMYFUNCTION("""COMPUTED_VALUE"""),"Marketing")</f>
        <v>Marketing</v>
      </c>
      <c r="H338" t="str">
        <f>IFERROR(__xludf.DUMMYFUNCTION("""COMPUTED_VALUE"""),"Paid Advertising")</f>
        <v>Paid Advertising</v>
      </c>
      <c r="I338">
        <f>IFERROR(__xludf.DUMMYFUNCTION("""COMPUTED_VALUE"""),671544.0)</f>
        <v>671544</v>
      </c>
      <c r="J338" s="140" t="str">
        <f>IFERROR(__xludf.DUMMYFUNCTION("""COMPUTED_VALUE"""),"Ultimate Google Ads Training 2021: Profit with Pay Per Click")</f>
        <v>Ultimate Google Ads Training 2021: Profit with Pay Per Click</v>
      </c>
      <c r="K338" s="140">
        <f>IFERROR(__xludf.DUMMYFUNCTION("""COMPUTED_VALUE"""),50735.0)</f>
        <v>50735</v>
      </c>
      <c r="L338" s="140" t="str">
        <f>IFERROR(__xludf.DUMMYFUNCTION("""COMPUTED_VALUE"""),"Google Ads for Beginners")</f>
        <v>Google Ads for Beginners</v>
      </c>
    </row>
    <row r="339">
      <c r="A339" s="199">
        <f>IFERROR(__xludf.DUMMYFUNCTION("""COMPUTED_VALUE"""),43524.0)</f>
        <v>43524</v>
      </c>
      <c r="B339" s="140">
        <f>IFERROR(__xludf.DUMMYFUNCTION("""COMPUTED_VALUE"""),672308.0)</f>
        <v>672308</v>
      </c>
      <c r="C339" s="140" t="str">
        <f>IFERROR(__xludf.DUMMYFUNCTION("""COMPUTED_VALUE"""),"EN")</f>
        <v>EN</v>
      </c>
      <c r="D339" t="str">
        <f>IFERROR(__xludf.DUMMYFUNCTION("""COMPUTED_VALUE"""),"Time Management Skills: Become the Master of your Time!")</f>
        <v>Time Management Skills: Become the Master of your Time!</v>
      </c>
      <c r="E339" t="str">
        <f>IFERROR(__xludf.DUMMYFUNCTION("""COMPUTED_VALUE"""),"Lecturio GmbH")</f>
        <v>Lecturio GmbH</v>
      </c>
      <c r="F339" t="str">
        <f>IFERROR(__xludf.DUMMYFUNCTION("""COMPUTED_VALUE"""),"Below Quality Standards- Outdated")</f>
        <v>Below Quality Standards- Outdated</v>
      </c>
      <c r="G339" t="str">
        <f>IFERROR(__xludf.DUMMYFUNCTION("""COMPUTED_VALUE"""),"Personal Development")</f>
        <v>Personal Development</v>
      </c>
      <c r="H339" t="str">
        <f>IFERROR(__xludf.DUMMYFUNCTION("""COMPUTED_VALUE"""),"Personal Growth")</f>
        <v>Personal Growth</v>
      </c>
      <c r="I339">
        <f>IFERROR(__xludf.DUMMYFUNCTION("""COMPUTED_VALUE"""),797156.0)</f>
        <v>797156</v>
      </c>
      <c r="J339" s="140" t="str">
        <f>IFERROR(__xludf.DUMMYFUNCTION("""COMPUTED_VALUE"""),"A Mini Course on Time Management")</f>
        <v>A Mini Course on Time Management</v>
      </c>
      <c r="K339" s="140">
        <f>IFERROR(__xludf.DUMMYFUNCTION("""COMPUTED_VALUE"""),655608.0)</f>
        <v>655608</v>
      </c>
      <c r="L339" s="140" t="str">
        <f>IFERROR(__xludf.DUMMYFUNCTION("""COMPUTED_VALUE"""),"Productivity and Time Management for the Overwhelmed")</f>
        <v>Productivity and Time Management for the Overwhelmed</v>
      </c>
    </row>
    <row r="340">
      <c r="A340" s="199">
        <f>IFERROR(__xludf.DUMMYFUNCTION("""COMPUTED_VALUE"""),43524.0)</f>
        <v>43524</v>
      </c>
      <c r="B340" s="140">
        <f>IFERROR(__xludf.DUMMYFUNCTION("""COMPUTED_VALUE"""),671052.0)</f>
        <v>671052</v>
      </c>
      <c r="C340" s="140" t="str">
        <f>IFERROR(__xludf.DUMMYFUNCTION("""COMPUTED_VALUE"""),"EN")</f>
        <v>EN</v>
      </c>
      <c r="D340" t="str">
        <f>IFERROR(__xludf.DUMMYFUNCTION("""COMPUTED_VALUE"""),"Leadership Skills Training: Become an Inspiring Leader!")</f>
        <v>Leadership Skills Training: Become an Inspiring Leader!</v>
      </c>
      <c r="E340" t="str">
        <f>IFERROR(__xludf.DUMMYFUNCTION("""COMPUTED_VALUE"""),"Lecturio GmbH")</f>
        <v>Lecturio GmbH</v>
      </c>
      <c r="F340" t="str">
        <f>IFERROR(__xludf.DUMMYFUNCTION("""COMPUTED_VALUE"""),"Below Quality Standards- Outdated")</f>
        <v>Below Quality Standards- Outdated</v>
      </c>
      <c r="G340" t="str">
        <f>IFERROR(__xludf.DUMMYFUNCTION("""COMPUTED_VALUE"""),"Leadership &amp; Management")</f>
        <v>Leadership &amp; Management</v>
      </c>
      <c r="H340" t="str">
        <f>IFERROR(__xludf.DUMMYFUNCTION("""COMPUTED_VALUE"""),"Leadership")</f>
        <v>Leadership</v>
      </c>
      <c r="I340">
        <f>IFERROR(__xludf.DUMMYFUNCTION("""COMPUTED_VALUE"""),189116.0)</f>
        <v>189116</v>
      </c>
      <c r="J340" s="140" t="str">
        <f>IFERROR(__xludf.DUMMYFUNCTION("""COMPUTED_VALUE"""),"Team Leadership &amp; Team Management Skills Certification")</f>
        <v>Team Leadership &amp; Team Management Skills Certification</v>
      </c>
      <c r="K340" s="140">
        <f>IFERROR(__xludf.DUMMYFUNCTION("""COMPUTED_VALUE"""),361272.0)</f>
        <v>361272</v>
      </c>
      <c r="L340" s="140" t="str">
        <f>IFERROR(__xludf.DUMMYFUNCTION("""COMPUTED_VALUE"""),"The Science of Leadership")</f>
        <v>The Science of Leadership</v>
      </c>
    </row>
    <row r="341">
      <c r="A341" s="199">
        <f>IFERROR(__xludf.DUMMYFUNCTION("""COMPUTED_VALUE"""),43524.0)</f>
        <v>43524</v>
      </c>
      <c r="B341" s="140">
        <f>IFERROR(__xludf.DUMMYFUNCTION("""COMPUTED_VALUE"""),30730.0)</f>
        <v>30730</v>
      </c>
      <c r="C341" s="140" t="str">
        <f>IFERROR(__xludf.DUMMYFUNCTION("""COMPUTED_VALUE"""),"EN")</f>
        <v>EN</v>
      </c>
      <c r="D341" t="str">
        <f>IFERROR(__xludf.DUMMYFUNCTION("""COMPUTED_VALUE"""),"Microsoft Office 365")</f>
        <v>Microsoft Office 365</v>
      </c>
      <c r="E341" t="str">
        <f>IFERROR(__xludf.DUMMYFUNCTION("""COMPUTED_VALUE"""),"Learn iT! Anytime")</f>
        <v>Learn iT! Anytime</v>
      </c>
      <c r="F341" t="str">
        <f>IFERROR(__xludf.DUMMYFUNCTION("""COMPUTED_VALUE"""),"Below Quality Standards- Outdated")</f>
        <v>Below Quality Standards- Outdated</v>
      </c>
      <c r="G341" t="str">
        <f>IFERROR(__xludf.DUMMYFUNCTION("""COMPUTED_VALUE"""),"Office Productivity")</f>
        <v>Office Productivity</v>
      </c>
      <c r="H341" t="str">
        <f>IFERROR(__xludf.DUMMYFUNCTION("""COMPUTED_VALUE"""),"Word Processing")</f>
        <v>Word Processing</v>
      </c>
      <c r="I341">
        <f>IFERROR(__xludf.DUMMYFUNCTION("""COMPUTED_VALUE"""),904324.0)</f>
        <v>904324</v>
      </c>
      <c r="J341" s="140" t="str">
        <f>IFERROR(__xludf.DUMMYFUNCTION("""COMPUTED_VALUE"""),"")</f>
        <v/>
      </c>
      <c r="L341" s="140" t="str">
        <f>IFERROR(__xludf.DUMMYFUNCTION("""COMPUTED_VALUE"""),"")</f>
        <v/>
      </c>
    </row>
    <row r="342">
      <c r="A342" s="199">
        <f>IFERROR(__xludf.DUMMYFUNCTION("""COMPUTED_VALUE"""),43524.0)</f>
        <v>43524</v>
      </c>
      <c r="B342" s="140">
        <f>IFERROR(__xludf.DUMMYFUNCTION("""COMPUTED_VALUE"""),538132.0)</f>
        <v>538132</v>
      </c>
      <c r="C342" s="140" t="str">
        <f>IFERROR(__xludf.DUMMYFUNCTION("""COMPUTED_VALUE"""),"EN")</f>
        <v>EN</v>
      </c>
      <c r="D342" t="str">
        <f>IFERROR(__xludf.DUMMYFUNCTION("""COMPUTED_VALUE"""),"Speeding up WordPress")</f>
        <v>Speeding up WordPress</v>
      </c>
      <c r="E342" t="str">
        <f>IFERROR(__xludf.DUMMYFUNCTION("""COMPUTED_VALUE"""),"OSTraining LLC")</f>
        <v>OSTraining LLC</v>
      </c>
      <c r="F342" t="str">
        <f>IFERROR(__xludf.DUMMYFUNCTION("""COMPUTED_VALUE"""),"Below Quality Standards- Outdated")</f>
        <v>Below Quality Standards- Outdated</v>
      </c>
      <c r="G342" t="str">
        <f>IFERROR(__xludf.DUMMYFUNCTION("""COMPUTED_VALUE"""),"Development")</f>
        <v>Development</v>
      </c>
      <c r="H342" t="str">
        <f>IFERROR(__xludf.DUMMYFUNCTION("""COMPUTED_VALUE"""),"Web Development")</f>
        <v>Web Development</v>
      </c>
      <c r="I342">
        <f>IFERROR(__xludf.DUMMYFUNCTION("""COMPUTED_VALUE"""),1010586.0)</f>
        <v>1010586</v>
      </c>
      <c r="J342" s="140" t="str">
        <f>IFERROR(__xludf.DUMMYFUNCTION("""COMPUTED_VALUE"""),"Become a WordPress Developer: Unlocking Power With Code")</f>
        <v>Become a WordPress Developer: Unlocking Power With Code</v>
      </c>
      <c r="K342" s="140">
        <f>IFERROR(__xludf.DUMMYFUNCTION("""COMPUTED_VALUE"""),271228.0)</f>
        <v>271228</v>
      </c>
      <c r="L342" s="140" t="str">
        <f>IFERROR(__xludf.DUMMYFUNCTION("""COMPUTED_VALUE"""),"WordPress Development with Bootstrap: The Complete Course")</f>
        <v>WordPress Development with Bootstrap: The Complete Course</v>
      </c>
    </row>
    <row r="343">
      <c r="A343" s="199">
        <f>IFERROR(__xludf.DUMMYFUNCTION("""COMPUTED_VALUE"""),43524.0)</f>
        <v>43524</v>
      </c>
      <c r="B343" s="140">
        <f>IFERROR(__xludf.DUMMYFUNCTION("""COMPUTED_VALUE"""),1176282.0)</f>
        <v>1176282</v>
      </c>
      <c r="C343" s="140" t="str">
        <f>IFERROR(__xludf.DUMMYFUNCTION("""COMPUTED_VALUE"""),"EN")</f>
        <v>EN</v>
      </c>
      <c r="D343" t="str">
        <f>IFERROR(__xludf.DUMMYFUNCTION("""COMPUTED_VALUE"""),"SAP Fiori Simplified: For ABAPers")</f>
        <v>SAP Fiori Simplified: For ABAPers</v>
      </c>
      <c r="E343" t="str">
        <f>IFERROR(__xludf.DUMMYFUNCTION("""COMPUTED_VALUE"""),"Krishna Kishor Kammaje")</f>
        <v>Krishna Kishor Kammaje</v>
      </c>
      <c r="F343" t="str">
        <f>IFERROR(__xludf.DUMMYFUNCTION("""COMPUTED_VALUE"""),"Instructor Request- Opted Out")</f>
        <v>Instructor Request- Opted Out</v>
      </c>
      <c r="G343" t="str">
        <f>IFERROR(__xludf.DUMMYFUNCTION("""COMPUTED_VALUE"""),"Project Management &amp; Operations")</f>
        <v>Project Management &amp; Operations</v>
      </c>
      <c r="H343" t="str">
        <f>IFERROR(__xludf.DUMMYFUNCTION("""COMPUTED_VALUE"""),"Operations Management")</f>
        <v>Operations Management</v>
      </c>
      <c r="J343" s="140" t="str">
        <f>IFERROR(__xludf.DUMMYFUNCTION("""COMPUTED_VALUE"""),"")</f>
        <v/>
      </c>
      <c r="L343" s="140" t="str">
        <f>IFERROR(__xludf.DUMMYFUNCTION("""COMPUTED_VALUE"""),"")</f>
        <v/>
      </c>
      <c r="M343" s="145" t="str">
        <f>IFERROR(__xludf.DUMMYFUNCTION("""COMPUTED_VALUE"""),"Topic on Priority List - 1758043")</f>
        <v>Topic on Priority List - 1758043</v>
      </c>
    </row>
    <row r="344">
      <c r="A344" s="199">
        <f>IFERROR(__xludf.DUMMYFUNCTION("""COMPUTED_VALUE"""),43524.0)</f>
        <v>43524</v>
      </c>
      <c r="B344" s="140">
        <f>IFERROR(__xludf.DUMMYFUNCTION("""COMPUTED_VALUE"""),455804.0)</f>
        <v>455804</v>
      </c>
      <c r="C344" s="140" t="str">
        <f>IFERROR(__xludf.DUMMYFUNCTION("""COMPUTED_VALUE"""),"EN")</f>
        <v>EN</v>
      </c>
      <c r="D344" t="str">
        <f>IFERROR(__xludf.DUMMYFUNCTION("""COMPUTED_VALUE"""),"Advanced Medical Device Development")</f>
        <v>Advanced Medical Device Development</v>
      </c>
      <c r="E344" t="str">
        <f>IFERROR(__xludf.DUMMYFUNCTION("""COMPUTED_VALUE"""),"Josh Simon")</f>
        <v>Josh Simon</v>
      </c>
      <c r="F344" t="str">
        <f>IFERROR(__xludf.DUMMYFUNCTION("""COMPUTED_VALUE"""),"Instructor Request- Opted Out")</f>
        <v>Instructor Request- Opted Out</v>
      </c>
      <c r="G344" t="str">
        <f>IFERROR(__xludf.DUMMYFUNCTION("""COMPUTED_VALUE"""),"Human Resources")</f>
        <v>Human Resources</v>
      </c>
      <c r="H344" t="str">
        <f>IFERROR(__xludf.DUMMYFUNCTION("""COMPUTED_VALUE"""),"Compliance")</f>
        <v>Compliance</v>
      </c>
      <c r="J344" s="140" t="str">
        <f>IFERROR(__xludf.DUMMYFUNCTION("""COMPUTED_VALUE"""),"")</f>
        <v/>
      </c>
      <c r="L344" s="140" t="str">
        <f>IFERROR(__xludf.DUMMYFUNCTION("""COMPUTED_VALUE"""),"")</f>
        <v/>
      </c>
      <c r="M344" s="145" t="str">
        <f>IFERROR(__xludf.DUMMYFUNCTION("""COMPUTED_VALUE"""),"Topic Not On Priority List")</f>
        <v>Topic Not On Priority List</v>
      </c>
    </row>
    <row r="345">
      <c r="A345" s="199">
        <f>IFERROR(__xludf.DUMMYFUNCTION("""COMPUTED_VALUE"""),43524.0)</f>
        <v>43524</v>
      </c>
      <c r="B345" s="140">
        <f>IFERROR(__xludf.DUMMYFUNCTION("""COMPUTED_VALUE"""),946852.0)</f>
        <v>946852</v>
      </c>
      <c r="C345" s="140" t="str">
        <f>IFERROR(__xludf.DUMMYFUNCTION("""COMPUTED_VALUE"""),"EN")</f>
        <v>EN</v>
      </c>
      <c r="D345" t="str">
        <f>IFERROR(__xludf.DUMMYFUNCTION("""COMPUTED_VALUE"""),"US Regulatory Strategy for Biologics &amp; Pharmaceutical Drugs")</f>
        <v>US Regulatory Strategy for Biologics &amp; Pharmaceutical Drugs</v>
      </c>
      <c r="E345" t="str">
        <f>IFERROR(__xludf.DUMMYFUNCTION("""COMPUTED_VALUE"""),"Brandon Too")</f>
        <v>Brandon Too</v>
      </c>
      <c r="F345" t="str">
        <f>IFERROR(__xludf.DUMMYFUNCTION("""COMPUTED_VALUE"""),"Instructor Request- Opted Out")</f>
        <v>Instructor Request- Opted Out</v>
      </c>
      <c r="G345" t="str">
        <f>IFERROR(__xludf.DUMMYFUNCTION("""COMPUTED_VALUE"""),"Human Resources")</f>
        <v>Human Resources</v>
      </c>
      <c r="H345" t="str">
        <f>IFERROR(__xludf.DUMMYFUNCTION("""COMPUTED_VALUE"""),"Compliance")</f>
        <v>Compliance</v>
      </c>
      <c r="J345" s="140" t="str">
        <f>IFERROR(__xludf.DUMMYFUNCTION("""COMPUTED_VALUE"""),"")</f>
        <v/>
      </c>
      <c r="L345" s="140" t="str">
        <f>IFERROR(__xludf.DUMMYFUNCTION("""COMPUTED_VALUE"""),"")</f>
        <v/>
      </c>
      <c r="M345" s="145" t="str">
        <f>IFERROR(__xludf.DUMMYFUNCTION("""COMPUTED_VALUE"""),"Topic Not On Priority List")</f>
        <v>Topic Not On Priority List</v>
      </c>
    </row>
    <row r="346">
      <c r="A346" s="199">
        <f>IFERROR(__xludf.DUMMYFUNCTION("""COMPUTED_VALUE"""),43524.0)</f>
        <v>43524</v>
      </c>
      <c r="B346" s="140">
        <f>IFERROR(__xludf.DUMMYFUNCTION("""COMPUTED_VALUE"""),1209170.0)</f>
        <v>1209170</v>
      </c>
      <c r="C346" s="140" t="str">
        <f>IFERROR(__xludf.DUMMYFUNCTION("""COMPUTED_VALUE"""),"EN")</f>
        <v>EN</v>
      </c>
      <c r="D346" t="str">
        <f>IFERROR(__xludf.DUMMYFUNCTION("""COMPUTED_VALUE"""),"SAP ASE 16 / Sybase ASE - Installation and Configuration")</f>
        <v>SAP ASE 16 / Sybase ASE - Installation and Configuration</v>
      </c>
      <c r="E346" t="str">
        <f>IFERROR(__xludf.DUMMYFUNCTION("""COMPUTED_VALUE"""),"Rafał Mobilo")</f>
        <v>Rafał Mobilo</v>
      </c>
      <c r="F346" t="str">
        <f>IFERROR(__xludf.DUMMYFUNCTION("""COMPUTED_VALUE"""),"Instructor Request- Opted Out")</f>
        <v>Instructor Request- Opted Out</v>
      </c>
      <c r="G346" t="str">
        <f>IFERROR(__xludf.DUMMYFUNCTION("""COMPUTED_VALUE"""),"Project Management &amp; Operations")</f>
        <v>Project Management &amp; Operations</v>
      </c>
      <c r="H346" t="str">
        <f>IFERROR(__xludf.DUMMYFUNCTION("""COMPUTED_VALUE"""),"Operations Management")</f>
        <v>Operations Management</v>
      </c>
      <c r="J346" s="140" t="str">
        <f>IFERROR(__xludf.DUMMYFUNCTION("""COMPUTED_VALUE"""),"")</f>
        <v/>
      </c>
      <c r="L346" s="140" t="str">
        <f>IFERROR(__xludf.DUMMYFUNCTION("""COMPUTED_VALUE"""),"")</f>
        <v/>
      </c>
      <c r="M346" s="145" t="str">
        <f>IFERROR(__xludf.DUMMYFUNCTION("""COMPUTED_VALUE"""),"Topic Not On Priority List")</f>
        <v>Topic Not On Priority List</v>
      </c>
    </row>
    <row r="347">
      <c r="A347" s="199">
        <f>IFERROR(__xludf.DUMMYFUNCTION("""COMPUTED_VALUE"""),43508.0)</f>
        <v>43508</v>
      </c>
      <c r="B347" s="140">
        <f>IFERROR(__xludf.DUMMYFUNCTION("""COMPUTED_VALUE"""),1935186.0)</f>
        <v>1935186</v>
      </c>
      <c r="C347" s="140" t="str">
        <f>IFERROR(__xludf.DUMMYFUNCTION("""COMPUTED_VALUE"""),"EN")</f>
        <v>EN</v>
      </c>
      <c r="D347" t="str">
        <f>IFERROR(__xludf.DUMMYFUNCTION("""COMPUTED_VALUE"""),"Learning Microsoft Powerapps")</f>
        <v>Learning Microsoft Powerapps</v>
      </c>
      <c r="E347" t="str">
        <f>IFERROR(__xludf.DUMMYFUNCTION("""COMPUTED_VALUE"""),"Taha intesar")</f>
        <v>Taha intesar</v>
      </c>
      <c r="F347" t="str">
        <f>IFERROR(__xludf.DUMMYFUNCTION("""COMPUTED_VALUE"""),"Copyright")</f>
        <v>Copyright</v>
      </c>
      <c r="G347" t="str">
        <f>IFERROR(__xludf.DUMMYFUNCTION("""COMPUTED_VALUE"""),"Development")</f>
        <v>Development</v>
      </c>
      <c r="H347" t="str">
        <f>IFERROR(__xludf.DUMMYFUNCTION("""COMPUTED_VALUE"""),"Mobile Development")</f>
        <v>Mobile Development</v>
      </c>
      <c r="J347" s="140" t="str">
        <f>IFERROR(__xludf.DUMMYFUNCTION("""COMPUTED_VALUE"""),"")</f>
        <v/>
      </c>
      <c r="L347" s="140" t="str">
        <f>IFERROR(__xludf.DUMMYFUNCTION("""COMPUTED_VALUE"""),"")</f>
        <v/>
      </c>
    </row>
    <row r="348">
      <c r="A348" s="199">
        <f>IFERROR(__xludf.DUMMYFUNCTION("""COMPUTED_VALUE"""),43496.0)</f>
        <v>43496</v>
      </c>
      <c r="B348" s="140">
        <f>IFERROR(__xludf.DUMMYFUNCTION("""COMPUTED_VALUE"""),1247562.0)</f>
        <v>1247562</v>
      </c>
      <c r="C348" s="140" t="str">
        <f>IFERROR(__xludf.DUMMYFUNCTION("""COMPUTED_VALUE"""),"EN")</f>
        <v>EN</v>
      </c>
      <c r="D348" t="str">
        <f>IFERROR(__xludf.DUMMYFUNCTION("""COMPUTED_VALUE"""),"CompTIA Security+ (SY0-401) : The Complete Course")</f>
        <v>CompTIA Security+ (SY0-401) : The Complete Course</v>
      </c>
      <c r="E348" t="str">
        <f>IFERROR(__xludf.DUMMYFUNCTION("""COMPUTED_VALUE"""),"Lazaro Diaz")</f>
        <v>Lazaro Diaz</v>
      </c>
      <c r="F348" t="str">
        <f>IFERROR(__xludf.DUMMYFUNCTION("""COMPUTED_VALUE"""),"Below Quality Standards- Outdated")</f>
        <v>Below Quality Standards- Outdated</v>
      </c>
      <c r="G348" t="str">
        <f>IFERROR(__xludf.DUMMYFUNCTION("""COMPUTED_VALUE"""),"IT Operations")</f>
        <v>IT Operations</v>
      </c>
      <c r="H348" t="str">
        <f>IFERROR(__xludf.DUMMYFUNCTION("""COMPUTED_VALUE"""),"IT Certifications")</f>
        <v>IT Certifications</v>
      </c>
      <c r="I348">
        <f>IFERROR(__xludf.DUMMYFUNCTION("""COMPUTED_VALUE"""),1596138.0)</f>
        <v>1596138</v>
      </c>
      <c r="J348" s="140" t="str">
        <f>IFERROR(__xludf.DUMMYFUNCTION("""COMPUTED_VALUE"""),"TOTAL: CompTIA Security+ Certification (SY0-501)")</f>
        <v>TOTAL: CompTIA Security+ Certification (SY0-501)</v>
      </c>
      <c r="L348" s="140" t="str">
        <f>IFERROR(__xludf.DUMMYFUNCTION("""COMPUTED_VALUE"""),"")</f>
        <v/>
      </c>
    </row>
    <row r="349">
      <c r="A349" s="199">
        <f>IFERROR(__xludf.DUMMYFUNCTION("""COMPUTED_VALUE"""),43496.0)</f>
        <v>43496</v>
      </c>
      <c r="B349" s="140">
        <f>IFERROR(__xludf.DUMMYFUNCTION("""COMPUTED_VALUE"""),437004.0)</f>
        <v>437004</v>
      </c>
      <c r="C349" s="140" t="str">
        <f>IFERROR(__xludf.DUMMYFUNCTION("""COMPUTED_VALUE"""),"EN")</f>
        <v>EN</v>
      </c>
      <c r="D349" t="str">
        <f>IFERROR(__xludf.DUMMYFUNCTION("""COMPUTED_VALUE"""),"Stress Less")</f>
        <v>Stress Less</v>
      </c>
      <c r="E349" t="str">
        <f>IFERROR(__xludf.DUMMYFUNCTION("""COMPUTED_VALUE"""),"Laura Dewey M.A.")</f>
        <v>Laura Dewey M.A.</v>
      </c>
      <c r="F349" t="str">
        <f>IFERROR(__xludf.DUMMYFUNCTION("""COMPUTED_VALUE"""),"Instructor Request- No Detail")</f>
        <v>Instructor Request- No Detail</v>
      </c>
      <c r="G349" t="str">
        <f>IFERROR(__xludf.DUMMYFUNCTION("""COMPUTED_VALUE"""),"Personal Development")</f>
        <v>Personal Development</v>
      </c>
      <c r="H349" t="str">
        <f>IFERROR(__xludf.DUMMYFUNCTION("""COMPUTED_VALUE"""),"Stress Management")</f>
        <v>Stress Management</v>
      </c>
      <c r="I349">
        <f>IFERROR(__xludf.DUMMYFUNCTION("""COMPUTED_VALUE"""),466736.0)</f>
        <v>466736</v>
      </c>
      <c r="J349" s="140" t="str">
        <f>IFERROR(__xludf.DUMMYFUNCTION("""COMPUTED_VALUE"""),"Stress Management: 40+ easy ways to deal with stress")</f>
        <v>Stress Management: 40+ easy ways to deal with stress</v>
      </c>
      <c r="K349" s="140">
        <f>IFERROR(__xludf.DUMMYFUNCTION("""COMPUTED_VALUE"""),1426094.0)</f>
        <v>1426094</v>
      </c>
      <c r="L349" s="140" t="str">
        <f>IFERROR(__xludf.DUMMYFUNCTION("""COMPUTED_VALUE"""),"Flourishing in Stressful Times - with Tara Brach")</f>
        <v>Flourishing in Stressful Times - with Tara Brach</v>
      </c>
    </row>
    <row r="350">
      <c r="A350" s="199">
        <f>IFERROR(__xludf.DUMMYFUNCTION("""COMPUTED_VALUE"""),43496.0)</f>
        <v>43496</v>
      </c>
      <c r="B350" s="140">
        <f>IFERROR(__xludf.DUMMYFUNCTION("""COMPUTED_VALUE"""),538062.0)</f>
        <v>538062</v>
      </c>
      <c r="C350" s="140" t="str">
        <f>IFERROR(__xludf.DUMMYFUNCTION("""COMPUTED_VALUE"""),"EN")</f>
        <v>EN</v>
      </c>
      <c r="D350" t="str">
        <f>IFERROR(__xludf.DUMMYFUNCTION("""COMPUTED_VALUE"""),"WordPress SEO")</f>
        <v>WordPress SEO</v>
      </c>
      <c r="E350" t="str">
        <f>IFERROR(__xludf.DUMMYFUNCTION("""COMPUTED_VALUE"""),"OSTraining LLC")</f>
        <v>OSTraining LLC</v>
      </c>
      <c r="F350" t="str">
        <f>IFERROR(__xludf.DUMMYFUNCTION("""COMPUTED_VALUE"""),"Below Quality Standards- Outdated")</f>
        <v>Below Quality Standards- Outdated</v>
      </c>
      <c r="G350" t="str">
        <f>IFERROR(__xludf.DUMMYFUNCTION("""COMPUTED_VALUE"""),"Marketing")</f>
        <v>Marketing</v>
      </c>
      <c r="H350" t="str">
        <f>IFERROR(__xludf.DUMMYFUNCTION("""COMPUTED_VALUE"""),"Content Marketing")</f>
        <v>Content Marketing</v>
      </c>
      <c r="I350">
        <f>IFERROR(__xludf.DUMMYFUNCTION("""COMPUTED_VALUE"""),365176.0)</f>
        <v>365176</v>
      </c>
      <c r="J350" s="140" t="str">
        <f>IFERROR(__xludf.DUMMYFUNCTION("""COMPUTED_VALUE"""),"SEO Training: Get Free Traffic to Your Website With SEO")</f>
        <v>SEO Training: Get Free Traffic to Your Website With SEO</v>
      </c>
      <c r="L350" s="140" t="str">
        <f>IFERROR(__xludf.DUMMYFUNCTION("""COMPUTED_VALUE"""),"")</f>
        <v/>
      </c>
    </row>
    <row r="351">
      <c r="A351" s="199">
        <f>IFERROR(__xludf.DUMMYFUNCTION("""COMPUTED_VALUE"""),43496.0)</f>
        <v>43496</v>
      </c>
      <c r="B351" s="140">
        <f>IFERROR(__xludf.DUMMYFUNCTION("""COMPUTED_VALUE"""),1323362.0)</f>
        <v>1323362</v>
      </c>
      <c r="C351" s="140" t="str">
        <f>IFERROR(__xludf.DUMMYFUNCTION("""COMPUTED_VALUE"""),"EN")</f>
        <v>EN</v>
      </c>
      <c r="D351" t="str">
        <f>IFERROR(__xludf.DUMMYFUNCTION("""COMPUTED_VALUE"""),"SOLID Software Architecture: Complete Guide with Coding Examples")</f>
        <v>SOLID Software Architecture: Complete Guide with Coding Examples</v>
      </c>
      <c r="E351" t="str">
        <f>IFERROR(__xludf.DUMMYFUNCTION("""COMPUTED_VALUE"""),"Binary Brain")</f>
        <v>Binary Brain</v>
      </c>
      <c r="F351" t="str">
        <f>IFERROR(__xludf.DUMMYFUNCTION("""COMPUTED_VALUE"""),"Below Quality Standards- Low Rating")</f>
        <v>Below Quality Standards- Low Rating</v>
      </c>
      <c r="G351" t="str">
        <f>IFERROR(__xludf.DUMMYFUNCTION("""COMPUTED_VALUE"""),"Development")</f>
        <v>Development</v>
      </c>
      <c r="H351" t="str">
        <f>IFERROR(__xludf.DUMMYFUNCTION("""COMPUTED_VALUE"""),"Programming Languages")</f>
        <v>Programming Languages</v>
      </c>
      <c r="I351">
        <f>IFERROR(__xludf.DUMMYFUNCTION("""COMPUTED_VALUE"""),1236992.0)</f>
        <v>1236992</v>
      </c>
      <c r="J351" s="140" t="str">
        <f>IFERROR(__xludf.DUMMYFUNCTION("""COMPUTED_VALUE"""),"Software Architecture: Meta and SOLID Principles in C#")</f>
        <v>Software Architecture: Meta and SOLID Principles in C#</v>
      </c>
      <c r="L351" s="140" t="str">
        <f>IFERROR(__xludf.DUMMYFUNCTION("""COMPUTED_VALUE"""),"")</f>
        <v/>
      </c>
    </row>
    <row r="352">
      <c r="A352" s="199">
        <f>IFERROR(__xludf.DUMMYFUNCTION("""COMPUTED_VALUE"""),43496.0)</f>
        <v>43496</v>
      </c>
      <c r="B352" s="140">
        <f>IFERROR(__xludf.DUMMYFUNCTION("""COMPUTED_VALUE"""),342720.0)</f>
        <v>342720</v>
      </c>
      <c r="C352" s="140" t="str">
        <f>IFERROR(__xludf.DUMMYFUNCTION("""COMPUTED_VALUE"""),"EN")</f>
        <v>EN</v>
      </c>
      <c r="D352" t="str">
        <f>IFERROR(__xludf.DUMMYFUNCTION("""COMPUTED_VALUE"""),"VoiceTraining: You Can Speak With Confidence")</f>
        <v>VoiceTraining: You Can Speak With Confidence</v>
      </c>
      <c r="E352" t="str">
        <f>IFERROR(__xludf.DUMMYFUNCTION("""COMPUTED_VALUE"""),"TJ Walker")</f>
        <v>TJ Walker</v>
      </c>
      <c r="F352" t="str">
        <f>IFERROR(__xludf.DUMMYFUNCTION("""COMPUTED_VALUE"""),"Below Quality Standards- Outdated")</f>
        <v>Below Quality Standards- Outdated</v>
      </c>
      <c r="G352" t="str">
        <f>IFERROR(__xludf.DUMMYFUNCTION("""COMPUTED_VALUE"""),"Leadership &amp; Management")</f>
        <v>Leadership &amp; Management</v>
      </c>
      <c r="H352" t="str">
        <f>IFERROR(__xludf.DUMMYFUNCTION("""COMPUTED_VALUE"""),"Communication")</f>
        <v>Communication</v>
      </c>
      <c r="I352">
        <f>IFERROR(__xludf.DUMMYFUNCTION("""COMPUTED_VALUE"""),1802404.0)</f>
        <v>1802404</v>
      </c>
      <c r="J352" s="140" t="str">
        <f>IFERROR(__xludf.DUMMYFUNCTION("""COMPUTED_VALUE"""),"The Complete Communication Skills Master Class for Life")</f>
        <v>The Complete Communication Skills Master Class for Life</v>
      </c>
      <c r="L352" s="140" t="str">
        <f>IFERROR(__xludf.DUMMYFUNCTION("""COMPUTED_VALUE"""),"")</f>
        <v/>
      </c>
    </row>
    <row r="353">
      <c r="A353" s="199">
        <f>IFERROR(__xludf.DUMMYFUNCTION("""COMPUTED_VALUE"""),43496.0)</f>
        <v>43496</v>
      </c>
      <c r="B353" s="140">
        <f>IFERROR(__xludf.DUMMYFUNCTION("""COMPUTED_VALUE"""),1606640.0)</f>
        <v>1606640</v>
      </c>
      <c r="C353" s="140" t="str">
        <f>IFERROR(__xludf.DUMMYFUNCTION("""COMPUTED_VALUE"""),"EN")</f>
        <v>EN</v>
      </c>
      <c r="D353" t="str">
        <f>IFERROR(__xludf.DUMMYFUNCTION("""COMPUTED_VALUE"""),"Project Management Professional : the PMP in Four Weeks")</f>
        <v>Project Management Professional : the PMP in Four Weeks</v>
      </c>
      <c r="E353" t="str">
        <f>IFERROR(__xludf.DUMMYFUNCTION("""COMPUTED_VALUE"""),"Marcos Garcia")</f>
        <v>Marcos Garcia</v>
      </c>
      <c r="F353" t="str">
        <f>IFERROR(__xludf.DUMMYFUNCTION("""COMPUTED_VALUE"""),"Below Quality Standards- Low Rating")</f>
        <v>Below Quality Standards- Low Rating</v>
      </c>
      <c r="G353" t="str">
        <f>IFERROR(__xludf.DUMMYFUNCTION("""COMPUTED_VALUE"""),"Project Management &amp; Operations")</f>
        <v>Project Management &amp; Operations</v>
      </c>
      <c r="H353" t="str">
        <f>IFERROR(__xludf.DUMMYFUNCTION("""COMPUTED_VALUE"""),"Project Management Certifications")</f>
        <v>Project Management Certifications</v>
      </c>
      <c r="I353">
        <f>IFERROR(__xludf.DUMMYFUNCTION("""COMPUTED_VALUE"""),292612.0)</f>
        <v>292612</v>
      </c>
      <c r="J353" s="140" t="str">
        <f>IFERROR(__xludf.DUMMYFUNCTION("""COMPUTED_VALUE"""),"Project Management With MS Project - Scheduling Master Class")</f>
        <v>Project Management With MS Project - Scheduling Master Class</v>
      </c>
      <c r="L353" s="140" t="str">
        <f>IFERROR(__xludf.DUMMYFUNCTION("""COMPUTED_VALUE"""),"")</f>
        <v/>
      </c>
    </row>
    <row r="354">
      <c r="A354" s="199">
        <f>IFERROR(__xludf.DUMMYFUNCTION("""COMPUTED_VALUE"""),43496.0)</f>
        <v>43496</v>
      </c>
      <c r="B354" s="140">
        <f>IFERROR(__xludf.DUMMYFUNCTION("""COMPUTED_VALUE"""),1397654.0)</f>
        <v>1397654</v>
      </c>
      <c r="C354" s="140" t="str">
        <f>IFERROR(__xludf.DUMMYFUNCTION("""COMPUTED_VALUE"""),"EN")</f>
        <v>EN</v>
      </c>
      <c r="D354" t="str">
        <f>IFERROR(__xludf.DUMMYFUNCTION("""COMPUTED_VALUE"""),"The Complete Apache Tomcat Web Server Course")</f>
        <v>The Complete Apache Tomcat Web Server Course</v>
      </c>
      <c r="E354" t="str">
        <f>IFERROR(__xludf.DUMMYFUNCTION("""COMPUTED_VALUE"""),"Star Academy")</f>
        <v>Star Academy</v>
      </c>
      <c r="F354" t="str">
        <f>IFERROR(__xludf.DUMMYFUNCTION("""COMPUTED_VALUE"""),"Below Quality Standards- Low Rating")</f>
        <v>Below Quality Standards- Low Rating</v>
      </c>
      <c r="G354" t="str">
        <f>IFERROR(__xludf.DUMMYFUNCTION("""COMPUTED_VALUE"""),"Development")</f>
        <v>Development</v>
      </c>
      <c r="H354" t="str">
        <f>IFERROR(__xludf.DUMMYFUNCTION("""COMPUTED_VALUE"""),"Web Development")</f>
        <v>Web Development</v>
      </c>
      <c r="J354" s="140" t="str">
        <f>IFERROR(__xludf.DUMMYFUNCTION("""COMPUTED_VALUE"""),"")</f>
        <v/>
      </c>
      <c r="L354" s="140" t="str">
        <f>IFERROR(__xludf.DUMMYFUNCTION("""COMPUTED_VALUE"""),"")</f>
        <v/>
      </c>
    </row>
    <row r="355">
      <c r="A355" s="199">
        <f>IFERROR(__xludf.DUMMYFUNCTION("""COMPUTED_VALUE"""),43496.0)</f>
        <v>43496</v>
      </c>
      <c r="B355" s="140">
        <f>IFERROR(__xludf.DUMMYFUNCTION("""COMPUTED_VALUE"""),633444.0)</f>
        <v>633444</v>
      </c>
      <c r="C355" s="140" t="str">
        <f>IFERROR(__xludf.DUMMYFUNCTION("""COMPUTED_VALUE"""),"EN")</f>
        <v>EN</v>
      </c>
      <c r="D355" t="str">
        <f>IFERROR(__xludf.DUMMYFUNCTION("""COMPUTED_VALUE"""),"Become an Awesome Instructional Designer")</f>
        <v>Become an Awesome Instructional Designer</v>
      </c>
      <c r="E355" t="str">
        <f>IFERROR(__xludf.DUMMYFUNCTION("""COMPUTED_VALUE"""),"Belvista Studios")</f>
        <v>Belvista Studios</v>
      </c>
      <c r="F355" t="str">
        <f>IFERROR(__xludf.DUMMYFUNCTION("""COMPUTED_VALUE"""),"Below Quality Standards- Low Rating")</f>
        <v>Below Quality Standards- Low Rating</v>
      </c>
      <c r="G355" t="str">
        <f>IFERROR(__xludf.DUMMYFUNCTION("""COMPUTED_VALUE"""),"Human Resources")</f>
        <v>Human Resources</v>
      </c>
      <c r="H355" t="str">
        <f>IFERROR(__xludf.DUMMYFUNCTION("""COMPUTED_VALUE"""),"Learning &amp; Development")</f>
        <v>Learning &amp; Development</v>
      </c>
      <c r="I355">
        <f>IFERROR(__xludf.DUMMYFUNCTION("""COMPUTED_VALUE"""),1342360.0)</f>
        <v>1342360</v>
      </c>
      <c r="J355" s="140" t="str">
        <f>IFERROR(__xludf.DUMMYFUNCTION("""COMPUTED_VALUE"""),"Instructional Design Pro (Part 1): No Beginners Allowed!")</f>
        <v>Instructional Design Pro (Part 1): No Beginners Allowed!</v>
      </c>
      <c r="K355" s="140">
        <f>IFERROR(__xludf.DUMMYFUNCTION("""COMPUTED_VALUE"""),832716.0)</f>
        <v>832716</v>
      </c>
      <c r="L355" s="140" t="str">
        <f>IFERROR(__xludf.DUMMYFUNCTION("""COMPUTED_VALUE"""),"LX Design 101: Teach Anything in the Workplace!")</f>
        <v>LX Design 101: Teach Anything in the Workplace!</v>
      </c>
    </row>
    <row r="356">
      <c r="A356" s="199">
        <f>IFERROR(__xludf.DUMMYFUNCTION("""COMPUTED_VALUE"""),43496.0)</f>
        <v>43496</v>
      </c>
      <c r="B356" s="140">
        <f>IFERROR(__xludf.DUMMYFUNCTION("""COMPUTED_VALUE"""),1231104.0)</f>
        <v>1231104</v>
      </c>
      <c r="C356" s="140" t="str">
        <f>IFERROR(__xludf.DUMMYFUNCTION("""COMPUTED_VALUE"""),"EN")</f>
        <v>EN</v>
      </c>
      <c r="D356" t="str">
        <f>IFERROR(__xludf.DUMMYFUNCTION("""COMPUTED_VALUE"""),"Excel Spreadsheet Auditing Part 1")</f>
        <v>Excel Spreadsheet Auditing Part 1</v>
      </c>
      <c r="E356" t="str">
        <f>IFERROR(__xludf.DUMMYFUNCTION("""COMPUTED_VALUE"""),"Illumeo Learning")</f>
        <v>Illumeo Learning</v>
      </c>
      <c r="F356" t="str">
        <f>IFERROR(__xludf.DUMMYFUNCTION("""COMPUTED_VALUE"""),"Below Quality Standards- Low Rating")</f>
        <v>Below Quality Standards- Low Rating</v>
      </c>
      <c r="G356" t="str">
        <f>IFERROR(__xludf.DUMMYFUNCTION("""COMPUTED_VALUE"""),"Office Productivity")</f>
        <v>Office Productivity</v>
      </c>
      <c r="H356" t="str">
        <f>IFERROR(__xludf.DUMMYFUNCTION("""COMPUTED_VALUE"""),"Spreadsheets")</f>
        <v>Spreadsheets</v>
      </c>
      <c r="I356">
        <f>IFERROR(__xludf.DUMMYFUNCTION("""COMPUTED_VALUE"""),516446.0)</f>
        <v>516446</v>
      </c>
      <c r="J356" s="140" t="str">
        <f>IFERROR(__xludf.DUMMYFUNCTION("""COMPUTED_VALUE"""),"Microsoft Excel - Advanced Excel Formulas &amp; Functions")</f>
        <v>Microsoft Excel - Advanced Excel Formulas &amp; Functions</v>
      </c>
      <c r="K356" s="140">
        <f>IFERROR(__xludf.DUMMYFUNCTION("""COMPUTED_VALUE"""),948866.0)</f>
        <v>948866</v>
      </c>
      <c r="L356" s="140" t="str">
        <f>IFERROR(__xludf.DUMMYFUNCTION("""COMPUTED_VALUE"""),"Excel Essentials: The Complete Excel Series - Level 1, 2 &amp; 3")</f>
        <v>Excel Essentials: The Complete Excel Series - Level 1, 2 &amp; 3</v>
      </c>
    </row>
    <row r="357">
      <c r="A357" s="199">
        <f>IFERROR(__xludf.DUMMYFUNCTION("""COMPUTED_VALUE"""),43496.0)</f>
        <v>43496</v>
      </c>
      <c r="B357" s="140">
        <f>IFERROR(__xludf.DUMMYFUNCTION("""COMPUTED_VALUE"""),1329304.0)</f>
        <v>1329304</v>
      </c>
      <c r="C357" s="140" t="str">
        <f>IFERROR(__xludf.DUMMYFUNCTION("""COMPUTED_VALUE"""),"EN")</f>
        <v>EN</v>
      </c>
      <c r="D357" t="str">
        <f>IFERROR(__xludf.DUMMYFUNCTION("""COMPUTED_VALUE"""),"Cryptocurrency Wallets Course: Secure Your Cryptos Safely!")</f>
        <v>Cryptocurrency Wallets Course: Secure Your Cryptos Safely!</v>
      </c>
      <c r="E357" t="str">
        <f>IFERROR(__xludf.DUMMYFUNCTION("""COMPUTED_VALUE"""),"Suppoman ™")</f>
        <v>Suppoman ™</v>
      </c>
      <c r="F357" t="str">
        <f>IFERROR(__xludf.DUMMYFUNCTION("""COMPUTED_VALUE"""),"Below Quality Standards- Low Rating")</f>
        <v>Below Quality Standards- Low Rating</v>
      </c>
      <c r="G357" t="str">
        <f>IFERROR(__xludf.DUMMYFUNCTION("""COMPUTED_VALUE"""),"Finance &amp; Accounting")</f>
        <v>Finance &amp; Accounting</v>
      </c>
      <c r="H357" t="str">
        <f>IFERROR(__xludf.DUMMYFUNCTION("""COMPUTED_VALUE"""),"Investing &amp; Trading")</f>
        <v>Investing &amp; Trading</v>
      </c>
      <c r="I357">
        <f>IFERROR(__xludf.DUMMYFUNCTION("""COMPUTED_VALUE"""),1664822.0)</f>
        <v>1664822</v>
      </c>
      <c r="J357" s="140" t="str">
        <f>IFERROR(__xludf.DUMMYFUNCTION("""COMPUTED_VALUE"""),"Bitcoin and Cryptocurrency Bootcamp")</f>
        <v>Bitcoin and Cryptocurrency Bootcamp</v>
      </c>
      <c r="L357" s="140" t="str">
        <f>IFERROR(__xludf.DUMMYFUNCTION("""COMPUTED_VALUE"""),"")</f>
        <v/>
      </c>
    </row>
    <row r="358">
      <c r="A358" s="199">
        <f>IFERROR(__xludf.DUMMYFUNCTION("""COMPUTED_VALUE"""),43496.0)</f>
        <v>43496</v>
      </c>
      <c r="B358" s="140">
        <f>IFERROR(__xludf.DUMMYFUNCTION("""COMPUTED_VALUE"""),937586.0)</f>
        <v>937586</v>
      </c>
      <c r="C358" s="140" t="str">
        <f>IFERROR(__xludf.DUMMYFUNCTION("""COMPUTED_VALUE"""),"EN")</f>
        <v>EN</v>
      </c>
      <c r="D358" t="str">
        <f>IFERROR(__xludf.DUMMYFUNCTION("""COMPUTED_VALUE"""),"Ruby on Rails 5 - BDD, RSpec and Capybara")</f>
        <v>Ruby on Rails 5 - BDD, RSpec and Capybara</v>
      </c>
      <c r="E358" t="str">
        <f>IFERROR(__xludf.DUMMYFUNCTION("""COMPUTED_VALUE"""),"Mashrur Hossain")</f>
        <v>Mashrur Hossain</v>
      </c>
      <c r="F358" t="str">
        <f>IFERROR(__xludf.DUMMYFUNCTION("""COMPUTED_VALUE"""),"Below Quality Standards- Low Rating")</f>
        <v>Below Quality Standards- Low Rating</v>
      </c>
      <c r="G358" t="str">
        <f>IFERROR(__xludf.DUMMYFUNCTION("""COMPUTED_VALUE"""),"Development")</f>
        <v>Development</v>
      </c>
      <c r="H358" t="str">
        <f>IFERROR(__xludf.DUMMYFUNCTION("""COMPUTED_VALUE"""),"Web Development")</f>
        <v>Web Development</v>
      </c>
      <c r="I358">
        <f>IFERROR(__xludf.DUMMYFUNCTION("""COMPUTED_VALUE"""),519442.0)</f>
        <v>519442</v>
      </c>
      <c r="J358" s="140" t="str">
        <f>IFERROR(__xludf.DUMMYFUNCTION("""COMPUTED_VALUE"""),"The Complete Ruby on Rails Developer Course")</f>
        <v>The Complete Ruby on Rails Developer Course</v>
      </c>
      <c r="L358" s="140" t="str">
        <f>IFERROR(__xludf.DUMMYFUNCTION("""COMPUTED_VALUE"""),"")</f>
        <v/>
      </c>
    </row>
    <row r="359">
      <c r="A359" s="199">
        <f>IFERROR(__xludf.DUMMYFUNCTION("""COMPUTED_VALUE"""),43496.0)</f>
        <v>43496</v>
      </c>
      <c r="B359" s="140">
        <f>IFERROR(__xludf.DUMMYFUNCTION("""COMPUTED_VALUE"""),178602.0)</f>
        <v>178602</v>
      </c>
      <c r="C359" s="140" t="str">
        <f>IFERROR(__xludf.DUMMYFUNCTION("""COMPUTED_VALUE"""),"EN")</f>
        <v>EN</v>
      </c>
      <c r="D359" t="str">
        <f>IFERROR(__xludf.DUMMYFUNCTION("""COMPUTED_VALUE"""),"Capital Market Road Map")</f>
        <v>Capital Market Road Map</v>
      </c>
      <c r="E359" t="str">
        <f>IFERROR(__xludf.DUMMYFUNCTION("""COMPUTED_VALUE"""),"Starweaver Group")</f>
        <v>Starweaver Group</v>
      </c>
      <c r="F359" t="str">
        <f>IFERROR(__xludf.DUMMYFUNCTION("""COMPUTED_VALUE"""),"Below Quality Standards- Low Rating")</f>
        <v>Below Quality Standards- Low Rating</v>
      </c>
      <c r="G359" t="str">
        <f>IFERROR(__xludf.DUMMYFUNCTION("""COMPUTED_VALUE"""),"Finance &amp; Accounting")</f>
        <v>Finance &amp; Accounting</v>
      </c>
      <c r="H359" t="str">
        <f>IFERROR(__xludf.DUMMYFUNCTION("""COMPUTED_VALUE"""),"Investing &amp; Trading")</f>
        <v>Investing &amp; Trading</v>
      </c>
      <c r="I359">
        <f>IFERROR(__xludf.DUMMYFUNCTION("""COMPUTED_VALUE"""),169662.0)</f>
        <v>169662</v>
      </c>
      <c r="J359" s="140" t="str">
        <f>IFERROR(__xludf.DUMMYFUNCTION("""COMPUTED_VALUE"""),"Capital Market Immersion")</f>
        <v>Capital Market Immersion</v>
      </c>
      <c r="L359" s="140" t="str">
        <f>IFERROR(__xludf.DUMMYFUNCTION("""COMPUTED_VALUE"""),"")</f>
        <v/>
      </c>
    </row>
    <row r="360">
      <c r="A360" s="199">
        <f>IFERROR(__xludf.DUMMYFUNCTION("""COMPUTED_VALUE"""),43496.0)</f>
        <v>43496</v>
      </c>
      <c r="B360" s="140">
        <f>IFERROR(__xludf.DUMMYFUNCTION("""COMPUTED_VALUE"""),1387970.0)</f>
        <v>1387970</v>
      </c>
      <c r="C360" s="140" t="str">
        <f>IFERROR(__xludf.DUMMYFUNCTION("""COMPUTED_VALUE"""),"EN")</f>
        <v>EN</v>
      </c>
      <c r="D360" t="str">
        <f>IFERROR(__xludf.DUMMYFUNCTION("""COMPUTED_VALUE"""),"Master Dynamic Gantt charts and amazing Time lines In Excel")</f>
        <v>Master Dynamic Gantt charts and amazing Time lines In Excel</v>
      </c>
      <c r="E360" t="str">
        <f>IFERROR(__xludf.DUMMYFUNCTION("""COMPUTED_VALUE"""),"Amey Vidvans")</f>
        <v>Amey Vidvans</v>
      </c>
      <c r="F360" t="str">
        <f>IFERROR(__xludf.DUMMYFUNCTION("""COMPUTED_VALUE"""),"Below Quality Standards- Low Rating")</f>
        <v>Below Quality Standards- Low Rating</v>
      </c>
      <c r="G360" t="str">
        <f>IFERROR(__xludf.DUMMYFUNCTION("""COMPUTED_VALUE"""),"Office Productivity")</f>
        <v>Office Productivity</v>
      </c>
      <c r="H360" t="str">
        <f>IFERROR(__xludf.DUMMYFUNCTION("""COMPUTED_VALUE"""),"Spreadsheets")</f>
        <v>Spreadsheets</v>
      </c>
      <c r="I360">
        <f>IFERROR(__xludf.DUMMYFUNCTION("""COMPUTED_VALUE"""),636822.0)</f>
        <v>636822</v>
      </c>
      <c r="J360" s="140" t="str">
        <f>IFERROR(__xludf.DUMMYFUNCTION("""COMPUTED_VALUE"""),"Microsoft Excel - Data Visualization, Excel Charts &amp; Graphs")</f>
        <v>Microsoft Excel - Data Visualization, Excel Charts &amp; Graphs</v>
      </c>
      <c r="L360" s="140" t="str">
        <f>IFERROR(__xludf.DUMMYFUNCTION("""COMPUTED_VALUE"""),"")</f>
        <v/>
      </c>
    </row>
    <row r="361">
      <c r="A361" s="199">
        <f>IFERROR(__xludf.DUMMYFUNCTION("""COMPUTED_VALUE"""),43496.0)</f>
        <v>43496</v>
      </c>
      <c r="B361" s="140">
        <f>IFERROR(__xludf.DUMMYFUNCTION("""COMPUTED_VALUE"""),1564442.0)</f>
        <v>1564442</v>
      </c>
      <c r="C361" s="140" t="str">
        <f>IFERROR(__xludf.DUMMYFUNCTION("""COMPUTED_VALUE"""),"EN")</f>
        <v>EN</v>
      </c>
      <c r="D361" t="str">
        <f>IFERROR(__xludf.DUMMYFUNCTION("""COMPUTED_VALUE"""),"Email Productivity for Business Professionals")</f>
        <v>Email Productivity for Business Professionals</v>
      </c>
      <c r="E361" t="str">
        <f>IFERROR(__xludf.DUMMYFUNCTION("""COMPUTED_VALUE"""),"Jack Hyman")</f>
        <v>Jack Hyman</v>
      </c>
      <c r="F361" t="str">
        <f>IFERROR(__xludf.DUMMYFUNCTION("""COMPUTED_VALUE"""),"Below Quality Standards- Low Rating")</f>
        <v>Below Quality Standards- Low Rating</v>
      </c>
      <c r="G361" t="str">
        <f>IFERROR(__xludf.DUMMYFUNCTION("""COMPUTED_VALUE"""),"Office Productivity")</f>
        <v>Office Productivity</v>
      </c>
      <c r="H361" t="str">
        <f>IFERROR(__xludf.DUMMYFUNCTION("""COMPUTED_VALUE"""),"Email &amp; Productivity")</f>
        <v>Email &amp; Productivity</v>
      </c>
      <c r="I361">
        <f>IFERROR(__xludf.DUMMYFUNCTION("""COMPUTED_VALUE"""),1209910.0)</f>
        <v>1209910</v>
      </c>
      <c r="J361" s="140" t="str">
        <f>IFERROR(__xludf.DUMMYFUNCTION("""COMPUTED_VALUE"""),"Supercharge Your Email Productivity")</f>
        <v>Supercharge Your Email Productivity</v>
      </c>
      <c r="L361" s="140" t="str">
        <f>IFERROR(__xludf.DUMMYFUNCTION("""COMPUTED_VALUE"""),"")</f>
        <v/>
      </c>
    </row>
    <row r="362">
      <c r="A362" s="199">
        <f>IFERROR(__xludf.DUMMYFUNCTION("""COMPUTED_VALUE"""),43496.0)</f>
        <v>43496</v>
      </c>
      <c r="B362" s="140">
        <f>IFERROR(__xludf.DUMMYFUNCTION("""COMPUTED_VALUE"""),442474.0)</f>
        <v>442474</v>
      </c>
      <c r="C362" s="140" t="str">
        <f>IFERROR(__xludf.DUMMYFUNCTION("""COMPUTED_VALUE"""),"EN")</f>
        <v>EN</v>
      </c>
      <c r="D362" t="str">
        <f>IFERROR(__xludf.DUMMYFUNCTION("""COMPUTED_VALUE"""),"Microsoft SharePoint 2013 Foundation and Server 2013 Bundle")</f>
        <v>Microsoft SharePoint 2013 Foundation and Server 2013 Bundle</v>
      </c>
      <c r="E362" t="str">
        <f>IFERROR(__xludf.DUMMYFUNCTION("""COMPUTED_VALUE"""),"Simon Sez IT")</f>
        <v>Simon Sez IT</v>
      </c>
      <c r="F362" t="str">
        <f>IFERROR(__xludf.DUMMYFUNCTION("""COMPUTED_VALUE"""),"Below Quality Standards- Low Rating")</f>
        <v>Below Quality Standards- Low Rating</v>
      </c>
      <c r="G362" t="str">
        <f>IFERROR(__xludf.DUMMYFUNCTION("""COMPUTED_VALUE"""),"Office Productivity")</f>
        <v>Office Productivity</v>
      </c>
      <c r="H362" t="str">
        <f>IFERROR(__xludf.DUMMYFUNCTION("""COMPUTED_VALUE"""),"Collaboration")</f>
        <v>Collaboration</v>
      </c>
      <c r="I362">
        <f>IFERROR(__xludf.DUMMYFUNCTION("""COMPUTED_VALUE"""),775346.0)</f>
        <v>775346</v>
      </c>
      <c r="J362" s="140" t="str">
        <f>IFERROR(__xludf.DUMMYFUNCTION("""COMPUTED_VALUE"""),"SharePoint 2013 Complete Training")</f>
        <v>SharePoint 2013 Complete Training</v>
      </c>
      <c r="K362" s="140">
        <f>IFERROR(__xludf.DUMMYFUNCTION("""COMPUTED_VALUE"""),505516.0)</f>
        <v>505516</v>
      </c>
      <c r="L362" s="140" t="str">
        <f>IFERROR(__xludf.DUMMYFUNCTION("""COMPUTED_VALUE"""),"SharePoint 2013: Site Manager")</f>
        <v>SharePoint 2013: Site Manager</v>
      </c>
    </row>
    <row r="363">
      <c r="A363" s="199">
        <f>IFERROR(__xludf.DUMMYFUNCTION("""COMPUTED_VALUE"""),43496.0)</f>
        <v>43496</v>
      </c>
      <c r="B363" s="140">
        <f>IFERROR(__xludf.DUMMYFUNCTION("""COMPUTED_VALUE"""),1091786.0)</f>
        <v>1091786</v>
      </c>
      <c r="C363" s="140" t="str">
        <f>IFERROR(__xludf.DUMMYFUNCTION("""COMPUTED_VALUE"""),"EN")</f>
        <v>EN</v>
      </c>
      <c r="D363" t="str">
        <f>IFERROR(__xludf.DUMMYFUNCTION("""COMPUTED_VALUE"""),"SAS SQL: SQL for the SAS Programmer/Analyst #2")</f>
        <v>SAS SQL: SQL for the SAS Programmer/Analyst #2</v>
      </c>
      <c r="E363" t="str">
        <f>IFERROR(__xludf.DUMMYFUNCTION("""COMPUTED_VALUE"""),"Ermin Dedic")</f>
        <v>Ermin Dedic</v>
      </c>
      <c r="F363" t="str">
        <f>IFERROR(__xludf.DUMMYFUNCTION("""COMPUTED_VALUE"""),"Below Quality Standards- 3 Flags")</f>
        <v>Below Quality Standards- 3 Flags</v>
      </c>
      <c r="G363" t="str">
        <f>IFERROR(__xludf.DUMMYFUNCTION("""COMPUTED_VALUE"""),"Data Science")</f>
        <v>Data Science</v>
      </c>
      <c r="H363" t="str">
        <f>IFERROR(__xludf.DUMMYFUNCTION("""COMPUTED_VALUE"""),"Analytics")</f>
        <v>Analytics</v>
      </c>
      <c r="J363" s="140" t="str">
        <f>IFERROR(__xludf.DUMMYFUNCTION("""COMPUTED_VALUE"""),"")</f>
        <v/>
      </c>
      <c r="L363" s="140" t="str">
        <f>IFERROR(__xludf.DUMMYFUNCTION("""COMPUTED_VALUE"""),"")</f>
        <v/>
      </c>
    </row>
    <row r="364">
      <c r="A364" s="199">
        <f>IFERROR(__xludf.DUMMYFUNCTION("""COMPUTED_VALUE"""),43496.0)</f>
        <v>43496</v>
      </c>
      <c r="B364" s="140">
        <f>IFERROR(__xludf.DUMMYFUNCTION("""COMPUTED_VALUE"""),386242.0)</f>
        <v>386242</v>
      </c>
      <c r="C364" s="140" t="str">
        <f>IFERROR(__xludf.DUMMYFUNCTION("""COMPUTED_VALUE"""),"EN")</f>
        <v>EN</v>
      </c>
      <c r="D364" t="str">
        <f>IFERROR(__xludf.DUMMYFUNCTION("""COMPUTED_VALUE"""),"Software testing and Automation of APIs with UFT/QTP")</f>
        <v>Software testing and Automation of APIs with UFT/QTP</v>
      </c>
      <c r="E364" t="str">
        <f>IFERROR(__xludf.DUMMYFUNCTION("""COMPUTED_VALUE"""),"QTP Tutorial")</f>
        <v>QTP Tutorial</v>
      </c>
      <c r="F364" t="str">
        <f>IFERROR(__xludf.DUMMYFUNCTION("""COMPUTED_VALUE"""),"Below Quality Standards- 3 Flags")</f>
        <v>Below Quality Standards- 3 Flags</v>
      </c>
      <c r="G364" t="str">
        <f>IFERROR(__xludf.DUMMYFUNCTION("""COMPUTED_VALUE"""),"Development")</f>
        <v>Development</v>
      </c>
      <c r="H364" t="str">
        <f>IFERROR(__xludf.DUMMYFUNCTION("""COMPUTED_VALUE"""),"Software Testing")</f>
        <v>Software Testing</v>
      </c>
      <c r="I364">
        <f>IFERROR(__xludf.DUMMYFUNCTION("""COMPUTED_VALUE"""),246392.0)</f>
        <v>246392</v>
      </c>
      <c r="J364" s="140" t="str">
        <f>IFERROR(__xludf.DUMMYFUNCTION("""COMPUTED_VALUE"""),"WebServices/Rest API Testing with SoapUI +Real time Projects")</f>
        <v>WebServices/Rest API Testing with SoapUI +Real time Projects</v>
      </c>
      <c r="L364" s="140" t="str">
        <f>IFERROR(__xludf.DUMMYFUNCTION("""COMPUTED_VALUE"""),"")</f>
        <v/>
      </c>
    </row>
    <row r="365">
      <c r="A365" s="199">
        <f>IFERROR(__xludf.DUMMYFUNCTION("""COMPUTED_VALUE"""),43496.0)</f>
        <v>43496</v>
      </c>
      <c r="B365" s="140">
        <f>IFERROR(__xludf.DUMMYFUNCTION("""COMPUTED_VALUE"""),540306.0)</f>
        <v>540306</v>
      </c>
      <c r="C365" s="140" t="str">
        <f>IFERROR(__xludf.DUMMYFUNCTION("""COMPUTED_VALUE"""),"EN")</f>
        <v>EN</v>
      </c>
      <c r="D365" t="str">
        <f>IFERROR(__xludf.DUMMYFUNCTION("""COMPUTED_VALUE"""),"Writing a Professional Business Plan: The Dos and Don'ts")</f>
        <v>Writing a Professional Business Plan: The Dos and Don'ts</v>
      </c>
      <c r="E365" t="str">
        <f>IFERROR(__xludf.DUMMYFUNCTION("""COMPUTED_VALUE"""),"The Main Street Entrepreneur")</f>
        <v>The Main Street Entrepreneur</v>
      </c>
      <c r="F365" t="str">
        <f>IFERROR(__xludf.DUMMYFUNCTION("""COMPUTED_VALUE"""),"Below Quality Standards- 3 Flags")</f>
        <v>Below Quality Standards- 3 Flags</v>
      </c>
      <c r="G365" t="str">
        <f>IFERROR(__xludf.DUMMYFUNCTION("""COMPUTED_VALUE"""),"Leadership &amp; Management")</f>
        <v>Leadership &amp; Management</v>
      </c>
      <c r="H365" t="str">
        <f>IFERROR(__xludf.DUMMYFUNCTION("""COMPUTED_VALUE"""),"Strategy")</f>
        <v>Strategy</v>
      </c>
      <c r="I365">
        <f>IFERROR(__xludf.DUMMYFUNCTION("""COMPUTED_VALUE"""),972044.0)</f>
        <v>972044</v>
      </c>
      <c r="J365" s="140" t="str">
        <f>IFERROR(__xludf.DUMMYFUNCTION("""COMPUTED_VALUE"""),"Mergers &amp; Acquisitions - M&amp;A, Valuation &amp; Selling a Company")</f>
        <v>Mergers &amp; Acquisitions - M&amp;A, Valuation &amp; Selling a Company</v>
      </c>
      <c r="L365" s="140" t="str">
        <f>IFERROR(__xludf.DUMMYFUNCTION("""COMPUTED_VALUE"""),"")</f>
        <v/>
      </c>
    </row>
    <row r="366">
      <c r="A366" s="199">
        <f>IFERROR(__xludf.DUMMYFUNCTION("""COMPUTED_VALUE"""),43496.0)</f>
        <v>43496</v>
      </c>
      <c r="B366" s="140">
        <f>IFERROR(__xludf.DUMMYFUNCTION("""COMPUTED_VALUE"""),714446.0)</f>
        <v>714446</v>
      </c>
      <c r="C366" s="140" t="str">
        <f>IFERROR(__xludf.DUMMYFUNCTION("""COMPUTED_VALUE"""),"EN")</f>
        <v>EN</v>
      </c>
      <c r="D366" t="str">
        <f>IFERROR(__xludf.DUMMYFUNCTION("""COMPUTED_VALUE"""),"Learn How To Become an Azure SQL Database Architect")</f>
        <v>Learn How To Become an Azure SQL Database Architect</v>
      </c>
      <c r="E366" t="str">
        <f>IFERROR(__xludf.DUMMYFUNCTION("""COMPUTED_VALUE"""),"Mike West")</f>
        <v>Mike West</v>
      </c>
      <c r="F366" t="str">
        <f>IFERROR(__xludf.DUMMYFUNCTION("""COMPUTED_VALUE"""),"Below Quality Standards- 3 Flags")</f>
        <v>Below Quality Standards- 3 Flags</v>
      </c>
      <c r="G366" t="str">
        <f>IFERROR(__xludf.DUMMYFUNCTION("""COMPUTED_VALUE"""),"IT Operations")</f>
        <v>IT Operations</v>
      </c>
      <c r="H366" t="str">
        <f>IFERROR(__xludf.DUMMYFUNCTION("""COMPUTED_VALUE"""),"Database Administration")</f>
        <v>Database Administration</v>
      </c>
      <c r="I366">
        <f>IFERROR(__xludf.DUMMYFUNCTION("""COMPUTED_VALUE"""),802578.0)</f>
        <v>802578</v>
      </c>
      <c r="J366" s="140" t="str">
        <f>IFERROR(__xludf.DUMMYFUNCTION("""COMPUTED_VALUE"""),"AZ-303 Azure Architecture Technologies Exam Prep 2021")</f>
        <v>AZ-303 Azure Architecture Technologies Exam Prep 2021</v>
      </c>
      <c r="L366" s="140" t="str">
        <f>IFERROR(__xludf.DUMMYFUNCTION("""COMPUTED_VALUE"""),"")</f>
        <v/>
      </c>
    </row>
    <row r="367">
      <c r="A367" s="199">
        <f>IFERROR(__xludf.DUMMYFUNCTION("""COMPUTED_VALUE"""),43496.0)</f>
        <v>43496</v>
      </c>
      <c r="B367" s="140">
        <f>IFERROR(__xludf.DUMMYFUNCTION("""COMPUTED_VALUE"""),946414.0)</f>
        <v>946414</v>
      </c>
      <c r="C367" s="140" t="str">
        <f>IFERROR(__xludf.DUMMYFUNCTION("""COMPUTED_VALUE"""),"EN")</f>
        <v>EN</v>
      </c>
      <c r="D367" t="str">
        <f>IFERROR(__xludf.DUMMYFUNCTION("""COMPUTED_VALUE"""),"Essential influencing skills for the workplace")</f>
        <v>Essential influencing skills for the workplace</v>
      </c>
      <c r="E367" t="str">
        <f>IFERROR(__xludf.DUMMYFUNCTION("""COMPUTED_VALUE"""),"Skill Boosters")</f>
        <v>Skill Boosters</v>
      </c>
      <c r="F367" t="str">
        <f>IFERROR(__xludf.DUMMYFUNCTION("""COMPUTED_VALUE"""),"Below Quality Standards- 3 Flags")</f>
        <v>Below Quality Standards- 3 Flags</v>
      </c>
      <c r="G367" t="str">
        <f>IFERROR(__xludf.DUMMYFUNCTION("""COMPUTED_VALUE"""),"Leadership &amp; Management")</f>
        <v>Leadership &amp; Management</v>
      </c>
      <c r="H367" t="str">
        <f>IFERROR(__xludf.DUMMYFUNCTION("""COMPUTED_VALUE"""),"Leadership")</f>
        <v>Leadership</v>
      </c>
      <c r="I367">
        <f>IFERROR(__xludf.DUMMYFUNCTION("""COMPUTED_VALUE"""),192004.0)</f>
        <v>192004</v>
      </c>
      <c r="J367" s="140" t="str">
        <f>IFERROR(__xludf.DUMMYFUNCTION("""COMPUTED_VALUE"""),"")</f>
        <v/>
      </c>
      <c r="K367" s="140">
        <f>IFERROR(__xludf.DUMMYFUNCTION("""COMPUTED_VALUE"""),1415562.0)</f>
        <v>1415562</v>
      </c>
      <c r="L367" s="140" t="str">
        <f>IFERROR(__xludf.DUMMYFUNCTION("""COMPUTED_VALUE"""),"Building Influence at Work")</f>
        <v>Building Influence at Work</v>
      </c>
    </row>
    <row r="368">
      <c r="A368" s="199">
        <f>IFERROR(__xludf.DUMMYFUNCTION("""COMPUTED_VALUE"""),43496.0)</f>
        <v>43496</v>
      </c>
      <c r="B368" s="140">
        <f>IFERROR(__xludf.DUMMYFUNCTION("""COMPUTED_VALUE"""),292290.0)</f>
        <v>292290</v>
      </c>
      <c r="C368" s="140" t="str">
        <f>IFERROR(__xludf.DUMMYFUNCTION("""COMPUTED_VALUE"""),"EN")</f>
        <v>EN</v>
      </c>
      <c r="D368" t="str">
        <f>IFERROR(__xludf.DUMMYFUNCTION("""COMPUTED_VALUE"""),"Instructional Design for Corporate Learning and Development")</f>
        <v>Instructional Design for Corporate Learning and Development</v>
      </c>
      <c r="E368" t="str">
        <f>IFERROR(__xludf.DUMMYFUNCTION("""COMPUTED_VALUE"""),"Jacqueline Seidel")</f>
        <v>Jacqueline Seidel</v>
      </c>
      <c r="F368" t="str">
        <f>IFERROR(__xludf.DUMMYFUNCTION("""COMPUTED_VALUE"""),"Below Quality Standards- 3 Flags")</f>
        <v>Below Quality Standards- 3 Flags</v>
      </c>
      <c r="G368" t="str">
        <f>IFERROR(__xludf.DUMMYFUNCTION("""COMPUTED_VALUE"""),"Human Resources")</f>
        <v>Human Resources</v>
      </c>
      <c r="H368" t="str">
        <f>IFERROR(__xludf.DUMMYFUNCTION("""COMPUTED_VALUE"""),"Learning &amp; Development")</f>
        <v>Learning &amp; Development</v>
      </c>
      <c r="I368">
        <f>IFERROR(__xludf.DUMMYFUNCTION("""COMPUTED_VALUE"""),591930.0)</f>
        <v>591930</v>
      </c>
      <c r="J368" s="140" t="str">
        <f>IFERROR(__xludf.DUMMYFUNCTION("""COMPUTED_VALUE"""),"Become a SuperLearner® 2: Learn Speed Reading &amp; Boost Memory")</f>
        <v>Become a SuperLearner® 2: Learn Speed Reading &amp; Boost Memory</v>
      </c>
      <c r="K368" s="140">
        <f>IFERROR(__xludf.DUMMYFUNCTION("""COMPUTED_VALUE"""),1330590.0)</f>
        <v>1330590</v>
      </c>
      <c r="L368" s="140" t="str">
        <f>IFERROR(__xludf.DUMMYFUNCTION("""COMPUTED_VALUE"""),"Become A Learning Machine 2.0: Read 300 Books This Year")</f>
        <v>Become A Learning Machine 2.0: Read 300 Books This Year</v>
      </c>
    </row>
    <row r="369">
      <c r="A369" s="199">
        <f>IFERROR(__xludf.DUMMYFUNCTION("""COMPUTED_VALUE"""),43496.0)</f>
        <v>43496</v>
      </c>
      <c r="B369" s="140">
        <f>IFERROR(__xludf.DUMMYFUNCTION("""COMPUTED_VALUE"""),1101226.0)</f>
        <v>1101226</v>
      </c>
      <c r="C369" s="140" t="str">
        <f>IFERROR(__xludf.DUMMYFUNCTION("""COMPUTED_VALUE"""),"EN")</f>
        <v>EN</v>
      </c>
      <c r="D369" t="str">
        <f>IFERROR(__xludf.DUMMYFUNCTION("""COMPUTED_VALUE"""),"Mobile App Marketing Masterclass")</f>
        <v>Mobile App Marketing Masterclass</v>
      </c>
      <c r="E369" t="str">
        <f>IFERROR(__xludf.DUMMYFUNCTION("""COMPUTED_VALUE"""),"Arthur Policarpio")</f>
        <v>Arthur Policarpio</v>
      </c>
      <c r="F369" t="str">
        <f>IFERROR(__xludf.DUMMYFUNCTION("""COMPUTED_VALUE"""),"Below Quality Standards- 3 Flags")</f>
        <v>Below Quality Standards- 3 Flags</v>
      </c>
      <c r="G369" t="str">
        <f>IFERROR(__xludf.DUMMYFUNCTION("""COMPUTED_VALUE"""),"Marketing")</f>
        <v>Marketing</v>
      </c>
      <c r="H369" t="str">
        <f>IFERROR(__xludf.DUMMYFUNCTION("""COMPUTED_VALUE"""),"Video &amp; Mobile Marketing")</f>
        <v>Video &amp; Mobile Marketing</v>
      </c>
      <c r="I369">
        <f>IFERROR(__xludf.DUMMYFUNCTION("""COMPUTED_VALUE"""),1427000.0)</f>
        <v>1427000</v>
      </c>
      <c r="J369" s="140" t="str">
        <f>IFERROR(__xludf.DUMMYFUNCTION("""COMPUTED_VALUE"""),"")</f>
        <v/>
      </c>
      <c r="K369" s="140">
        <f>IFERROR(__xludf.DUMMYFUNCTION("""COMPUTED_VALUE"""),1185006.0)</f>
        <v>1185006</v>
      </c>
      <c r="L369" s="140" t="str">
        <f>IFERROR(__xludf.DUMMYFUNCTION("""COMPUTED_VALUE"""),"The Complete App Marketing Course")</f>
        <v>The Complete App Marketing Course</v>
      </c>
    </row>
    <row r="370">
      <c r="A370" s="199">
        <f>IFERROR(__xludf.DUMMYFUNCTION("""COMPUTED_VALUE"""),43496.0)</f>
        <v>43496</v>
      </c>
      <c r="B370" s="140">
        <f>IFERROR(__xludf.DUMMYFUNCTION("""COMPUTED_VALUE"""),242574.0)</f>
        <v>242574</v>
      </c>
      <c r="C370" s="140" t="str">
        <f>IFERROR(__xludf.DUMMYFUNCTION("""COMPUTED_VALUE"""),"EN")</f>
        <v>EN</v>
      </c>
      <c r="D370" t="str">
        <f>IFERROR(__xludf.DUMMYFUNCTION("""COMPUTED_VALUE"""),"Object Oriented Programming (OOP) in PHP - Build An OOP Site")</f>
        <v>Object Oriented Programming (OOP) in PHP - Build An OOP Site</v>
      </c>
      <c r="E370" t="str">
        <f>IFERROR(__xludf.DUMMYFUNCTION("""COMPUTED_VALUE"""),"Rob Percival")</f>
        <v>Rob Percival</v>
      </c>
      <c r="F370" t="str">
        <f>IFERROR(__xludf.DUMMYFUNCTION("""COMPUTED_VALUE"""),"Below Quality Standards- 3 Flags")</f>
        <v>Below Quality Standards- 3 Flags</v>
      </c>
      <c r="G370" t="str">
        <f>IFERROR(__xludf.DUMMYFUNCTION("""COMPUTED_VALUE"""),"Development")</f>
        <v>Development</v>
      </c>
      <c r="H370" t="str">
        <f>IFERROR(__xludf.DUMMYFUNCTION("""COMPUTED_VALUE"""),"Web Development")</f>
        <v>Web Development</v>
      </c>
      <c r="I370">
        <f>IFERROR(__xludf.DUMMYFUNCTION("""COMPUTED_VALUE"""),473548.0)</f>
        <v>473548</v>
      </c>
      <c r="J370" s="140" t="str">
        <f>IFERROR(__xludf.DUMMYFUNCTION("""COMPUTED_VALUE"""),"PHP OOP: Object Oriented Programming for beginners + Project")</f>
        <v>PHP OOP: Object Oriented Programming for beginners + Project</v>
      </c>
      <c r="L370" s="140" t="str">
        <f>IFERROR(__xludf.DUMMYFUNCTION("""COMPUTED_VALUE"""),"")</f>
        <v/>
      </c>
    </row>
    <row r="371">
      <c r="A371" s="199">
        <f>IFERROR(__xludf.DUMMYFUNCTION("""COMPUTED_VALUE"""),43496.0)</f>
        <v>43496</v>
      </c>
      <c r="B371" s="140">
        <f>IFERROR(__xludf.DUMMYFUNCTION("""COMPUTED_VALUE"""),391342.0)</f>
        <v>391342</v>
      </c>
      <c r="C371" s="140" t="str">
        <f>IFERROR(__xludf.DUMMYFUNCTION("""COMPUTED_VALUE"""),"EN")</f>
        <v>EN</v>
      </c>
      <c r="D371" t="str">
        <f>IFERROR(__xludf.DUMMYFUNCTION("""COMPUTED_VALUE"""),"Employee Relations Skills")</f>
        <v>Employee Relations Skills</v>
      </c>
      <c r="E371" t="str">
        <f>IFERROR(__xludf.DUMMYFUNCTION("""COMPUTED_VALUE"""),"Caesar Rondina")</f>
        <v>Caesar Rondina</v>
      </c>
      <c r="F371" t="str">
        <f>IFERROR(__xludf.DUMMYFUNCTION("""COMPUTED_VALUE"""),"Below Quality Standards- 3 Flags")</f>
        <v>Below Quality Standards- 3 Flags</v>
      </c>
      <c r="G371" t="str">
        <f>IFERROR(__xludf.DUMMYFUNCTION("""COMPUTED_VALUE"""),"Human Resources")</f>
        <v>Human Resources</v>
      </c>
      <c r="H371" t="str">
        <f>IFERROR(__xludf.DUMMYFUNCTION("""COMPUTED_VALUE"""),"Talent Management")</f>
        <v>Talent Management</v>
      </c>
      <c r="I371">
        <f>IFERROR(__xludf.DUMMYFUNCTION("""COMPUTED_VALUE"""),379374.0)</f>
        <v>379374</v>
      </c>
      <c r="J371" s="140" t="str">
        <f>IFERROR(__xludf.DUMMYFUNCTION("""COMPUTED_VALUE"""),"Learn HR Fundamentals for a Career in Human Resources")</f>
        <v>Learn HR Fundamentals for a Career in Human Resources</v>
      </c>
      <c r="K371" s="140">
        <f>IFERROR(__xludf.DUMMYFUNCTION("""COMPUTED_VALUE"""),455794.0)</f>
        <v>455794</v>
      </c>
      <c r="L371" s="140" t="str">
        <f>IFERROR(__xludf.DUMMYFUNCTION("""COMPUTED_VALUE"""),"HR 101: Compliance Made Easy  -  U.S. Employers Must Have")</f>
        <v>HR 101: Compliance Made Easy  -  U.S. Employers Must Have</v>
      </c>
    </row>
    <row r="372">
      <c r="A372" s="199">
        <f>IFERROR(__xludf.DUMMYFUNCTION("""COMPUTED_VALUE"""),43496.0)</f>
        <v>43496</v>
      </c>
      <c r="B372" s="140">
        <f>IFERROR(__xludf.DUMMYFUNCTION("""COMPUTED_VALUE"""),1033944.0)</f>
        <v>1033944</v>
      </c>
      <c r="C372" s="140" t="str">
        <f>IFERROR(__xludf.DUMMYFUNCTION("""COMPUTED_VALUE"""),"EN")</f>
        <v>EN</v>
      </c>
      <c r="D372" t="str">
        <f>IFERROR(__xludf.DUMMYFUNCTION("""COMPUTED_VALUE"""),"Serverless Workflow Management with AWS Step Functions")</f>
        <v>Serverless Workflow Management with AWS Step Functions</v>
      </c>
      <c r="E372" t="str">
        <f>IFERROR(__xludf.DUMMYFUNCTION("""COMPUTED_VALUE"""),"Mahmoud Matouk")</f>
        <v>Mahmoud Matouk</v>
      </c>
      <c r="F372" t="str">
        <f>IFERROR(__xludf.DUMMYFUNCTION("""COMPUTED_VALUE"""),"Below Quality Standards- 3 Flags")</f>
        <v>Below Quality Standards- 3 Flags</v>
      </c>
      <c r="G372" t="str">
        <f>IFERROR(__xludf.DUMMYFUNCTION("""COMPUTED_VALUE"""),"Cloud Computing")</f>
        <v>Cloud Computing</v>
      </c>
      <c r="H372" t="str">
        <f>IFERROR(__xludf.DUMMYFUNCTION("""COMPUTED_VALUE"""),"Cloud Development")</f>
        <v>Cloud Development</v>
      </c>
      <c r="I372">
        <f>IFERROR(__xludf.DUMMYFUNCTION("""COMPUTED_VALUE"""),964656.0)</f>
        <v>964656</v>
      </c>
      <c r="J372" s="140" t="str">
        <f>IFERROR(__xludf.DUMMYFUNCTION("""COMPUTED_VALUE"""),"AWS Concepts")</f>
        <v>AWS Concepts</v>
      </c>
      <c r="K372" s="140">
        <f>IFERROR(__xludf.DUMMYFUNCTION("""COMPUTED_VALUE"""),1036550.0)</f>
        <v>1036550</v>
      </c>
      <c r="L372" s="140" t="str">
        <f>IFERROR(__xludf.DUMMYFUNCTION("""COMPUTED_VALUE"""),"")</f>
        <v/>
      </c>
    </row>
    <row r="373">
      <c r="A373" s="199">
        <f>IFERROR(__xludf.DUMMYFUNCTION("""COMPUTED_VALUE"""),43496.0)</f>
        <v>43496</v>
      </c>
      <c r="B373" s="140">
        <f>IFERROR(__xludf.DUMMYFUNCTION("""COMPUTED_VALUE"""),762504.0)</f>
        <v>762504</v>
      </c>
      <c r="C373" s="140" t="str">
        <f>IFERROR(__xludf.DUMMYFUNCTION("""COMPUTED_VALUE"""),"EN")</f>
        <v>EN</v>
      </c>
      <c r="D373" t="str">
        <f>IFERROR(__xludf.DUMMYFUNCTION("""COMPUTED_VALUE"""),"SQL Server Internals and Architecture Overview")</f>
        <v>SQL Server Internals and Architecture Overview</v>
      </c>
      <c r="E373" t="str">
        <f>IFERROR(__xludf.DUMMYFUNCTION("""COMPUTED_VALUE"""),"Mike West")</f>
        <v>Mike West</v>
      </c>
      <c r="F373" t="str">
        <f>IFERROR(__xludf.DUMMYFUNCTION("""COMPUTED_VALUE"""),"Below Quality Standards- 3 Flags")</f>
        <v>Below Quality Standards- 3 Flags</v>
      </c>
      <c r="G373" t="str">
        <f>IFERROR(__xludf.DUMMYFUNCTION("""COMPUTED_VALUE"""),"IT Operations")</f>
        <v>IT Operations</v>
      </c>
      <c r="H373" t="str">
        <f>IFERROR(__xludf.DUMMYFUNCTION("""COMPUTED_VALUE"""),"Database Administration")</f>
        <v>Database Administration</v>
      </c>
      <c r="I373">
        <f>IFERROR(__xludf.DUMMYFUNCTION("""COMPUTED_VALUE"""),551498.0)</f>
        <v>551498</v>
      </c>
      <c r="J373" s="140" t="str">
        <f>IFERROR(__xludf.DUMMYFUNCTION("""COMPUTED_VALUE"""),"Entity Framework in Depth: The Complete Guide")</f>
        <v>Entity Framework in Depth: The Complete Guide</v>
      </c>
      <c r="K373" s="140">
        <f>IFERROR(__xludf.DUMMYFUNCTION("""COMPUTED_VALUE"""),459948.0)</f>
        <v>459948</v>
      </c>
      <c r="L373" s="140" t="str">
        <f>IFERROR(__xludf.DUMMYFUNCTION("""COMPUTED_VALUE"""),"Microsoft SQL for Beginners")</f>
        <v>Microsoft SQL for Beginners</v>
      </c>
    </row>
    <row r="374">
      <c r="A374" s="199">
        <f>IFERROR(__xludf.DUMMYFUNCTION("""COMPUTED_VALUE"""),43496.0)</f>
        <v>43496</v>
      </c>
      <c r="B374" s="140">
        <f>IFERROR(__xludf.DUMMYFUNCTION("""COMPUTED_VALUE"""),330900.0)</f>
        <v>330900</v>
      </c>
      <c r="C374" s="140" t="str">
        <f>IFERROR(__xludf.DUMMYFUNCTION("""COMPUTED_VALUE"""),"EN")</f>
        <v>EN</v>
      </c>
      <c r="D374" t="str">
        <f>IFERROR(__xludf.DUMMYFUNCTION("""COMPUTED_VALUE"""),"Learn Grunt with Examples: Automate Your Front End Workflow")</f>
        <v>Learn Grunt with Examples: Automate Your Front End Workflow</v>
      </c>
      <c r="E374" t="str">
        <f>IFERROR(__xludf.DUMMYFUNCTION("""COMPUTED_VALUE"""),"Matt Jones")</f>
        <v>Matt Jones</v>
      </c>
      <c r="F374" t="str">
        <f>IFERROR(__xludf.DUMMYFUNCTION("""COMPUTED_VALUE"""),"Below Quality Standards- 3 Flags")</f>
        <v>Below Quality Standards- 3 Flags</v>
      </c>
      <c r="G374" t="str">
        <f>IFERROR(__xludf.DUMMYFUNCTION("""COMPUTED_VALUE"""),"Development")</f>
        <v>Development</v>
      </c>
      <c r="H374" t="str">
        <f>IFERROR(__xludf.DUMMYFUNCTION("""COMPUTED_VALUE"""),"Web Development")</f>
        <v>Web Development</v>
      </c>
      <c r="J374" s="140" t="str">
        <f>IFERROR(__xludf.DUMMYFUNCTION("""COMPUTED_VALUE"""),"")</f>
        <v/>
      </c>
      <c r="L374" s="140" t="str">
        <f>IFERROR(__xludf.DUMMYFUNCTION("""COMPUTED_VALUE"""),"")</f>
        <v/>
      </c>
    </row>
    <row r="375">
      <c r="A375" s="199">
        <f>IFERROR(__xludf.DUMMYFUNCTION("""COMPUTED_VALUE"""),43496.0)</f>
        <v>43496</v>
      </c>
      <c r="B375" s="140">
        <f>IFERROR(__xludf.DUMMYFUNCTION("""COMPUTED_VALUE"""),144154.0)</f>
        <v>144154</v>
      </c>
      <c r="C375" s="140" t="str">
        <f>IFERROR(__xludf.DUMMYFUNCTION("""COMPUTED_VALUE"""),"EN")</f>
        <v>EN</v>
      </c>
      <c r="D375" t="str">
        <f>IFERROR(__xludf.DUMMYFUNCTION("""COMPUTED_VALUE"""),"Technology Trends")</f>
        <v>Technology Trends</v>
      </c>
      <c r="E375" t="str">
        <f>IFERROR(__xludf.DUMMYFUNCTION("""COMPUTED_VALUE"""),"Thomas O'Brien")</f>
        <v>Thomas O'Brien</v>
      </c>
      <c r="F375" t="str">
        <f>IFERROR(__xludf.DUMMYFUNCTION("""COMPUTED_VALUE"""),"Below Quality Standards- 3 Flags")</f>
        <v>Below Quality Standards- 3 Flags</v>
      </c>
      <c r="G375" t="str">
        <f>IFERROR(__xludf.DUMMYFUNCTION("""COMPUTED_VALUE"""),"Leadership &amp; Management")</f>
        <v>Leadership &amp; Management</v>
      </c>
      <c r="H375" t="str">
        <f>IFERROR(__xludf.DUMMYFUNCTION("""COMPUTED_VALUE"""),"Strategy")</f>
        <v>Strategy</v>
      </c>
      <c r="I375">
        <f>IFERROR(__xludf.DUMMYFUNCTION("""COMPUTED_VALUE"""),1219332.0)</f>
        <v>1219332</v>
      </c>
      <c r="J375" s="140" t="str">
        <f>IFERROR(__xludf.DUMMYFUNCTION("""COMPUTED_VALUE"""),"Artificial Intelligence A-Z™: Learn How To Build An AI")</f>
        <v>Artificial Intelligence A-Z™: Learn How To Build An AI</v>
      </c>
      <c r="K375" s="140">
        <f>IFERROR(__xludf.DUMMYFUNCTION("""COMPUTED_VALUE"""),671576.0)</f>
        <v>671576</v>
      </c>
      <c r="L375" s="140" t="str">
        <f>IFERROR(__xludf.DUMMYFUNCTION("""COMPUTED_VALUE"""),"Machine Learning, Data Science and Deep Learning with Python")</f>
        <v>Machine Learning, Data Science and Deep Learning with Python</v>
      </c>
    </row>
    <row r="376">
      <c r="A376" s="199">
        <f>IFERROR(__xludf.DUMMYFUNCTION("""COMPUTED_VALUE"""),43496.0)</f>
        <v>43496</v>
      </c>
      <c r="B376" s="140">
        <f>IFERROR(__xludf.DUMMYFUNCTION("""COMPUTED_VALUE"""),559542.0)</f>
        <v>559542</v>
      </c>
      <c r="C376" s="140" t="str">
        <f>IFERROR(__xludf.DUMMYFUNCTION("""COMPUTED_VALUE"""),"EN")</f>
        <v>EN</v>
      </c>
      <c r="D376" t="str">
        <f>IFERROR(__xludf.DUMMYFUNCTION("""COMPUTED_VALUE"""),"Understanding Statistics In SQL Server")</f>
        <v>Understanding Statistics In SQL Server</v>
      </c>
      <c r="E376" t="str">
        <f>IFERROR(__xludf.DUMMYFUNCTION("""COMPUTED_VALUE"""),"Shaun Stuart")</f>
        <v>Shaun Stuart</v>
      </c>
      <c r="F376" t="str">
        <f>IFERROR(__xludf.DUMMYFUNCTION("""COMPUTED_VALUE"""),"Below Quality Standards- 3 Flags")</f>
        <v>Below Quality Standards- 3 Flags</v>
      </c>
      <c r="G376" t="str">
        <f>IFERROR(__xludf.DUMMYFUNCTION("""COMPUTED_VALUE"""),"Development")</f>
        <v>Development</v>
      </c>
      <c r="H376" t="str">
        <f>IFERROR(__xludf.DUMMYFUNCTION("""COMPUTED_VALUE"""),"Database Design &amp; Development")</f>
        <v>Database Design &amp; Development</v>
      </c>
      <c r="I376">
        <f>IFERROR(__xludf.DUMMYFUNCTION("""COMPUTED_VALUE"""),551498.0)</f>
        <v>551498</v>
      </c>
      <c r="J376" s="140" t="str">
        <f>IFERROR(__xludf.DUMMYFUNCTION("""COMPUTED_VALUE"""),"Entity Framework in Depth: The Complete Guide")</f>
        <v>Entity Framework in Depth: The Complete Guide</v>
      </c>
      <c r="K376" s="140">
        <f>IFERROR(__xludf.DUMMYFUNCTION("""COMPUTED_VALUE"""),1036342.0)</f>
        <v>1036342</v>
      </c>
      <c r="L376" s="140" t="str">
        <f>IFERROR(__xludf.DUMMYFUNCTION("""COMPUTED_VALUE"""),"SQL &amp; Database Design A-Z™: Learn MS SQL Server + PostgreSQL")</f>
        <v>SQL &amp; Database Design A-Z™: Learn MS SQL Server + PostgreSQL</v>
      </c>
    </row>
    <row r="377">
      <c r="A377" s="199">
        <f>IFERROR(__xludf.DUMMYFUNCTION("""COMPUTED_VALUE"""),43496.0)</f>
        <v>43496</v>
      </c>
      <c r="B377" s="140">
        <f>IFERROR(__xludf.DUMMYFUNCTION("""COMPUTED_VALUE"""),711482.0)</f>
        <v>711482</v>
      </c>
      <c r="C377" s="140" t="str">
        <f>IFERROR(__xludf.DUMMYFUNCTION("""COMPUTED_VALUE"""),"EN")</f>
        <v>EN</v>
      </c>
      <c r="D377" t="str">
        <f>IFERROR(__xludf.DUMMYFUNCTION("""COMPUTED_VALUE"""),"Automate application with Specflow and Selenium C#")</f>
        <v>Automate application with Specflow and Selenium C#</v>
      </c>
      <c r="E377" t="str">
        <f>IFERROR(__xludf.DUMMYFUNCTION("""COMPUTED_VALUE"""),"Karthik KK")</f>
        <v>Karthik KK</v>
      </c>
      <c r="F377" t="str">
        <f>IFERROR(__xludf.DUMMYFUNCTION("""COMPUTED_VALUE"""),"Below Quality Standards- 3 Flags")</f>
        <v>Below Quality Standards- 3 Flags</v>
      </c>
      <c r="G377" t="str">
        <f>IFERROR(__xludf.DUMMYFUNCTION("""COMPUTED_VALUE"""),"Development")</f>
        <v>Development</v>
      </c>
      <c r="H377" t="str">
        <f>IFERROR(__xludf.DUMMYFUNCTION("""COMPUTED_VALUE"""),"Software Testing")</f>
        <v>Software Testing</v>
      </c>
      <c r="I377">
        <f>IFERROR(__xludf.DUMMYFUNCTION("""COMPUTED_VALUE"""),526104.0)</f>
        <v>526104</v>
      </c>
      <c r="J377" s="140" t="str">
        <f>IFERROR(__xludf.DUMMYFUNCTION("""COMPUTED_VALUE"""),"Robot Framework Test Automation - Level 1 ( Selenium )")</f>
        <v>Robot Framework Test Automation - Level 1 ( Selenium )</v>
      </c>
      <c r="K377" s="140">
        <f>IFERROR(__xludf.DUMMYFUNCTION("""COMPUTED_VALUE"""),1343662.0)</f>
        <v>1343662</v>
      </c>
      <c r="L377" s="140" t="str">
        <f>IFERROR(__xludf.DUMMYFUNCTION("""COMPUTED_VALUE"""),"Selenium WebDriver with Java &amp; Cucumber BDD")</f>
        <v>Selenium WebDriver with Java &amp; Cucumber BDD</v>
      </c>
    </row>
    <row r="378">
      <c r="A378" s="199">
        <f>IFERROR(__xludf.DUMMYFUNCTION("""COMPUTED_VALUE"""),43496.0)</f>
        <v>43496</v>
      </c>
      <c r="B378" s="140">
        <f>IFERROR(__xludf.DUMMYFUNCTION("""COMPUTED_VALUE"""),730414.0)</f>
        <v>730414</v>
      </c>
      <c r="C378" s="140" t="str">
        <f>IFERROR(__xludf.DUMMYFUNCTION("""COMPUTED_VALUE"""),"EN")</f>
        <v>EN</v>
      </c>
      <c r="D378" t="str">
        <f>IFERROR(__xludf.DUMMYFUNCTION("""COMPUTED_VALUE"""),"Intro to Investment Banking, M&amp;A, IPO, Modeling + Free Book")</f>
        <v>Intro to Investment Banking, M&amp;A, IPO, Modeling + Free Book</v>
      </c>
      <c r="E378" t="str">
        <f>IFERROR(__xludf.DUMMYFUNCTION("""COMPUTED_VALUE"""),"Chris Haroun")</f>
        <v>Chris Haroun</v>
      </c>
      <c r="F378" t="str">
        <f>IFERROR(__xludf.DUMMYFUNCTION("""COMPUTED_VALUE"""),"Below Quality Standards- 3 Flags")</f>
        <v>Below Quality Standards- 3 Flags</v>
      </c>
      <c r="G378" t="str">
        <f>IFERROR(__xludf.DUMMYFUNCTION("""COMPUTED_VALUE"""),"Finance &amp; Accounting")</f>
        <v>Finance &amp; Accounting</v>
      </c>
      <c r="H378" t="str">
        <f>IFERROR(__xludf.DUMMYFUNCTION("""COMPUTED_VALUE"""),"Financial Modeling &amp; Analysis")</f>
        <v>Financial Modeling &amp; Analysis</v>
      </c>
      <c r="J378" s="140" t="str">
        <f>IFERROR(__xludf.DUMMYFUNCTION("""COMPUTED_VALUE"""),"")</f>
        <v/>
      </c>
      <c r="L378" s="140" t="str">
        <f>IFERROR(__xludf.DUMMYFUNCTION("""COMPUTED_VALUE"""),"")</f>
        <v/>
      </c>
    </row>
    <row r="379">
      <c r="A379" s="199">
        <f>IFERROR(__xludf.DUMMYFUNCTION("""COMPUTED_VALUE"""),43496.0)</f>
        <v>43496</v>
      </c>
      <c r="B379" s="140">
        <f>IFERROR(__xludf.DUMMYFUNCTION("""COMPUTED_VALUE"""),1536540.0)</f>
        <v>1536540</v>
      </c>
      <c r="C379" s="140" t="str">
        <f>IFERROR(__xludf.DUMMYFUNCTION("""COMPUTED_VALUE"""),"EN")</f>
        <v>EN</v>
      </c>
      <c r="D379" t="str">
        <f>IFERROR(__xludf.DUMMYFUNCTION("""COMPUTED_VALUE"""),"Advanced SAS: Indices &amp; the Macro Facility #3")</f>
        <v>Advanced SAS: Indices &amp; the Macro Facility #3</v>
      </c>
      <c r="E379" t="str">
        <f>IFERROR(__xludf.DUMMYFUNCTION("""COMPUTED_VALUE"""),"Ermin Dedic")</f>
        <v>Ermin Dedic</v>
      </c>
      <c r="F379" t="str">
        <f>IFERROR(__xludf.DUMMYFUNCTION("""COMPUTED_VALUE"""),"Below Quality Standards- 3 Flags")</f>
        <v>Below Quality Standards- 3 Flags</v>
      </c>
      <c r="G379" t="str">
        <f>IFERROR(__xludf.DUMMYFUNCTION("""COMPUTED_VALUE"""),"Data Science")</f>
        <v>Data Science</v>
      </c>
      <c r="H379" t="str">
        <f>IFERROR(__xludf.DUMMYFUNCTION("""COMPUTED_VALUE"""),"Analytics")</f>
        <v>Analytics</v>
      </c>
      <c r="I379">
        <f>IFERROR(__xludf.DUMMYFUNCTION("""COMPUTED_VALUE"""),943442.0)</f>
        <v>943442</v>
      </c>
      <c r="J379" s="140" t="str">
        <f>IFERROR(__xludf.DUMMYFUNCTION("""COMPUTED_VALUE"""),"SAS Programming Complete: Learn SAS and Become a Data Ninja")</f>
        <v>SAS Programming Complete: Learn SAS and Become a Data Ninja</v>
      </c>
      <c r="L379" s="140" t="str">
        <f>IFERROR(__xludf.DUMMYFUNCTION("""COMPUTED_VALUE"""),"")</f>
        <v/>
      </c>
    </row>
    <row r="380">
      <c r="A380" s="199">
        <f>IFERROR(__xludf.DUMMYFUNCTION("""COMPUTED_VALUE"""),43496.0)</f>
        <v>43496</v>
      </c>
      <c r="B380" s="140">
        <f>IFERROR(__xludf.DUMMYFUNCTION("""COMPUTED_VALUE"""),421536.0)</f>
        <v>421536</v>
      </c>
      <c r="C380" s="140" t="str">
        <f>IFERROR(__xludf.DUMMYFUNCTION("""COMPUTED_VALUE"""),"EN")</f>
        <v>EN</v>
      </c>
      <c r="D380" t="str">
        <f>IFERROR(__xludf.DUMMYFUNCTION("""COMPUTED_VALUE"""),"Improve Your Parenting Skills")</f>
        <v>Improve Your Parenting Skills</v>
      </c>
      <c r="E380" t="str">
        <f>IFERROR(__xludf.DUMMYFUNCTION("""COMPUTED_VALUE"""),"Alexandria Cooper")</f>
        <v>Alexandria Cooper</v>
      </c>
      <c r="F380" t="str">
        <f>IFERROR(__xludf.DUMMYFUNCTION("""COMPUTED_VALUE"""),"Below Quality Standards- 3 Flags")</f>
        <v>Below Quality Standards- 3 Flags</v>
      </c>
      <c r="G380" t="str">
        <f>IFERROR(__xludf.DUMMYFUNCTION("""COMPUTED_VALUE"""),"Personal Development")</f>
        <v>Personal Development</v>
      </c>
      <c r="H380" t="str">
        <f>IFERROR(__xludf.DUMMYFUNCTION("""COMPUTED_VALUE"""),"Personal Growth")</f>
        <v>Personal Growth</v>
      </c>
      <c r="I380">
        <f>IFERROR(__xludf.DUMMYFUNCTION("""COMPUTED_VALUE"""),405576.0)</f>
        <v>405576</v>
      </c>
      <c r="J380" s="140" t="str">
        <f>IFERROR(__xludf.DUMMYFUNCTION("""COMPUTED_VALUE"""),"Parenting Skills to Raise Responsible, Mature Children")</f>
        <v>Parenting Skills to Raise Responsible, Mature Children</v>
      </c>
      <c r="L380" s="140" t="str">
        <f>IFERROR(__xludf.DUMMYFUNCTION("""COMPUTED_VALUE"""),"")</f>
        <v/>
      </c>
    </row>
    <row r="381">
      <c r="A381" s="199">
        <f>IFERROR(__xludf.DUMMYFUNCTION("""COMPUTED_VALUE"""),43496.0)</f>
        <v>43496</v>
      </c>
      <c r="B381" s="140">
        <f>IFERROR(__xludf.DUMMYFUNCTION("""COMPUTED_VALUE"""),775920.0)</f>
        <v>775920</v>
      </c>
      <c r="C381" s="140" t="str">
        <f>IFERROR(__xludf.DUMMYFUNCTION("""COMPUTED_VALUE"""),"EN")</f>
        <v>EN</v>
      </c>
      <c r="D381" t="str">
        <f>IFERROR(__xludf.DUMMYFUNCTION("""COMPUTED_VALUE"""),"Build+Deploy+Test with TFS 2015 and Selenium")</f>
        <v>Build+Deploy+Test with TFS 2015 and Selenium</v>
      </c>
      <c r="E381" t="str">
        <f>IFERROR(__xludf.DUMMYFUNCTION("""COMPUTED_VALUE"""),"Karthik KK")</f>
        <v>Karthik KK</v>
      </c>
      <c r="F381" t="str">
        <f>IFERROR(__xludf.DUMMYFUNCTION("""COMPUTED_VALUE"""),"Below Quality Standards- 3 Flags")</f>
        <v>Below Quality Standards- 3 Flags</v>
      </c>
      <c r="G381" t="str">
        <f>IFERROR(__xludf.DUMMYFUNCTION("""COMPUTED_VALUE"""),"Development")</f>
        <v>Development</v>
      </c>
      <c r="H381" t="str">
        <f>IFERROR(__xludf.DUMMYFUNCTION("""COMPUTED_VALUE"""),"Software Testing")</f>
        <v>Software Testing</v>
      </c>
      <c r="J381" s="140" t="str">
        <f>IFERROR(__xludf.DUMMYFUNCTION("""COMPUTED_VALUE"""),"")</f>
        <v/>
      </c>
      <c r="L381" s="140" t="str">
        <f>IFERROR(__xludf.DUMMYFUNCTION("""COMPUTED_VALUE"""),"")</f>
        <v/>
      </c>
    </row>
    <row r="382">
      <c r="A382" s="199">
        <f>IFERROR(__xludf.DUMMYFUNCTION("""COMPUTED_VALUE"""),43496.0)</f>
        <v>43496</v>
      </c>
      <c r="B382" s="140">
        <f>IFERROR(__xludf.DUMMYFUNCTION("""COMPUTED_VALUE"""),1251582.0)</f>
        <v>1251582</v>
      </c>
      <c r="C382" s="140" t="str">
        <f>IFERROR(__xludf.DUMMYFUNCTION("""COMPUTED_VALUE"""),"EN")</f>
        <v>EN</v>
      </c>
      <c r="D382" t="str">
        <f>IFERROR(__xludf.DUMMYFUNCTION("""COMPUTED_VALUE"""),"Best Practices in Corporate Budgeting")</f>
        <v>Best Practices in Corporate Budgeting</v>
      </c>
      <c r="E382" t="str">
        <f>IFERROR(__xludf.DUMMYFUNCTION("""COMPUTED_VALUE"""),"Illumeo Learning")</f>
        <v>Illumeo Learning</v>
      </c>
      <c r="F382" t="str">
        <f>IFERROR(__xludf.DUMMYFUNCTION("""COMPUTED_VALUE"""),"Below Quality Standards- 3 Flags")</f>
        <v>Below Quality Standards- 3 Flags</v>
      </c>
      <c r="G382" t="str">
        <f>IFERROR(__xludf.DUMMYFUNCTION("""COMPUTED_VALUE"""),"Finance &amp; Accounting")</f>
        <v>Finance &amp; Accounting</v>
      </c>
      <c r="H382" t="str">
        <f>IFERROR(__xludf.DUMMYFUNCTION("""COMPUTED_VALUE"""),"Accounting")</f>
        <v>Accounting</v>
      </c>
      <c r="J382" s="140" t="str">
        <f>IFERROR(__xludf.DUMMYFUNCTION("""COMPUTED_VALUE"""),"")</f>
        <v/>
      </c>
      <c r="L382" s="140" t="str">
        <f>IFERROR(__xludf.DUMMYFUNCTION("""COMPUTED_VALUE"""),"")</f>
        <v/>
      </c>
    </row>
    <row r="383">
      <c r="A383" s="199">
        <f>IFERROR(__xludf.DUMMYFUNCTION("""COMPUTED_VALUE"""),43496.0)</f>
        <v>43496</v>
      </c>
      <c r="B383" s="140">
        <f>IFERROR(__xludf.DUMMYFUNCTION("""COMPUTED_VALUE"""),665144.0)</f>
        <v>665144</v>
      </c>
      <c r="C383" s="140" t="str">
        <f>IFERROR(__xludf.DUMMYFUNCTION("""COMPUTED_VALUE"""),"EN")</f>
        <v>EN</v>
      </c>
      <c r="D383" t="str">
        <f>IFERROR(__xludf.DUMMYFUNCTION("""COMPUTED_VALUE"""),"Designing a SQL Server Database &amp; Storage Solution (70-465)")</f>
        <v>Designing a SQL Server Database &amp; Storage Solution (70-465)</v>
      </c>
      <c r="E383" t="str">
        <f>IFERROR(__xludf.DUMMYFUNCTION("""COMPUTED_VALUE"""),"LearnSmart LLC")</f>
        <v>LearnSmart LLC</v>
      </c>
      <c r="F383" t="str">
        <f>IFERROR(__xludf.DUMMYFUNCTION("""COMPUTED_VALUE"""),"Below Quality Standards- 3 Flags")</f>
        <v>Below Quality Standards- 3 Flags</v>
      </c>
      <c r="G383" t="str">
        <f>IFERROR(__xludf.DUMMYFUNCTION("""COMPUTED_VALUE"""),"Development")</f>
        <v>Development</v>
      </c>
      <c r="H383" t="str">
        <f>IFERROR(__xludf.DUMMYFUNCTION("""COMPUTED_VALUE"""),"Database Design &amp; Development")</f>
        <v>Database Design &amp; Development</v>
      </c>
      <c r="I383">
        <f>IFERROR(__xludf.DUMMYFUNCTION("""COMPUTED_VALUE"""),551498.0)</f>
        <v>551498</v>
      </c>
      <c r="J383" s="140" t="str">
        <f>IFERROR(__xludf.DUMMYFUNCTION("""COMPUTED_VALUE"""),"Entity Framework in Depth: The Complete Guide")</f>
        <v>Entity Framework in Depth: The Complete Guide</v>
      </c>
      <c r="L383" s="140" t="str">
        <f>IFERROR(__xludf.DUMMYFUNCTION("""COMPUTED_VALUE"""),"")</f>
        <v/>
      </c>
    </row>
    <row r="384">
      <c r="A384" s="199">
        <f>IFERROR(__xludf.DUMMYFUNCTION("""COMPUTED_VALUE"""),43496.0)</f>
        <v>43496</v>
      </c>
      <c r="B384" s="140">
        <f>IFERROR(__xludf.DUMMYFUNCTION("""COMPUTED_VALUE"""),653868.0)</f>
        <v>653868</v>
      </c>
      <c r="C384" s="140" t="str">
        <f>IFERROR(__xludf.DUMMYFUNCTION("""COMPUTED_VALUE"""),"EN")</f>
        <v>EN</v>
      </c>
      <c r="D384" t="str">
        <f>IFERROR(__xludf.DUMMYFUNCTION("""COMPUTED_VALUE"""),"Building and Optimizing a SQL Server Database (70-464)")</f>
        <v>Building and Optimizing a SQL Server Database (70-464)</v>
      </c>
      <c r="E384" t="str">
        <f>IFERROR(__xludf.DUMMYFUNCTION("""COMPUTED_VALUE"""),"LearnSmart LLC")</f>
        <v>LearnSmart LLC</v>
      </c>
      <c r="F384" t="str">
        <f>IFERROR(__xludf.DUMMYFUNCTION("""COMPUTED_VALUE"""),"Below Quality Standards- 3 Flags")</f>
        <v>Below Quality Standards- 3 Flags</v>
      </c>
      <c r="G384" t="str">
        <f>IFERROR(__xludf.DUMMYFUNCTION("""COMPUTED_VALUE"""),"IT Operations")</f>
        <v>IT Operations</v>
      </c>
      <c r="H384" t="str">
        <f>IFERROR(__xludf.DUMMYFUNCTION("""COMPUTED_VALUE"""),"Operating Systems &amp; Servers")</f>
        <v>Operating Systems &amp; Servers</v>
      </c>
      <c r="I384">
        <f>IFERROR(__xludf.DUMMYFUNCTION("""COMPUTED_VALUE"""),551498.0)</f>
        <v>551498</v>
      </c>
      <c r="J384" s="140" t="str">
        <f>IFERROR(__xludf.DUMMYFUNCTION("""COMPUTED_VALUE"""),"Entity Framework in Depth: The Complete Guide")</f>
        <v>Entity Framework in Depth: The Complete Guide</v>
      </c>
      <c r="L384" s="140" t="str">
        <f>IFERROR(__xludf.DUMMYFUNCTION("""COMPUTED_VALUE"""),"")</f>
        <v/>
      </c>
    </row>
    <row r="385">
      <c r="A385" s="199">
        <f>IFERROR(__xludf.DUMMYFUNCTION("""COMPUTED_VALUE"""),43496.0)</f>
        <v>43496</v>
      </c>
      <c r="B385" s="140">
        <f>IFERROR(__xludf.DUMMYFUNCTION("""COMPUTED_VALUE"""),375054.0)</f>
        <v>375054</v>
      </c>
      <c r="C385" s="140" t="str">
        <f>IFERROR(__xludf.DUMMYFUNCTION("""COMPUTED_VALUE"""),"EN")</f>
        <v>EN</v>
      </c>
      <c r="D385" t="str">
        <f>IFERROR(__xludf.DUMMYFUNCTION("""COMPUTED_VALUE"""),"Automation Testing with QTP")</f>
        <v>Automation Testing with QTP</v>
      </c>
      <c r="E385" t="str">
        <f>IFERROR(__xludf.DUMMYFUNCTION("""COMPUTED_VALUE"""),"QTP Tutorial")</f>
        <v>QTP Tutorial</v>
      </c>
      <c r="F385" t="str">
        <f>IFERROR(__xludf.DUMMYFUNCTION("""COMPUTED_VALUE"""),"Below Quality Standards- 3 Flags")</f>
        <v>Below Quality Standards- 3 Flags</v>
      </c>
      <c r="G385" t="str">
        <f>IFERROR(__xludf.DUMMYFUNCTION("""COMPUTED_VALUE"""),"Development")</f>
        <v>Development</v>
      </c>
      <c r="H385" t="str">
        <f>IFERROR(__xludf.DUMMYFUNCTION("""COMPUTED_VALUE"""),"Development Tools")</f>
        <v>Development Tools</v>
      </c>
      <c r="J385" s="140" t="str">
        <f>IFERROR(__xludf.DUMMYFUNCTION("""COMPUTED_VALUE"""),"")</f>
        <v/>
      </c>
      <c r="L385" s="140" t="str">
        <f>IFERROR(__xludf.DUMMYFUNCTION("""COMPUTED_VALUE"""),"")</f>
        <v/>
      </c>
    </row>
    <row r="386">
      <c r="A386" s="199">
        <f>IFERROR(__xludf.DUMMYFUNCTION("""COMPUTED_VALUE"""),43496.0)</f>
        <v>43496</v>
      </c>
      <c r="B386" s="140">
        <f>IFERROR(__xludf.DUMMYFUNCTION("""COMPUTED_VALUE"""),513716.0)</f>
        <v>513716</v>
      </c>
      <c r="C386" s="140" t="str">
        <f>IFERROR(__xludf.DUMMYFUNCTION("""COMPUTED_VALUE"""),"EN")</f>
        <v>EN</v>
      </c>
      <c r="D386" t="str">
        <f>IFERROR(__xludf.DUMMYFUNCTION("""COMPUTED_VALUE"""),"Migrating Your Existing SQL Server Estate to Amazon's RDS")</f>
        <v>Migrating Your Existing SQL Server Estate to Amazon's RDS</v>
      </c>
      <c r="E386" t="str">
        <f>IFERROR(__xludf.DUMMYFUNCTION("""COMPUTED_VALUE"""),"Mike West")</f>
        <v>Mike West</v>
      </c>
      <c r="F386" t="str">
        <f>IFERROR(__xludf.DUMMYFUNCTION("""COMPUTED_VALUE"""),"Below Quality Standards- 3 Flags")</f>
        <v>Below Quality Standards- 3 Flags</v>
      </c>
      <c r="G386" t="str">
        <f>IFERROR(__xludf.DUMMYFUNCTION("""COMPUTED_VALUE"""),"IT Operations")</f>
        <v>IT Operations</v>
      </c>
      <c r="H386" t="str">
        <f>IFERROR(__xludf.DUMMYFUNCTION("""COMPUTED_VALUE"""),"Operating Systems &amp; Servers")</f>
        <v>Operating Systems &amp; Servers</v>
      </c>
      <c r="I386">
        <f>IFERROR(__xludf.DUMMYFUNCTION("""COMPUTED_VALUE"""),477944.0)</f>
        <v>477944</v>
      </c>
      <c r="J386" s="140" t="str">
        <f>IFERROR(__xludf.DUMMYFUNCTION("""COMPUTED_VALUE"""),"")</f>
        <v/>
      </c>
      <c r="L386" s="140" t="str">
        <f>IFERROR(__xludf.DUMMYFUNCTION("""COMPUTED_VALUE"""),"")</f>
        <v/>
      </c>
    </row>
    <row r="387">
      <c r="A387" s="199">
        <f>IFERROR(__xludf.DUMMYFUNCTION("""COMPUTED_VALUE"""),43496.0)</f>
        <v>43496</v>
      </c>
      <c r="B387" s="140">
        <f>IFERROR(__xludf.DUMMYFUNCTION("""COMPUTED_VALUE"""),340764.0)</f>
        <v>340764</v>
      </c>
      <c r="C387" s="140" t="str">
        <f>IFERROR(__xludf.DUMMYFUNCTION("""COMPUTED_VALUE"""),"EN")</f>
        <v>EN</v>
      </c>
      <c r="D387" t="str">
        <f>IFERROR(__xludf.DUMMYFUNCTION("""COMPUTED_VALUE"""),"Talent Management: Grow great employees strategically")</f>
        <v>Talent Management: Grow great employees strategically</v>
      </c>
      <c r="E387" t="str">
        <f>IFERROR(__xludf.DUMMYFUNCTION("""COMPUTED_VALUE"""),"Sarah Andreas")</f>
        <v>Sarah Andreas</v>
      </c>
      <c r="F387" t="str">
        <f>IFERROR(__xludf.DUMMYFUNCTION("""COMPUTED_VALUE"""),"Below Quality Standards- 3 Flags")</f>
        <v>Below Quality Standards- 3 Flags</v>
      </c>
      <c r="G387" t="str">
        <f>IFERROR(__xludf.DUMMYFUNCTION("""COMPUTED_VALUE"""),"Human Resources")</f>
        <v>Human Resources</v>
      </c>
      <c r="H387" t="str">
        <f>IFERROR(__xludf.DUMMYFUNCTION("""COMPUTED_VALUE"""),"Talent Management")</f>
        <v>Talent Management</v>
      </c>
      <c r="J387" s="140" t="str">
        <f>IFERROR(__xludf.DUMMYFUNCTION("""COMPUTED_VALUE"""),"")</f>
        <v/>
      </c>
      <c r="L387" s="140" t="str">
        <f>IFERROR(__xludf.DUMMYFUNCTION("""COMPUTED_VALUE"""),"")</f>
        <v/>
      </c>
    </row>
    <row r="388">
      <c r="A388" s="199">
        <f>IFERROR(__xludf.DUMMYFUNCTION("""COMPUTED_VALUE"""),43496.0)</f>
        <v>43496</v>
      </c>
      <c r="B388" s="140">
        <f>IFERROR(__xludf.DUMMYFUNCTION("""COMPUTED_VALUE"""),1298076.0)</f>
        <v>1298076</v>
      </c>
      <c r="C388" s="140" t="str">
        <f>IFERROR(__xludf.DUMMYFUNCTION("""COMPUTED_VALUE"""),"EN")</f>
        <v>EN</v>
      </c>
      <c r="D388" t="str">
        <f>IFERROR(__xludf.DUMMYFUNCTION("""COMPUTED_VALUE"""),"Interviewing: An Art and A Science")</f>
        <v>Interviewing: An Art and A Science</v>
      </c>
      <c r="E388" t="str">
        <f>IFERROR(__xludf.DUMMYFUNCTION("""COMPUTED_VALUE"""),"Illumeo Learning")</f>
        <v>Illumeo Learning</v>
      </c>
      <c r="F388" t="str">
        <f>IFERROR(__xludf.DUMMYFUNCTION("""COMPUTED_VALUE"""),"Below Quality Standards- 3 Flags")</f>
        <v>Below Quality Standards- 3 Flags</v>
      </c>
      <c r="G388" t="str">
        <f>IFERROR(__xludf.DUMMYFUNCTION("""COMPUTED_VALUE"""),"Human Resources")</f>
        <v>Human Resources</v>
      </c>
      <c r="H388" t="str">
        <f>IFERROR(__xludf.DUMMYFUNCTION("""COMPUTED_VALUE"""),"Talent Management")</f>
        <v>Talent Management</v>
      </c>
      <c r="I388">
        <f>IFERROR(__xludf.DUMMYFUNCTION("""COMPUTED_VALUE"""),788980.0)</f>
        <v>788980</v>
      </c>
      <c r="J388" s="140" t="str">
        <f>IFERROR(__xludf.DUMMYFUNCTION("""COMPUTED_VALUE"""),"Interview Questions: Interview Like a Professional HRM")</f>
        <v>Interview Questions: Interview Like a Professional HRM</v>
      </c>
      <c r="K388" s="140">
        <f>IFERROR(__xludf.DUMMYFUNCTION("""COMPUTED_VALUE"""),1423870.0)</f>
        <v>1423870</v>
      </c>
      <c r="L388" s="140" t="str">
        <f>IFERROR(__xludf.DUMMYFUNCTION("""COMPUTED_VALUE"""),"Data Science Career Guide - Interview Preparation")</f>
        <v>Data Science Career Guide - Interview Preparation</v>
      </c>
    </row>
    <row r="389">
      <c r="A389" s="199">
        <f>IFERROR(__xludf.DUMMYFUNCTION("""COMPUTED_VALUE"""),43496.0)</f>
        <v>43496</v>
      </c>
      <c r="B389" s="140">
        <f>IFERROR(__xludf.DUMMYFUNCTION("""COMPUTED_VALUE"""),1542070.0)</f>
        <v>1542070</v>
      </c>
      <c r="C389" s="140" t="str">
        <f>IFERROR(__xludf.DUMMYFUNCTION("""COMPUTED_VALUE"""),"EN")</f>
        <v>EN</v>
      </c>
      <c r="D389" t="str">
        <f>IFERROR(__xludf.DUMMYFUNCTION("""COMPUTED_VALUE"""),"Security Awareness for the Digital Professional")</f>
        <v>Security Awareness for the Digital Professional</v>
      </c>
      <c r="E389" t="str">
        <f>IFERROR(__xludf.DUMMYFUNCTION("""COMPUTED_VALUE"""),"Jack Hyman")</f>
        <v>Jack Hyman</v>
      </c>
      <c r="F389" t="str">
        <f>IFERROR(__xludf.DUMMYFUNCTION("""COMPUTED_VALUE"""),"Below Quality Standards- 3 Flags")</f>
        <v>Below Quality Standards- 3 Flags</v>
      </c>
      <c r="G389" t="str">
        <f>IFERROR(__xludf.DUMMYFUNCTION("""COMPUTED_VALUE"""),"IT Operations")</f>
        <v>IT Operations</v>
      </c>
      <c r="H389" t="str">
        <f>IFERROR(__xludf.DUMMYFUNCTION("""COMPUTED_VALUE"""),"Network &amp; Security")</f>
        <v>Network &amp; Security</v>
      </c>
      <c r="I389">
        <f>IFERROR(__xludf.DUMMYFUNCTION("""COMPUTED_VALUE"""),614772.0)</f>
        <v>614772</v>
      </c>
      <c r="J389" s="140" t="str">
        <f>IFERROR(__xludf.DUMMYFUNCTION("""COMPUTED_VALUE"""),"The Complete Cyber Security Course : Hackers Exposed!")</f>
        <v>The Complete Cyber Security Course : Hackers Exposed!</v>
      </c>
      <c r="K389" s="140">
        <f>IFERROR(__xludf.DUMMYFUNCTION("""COMPUTED_VALUE"""),875974.0)</f>
        <v>875974</v>
      </c>
      <c r="L389" s="140" t="str">
        <f>IFERROR(__xludf.DUMMYFUNCTION("""COMPUTED_VALUE"""),"The Complete Cyber Security Course : Network Security!")</f>
        <v>The Complete Cyber Security Course : Network Security!</v>
      </c>
    </row>
    <row r="390">
      <c r="A390" s="199">
        <f>IFERROR(__xludf.DUMMYFUNCTION("""COMPUTED_VALUE"""),43496.0)</f>
        <v>43496</v>
      </c>
      <c r="B390" s="140">
        <f>IFERROR(__xludf.DUMMYFUNCTION("""COMPUTED_VALUE"""),1264798.0)</f>
        <v>1264798</v>
      </c>
      <c r="C390" s="140" t="str">
        <f>IFERROR(__xludf.DUMMYFUNCTION("""COMPUTED_VALUE"""),"EN")</f>
        <v>EN</v>
      </c>
      <c r="D390" t="str">
        <f>IFERROR(__xludf.DUMMYFUNCTION("""COMPUTED_VALUE"""),"How to Lead Through Diversity and Inclusion")</f>
        <v>How to Lead Through Diversity and Inclusion</v>
      </c>
      <c r="E390" t="str">
        <f>IFERROR(__xludf.DUMMYFUNCTION("""COMPUTED_VALUE"""),"Illumeo Learning")</f>
        <v>Illumeo Learning</v>
      </c>
      <c r="F390" t="str">
        <f>IFERROR(__xludf.DUMMYFUNCTION("""COMPUTED_VALUE"""),"Below Quality Standards- 3 Flags")</f>
        <v>Below Quality Standards- 3 Flags</v>
      </c>
      <c r="G390" t="str">
        <f>IFERROR(__xludf.DUMMYFUNCTION("""COMPUTED_VALUE"""),"Human Resources")</f>
        <v>Human Resources</v>
      </c>
      <c r="H390" t="str">
        <f>IFERROR(__xludf.DUMMYFUNCTION("""COMPUTED_VALUE"""),"Compliance")</f>
        <v>Compliance</v>
      </c>
      <c r="I390">
        <f>IFERROR(__xludf.DUMMYFUNCTION("""COMPUTED_VALUE"""),909996.0)</f>
        <v>909996</v>
      </c>
      <c r="J390" s="140" t="str">
        <f>IFERROR(__xludf.DUMMYFUNCTION("""COMPUTED_VALUE"""),"Navigate Diversity")</f>
        <v>Navigate Diversity</v>
      </c>
      <c r="K390" s="140">
        <f>IFERROR(__xludf.DUMMYFUNCTION("""COMPUTED_VALUE"""),1210442.0)</f>
        <v>1210442</v>
      </c>
      <c r="L390" s="140" t="str">
        <f>IFERROR(__xludf.DUMMYFUNCTION("""COMPUTED_VALUE"""),"Psychology of Diversity and Unconscious Bias")</f>
        <v>Psychology of Diversity and Unconscious Bias</v>
      </c>
    </row>
    <row r="391">
      <c r="A391" s="199">
        <f>IFERROR(__xludf.DUMMYFUNCTION("""COMPUTED_VALUE"""),43496.0)</f>
        <v>43496</v>
      </c>
      <c r="B391" s="140">
        <f>IFERROR(__xludf.DUMMYFUNCTION("""COMPUTED_VALUE"""),1255370.0)</f>
        <v>1255370</v>
      </c>
      <c r="C391" s="140" t="str">
        <f>IFERROR(__xludf.DUMMYFUNCTION("""COMPUTED_VALUE"""),"EN")</f>
        <v>EN</v>
      </c>
      <c r="D391" t="str">
        <f>IFERROR(__xludf.DUMMYFUNCTION("""COMPUTED_VALUE"""),"Lease Accounting Fundamentals - ASC Topic 842")</f>
        <v>Lease Accounting Fundamentals - ASC Topic 842</v>
      </c>
      <c r="E391" t="str">
        <f>IFERROR(__xludf.DUMMYFUNCTION("""COMPUTED_VALUE"""),"Illumeo Learning")</f>
        <v>Illumeo Learning</v>
      </c>
      <c r="F391" t="str">
        <f>IFERROR(__xludf.DUMMYFUNCTION("""COMPUTED_VALUE"""),"Below Quality Standards- 3 Flags")</f>
        <v>Below Quality Standards- 3 Flags</v>
      </c>
      <c r="G391" t="str">
        <f>IFERROR(__xludf.DUMMYFUNCTION("""COMPUTED_VALUE"""),"Finance &amp; Accounting")</f>
        <v>Finance &amp; Accounting</v>
      </c>
      <c r="H391" t="str">
        <f>IFERROR(__xludf.DUMMYFUNCTION("""COMPUTED_VALUE"""),"Accounting")</f>
        <v>Accounting</v>
      </c>
      <c r="I391">
        <f>IFERROR(__xludf.DUMMYFUNCTION("""COMPUTED_VALUE"""),648826.0)</f>
        <v>648826</v>
      </c>
      <c r="J391" s="140" t="str">
        <f>IFERROR(__xludf.DUMMYFUNCTION("""COMPUTED_VALUE"""),"The Complete Financial Analyst Course 2021")</f>
        <v>The Complete Financial Analyst Course 2021</v>
      </c>
      <c r="L391" s="140" t="str">
        <f>IFERROR(__xludf.DUMMYFUNCTION("""COMPUTED_VALUE"""),"")</f>
        <v/>
      </c>
    </row>
    <row r="392">
      <c r="A392" s="199">
        <f>IFERROR(__xludf.DUMMYFUNCTION("""COMPUTED_VALUE"""),43496.0)</f>
        <v>43496</v>
      </c>
      <c r="B392" s="140">
        <f>IFERROR(__xludf.DUMMYFUNCTION("""COMPUTED_VALUE"""),950640.0)</f>
        <v>950640</v>
      </c>
      <c r="C392" s="140" t="str">
        <f>IFERROR(__xludf.DUMMYFUNCTION("""COMPUTED_VALUE"""),"EN")</f>
        <v>EN</v>
      </c>
      <c r="D392" t="str">
        <f>IFERROR(__xludf.DUMMYFUNCTION("""COMPUTED_VALUE"""),"Managing social media in the workplace")</f>
        <v>Managing social media in the workplace</v>
      </c>
      <c r="E392" t="str">
        <f>IFERROR(__xludf.DUMMYFUNCTION("""COMPUTED_VALUE"""),"Skill Boosters")</f>
        <v>Skill Boosters</v>
      </c>
      <c r="F392" t="str">
        <f>IFERROR(__xludf.DUMMYFUNCTION("""COMPUTED_VALUE"""),"Below Quality Standards- 3 Flags")</f>
        <v>Below Quality Standards- 3 Flags</v>
      </c>
      <c r="G392" t="str">
        <f>IFERROR(__xludf.DUMMYFUNCTION("""COMPUTED_VALUE"""),"Human Resources")</f>
        <v>Human Resources</v>
      </c>
      <c r="H392" t="str">
        <f>IFERROR(__xludf.DUMMYFUNCTION("""COMPUTED_VALUE"""),"Compliance")</f>
        <v>Compliance</v>
      </c>
      <c r="J392" s="140" t="str">
        <f>IFERROR(__xludf.DUMMYFUNCTION("""COMPUTED_VALUE"""),"")</f>
        <v/>
      </c>
      <c r="L392" s="140" t="str">
        <f>IFERROR(__xludf.DUMMYFUNCTION("""COMPUTED_VALUE"""),"")</f>
        <v/>
      </c>
    </row>
    <row r="393">
      <c r="A393" s="199">
        <f>IFERROR(__xludf.DUMMYFUNCTION("""COMPUTED_VALUE"""),43496.0)</f>
        <v>43496</v>
      </c>
      <c r="B393" s="140">
        <f>IFERROR(__xludf.DUMMYFUNCTION("""COMPUTED_VALUE"""),935288.0)</f>
        <v>935288</v>
      </c>
      <c r="C393" s="140" t="str">
        <f>IFERROR(__xludf.DUMMYFUNCTION("""COMPUTED_VALUE"""),"EN")</f>
        <v>EN</v>
      </c>
      <c r="D393" t="str">
        <f>IFERROR(__xludf.DUMMYFUNCTION("""COMPUTED_VALUE"""),"Quick Start to GTD")</f>
        <v>Quick Start to GTD</v>
      </c>
      <c r="E393" t="str">
        <f>IFERROR(__xludf.DUMMYFUNCTION("""COMPUTED_VALUE"""),"Dan LeFebvre")</f>
        <v>Dan LeFebvre</v>
      </c>
      <c r="F393" t="str">
        <f>IFERROR(__xludf.DUMMYFUNCTION("""COMPUTED_VALUE"""),"Below Quality Standards- 3 Flags")</f>
        <v>Below Quality Standards- 3 Flags</v>
      </c>
      <c r="G393" t="str">
        <f>IFERROR(__xludf.DUMMYFUNCTION("""COMPUTED_VALUE"""),"Personal Development")</f>
        <v>Personal Development</v>
      </c>
      <c r="H393" t="str">
        <f>IFERROR(__xludf.DUMMYFUNCTION("""COMPUTED_VALUE"""),"Personal Growth")</f>
        <v>Personal Growth</v>
      </c>
      <c r="I393">
        <f>IFERROR(__xludf.DUMMYFUNCTION("""COMPUTED_VALUE"""),655608.0)</f>
        <v>655608</v>
      </c>
      <c r="J393" s="140" t="str">
        <f>IFERROR(__xludf.DUMMYFUNCTION("""COMPUTED_VALUE"""),"Productivity and Time Management for the Overwhelmed")</f>
        <v>Productivity and Time Management for the Overwhelmed</v>
      </c>
      <c r="K393" s="140">
        <f>IFERROR(__xludf.DUMMYFUNCTION("""COMPUTED_VALUE"""),1434492.0)</f>
        <v>1434492</v>
      </c>
      <c r="L393" s="140" t="str">
        <f>IFERROR(__xludf.DUMMYFUNCTION("""COMPUTED_VALUE"""),"Modern Productivity — Superhuman Focus In A Distracted World")</f>
        <v>Modern Productivity — Superhuman Focus In A Distracted World</v>
      </c>
    </row>
    <row r="394">
      <c r="A394" s="199">
        <f>IFERROR(__xludf.DUMMYFUNCTION("""COMPUTED_VALUE"""),43496.0)</f>
        <v>43496</v>
      </c>
      <c r="B394" s="140">
        <f>IFERROR(__xludf.DUMMYFUNCTION("""COMPUTED_VALUE"""),1055444.0)</f>
        <v>1055444</v>
      </c>
      <c r="C394" s="140" t="str">
        <f>IFERROR(__xludf.DUMMYFUNCTION("""COMPUTED_VALUE"""),"EN")</f>
        <v>EN</v>
      </c>
      <c r="D394" t="str">
        <f>IFERROR(__xludf.DUMMYFUNCTION("""COMPUTED_VALUE"""),"How to Ace Your Work Performance Review")</f>
        <v>How to Ace Your Work Performance Review</v>
      </c>
      <c r="E394" t="str">
        <f>IFERROR(__xludf.DUMMYFUNCTION("""COMPUTED_VALUE"""),"Warren Chalklen, PhD")</f>
        <v>Warren Chalklen, PhD</v>
      </c>
      <c r="F394" t="str">
        <f>IFERROR(__xludf.DUMMYFUNCTION("""COMPUTED_VALUE"""),"Below Quality Standards- 3 Flags")</f>
        <v>Below Quality Standards- 3 Flags</v>
      </c>
      <c r="G394" t="str">
        <f>IFERROR(__xludf.DUMMYFUNCTION("""COMPUTED_VALUE"""),"Human Resources")</f>
        <v>Human Resources</v>
      </c>
      <c r="H394" t="str">
        <f>IFERROR(__xludf.DUMMYFUNCTION("""COMPUTED_VALUE"""),"Talent Management")</f>
        <v>Talent Management</v>
      </c>
      <c r="J394" s="140" t="str">
        <f>IFERROR(__xludf.DUMMYFUNCTION("""COMPUTED_VALUE"""),"")</f>
        <v/>
      </c>
      <c r="L394" s="140" t="str">
        <f>IFERROR(__xludf.DUMMYFUNCTION("""COMPUTED_VALUE"""),"")</f>
        <v/>
      </c>
    </row>
    <row r="395">
      <c r="A395" s="199">
        <f>IFERROR(__xludf.DUMMYFUNCTION("""COMPUTED_VALUE"""),43496.0)</f>
        <v>43496</v>
      </c>
      <c r="B395" s="140">
        <f>IFERROR(__xludf.DUMMYFUNCTION("""COMPUTED_VALUE"""),1305121.0)</f>
        <v>1305121</v>
      </c>
      <c r="C395" s="140" t="str">
        <f>IFERROR(__xludf.DUMMYFUNCTION("""COMPUTED_VALUE"""),"EN")</f>
        <v>EN</v>
      </c>
      <c r="D395" t="str">
        <f>IFERROR(__xludf.DUMMYFUNCTION("""COMPUTED_VALUE"""),"5 Characteristics of Successful Organizations")</f>
        <v>5 Characteristics of Successful Organizations</v>
      </c>
      <c r="E395" t="str">
        <f>IFERROR(__xludf.DUMMYFUNCTION("""COMPUTED_VALUE"""),"Illumeo Learning")</f>
        <v>Illumeo Learning</v>
      </c>
      <c r="F395" t="str">
        <f>IFERROR(__xludf.DUMMYFUNCTION("""COMPUTED_VALUE"""),"Below Quality Standards- 3 Flags")</f>
        <v>Below Quality Standards- 3 Flags</v>
      </c>
      <c r="G395" t="str">
        <f>IFERROR(__xludf.DUMMYFUNCTION("""COMPUTED_VALUE"""),"Human Resources")</f>
        <v>Human Resources</v>
      </c>
      <c r="H395" t="str">
        <f>IFERROR(__xludf.DUMMYFUNCTION("""COMPUTED_VALUE"""),"Talent Management")</f>
        <v>Talent Management</v>
      </c>
      <c r="J395" s="140" t="str">
        <f>IFERROR(__xludf.DUMMYFUNCTION("""COMPUTED_VALUE"""),"")</f>
        <v/>
      </c>
      <c r="L395" s="140" t="str">
        <f>IFERROR(__xludf.DUMMYFUNCTION("""COMPUTED_VALUE"""),"")</f>
        <v/>
      </c>
    </row>
    <row r="396">
      <c r="A396" s="199">
        <f>IFERROR(__xludf.DUMMYFUNCTION("""COMPUTED_VALUE"""),43496.0)</f>
        <v>43496</v>
      </c>
      <c r="B396" s="140">
        <f>IFERROR(__xludf.DUMMYFUNCTION("""COMPUTED_VALUE"""),646042.0)</f>
        <v>646042</v>
      </c>
      <c r="C396" s="140" t="str">
        <f>IFERROR(__xludf.DUMMYFUNCTION("""COMPUTED_VALUE"""),"EN")</f>
        <v>EN</v>
      </c>
      <c r="D396" t="str">
        <f>IFERROR(__xludf.DUMMYFUNCTION("""COMPUTED_VALUE"""),"Monitor and Maintaining Server 2012 (70-414)")</f>
        <v>Monitor and Maintaining Server 2012 (70-414)</v>
      </c>
      <c r="E396" t="str">
        <f>IFERROR(__xludf.DUMMYFUNCTION("""COMPUTED_VALUE"""),"LearnSmart LLC")</f>
        <v>LearnSmart LLC</v>
      </c>
      <c r="F396" t="str">
        <f>IFERROR(__xludf.DUMMYFUNCTION("""COMPUTED_VALUE"""),"Below Quality Standards- 3 Flags")</f>
        <v>Below Quality Standards- 3 Flags</v>
      </c>
      <c r="G396" t="str">
        <f>IFERROR(__xludf.DUMMYFUNCTION("""COMPUTED_VALUE"""),"IT Operations")</f>
        <v>IT Operations</v>
      </c>
      <c r="H396" t="str">
        <f>IFERROR(__xludf.DUMMYFUNCTION("""COMPUTED_VALUE"""),"Operating Systems &amp; Servers")</f>
        <v>Operating Systems &amp; Servers</v>
      </c>
      <c r="I396">
        <f>IFERROR(__xludf.DUMMYFUNCTION("""COMPUTED_VALUE"""),972974.0)</f>
        <v>972974</v>
      </c>
      <c r="J396" s="140" t="str">
        <f>IFERROR(__xludf.DUMMYFUNCTION("""COMPUTED_VALUE"""),"Microsoft Windows Server 2016 Training for Beginners")</f>
        <v>Microsoft Windows Server 2016 Training for Beginners</v>
      </c>
      <c r="K396" s="140">
        <f>IFERROR(__xludf.DUMMYFUNCTION("""COMPUTED_VALUE"""),1522272.0)</f>
        <v>1522272</v>
      </c>
      <c r="L396" s="140" t="str">
        <f>IFERROR(__xludf.DUMMYFUNCTION("""COMPUTED_VALUE"""),"Windows Server 2016 Administration")</f>
        <v>Windows Server 2016 Administration</v>
      </c>
    </row>
    <row r="397">
      <c r="A397" s="199">
        <f>IFERROR(__xludf.DUMMYFUNCTION("""COMPUTED_VALUE"""),43496.0)</f>
        <v>43496</v>
      </c>
      <c r="B397" s="140">
        <f>IFERROR(__xludf.DUMMYFUNCTION("""COMPUTED_VALUE"""),1267382.0)</f>
        <v>1267382</v>
      </c>
      <c r="C397" s="140" t="str">
        <f>IFERROR(__xludf.DUMMYFUNCTION("""COMPUTED_VALUE"""),"EN")</f>
        <v>EN</v>
      </c>
      <c r="D397" t="str">
        <f>IFERROR(__xludf.DUMMYFUNCTION("""COMPUTED_VALUE"""),"Organization Design (OD) Theory and Practice")</f>
        <v>Organization Design (OD) Theory and Practice</v>
      </c>
      <c r="E397" t="str">
        <f>IFERROR(__xludf.DUMMYFUNCTION("""COMPUTED_VALUE"""),"Illumeo Learning")</f>
        <v>Illumeo Learning</v>
      </c>
      <c r="F397" t="str">
        <f>IFERROR(__xludf.DUMMYFUNCTION("""COMPUTED_VALUE"""),"Below Quality Standards- 3 Flags")</f>
        <v>Below Quality Standards- 3 Flags</v>
      </c>
      <c r="G397" t="str">
        <f>IFERROR(__xludf.DUMMYFUNCTION("""COMPUTED_VALUE"""),"Human Resources")</f>
        <v>Human Resources</v>
      </c>
      <c r="H397" t="str">
        <f>IFERROR(__xludf.DUMMYFUNCTION("""COMPUTED_VALUE"""),"Talent Management")</f>
        <v>Talent Management</v>
      </c>
      <c r="J397" s="140" t="str">
        <f>IFERROR(__xludf.DUMMYFUNCTION("""COMPUTED_VALUE"""),"")</f>
        <v/>
      </c>
      <c r="L397" s="140" t="str">
        <f>IFERROR(__xludf.DUMMYFUNCTION("""COMPUTED_VALUE"""),"")</f>
        <v/>
      </c>
    </row>
    <row r="398">
      <c r="A398" s="199">
        <f>IFERROR(__xludf.DUMMYFUNCTION("""COMPUTED_VALUE"""),43496.0)</f>
        <v>43496</v>
      </c>
      <c r="B398" s="140">
        <f>IFERROR(__xludf.DUMMYFUNCTION("""COMPUTED_VALUE"""),558676.0)</f>
        <v>558676</v>
      </c>
      <c r="C398" s="140" t="str">
        <f>IFERROR(__xludf.DUMMYFUNCTION("""COMPUTED_VALUE"""),"EN")</f>
        <v>EN</v>
      </c>
      <c r="D398" t="str">
        <f>IFERROR(__xludf.DUMMYFUNCTION("""COMPUTED_VALUE"""),"The Complete Excel 2013 Course for Beginners: Learn by Doing")</f>
        <v>The Complete Excel 2013 Course for Beginners: Learn by Doing</v>
      </c>
      <c r="E398" t="str">
        <f>IFERROR(__xludf.DUMMYFUNCTION("""COMPUTED_VALUE"""),"Simon Sez IT")</f>
        <v>Simon Sez IT</v>
      </c>
      <c r="F398" t="str">
        <f>IFERROR(__xludf.DUMMYFUNCTION("""COMPUTED_VALUE"""),"Below Quality Standards- 3 Flags")</f>
        <v>Below Quality Standards- 3 Flags</v>
      </c>
      <c r="G398" t="str">
        <f>IFERROR(__xludf.DUMMYFUNCTION("""COMPUTED_VALUE"""),"Office Productivity")</f>
        <v>Office Productivity</v>
      </c>
      <c r="H398" t="str">
        <f>IFERROR(__xludf.DUMMYFUNCTION("""COMPUTED_VALUE"""),"Spreadsheets")</f>
        <v>Spreadsheets</v>
      </c>
      <c r="I398">
        <f>IFERROR(__xludf.DUMMYFUNCTION("""COMPUTED_VALUE"""),948866.0)</f>
        <v>948866</v>
      </c>
      <c r="J398" s="140" t="str">
        <f>IFERROR(__xludf.DUMMYFUNCTION("""COMPUTED_VALUE"""),"Excel Essentials: The Complete Excel Series - Level 1, 2 &amp; 3")</f>
        <v>Excel Essentials: The Complete Excel Series - Level 1, 2 &amp; 3</v>
      </c>
      <c r="L398" s="140" t="str">
        <f>IFERROR(__xludf.DUMMYFUNCTION("""COMPUTED_VALUE"""),"")</f>
        <v/>
      </c>
    </row>
    <row r="399">
      <c r="A399" s="199">
        <f>IFERROR(__xludf.DUMMYFUNCTION("""COMPUTED_VALUE"""),43496.0)</f>
        <v>43496</v>
      </c>
      <c r="B399" s="140">
        <f>IFERROR(__xludf.DUMMYFUNCTION("""COMPUTED_VALUE"""),680144.0)</f>
        <v>680144</v>
      </c>
      <c r="C399" s="140" t="str">
        <f>IFERROR(__xludf.DUMMYFUNCTION("""COMPUTED_VALUE"""),"EN")</f>
        <v>EN</v>
      </c>
      <c r="D399" t="str">
        <f>IFERROR(__xludf.DUMMYFUNCTION("""COMPUTED_VALUE"""),"Be a Consultative Solution Seller (Chief Problem Solver)!")</f>
        <v>Be a Consultative Solution Seller (Chief Problem Solver)!</v>
      </c>
      <c r="E399" t="str">
        <f>IFERROR(__xludf.DUMMYFUNCTION("""COMPUTED_VALUE"""),"Scott Saldinger")</f>
        <v>Scott Saldinger</v>
      </c>
      <c r="F399" t="str">
        <f>IFERROR(__xludf.DUMMYFUNCTION("""COMPUTED_VALUE"""),"Below Quality Standards- 3 Flags")</f>
        <v>Below Quality Standards- 3 Flags</v>
      </c>
      <c r="G399" t="str">
        <f>IFERROR(__xludf.DUMMYFUNCTION("""COMPUTED_VALUE"""),"Sales")</f>
        <v>Sales</v>
      </c>
      <c r="H399" t="str">
        <f>IFERROR(__xludf.DUMMYFUNCTION("""COMPUTED_VALUE"""),"Sales Skills &amp; Tools")</f>
        <v>Sales Skills &amp; Tools</v>
      </c>
      <c r="I399">
        <f>IFERROR(__xludf.DUMMYFUNCTION("""COMPUTED_VALUE"""),1037646.0)</f>
        <v>1037646</v>
      </c>
      <c r="J399" s="140" t="str">
        <f>IFERROR(__xludf.DUMMYFUNCTION("""COMPUTED_VALUE"""),"Consulting Approach to Problem Solving")</f>
        <v>Consulting Approach to Problem Solving</v>
      </c>
      <c r="L399" s="140" t="str">
        <f>IFERROR(__xludf.DUMMYFUNCTION("""COMPUTED_VALUE"""),"")</f>
        <v/>
      </c>
    </row>
    <row r="400">
      <c r="A400" s="199">
        <f>IFERROR(__xludf.DUMMYFUNCTION("""COMPUTED_VALUE"""),43496.0)</f>
        <v>43496</v>
      </c>
      <c r="B400" s="140">
        <f>IFERROR(__xludf.DUMMYFUNCTION("""COMPUTED_VALUE"""),293176.0)</f>
        <v>293176</v>
      </c>
      <c r="C400" s="140" t="str">
        <f>IFERROR(__xludf.DUMMYFUNCTION("""COMPUTED_VALUE"""),"EN")</f>
        <v>EN</v>
      </c>
      <c r="D400" t="str">
        <f>IFERROR(__xludf.DUMMYFUNCTION("""COMPUTED_VALUE"""),"3D Printing for Entrepreneurs")</f>
        <v>3D Printing for Entrepreneurs</v>
      </c>
      <c r="E400" t="str">
        <f>IFERROR(__xludf.DUMMYFUNCTION("""COMPUTED_VALUE"""),"John Bura")</f>
        <v>John Bura</v>
      </c>
      <c r="F400" t="str">
        <f>IFERROR(__xludf.DUMMYFUNCTION("""COMPUTED_VALUE"""),"Below Quality Standards- 3 Flags")</f>
        <v>Below Quality Standards- 3 Flags</v>
      </c>
      <c r="G400" t="str">
        <f>IFERROR(__xludf.DUMMYFUNCTION("""COMPUTED_VALUE"""),"Design")</f>
        <v>Design</v>
      </c>
      <c r="H400" t="str">
        <f>IFERROR(__xludf.DUMMYFUNCTION("""COMPUTED_VALUE"""),"3D &amp; Animation")</f>
        <v>3D &amp; Animation</v>
      </c>
      <c r="I400">
        <f>IFERROR(__xludf.DUMMYFUNCTION("""COMPUTED_VALUE"""),292966.0)</f>
        <v>292966</v>
      </c>
      <c r="J400" s="140" t="str">
        <f>IFERROR(__xludf.DUMMYFUNCTION("""COMPUTED_VALUE"""),"")</f>
        <v/>
      </c>
      <c r="L400" s="140" t="str">
        <f>IFERROR(__xludf.DUMMYFUNCTION("""COMPUTED_VALUE"""),"")</f>
        <v/>
      </c>
    </row>
    <row r="401">
      <c r="A401" s="199">
        <f>IFERROR(__xludf.DUMMYFUNCTION("""COMPUTED_VALUE"""),43496.0)</f>
        <v>43496</v>
      </c>
      <c r="B401" s="140">
        <f>IFERROR(__xludf.DUMMYFUNCTION("""COMPUTED_VALUE"""),1090384.0)</f>
        <v>1090384</v>
      </c>
      <c r="C401" s="140" t="str">
        <f>IFERROR(__xludf.DUMMYFUNCTION("""COMPUTED_VALUE"""),"EN")</f>
        <v>EN</v>
      </c>
      <c r="D401" t="str">
        <f>IFERROR(__xludf.DUMMYFUNCTION("""COMPUTED_VALUE"""),"Being a Multi-Professional (Occasional Project Management)")</f>
        <v>Being a Multi-Professional (Occasional Project Management)</v>
      </c>
      <c r="E401" t="str">
        <f>IFERROR(__xludf.DUMMYFUNCTION("""COMPUTED_VALUE"""),"Daniel Zitter")</f>
        <v>Daniel Zitter</v>
      </c>
      <c r="F401" t="str">
        <f>IFERROR(__xludf.DUMMYFUNCTION("""COMPUTED_VALUE"""),"Below Quality Standards- 3 Flags")</f>
        <v>Below Quality Standards- 3 Flags</v>
      </c>
      <c r="G401" t="str">
        <f>IFERROR(__xludf.DUMMYFUNCTION("""COMPUTED_VALUE"""),"Project Management &amp; Operations")</f>
        <v>Project Management &amp; Operations</v>
      </c>
      <c r="H401" t="str">
        <f>IFERROR(__xludf.DUMMYFUNCTION("""COMPUTED_VALUE"""),"Project Management Fundamentals")</f>
        <v>Project Management Fundamentals</v>
      </c>
      <c r="I401">
        <f>IFERROR(__xludf.DUMMYFUNCTION("""COMPUTED_VALUE"""),946742.0)</f>
        <v>946742</v>
      </c>
      <c r="J401" s="140" t="str">
        <f>IFERROR(__xludf.DUMMYFUNCTION("""COMPUTED_VALUE"""),"Beginning Project Management: Project Management Level One")</f>
        <v>Beginning Project Management: Project Management Level One</v>
      </c>
      <c r="K401" s="140">
        <f>IFERROR(__xludf.DUMMYFUNCTION("""COMPUTED_VALUE"""),848496.0)</f>
        <v>848496</v>
      </c>
      <c r="L401" s="140" t="str">
        <f>IFERROR(__xludf.DUMMYFUNCTION("""COMPUTED_VALUE"""),"Deeply Practical Project Management (Earn 16 PDUs)")</f>
        <v>Deeply Practical Project Management (Earn 16 PDUs)</v>
      </c>
    </row>
    <row r="402">
      <c r="A402" s="199">
        <f>IFERROR(__xludf.DUMMYFUNCTION("""COMPUTED_VALUE"""),43496.0)</f>
        <v>43496</v>
      </c>
      <c r="B402" s="140">
        <f>IFERROR(__xludf.DUMMYFUNCTION("""COMPUTED_VALUE"""),1128050.0)</f>
        <v>1128050</v>
      </c>
      <c r="C402" s="140" t="str">
        <f>IFERROR(__xludf.DUMMYFUNCTION("""COMPUTED_VALUE"""),"EN")</f>
        <v>EN</v>
      </c>
      <c r="D402" t="str">
        <f>IFERROR(__xludf.DUMMYFUNCTION("""COMPUTED_VALUE"""),"Server API Development in Swift, Kitura, &amp; Bluemix")</f>
        <v>Server API Development in Swift, Kitura, &amp; Bluemix</v>
      </c>
      <c r="E402" t="str">
        <f>IFERROR(__xludf.DUMMYFUNCTION("""COMPUTED_VALUE"""),"Mark Price")</f>
        <v>Mark Price</v>
      </c>
      <c r="F402" t="str">
        <f>IFERROR(__xludf.DUMMYFUNCTION("""COMPUTED_VALUE"""),"Below Quality Standards- 3 Flags")</f>
        <v>Below Quality Standards- 3 Flags</v>
      </c>
      <c r="G402" t="str">
        <f>IFERROR(__xludf.DUMMYFUNCTION("""COMPUTED_VALUE"""),"Development")</f>
        <v>Development</v>
      </c>
      <c r="H402" t="str">
        <f>IFERROR(__xludf.DUMMYFUNCTION("""COMPUTED_VALUE"""),"Mobile Development")</f>
        <v>Mobile Development</v>
      </c>
      <c r="J402" s="140" t="str">
        <f>IFERROR(__xludf.DUMMYFUNCTION("""COMPUTED_VALUE"""),"")</f>
        <v/>
      </c>
      <c r="L402" s="140" t="str">
        <f>IFERROR(__xludf.DUMMYFUNCTION("""COMPUTED_VALUE"""),"")</f>
        <v/>
      </c>
    </row>
    <row r="403">
      <c r="A403" s="199">
        <f>IFERROR(__xludf.DUMMYFUNCTION("""COMPUTED_VALUE"""),43496.0)</f>
        <v>43496</v>
      </c>
      <c r="B403" s="140">
        <f>IFERROR(__xludf.DUMMYFUNCTION("""COMPUTED_VALUE"""),1304152.0)</f>
        <v>1304152</v>
      </c>
      <c r="C403" s="140" t="str">
        <f>IFERROR(__xludf.DUMMYFUNCTION("""COMPUTED_VALUE"""),"EN")</f>
        <v>EN</v>
      </c>
      <c r="D403" t="str">
        <f>IFERROR(__xludf.DUMMYFUNCTION("""COMPUTED_VALUE"""),"Creating and Maintaining the Best Company Culture")</f>
        <v>Creating and Maintaining the Best Company Culture</v>
      </c>
      <c r="E403" t="str">
        <f>IFERROR(__xludf.DUMMYFUNCTION("""COMPUTED_VALUE"""),"Illumeo Learning")</f>
        <v>Illumeo Learning</v>
      </c>
      <c r="F403" t="str">
        <f>IFERROR(__xludf.DUMMYFUNCTION("""COMPUTED_VALUE"""),"Below Quality Standards- 3 Flags")</f>
        <v>Below Quality Standards- 3 Flags</v>
      </c>
      <c r="G403" t="str">
        <f>IFERROR(__xludf.DUMMYFUNCTION("""COMPUTED_VALUE"""),"Human Resources")</f>
        <v>Human Resources</v>
      </c>
      <c r="H403" t="str">
        <f>IFERROR(__xludf.DUMMYFUNCTION("""COMPUTED_VALUE"""),"Talent Management")</f>
        <v>Talent Management</v>
      </c>
      <c r="I403">
        <f>IFERROR(__xludf.DUMMYFUNCTION("""COMPUTED_VALUE"""),1476730.0)</f>
        <v>1476730</v>
      </c>
      <c r="J403" s="140" t="str">
        <f>IFERROR(__xludf.DUMMYFUNCTION("""COMPUTED_VALUE"""),"Lean Leadership Skills, Lean Culture &amp; Lean Management")</f>
        <v>Lean Leadership Skills, Lean Culture &amp; Lean Management</v>
      </c>
      <c r="K403" s="140">
        <f>IFERROR(__xludf.DUMMYFUNCTION("""COMPUTED_VALUE"""),1597956.0)</f>
        <v>1597956</v>
      </c>
      <c r="L403" s="140" t="str">
        <f>IFERROR(__xludf.DUMMYFUNCTION("""COMPUTED_VALUE"""),"Build A Culture of Freedom &amp; Responsibility by Patty McCord")</f>
        <v>Build A Culture of Freedom &amp; Responsibility by Patty McCord</v>
      </c>
    </row>
    <row r="404">
      <c r="A404" s="199">
        <f>IFERROR(__xludf.DUMMYFUNCTION("""COMPUTED_VALUE"""),43496.0)</f>
        <v>43496</v>
      </c>
      <c r="B404" s="140">
        <f>IFERROR(__xludf.DUMMYFUNCTION("""COMPUTED_VALUE"""),440602.0)</f>
        <v>440602</v>
      </c>
      <c r="C404" s="140" t="str">
        <f>IFERROR(__xludf.DUMMYFUNCTION("""COMPUTED_VALUE"""),"EN")</f>
        <v>EN</v>
      </c>
      <c r="D404" t="str">
        <f>IFERROR(__xludf.DUMMYFUNCTION("""COMPUTED_VALUE"""),"Build a Digital Transformation Dream Team")</f>
        <v>Build a Digital Transformation Dream Team</v>
      </c>
      <c r="E404" t="str">
        <f>IFERROR(__xludf.DUMMYFUNCTION("""COMPUTED_VALUE"""),"Mike Connor")</f>
        <v>Mike Connor</v>
      </c>
      <c r="F404" t="str">
        <f>IFERROR(__xludf.DUMMYFUNCTION("""COMPUTED_VALUE"""),"Below Quality Standards- 3 Flags")</f>
        <v>Below Quality Standards- 3 Flags</v>
      </c>
      <c r="G404" t="str">
        <f>IFERROR(__xludf.DUMMYFUNCTION("""COMPUTED_VALUE"""),"Leadership &amp; Management")</f>
        <v>Leadership &amp; Management</v>
      </c>
      <c r="H404" t="str">
        <f>IFERROR(__xludf.DUMMYFUNCTION("""COMPUTED_VALUE"""),"Strategy")</f>
        <v>Strategy</v>
      </c>
      <c r="J404" s="140" t="str">
        <f>IFERROR(__xludf.DUMMYFUNCTION("""COMPUTED_VALUE"""),"")</f>
        <v/>
      </c>
      <c r="L404" s="140" t="str">
        <f>IFERROR(__xludf.DUMMYFUNCTION("""COMPUTED_VALUE"""),"")</f>
        <v/>
      </c>
    </row>
    <row r="405">
      <c r="A405" s="199">
        <f>IFERROR(__xludf.DUMMYFUNCTION("""COMPUTED_VALUE"""),43496.0)</f>
        <v>43496</v>
      </c>
      <c r="B405" s="140">
        <f>IFERROR(__xludf.DUMMYFUNCTION("""COMPUTED_VALUE"""),582772.0)</f>
        <v>582772</v>
      </c>
      <c r="C405" s="140" t="str">
        <f>IFERROR(__xludf.DUMMYFUNCTION("""COMPUTED_VALUE"""),"EN")</f>
        <v>EN</v>
      </c>
      <c r="D405" t="str">
        <f>IFERROR(__xludf.DUMMYFUNCTION("""COMPUTED_VALUE"""),"Culture | How to Build Collaborative and Focused Teams")</f>
        <v>Culture | How to Build Collaborative and Focused Teams</v>
      </c>
      <c r="E405" t="str">
        <f>IFERROR(__xludf.DUMMYFUNCTION("""COMPUTED_VALUE"""),"Learoy Tonight")</f>
        <v>Learoy Tonight</v>
      </c>
      <c r="F405" t="str">
        <f>IFERROR(__xludf.DUMMYFUNCTION("""COMPUTED_VALUE"""),"Below Quality Standards- 3 Flags")</f>
        <v>Below Quality Standards- 3 Flags</v>
      </c>
      <c r="G405" t="str">
        <f>IFERROR(__xludf.DUMMYFUNCTION("""COMPUTED_VALUE"""),"Leadership &amp; Management")</f>
        <v>Leadership &amp; Management</v>
      </c>
      <c r="H405" t="str">
        <f>IFERROR(__xludf.DUMMYFUNCTION("""COMPUTED_VALUE"""),"Leadership")</f>
        <v>Leadership</v>
      </c>
      <c r="I405">
        <f>IFERROR(__xludf.DUMMYFUNCTION("""COMPUTED_VALUE"""),1476730.0)</f>
        <v>1476730</v>
      </c>
      <c r="J405" s="140" t="str">
        <f>IFERROR(__xludf.DUMMYFUNCTION("""COMPUTED_VALUE"""),"Lean Leadership Skills, Lean Culture &amp; Lean Management")</f>
        <v>Lean Leadership Skills, Lean Culture &amp; Lean Management</v>
      </c>
      <c r="K405" s="140">
        <f>IFERROR(__xludf.DUMMYFUNCTION("""COMPUTED_VALUE"""),1476730.0)</f>
        <v>1476730</v>
      </c>
      <c r="L405" s="140" t="str">
        <f>IFERROR(__xludf.DUMMYFUNCTION("""COMPUTED_VALUE"""),"Lean Leadership Skills, Lean Culture &amp; Lean Management")</f>
        <v>Lean Leadership Skills, Lean Culture &amp; Lean Management</v>
      </c>
    </row>
    <row r="406">
      <c r="A406" s="199">
        <f>IFERROR(__xludf.DUMMYFUNCTION("""COMPUTED_VALUE"""),43496.0)</f>
        <v>43496</v>
      </c>
      <c r="B406" s="140">
        <f>IFERROR(__xludf.DUMMYFUNCTION("""COMPUTED_VALUE"""),1169898.0)</f>
        <v>1169898</v>
      </c>
      <c r="C406" s="140" t="str">
        <f>IFERROR(__xludf.DUMMYFUNCTION("""COMPUTED_VALUE"""),"EN")</f>
        <v>EN</v>
      </c>
      <c r="D406" t="str">
        <f>IFERROR(__xludf.DUMMYFUNCTION("""COMPUTED_VALUE"""),"Cloud Computing with Apache CloudStack: Run your own cloud")</f>
        <v>Cloud Computing with Apache CloudStack: Run your own cloud</v>
      </c>
      <c r="E406" t="str">
        <f>IFERROR(__xludf.DUMMYFUNCTION("""COMPUTED_VALUE"""),"TetraNoodle Team")</f>
        <v>TetraNoodle Team</v>
      </c>
      <c r="F406" t="str">
        <f>IFERROR(__xludf.DUMMYFUNCTION("""COMPUTED_VALUE"""),"Below Quality Standards- 3 Flags")</f>
        <v>Below Quality Standards- 3 Flags</v>
      </c>
      <c r="G406" t="str">
        <f>IFERROR(__xludf.DUMMYFUNCTION("""COMPUTED_VALUE"""),"Cloud Computing")</f>
        <v>Cloud Computing</v>
      </c>
      <c r="H406" t="str">
        <f>IFERROR(__xludf.DUMMYFUNCTION("""COMPUTED_VALUE"""),"Cloud Development")</f>
        <v>Cloud Development</v>
      </c>
      <c r="I406">
        <f>IFERROR(__xludf.DUMMYFUNCTION("""COMPUTED_VALUE"""),1076804.0)</f>
        <v>1076804</v>
      </c>
      <c r="J406" s="140" t="str">
        <f>IFERROR(__xludf.DUMMYFUNCTION("""COMPUTED_VALUE"""),"OpenStack Essentials")</f>
        <v>OpenStack Essentials</v>
      </c>
      <c r="K406" s="140">
        <f>IFERROR(__xludf.DUMMYFUNCTION("""COMPUTED_VALUE"""),1169898.0)</f>
        <v>1169898</v>
      </c>
      <c r="L406" s="140" t="str">
        <f>IFERROR(__xludf.DUMMYFUNCTION("""COMPUTED_VALUE"""),"")</f>
        <v/>
      </c>
    </row>
    <row r="407">
      <c r="A407" s="199">
        <f>IFERROR(__xludf.DUMMYFUNCTION("""COMPUTED_VALUE"""),43496.0)</f>
        <v>43496</v>
      </c>
      <c r="B407" s="140">
        <f>IFERROR(__xludf.DUMMYFUNCTION("""COMPUTED_VALUE"""),773212.0)</f>
        <v>773212</v>
      </c>
      <c r="C407" s="140" t="str">
        <f>IFERROR(__xludf.DUMMYFUNCTION("""COMPUTED_VALUE"""),"EN")</f>
        <v>EN</v>
      </c>
      <c r="D407" t="str">
        <f>IFERROR(__xludf.DUMMYFUNCTION("""COMPUTED_VALUE"""),"Mastering Microsoft Outlook 2016 Made Easy Training Tutorial")</f>
        <v>Mastering Microsoft Outlook 2016 Made Easy Training Tutorial</v>
      </c>
      <c r="E407" t="str">
        <f>IFERROR(__xludf.DUMMYFUNCTION("""COMPUTED_VALUE"""),"TeachUcomp, Inc.")</f>
        <v>TeachUcomp, Inc.</v>
      </c>
      <c r="F407" t="str">
        <f>IFERROR(__xludf.DUMMYFUNCTION("""COMPUTED_VALUE"""),"Below Quality Standards- 3 Flags")</f>
        <v>Below Quality Standards- 3 Flags</v>
      </c>
      <c r="G407" t="str">
        <f>IFERROR(__xludf.DUMMYFUNCTION("""COMPUTED_VALUE"""),"Office Productivity")</f>
        <v>Office Productivity</v>
      </c>
      <c r="H407" t="str">
        <f>IFERROR(__xludf.DUMMYFUNCTION("""COMPUTED_VALUE"""),"Email &amp; Productivity")</f>
        <v>Email &amp; Productivity</v>
      </c>
      <c r="I407">
        <f>IFERROR(__xludf.DUMMYFUNCTION("""COMPUTED_VALUE"""),969148.0)</f>
        <v>969148</v>
      </c>
      <c r="J407" s="140" t="str">
        <f>IFERROR(__xludf.DUMMYFUNCTION("""COMPUTED_VALUE"""),"Microsoft Outlook 2016: Beginner and Intermediate Training")</f>
        <v>Microsoft Outlook 2016: Beginner and Intermediate Training</v>
      </c>
      <c r="L407" s="140" t="str">
        <f>IFERROR(__xludf.DUMMYFUNCTION("""COMPUTED_VALUE"""),"")</f>
        <v/>
      </c>
    </row>
    <row r="408">
      <c r="A408" s="199">
        <f>IFERROR(__xludf.DUMMYFUNCTION("""COMPUTED_VALUE"""),43496.0)</f>
        <v>43496</v>
      </c>
      <c r="B408" s="140">
        <f>IFERROR(__xludf.DUMMYFUNCTION("""COMPUTED_VALUE"""),680378.0)</f>
        <v>680378</v>
      </c>
      <c r="C408" s="140" t="str">
        <f>IFERROR(__xludf.DUMMYFUNCTION("""COMPUTED_VALUE"""),"EN")</f>
        <v>EN</v>
      </c>
      <c r="D408" t="str">
        <f>IFERROR(__xludf.DUMMYFUNCTION("""COMPUTED_VALUE"""),"The Complete Microsoft Word 2016 Training For Everyone")</f>
        <v>The Complete Microsoft Word 2016 Training For Everyone</v>
      </c>
      <c r="E408" t="str">
        <f>IFERROR(__xludf.DUMMYFUNCTION("""COMPUTED_VALUE"""),"Everyday Solutions")</f>
        <v>Everyday Solutions</v>
      </c>
      <c r="F408" t="str">
        <f>IFERROR(__xludf.DUMMYFUNCTION("""COMPUTED_VALUE"""),"Below Quality Standards- 3 Flags")</f>
        <v>Below Quality Standards- 3 Flags</v>
      </c>
      <c r="G408" t="str">
        <f>IFERROR(__xludf.DUMMYFUNCTION("""COMPUTED_VALUE"""),"Office Productivity")</f>
        <v>Office Productivity</v>
      </c>
      <c r="H408" t="str">
        <f>IFERROR(__xludf.DUMMYFUNCTION("""COMPUTED_VALUE"""),"Word Processing")</f>
        <v>Word Processing</v>
      </c>
      <c r="I408">
        <f>IFERROR(__xludf.DUMMYFUNCTION("""COMPUTED_VALUE"""),1235430.0)</f>
        <v>1235430</v>
      </c>
      <c r="J408" s="140" t="str">
        <f>IFERROR(__xludf.DUMMYFUNCTION("""COMPUTED_VALUE"""),"Master Microsoft Word Beginner to Advanced")</f>
        <v>Master Microsoft Word Beginner to Advanced</v>
      </c>
      <c r="K408" s="140">
        <f>IFERROR(__xludf.DUMMYFUNCTION("""COMPUTED_VALUE"""),919934.0)</f>
        <v>919934</v>
      </c>
      <c r="L408" s="140" t="str">
        <f>IFERROR(__xludf.DUMMYFUNCTION("""COMPUTED_VALUE"""),"Learn Microsoft Word 2016 For Beginners - Basics to Advanced")</f>
        <v>Learn Microsoft Word 2016 For Beginners - Basics to Advanced</v>
      </c>
    </row>
    <row r="409">
      <c r="A409" s="199">
        <f>IFERROR(__xludf.DUMMYFUNCTION("""COMPUTED_VALUE"""),43496.0)</f>
        <v>43496</v>
      </c>
      <c r="B409" s="140">
        <f>IFERROR(__xludf.DUMMYFUNCTION("""COMPUTED_VALUE"""),1274118.0)</f>
        <v>1274118</v>
      </c>
      <c r="C409" s="140" t="str">
        <f>IFERROR(__xludf.DUMMYFUNCTION("""COMPUTED_VALUE"""),"EN")</f>
        <v>EN</v>
      </c>
      <c r="D409" t="str">
        <f>IFERROR(__xludf.DUMMYFUNCTION("""COMPUTED_VALUE"""),"How to Pull Off Major Organization Development (OD) changes")</f>
        <v>How to Pull Off Major Organization Development (OD) changes</v>
      </c>
      <c r="E409" t="str">
        <f>IFERROR(__xludf.DUMMYFUNCTION("""COMPUTED_VALUE"""),"Illumeo Learning")</f>
        <v>Illumeo Learning</v>
      </c>
      <c r="F409" t="str">
        <f>IFERROR(__xludf.DUMMYFUNCTION("""COMPUTED_VALUE"""),"Below Quality Standards- 3 Flags")</f>
        <v>Below Quality Standards- 3 Flags</v>
      </c>
      <c r="G409" t="str">
        <f>IFERROR(__xludf.DUMMYFUNCTION("""COMPUTED_VALUE"""),"Human Resources")</f>
        <v>Human Resources</v>
      </c>
      <c r="H409" t="str">
        <f>IFERROR(__xludf.DUMMYFUNCTION("""COMPUTED_VALUE"""),"Talent Management")</f>
        <v>Talent Management</v>
      </c>
      <c r="J409" s="140" t="str">
        <f>IFERROR(__xludf.DUMMYFUNCTION("""COMPUTED_VALUE"""),"")</f>
        <v/>
      </c>
      <c r="L409" s="140" t="str">
        <f>IFERROR(__xludf.DUMMYFUNCTION("""COMPUTED_VALUE"""),"")</f>
        <v/>
      </c>
    </row>
    <row r="410">
      <c r="A410" s="199">
        <f>IFERROR(__xludf.DUMMYFUNCTION("""COMPUTED_VALUE"""),43496.0)</f>
        <v>43496</v>
      </c>
      <c r="B410" s="140">
        <f>IFERROR(__xludf.DUMMYFUNCTION("""COMPUTED_VALUE"""),1306766.0)</f>
        <v>1306766</v>
      </c>
      <c r="C410" s="140" t="str">
        <f>IFERROR(__xludf.DUMMYFUNCTION("""COMPUTED_VALUE"""),"EN")</f>
        <v>EN</v>
      </c>
      <c r="D410" t="str">
        <f>IFERROR(__xludf.DUMMYFUNCTION("""COMPUTED_VALUE"""),"Global Business: Cultural and Behavioral Norms Part II")</f>
        <v>Global Business: Cultural and Behavioral Norms Part II</v>
      </c>
      <c r="E410" t="str">
        <f>IFERROR(__xludf.DUMMYFUNCTION("""COMPUTED_VALUE"""),"Illumeo Learning")</f>
        <v>Illumeo Learning</v>
      </c>
      <c r="F410" t="str">
        <f>IFERROR(__xludf.DUMMYFUNCTION("""COMPUTED_VALUE"""),"Below Quality Standards- 3 Flags")</f>
        <v>Below Quality Standards- 3 Flags</v>
      </c>
      <c r="G410" t="str">
        <f>IFERROR(__xludf.DUMMYFUNCTION("""COMPUTED_VALUE"""),"Leadership &amp; Management")</f>
        <v>Leadership &amp; Management</v>
      </c>
      <c r="H410" t="str">
        <f>IFERROR(__xludf.DUMMYFUNCTION("""COMPUTED_VALUE"""),"Leadership")</f>
        <v>Leadership</v>
      </c>
      <c r="J410" s="140" t="str">
        <f>IFERROR(__xludf.DUMMYFUNCTION("""COMPUTED_VALUE"""),"")</f>
        <v/>
      </c>
      <c r="L410" s="140" t="str">
        <f>IFERROR(__xludf.DUMMYFUNCTION("""COMPUTED_VALUE"""),"")</f>
        <v/>
      </c>
    </row>
    <row r="411">
      <c r="A411" s="199">
        <f>IFERROR(__xludf.DUMMYFUNCTION("""COMPUTED_VALUE"""),43496.0)</f>
        <v>43496</v>
      </c>
      <c r="B411" s="140">
        <f>IFERROR(__xludf.DUMMYFUNCTION("""COMPUTED_VALUE"""),1245132.0)</f>
        <v>1245132</v>
      </c>
      <c r="C411" s="140" t="str">
        <f>IFERROR(__xludf.DUMMYFUNCTION("""COMPUTED_VALUE"""),"EN")</f>
        <v>EN</v>
      </c>
      <c r="D411" t="str">
        <f>IFERROR(__xludf.DUMMYFUNCTION("""COMPUTED_VALUE"""),"Investigating Corporate Inappropriate Behavior Complaints")</f>
        <v>Investigating Corporate Inappropriate Behavior Complaints</v>
      </c>
      <c r="E411" t="str">
        <f>IFERROR(__xludf.DUMMYFUNCTION("""COMPUTED_VALUE"""),"Illumeo Learning")</f>
        <v>Illumeo Learning</v>
      </c>
      <c r="F411" t="str">
        <f>IFERROR(__xludf.DUMMYFUNCTION("""COMPUTED_VALUE"""),"Below Quality Standards- 3 Flags")</f>
        <v>Below Quality Standards- 3 Flags</v>
      </c>
      <c r="G411" t="str">
        <f>IFERROR(__xludf.DUMMYFUNCTION("""COMPUTED_VALUE"""),"Human Resources")</f>
        <v>Human Resources</v>
      </c>
      <c r="H411" t="str">
        <f>IFERROR(__xludf.DUMMYFUNCTION("""COMPUTED_VALUE"""),"Compliance")</f>
        <v>Compliance</v>
      </c>
      <c r="J411" s="140" t="str">
        <f>IFERROR(__xludf.DUMMYFUNCTION("""COMPUTED_VALUE"""),"")</f>
        <v/>
      </c>
      <c r="L411" s="140" t="str">
        <f>IFERROR(__xludf.DUMMYFUNCTION("""COMPUTED_VALUE"""),"")</f>
        <v/>
      </c>
    </row>
    <row r="412">
      <c r="A412" s="199">
        <f>IFERROR(__xludf.DUMMYFUNCTION("""COMPUTED_VALUE"""),43496.0)</f>
        <v>43496</v>
      </c>
      <c r="B412" s="140">
        <f>IFERROR(__xludf.DUMMYFUNCTION("""COMPUTED_VALUE"""),424692.0)</f>
        <v>424692</v>
      </c>
      <c r="C412" s="140" t="str">
        <f>IFERROR(__xludf.DUMMYFUNCTION("""COMPUTED_VALUE"""),"EN")</f>
        <v>EN</v>
      </c>
      <c r="D412" t="str">
        <f>IFERROR(__xludf.DUMMYFUNCTION("""COMPUTED_VALUE"""),"Rapid PrimeFaces")</f>
        <v>Rapid PrimeFaces</v>
      </c>
      <c r="E412" t="str">
        <f>IFERROR(__xludf.DUMMYFUNCTION("""COMPUTED_VALUE"""),"Packt Publishing")</f>
        <v>Packt Publishing</v>
      </c>
      <c r="F412" t="str">
        <f>IFERROR(__xludf.DUMMYFUNCTION("""COMPUTED_VALUE"""),"Below Quality Standards- 3 Flags")</f>
        <v>Below Quality Standards- 3 Flags</v>
      </c>
      <c r="G412" t="str">
        <f>IFERROR(__xludf.DUMMYFUNCTION("""COMPUTED_VALUE"""),"Development")</f>
        <v>Development</v>
      </c>
      <c r="H412" t="str">
        <f>IFERROR(__xludf.DUMMYFUNCTION("""COMPUTED_VALUE"""),"Web Development")</f>
        <v>Web Development</v>
      </c>
      <c r="J412" s="140" t="str">
        <f>IFERROR(__xludf.DUMMYFUNCTION("""COMPUTED_VALUE"""),"")</f>
        <v/>
      </c>
      <c r="L412" s="140" t="str">
        <f>IFERROR(__xludf.DUMMYFUNCTION("""COMPUTED_VALUE"""),"")</f>
        <v/>
      </c>
    </row>
    <row r="413">
      <c r="A413" s="199">
        <f>IFERROR(__xludf.DUMMYFUNCTION("""COMPUTED_VALUE"""),43496.0)</f>
        <v>43496</v>
      </c>
      <c r="B413" s="140">
        <f>IFERROR(__xludf.DUMMYFUNCTION("""COMPUTED_VALUE"""),476062.0)</f>
        <v>476062</v>
      </c>
      <c r="C413" s="140" t="str">
        <f>IFERROR(__xludf.DUMMYFUNCTION("""COMPUTED_VALUE"""),"EN")</f>
        <v>EN</v>
      </c>
      <c r="D413" t="str">
        <f>IFERROR(__xludf.DUMMYFUNCTION("""COMPUTED_VALUE"""),"Dreamweaver Web Design for Complete Beginners")</f>
        <v>Dreamweaver Web Design for Complete Beginners</v>
      </c>
      <c r="E413" t="str">
        <f>IFERROR(__xludf.DUMMYFUNCTION("""COMPUTED_VALUE"""),"Framework Television Inc.")</f>
        <v>Framework Television Inc.</v>
      </c>
      <c r="F413" t="str">
        <f>IFERROR(__xludf.DUMMYFUNCTION("""COMPUTED_VALUE"""),"Below Quality Standards- 3 Flags")</f>
        <v>Below Quality Standards- 3 Flags</v>
      </c>
      <c r="G413" t="str">
        <f>IFERROR(__xludf.DUMMYFUNCTION("""COMPUTED_VALUE"""),"Design")</f>
        <v>Design</v>
      </c>
      <c r="H413" t="str">
        <f>IFERROR(__xludf.DUMMYFUNCTION("""COMPUTED_VALUE"""),"Web Design")</f>
        <v>Web Design</v>
      </c>
      <c r="I413">
        <f>IFERROR(__xludf.DUMMYFUNCTION("""COMPUTED_VALUE"""),1343998.0)</f>
        <v>1343998</v>
      </c>
      <c r="J413" s="140" t="str">
        <f>IFERROR(__xludf.DUMMYFUNCTION("""COMPUTED_VALUE"""),"Responsive Design HTML CSS Web design - Dreamweaver CC")</f>
        <v>Responsive Design HTML CSS Web design - Dreamweaver CC</v>
      </c>
      <c r="K413" s="140">
        <f>IFERROR(__xludf.DUMMYFUNCTION("""COMPUTED_VALUE"""),1002594.0)</f>
        <v>1002594</v>
      </c>
      <c r="L413" s="140" t="str">
        <f>IFERROR(__xludf.DUMMYFUNCTION("""COMPUTED_VALUE"""),"Dreamweaver - Coding your first website using Dreamweaver")</f>
        <v>Dreamweaver - Coding your first website using Dreamweaver</v>
      </c>
    </row>
    <row r="414">
      <c r="A414" s="199">
        <f>IFERROR(__xludf.DUMMYFUNCTION("""COMPUTED_VALUE"""),43496.0)</f>
        <v>43496</v>
      </c>
      <c r="B414" s="140">
        <f>IFERROR(__xludf.DUMMYFUNCTION("""COMPUTED_VALUE"""),179978.0)</f>
        <v>179978</v>
      </c>
      <c r="C414" s="140" t="str">
        <f>IFERROR(__xludf.DUMMYFUNCTION("""COMPUTED_VALUE"""),"EN")</f>
        <v>EN</v>
      </c>
      <c r="D414" t="str">
        <f>IFERROR(__xludf.DUMMYFUNCTION("""COMPUTED_VALUE"""),"How to Make IT Work Successfully in Capital Markets")</f>
        <v>How to Make IT Work Successfully in Capital Markets</v>
      </c>
      <c r="E414" t="str">
        <f>IFERROR(__xludf.DUMMYFUNCTION("""COMPUTED_VALUE"""),"Starweaver Group")</f>
        <v>Starweaver Group</v>
      </c>
      <c r="F414" t="str">
        <f>IFERROR(__xludf.DUMMYFUNCTION("""COMPUTED_VALUE"""),"Below Quality Standards- 3 Flags")</f>
        <v>Below Quality Standards- 3 Flags</v>
      </c>
      <c r="G414" t="str">
        <f>IFERROR(__xludf.DUMMYFUNCTION("""COMPUTED_VALUE"""),"Finance &amp; Accounting")</f>
        <v>Finance &amp; Accounting</v>
      </c>
      <c r="H414" t="str">
        <f>IFERROR(__xludf.DUMMYFUNCTION("""COMPUTED_VALUE"""),"Investing &amp; Trading")</f>
        <v>Investing &amp; Trading</v>
      </c>
      <c r="I414">
        <f>IFERROR(__xludf.DUMMYFUNCTION("""COMPUTED_VALUE"""),169662.0)</f>
        <v>169662</v>
      </c>
      <c r="J414" s="140" t="str">
        <f>IFERROR(__xludf.DUMMYFUNCTION("""COMPUTED_VALUE"""),"Capital Market Immersion")</f>
        <v>Capital Market Immersion</v>
      </c>
      <c r="L414" s="140" t="str">
        <f>IFERROR(__xludf.DUMMYFUNCTION("""COMPUTED_VALUE"""),"")</f>
        <v/>
      </c>
    </row>
    <row r="415">
      <c r="A415" s="199">
        <f>IFERROR(__xludf.DUMMYFUNCTION("""COMPUTED_VALUE"""),43496.0)</f>
        <v>43496</v>
      </c>
      <c r="B415" s="140">
        <f>IFERROR(__xludf.DUMMYFUNCTION("""COMPUTED_VALUE"""),935942.0)</f>
        <v>935942</v>
      </c>
      <c r="C415" s="140" t="str">
        <f>IFERROR(__xludf.DUMMYFUNCTION("""COMPUTED_VALUE"""),"EN")</f>
        <v>EN</v>
      </c>
      <c r="D415" t="str">
        <f>IFERROR(__xludf.DUMMYFUNCTION("""COMPUTED_VALUE"""),"The 3 Levers: Create a 12-Month Business Growth Strategy")</f>
        <v>The 3 Levers: Create a 12-Month Business Growth Strategy</v>
      </c>
      <c r="E415" t="str">
        <f>IFERROR(__xludf.DUMMYFUNCTION("""COMPUTED_VALUE"""),"Davis Jones")</f>
        <v>Davis Jones</v>
      </c>
      <c r="F415" t="str">
        <f>IFERROR(__xludf.DUMMYFUNCTION("""COMPUTED_VALUE"""),"Below Quality Standards- 3 Flags")</f>
        <v>Below Quality Standards- 3 Flags</v>
      </c>
      <c r="G415" t="str">
        <f>IFERROR(__xludf.DUMMYFUNCTION("""COMPUTED_VALUE"""),"Leadership &amp; Management")</f>
        <v>Leadership &amp; Management</v>
      </c>
      <c r="H415" t="str">
        <f>IFERROR(__xludf.DUMMYFUNCTION("""COMPUTED_VALUE"""),"Strategy")</f>
        <v>Strategy</v>
      </c>
      <c r="I415">
        <f>IFERROR(__xludf.DUMMYFUNCTION("""COMPUTED_VALUE"""),1269254.0)</f>
        <v>1269254</v>
      </c>
      <c r="J415" s="140" t="str">
        <f>IFERROR(__xludf.DUMMYFUNCTION("""COMPUTED_VALUE"""),"MBA in a Box: Business Lessons from a CEO")</f>
        <v>MBA in a Box: Business Lessons from a CEO</v>
      </c>
      <c r="K415" s="140">
        <f>IFERROR(__xludf.DUMMYFUNCTION("""COMPUTED_VALUE"""),1300254.0)</f>
        <v>1300254</v>
      </c>
      <c r="L415" s="140" t="str">
        <f>IFERROR(__xludf.DUMMYFUNCTION("""COMPUTED_VALUE"""),"Business Fundamentals: Corporate Strategy")</f>
        <v>Business Fundamentals: Corporate Strategy</v>
      </c>
    </row>
    <row r="416">
      <c r="A416" s="199">
        <f>IFERROR(__xludf.DUMMYFUNCTION("""COMPUTED_VALUE"""),43496.0)</f>
        <v>43496</v>
      </c>
      <c r="B416" s="140">
        <f>IFERROR(__xludf.DUMMYFUNCTION("""COMPUTED_VALUE"""),60528.0)</f>
        <v>60528</v>
      </c>
      <c r="C416" s="140" t="str">
        <f>IFERROR(__xludf.DUMMYFUNCTION("""COMPUTED_VALUE"""),"EN")</f>
        <v>EN</v>
      </c>
      <c r="D416" t="str">
        <f>IFERROR(__xludf.DUMMYFUNCTION("""COMPUTED_VALUE"""),"Mr. Spreadsheet’s Favorite Excel 2010 Tips &amp; Tricks")</f>
        <v>Mr. Spreadsheet’s Favorite Excel 2010 Tips &amp; Tricks</v>
      </c>
      <c r="E416" t="str">
        <f>IFERROR(__xludf.DUMMYFUNCTION("""COMPUTED_VALUE"""),"John Wiley &amp; Sons, Inc.")</f>
        <v>John Wiley &amp; Sons, Inc.</v>
      </c>
      <c r="F416" t="str">
        <f>IFERROR(__xludf.DUMMYFUNCTION("""COMPUTED_VALUE"""),"Below Quality Standards- 3 Flags")</f>
        <v>Below Quality Standards- 3 Flags</v>
      </c>
      <c r="G416" t="str">
        <f>IFERROR(__xludf.DUMMYFUNCTION("""COMPUTED_VALUE"""),"Office Productivity")</f>
        <v>Office Productivity</v>
      </c>
      <c r="H416" t="str">
        <f>IFERROR(__xludf.DUMMYFUNCTION("""COMPUTED_VALUE"""),"Spreadsheets")</f>
        <v>Spreadsheets</v>
      </c>
      <c r="I416">
        <f>IFERROR(__xludf.DUMMYFUNCTION("""COMPUTED_VALUE"""),321410.0)</f>
        <v>321410</v>
      </c>
      <c r="J416" s="140" t="str">
        <f>IFERROR(__xludf.DUMMYFUNCTION("""COMPUTED_VALUE"""),"Beginner to Pro in Excel: Financial Modeling and Valuation")</f>
        <v>Beginner to Pro in Excel: Financial Modeling and Valuation</v>
      </c>
      <c r="L416" s="140" t="str">
        <f>IFERROR(__xludf.DUMMYFUNCTION("""COMPUTED_VALUE"""),"")</f>
        <v/>
      </c>
    </row>
    <row r="417">
      <c r="A417" s="199">
        <f>IFERROR(__xludf.DUMMYFUNCTION("""COMPUTED_VALUE"""),43496.0)</f>
        <v>43496</v>
      </c>
      <c r="B417" s="140">
        <f>IFERROR(__xludf.DUMMYFUNCTION("""COMPUTED_VALUE"""),729356.0)</f>
        <v>729356</v>
      </c>
      <c r="C417" s="140" t="str">
        <f>IFERROR(__xludf.DUMMYFUNCTION("""COMPUTED_VALUE"""),"EN")</f>
        <v>EN</v>
      </c>
      <c r="D417" t="str">
        <f>IFERROR(__xludf.DUMMYFUNCTION("""COMPUTED_VALUE"""),"C# Cross-Platform Tricks: Run ASP.NET Applications On Linux")</f>
        <v>C# Cross-Platform Tricks: Run ASP.NET Applications On Linux</v>
      </c>
      <c r="E417" t="str">
        <f>IFERROR(__xludf.DUMMYFUNCTION("""COMPUTED_VALUE"""),"Mark Farragher")</f>
        <v>Mark Farragher</v>
      </c>
      <c r="F417" t="str">
        <f>IFERROR(__xludf.DUMMYFUNCTION("""COMPUTED_VALUE"""),"Below Quality Standards- 3 Flags")</f>
        <v>Below Quality Standards- 3 Flags</v>
      </c>
      <c r="G417" t="str">
        <f>IFERROR(__xludf.DUMMYFUNCTION("""COMPUTED_VALUE"""),"Development")</f>
        <v>Development</v>
      </c>
      <c r="H417" t="str">
        <f>IFERROR(__xludf.DUMMYFUNCTION("""COMPUTED_VALUE"""),"Web Development")</f>
        <v>Web Development</v>
      </c>
      <c r="I417">
        <f>IFERROR(__xludf.DUMMYFUNCTION("""COMPUTED_VALUE"""),924090.0)</f>
        <v>924090</v>
      </c>
      <c r="J417" s="140" t="str">
        <f>IFERROR(__xludf.DUMMYFUNCTION("""COMPUTED_VALUE"""),"Linux Administration Bootcamp: Go from Beginner to Advanced")</f>
        <v>Linux Administration Bootcamp: Go from Beginner to Advanced</v>
      </c>
      <c r="K417" s="140">
        <f>IFERROR(__xludf.DUMMYFUNCTION("""COMPUTED_VALUE"""),256758.0)</f>
        <v>256758</v>
      </c>
      <c r="L417" s="140" t="str">
        <f>IFERROR(__xludf.DUMMYFUNCTION("""COMPUTED_VALUE"""),"Learn Linux in 5 Days and Level Up Your Career")</f>
        <v>Learn Linux in 5 Days and Level Up Your Career</v>
      </c>
    </row>
    <row r="418">
      <c r="A418" s="199">
        <f>IFERROR(__xludf.DUMMYFUNCTION("""COMPUTED_VALUE"""),43496.0)</f>
        <v>43496</v>
      </c>
      <c r="B418" s="140">
        <f>IFERROR(__xludf.DUMMYFUNCTION("""COMPUTED_VALUE"""),1273986.0)</f>
        <v>1273986</v>
      </c>
      <c r="C418" s="140" t="str">
        <f>IFERROR(__xludf.DUMMYFUNCTION("""COMPUTED_VALUE"""),"EN")</f>
        <v>EN</v>
      </c>
      <c r="D418" t="str">
        <f>IFERROR(__xludf.DUMMYFUNCTION("""COMPUTED_VALUE"""),"The Evolution of Organization Development")</f>
        <v>The Evolution of Organization Development</v>
      </c>
      <c r="E418" t="str">
        <f>IFERROR(__xludf.DUMMYFUNCTION("""COMPUTED_VALUE"""),"Illumeo Learning")</f>
        <v>Illumeo Learning</v>
      </c>
      <c r="F418" t="str">
        <f>IFERROR(__xludf.DUMMYFUNCTION("""COMPUTED_VALUE"""),"Below Quality Standards- 3 Flags")</f>
        <v>Below Quality Standards- 3 Flags</v>
      </c>
      <c r="G418" t="str">
        <f>IFERROR(__xludf.DUMMYFUNCTION("""COMPUTED_VALUE"""),"Human Resources")</f>
        <v>Human Resources</v>
      </c>
      <c r="H418" t="str">
        <f>IFERROR(__xludf.DUMMYFUNCTION("""COMPUTED_VALUE"""),"Talent Management")</f>
        <v>Talent Management</v>
      </c>
      <c r="J418" s="140" t="str">
        <f>IFERROR(__xludf.DUMMYFUNCTION("""COMPUTED_VALUE"""),"")</f>
        <v/>
      </c>
      <c r="L418" s="140" t="str">
        <f>IFERROR(__xludf.DUMMYFUNCTION("""COMPUTED_VALUE"""),"")</f>
        <v/>
      </c>
    </row>
    <row r="419">
      <c r="A419" s="199">
        <f>IFERROR(__xludf.DUMMYFUNCTION("""COMPUTED_VALUE"""),43496.0)</f>
        <v>43496</v>
      </c>
      <c r="B419" s="140">
        <f>IFERROR(__xludf.DUMMYFUNCTION("""COMPUTED_VALUE"""),417820.0)</f>
        <v>417820</v>
      </c>
      <c r="C419" s="140" t="str">
        <f>IFERROR(__xludf.DUMMYFUNCTION("""COMPUTED_VALUE"""),"EN")</f>
        <v>EN</v>
      </c>
      <c r="D419" t="str">
        <f>IFERROR(__xludf.DUMMYFUNCTION("""COMPUTED_VALUE"""),"Webinar Success Formula: How to Create Awesome Webinars")</f>
        <v>Webinar Success Formula: How to Create Awesome Webinars</v>
      </c>
      <c r="E419" t="str">
        <f>IFERROR(__xludf.DUMMYFUNCTION("""COMPUTED_VALUE"""),"Shane M.")</f>
        <v>Shane M.</v>
      </c>
      <c r="F419" t="str">
        <f>IFERROR(__xludf.DUMMYFUNCTION("""COMPUTED_VALUE"""),"Below Quality Standards- 3 Flags")</f>
        <v>Below Quality Standards- 3 Flags</v>
      </c>
      <c r="G419" t="str">
        <f>IFERROR(__xludf.DUMMYFUNCTION("""COMPUTED_VALUE"""),"Marketing")</f>
        <v>Marketing</v>
      </c>
      <c r="H419" t="str">
        <f>IFERROR(__xludf.DUMMYFUNCTION("""COMPUTED_VALUE"""),"Paid Advertising")</f>
        <v>Paid Advertising</v>
      </c>
      <c r="I419">
        <f>IFERROR(__xludf.DUMMYFUNCTION("""COMPUTED_VALUE"""),466216.0)</f>
        <v>466216</v>
      </c>
      <c r="J419" s="140" t="str">
        <f>IFERROR(__xludf.DUMMYFUNCTION("""COMPUTED_VALUE"""),"The Webinar Selling System")</f>
        <v>The Webinar Selling System</v>
      </c>
      <c r="K419" s="140">
        <f>IFERROR(__xludf.DUMMYFUNCTION("""COMPUTED_VALUE"""),311048.0)</f>
        <v>311048</v>
      </c>
      <c r="L419" s="140" t="str">
        <f>IFERROR(__xludf.DUMMYFUNCTION("""COMPUTED_VALUE"""),"Virtual Presentation Skills Webinar - Beginner to Advanced!")</f>
        <v>Virtual Presentation Skills Webinar - Beginner to Advanced!</v>
      </c>
    </row>
    <row r="420">
      <c r="A420" s="199">
        <f>IFERROR(__xludf.DUMMYFUNCTION("""COMPUTED_VALUE"""),43496.0)</f>
        <v>43496</v>
      </c>
      <c r="B420" s="140">
        <f>IFERROR(__xludf.DUMMYFUNCTION("""COMPUTED_VALUE"""),777390.0)</f>
        <v>777390</v>
      </c>
      <c r="C420" s="140" t="str">
        <f>IFERROR(__xludf.DUMMYFUNCTION("""COMPUTED_VALUE"""),"EN")</f>
        <v>EN</v>
      </c>
      <c r="D420" t="str">
        <f>IFERROR(__xludf.DUMMYFUNCTION("""COMPUTED_VALUE"""),"Snapchat Marketing For Business: Quick Start Guide")</f>
        <v>Snapchat Marketing For Business: Quick Start Guide</v>
      </c>
      <c r="E420" t="str">
        <f>IFERROR(__xludf.DUMMYFUNCTION("""COMPUTED_VALUE"""),"Eddie Makes")</f>
        <v>Eddie Makes</v>
      </c>
      <c r="F420" t="str">
        <f>IFERROR(__xludf.DUMMYFUNCTION("""COMPUTED_VALUE"""),"Below Quality Standards- 3 Flags")</f>
        <v>Below Quality Standards- 3 Flags</v>
      </c>
      <c r="G420" t="str">
        <f>IFERROR(__xludf.DUMMYFUNCTION("""COMPUTED_VALUE"""),"Marketing")</f>
        <v>Marketing</v>
      </c>
      <c r="H420" t="str">
        <f>IFERROR(__xludf.DUMMYFUNCTION("""COMPUTED_VALUE"""),"Social Media Marketing")</f>
        <v>Social Media Marketing</v>
      </c>
      <c r="J420" s="140" t="str">
        <f>IFERROR(__xludf.DUMMYFUNCTION("""COMPUTED_VALUE"""),"")</f>
        <v/>
      </c>
      <c r="L420" s="140" t="str">
        <f>IFERROR(__xludf.DUMMYFUNCTION("""COMPUTED_VALUE"""),"")</f>
        <v/>
      </c>
    </row>
    <row r="421">
      <c r="A421" s="199">
        <f>IFERROR(__xludf.DUMMYFUNCTION("""COMPUTED_VALUE"""),43496.0)</f>
        <v>43496</v>
      </c>
      <c r="B421" s="140">
        <f>IFERROR(__xludf.DUMMYFUNCTION("""COMPUTED_VALUE"""),215736.0)</f>
        <v>215736</v>
      </c>
      <c r="C421" s="140" t="str">
        <f>IFERROR(__xludf.DUMMYFUNCTION("""COMPUTED_VALUE"""),"EN")</f>
        <v>EN</v>
      </c>
      <c r="D421" t="str">
        <f>IFERROR(__xludf.DUMMYFUNCTION("""COMPUTED_VALUE"""),"Foundation 5 - Learn Responsive Design &amp; Rapid Prototyping")</f>
        <v>Foundation 5 - Learn Responsive Design &amp; Rapid Prototyping</v>
      </c>
      <c r="E421" t="str">
        <f>IFERROR(__xludf.DUMMYFUNCTION("""COMPUTED_VALUE"""),"Sandra L")</f>
        <v>Sandra L</v>
      </c>
      <c r="F421" t="str">
        <f>IFERROR(__xludf.DUMMYFUNCTION("""COMPUTED_VALUE"""),"Below Quality Standards- 3 Flags")</f>
        <v>Below Quality Standards- 3 Flags</v>
      </c>
      <c r="G421" t="str">
        <f>IFERROR(__xludf.DUMMYFUNCTION("""COMPUTED_VALUE"""),"Design")</f>
        <v>Design</v>
      </c>
      <c r="H421" t="str">
        <f>IFERROR(__xludf.DUMMYFUNCTION("""COMPUTED_VALUE"""),"Web Design")</f>
        <v>Web Design</v>
      </c>
      <c r="I421">
        <f>IFERROR(__xludf.DUMMYFUNCTION("""COMPUTED_VALUE"""),1283676.0)</f>
        <v>1283676</v>
      </c>
      <c r="J421" s="140" t="str">
        <f>IFERROR(__xludf.DUMMYFUNCTION("""COMPUTED_VALUE"""),"Adobe XD UI/UX Design, prototype, and handoff from scratch")</f>
        <v>Adobe XD UI/UX Design, prototype, and handoff from scratch</v>
      </c>
      <c r="K421" s="140">
        <f>IFERROR(__xludf.DUMMYFUNCTION("""COMPUTED_VALUE"""),945826.0)</f>
        <v>945826</v>
      </c>
      <c r="L421" s="140" t="str">
        <f>IFERROR(__xludf.DUMMYFUNCTION("""COMPUTED_VALUE"""),"")</f>
        <v/>
      </c>
    </row>
    <row r="422">
      <c r="A422" s="199">
        <f>IFERROR(__xludf.DUMMYFUNCTION("""COMPUTED_VALUE"""),43496.0)</f>
        <v>43496</v>
      </c>
      <c r="B422" s="140">
        <f>IFERROR(__xludf.DUMMYFUNCTION("""COMPUTED_VALUE"""),442016.0)</f>
        <v>442016</v>
      </c>
      <c r="C422" s="140" t="str">
        <f>IFERROR(__xludf.DUMMYFUNCTION("""COMPUTED_VALUE"""),"EN")</f>
        <v>EN</v>
      </c>
      <c r="D422" t="str">
        <f>IFERROR(__xludf.DUMMYFUNCTION("""COMPUTED_VALUE"""),"Apple based system: How to profit from a Mac, iPhone, &amp; iPad")</f>
        <v>Apple based system: How to profit from a Mac, iPhone, &amp; iPad</v>
      </c>
      <c r="E422" t="str">
        <f>IFERROR(__xludf.DUMMYFUNCTION("""COMPUTED_VALUE"""),"Markus Mueller")</f>
        <v>Markus Mueller</v>
      </c>
      <c r="F422" t="str">
        <f>IFERROR(__xludf.DUMMYFUNCTION("""COMPUTED_VALUE"""),"Below Quality Standards- 3 Flags")</f>
        <v>Below Quality Standards- 3 Flags</v>
      </c>
      <c r="G422" t="str">
        <f>IFERROR(__xludf.DUMMYFUNCTION("""COMPUTED_VALUE"""),"IT Operations")</f>
        <v>IT Operations</v>
      </c>
      <c r="H422" t="str">
        <f>IFERROR(__xludf.DUMMYFUNCTION("""COMPUTED_VALUE"""),"Operating Systems &amp; Servers")</f>
        <v>Operating Systems &amp; Servers</v>
      </c>
      <c r="I422">
        <f>IFERROR(__xludf.DUMMYFUNCTION("""COMPUTED_VALUE"""),959400.0)</f>
        <v>959400</v>
      </c>
      <c r="J422" s="140" t="str">
        <f>IFERROR(__xludf.DUMMYFUNCTION("""COMPUTED_VALUE"""),"The Guide to macOS Sierra / High Sierra")</f>
        <v>The Guide to macOS Sierra / High Sierra</v>
      </c>
      <c r="L422" s="140" t="str">
        <f>IFERROR(__xludf.DUMMYFUNCTION("""COMPUTED_VALUE"""),"")</f>
        <v/>
      </c>
    </row>
    <row r="423">
      <c r="A423" s="199">
        <f>IFERROR(__xludf.DUMMYFUNCTION("""COMPUTED_VALUE"""),43496.0)</f>
        <v>43496</v>
      </c>
      <c r="B423" s="140">
        <f>IFERROR(__xludf.DUMMYFUNCTION("""COMPUTED_VALUE"""),411376.0)</f>
        <v>411376</v>
      </c>
      <c r="C423" s="140" t="str">
        <f>IFERROR(__xludf.DUMMYFUNCTION("""COMPUTED_VALUE"""),"EN")</f>
        <v>EN</v>
      </c>
      <c r="D423" t="str">
        <f>IFERROR(__xludf.DUMMYFUNCTION("""COMPUTED_VALUE"""),"Diversifying Your Products or Services")</f>
        <v>Diversifying Your Products or Services</v>
      </c>
      <c r="E423" t="str">
        <f>IFERROR(__xludf.DUMMYFUNCTION("""COMPUTED_VALUE"""),"The Main Street Entrepreneur")</f>
        <v>The Main Street Entrepreneur</v>
      </c>
      <c r="F423" t="str">
        <f>IFERROR(__xludf.DUMMYFUNCTION("""COMPUTED_VALUE"""),"Below Quality Standards- 3 Flags")</f>
        <v>Below Quality Standards- 3 Flags</v>
      </c>
      <c r="G423" t="str">
        <f>IFERROR(__xludf.DUMMYFUNCTION("""COMPUTED_VALUE"""),"Leadership &amp; Management")</f>
        <v>Leadership &amp; Management</v>
      </c>
      <c r="H423" t="str">
        <f>IFERROR(__xludf.DUMMYFUNCTION("""COMPUTED_VALUE"""),"Strategy")</f>
        <v>Strategy</v>
      </c>
      <c r="I423">
        <f>IFERROR(__xludf.DUMMYFUNCTION("""COMPUTED_VALUE"""),240450.0)</f>
        <v>240450</v>
      </c>
      <c r="J423" s="140" t="str">
        <f>IFERROR(__xludf.DUMMYFUNCTION("""COMPUTED_VALUE"""),"Business Strategy Execution: Agile Organization Design")</f>
        <v>Business Strategy Execution: Agile Organization Design</v>
      </c>
      <c r="L423" s="140" t="str">
        <f>IFERROR(__xludf.DUMMYFUNCTION("""COMPUTED_VALUE"""),"")</f>
        <v/>
      </c>
    </row>
    <row r="424">
      <c r="A424" s="199">
        <f>IFERROR(__xludf.DUMMYFUNCTION("""COMPUTED_VALUE"""),43496.0)</f>
        <v>43496</v>
      </c>
      <c r="B424" s="140">
        <f>IFERROR(__xludf.DUMMYFUNCTION("""COMPUTED_VALUE"""),309896.0)</f>
        <v>309896</v>
      </c>
      <c r="C424" s="140" t="str">
        <f>IFERROR(__xludf.DUMMYFUNCTION("""COMPUTED_VALUE"""),"EN")</f>
        <v>EN</v>
      </c>
      <c r="D424" t="str">
        <f>IFERROR(__xludf.DUMMYFUNCTION("""COMPUTED_VALUE"""),"Beginning Yii")</f>
        <v>Beginning Yii</v>
      </c>
      <c r="E424" t="str">
        <f>IFERROR(__xludf.DUMMYFUNCTION("""COMPUTED_VALUE"""),"Packt Publishing")</f>
        <v>Packt Publishing</v>
      </c>
      <c r="F424" t="str">
        <f>IFERROR(__xludf.DUMMYFUNCTION("""COMPUTED_VALUE"""),"Below Quality Standards- 3 Flags")</f>
        <v>Below Quality Standards- 3 Flags</v>
      </c>
      <c r="G424" t="str">
        <f>IFERROR(__xludf.DUMMYFUNCTION("""COMPUTED_VALUE"""),"Development")</f>
        <v>Development</v>
      </c>
      <c r="H424" t="str">
        <f>IFERROR(__xludf.DUMMYFUNCTION("""COMPUTED_VALUE"""),"Web Development")</f>
        <v>Web Development</v>
      </c>
      <c r="J424" s="140" t="str">
        <f>IFERROR(__xludf.DUMMYFUNCTION("""COMPUTED_VALUE"""),"")</f>
        <v/>
      </c>
      <c r="L424" s="140" t="str">
        <f>IFERROR(__xludf.DUMMYFUNCTION("""COMPUTED_VALUE"""),"")</f>
        <v/>
      </c>
    </row>
    <row r="425">
      <c r="A425" s="199">
        <f>IFERROR(__xludf.DUMMYFUNCTION("""COMPUTED_VALUE"""),43496.0)</f>
        <v>43496</v>
      </c>
      <c r="B425" s="140">
        <f>IFERROR(__xludf.DUMMYFUNCTION("""COMPUTED_VALUE"""),556296.0)</f>
        <v>556296</v>
      </c>
      <c r="C425" s="140" t="str">
        <f>IFERROR(__xludf.DUMMYFUNCTION("""COMPUTED_VALUE"""),"EN")</f>
        <v>EN</v>
      </c>
      <c r="D425" t="str">
        <f>IFERROR(__xludf.DUMMYFUNCTION("""COMPUTED_VALUE"""),"Windows Phone Mobile App Development")</f>
        <v>Windows Phone Mobile App Development</v>
      </c>
      <c r="E425" t="str">
        <f>IFERROR(__xludf.DUMMYFUNCTION("""COMPUTED_VALUE"""),"Tiffany Ford")</f>
        <v>Tiffany Ford</v>
      </c>
      <c r="F425" t="str">
        <f>IFERROR(__xludf.DUMMYFUNCTION("""COMPUTED_VALUE"""),"Below Quality Standards- 3 Flags")</f>
        <v>Below Quality Standards- 3 Flags</v>
      </c>
      <c r="G425" t="str">
        <f>IFERROR(__xludf.DUMMYFUNCTION("""COMPUTED_VALUE"""),"Development")</f>
        <v>Development</v>
      </c>
      <c r="H425" t="str">
        <f>IFERROR(__xludf.DUMMYFUNCTION("""COMPUTED_VALUE"""),"Mobile Development")</f>
        <v>Mobile Development</v>
      </c>
      <c r="J425" s="140" t="str">
        <f>IFERROR(__xludf.DUMMYFUNCTION("""COMPUTED_VALUE"""),"")</f>
        <v/>
      </c>
      <c r="L425" s="140" t="str">
        <f>IFERROR(__xludf.DUMMYFUNCTION("""COMPUTED_VALUE"""),"")</f>
        <v/>
      </c>
    </row>
    <row r="426">
      <c r="A426" s="199">
        <f>IFERROR(__xludf.DUMMYFUNCTION("""COMPUTED_VALUE"""),43496.0)</f>
        <v>43496</v>
      </c>
      <c r="B426" s="140">
        <f>IFERROR(__xludf.DUMMYFUNCTION("""COMPUTED_VALUE"""),103176.0)</f>
        <v>103176</v>
      </c>
      <c r="C426" s="140" t="str">
        <f>IFERROR(__xludf.DUMMYFUNCTION("""COMPUTED_VALUE"""),"EN")</f>
        <v>EN</v>
      </c>
      <c r="D426" t="str">
        <f>IFERROR(__xludf.DUMMYFUNCTION("""COMPUTED_VALUE"""),"ScreenFlow: Complete Guide to Screencasting with ScreenFlow")</f>
        <v>ScreenFlow: Complete Guide to Screencasting with ScreenFlow</v>
      </c>
      <c r="E426" t="str">
        <f>IFERROR(__xludf.DUMMYFUNCTION("""COMPUTED_VALUE"""),"Phil Ebiner")</f>
        <v>Phil Ebiner</v>
      </c>
      <c r="F426" t="str">
        <f>IFERROR(__xludf.DUMMYFUNCTION("""COMPUTED_VALUE"""),"Below Quality Standards- 3 Flags")</f>
        <v>Below Quality Standards- 3 Flags</v>
      </c>
      <c r="G426" t="str">
        <f>IFERROR(__xludf.DUMMYFUNCTION("""COMPUTED_VALUE"""),"Human Resources")</f>
        <v>Human Resources</v>
      </c>
      <c r="H426" t="str">
        <f>IFERROR(__xludf.DUMMYFUNCTION("""COMPUTED_VALUE"""),"Learning &amp; Development")</f>
        <v>Learning &amp; Development</v>
      </c>
      <c r="J426" s="140" t="str">
        <f>IFERROR(__xludf.DUMMYFUNCTION("""COMPUTED_VALUE"""),"")</f>
        <v/>
      </c>
      <c r="L426" s="140" t="str">
        <f>IFERROR(__xludf.DUMMYFUNCTION("""COMPUTED_VALUE"""),"")</f>
        <v/>
      </c>
    </row>
    <row r="427">
      <c r="A427" s="199">
        <f>IFERROR(__xludf.DUMMYFUNCTION("""COMPUTED_VALUE"""),43496.0)</f>
        <v>43496</v>
      </c>
      <c r="B427" s="140">
        <f>IFERROR(__xludf.DUMMYFUNCTION("""COMPUTED_VALUE"""),26021.0)</f>
        <v>26021</v>
      </c>
      <c r="C427" s="140" t="str">
        <f>IFERROR(__xludf.DUMMYFUNCTION("""COMPUTED_VALUE"""),"EN")</f>
        <v>EN</v>
      </c>
      <c r="D427" t="str">
        <f>IFERROR(__xludf.DUMMYFUNCTION("""COMPUTED_VALUE"""),"iPad for Beginners")</f>
        <v>iPad for Beginners</v>
      </c>
      <c r="E427" t="str">
        <f>IFERROR(__xludf.DUMMYFUNCTION("""COMPUTED_VALUE"""),"Learn iT! Anytime")</f>
        <v>Learn iT! Anytime</v>
      </c>
      <c r="F427" t="str">
        <f>IFERROR(__xludf.DUMMYFUNCTION("""COMPUTED_VALUE"""),"Below Quality Standards- 3 Flags")</f>
        <v>Below Quality Standards- 3 Flags</v>
      </c>
      <c r="G427" t="str">
        <f>IFERROR(__xludf.DUMMYFUNCTION("""COMPUTED_VALUE"""),"IT Operations")</f>
        <v>IT Operations</v>
      </c>
      <c r="H427" t="str">
        <f>IFERROR(__xludf.DUMMYFUNCTION("""COMPUTED_VALUE"""),"Operating Systems &amp; Servers")</f>
        <v>Operating Systems &amp; Servers</v>
      </c>
      <c r="J427" s="140" t="str">
        <f>IFERROR(__xludf.DUMMYFUNCTION("""COMPUTED_VALUE"""),"")</f>
        <v/>
      </c>
      <c r="L427" s="140" t="str">
        <f>IFERROR(__xludf.DUMMYFUNCTION("""COMPUTED_VALUE"""),"")</f>
        <v/>
      </c>
    </row>
    <row r="428">
      <c r="A428" s="199">
        <f>IFERROR(__xludf.DUMMYFUNCTION("""COMPUTED_VALUE"""),43496.0)</f>
        <v>43496</v>
      </c>
      <c r="B428" s="140">
        <f>IFERROR(__xludf.DUMMYFUNCTION("""COMPUTED_VALUE"""),821228.0)</f>
        <v>821228</v>
      </c>
      <c r="C428" s="140" t="str">
        <f>IFERROR(__xludf.DUMMYFUNCTION("""COMPUTED_VALUE"""),"EN")</f>
        <v>EN</v>
      </c>
      <c r="D428" t="str">
        <f>IFERROR(__xludf.DUMMYFUNCTION("""COMPUTED_VALUE"""),"Mastering Camera Raw and Adobe Bridge")</f>
        <v>Mastering Camera Raw and Adobe Bridge</v>
      </c>
      <c r="E428" t="str">
        <f>IFERROR(__xludf.DUMMYFUNCTION("""COMPUTED_VALUE"""),"Scott Kaine")</f>
        <v>Scott Kaine</v>
      </c>
      <c r="F428" t="str">
        <f>IFERROR(__xludf.DUMMYFUNCTION("""COMPUTED_VALUE"""),"Below Quality Standards- 3 Flags")</f>
        <v>Below Quality Standards- 3 Flags</v>
      </c>
      <c r="G428" t="str">
        <f>IFERROR(__xludf.DUMMYFUNCTION("""COMPUTED_VALUE"""),"Design")</f>
        <v>Design</v>
      </c>
      <c r="H428" t="str">
        <f>IFERROR(__xludf.DUMMYFUNCTION("""COMPUTED_VALUE"""),"Graphic Design")</f>
        <v>Graphic Design</v>
      </c>
      <c r="J428" s="140" t="str">
        <f>IFERROR(__xludf.DUMMYFUNCTION("""COMPUTED_VALUE"""),"")</f>
        <v/>
      </c>
      <c r="L428" s="140" t="str">
        <f>IFERROR(__xludf.DUMMYFUNCTION("""COMPUTED_VALUE"""),"")</f>
        <v/>
      </c>
    </row>
    <row r="429">
      <c r="A429" s="199">
        <f>IFERROR(__xludf.DUMMYFUNCTION("""COMPUTED_VALUE"""),43496.0)</f>
        <v>43496</v>
      </c>
      <c r="B429" s="140">
        <f>IFERROR(__xludf.DUMMYFUNCTION("""COMPUTED_VALUE"""),350198.0)</f>
        <v>350198</v>
      </c>
      <c r="C429" s="140" t="str">
        <f>IFERROR(__xludf.DUMMYFUNCTION("""COMPUTED_VALUE"""),"EN")</f>
        <v>EN</v>
      </c>
      <c r="D429" t="str">
        <f>IFERROR(__xludf.DUMMYFUNCTION("""COMPUTED_VALUE"""),"Podcasting: How to Speak Effectively on Your Own Podcast")</f>
        <v>Podcasting: How to Speak Effectively on Your Own Podcast</v>
      </c>
      <c r="E429" t="str">
        <f>IFERROR(__xludf.DUMMYFUNCTION("""COMPUTED_VALUE"""),"TJ Walker")</f>
        <v>TJ Walker</v>
      </c>
      <c r="F429" t="str">
        <f>IFERROR(__xludf.DUMMYFUNCTION("""COMPUTED_VALUE"""),"Below Quality Standards- 3 Flags")</f>
        <v>Below Quality Standards- 3 Flags</v>
      </c>
      <c r="G429" t="str">
        <f>IFERROR(__xludf.DUMMYFUNCTION("""COMPUTED_VALUE"""),"Leadership &amp; Management")</f>
        <v>Leadership &amp; Management</v>
      </c>
      <c r="H429" t="str">
        <f>IFERROR(__xludf.DUMMYFUNCTION("""COMPUTED_VALUE"""),"Communication")</f>
        <v>Communication</v>
      </c>
      <c r="I429">
        <f>IFERROR(__xludf.DUMMYFUNCTION("""COMPUTED_VALUE"""),1417860.0)</f>
        <v>1417860</v>
      </c>
      <c r="J429" s="140" t="str">
        <f>IFERROR(__xludf.DUMMYFUNCTION("""COMPUTED_VALUE"""),"The Podcast Masterclass: The Complete Guide to Podcasting")</f>
        <v>The Podcast Masterclass: The Complete Guide to Podcasting</v>
      </c>
      <c r="K429" s="140">
        <f>IFERROR(__xludf.DUMMYFUNCTION("""COMPUTED_VALUE"""),433102.0)</f>
        <v>433102</v>
      </c>
      <c r="L429" s="140" t="str">
        <f>IFERROR(__xludf.DUMMYFUNCTION("""COMPUTED_VALUE"""),"Professional Podcast Production, Editing &amp; Blueprint")</f>
        <v>Professional Podcast Production, Editing &amp; Blueprint</v>
      </c>
    </row>
    <row r="430">
      <c r="A430" s="199">
        <f>IFERROR(__xludf.DUMMYFUNCTION("""COMPUTED_VALUE"""),43496.0)</f>
        <v>43496</v>
      </c>
      <c r="B430" s="140">
        <f>IFERROR(__xludf.DUMMYFUNCTION("""COMPUTED_VALUE"""),653310.0)</f>
        <v>653310</v>
      </c>
      <c r="C430" s="140" t="str">
        <f>IFERROR(__xludf.DUMMYFUNCTION("""COMPUTED_VALUE"""),"EN")</f>
        <v>EN</v>
      </c>
      <c r="D430" t="str">
        <f>IFERROR(__xludf.DUMMYFUNCTION("""COMPUTED_VALUE"""),"Leverage the Power of Generations")</f>
        <v>Leverage the Power of Generations</v>
      </c>
      <c r="E430" t="str">
        <f>IFERROR(__xludf.DUMMYFUNCTION("""COMPUTED_VALUE"""),"Laura Goodrich")</f>
        <v>Laura Goodrich</v>
      </c>
      <c r="F430" t="str">
        <f>IFERROR(__xludf.DUMMYFUNCTION("""COMPUTED_VALUE"""),"Below Quality Standards- 3 Flags")</f>
        <v>Below Quality Standards- 3 Flags</v>
      </c>
      <c r="G430" t="str">
        <f>IFERROR(__xludf.DUMMYFUNCTION("""COMPUTED_VALUE"""),"Human Resources")</f>
        <v>Human Resources</v>
      </c>
      <c r="H430" t="str">
        <f>IFERROR(__xludf.DUMMYFUNCTION("""COMPUTED_VALUE"""),"Compliance")</f>
        <v>Compliance</v>
      </c>
      <c r="I430">
        <f>IFERROR(__xludf.DUMMYFUNCTION("""COMPUTED_VALUE"""),1449746.0)</f>
        <v>1449746</v>
      </c>
      <c r="J430" s="140" t="str">
        <f>IFERROR(__xludf.DUMMYFUNCTION("""COMPUTED_VALUE"""),"Business Development &amp; B2B Sales for Startups- Sales Valley")</f>
        <v>Business Development &amp; B2B Sales for Startups- Sales Valley</v>
      </c>
      <c r="L430" s="140" t="str">
        <f>IFERROR(__xludf.DUMMYFUNCTION("""COMPUTED_VALUE"""),"")</f>
        <v/>
      </c>
    </row>
    <row r="431">
      <c r="A431" s="199">
        <f>IFERROR(__xludf.DUMMYFUNCTION("""COMPUTED_VALUE"""),43496.0)</f>
        <v>43496</v>
      </c>
      <c r="B431" s="140">
        <f>IFERROR(__xludf.DUMMYFUNCTION("""COMPUTED_VALUE"""),376498.0)</f>
        <v>376498</v>
      </c>
      <c r="C431" s="140" t="str">
        <f>IFERROR(__xludf.DUMMYFUNCTION("""COMPUTED_VALUE"""),"EN")</f>
        <v>EN</v>
      </c>
      <c r="D431" t="str">
        <f>IFERROR(__xludf.DUMMYFUNCTION("""COMPUTED_VALUE"""),"PowerPoint for Mac - From Beginner to Expert in 4 Hours")</f>
        <v>PowerPoint for Mac - From Beginner to Expert in 4 Hours</v>
      </c>
      <c r="E431" t="str">
        <f>IFERROR(__xludf.DUMMYFUNCTION("""COMPUTED_VALUE"""),"Todd McLeod")</f>
        <v>Todd McLeod</v>
      </c>
      <c r="F431" t="str">
        <f>IFERROR(__xludf.DUMMYFUNCTION("""COMPUTED_VALUE"""),"Below Quality Standards- 3 Flags")</f>
        <v>Below Quality Standards- 3 Flags</v>
      </c>
      <c r="G431" t="str">
        <f>IFERROR(__xludf.DUMMYFUNCTION("""COMPUTED_VALUE"""),"Office Productivity")</f>
        <v>Office Productivity</v>
      </c>
      <c r="H431" t="str">
        <f>IFERROR(__xludf.DUMMYFUNCTION("""COMPUTED_VALUE"""),"Presentations")</f>
        <v>Presentations</v>
      </c>
      <c r="I431">
        <f>IFERROR(__xludf.DUMMYFUNCTION("""COMPUTED_VALUE"""),395700.0)</f>
        <v>395700</v>
      </c>
      <c r="J431" s="140" t="str">
        <f>IFERROR(__xludf.DUMMYFUNCTION("""COMPUTED_VALUE"""),"Microsoft PowerPoint in 1 Hour : Introduction to PowerPoint")</f>
        <v>Microsoft PowerPoint in 1 Hour : Introduction to PowerPoint</v>
      </c>
      <c r="L431" s="140" t="str">
        <f>IFERROR(__xludf.DUMMYFUNCTION("""COMPUTED_VALUE"""),"")</f>
        <v/>
      </c>
    </row>
    <row r="432">
      <c r="A432" s="199">
        <f>IFERROR(__xludf.DUMMYFUNCTION("""COMPUTED_VALUE"""),43496.0)</f>
        <v>43496</v>
      </c>
      <c r="B432" s="140">
        <f>IFERROR(__xludf.DUMMYFUNCTION("""COMPUTED_VALUE"""),660940.0)</f>
        <v>660940</v>
      </c>
      <c r="C432" s="140" t="str">
        <f>IFERROR(__xludf.DUMMYFUNCTION("""COMPUTED_VALUE"""),"EN")</f>
        <v>EN</v>
      </c>
      <c r="D432" t="str">
        <f>IFERROR(__xludf.DUMMYFUNCTION("""COMPUTED_VALUE"""),"Learning Yii 2")</f>
        <v>Learning Yii 2</v>
      </c>
      <c r="E432" t="str">
        <f>IFERROR(__xludf.DUMMYFUNCTION("""COMPUTED_VALUE"""),"Packt Publishing")</f>
        <v>Packt Publishing</v>
      </c>
      <c r="F432" t="str">
        <f>IFERROR(__xludf.DUMMYFUNCTION("""COMPUTED_VALUE"""),"Below Quality Standards- 3 Flags")</f>
        <v>Below Quality Standards- 3 Flags</v>
      </c>
      <c r="G432" t="str">
        <f>IFERROR(__xludf.DUMMYFUNCTION("""COMPUTED_VALUE"""),"Development")</f>
        <v>Development</v>
      </c>
      <c r="H432" t="str">
        <f>IFERROR(__xludf.DUMMYFUNCTION("""COMPUTED_VALUE"""),"Web Development")</f>
        <v>Web Development</v>
      </c>
      <c r="J432" s="140" t="str">
        <f>IFERROR(__xludf.DUMMYFUNCTION("""COMPUTED_VALUE"""),"")</f>
        <v/>
      </c>
      <c r="L432" s="140" t="str">
        <f>IFERROR(__xludf.DUMMYFUNCTION("""COMPUTED_VALUE"""),"")</f>
        <v/>
      </c>
    </row>
    <row r="433">
      <c r="A433" s="199">
        <f>IFERROR(__xludf.DUMMYFUNCTION("""COMPUTED_VALUE"""),43496.0)</f>
        <v>43496</v>
      </c>
      <c r="B433" s="140">
        <f>IFERROR(__xludf.DUMMYFUNCTION("""COMPUTED_VALUE"""),582578.0)</f>
        <v>582578</v>
      </c>
      <c r="C433" s="140" t="str">
        <f>IFERROR(__xludf.DUMMYFUNCTION("""COMPUTED_VALUE"""),"EN")</f>
        <v>EN</v>
      </c>
      <c r="D433" t="str">
        <f>IFERROR(__xludf.DUMMYFUNCTION("""COMPUTED_VALUE"""),"Culture | How to Seek and Retain a Culturally Aligned Work")</f>
        <v>Culture | How to Seek and Retain a Culturally Aligned Work</v>
      </c>
      <c r="E433" t="str">
        <f>IFERROR(__xludf.DUMMYFUNCTION("""COMPUTED_VALUE"""),"Learoy Tonight")</f>
        <v>Learoy Tonight</v>
      </c>
      <c r="F433" t="str">
        <f>IFERROR(__xludf.DUMMYFUNCTION("""COMPUTED_VALUE"""),"Below Quality Standards- 3 Flags")</f>
        <v>Below Quality Standards- 3 Flags</v>
      </c>
      <c r="G433" t="str">
        <f>IFERROR(__xludf.DUMMYFUNCTION("""COMPUTED_VALUE"""),"Leadership &amp; Management")</f>
        <v>Leadership &amp; Management</v>
      </c>
      <c r="H433" t="str">
        <f>IFERROR(__xludf.DUMMYFUNCTION("""COMPUTED_VALUE"""),"Management")</f>
        <v>Management</v>
      </c>
      <c r="I433">
        <f>IFERROR(__xludf.DUMMYFUNCTION("""COMPUTED_VALUE"""),1476730.0)</f>
        <v>1476730</v>
      </c>
      <c r="J433" s="140" t="str">
        <f>IFERROR(__xludf.DUMMYFUNCTION("""COMPUTED_VALUE"""),"Lean Leadership Skills, Lean Culture &amp; Lean Management")</f>
        <v>Lean Leadership Skills, Lean Culture &amp; Lean Management</v>
      </c>
      <c r="K433" s="140">
        <f>IFERROR(__xludf.DUMMYFUNCTION("""COMPUTED_VALUE"""),1597956.0)</f>
        <v>1597956</v>
      </c>
      <c r="L433" s="140" t="str">
        <f>IFERROR(__xludf.DUMMYFUNCTION("""COMPUTED_VALUE"""),"Build A Culture of Freedom &amp; Responsibility by Patty McCord")</f>
        <v>Build A Culture of Freedom &amp; Responsibility by Patty McCord</v>
      </c>
    </row>
    <row r="434">
      <c r="A434" s="199">
        <f>IFERROR(__xludf.DUMMYFUNCTION("""COMPUTED_VALUE"""),43496.0)</f>
        <v>43496</v>
      </c>
      <c r="B434" s="140">
        <f>IFERROR(__xludf.DUMMYFUNCTION("""COMPUTED_VALUE"""),1343484.0)</f>
        <v>1343484</v>
      </c>
      <c r="C434" s="140" t="str">
        <f>IFERROR(__xludf.DUMMYFUNCTION("""COMPUTED_VALUE"""),"EN")</f>
        <v>EN</v>
      </c>
      <c r="D434" t="str">
        <f>IFERROR(__xludf.DUMMYFUNCTION("""COMPUTED_VALUE"""),"Winning Negotiation: Essential Business &amp; Life Skills")</f>
        <v>Winning Negotiation: Essential Business &amp; Life Skills</v>
      </c>
      <c r="E434" t="str">
        <f>IFERROR(__xludf.DUMMYFUNCTION("""COMPUTED_VALUE"""),"Elizabeth C. Pagé")</f>
        <v>Elizabeth C. Pagé</v>
      </c>
      <c r="F434" t="str">
        <f>IFERROR(__xludf.DUMMYFUNCTION("""COMPUTED_VALUE"""),"Below Quality Standards- 3 Flags")</f>
        <v>Below Quality Standards- 3 Flags</v>
      </c>
      <c r="G434" t="str">
        <f>IFERROR(__xludf.DUMMYFUNCTION("""COMPUTED_VALUE"""),"Leadership &amp; Management")</f>
        <v>Leadership &amp; Management</v>
      </c>
      <c r="H434" t="str">
        <f>IFERROR(__xludf.DUMMYFUNCTION("""COMPUTED_VALUE"""),"Communication")</f>
        <v>Communication</v>
      </c>
      <c r="I434">
        <f>IFERROR(__xludf.DUMMYFUNCTION("""COMPUTED_VALUE"""),477888.0)</f>
        <v>477888</v>
      </c>
      <c r="J434" s="140" t="str">
        <f>IFERROR(__xludf.DUMMYFUNCTION("""COMPUTED_VALUE"""),"Successful Negotiation: Master Your Negotiating Skills")</f>
        <v>Successful Negotiation: Master Your Negotiating Skills</v>
      </c>
      <c r="L434" s="140" t="str">
        <f>IFERROR(__xludf.DUMMYFUNCTION("""COMPUTED_VALUE"""),"")</f>
        <v/>
      </c>
    </row>
    <row r="435">
      <c r="A435" s="199">
        <f>IFERROR(__xludf.DUMMYFUNCTION("""COMPUTED_VALUE"""),43496.0)</f>
        <v>43496</v>
      </c>
      <c r="B435" s="140">
        <f>IFERROR(__xludf.DUMMYFUNCTION("""COMPUTED_VALUE"""),1249838.0)</f>
        <v>1249838</v>
      </c>
      <c r="C435" s="140" t="str">
        <f>IFERROR(__xludf.DUMMYFUNCTION("""COMPUTED_VALUE"""),"EN")</f>
        <v>EN</v>
      </c>
      <c r="D435" t="str">
        <f>IFERROR(__xludf.DUMMYFUNCTION("""COMPUTED_VALUE"""),"The Fast Track to High Performance Corporate Culture")</f>
        <v>The Fast Track to High Performance Corporate Culture</v>
      </c>
      <c r="E435" t="str">
        <f>IFERROR(__xludf.DUMMYFUNCTION("""COMPUTED_VALUE"""),"Illumeo Learning")</f>
        <v>Illumeo Learning</v>
      </c>
      <c r="F435" t="str">
        <f>IFERROR(__xludf.DUMMYFUNCTION("""COMPUTED_VALUE"""),"Below Quality Standards- 3 Flags")</f>
        <v>Below Quality Standards- 3 Flags</v>
      </c>
      <c r="G435" t="str">
        <f>IFERROR(__xludf.DUMMYFUNCTION("""COMPUTED_VALUE"""),"Human Resources")</f>
        <v>Human Resources</v>
      </c>
      <c r="H435" t="str">
        <f>IFERROR(__xludf.DUMMYFUNCTION("""COMPUTED_VALUE"""),"Talent Management")</f>
        <v>Talent Management</v>
      </c>
      <c r="I435">
        <f>IFERROR(__xludf.DUMMYFUNCTION("""COMPUTED_VALUE"""),1476730.0)</f>
        <v>1476730</v>
      </c>
      <c r="J435" s="140" t="str">
        <f>IFERROR(__xludf.DUMMYFUNCTION("""COMPUTED_VALUE"""),"Lean Leadership Skills, Lean Culture &amp; Lean Management")</f>
        <v>Lean Leadership Skills, Lean Culture &amp; Lean Management</v>
      </c>
      <c r="K435" s="140">
        <f>IFERROR(__xludf.DUMMYFUNCTION("""COMPUTED_VALUE"""),1415934.0)</f>
        <v>1415934</v>
      </c>
      <c r="L435" s="140" t="str">
        <f>IFERROR(__xludf.DUMMYFUNCTION("""COMPUTED_VALUE"""),"Management Skills - Team Leadership Skills Masterclass 2021")</f>
        <v>Management Skills - Team Leadership Skills Masterclass 2021</v>
      </c>
    </row>
    <row r="436">
      <c r="A436" s="199">
        <f>IFERROR(__xludf.DUMMYFUNCTION("""COMPUTED_VALUE"""),43496.0)</f>
        <v>43496</v>
      </c>
      <c r="B436" s="140">
        <f>IFERROR(__xludf.DUMMYFUNCTION("""COMPUTED_VALUE"""),523604.0)</f>
        <v>523604</v>
      </c>
      <c r="C436" s="140" t="str">
        <f>IFERROR(__xludf.DUMMYFUNCTION("""COMPUTED_VALUE"""),"EN")</f>
        <v>EN</v>
      </c>
      <c r="D436" t="str">
        <f>IFERROR(__xludf.DUMMYFUNCTION("""COMPUTED_VALUE"""),"Know, Like, Trust - Increase your referrals and repeat sales")</f>
        <v>Know, Like, Trust - Increase your referrals and repeat sales</v>
      </c>
      <c r="E436" t="str">
        <f>IFERROR(__xludf.DUMMYFUNCTION("""COMPUTED_VALUE"""),"Randy Whitcroft")</f>
        <v>Randy Whitcroft</v>
      </c>
      <c r="F436" t="str">
        <f>IFERROR(__xludf.DUMMYFUNCTION("""COMPUTED_VALUE"""),"Below Quality Standards- 3 Flags")</f>
        <v>Below Quality Standards- 3 Flags</v>
      </c>
      <c r="G436" t="str">
        <f>IFERROR(__xludf.DUMMYFUNCTION("""COMPUTED_VALUE"""),"Sales")</f>
        <v>Sales</v>
      </c>
      <c r="H436" t="str">
        <f>IFERROR(__xludf.DUMMYFUNCTION("""COMPUTED_VALUE"""),"Sales Skills &amp; Tools")</f>
        <v>Sales Skills &amp; Tools</v>
      </c>
      <c r="I436">
        <f>IFERROR(__xludf.DUMMYFUNCTION("""COMPUTED_VALUE"""),631534.0)</f>
        <v>631534</v>
      </c>
      <c r="J436" s="140" t="str">
        <f>IFERROR(__xludf.DUMMYFUNCTION("""COMPUTED_VALUE"""),"The Complete Sales Prospecting Bootcamp Course")</f>
        <v>The Complete Sales Prospecting Bootcamp Course</v>
      </c>
      <c r="K436" s="140">
        <f>IFERROR(__xludf.DUMMYFUNCTION("""COMPUTED_VALUE"""),619692.0)</f>
        <v>619692</v>
      </c>
      <c r="L436" s="140" t="str">
        <f>IFERROR(__xludf.DUMMYFUNCTION("""COMPUTED_VALUE"""),"Learn to Sell Anything by Grant Cardone")</f>
        <v>Learn to Sell Anything by Grant Cardone</v>
      </c>
    </row>
    <row r="437">
      <c r="A437" s="199">
        <f>IFERROR(__xludf.DUMMYFUNCTION("""COMPUTED_VALUE"""),43496.0)</f>
        <v>43496</v>
      </c>
      <c r="B437" s="140">
        <f>IFERROR(__xludf.DUMMYFUNCTION("""COMPUTED_VALUE"""),1274078.0)</f>
        <v>1274078</v>
      </c>
      <c r="C437" s="140" t="str">
        <f>IFERROR(__xludf.DUMMYFUNCTION("""COMPUTED_VALUE"""),"EN")</f>
        <v>EN</v>
      </c>
      <c r="D437" t="str">
        <f>IFERROR(__xludf.DUMMYFUNCTION("""COMPUTED_VALUE"""),"High ROI Corporate Training Design")</f>
        <v>High ROI Corporate Training Design</v>
      </c>
      <c r="E437" t="str">
        <f>IFERROR(__xludf.DUMMYFUNCTION("""COMPUTED_VALUE"""),"Illumeo Learning")</f>
        <v>Illumeo Learning</v>
      </c>
      <c r="F437" t="str">
        <f>IFERROR(__xludf.DUMMYFUNCTION("""COMPUTED_VALUE"""),"Below Quality Standards- 3 Flags")</f>
        <v>Below Quality Standards- 3 Flags</v>
      </c>
      <c r="G437" t="str">
        <f>IFERROR(__xludf.DUMMYFUNCTION("""COMPUTED_VALUE"""),"Human Resources")</f>
        <v>Human Resources</v>
      </c>
      <c r="H437" t="str">
        <f>IFERROR(__xludf.DUMMYFUNCTION("""COMPUTED_VALUE"""),"Learning &amp; Development")</f>
        <v>Learning &amp; Development</v>
      </c>
      <c r="J437" s="140" t="str">
        <f>IFERROR(__xludf.DUMMYFUNCTION("""COMPUTED_VALUE"""),"")</f>
        <v/>
      </c>
      <c r="L437" s="140" t="str">
        <f>IFERROR(__xludf.DUMMYFUNCTION("""COMPUTED_VALUE"""),"")</f>
        <v/>
      </c>
    </row>
    <row r="438">
      <c r="A438" s="199">
        <f>IFERROR(__xludf.DUMMYFUNCTION("""COMPUTED_VALUE"""),43496.0)</f>
        <v>43496</v>
      </c>
      <c r="B438" s="140">
        <f>IFERROR(__xludf.DUMMYFUNCTION("""COMPUTED_VALUE"""),537356.0)</f>
        <v>537356</v>
      </c>
      <c r="C438" s="140" t="str">
        <f>IFERROR(__xludf.DUMMYFUNCTION("""COMPUTED_VALUE"""),"EN")</f>
        <v>EN</v>
      </c>
      <c r="D438" t="str">
        <f>IFERROR(__xludf.DUMMYFUNCTION("""COMPUTED_VALUE"""),"Funding Your Business: Bootstrapping, Debt, or Equity?")</f>
        <v>Funding Your Business: Bootstrapping, Debt, or Equity?</v>
      </c>
      <c r="E438" t="str">
        <f>IFERROR(__xludf.DUMMYFUNCTION("""COMPUTED_VALUE"""),"The Main Street Entrepreneur")</f>
        <v>The Main Street Entrepreneur</v>
      </c>
      <c r="F438" t="str">
        <f>IFERROR(__xludf.DUMMYFUNCTION("""COMPUTED_VALUE"""),"Below Quality Standards- 3 Flags")</f>
        <v>Below Quality Standards- 3 Flags</v>
      </c>
      <c r="G438" t="str">
        <f>IFERROR(__xludf.DUMMYFUNCTION("""COMPUTED_VALUE"""),"Leadership &amp; Management")</f>
        <v>Leadership &amp; Management</v>
      </c>
      <c r="H438" t="str">
        <f>IFERROR(__xludf.DUMMYFUNCTION("""COMPUTED_VALUE"""),"Strategy")</f>
        <v>Strategy</v>
      </c>
      <c r="I438">
        <f>IFERROR(__xludf.DUMMYFUNCTION("""COMPUTED_VALUE"""),1016996.0)</f>
        <v>1016996</v>
      </c>
      <c r="J438" s="140" t="str">
        <f>IFERROR(__xludf.DUMMYFUNCTION("""COMPUTED_VALUE"""),"Introduction to Corporate Finance (Mergers &amp; Acquisitions)")</f>
        <v>Introduction to Corporate Finance (Mergers &amp; Acquisitions)</v>
      </c>
      <c r="K438" s="140">
        <f>IFERROR(__xludf.DUMMYFUNCTION("""COMPUTED_VALUE"""),1466336.0)</f>
        <v>1466336</v>
      </c>
      <c r="L438" s="140" t="str">
        <f>IFERROR(__xludf.DUMMYFUNCTION("""COMPUTED_VALUE"""),"Acorns' Guide to Personal Finance")</f>
        <v>Acorns' Guide to Personal Finance</v>
      </c>
    </row>
    <row r="439">
      <c r="A439" s="199">
        <f>IFERROR(__xludf.DUMMYFUNCTION("""COMPUTED_VALUE"""),43496.0)</f>
        <v>43496</v>
      </c>
      <c r="B439" s="140">
        <f>IFERROR(__xludf.DUMMYFUNCTION("""COMPUTED_VALUE"""),548926.0)</f>
        <v>548926</v>
      </c>
      <c r="C439" s="140" t="str">
        <f>IFERROR(__xludf.DUMMYFUNCTION("""COMPUTED_VALUE"""),"EN")</f>
        <v>EN</v>
      </c>
      <c r="D439" t="str">
        <f>IFERROR(__xludf.DUMMYFUNCTION("""COMPUTED_VALUE"""),"Zaxwerks 3D ProAnimator Unleashed - Master 3D Fundamentals")</f>
        <v>Zaxwerks 3D ProAnimator Unleashed - Master 3D Fundamentals</v>
      </c>
      <c r="E439" t="str">
        <f>IFERROR(__xludf.DUMMYFUNCTION("""COMPUTED_VALUE"""),"Uri Soglowek")</f>
        <v>Uri Soglowek</v>
      </c>
      <c r="F439" t="str">
        <f>IFERROR(__xludf.DUMMYFUNCTION("""COMPUTED_VALUE"""),"Below Quality Standards- 3 Flags")</f>
        <v>Below Quality Standards- 3 Flags</v>
      </c>
      <c r="G439" t="str">
        <f>IFERROR(__xludf.DUMMYFUNCTION("""COMPUTED_VALUE"""),"Design")</f>
        <v>Design</v>
      </c>
      <c r="H439" t="str">
        <f>IFERROR(__xludf.DUMMYFUNCTION("""COMPUTED_VALUE"""),"Design Tools")</f>
        <v>Design Tools</v>
      </c>
      <c r="J439" s="140" t="str">
        <f>IFERROR(__xludf.DUMMYFUNCTION("""COMPUTED_VALUE"""),"")</f>
        <v/>
      </c>
      <c r="L439" s="140" t="str">
        <f>IFERROR(__xludf.DUMMYFUNCTION("""COMPUTED_VALUE"""),"")</f>
        <v/>
      </c>
    </row>
    <row r="440">
      <c r="A440" s="199">
        <f>IFERROR(__xludf.DUMMYFUNCTION("""COMPUTED_VALUE"""),43496.0)</f>
        <v>43496</v>
      </c>
      <c r="B440" s="140">
        <f>IFERROR(__xludf.DUMMYFUNCTION("""COMPUTED_VALUE"""),721156.0)</f>
        <v>721156</v>
      </c>
      <c r="C440" s="140" t="str">
        <f>IFERROR(__xludf.DUMMYFUNCTION("""COMPUTED_VALUE"""),"EN")</f>
        <v>EN</v>
      </c>
      <c r="D440" t="str">
        <f>IFERROR(__xludf.DUMMYFUNCTION("""COMPUTED_VALUE"""),"Mastering Excel 2016 for Lawyers Training Tutorial")</f>
        <v>Mastering Excel 2016 for Lawyers Training Tutorial</v>
      </c>
      <c r="E440" t="str">
        <f>IFERROR(__xludf.DUMMYFUNCTION("""COMPUTED_VALUE"""),"TeachUcomp, Inc.")</f>
        <v>TeachUcomp, Inc.</v>
      </c>
      <c r="F440" t="str">
        <f>IFERROR(__xludf.DUMMYFUNCTION("""COMPUTED_VALUE"""),"Below Quality Standards- 3 Flags")</f>
        <v>Below Quality Standards- 3 Flags</v>
      </c>
      <c r="G440" t="str">
        <f>IFERROR(__xludf.DUMMYFUNCTION("""COMPUTED_VALUE"""),"Office Productivity")</f>
        <v>Office Productivity</v>
      </c>
      <c r="H440" t="str">
        <f>IFERROR(__xludf.DUMMYFUNCTION("""COMPUTED_VALUE"""),"Spreadsheets")</f>
        <v>Spreadsheets</v>
      </c>
      <c r="I440">
        <f>IFERROR(__xludf.DUMMYFUNCTION("""COMPUTED_VALUE"""),516446.0)</f>
        <v>516446</v>
      </c>
      <c r="J440" s="140" t="str">
        <f>IFERROR(__xludf.DUMMYFUNCTION("""COMPUTED_VALUE"""),"Microsoft Excel - Advanced Excel Formulas &amp; Functions")</f>
        <v>Microsoft Excel - Advanced Excel Formulas &amp; Functions</v>
      </c>
      <c r="K440" s="140">
        <f>IFERROR(__xludf.DUMMYFUNCTION("""COMPUTED_VALUE"""),948866.0)</f>
        <v>948866</v>
      </c>
      <c r="L440" s="140" t="str">
        <f>IFERROR(__xludf.DUMMYFUNCTION("""COMPUTED_VALUE"""),"Excel Essentials: The Complete Excel Series - Level 1, 2 &amp; 3")</f>
        <v>Excel Essentials: The Complete Excel Series - Level 1, 2 &amp; 3</v>
      </c>
    </row>
    <row r="441">
      <c r="A441" s="199">
        <f>IFERROR(__xludf.DUMMYFUNCTION("""COMPUTED_VALUE"""),43496.0)</f>
        <v>43496</v>
      </c>
      <c r="B441" s="140">
        <f>IFERROR(__xludf.DUMMYFUNCTION("""COMPUTED_VALUE"""),780284.0)</f>
        <v>780284</v>
      </c>
      <c r="C441" s="140" t="str">
        <f>IFERROR(__xludf.DUMMYFUNCTION("""COMPUTED_VALUE"""),"EN")</f>
        <v>EN</v>
      </c>
      <c r="D441" t="str">
        <f>IFERROR(__xludf.DUMMYFUNCTION("""COMPUTED_VALUE"""),"Mastering Outlook 2016 for Lawyers Training Tutorial")</f>
        <v>Mastering Outlook 2016 for Lawyers Training Tutorial</v>
      </c>
      <c r="E441" t="str">
        <f>IFERROR(__xludf.DUMMYFUNCTION("""COMPUTED_VALUE"""),"TeachUcomp, Inc.")</f>
        <v>TeachUcomp, Inc.</v>
      </c>
      <c r="F441" t="str">
        <f>IFERROR(__xludf.DUMMYFUNCTION("""COMPUTED_VALUE"""),"Below Quality Standards- 3 Flags")</f>
        <v>Below Quality Standards- 3 Flags</v>
      </c>
      <c r="G441" t="str">
        <f>IFERROR(__xludf.DUMMYFUNCTION("""COMPUTED_VALUE"""),"Office Productivity")</f>
        <v>Office Productivity</v>
      </c>
      <c r="H441" t="str">
        <f>IFERROR(__xludf.DUMMYFUNCTION("""COMPUTED_VALUE"""),"Email &amp; Productivity")</f>
        <v>Email &amp; Productivity</v>
      </c>
      <c r="I441">
        <f>IFERROR(__xludf.DUMMYFUNCTION("""COMPUTED_VALUE"""),969148.0)</f>
        <v>969148</v>
      </c>
      <c r="J441" s="140" t="str">
        <f>IFERROR(__xludf.DUMMYFUNCTION("""COMPUTED_VALUE"""),"Microsoft Outlook 2016: Beginner and Intermediate Training")</f>
        <v>Microsoft Outlook 2016: Beginner and Intermediate Training</v>
      </c>
      <c r="K441" s="140">
        <f>IFERROR(__xludf.DUMMYFUNCTION("""COMPUTED_VALUE"""),914336.0)</f>
        <v>914336</v>
      </c>
      <c r="L441" s="140" t="str">
        <f>IFERROR(__xludf.DUMMYFUNCTION("""COMPUTED_VALUE"""),"")</f>
        <v/>
      </c>
    </row>
    <row r="442">
      <c r="A442" s="199">
        <f>IFERROR(__xludf.DUMMYFUNCTION("""COMPUTED_VALUE"""),43496.0)</f>
        <v>43496</v>
      </c>
      <c r="B442" s="140">
        <f>IFERROR(__xludf.DUMMYFUNCTION("""COMPUTED_VALUE"""),350222.0)</f>
        <v>350222</v>
      </c>
      <c r="C442" s="140" t="str">
        <f>IFERROR(__xludf.DUMMYFUNCTION("""COMPUTED_VALUE"""),"EN")</f>
        <v>EN</v>
      </c>
      <c r="D442" t="str">
        <f>IFERROR(__xludf.DUMMYFUNCTION("""COMPUTED_VALUE"""),"Revolutionize Your Hiring System in 3 Easy Steps")</f>
        <v>Revolutionize Your Hiring System in 3 Easy Steps</v>
      </c>
      <c r="E442" t="str">
        <f>IFERROR(__xludf.DUMMYFUNCTION("""COMPUTED_VALUE"""),"Ruth Schwartz")</f>
        <v>Ruth Schwartz</v>
      </c>
      <c r="F442" t="str">
        <f>IFERROR(__xludf.DUMMYFUNCTION("""COMPUTED_VALUE"""),"Below Quality Standards- 3 Flags")</f>
        <v>Below Quality Standards- 3 Flags</v>
      </c>
      <c r="G442" t="str">
        <f>IFERROR(__xludf.DUMMYFUNCTION("""COMPUTED_VALUE"""),"Human Resources")</f>
        <v>Human Resources</v>
      </c>
      <c r="H442" t="str">
        <f>IFERROR(__xludf.DUMMYFUNCTION("""COMPUTED_VALUE"""),"Talent Management")</f>
        <v>Talent Management</v>
      </c>
      <c r="I442">
        <f>IFERROR(__xludf.DUMMYFUNCTION("""COMPUTED_VALUE"""),1434700.0)</f>
        <v>1434700</v>
      </c>
      <c r="J442" s="140" t="str">
        <f>IFERROR(__xludf.DUMMYFUNCTION("""COMPUTED_VALUE"""),"[2022] Recruiting: Talent Acquisition &amp; Hiring (Version 3)")</f>
        <v>[2022] Recruiting: Talent Acquisition &amp; Hiring (Version 3)</v>
      </c>
      <c r="L442" s="140" t="str">
        <f>IFERROR(__xludf.DUMMYFUNCTION("""COMPUTED_VALUE"""),"")</f>
        <v/>
      </c>
    </row>
    <row r="443">
      <c r="A443" s="199">
        <f>IFERROR(__xludf.DUMMYFUNCTION("""COMPUTED_VALUE"""),43496.0)</f>
        <v>43496</v>
      </c>
      <c r="B443" s="140">
        <f>IFERROR(__xludf.DUMMYFUNCTION("""COMPUTED_VALUE"""),1233894.0)</f>
        <v>1233894</v>
      </c>
      <c r="C443" s="140" t="str">
        <f>IFERROR(__xludf.DUMMYFUNCTION("""COMPUTED_VALUE"""),"EN")</f>
        <v>EN</v>
      </c>
      <c r="D443" t="str">
        <f>IFERROR(__xludf.DUMMYFUNCTION("""COMPUTED_VALUE"""),"The Latest Updates 2016 Financial Accounting Standards Board")</f>
        <v>The Latest Updates 2016 Financial Accounting Standards Board</v>
      </c>
      <c r="E443" t="str">
        <f>IFERROR(__xludf.DUMMYFUNCTION("""COMPUTED_VALUE"""),"Illumeo Learning")</f>
        <v>Illumeo Learning</v>
      </c>
      <c r="F443" t="str">
        <f>IFERROR(__xludf.DUMMYFUNCTION("""COMPUTED_VALUE"""),"Below Quality Standards- 3 Flags")</f>
        <v>Below Quality Standards- 3 Flags</v>
      </c>
      <c r="G443" t="str">
        <f>IFERROR(__xludf.DUMMYFUNCTION("""COMPUTED_VALUE"""),"Finance &amp; Accounting")</f>
        <v>Finance &amp; Accounting</v>
      </c>
      <c r="H443" t="str">
        <f>IFERROR(__xludf.DUMMYFUNCTION("""COMPUTED_VALUE"""),"Accounting")</f>
        <v>Accounting</v>
      </c>
      <c r="I443">
        <f>IFERROR(__xludf.DUMMYFUNCTION("""COMPUTED_VALUE"""),640100.0)</f>
        <v>640100</v>
      </c>
      <c r="J443" s="140" t="str">
        <f>IFERROR(__xludf.DUMMYFUNCTION("""COMPUTED_VALUE"""),"Accounting &amp; Financial Statement Analysis: Complete Training")</f>
        <v>Accounting &amp; Financial Statement Analysis: Complete Training</v>
      </c>
      <c r="K443" s="140">
        <f>IFERROR(__xludf.DUMMYFUNCTION("""COMPUTED_VALUE"""),1051430.0)</f>
        <v>1051430</v>
      </c>
      <c r="L443" s="140" t="str">
        <f>IFERROR(__xludf.DUMMYFUNCTION("""COMPUTED_VALUE"""),"Accounting: Learn Everything!")</f>
        <v>Accounting: Learn Everything!</v>
      </c>
    </row>
    <row r="444">
      <c r="A444" s="199">
        <f>IFERROR(__xludf.DUMMYFUNCTION("""COMPUTED_VALUE"""),43496.0)</f>
        <v>43496</v>
      </c>
      <c r="B444" s="140">
        <f>IFERROR(__xludf.DUMMYFUNCTION("""COMPUTED_VALUE"""),636120.0)</f>
        <v>636120</v>
      </c>
      <c r="C444" s="140" t="str">
        <f>IFERROR(__xludf.DUMMYFUNCTION("""COMPUTED_VALUE"""),"EN")</f>
        <v>EN</v>
      </c>
      <c r="D444" t="str">
        <f>IFERROR(__xludf.DUMMYFUNCTION("""COMPUTED_VALUE"""),"How do I do _____ in Construct 2?")</f>
        <v>How do I do _____ in Construct 2?</v>
      </c>
      <c r="E444" t="str">
        <f>IFERROR(__xludf.DUMMYFUNCTION("""COMPUTED_VALUE"""),"John Bura")</f>
        <v>John Bura</v>
      </c>
      <c r="F444" t="str">
        <f>IFERROR(__xludf.DUMMYFUNCTION("""COMPUTED_VALUE"""),"Below Quality Standards- 3 Flags")</f>
        <v>Below Quality Standards- 3 Flags</v>
      </c>
      <c r="G444" t="str">
        <f>IFERROR(__xludf.DUMMYFUNCTION("""COMPUTED_VALUE"""),"Development")</f>
        <v>Development</v>
      </c>
      <c r="H444" t="str">
        <f>IFERROR(__xludf.DUMMYFUNCTION("""COMPUTED_VALUE"""),"Mobile Development")</f>
        <v>Mobile Development</v>
      </c>
      <c r="J444" s="140" t="str">
        <f>IFERROR(__xludf.DUMMYFUNCTION("""COMPUTED_VALUE"""),"")</f>
        <v/>
      </c>
      <c r="L444" s="140" t="str">
        <f>IFERROR(__xludf.DUMMYFUNCTION("""COMPUTED_VALUE"""),"")</f>
        <v/>
      </c>
    </row>
    <row r="445">
      <c r="A445" s="199">
        <f>IFERROR(__xludf.DUMMYFUNCTION("""COMPUTED_VALUE"""),43488.0)</f>
        <v>43488</v>
      </c>
      <c r="B445" s="140">
        <f>IFERROR(__xludf.DUMMYFUNCTION("""COMPUTED_VALUE"""),1306764.0)</f>
        <v>1306764</v>
      </c>
      <c r="C445" s="140" t="str">
        <f>IFERROR(__xludf.DUMMYFUNCTION("""COMPUTED_VALUE"""),"EN")</f>
        <v>EN</v>
      </c>
      <c r="D445" t="str">
        <f>IFERROR(__xludf.DUMMYFUNCTION("""COMPUTED_VALUE"""),"Industrial CATIA V5 R20: Deep Learning All In One from A- Z")</f>
        <v>Industrial CATIA V5 R20: Deep Learning All In One from A- Z</v>
      </c>
      <c r="E445" t="str">
        <f>IFERROR(__xludf.DUMMYFUNCTION("""COMPUTED_VALUE"""),"Akash Raj")</f>
        <v>Akash Raj</v>
      </c>
      <c r="F445" t="str">
        <f>IFERROR(__xludf.DUMMYFUNCTION("""COMPUTED_VALUE"""),"Instructor Practices")</f>
        <v>Instructor Practices</v>
      </c>
      <c r="G445" t="str">
        <f>IFERROR(__xludf.DUMMYFUNCTION("""COMPUTED_VALUE"""),"Design")</f>
        <v>Design</v>
      </c>
      <c r="H445" t="str">
        <f>IFERROR(__xludf.DUMMYFUNCTION("""COMPUTED_VALUE"""),"Design Tools")</f>
        <v>Design Tools</v>
      </c>
      <c r="J445" s="140" t="str">
        <f>IFERROR(__xludf.DUMMYFUNCTION("""COMPUTED_VALUE"""),"")</f>
        <v/>
      </c>
      <c r="K445" s="140" t="str">
        <f>IFERROR(__xludf.DUMMYFUNCTION("""COMPUTED_VALUE"""),"#N/A")</f>
        <v>#N/A</v>
      </c>
      <c r="L445" s="140" t="str">
        <f>IFERROR(__xludf.DUMMYFUNCTION("""COMPUTED_VALUE"""),"")</f>
        <v/>
      </c>
    </row>
    <row r="446">
      <c r="A446" s="199">
        <f>IFERROR(__xludf.DUMMYFUNCTION("""COMPUTED_VALUE"""),43483.0)</f>
        <v>43483</v>
      </c>
      <c r="B446" s="140">
        <f>IFERROR(__xludf.DUMMYFUNCTION("""COMPUTED_VALUE"""),1427000.0)</f>
        <v>1427000</v>
      </c>
      <c r="C446" s="140" t="str">
        <f>IFERROR(__xludf.DUMMYFUNCTION("""COMPUTED_VALUE"""),"EN")</f>
        <v>EN</v>
      </c>
      <c r="D446" t="str">
        <f>IFERROR(__xludf.DUMMYFUNCTION("""COMPUTED_VALUE"""),"The Complete Digital Marketing Course 2.0 - 15 Courses in 1")</f>
        <v>The Complete Digital Marketing Course 2.0 - 15 Courses in 1</v>
      </c>
      <c r="E446" t="str">
        <f>IFERROR(__xludf.DUMMYFUNCTION("""COMPUTED_VALUE"""),"Daragh Walsh")</f>
        <v>Daragh Walsh</v>
      </c>
      <c r="F446" t="str">
        <f>IFERROR(__xludf.DUMMYFUNCTION("""COMPUTED_VALUE"""),"Instructor Request- No Detail")</f>
        <v>Instructor Request- No Detail</v>
      </c>
      <c r="G446" t="str">
        <f>IFERROR(__xludf.DUMMYFUNCTION("""COMPUTED_VALUE"""),"Marketing")</f>
        <v>Marketing</v>
      </c>
      <c r="H446" t="str">
        <f>IFERROR(__xludf.DUMMYFUNCTION("""COMPUTED_VALUE"""),"Digital Marketing")</f>
        <v>Digital Marketing</v>
      </c>
      <c r="I446">
        <f>IFERROR(__xludf.DUMMYFUNCTION("""COMPUTED_VALUE"""),1270870.0)</f>
        <v>1270870</v>
      </c>
      <c r="J446" s="140" t="str">
        <f>IFERROR(__xludf.DUMMYFUNCTION("""COMPUTED_VALUE"""),"Digital Marketing Masterclass - 23 Marketing Courses in 1")</f>
        <v>Digital Marketing Masterclass - 23 Marketing Courses in 1</v>
      </c>
      <c r="K446">
        <f>IFERROR(__xludf.DUMMYFUNCTION("""COMPUTED_VALUE"""),1465486.0)</f>
        <v>1465486</v>
      </c>
      <c r="L446" s="140" t="str">
        <f>IFERROR(__xludf.DUMMYFUNCTION("""COMPUTED_VALUE"""),"The Ultimate Digital Marketing Bootcamp")</f>
        <v>The Ultimate Digital Marketing Bootcamp</v>
      </c>
    </row>
    <row r="447">
      <c r="A447" s="199">
        <f>IFERROR(__xludf.DUMMYFUNCTION("""COMPUTED_VALUE"""),43468.0)</f>
        <v>43468</v>
      </c>
      <c r="B447" s="140">
        <f>IFERROR(__xludf.DUMMYFUNCTION("""COMPUTED_VALUE"""),1444946.0)</f>
        <v>1444946</v>
      </c>
      <c r="C447" s="140" t="str">
        <f>IFERROR(__xludf.DUMMYFUNCTION("""COMPUTED_VALUE"""),"EN")</f>
        <v>EN</v>
      </c>
      <c r="D447" t="str">
        <f>IFERROR(__xludf.DUMMYFUNCTION("""COMPUTED_VALUE"""),"Management Consulting: Succeeding as a Management Consultant")</f>
        <v>Management Consulting: Succeeding as a Management Consultant</v>
      </c>
      <c r="E447" t="str">
        <f>IFERROR(__xludf.DUMMYFUNCTION("""COMPUTED_VALUE"""),"John F. Burress")</f>
        <v>John F. Burress</v>
      </c>
      <c r="F447" t="str">
        <f>IFERROR(__xludf.DUMMYFUNCTION("""COMPUTED_VALUE"""),"Instructor Practices")</f>
        <v>Instructor Practices</v>
      </c>
      <c r="G447" t="str">
        <f>IFERROR(__xludf.DUMMYFUNCTION("""COMPUTED_VALUE"""),"Leadership &amp; Management")</f>
        <v>Leadership &amp; Management</v>
      </c>
      <c r="H447" t="str">
        <f>IFERROR(__xludf.DUMMYFUNCTION("""COMPUTED_VALUE"""),"Strategy")</f>
        <v>Strategy</v>
      </c>
      <c r="I447">
        <f>IFERROR(__xludf.DUMMYFUNCTION("""COMPUTED_VALUE"""),437860.0)</f>
        <v>437860</v>
      </c>
      <c r="J447" s="140" t="str">
        <f>IFERROR(__xludf.DUMMYFUNCTION("""COMPUTED_VALUE"""),"Effectively Managing Employee Performance")</f>
        <v>Effectively Managing Employee Performance</v>
      </c>
      <c r="K447" s="140">
        <f>IFERROR(__xludf.DUMMYFUNCTION("""COMPUTED_VALUE"""),483692.0)</f>
        <v>483692</v>
      </c>
      <c r="L447" s="140" t="str">
        <f>IFERROR(__xludf.DUMMYFUNCTION("""COMPUTED_VALUE"""),"Be Approachable &amp; Coach as a Manager")</f>
        <v>Be Approachable &amp; Coach as a Manager</v>
      </c>
    </row>
    <row r="448">
      <c r="A448" s="199">
        <f>IFERROR(__xludf.DUMMYFUNCTION("""COMPUTED_VALUE"""),43468.0)</f>
        <v>43468</v>
      </c>
      <c r="B448" s="140">
        <f>IFERROR(__xludf.DUMMYFUNCTION("""COMPUTED_VALUE"""),1442430.0)</f>
        <v>1442430</v>
      </c>
      <c r="C448" s="140" t="str">
        <f>IFERROR(__xludf.DUMMYFUNCTION("""COMPUTED_VALUE"""),"EN")</f>
        <v>EN</v>
      </c>
      <c r="D448" t="str">
        <f>IFERROR(__xludf.DUMMYFUNCTION("""COMPUTED_VALUE"""),"Docker from A to Z™: Swarm + Jenkins")</f>
        <v>Docker from A to Z™: Swarm + Jenkins</v>
      </c>
      <c r="E448" t="str">
        <f>IFERROR(__xludf.DUMMYFUNCTION("""COMPUTED_VALUE"""),"James Kayes-Smith")</f>
        <v>James Kayes-Smith</v>
      </c>
      <c r="F448" t="str">
        <f>IFERROR(__xludf.DUMMYFUNCTION("""COMPUTED_VALUE"""),"Instructor Practices")</f>
        <v>Instructor Practices</v>
      </c>
      <c r="G448" t="str">
        <f>IFERROR(__xludf.DUMMYFUNCTION("""COMPUTED_VALUE"""),"Development")</f>
        <v>Development</v>
      </c>
      <c r="H448" t="str">
        <f>IFERROR(__xludf.DUMMYFUNCTION("""COMPUTED_VALUE"""),"Development Tools")</f>
        <v>Development Tools</v>
      </c>
      <c r="I448">
        <f>IFERROR(__xludf.DUMMYFUNCTION("""COMPUTED_VALUE"""),1035000.0)</f>
        <v>1035000</v>
      </c>
      <c r="J448" s="140" t="str">
        <f>IFERROR(__xludf.DUMMYFUNCTION("""COMPUTED_VALUE"""),"Docker Mastery: with Kubernetes +Swarm from a Docker Captain")</f>
        <v>Docker Mastery: with Kubernetes +Swarm from a Docker Captain</v>
      </c>
      <c r="K448" s="140">
        <f>IFERROR(__xludf.DUMMYFUNCTION("""COMPUTED_VALUE"""),1407900.0)</f>
        <v>1407900</v>
      </c>
      <c r="L448" s="140" t="str">
        <f>IFERROR(__xludf.DUMMYFUNCTION("""COMPUTED_VALUE"""),"Docker - SWARM - Hands-on - DevOps")</f>
        <v>Docker - SWARM - Hands-on - DevOps</v>
      </c>
    </row>
    <row r="449">
      <c r="A449" s="199">
        <f>IFERROR(__xludf.DUMMYFUNCTION("""COMPUTED_VALUE"""),43468.0)</f>
        <v>43468</v>
      </c>
      <c r="B449" s="140">
        <f>IFERROR(__xludf.DUMMYFUNCTION("""COMPUTED_VALUE"""),748852.0)</f>
        <v>748852</v>
      </c>
      <c r="C449" s="140" t="str">
        <f>IFERROR(__xludf.DUMMYFUNCTION("""COMPUTED_VALUE"""),"EN")</f>
        <v>EN</v>
      </c>
      <c r="D449" t="str">
        <f>IFERROR(__xludf.DUMMYFUNCTION("""COMPUTED_VALUE"""),"Informatica Tutorial: Beginner to Expert Level")</f>
        <v>Informatica Tutorial: Beginner to Expert Level</v>
      </c>
      <c r="E449" t="str">
        <f>IFERROR(__xludf.DUMMYFUNCTION("""COMPUTED_VALUE"""),"Sid Inf")</f>
        <v>Sid Inf</v>
      </c>
      <c r="F449" t="str">
        <f>IFERROR(__xludf.DUMMYFUNCTION("""COMPUTED_VALUE"""),"Instructor Practices")</f>
        <v>Instructor Practices</v>
      </c>
      <c r="G449" t="str">
        <f>IFERROR(__xludf.DUMMYFUNCTION("""COMPUTED_VALUE"""),"IT Operations")</f>
        <v>IT Operations</v>
      </c>
      <c r="H449" t="str">
        <f>IFERROR(__xludf.DUMMYFUNCTION("""COMPUTED_VALUE"""),"Operating Systems &amp; Servers")</f>
        <v>Operating Systems &amp; Servers</v>
      </c>
      <c r="I449">
        <f>IFERROR(__xludf.DUMMYFUNCTION("""COMPUTED_VALUE"""),1457700.0)</f>
        <v>1457700</v>
      </c>
      <c r="J449" s="140" t="str">
        <f>IFERROR(__xludf.DUMMYFUNCTION("""COMPUTED_VALUE"""),"")</f>
        <v/>
      </c>
      <c r="L449" s="140" t="str">
        <f>IFERROR(__xludf.DUMMYFUNCTION("""COMPUTED_VALUE"""),"")</f>
        <v/>
      </c>
    </row>
    <row r="450">
      <c r="A450" s="199">
        <f>IFERROR(__xludf.DUMMYFUNCTION("""COMPUTED_VALUE"""),43468.0)</f>
        <v>43468</v>
      </c>
      <c r="B450" s="140">
        <f>IFERROR(__xludf.DUMMYFUNCTION("""COMPUTED_VALUE"""),1090766.0)</f>
        <v>1090766</v>
      </c>
      <c r="C450" s="140" t="str">
        <f>IFERROR(__xludf.DUMMYFUNCTION("""COMPUTED_VALUE"""),"EN")</f>
        <v>EN</v>
      </c>
      <c r="D450" t="str">
        <f>IFERROR(__xludf.DUMMYFUNCTION("""COMPUTED_VALUE"""),"Data Warehouse Development Process")</f>
        <v>Data Warehouse Development Process</v>
      </c>
      <c r="E450" t="str">
        <f>IFERROR(__xludf.DUMMYFUNCTION("""COMPUTED_VALUE"""),"Sid Inf")</f>
        <v>Sid Inf</v>
      </c>
      <c r="F450" t="str">
        <f>IFERROR(__xludf.DUMMYFUNCTION("""COMPUTED_VALUE"""),"Instructor Practices")</f>
        <v>Instructor Practices</v>
      </c>
      <c r="G450" t="str">
        <f>IFERROR(__xludf.DUMMYFUNCTION("""COMPUTED_VALUE"""),"Development")</f>
        <v>Development</v>
      </c>
      <c r="H450" t="str">
        <f>IFERROR(__xludf.DUMMYFUNCTION("""COMPUTED_VALUE"""),"Database Design &amp; Development")</f>
        <v>Database Design &amp; Development</v>
      </c>
      <c r="I450">
        <f>IFERROR(__xludf.DUMMYFUNCTION("""COMPUTED_VALUE"""),425086.0)</f>
        <v>425086</v>
      </c>
      <c r="J450" s="140" t="str">
        <f>IFERROR(__xludf.DUMMYFUNCTION("""COMPUTED_VALUE"""),"Implementing a Data Warehouse with SQL Server 2012")</f>
        <v>Implementing a Data Warehouse with SQL Server 2012</v>
      </c>
      <c r="K450" s="140">
        <f>IFERROR(__xludf.DUMMYFUNCTION("""COMPUTED_VALUE"""),1855330.0)</f>
        <v>1855330</v>
      </c>
      <c r="L450" s="140" t="str">
        <f>IFERROR(__xludf.DUMMYFUNCTION("""COMPUTED_VALUE"""),"")</f>
        <v/>
      </c>
    </row>
    <row r="451">
      <c r="A451" s="199">
        <f>IFERROR(__xludf.DUMMYFUNCTION("""COMPUTED_VALUE"""),43468.0)</f>
        <v>43468</v>
      </c>
      <c r="B451" s="140">
        <f>IFERROR(__xludf.DUMMYFUNCTION("""COMPUTED_VALUE"""),573982.0)</f>
        <v>573982</v>
      </c>
      <c r="C451" s="140" t="str">
        <f>IFERROR(__xludf.DUMMYFUNCTION("""COMPUTED_VALUE"""),"EN")</f>
        <v>EN</v>
      </c>
      <c r="D451" t="str">
        <f>IFERROR(__xludf.DUMMYFUNCTION("""COMPUTED_VALUE"""),"Informatica Power Center Administration")</f>
        <v>Informatica Power Center Administration</v>
      </c>
      <c r="E451" t="str">
        <f>IFERROR(__xludf.DUMMYFUNCTION("""COMPUTED_VALUE"""),"Sid Inf")</f>
        <v>Sid Inf</v>
      </c>
      <c r="F451" t="str">
        <f>IFERROR(__xludf.DUMMYFUNCTION("""COMPUTED_VALUE"""),"Instructor Practices")</f>
        <v>Instructor Practices</v>
      </c>
      <c r="G451" t="str">
        <f>IFERROR(__xludf.DUMMYFUNCTION("""COMPUTED_VALUE"""),"IT Operations")</f>
        <v>IT Operations</v>
      </c>
      <c r="H451" t="str">
        <f>IFERROR(__xludf.DUMMYFUNCTION("""COMPUTED_VALUE"""),"Operating Systems &amp; Servers")</f>
        <v>Operating Systems &amp; Servers</v>
      </c>
      <c r="I451">
        <f>IFERROR(__xludf.DUMMYFUNCTION("""COMPUTED_VALUE"""),1457700.0)</f>
        <v>1457700</v>
      </c>
      <c r="J451" s="140" t="str">
        <f>IFERROR(__xludf.DUMMYFUNCTION("""COMPUTED_VALUE"""),"")</f>
        <v/>
      </c>
      <c r="L451" s="140" t="str">
        <f>IFERROR(__xludf.DUMMYFUNCTION("""COMPUTED_VALUE"""),"")</f>
        <v/>
      </c>
    </row>
    <row r="452">
      <c r="A452" s="199">
        <f>IFERROR(__xludf.DUMMYFUNCTION("""COMPUTED_VALUE"""),43467.0)</f>
        <v>43467</v>
      </c>
      <c r="B452" s="140">
        <f>IFERROR(__xludf.DUMMYFUNCTION("""COMPUTED_VALUE"""),1511756.0)</f>
        <v>1511756</v>
      </c>
      <c r="C452" s="140" t="str">
        <f>IFERROR(__xludf.DUMMYFUNCTION("""COMPUTED_VALUE"""),"EN")</f>
        <v>EN</v>
      </c>
      <c r="D452" s="142" t="str">
        <f>IFERROR(__xludf.DUMMYFUNCTION("""COMPUTED_VALUE"""),"Driving To Close with John Barrows")</f>
        <v>Driving To Close with John Barrows</v>
      </c>
      <c r="E452" t="str">
        <f>IFERROR(__xludf.DUMMYFUNCTION("""COMPUTED_VALUE"""),"John Barrows - JBarrows Sales Training")</f>
        <v>John Barrows - JBarrows Sales Training</v>
      </c>
      <c r="F452" t="str">
        <f>IFERROR(__xludf.DUMMYFUNCTION("""COMPUTED_VALUE"""),"Instructor Request- Revenue")</f>
        <v>Instructor Request- Revenue</v>
      </c>
      <c r="G452" t="str">
        <f>IFERROR(__xludf.DUMMYFUNCTION("""COMPUTED_VALUE"""),"Sales")</f>
        <v>Sales</v>
      </c>
      <c r="H452" t="str">
        <f>IFERROR(__xludf.DUMMYFUNCTION("""COMPUTED_VALUE"""),"Sales Skills &amp; Tools")</f>
        <v>Sales Skills &amp; Tools</v>
      </c>
      <c r="I452">
        <f>IFERROR(__xludf.DUMMYFUNCTION("""COMPUTED_VALUE"""),1504268.0)</f>
        <v>1504268</v>
      </c>
      <c r="J452" s="140" t="str">
        <f>IFERROR(__xludf.DUMMYFUNCTION("""COMPUTED_VALUE"""),"Sales Training: How To Close More Sales")</f>
        <v>Sales Training: How To Close More Sales</v>
      </c>
      <c r="L452" s="140" t="str">
        <f>IFERROR(__xludf.DUMMYFUNCTION("""COMPUTED_VALUE"""),"")</f>
        <v/>
      </c>
    </row>
    <row r="453">
      <c r="A453" s="199">
        <f>IFERROR(__xludf.DUMMYFUNCTION("""COMPUTED_VALUE"""),43467.0)</f>
        <v>43467</v>
      </c>
      <c r="B453" s="140">
        <f>IFERROR(__xludf.DUMMYFUNCTION("""COMPUTED_VALUE"""),1496304.0)</f>
        <v>1496304</v>
      </c>
      <c r="C453" s="140" t="str">
        <f>IFERROR(__xludf.DUMMYFUNCTION("""COMPUTED_VALUE"""),"EN")</f>
        <v>EN</v>
      </c>
      <c r="D453" t="str">
        <f>IFERROR(__xludf.DUMMYFUNCTION("""COMPUTED_VALUE"""),"Filling the Funnel with John Barrows")</f>
        <v>Filling the Funnel with John Barrows</v>
      </c>
      <c r="E453" t="str">
        <f>IFERROR(__xludf.DUMMYFUNCTION("""COMPUTED_VALUE"""),"John Barrows - JBarrows Sales Training")</f>
        <v>John Barrows - JBarrows Sales Training</v>
      </c>
      <c r="F453" t="str">
        <f>IFERROR(__xludf.DUMMYFUNCTION("""COMPUTED_VALUE"""),"Instructor Request- Revenue")</f>
        <v>Instructor Request- Revenue</v>
      </c>
      <c r="G453" t="str">
        <f>IFERROR(__xludf.DUMMYFUNCTION("""COMPUTED_VALUE"""),"Sales")</f>
        <v>Sales</v>
      </c>
      <c r="H453" t="str">
        <f>IFERROR(__xludf.DUMMYFUNCTION("""COMPUTED_VALUE"""),"Sales Skills &amp; Tools")</f>
        <v>Sales Skills &amp; Tools</v>
      </c>
      <c r="J453" s="140" t="str">
        <f>IFERROR(__xludf.DUMMYFUNCTION("""COMPUTED_VALUE"""),"")</f>
        <v/>
      </c>
      <c r="L453" s="140" t="str">
        <f>IFERROR(__xludf.DUMMYFUNCTION("""COMPUTED_VALUE"""),"")</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t="str">
        <f>IFERROR(__xludf.DUMMYFUNCTION("IMPORTRANGE(""https://docs.google.com/spreadsheets/d/1-PGtQfbeuiWnM5yK4JbSPcN2oBJ9Xk5oQx_g5stVnf0/edit#gid=935086192"",""Removed 2016!A:M"")"),"Date")</f>
        <v>Date</v>
      </c>
      <c r="B1" s="140" t="str">
        <f>IFERROR(__xludf.DUMMYFUNCTION("""COMPUTED_VALUE"""),"Course ID")</f>
        <v>Course ID</v>
      </c>
      <c r="C1" t="str">
        <f>IFERROR(__xludf.DUMMYFUNCTION("""COMPUTED_VALUE"""),"Title")</f>
        <v>Title</v>
      </c>
      <c r="D1" t="str">
        <f>IFERROR(__xludf.DUMMYFUNCTION("""COMPUTED_VALUE"""),"Instructor")</f>
        <v>Instructor</v>
      </c>
      <c r="E1" t="str">
        <f>IFERROR(__xludf.DUMMYFUNCTION("""COMPUTED_VALUE"""),"Reason")</f>
        <v>Reason</v>
      </c>
      <c r="F1" t="str">
        <f>IFERROR(__xludf.DUMMYFUNCTION("""COMPUTED_VALUE"""),"Old Category")</f>
        <v>Old Category</v>
      </c>
      <c r="G1" s="140" t="str">
        <f>IFERROR(__xludf.DUMMYFUNCTION("""COMPUTED_VALUE"""),"Replacement CourseID 1")</f>
        <v>Replacement CourseID 1</v>
      </c>
      <c r="H1" t="str">
        <f>IFERROR(__xludf.DUMMYFUNCTION("""COMPUTED_VALUE"""),"Replacement Course Title 1")</f>
        <v>Replacement Course Title 1</v>
      </c>
      <c r="I1" s="142" t="str">
        <f>IFERROR(__xludf.DUMMYFUNCTION("""COMPUTED_VALUE"""),"Replacement CourseID 2")</f>
        <v>Replacement CourseID 2</v>
      </c>
      <c r="J1" t="str">
        <f>IFERROR(__xludf.DUMMYFUNCTION("""COMPUTED_VALUE"""),"Replacement Course Title 2")</f>
        <v>Replacement Course Title 2</v>
      </c>
      <c r="K1" s="142" t="str">
        <f>IFERROR(__xludf.DUMMYFUNCTION("""COMPUTED_VALUE"""),"Replacement CourseID 3")</f>
        <v>Replacement CourseID 3</v>
      </c>
      <c r="L1" t="str">
        <f>IFERROR(__xludf.DUMMYFUNCTION("""COMPUTED_VALUE"""),"Replacement Course Title 3")</f>
        <v>Replacement Course Title 3</v>
      </c>
      <c r="M1" t="str">
        <f>IFERROR(__xludf.DUMMYFUNCTION("""COMPUTED_VALUE"""),"Notes")</f>
        <v>Notes</v>
      </c>
    </row>
    <row r="2">
      <c r="A2" s="143">
        <f>IFERROR(__xludf.DUMMYFUNCTION("""COMPUTED_VALUE"""),42704.0)</f>
        <v>42704</v>
      </c>
      <c r="B2" s="140">
        <f>IFERROR(__xludf.DUMMYFUNCTION("""COMPUTED_VALUE"""),573988.0)</f>
        <v>573988</v>
      </c>
      <c r="C2" s="140" t="str">
        <f>IFERROR(__xludf.DUMMYFUNCTION("""COMPUTED_VALUE"""),"")</f>
        <v/>
      </c>
      <c r="D2" t="str">
        <f>IFERROR(__xludf.DUMMYFUNCTION("""COMPUTED_VALUE"""),"Coursenvy Online")</f>
        <v>Coursenvy Online</v>
      </c>
      <c r="E2" t="str">
        <f>IFERROR(__xludf.DUMMYFUNCTION("""COMPUTED_VALUE"""),"Copyright Concerns")</f>
        <v>Copyright Concerns</v>
      </c>
      <c r="F2" t="str">
        <f>IFERROR(__xludf.DUMMYFUNCTION("""COMPUTED_VALUE"""),"Sales")</f>
        <v>Sales</v>
      </c>
      <c r="G2" s="140">
        <f>IFERROR(__xludf.DUMMYFUNCTION("""COMPUTED_VALUE"""),630716.0)</f>
        <v>630716</v>
      </c>
      <c r="H2" s="140" t="str">
        <f>IFERROR(__xludf.DUMMYFUNCTION("""COMPUTED_VALUE"""),"")</f>
        <v/>
      </c>
      <c r="I2" s="142" t="str">
        <f>IFERROR(__xludf.DUMMYFUNCTION("""COMPUTED_VALUE"""),"1162306")</f>
        <v>1162306</v>
      </c>
      <c r="J2" t="str">
        <f>IFERROR(__xludf.DUMMYFUNCTION("""COMPUTED_VALUE"""),"Complete Salesforce Certified Platform Developer I Course")</f>
        <v>Complete Salesforce Certified Platform Developer I Course</v>
      </c>
    </row>
    <row r="3">
      <c r="A3" s="143">
        <f>IFERROR(__xludf.DUMMYFUNCTION("""COMPUTED_VALUE"""),42704.0)</f>
        <v>42704</v>
      </c>
      <c r="B3" s="140">
        <f>IFERROR(__xludf.DUMMYFUNCTION("""COMPUTED_VALUE"""),197834.0)</f>
        <v>197834</v>
      </c>
      <c r="C3" s="140" t="str">
        <f>IFERROR(__xludf.DUMMYFUNCTION("""COMPUTED_VALUE"""),"")</f>
        <v/>
      </c>
      <c r="D3" t="str">
        <f>IFERROR(__xludf.DUMMYFUNCTION("""COMPUTED_VALUE"""),"Eduonix Learning Solutions")</f>
        <v>Eduonix Learning Solutions</v>
      </c>
      <c r="E3" t="str">
        <f>IFERROR(__xludf.DUMMYFUNCTION("""COMPUTED_VALUE"""),"Below Quality Standards")</f>
        <v>Below Quality Standards</v>
      </c>
      <c r="F3" t="str">
        <f>IFERROR(__xludf.DUMMYFUNCTION("""COMPUTED_VALUE"""),"Mobile Development")</f>
        <v>Mobile Development</v>
      </c>
      <c r="H3" s="140" t="str">
        <f>IFERROR(__xludf.DUMMYFUNCTION("""COMPUTED_VALUE"""),"")</f>
        <v/>
      </c>
    </row>
    <row r="4">
      <c r="A4" s="143">
        <f>IFERROR(__xludf.DUMMYFUNCTION("""COMPUTED_VALUE"""),42704.0)</f>
        <v>42704</v>
      </c>
      <c r="B4" s="140">
        <f>IFERROR(__xludf.DUMMYFUNCTION("""COMPUTED_VALUE"""),13034.0)</f>
        <v>13034</v>
      </c>
      <c r="C4" s="140" t="str">
        <f>IFERROR(__xludf.DUMMYFUNCTION("""COMPUTED_VALUE"""),"")</f>
        <v/>
      </c>
      <c r="D4" t="str">
        <f>IFERROR(__xludf.DUMMYFUNCTION("""COMPUTED_VALUE"""),"Professor Gad Allon ")</f>
        <v>Professor Gad Allon </v>
      </c>
      <c r="E4" t="str">
        <f>IFERROR(__xludf.DUMMYFUNCTION("""COMPUTED_VALUE"""),"Instructor Opted Out")</f>
        <v>Instructor Opted Out</v>
      </c>
      <c r="F4" t="str">
        <f>IFERROR(__xludf.DUMMYFUNCTION("""COMPUTED_VALUE"""),"Operations")</f>
        <v>Operations</v>
      </c>
      <c r="H4" s="140" t="str">
        <f>IFERROR(__xludf.DUMMYFUNCTION("""COMPUTED_VALUE"""),"")</f>
        <v/>
      </c>
    </row>
    <row r="5">
      <c r="A5" s="143">
        <f>IFERROR(__xludf.DUMMYFUNCTION("""COMPUTED_VALUE"""),42704.0)</f>
        <v>42704</v>
      </c>
      <c r="B5" s="140">
        <f>IFERROR(__xludf.DUMMYFUNCTION("""COMPUTED_VALUE"""),183654.0)</f>
        <v>183654</v>
      </c>
      <c r="C5" s="140" t="str">
        <f>IFERROR(__xludf.DUMMYFUNCTION("""COMPUTED_VALUE"""),"")</f>
        <v/>
      </c>
      <c r="D5" t="str">
        <f>IFERROR(__xludf.DUMMYFUNCTION("""COMPUTED_VALUE"""),"Sam Fitzgerald")</f>
        <v>Sam Fitzgerald</v>
      </c>
      <c r="E5" t="str">
        <f>IFERROR(__xludf.DUMMYFUNCTION("""COMPUTED_VALUE"""),"Instructor Request &amp; Obsolete")</f>
        <v>Instructor Request &amp; Obsolete</v>
      </c>
      <c r="F5" t="str">
        <f>IFERROR(__xludf.DUMMYFUNCTION("""COMPUTED_VALUE"""),"Software and Systems")</f>
        <v>Software and Systems</v>
      </c>
      <c r="G5" s="140">
        <f>IFERROR(__xludf.DUMMYFUNCTION("""COMPUTED_VALUE"""),1016736.0)</f>
        <v>1016736</v>
      </c>
      <c r="H5" s="140" t="str">
        <f>IFERROR(__xludf.DUMMYFUNCTION("""COMPUTED_VALUE"""),"")</f>
        <v/>
      </c>
      <c r="M5" t="str">
        <f>IFERROR(__xludf.DUMMYFUNCTION("""COMPUTED_VALUE"""),"On gaps list: https://trello.com/c/u6Q5sBiX/93-icnd2")</f>
        <v>On gaps list: https://trello.com/c/u6Q5sBiX/93-icnd2</v>
      </c>
    </row>
    <row r="6">
      <c r="A6" s="143">
        <f>IFERROR(__xludf.DUMMYFUNCTION("""COMPUTED_VALUE"""),42704.0)</f>
        <v>42704</v>
      </c>
      <c r="B6" s="140">
        <f>IFERROR(__xludf.DUMMYFUNCTION("""COMPUTED_VALUE"""),612488.0)</f>
        <v>612488</v>
      </c>
      <c r="C6" s="140" t="str">
        <f>IFERROR(__xludf.DUMMYFUNCTION("""COMPUTED_VALUE"""),"")</f>
        <v/>
      </c>
      <c r="D6" t="str">
        <f>IFERROR(__xludf.DUMMYFUNCTION("""COMPUTED_VALUE"""),"Stefano Messori")</f>
        <v>Stefano Messori</v>
      </c>
      <c r="E6" t="str">
        <f>IFERROR(__xludf.DUMMYFUNCTION("""COMPUTED_VALUE"""),"Below Quality Standards")</f>
        <v>Below Quality Standards</v>
      </c>
      <c r="F6" t="str">
        <f>IFERROR(__xludf.DUMMYFUNCTION("""COMPUTED_VALUE"""),"Software and Systems")</f>
        <v>Software and Systems</v>
      </c>
      <c r="G6" s="140">
        <f>IFERROR(__xludf.DUMMYFUNCTION("""COMPUTED_VALUE"""),986604.0)</f>
        <v>986604</v>
      </c>
      <c r="H6" s="140" t="str">
        <f>IFERROR(__xludf.DUMMYFUNCTION("""COMPUTED_VALUE"""),"")</f>
        <v/>
      </c>
      <c r="I6" s="142" t="str">
        <f>IFERROR(__xludf.DUMMYFUNCTION("""COMPUTED_VALUE"""),"806626")</f>
        <v>806626</v>
      </c>
      <c r="J6" t="str">
        <f>IFERROR(__xludf.DUMMYFUNCTION("""COMPUTED_VALUE"""),"Acumen Presents: Elizabeth Gilbert's Creativity Workshop")</f>
        <v>Acumen Presents: Elizabeth Gilbert's Creativity Workshop</v>
      </c>
    </row>
    <row r="7">
      <c r="A7" s="143">
        <f>IFERROR(__xludf.DUMMYFUNCTION("""COMPUTED_VALUE"""),42704.0)</f>
        <v>42704</v>
      </c>
      <c r="B7" s="140">
        <f>IFERROR(__xludf.DUMMYFUNCTION("""COMPUTED_VALUE"""),567316.0)</f>
        <v>567316</v>
      </c>
      <c r="C7" s="140" t="str">
        <f>IFERROR(__xludf.DUMMYFUNCTION("""COMPUTED_VALUE"""),"")</f>
        <v/>
      </c>
      <c r="D7" t="str">
        <f>IFERROR(__xludf.DUMMYFUNCTION("""COMPUTED_VALUE"""),"Stefano Messori")</f>
        <v>Stefano Messori</v>
      </c>
      <c r="E7" t="str">
        <f>IFERROR(__xludf.DUMMYFUNCTION("""COMPUTED_VALUE"""),"Below Quality Standards")</f>
        <v>Below Quality Standards</v>
      </c>
      <c r="F7" t="str">
        <f>IFERROR(__xludf.DUMMYFUNCTION("""COMPUTED_VALUE"""),"Strategy")</f>
        <v>Strategy</v>
      </c>
      <c r="G7" s="140">
        <f>IFERROR(__xludf.DUMMYFUNCTION("""COMPUTED_VALUE"""),986604.0)</f>
        <v>986604</v>
      </c>
      <c r="H7" s="140" t="str">
        <f>IFERROR(__xludf.DUMMYFUNCTION("""COMPUTED_VALUE"""),"")</f>
        <v/>
      </c>
      <c r="I7" s="142" t="str">
        <f>IFERROR(__xludf.DUMMYFUNCTION("""COMPUTED_VALUE"""),"806626")</f>
        <v>806626</v>
      </c>
      <c r="J7" t="str">
        <f>IFERROR(__xludf.DUMMYFUNCTION("""COMPUTED_VALUE"""),"Acumen Presents: Elizabeth Gilbert's Creativity Workshop")</f>
        <v>Acumen Presents: Elizabeth Gilbert's Creativity Workshop</v>
      </c>
    </row>
    <row r="8">
      <c r="A8" s="143">
        <f>IFERROR(__xludf.DUMMYFUNCTION("""COMPUTED_VALUE"""),42704.0)</f>
        <v>42704</v>
      </c>
      <c r="B8" s="140">
        <f>IFERROR(__xludf.DUMMYFUNCTION("""COMPUTED_VALUE"""),394806.0)</f>
        <v>394806</v>
      </c>
      <c r="C8" s="140" t="str">
        <f>IFERROR(__xludf.DUMMYFUNCTION("""COMPUTED_VALUE"""),"")</f>
        <v/>
      </c>
      <c r="D8" t="str">
        <f>IFERROR(__xludf.DUMMYFUNCTION("""COMPUTED_VALUE"""),"Digital Marketing Institute")</f>
        <v>Digital Marketing Institute</v>
      </c>
      <c r="E8" t="str">
        <f>IFERROR(__xludf.DUMMYFUNCTION("""COMPUTED_VALUE"""),"Below Quality Standards")</f>
        <v>Below Quality Standards</v>
      </c>
      <c r="F8" t="str">
        <f>IFERROR(__xludf.DUMMYFUNCTION("""COMPUTED_VALUE"""),"Marketing")</f>
        <v>Marketing</v>
      </c>
      <c r="G8" s="140">
        <f>IFERROR(__xludf.DUMMYFUNCTION("""COMPUTED_VALUE"""),123570.0)</f>
        <v>123570</v>
      </c>
      <c r="H8" s="140" t="str">
        <f>IFERROR(__xludf.DUMMYFUNCTION("""COMPUTED_VALUE"""),"")</f>
        <v/>
      </c>
    </row>
    <row r="9">
      <c r="A9" s="143">
        <f>IFERROR(__xludf.DUMMYFUNCTION("""COMPUTED_VALUE"""),42704.0)</f>
        <v>42704</v>
      </c>
      <c r="B9" s="140">
        <f>IFERROR(__xludf.DUMMYFUNCTION("""COMPUTED_VALUE"""),697312.0)</f>
        <v>697312</v>
      </c>
      <c r="C9" s="140" t="str">
        <f>IFERROR(__xludf.DUMMYFUNCTION("""COMPUTED_VALUE"""),"")</f>
        <v/>
      </c>
      <c r="D9" t="str">
        <f>IFERROR(__xludf.DUMMYFUNCTION("""COMPUTED_VALUE"""),"Stefano Messori")</f>
        <v>Stefano Messori</v>
      </c>
      <c r="E9" t="str">
        <f>IFERROR(__xludf.DUMMYFUNCTION("""COMPUTED_VALUE"""),"Below Quality Standards")</f>
        <v>Below Quality Standards</v>
      </c>
      <c r="F9" t="str">
        <f>IFERROR(__xludf.DUMMYFUNCTION("""COMPUTED_VALUE"""),"Strategy")</f>
        <v>Strategy</v>
      </c>
      <c r="G9" s="140">
        <f>IFERROR(__xludf.DUMMYFUNCTION("""COMPUTED_VALUE"""),240450.0)</f>
        <v>240450</v>
      </c>
      <c r="H9" s="140" t="str">
        <f>IFERROR(__xludf.DUMMYFUNCTION("""COMPUTED_VALUE"""),"")</f>
        <v/>
      </c>
    </row>
    <row r="10">
      <c r="A10" s="143">
        <f>IFERROR(__xludf.DUMMYFUNCTION("""COMPUTED_VALUE"""),42704.0)</f>
        <v>42704</v>
      </c>
      <c r="B10" s="140">
        <f>IFERROR(__xludf.DUMMYFUNCTION("""COMPUTED_VALUE"""),610546.0)</f>
        <v>610546</v>
      </c>
      <c r="C10" s="140" t="str">
        <f>IFERROR(__xludf.DUMMYFUNCTION("""COMPUTED_VALUE"""),"")</f>
        <v/>
      </c>
      <c r="D10" t="str">
        <f>IFERROR(__xludf.DUMMYFUNCTION("""COMPUTED_VALUE"""),"Andrew Mallett ")</f>
        <v>Andrew Mallett </v>
      </c>
      <c r="E10" t="str">
        <f>IFERROR(__xludf.DUMMYFUNCTION("""COMPUTED_VALUE"""),"Below Quality Standards")</f>
        <v>Below Quality Standards</v>
      </c>
      <c r="F10" t="str">
        <f>IFERROR(__xludf.DUMMYFUNCTION("""COMPUTED_VALUE"""),"Software and Systems")</f>
        <v>Software and Systems</v>
      </c>
      <c r="G10" s="140">
        <f>IFERROR(__xludf.DUMMYFUNCTION("""COMPUTED_VALUE"""),149910.0)</f>
        <v>149910</v>
      </c>
      <c r="H10" s="140" t="str">
        <f>IFERROR(__xludf.DUMMYFUNCTION("""COMPUTED_VALUE"""),"")</f>
        <v/>
      </c>
    </row>
    <row r="11">
      <c r="A11" s="143">
        <f>IFERROR(__xludf.DUMMYFUNCTION("""COMPUTED_VALUE"""),42704.0)</f>
        <v>42704</v>
      </c>
      <c r="B11" s="140">
        <f>IFERROR(__xludf.DUMMYFUNCTION("""COMPUTED_VALUE"""),14683.0)</f>
        <v>14683</v>
      </c>
      <c r="C11" s="140" t="str">
        <f>IFERROR(__xludf.DUMMYFUNCTION("""COMPUTED_VALUE"""),"")</f>
        <v/>
      </c>
      <c r="D11" t="str">
        <f>IFERROR(__xludf.DUMMYFUNCTION("""COMPUTED_VALUE"""),"Ari Meisel")</f>
        <v>Ari Meisel</v>
      </c>
      <c r="E11" t="str">
        <f>IFERROR(__xludf.DUMMYFUNCTION("""COMPUTED_VALUE"""),"Below Quality Standards")</f>
        <v>Below Quality Standards</v>
      </c>
      <c r="F11" t="str">
        <f>IFERROR(__xludf.DUMMYFUNCTION("""COMPUTED_VALUE"""),"Soft Skills")</f>
        <v>Soft Skills</v>
      </c>
      <c r="G11" s="140">
        <f>IFERROR(__xludf.DUMMYFUNCTION("""COMPUTED_VALUE"""),177706.0)</f>
        <v>177706</v>
      </c>
      <c r="H11" s="140" t="str">
        <f>IFERROR(__xludf.DUMMYFUNCTION("""COMPUTED_VALUE"""),"")</f>
        <v/>
      </c>
    </row>
    <row r="12">
      <c r="A12" s="143">
        <f>IFERROR(__xludf.DUMMYFUNCTION("""COMPUTED_VALUE"""),42704.0)</f>
        <v>42704</v>
      </c>
      <c r="B12" s="140">
        <f>IFERROR(__xludf.DUMMYFUNCTION("""COMPUTED_VALUE"""),660906.0)</f>
        <v>660906</v>
      </c>
      <c r="C12" s="140" t="str">
        <f>IFERROR(__xludf.DUMMYFUNCTION("""COMPUTED_VALUE"""),"")</f>
        <v/>
      </c>
      <c r="D12" t="str">
        <f>IFERROR(__xludf.DUMMYFUNCTION("""COMPUTED_VALUE"""),"Uri Soglowek")</f>
        <v>Uri Soglowek</v>
      </c>
      <c r="E12" t="str">
        <f>IFERROR(__xludf.DUMMYFUNCTION("""COMPUTED_VALUE"""),"Below Quality Standards")</f>
        <v>Below Quality Standards</v>
      </c>
      <c r="F12" t="str">
        <f>IFERROR(__xludf.DUMMYFUNCTION("""COMPUTED_VALUE"""),"Soft Skills")</f>
        <v>Soft Skills</v>
      </c>
      <c r="G12" s="140">
        <f>IFERROR(__xludf.DUMMYFUNCTION("""COMPUTED_VALUE"""),177706.0)</f>
        <v>177706</v>
      </c>
      <c r="H12" s="140" t="str">
        <f>IFERROR(__xludf.DUMMYFUNCTION("""COMPUTED_VALUE"""),"")</f>
        <v/>
      </c>
    </row>
    <row r="13">
      <c r="A13" s="143">
        <f>IFERROR(__xludf.DUMMYFUNCTION("""COMPUTED_VALUE"""),42704.0)</f>
        <v>42704</v>
      </c>
      <c r="B13" s="140">
        <f>IFERROR(__xludf.DUMMYFUNCTION("""COMPUTED_VALUE"""),389362.0)</f>
        <v>389362</v>
      </c>
      <c r="C13" s="140" t="str">
        <f>IFERROR(__xludf.DUMMYFUNCTION("""COMPUTED_VALUE"""),"")</f>
        <v/>
      </c>
      <c r="D13" t="str">
        <f>IFERROR(__xludf.DUMMYFUNCTION("""COMPUTED_VALUE"""),"Digital Marketing Institute")</f>
        <v>Digital Marketing Institute</v>
      </c>
      <c r="E13" t="str">
        <f>IFERROR(__xludf.DUMMYFUNCTION("""COMPUTED_VALUE"""),"Redundant")</f>
        <v>Redundant</v>
      </c>
      <c r="F13" t="str">
        <f>IFERROR(__xludf.DUMMYFUNCTION("""COMPUTED_VALUE"""),"Marketing")</f>
        <v>Marketing</v>
      </c>
      <c r="G13" s="140">
        <f>IFERROR(__xludf.DUMMYFUNCTION("""COMPUTED_VALUE"""),934032.0)</f>
        <v>934032</v>
      </c>
      <c r="H13" s="140" t="str">
        <f>IFERROR(__xludf.DUMMYFUNCTION("""COMPUTED_VALUE"""),"")</f>
        <v/>
      </c>
    </row>
    <row r="14">
      <c r="A14" s="143">
        <f>IFERROR(__xludf.DUMMYFUNCTION("""COMPUTED_VALUE"""),42704.0)</f>
        <v>42704</v>
      </c>
      <c r="B14" s="140">
        <f>IFERROR(__xludf.DUMMYFUNCTION("""COMPUTED_VALUE"""),113304.0)</f>
        <v>113304</v>
      </c>
      <c r="C14" s="140" t="str">
        <f>IFERROR(__xludf.DUMMYFUNCTION("""COMPUTED_VALUE"""),"")</f>
        <v/>
      </c>
      <c r="D14" t="str">
        <f>IFERROR(__xludf.DUMMYFUNCTION("""COMPUTED_VALUE"""),"Simon Sez IT")</f>
        <v>Simon Sez IT</v>
      </c>
      <c r="E14" t="str">
        <f>IFERROR(__xludf.DUMMYFUNCTION("""COMPUTED_VALUE"""),"Below Quality Standards")</f>
        <v>Below Quality Standards</v>
      </c>
      <c r="F14" t="str">
        <f>IFERROR(__xludf.DUMMYFUNCTION("""COMPUTED_VALUE"""),"Office Productivity")</f>
        <v>Office Productivity</v>
      </c>
      <c r="G14" s="140">
        <f>IFERROR(__xludf.DUMMYFUNCTION("""COMPUTED_VALUE"""),32917.0)</f>
        <v>32917</v>
      </c>
      <c r="H14" s="140" t="str">
        <f>IFERROR(__xludf.DUMMYFUNCTION("""COMPUTED_VALUE"""),"")</f>
        <v/>
      </c>
    </row>
    <row r="15">
      <c r="A15" s="143">
        <f>IFERROR(__xludf.DUMMYFUNCTION("""COMPUTED_VALUE"""),42704.0)</f>
        <v>42704</v>
      </c>
      <c r="B15" s="140">
        <f>IFERROR(__xludf.DUMMYFUNCTION("""COMPUTED_VALUE"""),502198.0)</f>
        <v>502198</v>
      </c>
      <c r="C15" s="140" t="str">
        <f>IFERROR(__xludf.DUMMYFUNCTION("""COMPUTED_VALUE"""),"")</f>
        <v/>
      </c>
      <c r="D15" t="str">
        <f>IFERROR(__xludf.DUMMYFUNCTION("""COMPUTED_VALUE"""),"Joni Carley")</f>
        <v>Joni Carley</v>
      </c>
      <c r="E15" t="str">
        <f>IFERROR(__xludf.DUMMYFUNCTION("""COMPUTED_VALUE"""),"Below Quality Standards")</f>
        <v>Below Quality Standards</v>
      </c>
      <c r="F15" t="str">
        <f>IFERROR(__xludf.DUMMYFUNCTION("""COMPUTED_VALUE"""),"Management")</f>
        <v>Management</v>
      </c>
      <c r="G15" s="140">
        <f>IFERROR(__xludf.DUMMYFUNCTION("""COMPUTED_VALUE"""),344418.0)</f>
        <v>344418</v>
      </c>
      <c r="H15" s="140" t="str">
        <f>IFERROR(__xludf.DUMMYFUNCTION("""COMPUTED_VALUE"""),"")</f>
        <v/>
      </c>
    </row>
    <row r="16">
      <c r="A16" s="143">
        <f>IFERROR(__xludf.DUMMYFUNCTION("""COMPUTED_VALUE"""),42704.0)</f>
        <v>42704</v>
      </c>
      <c r="B16" s="140">
        <f>IFERROR(__xludf.DUMMYFUNCTION("""COMPUTED_VALUE"""),552524.0)</f>
        <v>552524</v>
      </c>
      <c r="C16" s="140" t="str">
        <f>IFERROR(__xludf.DUMMYFUNCTION("""COMPUTED_VALUE"""),"")</f>
        <v/>
      </c>
      <c r="D16" t="str">
        <f>IFERROR(__xludf.DUMMYFUNCTION("""COMPUTED_VALUE"""),"Derek Franklin")</f>
        <v>Derek Franklin</v>
      </c>
      <c r="E16" t="str">
        <f>IFERROR(__xludf.DUMMYFUNCTION("""COMPUTED_VALUE"""),"Below Quality Standards")</f>
        <v>Below Quality Standards</v>
      </c>
      <c r="F16" t="str">
        <f>IFERROR(__xludf.DUMMYFUNCTION("""COMPUTED_VALUE"""),"Soft Skills")</f>
        <v>Soft Skills</v>
      </c>
      <c r="G16" s="140">
        <f>IFERROR(__xludf.DUMMYFUNCTION("""COMPUTED_VALUE"""),376472.0)</f>
        <v>376472</v>
      </c>
      <c r="H16" s="140" t="str">
        <f>IFERROR(__xludf.DUMMYFUNCTION("""COMPUTED_VALUE"""),"")</f>
        <v/>
      </c>
    </row>
    <row r="17">
      <c r="A17" s="143">
        <f>IFERROR(__xludf.DUMMYFUNCTION("""COMPUTED_VALUE"""),42704.0)</f>
        <v>42704</v>
      </c>
      <c r="B17" s="140">
        <f>IFERROR(__xludf.DUMMYFUNCTION("""COMPUTED_VALUE"""),628670.0)</f>
        <v>628670</v>
      </c>
      <c r="C17" s="140" t="str">
        <f>IFERROR(__xludf.DUMMYFUNCTION("""COMPUTED_VALUE"""),"")</f>
        <v/>
      </c>
      <c r="D17" t="str">
        <f>IFERROR(__xludf.DUMMYFUNCTION("""COMPUTED_VALUE"""),"Richard Lock")</f>
        <v>Richard Lock</v>
      </c>
      <c r="E17" t="str">
        <f>IFERROR(__xludf.DUMMYFUNCTION("""COMPUTED_VALUE"""),"Below Quality Standards")</f>
        <v>Below Quality Standards</v>
      </c>
      <c r="F17" t="str">
        <f>IFERROR(__xludf.DUMMYFUNCTION("""COMPUTED_VALUE"""),"Soft Skills")</f>
        <v>Soft Skills</v>
      </c>
      <c r="G17" s="140">
        <f>IFERROR(__xludf.DUMMYFUNCTION("""COMPUTED_VALUE"""),376472.0)</f>
        <v>376472</v>
      </c>
      <c r="H17" s="140" t="str">
        <f>IFERROR(__xludf.DUMMYFUNCTION("""COMPUTED_VALUE"""),"")</f>
        <v/>
      </c>
    </row>
    <row r="18">
      <c r="A18" s="143">
        <f>IFERROR(__xludf.DUMMYFUNCTION("""COMPUTED_VALUE"""),42704.0)</f>
        <v>42704</v>
      </c>
      <c r="B18" s="140">
        <f>IFERROR(__xludf.DUMMYFUNCTION("""COMPUTED_VALUE"""),267958.0)</f>
        <v>267958</v>
      </c>
      <c r="C18" s="140" t="str">
        <f>IFERROR(__xludf.DUMMYFUNCTION("""COMPUTED_VALUE"""),"")</f>
        <v/>
      </c>
      <c r="D18" t="str">
        <f>IFERROR(__xludf.DUMMYFUNCTION("""COMPUTED_VALUE"""),"Vladimir Raykov")</f>
        <v>Vladimir Raykov</v>
      </c>
      <c r="E18" t="str">
        <f>IFERROR(__xludf.DUMMYFUNCTION("""COMPUTED_VALUE"""),"Below Quality Standards")</f>
        <v>Below Quality Standards</v>
      </c>
      <c r="F18" t="str">
        <f>IFERROR(__xludf.DUMMYFUNCTION("""COMPUTED_VALUE"""),"Management")</f>
        <v>Management</v>
      </c>
      <c r="G18" s="140">
        <f>IFERROR(__xludf.DUMMYFUNCTION("""COMPUTED_VALUE"""),376472.0)</f>
        <v>376472</v>
      </c>
      <c r="H18" s="140" t="str">
        <f>IFERROR(__xludf.DUMMYFUNCTION("""COMPUTED_VALUE"""),"")</f>
        <v/>
      </c>
    </row>
    <row r="19">
      <c r="A19" s="143">
        <f>IFERROR(__xludf.DUMMYFUNCTION("""COMPUTED_VALUE"""),42704.0)</f>
        <v>42704</v>
      </c>
      <c r="B19" s="140">
        <f>IFERROR(__xludf.DUMMYFUNCTION("""COMPUTED_VALUE"""),61773.0)</f>
        <v>61773</v>
      </c>
      <c r="C19" s="140" t="str">
        <f>IFERROR(__xludf.DUMMYFUNCTION("""COMPUTED_VALUE"""),"")</f>
        <v/>
      </c>
      <c r="D19" t="str">
        <f>IFERROR(__xludf.DUMMYFUNCTION("""COMPUTED_VALUE"""),"CompuWorks Trainers")</f>
        <v>CompuWorks Trainers</v>
      </c>
      <c r="E19" t="str">
        <f>IFERROR(__xludf.DUMMYFUNCTION("""COMPUTED_VALUE"""),"Below Quality Standards")</f>
        <v>Below Quality Standards</v>
      </c>
      <c r="F19" t="str">
        <f>IFERROR(__xludf.DUMMYFUNCTION("""COMPUTED_VALUE"""),"Back-End Programming")</f>
        <v>Back-End Programming</v>
      </c>
      <c r="G19" s="140">
        <f>IFERROR(__xludf.DUMMYFUNCTION("""COMPUTED_VALUE"""),382002.0)</f>
        <v>382002</v>
      </c>
      <c r="H19" s="140" t="str">
        <f>IFERROR(__xludf.DUMMYFUNCTION("""COMPUTED_VALUE"""),"")</f>
        <v/>
      </c>
    </row>
    <row r="20">
      <c r="A20" s="143">
        <f>IFERROR(__xludf.DUMMYFUNCTION("""COMPUTED_VALUE"""),42704.0)</f>
        <v>42704</v>
      </c>
      <c r="B20" s="140">
        <f>IFERROR(__xludf.DUMMYFUNCTION("""COMPUTED_VALUE"""),65208.0)</f>
        <v>65208</v>
      </c>
      <c r="C20" s="140" t="str">
        <f>IFERROR(__xludf.DUMMYFUNCTION("""COMPUTED_VALUE"""),"")</f>
        <v/>
      </c>
      <c r="D20" t="str">
        <f>IFERROR(__xludf.DUMMYFUNCTION("""COMPUTED_VALUE"""),"Rob Cubbon")</f>
        <v>Rob Cubbon</v>
      </c>
      <c r="E20" t="str">
        <f>IFERROR(__xludf.DUMMYFUNCTION("""COMPUTED_VALUE"""),"Below Quality Standards")</f>
        <v>Below Quality Standards</v>
      </c>
      <c r="F20" t="str">
        <f>IFERROR(__xludf.DUMMYFUNCTION("""COMPUTED_VALUE"""),"Front-End Programming, Back-End Programming")</f>
        <v>Front-End Programming, Back-End Programming</v>
      </c>
      <c r="G20" s="140">
        <f>IFERROR(__xludf.DUMMYFUNCTION("""COMPUTED_VALUE"""),412738.0)</f>
        <v>412738</v>
      </c>
      <c r="H20" s="140" t="str">
        <f>IFERROR(__xludf.DUMMYFUNCTION("""COMPUTED_VALUE"""),"")</f>
        <v/>
      </c>
    </row>
    <row r="21">
      <c r="A21" s="143">
        <f>IFERROR(__xludf.DUMMYFUNCTION("""COMPUTED_VALUE"""),42704.0)</f>
        <v>42704</v>
      </c>
      <c r="B21" s="140">
        <f>IFERROR(__xludf.DUMMYFUNCTION("""COMPUTED_VALUE"""),405776.0)</f>
        <v>405776</v>
      </c>
      <c r="C21" s="140" t="str">
        <f>IFERROR(__xludf.DUMMYFUNCTION("""COMPUTED_VALUE"""),"")</f>
        <v/>
      </c>
      <c r="D21" t="str">
        <f>IFERROR(__xludf.DUMMYFUNCTION("""COMPUTED_VALUE"""),"Maged Koshty")</f>
        <v>Maged Koshty</v>
      </c>
      <c r="E21" t="str">
        <f>IFERROR(__xludf.DUMMYFUNCTION("""COMPUTED_VALUE"""),"Below Quality Standards")</f>
        <v>Below Quality Standards</v>
      </c>
      <c r="F21" t="str">
        <f>IFERROR(__xludf.DUMMYFUNCTION("""COMPUTED_VALUE"""),"Soft Skills")</f>
        <v>Soft Skills</v>
      </c>
      <c r="G21" s="140">
        <f>IFERROR(__xludf.DUMMYFUNCTION("""COMPUTED_VALUE"""),477888.0)</f>
        <v>477888</v>
      </c>
      <c r="H21" s="140" t="str">
        <f>IFERROR(__xludf.DUMMYFUNCTION("""COMPUTED_VALUE"""),"")</f>
        <v/>
      </c>
    </row>
    <row r="22">
      <c r="A22" s="143">
        <f>IFERROR(__xludf.DUMMYFUNCTION("""COMPUTED_VALUE"""),42704.0)</f>
        <v>42704</v>
      </c>
      <c r="B22" s="140">
        <f>IFERROR(__xludf.DUMMYFUNCTION("""COMPUTED_VALUE"""),197836.0)</f>
        <v>197836</v>
      </c>
      <c r="C22" s="140" t="str">
        <f>IFERROR(__xludf.DUMMYFUNCTION("""COMPUTED_VALUE"""),"")</f>
        <v/>
      </c>
      <c r="D22" t="str">
        <f>IFERROR(__xludf.DUMMYFUNCTION("""COMPUTED_VALUE"""),"Eduonix Learning Solutions")</f>
        <v>Eduonix Learning Solutions</v>
      </c>
      <c r="E22" t="str">
        <f>IFERROR(__xludf.DUMMYFUNCTION("""COMPUTED_VALUE"""),"Below Quality Standards")</f>
        <v>Below Quality Standards</v>
      </c>
      <c r="F22" t="str">
        <f>IFERROR(__xludf.DUMMYFUNCTION("""COMPUTED_VALUE"""),"Front-End Programming")</f>
        <v>Front-End Programming</v>
      </c>
      <c r="G22" s="140">
        <f>IFERROR(__xludf.DUMMYFUNCTION("""COMPUTED_VALUE"""),1070124.0)</f>
        <v>1070124</v>
      </c>
      <c r="H22" s="140" t="str">
        <f>IFERROR(__xludf.DUMMYFUNCTION("""COMPUTED_VALUE"""),"")</f>
        <v/>
      </c>
    </row>
    <row r="23">
      <c r="A23" s="143">
        <f>IFERROR(__xludf.DUMMYFUNCTION("""COMPUTED_VALUE"""),42704.0)</f>
        <v>42704</v>
      </c>
      <c r="B23" s="140">
        <f>IFERROR(__xludf.DUMMYFUNCTION("""COMPUTED_VALUE"""),110240.0)</f>
        <v>110240</v>
      </c>
      <c r="C23" s="140" t="str">
        <f>IFERROR(__xludf.DUMMYFUNCTION("""COMPUTED_VALUE"""),"")</f>
        <v/>
      </c>
      <c r="D23" t="str">
        <f>IFERROR(__xludf.DUMMYFUNCTION("""COMPUTED_VALUE"""),"Hassan Osman")</f>
        <v>Hassan Osman</v>
      </c>
      <c r="E23" t="str">
        <f>IFERROR(__xludf.DUMMYFUNCTION("""COMPUTED_VALUE"""),"Below Quality Standards")</f>
        <v>Below Quality Standards</v>
      </c>
      <c r="F23" t="str">
        <f>IFERROR(__xludf.DUMMYFUNCTION("""COMPUTED_VALUE"""),"Management")</f>
        <v>Management</v>
      </c>
      <c r="G23" s="140">
        <f>IFERROR(__xludf.DUMMYFUNCTION("""COMPUTED_VALUE"""),481148.0)</f>
        <v>481148</v>
      </c>
      <c r="H23" s="140" t="str">
        <f>IFERROR(__xludf.DUMMYFUNCTION("""COMPUTED_VALUE"""),"")</f>
        <v/>
      </c>
    </row>
    <row r="24">
      <c r="A24" s="143">
        <f>IFERROR(__xludf.DUMMYFUNCTION("""COMPUTED_VALUE"""),42704.0)</f>
        <v>42704</v>
      </c>
      <c r="B24" s="140">
        <f>IFERROR(__xludf.DUMMYFUNCTION("""COMPUTED_VALUE"""),646212.0)</f>
        <v>646212</v>
      </c>
      <c r="C24" s="140" t="str">
        <f>IFERROR(__xludf.DUMMYFUNCTION("""COMPUTED_VALUE"""),"")</f>
        <v/>
      </c>
      <c r="D24" t="str">
        <f>IFERROR(__xludf.DUMMYFUNCTION("""COMPUTED_VALUE"""),"Maged Koshty")</f>
        <v>Maged Koshty</v>
      </c>
      <c r="E24" t="str">
        <f>IFERROR(__xludf.DUMMYFUNCTION("""COMPUTED_VALUE"""),"Below Quality Standards")</f>
        <v>Below Quality Standards</v>
      </c>
      <c r="F24" t="str">
        <f>IFERROR(__xludf.DUMMYFUNCTION("""COMPUTED_VALUE"""),"Soft Skills")</f>
        <v>Soft Skills</v>
      </c>
      <c r="G24" s="140">
        <f>IFERROR(__xludf.DUMMYFUNCTION("""COMPUTED_VALUE"""),946654.0)</f>
        <v>946654</v>
      </c>
      <c r="H24" s="140" t="str">
        <f>IFERROR(__xludf.DUMMYFUNCTION("""COMPUTED_VALUE"""),"")</f>
        <v/>
      </c>
    </row>
    <row r="25">
      <c r="A25" s="143">
        <f>IFERROR(__xludf.DUMMYFUNCTION("""COMPUTED_VALUE"""),42704.0)</f>
        <v>42704</v>
      </c>
      <c r="B25" s="140">
        <f>IFERROR(__xludf.DUMMYFUNCTION("""COMPUTED_VALUE"""),343336.0)</f>
        <v>343336</v>
      </c>
      <c r="C25" s="140" t="str">
        <f>IFERROR(__xludf.DUMMYFUNCTION("""COMPUTED_VALUE"""),"")</f>
        <v/>
      </c>
      <c r="D25" t="str">
        <f>IFERROR(__xludf.DUMMYFUNCTION("""COMPUTED_VALUE"""),"Danilo Tambone")</f>
        <v>Danilo Tambone</v>
      </c>
      <c r="E25" t="str">
        <f>IFERROR(__xludf.DUMMYFUNCTION("""COMPUTED_VALUE"""),"Below Quality Standards")</f>
        <v>Below Quality Standards</v>
      </c>
      <c r="F25" t="str">
        <f>IFERROR(__xludf.DUMMYFUNCTION("""COMPUTED_VALUE"""),"Soft Skills, Operations")</f>
        <v>Soft Skills, Operations</v>
      </c>
      <c r="G25" s="140">
        <f>IFERROR(__xludf.DUMMYFUNCTION("""COMPUTED_VALUE"""),775932.0)</f>
        <v>775932</v>
      </c>
      <c r="H25" s="140" t="str">
        <f>IFERROR(__xludf.DUMMYFUNCTION("""COMPUTED_VALUE"""),"")</f>
        <v/>
      </c>
    </row>
    <row r="26">
      <c r="A26" s="143">
        <f>IFERROR(__xludf.DUMMYFUNCTION("""COMPUTED_VALUE"""),42704.0)</f>
        <v>42704</v>
      </c>
      <c r="B26" s="140">
        <f>IFERROR(__xludf.DUMMYFUNCTION("""COMPUTED_VALUE"""),566534.0)</f>
        <v>566534</v>
      </c>
      <c r="C26" s="140" t="str">
        <f>IFERROR(__xludf.DUMMYFUNCTION("""COMPUTED_VALUE"""),"")</f>
        <v/>
      </c>
      <c r="D26" t="str">
        <f>IFERROR(__xludf.DUMMYFUNCTION("""COMPUTED_VALUE"""),"Learn iT! Anytime")</f>
        <v>Learn iT! Anytime</v>
      </c>
      <c r="E26" t="str">
        <f>IFERROR(__xludf.DUMMYFUNCTION("""COMPUTED_VALUE"""),"Below Quality Standards")</f>
        <v>Below Quality Standards</v>
      </c>
      <c r="F26" t="str">
        <f>IFERROR(__xludf.DUMMYFUNCTION("""COMPUTED_VALUE"""),"Office Productivity")</f>
        <v>Office Productivity</v>
      </c>
      <c r="G26" s="140">
        <f>IFERROR(__xludf.DUMMYFUNCTION("""COMPUTED_VALUE"""),622228.0)</f>
        <v>622228</v>
      </c>
      <c r="H26" s="140" t="str">
        <f>IFERROR(__xludf.DUMMYFUNCTION("""COMPUTED_VALUE"""),"")</f>
        <v/>
      </c>
    </row>
    <row r="27">
      <c r="A27" s="143">
        <f>IFERROR(__xludf.DUMMYFUNCTION("""COMPUTED_VALUE"""),42704.0)</f>
        <v>42704</v>
      </c>
      <c r="B27" s="140">
        <f>IFERROR(__xludf.DUMMYFUNCTION("""COMPUTED_VALUE"""),522470.0)</f>
        <v>522470</v>
      </c>
      <c r="C27" s="140" t="str">
        <f>IFERROR(__xludf.DUMMYFUNCTION("""COMPUTED_VALUE"""),"")</f>
        <v/>
      </c>
      <c r="D27" t="str">
        <f>IFERROR(__xludf.DUMMYFUNCTION("""COMPUTED_VALUE"""),"Marious Kuriata ")</f>
        <v>Marious Kuriata </v>
      </c>
      <c r="E27" t="str">
        <f>IFERROR(__xludf.DUMMYFUNCTION("""COMPUTED_VALUE"""),"Below Quality Standards")</f>
        <v>Below Quality Standards</v>
      </c>
      <c r="F27" t="str">
        <f>IFERROR(__xludf.DUMMYFUNCTION("""COMPUTED_VALUE"""),"Office Productivity")</f>
        <v>Office Productivity</v>
      </c>
      <c r="G27" s="140">
        <f>IFERROR(__xludf.DUMMYFUNCTION("""COMPUTED_VALUE"""),622228.0)</f>
        <v>622228</v>
      </c>
      <c r="H27" s="140" t="str">
        <f>IFERROR(__xludf.DUMMYFUNCTION("""COMPUTED_VALUE"""),"")</f>
        <v/>
      </c>
    </row>
    <row r="28">
      <c r="A28" s="143">
        <f>IFERROR(__xludf.DUMMYFUNCTION("""COMPUTED_VALUE"""),42704.0)</f>
        <v>42704</v>
      </c>
      <c r="B28" s="140">
        <f>IFERROR(__xludf.DUMMYFUNCTION("""COMPUTED_VALUE"""),139262.0)</f>
        <v>139262</v>
      </c>
      <c r="C28" s="140" t="str">
        <f>IFERROR(__xludf.DUMMYFUNCTION("""COMPUTED_VALUE"""),"")</f>
        <v/>
      </c>
      <c r="D28" t="str">
        <f>IFERROR(__xludf.DUMMYFUNCTION("""COMPUTED_VALUE""")," Denise Dal Vera")</f>
        <v> Denise Dal Vera</v>
      </c>
      <c r="E28" t="str">
        <f>IFERROR(__xludf.DUMMYFUNCTION("""COMPUTED_VALUE"""),"Below Quality Standards")</f>
        <v>Below Quality Standards</v>
      </c>
      <c r="F28" t="str">
        <f>IFERROR(__xludf.DUMMYFUNCTION("""COMPUTED_VALUE"""),"Soft Skills")</f>
        <v>Soft Skills</v>
      </c>
      <c r="G28" s="140">
        <f>IFERROR(__xludf.DUMMYFUNCTION("""COMPUTED_VALUE"""),192004.0)</f>
        <v>192004</v>
      </c>
      <c r="H28" s="140" t="str">
        <f>IFERROR(__xludf.DUMMYFUNCTION("""COMPUTED_VALUE"""),"")</f>
        <v/>
      </c>
    </row>
    <row r="29">
      <c r="A29" s="143">
        <f>IFERROR(__xludf.DUMMYFUNCTION("""COMPUTED_VALUE"""),42704.0)</f>
        <v>42704</v>
      </c>
      <c r="B29" s="140">
        <f>IFERROR(__xludf.DUMMYFUNCTION("""COMPUTED_VALUE"""),475232.0)</f>
        <v>475232</v>
      </c>
      <c r="C29" s="140" t="str">
        <f>IFERROR(__xludf.DUMMYFUNCTION("""COMPUTED_VALUE"""),"")</f>
        <v/>
      </c>
      <c r="D29" t="str">
        <f>IFERROR(__xludf.DUMMYFUNCTION("""COMPUTED_VALUE"""),"Drexel Scott")</f>
        <v>Drexel Scott</v>
      </c>
      <c r="E29" t="str">
        <f>IFERROR(__xludf.DUMMYFUNCTION("""COMPUTED_VALUE"""),"Below Quality Standards")</f>
        <v>Below Quality Standards</v>
      </c>
      <c r="F29" t="str">
        <f>IFERROR(__xludf.DUMMYFUNCTION("""COMPUTED_VALUE"""),"Sales")</f>
        <v>Sales</v>
      </c>
      <c r="G29" s="140">
        <f>IFERROR(__xludf.DUMMYFUNCTION("""COMPUTED_VALUE"""),192004.0)</f>
        <v>192004</v>
      </c>
      <c r="H29" s="140" t="str">
        <f>IFERROR(__xludf.DUMMYFUNCTION("""COMPUTED_VALUE"""),"")</f>
        <v/>
      </c>
    </row>
    <row r="30">
      <c r="A30" s="143">
        <f>IFERROR(__xludf.DUMMYFUNCTION("""COMPUTED_VALUE"""),42704.0)</f>
        <v>42704</v>
      </c>
      <c r="B30" s="140">
        <f>IFERROR(__xludf.DUMMYFUNCTION("""COMPUTED_VALUE"""),400176.0)</f>
        <v>400176</v>
      </c>
      <c r="C30" s="140" t="str">
        <f>IFERROR(__xludf.DUMMYFUNCTION("""COMPUTED_VALUE"""),"")</f>
        <v/>
      </c>
      <c r="D30" t="str">
        <f>IFERROR(__xludf.DUMMYFUNCTION("""COMPUTED_VALUE"""),"Eugene Vassilas")</f>
        <v>Eugene Vassilas</v>
      </c>
      <c r="E30" t="str">
        <f>IFERROR(__xludf.DUMMYFUNCTION("""COMPUTED_VALUE"""),"Below Quality Standards")</f>
        <v>Below Quality Standards</v>
      </c>
      <c r="F30" t="str">
        <f>IFERROR(__xludf.DUMMYFUNCTION("""COMPUTED_VALUE"""),"Soft Skills")</f>
        <v>Soft Skills</v>
      </c>
      <c r="G30" s="140">
        <f>IFERROR(__xludf.DUMMYFUNCTION("""COMPUTED_VALUE"""),192004.0)</f>
        <v>192004</v>
      </c>
      <c r="H30" s="140" t="str">
        <f>IFERROR(__xludf.DUMMYFUNCTION("""COMPUTED_VALUE"""),"")</f>
        <v/>
      </c>
    </row>
    <row r="31">
      <c r="A31" s="143">
        <f>IFERROR(__xludf.DUMMYFUNCTION("""COMPUTED_VALUE"""),42704.0)</f>
        <v>42704</v>
      </c>
      <c r="B31" s="140">
        <f>IFERROR(__xludf.DUMMYFUNCTION("""COMPUTED_VALUE"""),413186.0)</f>
        <v>413186</v>
      </c>
      <c r="C31" s="140" t="str">
        <f>IFERROR(__xludf.DUMMYFUNCTION("""COMPUTED_VALUE"""),"")</f>
        <v/>
      </c>
      <c r="D31" t="str">
        <f>IFERROR(__xludf.DUMMYFUNCTION("""COMPUTED_VALUE"""),"David Fradin")</f>
        <v>David Fradin</v>
      </c>
      <c r="E31" t="str">
        <f>IFERROR(__xludf.DUMMYFUNCTION("""COMPUTED_VALUE"""),"Below Quality Standards")</f>
        <v>Below Quality Standards</v>
      </c>
      <c r="F31" t="str">
        <f>IFERROR(__xludf.DUMMYFUNCTION("""COMPUTED_VALUE"""),"Operations")</f>
        <v>Operations</v>
      </c>
      <c r="G31" s="140">
        <f>IFERROR(__xludf.DUMMYFUNCTION("""COMPUTED_VALUE"""),673654.0)</f>
        <v>673654</v>
      </c>
      <c r="H31" s="140" t="str">
        <f>IFERROR(__xludf.DUMMYFUNCTION("""COMPUTED_VALUE"""),"")</f>
        <v/>
      </c>
    </row>
    <row r="32">
      <c r="A32" s="143">
        <f>IFERROR(__xludf.DUMMYFUNCTION("""COMPUTED_VALUE"""),42704.0)</f>
        <v>42704</v>
      </c>
      <c r="B32" s="140">
        <f>IFERROR(__xludf.DUMMYFUNCTION("""COMPUTED_VALUE"""),405734.0)</f>
        <v>405734</v>
      </c>
      <c r="C32" s="140" t="str">
        <f>IFERROR(__xludf.DUMMYFUNCTION("""COMPUTED_VALUE"""),"")</f>
        <v/>
      </c>
      <c r="D32" t="str">
        <f>IFERROR(__xludf.DUMMYFUNCTION("""COMPUTED_VALUE"""),"Akash Karia")</f>
        <v>Akash Karia</v>
      </c>
      <c r="E32" t="str">
        <f>IFERROR(__xludf.DUMMYFUNCTION("""COMPUTED_VALUE"""),"Below Quality Standards")</f>
        <v>Below Quality Standards</v>
      </c>
      <c r="F32" t="str">
        <f>IFERROR(__xludf.DUMMYFUNCTION("""COMPUTED_VALUE"""),"Soft Skills")</f>
        <v>Soft Skills</v>
      </c>
      <c r="G32" s="140">
        <f>IFERROR(__xludf.DUMMYFUNCTION("""COMPUTED_VALUE"""),720732.0)</f>
        <v>720732</v>
      </c>
      <c r="H32" s="140" t="str">
        <f>IFERROR(__xludf.DUMMYFUNCTION("""COMPUTED_VALUE"""),"")</f>
        <v/>
      </c>
    </row>
    <row r="33">
      <c r="A33" s="143">
        <f>IFERROR(__xludf.DUMMYFUNCTION("""COMPUTED_VALUE"""),42704.0)</f>
        <v>42704</v>
      </c>
      <c r="B33" s="140">
        <f>IFERROR(__xludf.DUMMYFUNCTION("""COMPUTED_VALUE"""),381040.0)</f>
        <v>381040</v>
      </c>
      <c r="C33" s="140" t="str">
        <f>IFERROR(__xludf.DUMMYFUNCTION("""COMPUTED_VALUE"""),"")</f>
        <v/>
      </c>
      <c r="D33" t="str">
        <f>IFERROR(__xludf.DUMMYFUNCTION("""COMPUTED_VALUE"""),"Denise Fletcher")</f>
        <v>Denise Fletcher</v>
      </c>
      <c r="E33" t="str">
        <f>IFERROR(__xludf.DUMMYFUNCTION("""COMPUTED_VALUE"""),"Below Quality Standards")</f>
        <v>Below Quality Standards</v>
      </c>
      <c r="F33" t="str">
        <f>IFERROR(__xludf.DUMMYFUNCTION("""COMPUTED_VALUE"""),"Management")</f>
        <v>Management</v>
      </c>
      <c r="G33" s="140">
        <f>IFERROR(__xludf.DUMMYFUNCTION("""COMPUTED_VALUE"""),720732.0)</f>
        <v>720732</v>
      </c>
      <c r="H33" s="140" t="str">
        <f>IFERROR(__xludf.DUMMYFUNCTION("""COMPUTED_VALUE"""),"")</f>
        <v/>
      </c>
    </row>
    <row r="34">
      <c r="A34" s="143">
        <f>IFERROR(__xludf.DUMMYFUNCTION("""COMPUTED_VALUE"""),42704.0)</f>
        <v>42704</v>
      </c>
      <c r="B34" s="140">
        <f>IFERROR(__xludf.DUMMYFUNCTION("""COMPUTED_VALUE"""),178650.0)</f>
        <v>178650</v>
      </c>
      <c r="C34" s="140" t="str">
        <f>IFERROR(__xludf.DUMMYFUNCTION("""COMPUTED_VALUE"""),"")</f>
        <v/>
      </c>
      <c r="D34" t="str">
        <f>IFERROR(__xludf.DUMMYFUNCTION("""COMPUTED_VALUE"""),"Paul Siegel")</f>
        <v>Paul Siegel</v>
      </c>
      <c r="E34" t="str">
        <f>IFERROR(__xludf.DUMMYFUNCTION("""COMPUTED_VALUE"""),"Below Quality Standards")</f>
        <v>Below Quality Standards</v>
      </c>
      <c r="F34" t="str">
        <f>IFERROR(__xludf.DUMMYFUNCTION("""COMPUTED_VALUE"""),"Sales")</f>
        <v>Sales</v>
      </c>
      <c r="G34" s="140">
        <f>IFERROR(__xludf.DUMMYFUNCTION("""COMPUTED_VALUE"""),745960.0)</f>
        <v>745960</v>
      </c>
      <c r="H34" s="140" t="str">
        <f>IFERROR(__xludf.DUMMYFUNCTION("""COMPUTED_VALUE"""),"")</f>
        <v/>
      </c>
    </row>
    <row r="35">
      <c r="A35" s="143">
        <f>IFERROR(__xludf.DUMMYFUNCTION("""COMPUTED_VALUE"""),42704.0)</f>
        <v>42704</v>
      </c>
      <c r="B35" s="140">
        <f>IFERROR(__xludf.DUMMYFUNCTION("""COMPUTED_VALUE"""),661878.0)</f>
        <v>661878</v>
      </c>
      <c r="C35" s="140" t="str">
        <f>IFERROR(__xludf.DUMMYFUNCTION("""COMPUTED_VALUE"""),"")</f>
        <v/>
      </c>
      <c r="D35" t="str">
        <f>IFERROR(__xludf.DUMMYFUNCTION("""COMPUTED_VALUE"""),"Eduonix Learning Solutions")</f>
        <v>Eduonix Learning Solutions</v>
      </c>
      <c r="E35" t="str">
        <f>IFERROR(__xludf.DUMMYFUNCTION("""COMPUTED_VALUE"""),"Below Quality Standards")</f>
        <v>Below Quality Standards</v>
      </c>
      <c r="F35" t="str">
        <f>IFERROR(__xludf.DUMMYFUNCTION("""COMPUTED_VALUE"""),"Back-End Programming")</f>
        <v>Back-End Programming</v>
      </c>
      <c r="G35" s="140">
        <f>IFERROR(__xludf.DUMMYFUNCTION("""COMPUTED_VALUE"""),758582.0)</f>
        <v>758582</v>
      </c>
      <c r="H35" s="140" t="str">
        <f>IFERROR(__xludf.DUMMYFUNCTION("""COMPUTED_VALUE"""),"")</f>
        <v/>
      </c>
    </row>
    <row r="36">
      <c r="A36" s="143">
        <f>IFERROR(__xludf.DUMMYFUNCTION("""COMPUTED_VALUE"""),42704.0)</f>
        <v>42704</v>
      </c>
      <c r="B36" s="140">
        <f>IFERROR(__xludf.DUMMYFUNCTION("""COMPUTED_VALUE"""),18961.0)</f>
        <v>18961</v>
      </c>
      <c r="C36" s="140" t="str">
        <f>IFERROR(__xludf.DUMMYFUNCTION("""COMPUTED_VALUE"""),"")</f>
        <v/>
      </c>
      <c r="D36" t="str">
        <f>IFERROR(__xludf.DUMMYFUNCTION("""COMPUTED_VALUE"""),"Deltina Hay")</f>
        <v>Deltina Hay</v>
      </c>
      <c r="E36" t="str">
        <f>IFERROR(__xludf.DUMMYFUNCTION("""COMPUTED_VALUE"""),"Redundant")</f>
        <v>Redundant</v>
      </c>
      <c r="F36" t="str">
        <f>IFERROR(__xludf.DUMMYFUNCTION("""COMPUTED_VALUE"""),"Marketing")</f>
        <v>Marketing</v>
      </c>
      <c r="G36" s="140">
        <f>IFERROR(__xludf.DUMMYFUNCTION("""COMPUTED_VALUE"""),820582.0)</f>
        <v>820582</v>
      </c>
      <c r="H36" s="140" t="str">
        <f>IFERROR(__xludf.DUMMYFUNCTION("""COMPUTED_VALUE"""),"")</f>
        <v/>
      </c>
      <c r="I36" s="142" t="str">
        <f>IFERROR(__xludf.DUMMYFUNCTION("""COMPUTED_VALUE"""),"934032")</f>
        <v>934032</v>
      </c>
      <c r="J36" s="142" t="str">
        <f>IFERROR(__xludf.DUMMYFUNCTION("""COMPUTED_VALUE"""),"YouTube SEO: How to Rank #1 on YouTube")</f>
        <v>YouTube SEO: How to Rank #1 on YouTube</v>
      </c>
    </row>
    <row r="37">
      <c r="A37" s="143">
        <f>IFERROR(__xludf.DUMMYFUNCTION("""COMPUTED_VALUE"""),42704.0)</f>
        <v>42704</v>
      </c>
      <c r="B37" s="140">
        <f>IFERROR(__xludf.DUMMYFUNCTION("""COMPUTED_VALUE"""),157806.0)</f>
        <v>157806</v>
      </c>
      <c r="C37" s="140" t="str">
        <f>IFERROR(__xludf.DUMMYFUNCTION("""COMPUTED_VALUE"""),"")</f>
        <v/>
      </c>
      <c r="D37" t="str">
        <f>IFERROR(__xludf.DUMMYFUNCTION("""COMPUTED_VALUE"""),"David Travis")</f>
        <v>David Travis</v>
      </c>
      <c r="E37" t="str">
        <f>IFERROR(__xludf.DUMMYFUNCTION("""COMPUTED_VALUE"""),"Instructor Opted Out")</f>
        <v>Instructor Opted Out</v>
      </c>
      <c r="F37" t="str">
        <f>IFERROR(__xludf.DUMMYFUNCTION("""COMPUTED_VALUE"""),"Software and Systems, Data Science")</f>
        <v>Software and Systems, Data Science</v>
      </c>
      <c r="G37" s="140">
        <f>IFERROR(__xludf.DUMMYFUNCTION("""COMPUTED_VALUE"""),84085.0)</f>
        <v>84085</v>
      </c>
      <c r="H37" s="140" t="str">
        <f>IFERROR(__xludf.DUMMYFUNCTION("""COMPUTED_VALUE"""),"")</f>
        <v/>
      </c>
    </row>
    <row r="38">
      <c r="A38" s="143">
        <f>IFERROR(__xludf.DUMMYFUNCTION("""COMPUTED_VALUE"""),42704.0)</f>
        <v>42704</v>
      </c>
      <c r="B38" s="140">
        <f>IFERROR(__xludf.DUMMYFUNCTION("""COMPUTED_VALUE"""),144228.0)</f>
        <v>144228</v>
      </c>
      <c r="C38" s="140" t="str">
        <f>IFERROR(__xludf.DUMMYFUNCTION("""COMPUTED_VALUE"""),"")</f>
        <v/>
      </c>
      <c r="D38" t="str">
        <f>IFERROR(__xludf.DUMMYFUNCTION("""COMPUTED_VALUE"""),"David Nihill ")</f>
        <v>David Nihill </v>
      </c>
      <c r="E38" t="str">
        <f>IFERROR(__xludf.DUMMYFUNCTION("""COMPUTED_VALUE"""),"Below Quality Standards")</f>
        <v>Below Quality Standards</v>
      </c>
      <c r="F38" t="str">
        <f>IFERROR(__xludf.DUMMYFUNCTION("""COMPUTED_VALUE"""),"Soft Skills")</f>
        <v>Soft Skills</v>
      </c>
      <c r="G38" s="140">
        <f>IFERROR(__xludf.DUMMYFUNCTION("""COMPUTED_VALUE"""),852192.0)</f>
        <v>852192</v>
      </c>
      <c r="H38" s="140" t="str">
        <f>IFERROR(__xludf.DUMMYFUNCTION("""COMPUTED_VALUE"""),"")</f>
        <v/>
      </c>
      <c r="I38" s="142" t="str">
        <f>IFERROR(__xludf.DUMMYFUNCTION("""COMPUTED_VALUE"""),"357216")</f>
        <v>357216</v>
      </c>
      <c r="J38" t="str">
        <f>IFERROR(__xludf.DUMMYFUNCTION("""COMPUTED_VALUE"""),"Communication in the Workplace: Using Humor at Work")</f>
        <v>Communication in the Workplace: Using Humor at Work</v>
      </c>
    </row>
    <row r="39">
      <c r="A39" s="143">
        <f>IFERROR(__xludf.DUMMYFUNCTION("""COMPUTED_VALUE"""),42704.0)</f>
        <v>42704</v>
      </c>
      <c r="B39" s="140">
        <f>IFERROR(__xludf.DUMMYFUNCTION("""COMPUTED_VALUE"""),160802.0)</f>
        <v>160802</v>
      </c>
      <c r="C39" s="140" t="str">
        <f>IFERROR(__xludf.DUMMYFUNCTION("""COMPUTED_VALUE"""),"")</f>
        <v/>
      </c>
      <c r="D39" t="str">
        <f>IFERROR(__xludf.DUMMYFUNCTION("""COMPUTED_VALUE"""),"Parallel Branch Inc")</f>
        <v>Parallel Branch Inc</v>
      </c>
      <c r="E39" t="str">
        <f>IFERROR(__xludf.DUMMYFUNCTION("""COMPUTED_VALUE"""),"Redundant")</f>
        <v>Redundant</v>
      </c>
      <c r="F39" t="str">
        <f>IFERROR(__xludf.DUMMYFUNCTION("""COMPUTED_VALUE"""),"Software and Systems")</f>
        <v>Software and Systems</v>
      </c>
      <c r="G39" s="140">
        <f>IFERROR(__xludf.DUMMYFUNCTION("""COMPUTED_VALUE"""),866196.0)</f>
        <v>866196</v>
      </c>
      <c r="H39" s="140" t="str">
        <f>IFERROR(__xludf.DUMMYFUNCTION("""COMPUTED_VALUE"""),"")</f>
        <v/>
      </c>
      <c r="I39" s="142" t="str">
        <f>IFERROR(__xludf.DUMMYFUNCTION("""COMPUTED_VALUE"""),"54557")</f>
        <v>54557</v>
      </c>
      <c r="J39" t="str">
        <f>IFERROR(__xludf.DUMMYFUNCTION("""COMPUTED_VALUE"""),"Oracle 11g PL/SQL Fundamentals I")</f>
        <v>Oracle 11g PL/SQL Fundamentals I</v>
      </c>
      <c r="K39" s="142" t="str">
        <f>IFERROR(__xludf.DUMMYFUNCTION("""COMPUTED_VALUE"""),"126134")</f>
        <v>126134</v>
      </c>
      <c r="L39" t="str">
        <f>IFERROR(__xludf.DUMMYFUNCTION("""COMPUTED_VALUE"""),"Oracle 11g PL/SQL Fundamentals II")</f>
        <v>Oracle 11g PL/SQL Fundamentals II</v>
      </c>
    </row>
    <row r="40">
      <c r="A40" s="143">
        <f>IFERROR(__xludf.DUMMYFUNCTION("""COMPUTED_VALUE"""),42704.0)</f>
        <v>42704</v>
      </c>
      <c r="B40" s="140">
        <f>IFERROR(__xludf.DUMMYFUNCTION("""COMPUTED_VALUE"""),528440.0)</f>
        <v>528440</v>
      </c>
      <c r="C40" s="140" t="str">
        <f>IFERROR(__xludf.DUMMYFUNCTION("""COMPUTED_VALUE"""),"")</f>
        <v/>
      </c>
      <c r="D40" t="str">
        <f>IFERROR(__xludf.DUMMYFUNCTION("""COMPUTED_VALUE"""),"365 Careers")</f>
        <v>365 Careers</v>
      </c>
      <c r="E40" t="str">
        <f>IFERROR(__xludf.DUMMYFUNCTION("""COMPUTED_VALUE"""),"Below Quality Standards")</f>
        <v>Below Quality Standards</v>
      </c>
      <c r="F40" t="str">
        <f>IFERROR(__xludf.DUMMYFUNCTION("""COMPUTED_VALUE"""),"Finance and Accounting")</f>
        <v>Finance and Accounting</v>
      </c>
      <c r="G40" s="140">
        <f>IFERROR(__xludf.DUMMYFUNCTION("""COMPUTED_VALUE"""),888716.0)</f>
        <v>888716</v>
      </c>
      <c r="H40" s="140" t="str">
        <f>IFERROR(__xludf.DUMMYFUNCTION("""COMPUTED_VALUE"""),"")</f>
        <v/>
      </c>
    </row>
    <row r="41">
      <c r="A41" s="143">
        <f>IFERROR(__xludf.DUMMYFUNCTION("""COMPUTED_VALUE"""),42643.0)</f>
        <v>42643</v>
      </c>
      <c r="B41" s="140">
        <f>IFERROR(__xludf.DUMMYFUNCTION("""COMPUTED_VALUE"""),348366.0)</f>
        <v>348366</v>
      </c>
      <c r="C41" s="140" t="str">
        <f>IFERROR(__xludf.DUMMYFUNCTION("""COMPUTED_VALUE"""),"")</f>
        <v/>
      </c>
      <c r="D41" t="str">
        <f>IFERROR(__xludf.DUMMYFUNCTION("""COMPUTED_VALUE"""),"Train Simple")</f>
        <v>Train Simple</v>
      </c>
      <c r="E41" t="str">
        <f>IFERROR(__xludf.DUMMYFUNCTION("""COMPUTED_VALUE"""),"Instructor Request")</f>
        <v>Instructor Request</v>
      </c>
      <c r="F41" t="str">
        <f>IFERROR(__xludf.DUMMYFUNCTION("""COMPUTED_VALUE"""),"Design")</f>
        <v>Design</v>
      </c>
      <c r="G41" s="140">
        <f>IFERROR(__xludf.DUMMYFUNCTION("""COMPUTED_VALUE"""),405926.0)</f>
        <v>405926</v>
      </c>
      <c r="H41" s="140" t="str">
        <f>IFERROR(__xludf.DUMMYFUNCTION("""COMPUTED_VALUE"""),"")</f>
        <v/>
      </c>
    </row>
    <row r="42">
      <c r="A42" s="143">
        <f>IFERROR(__xludf.DUMMYFUNCTION("""COMPUTED_VALUE"""),42643.0)</f>
        <v>42643</v>
      </c>
      <c r="B42" s="140">
        <f>IFERROR(__xludf.DUMMYFUNCTION("""COMPUTED_VALUE"""),695158.0)</f>
        <v>695158</v>
      </c>
      <c r="C42" s="140" t="str">
        <f>IFERROR(__xludf.DUMMYFUNCTION("""COMPUTED_VALUE"""),"")</f>
        <v/>
      </c>
      <c r="D42" t="str">
        <f>IFERROR(__xludf.DUMMYFUNCTION("""COMPUTED_VALUE"""),"Train Simple")</f>
        <v>Train Simple</v>
      </c>
      <c r="E42" t="str">
        <f>IFERROR(__xludf.DUMMYFUNCTION("""COMPUTED_VALUE"""),"Instructor Request")</f>
        <v>Instructor Request</v>
      </c>
      <c r="F42" t="str">
        <f>IFERROR(__xludf.DUMMYFUNCTION("""COMPUTED_VALUE"""),"Design")</f>
        <v>Design</v>
      </c>
      <c r="H42" s="140" t="str">
        <f>IFERROR(__xludf.DUMMYFUNCTION("""COMPUTED_VALUE"""),"")</f>
        <v/>
      </c>
    </row>
    <row r="43">
      <c r="A43" s="143">
        <f>IFERROR(__xludf.DUMMYFUNCTION("""COMPUTED_VALUE"""),42643.0)</f>
        <v>42643</v>
      </c>
      <c r="B43" s="140">
        <f>IFERROR(__xludf.DUMMYFUNCTION("""COMPUTED_VALUE"""),717162.0)</f>
        <v>717162</v>
      </c>
      <c r="C43" s="140" t="str">
        <f>IFERROR(__xludf.DUMMYFUNCTION("""COMPUTED_VALUE"""),"")</f>
        <v/>
      </c>
      <c r="D43" t="str">
        <f>IFERROR(__xludf.DUMMYFUNCTION("""COMPUTED_VALUE"""),"Train Simple")</f>
        <v>Train Simple</v>
      </c>
      <c r="E43" t="str">
        <f>IFERROR(__xludf.DUMMYFUNCTION("""COMPUTED_VALUE"""),"Instructor Request")</f>
        <v>Instructor Request</v>
      </c>
      <c r="F43" t="str">
        <f>IFERROR(__xludf.DUMMYFUNCTION("""COMPUTED_VALUE"""),"Design")</f>
        <v>Design</v>
      </c>
      <c r="H43" s="140" t="str">
        <f>IFERROR(__xludf.DUMMYFUNCTION("""COMPUTED_VALUE"""),"")</f>
        <v/>
      </c>
    </row>
    <row r="44">
      <c r="A44" s="143">
        <f>IFERROR(__xludf.DUMMYFUNCTION("""COMPUTED_VALUE"""),42643.0)</f>
        <v>42643</v>
      </c>
      <c r="B44" s="140">
        <f>IFERROR(__xludf.DUMMYFUNCTION("""COMPUTED_VALUE"""),14434.0)</f>
        <v>14434</v>
      </c>
      <c r="C44" s="140" t="str">
        <f>IFERROR(__xludf.DUMMYFUNCTION("""COMPUTED_VALUE"""),"")</f>
        <v/>
      </c>
      <c r="D44" t="str">
        <f>IFERROR(__xludf.DUMMYFUNCTION("""COMPUTED_VALUE"""),"LearnToProgram, Inc.")</f>
        <v>LearnToProgram, Inc.</v>
      </c>
      <c r="E44" t="str">
        <f>IFERROR(__xludf.DUMMYFUNCTION("""COMPUTED_VALUE"""),"Instructor Request")</f>
        <v>Instructor Request</v>
      </c>
      <c r="F44" t="str">
        <f>IFERROR(__xludf.DUMMYFUNCTION("""COMPUTED_VALUE"""),"Back-End Programming")</f>
        <v>Back-End Programming</v>
      </c>
      <c r="H44" s="140" t="str">
        <f>IFERROR(__xludf.DUMMYFUNCTION("""COMPUTED_VALUE"""),"")</f>
        <v/>
      </c>
      <c r="M44" t="str">
        <f>IFERROR(__xludf.DUMMYFUNCTION("""COMPUTED_VALUE"""),"On gaps list: https://trello.com/c/9M2SyYPq/72-adobe-flash")</f>
        <v>On gaps list: https://trello.com/c/9M2SyYPq/72-adobe-flash</v>
      </c>
    </row>
    <row r="45">
      <c r="A45" s="143">
        <f>IFERROR(__xludf.DUMMYFUNCTION("""COMPUTED_VALUE"""),42643.0)</f>
        <v>42643</v>
      </c>
      <c r="B45" s="140">
        <f>IFERROR(__xludf.DUMMYFUNCTION("""COMPUTED_VALUE"""),682240.0)</f>
        <v>682240</v>
      </c>
      <c r="C45" s="140" t="str">
        <f>IFERROR(__xludf.DUMMYFUNCTION("""COMPUTED_VALUE"""),"")</f>
        <v/>
      </c>
      <c r="D45" t="str">
        <f>IFERROR(__xludf.DUMMYFUNCTION("""COMPUTED_VALUE"""),"24 Directlearning ")</f>
        <v>24 Directlearning </v>
      </c>
      <c r="E45" t="str">
        <f>IFERROR(__xludf.DUMMYFUNCTION("""COMPUTED_VALUE"""),"DMCA Removal")</f>
        <v>DMCA Removal</v>
      </c>
      <c r="F45" t="str">
        <f>IFERROR(__xludf.DUMMYFUNCTION("""COMPUTED_VALUE"""),"Software and Systems")</f>
        <v>Software and Systems</v>
      </c>
      <c r="G45" s="140">
        <f>IFERROR(__xludf.DUMMYFUNCTION("""COMPUTED_VALUE"""),864566.0)</f>
        <v>864566</v>
      </c>
      <c r="H45" s="140" t="str">
        <f>IFERROR(__xludf.DUMMYFUNCTION("""COMPUTED_VALUE"""),"")</f>
        <v/>
      </c>
    </row>
    <row r="46">
      <c r="A46" s="143">
        <f>IFERROR(__xludf.DUMMYFUNCTION("""COMPUTED_VALUE"""),42643.0)</f>
        <v>42643</v>
      </c>
      <c r="B46" s="140">
        <f>IFERROR(__xludf.DUMMYFUNCTION("""COMPUTED_VALUE"""),445132.0)</f>
        <v>445132</v>
      </c>
      <c r="C46" s="140" t="str">
        <f>IFERROR(__xludf.DUMMYFUNCTION("""COMPUTED_VALUE"""),"")</f>
        <v/>
      </c>
      <c r="D46" t="str">
        <f>IFERROR(__xludf.DUMMYFUNCTION("""COMPUTED_VALUE"""),"Jon Manning")</f>
        <v>Jon Manning</v>
      </c>
      <c r="E46" t="str">
        <f>IFERROR(__xludf.DUMMYFUNCTION("""COMPUTED_VALUE"""),"Course is Unpublished")</f>
        <v>Course is Unpublished</v>
      </c>
      <c r="F46" t="str">
        <f>IFERROR(__xludf.DUMMYFUNCTION("""COMPUTED_VALUE"""),"Software and Systems")</f>
        <v>Software and Systems</v>
      </c>
      <c r="H46" s="140" t="str">
        <f>IFERROR(__xludf.DUMMYFUNCTION("""COMPUTED_VALUE"""),"")</f>
        <v/>
      </c>
    </row>
    <row r="47">
      <c r="A47" s="143">
        <f>IFERROR(__xludf.DUMMYFUNCTION("""COMPUTED_VALUE"""),42643.0)</f>
        <v>42643</v>
      </c>
      <c r="B47" s="140">
        <f>IFERROR(__xludf.DUMMYFUNCTION("""COMPUTED_VALUE"""),17118.0)</f>
        <v>17118</v>
      </c>
      <c r="C47" s="140" t="str">
        <f>IFERROR(__xludf.DUMMYFUNCTION("""COMPUTED_VALUE"""),"")</f>
        <v/>
      </c>
      <c r="D47" t="str">
        <f>IFERROR(__xludf.DUMMYFUNCTION("""COMPUTED_VALUE"""),"Train Simple")</f>
        <v>Train Simple</v>
      </c>
      <c r="E47" t="str">
        <f>IFERROR(__xludf.DUMMYFUNCTION("""COMPUTED_VALUE"""),"Instructor Request")</f>
        <v>Instructor Request</v>
      </c>
      <c r="F47" t="str">
        <f>IFERROR(__xludf.DUMMYFUNCTION("""COMPUTED_VALUE"""),"Design")</f>
        <v>Design</v>
      </c>
      <c r="G47" s="140">
        <f>IFERROR(__xludf.DUMMYFUNCTION("""COMPUTED_VALUE"""),15620.0)</f>
        <v>15620</v>
      </c>
      <c r="H47" s="140" t="str">
        <f>IFERROR(__xludf.DUMMYFUNCTION("""COMPUTED_VALUE"""),"")</f>
        <v/>
      </c>
    </row>
    <row r="48">
      <c r="A48" s="143">
        <f>IFERROR(__xludf.DUMMYFUNCTION("""COMPUTED_VALUE"""),42643.0)</f>
        <v>42643</v>
      </c>
      <c r="B48" s="140">
        <f>IFERROR(__xludf.DUMMYFUNCTION("""COMPUTED_VALUE"""),120766.0)</f>
        <v>120766</v>
      </c>
      <c r="C48" s="140" t="str">
        <f>IFERROR(__xludf.DUMMYFUNCTION("""COMPUTED_VALUE"""),"")</f>
        <v/>
      </c>
      <c r="D48" t="str">
        <f>IFERROR(__xludf.DUMMYFUNCTION("""COMPUTED_VALUE"""),"Train Simple")</f>
        <v>Train Simple</v>
      </c>
      <c r="E48" t="str">
        <f>IFERROR(__xludf.DUMMYFUNCTION("""COMPUTED_VALUE"""),"Instructor Request")</f>
        <v>Instructor Request</v>
      </c>
      <c r="F48" t="str">
        <f>IFERROR(__xludf.DUMMYFUNCTION("""COMPUTED_VALUE"""),"Design")</f>
        <v>Design</v>
      </c>
      <c r="G48" s="140">
        <f>IFERROR(__xludf.DUMMYFUNCTION("""COMPUTED_VALUE"""),19063.0)</f>
        <v>19063</v>
      </c>
      <c r="H48" s="140" t="str">
        <f>IFERROR(__xludf.DUMMYFUNCTION("""COMPUTED_VALUE"""),"")</f>
        <v/>
      </c>
    </row>
    <row r="49">
      <c r="A49" s="143">
        <f>IFERROR(__xludf.DUMMYFUNCTION("""COMPUTED_VALUE"""),42643.0)</f>
        <v>42643</v>
      </c>
      <c r="B49" s="140">
        <f>IFERROR(__xludf.DUMMYFUNCTION("""COMPUTED_VALUE"""),701006.0)</f>
        <v>701006</v>
      </c>
      <c r="C49" s="140" t="str">
        <f>IFERROR(__xludf.DUMMYFUNCTION("""COMPUTED_VALUE"""),"")</f>
        <v/>
      </c>
      <c r="D49" t="str">
        <f>IFERROR(__xludf.DUMMYFUNCTION("""COMPUTED_VALUE"""),"Train Simple")</f>
        <v>Train Simple</v>
      </c>
      <c r="E49" t="str">
        <f>IFERROR(__xludf.DUMMYFUNCTION("""COMPUTED_VALUE"""),"Instructor Request")</f>
        <v>Instructor Request</v>
      </c>
      <c r="F49" t="str">
        <f>IFERROR(__xludf.DUMMYFUNCTION("""COMPUTED_VALUE"""),"Design")</f>
        <v>Design</v>
      </c>
      <c r="G49" s="140">
        <f>IFERROR(__xludf.DUMMYFUNCTION("""COMPUTED_VALUE"""),206028.0)</f>
        <v>206028</v>
      </c>
      <c r="H49" s="140" t="str">
        <f>IFERROR(__xludf.DUMMYFUNCTION("""COMPUTED_VALUE"""),"")</f>
        <v/>
      </c>
    </row>
    <row r="50">
      <c r="A50" s="143">
        <f>IFERROR(__xludf.DUMMYFUNCTION("""COMPUTED_VALUE"""),42643.0)</f>
        <v>42643</v>
      </c>
      <c r="B50" s="140">
        <f>IFERROR(__xludf.DUMMYFUNCTION("""COMPUTED_VALUE"""),117160.0)</f>
        <v>117160</v>
      </c>
      <c r="C50" s="140" t="str">
        <f>IFERROR(__xludf.DUMMYFUNCTION("""COMPUTED_VALUE"""),"")</f>
        <v/>
      </c>
      <c r="D50" t="str">
        <f>IFERROR(__xludf.DUMMYFUNCTION("""COMPUTED_VALUE"""),"Train Simple")</f>
        <v>Train Simple</v>
      </c>
      <c r="E50" t="str">
        <f>IFERROR(__xludf.DUMMYFUNCTION("""COMPUTED_VALUE"""),"Instructor Request")</f>
        <v>Instructor Request</v>
      </c>
      <c r="F50" t="str">
        <f>IFERROR(__xludf.DUMMYFUNCTION("""COMPUTED_VALUE"""),"Design")</f>
        <v>Design</v>
      </c>
      <c r="G50" s="140">
        <f>IFERROR(__xludf.DUMMYFUNCTION("""COMPUTED_VALUE"""),29942.0)</f>
        <v>29942</v>
      </c>
      <c r="H50" s="140" t="str">
        <f>IFERROR(__xludf.DUMMYFUNCTION("""COMPUTED_VALUE"""),"")</f>
        <v/>
      </c>
    </row>
    <row r="51">
      <c r="A51" s="143">
        <f>IFERROR(__xludf.DUMMYFUNCTION("""COMPUTED_VALUE"""),42643.0)</f>
        <v>42643</v>
      </c>
      <c r="B51" s="140">
        <f>IFERROR(__xludf.DUMMYFUNCTION("""COMPUTED_VALUE"""),699140.0)</f>
        <v>699140</v>
      </c>
      <c r="C51" s="140" t="str">
        <f>IFERROR(__xludf.DUMMYFUNCTION("""COMPUTED_VALUE"""),"")</f>
        <v/>
      </c>
      <c r="D51" t="str">
        <f>IFERROR(__xludf.DUMMYFUNCTION("""COMPUTED_VALUE"""),"Train Simple")</f>
        <v>Train Simple</v>
      </c>
      <c r="E51" t="str">
        <f>IFERROR(__xludf.DUMMYFUNCTION("""COMPUTED_VALUE"""),"Instructor Request")</f>
        <v>Instructor Request</v>
      </c>
      <c r="F51" t="str">
        <f>IFERROR(__xludf.DUMMYFUNCTION("""COMPUTED_VALUE"""),"Design")</f>
        <v>Design</v>
      </c>
      <c r="G51" s="140">
        <f>IFERROR(__xludf.DUMMYFUNCTION("""COMPUTED_VALUE"""),29942.0)</f>
        <v>29942</v>
      </c>
      <c r="H51" s="140" t="str">
        <f>IFERROR(__xludf.DUMMYFUNCTION("""COMPUTED_VALUE"""),"")</f>
        <v/>
      </c>
    </row>
    <row r="52">
      <c r="A52" s="143">
        <f>IFERROR(__xludf.DUMMYFUNCTION("""COMPUTED_VALUE"""),42643.0)</f>
        <v>42643</v>
      </c>
      <c r="B52" s="140">
        <f>IFERROR(__xludf.DUMMYFUNCTION("""COMPUTED_VALUE"""),703028.0)</f>
        <v>703028</v>
      </c>
      <c r="C52" s="140" t="str">
        <f>IFERROR(__xludf.DUMMYFUNCTION("""COMPUTED_VALUE"""),"")</f>
        <v/>
      </c>
      <c r="D52" t="str">
        <f>IFERROR(__xludf.DUMMYFUNCTION("""COMPUTED_VALUE"""),"Train Simple")</f>
        <v>Train Simple</v>
      </c>
      <c r="E52" t="str">
        <f>IFERROR(__xludf.DUMMYFUNCTION("""COMPUTED_VALUE"""),"Instructor Request")</f>
        <v>Instructor Request</v>
      </c>
      <c r="F52" t="str">
        <f>IFERROR(__xludf.DUMMYFUNCTION("""COMPUTED_VALUE"""),"Design")</f>
        <v>Design</v>
      </c>
      <c r="G52" s="140">
        <f>IFERROR(__xludf.DUMMYFUNCTION("""COMPUTED_VALUE"""),29942.0)</f>
        <v>29942</v>
      </c>
      <c r="H52" s="140" t="str">
        <f>IFERROR(__xludf.DUMMYFUNCTION("""COMPUTED_VALUE"""),"")</f>
        <v/>
      </c>
    </row>
    <row r="53">
      <c r="A53" s="143">
        <f>IFERROR(__xludf.DUMMYFUNCTION("""COMPUTED_VALUE"""),42643.0)</f>
        <v>42643</v>
      </c>
      <c r="B53" s="140">
        <f>IFERROR(__xludf.DUMMYFUNCTION("""COMPUTED_VALUE"""),698480.0)</f>
        <v>698480</v>
      </c>
      <c r="C53" s="140" t="str">
        <f>IFERROR(__xludf.DUMMYFUNCTION("""COMPUTED_VALUE"""),"")</f>
        <v/>
      </c>
      <c r="D53" t="str">
        <f>IFERROR(__xludf.DUMMYFUNCTION("""COMPUTED_VALUE"""),"Train Simple")</f>
        <v>Train Simple</v>
      </c>
      <c r="E53" t="str">
        <f>IFERROR(__xludf.DUMMYFUNCTION("""COMPUTED_VALUE"""),"Instructor Request")</f>
        <v>Instructor Request</v>
      </c>
      <c r="F53" t="str">
        <f>IFERROR(__xludf.DUMMYFUNCTION("""COMPUTED_VALUE"""),"Design")</f>
        <v>Design</v>
      </c>
      <c r="G53" s="140">
        <f>IFERROR(__xludf.DUMMYFUNCTION("""COMPUTED_VALUE"""),29942.0)</f>
        <v>29942</v>
      </c>
      <c r="H53" s="140" t="str">
        <f>IFERROR(__xludf.DUMMYFUNCTION("""COMPUTED_VALUE"""),"")</f>
        <v/>
      </c>
    </row>
    <row r="54">
      <c r="A54" s="143">
        <f>IFERROR(__xludf.DUMMYFUNCTION("""COMPUTED_VALUE"""),42643.0)</f>
        <v>42643</v>
      </c>
      <c r="B54" s="140">
        <f>IFERROR(__xludf.DUMMYFUNCTION("""COMPUTED_VALUE"""),949198.0)</f>
        <v>949198</v>
      </c>
      <c r="C54" s="140" t="str">
        <f>IFERROR(__xludf.DUMMYFUNCTION("""COMPUTED_VALUE"""),"")</f>
        <v/>
      </c>
      <c r="D54" t="str">
        <f>IFERROR(__xludf.DUMMYFUNCTION("""COMPUTED_VALUE"""),"24 Directlearning ")</f>
        <v>24 Directlearning </v>
      </c>
      <c r="E54" t="str">
        <f>IFERROR(__xludf.DUMMYFUNCTION("""COMPUTED_VALUE"""),"DMCA Removal")</f>
        <v>DMCA Removal</v>
      </c>
      <c r="F54" t="str">
        <f>IFERROR(__xludf.DUMMYFUNCTION("""COMPUTED_VALUE"""),"Software and Systems")</f>
        <v>Software and Systems</v>
      </c>
      <c r="G54" s="140">
        <f>IFERROR(__xludf.DUMMYFUNCTION("""COMPUTED_VALUE"""),1127784.0)</f>
        <v>1127784</v>
      </c>
      <c r="H54" s="140" t="str">
        <f>IFERROR(__xludf.DUMMYFUNCTION("""COMPUTED_VALUE"""),"")</f>
        <v/>
      </c>
    </row>
    <row r="55">
      <c r="A55" s="143">
        <f>IFERROR(__xludf.DUMMYFUNCTION("""COMPUTED_VALUE"""),42643.0)</f>
        <v>42643</v>
      </c>
      <c r="B55" s="140">
        <f>IFERROR(__xludf.DUMMYFUNCTION("""COMPUTED_VALUE"""),347628.0)</f>
        <v>347628</v>
      </c>
      <c r="C55" s="140" t="str">
        <f>IFERROR(__xludf.DUMMYFUNCTION("""COMPUTED_VALUE"""),"")</f>
        <v/>
      </c>
      <c r="D55" t="str">
        <f>IFERROR(__xludf.DUMMYFUNCTION("""COMPUTED_VALUE"""),"Train Simple")</f>
        <v>Train Simple</v>
      </c>
      <c r="E55" t="str">
        <f>IFERROR(__xludf.DUMMYFUNCTION("""COMPUTED_VALUE"""),"Instructor Request")</f>
        <v>Instructor Request</v>
      </c>
      <c r="F55" t="str">
        <f>IFERROR(__xludf.DUMMYFUNCTION("""COMPUTED_VALUE"""),"Design")</f>
        <v>Design</v>
      </c>
      <c r="G55" s="140">
        <f>IFERROR(__xludf.DUMMYFUNCTION("""COMPUTED_VALUE"""),348116.0)</f>
        <v>348116</v>
      </c>
      <c r="H55" s="140" t="str">
        <f>IFERROR(__xludf.DUMMYFUNCTION("""COMPUTED_VALUE"""),"")</f>
        <v/>
      </c>
    </row>
    <row r="56">
      <c r="A56" s="143">
        <f>IFERROR(__xludf.DUMMYFUNCTION("""COMPUTED_VALUE"""),42643.0)</f>
        <v>42643</v>
      </c>
      <c r="B56" s="140">
        <f>IFERROR(__xludf.DUMMYFUNCTION("""COMPUTED_VALUE"""),348142.0)</f>
        <v>348142</v>
      </c>
      <c r="C56" s="140" t="str">
        <f>IFERROR(__xludf.DUMMYFUNCTION("""COMPUTED_VALUE"""),"")</f>
        <v/>
      </c>
      <c r="D56" t="str">
        <f>IFERROR(__xludf.DUMMYFUNCTION("""COMPUTED_VALUE"""),"Train Simple")</f>
        <v>Train Simple</v>
      </c>
      <c r="E56" t="str">
        <f>IFERROR(__xludf.DUMMYFUNCTION("""COMPUTED_VALUE"""),"Instructor Request")</f>
        <v>Instructor Request</v>
      </c>
      <c r="F56" t="str">
        <f>IFERROR(__xludf.DUMMYFUNCTION("""COMPUTED_VALUE"""),"Design")</f>
        <v>Design</v>
      </c>
      <c r="G56" s="140">
        <f>IFERROR(__xludf.DUMMYFUNCTION("""COMPUTED_VALUE"""),348116.0)</f>
        <v>348116</v>
      </c>
      <c r="H56" s="140" t="str">
        <f>IFERROR(__xludf.DUMMYFUNCTION("""COMPUTED_VALUE"""),"")</f>
        <v/>
      </c>
    </row>
    <row r="57">
      <c r="A57" s="143">
        <f>IFERROR(__xludf.DUMMYFUNCTION("""COMPUTED_VALUE"""),42643.0)</f>
        <v>42643</v>
      </c>
      <c r="B57" s="140">
        <f>IFERROR(__xludf.DUMMYFUNCTION("""COMPUTED_VALUE"""),717140.0)</f>
        <v>717140</v>
      </c>
      <c r="C57" s="140" t="str">
        <f>IFERROR(__xludf.DUMMYFUNCTION("""COMPUTED_VALUE"""),"")</f>
        <v/>
      </c>
      <c r="D57" t="str">
        <f>IFERROR(__xludf.DUMMYFUNCTION("""COMPUTED_VALUE"""),"Train Simple")</f>
        <v>Train Simple</v>
      </c>
      <c r="E57" t="str">
        <f>IFERROR(__xludf.DUMMYFUNCTION("""COMPUTED_VALUE"""),"Instructor Request")</f>
        <v>Instructor Request</v>
      </c>
      <c r="F57" t="str">
        <f>IFERROR(__xludf.DUMMYFUNCTION("""COMPUTED_VALUE"""),"Design")</f>
        <v>Design</v>
      </c>
      <c r="G57" s="140">
        <f>IFERROR(__xludf.DUMMYFUNCTION("""COMPUTED_VALUE"""),348116.0)</f>
        <v>348116</v>
      </c>
      <c r="H57" s="140" t="str">
        <f>IFERROR(__xludf.DUMMYFUNCTION("""COMPUTED_VALUE"""),"")</f>
        <v/>
      </c>
    </row>
    <row r="58">
      <c r="A58" s="143">
        <f>IFERROR(__xludf.DUMMYFUNCTION("""COMPUTED_VALUE"""),42643.0)</f>
        <v>42643</v>
      </c>
      <c r="B58" s="140">
        <f>IFERROR(__xludf.DUMMYFUNCTION("""COMPUTED_VALUE"""),129564.0)</f>
        <v>129564</v>
      </c>
      <c r="C58" s="140" t="str">
        <f>IFERROR(__xludf.DUMMYFUNCTION("""COMPUTED_VALUE"""),"")</f>
        <v/>
      </c>
      <c r="D58" t="str">
        <f>IFERROR(__xludf.DUMMYFUNCTION("""COMPUTED_VALUE"""),"Train Simple")</f>
        <v>Train Simple</v>
      </c>
      <c r="E58" t="str">
        <f>IFERROR(__xludf.DUMMYFUNCTION("""COMPUTED_VALUE"""),"Instructor Request")</f>
        <v>Instructor Request</v>
      </c>
      <c r="F58" t="str">
        <f>IFERROR(__xludf.DUMMYFUNCTION("""COMPUTED_VALUE"""),"Design")</f>
        <v>Design</v>
      </c>
      <c r="G58" s="140">
        <f>IFERROR(__xludf.DUMMYFUNCTION("""COMPUTED_VALUE"""),348146.0)</f>
        <v>348146</v>
      </c>
      <c r="H58" s="140" t="str">
        <f>IFERROR(__xludf.DUMMYFUNCTION("""COMPUTED_VALUE"""),"")</f>
        <v/>
      </c>
    </row>
    <row r="59">
      <c r="A59" s="143">
        <f>IFERROR(__xludf.DUMMYFUNCTION("""COMPUTED_VALUE"""),42643.0)</f>
        <v>42643</v>
      </c>
      <c r="B59" s="140">
        <f>IFERROR(__xludf.DUMMYFUNCTION("""COMPUTED_VALUE"""),129566.0)</f>
        <v>129566</v>
      </c>
      <c r="C59" s="140" t="str">
        <f>IFERROR(__xludf.DUMMYFUNCTION("""COMPUTED_VALUE"""),"")</f>
        <v/>
      </c>
      <c r="D59" t="str">
        <f>IFERROR(__xludf.DUMMYFUNCTION("""COMPUTED_VALUE"""),"Train Simple")</f>
        <v>Train Simple</v>
      </c>
      <c r="E59" t="str">
        <f>IFERROR(__xludf.DUMMYFUNCTION("""COMPUTED_VALUE"""),"Instructor Request")</f>
        <v>Instructor Request</v>
      </c>
      <c r="F59" t="str">
        <f>IFERROR(__xludf.DUMMYFUNCTION("""COMPUTED_VALUE"""),"Design")</f>
        <v>Design</v>
      </c>
      <c r="G59" s="140">
        <f>IFERROR(__xludf.DUMMYFUNCTION("""COMPUTED_VALUE"""),348146.0)</f>
        <v>348146</v>
      </c>
      <c r="H59" s="140" t="str">
        <f>IFERROR(__xludf.DUMMYFUNCTION("""COMPUTED_VALUE"""),"")</f>
        <v/>
      </c>
    </row>
    <row r="60">
      <c r="A60" s="143">
        <f>IFERROR(__xludf.DUMMYFUNCTION("""COMPUTED_VALUE"""),42643.0)</f>
        <v>42643</v>
      </c>
      <c r="B60" s="140">
        <f>IFERROR(__xludf.DUMMYFUNCTION("""COMPUTED_VALUE"""),725962.0)</f>
        <v>725962</v>
      </c>
      <c r="C60" s="140" t="str">
        <f>IFERROR(__xludf.DUMMYFUNCTION("""COMPUTED_VALUE"""),"")</f>
        <v/>
      </c>
      <c r="D60" t="str">
        <f>IFERROR(__xludf.DUMMYFUNCTION("""COMPUTED_VALUE"""),"Train Simple")</f>
        <v>Train Simple</v>
      </c>
      <c r="E60" t="str">
        <f>IFERROR(__xludf.DUMMYFUNCTION("""COMPUTED_VALUE"""),"Instructor Request")</f>
        <v>Instructor Request</v>
      </c>
      <c r="F60" t="str">
        <f>IFERROR(__xludf.DUMMYFUNCTION("""COMPUTED_VALUE"""),"Design")</f>
        <v>Design</v>
      </c>
      <c r="G60" s="140">
        <f>IFERROR(__xludf.DUMMYFUNCTION("""COMPUTED_VALUE"""),348146.0)</f>
        <v>348146</v>
      </c>
      <c r="H60" s="140" t="str">
        <f>IFERROR(__xludf.DUMMYFUNCTION("""COMPUTED_VALUE"""),"")</f>
        <v/>
      </c>
    </row>
    <row r="61">
      <c r="A61" s="143">
        <f>IFERROR(__xludf.DUMMYFUNCTION("""COMPUTED_VALUE"""),42643.0)</f>
        <v>42643</v>
      </c>
      <c r="B61" s="140">
        <f>IFERROR(__xludf.DUMMYFUNCTION("""COMPUTED_VALUE"""),704120.0)</f>
        <v>704120</v>
      </c>
      <c r="C61" s="140" t="str">
        <f>IFERROR(__xludf.DUMMYFUNCTION("""COMPUTED_VALUE"""),"")</f>
        <v/>
      </c>
      <c r="D61" t="str">
        <f>IFERROR(__xludf.DUMMYFUNCTION("""COMPUTED_VALUE"""),"Train Simple")</f>
        <v>Train Simple</v>
      </c>
      <c r="E61" t="str">
        <f>IFERROR(__xludf.DUMMYFUNCTION("""COMPUTED_VALUE"""),"Instructor Request")</f>
        <v>Instructor Request</v>
      </c>
      <c r="F61" t="str">
        <f>IFERROR(__xludf.DUMMYFUNCTION("""COMPUTED_VALUE"""),"Design")</f>
        <v>Design</v>
      </c>
      <c r="G61" s="140">
        <f>IFERROR(__xludf.DUMMYFUNCTION("""COMPUTED_VALUE"""),352132.0)</f>
        <v>352132</v>
      </c>
      <c r="H61" s="140" t="str">
        <f>IFERROR(__xludf.DUMMYFUNCTION("""COMPUTED_VALUE"""),"")</f>
        <v/>
      </c>
    </row>
    <row r="62">
      <c r="A62" s="143">
        <f>IFERROR(__xludf.DUMMYFUNCTION("""COMPUTED_VALUE"""),42643.0)</f>
        <v>42643</v>
      </c>
      <c r="B62" s="140">
        <f>IFERROR(__xludf.DUMMYFUNCTION("""COMPUTED_VALUE"""),704004.0)</f>
        <v>704004</v>
      </c>
      <c r="C62" s="140" t="str">
        <f>IFERROR(__xludf.DUMMYFUNCTION("""COMPUTED_VALUE"""),"")</f>
        <v/>
      </c>
      <c r="D62" t="str">
        <f>IFERROR(__xludf.DUMMYFUNCTION("""COMPUTED_VALUE"""),"Train Simple")</f>
        <v>Train Simple</v>
      </c>
      <c r="E62" t="str">
        <f>IFERROR(__xludf.DUMMYFUNCTION("""COMPUTED_VALUE"""),"Instructor Request")</f>
        <v>Instructor Request</v>
      </c>
      <c r="F62" t="str">
        <f>IFERROR(__xludf.DUMMYFUNCTION("""COMPUTED_VALUE"""),"Design")</f>
        <v>Design</v>
      </c>
      <c r="G62" s="140">
        <f>IFERROR(__xludf.DUMMYFUNCTION("""COMPUTED_VALUE"""),1038568.0)</f>
        <v>1038568</v>
      </c>
      <c r="H62" s="140" t="str">
        <f>IFERROR(__xludf.DUMMYFUNCTION("""COMPUTED_VALUE"""),"")</f>
        <v/>
      </c>
    </row>
    <row r="63">
      <c r="A63" s="143">
        <f>IFERROR(__xludf.DUMMYFUNCTION("""COMPUTED_VALUE"""),42643.0)</f>
        <v>42643</v>
      </c>
      <c r="B63" s="140">
        <f>IFERROR(__xludf.DUMMYFUNCTION("""COMPUTED_VALUE"""),704030.0)</f>
        <v>704030</v>
      </c>
      <c r="C63" s="140" t="str">
        <f>IFERROR(__xludf.DUMMYFUNCTION("""COMPUTED_VALUE"""),"")</f>
        <v/>
      </c>
      <c r="D63" t="str">
        <f>IFERROR(__xludf.DUMMYFUNCTION("""COMPUTED_VALUE"""),"Train Simple")</f>
        <v>Train Simple</v>
      </c>
      <c r="E63" t="str">
        <f>IFERROR(__xludf.DUMMYFUNCTION("""COMPUTED_VALUE"""),"Instructor Request")</f>
        <v>Instructor Request</v>
      </c>
      <c r="F63" t="str">
        <f>IFERROR(__xludf.DUMMYFUNCTION("""COMPUTED_VALUE"""),"Design")</f>
        <v>Design</v>
      </c>
      <c r="G63" s="140">
        <f>IFERROR(__xludf.DUMMYFUNCTION("""COMPUTED_VALUE"""),1038568.0)</f>
        <v>1038568</v>
      </c>
      <c r="H63" s="140" t="str">
        <f>IFERROR(__xludf.DUMMYFUNCTION("""COMPUTED_VALUE"""),"")</f>
        <v/>
      </c>
    </row>
    <row r="64">
      <c r="A64" s="143">
        <f>IFERROR(__xludf.DUMMYFUNCTION("""COMPUTED_VALUE"""),42643.0)</f>
        <v>42643</v>
      </c>
      <c r="B64" s="140">
        <f>IFERROR(__xludf.DUMMYFUNCTION("""COMPUTED_VALUE"""),130214.0)</f>
        <v>130214</v>
      </c>
      <c r="C64" s="140" t="str">
        <f>IFERROR(__xludf.DUMMYFUNCTION("""COMPUTED_VALUE"""),"")</f>
        <v/>
      </c>
      <c r="D64" t="str">
        <f>IFERROR(__xludf.DUMMYFUNCTION("""COMPUTED_VALUE"""),"Train Simple")</f>
        <v>Train Simple</v>
      </c>
      <c r="E64" t="str">
        <f>IFERROR(__xludf.DUMMYFUNCTION("""COMPUTED_VALUE"""),"Instructor Request")</f>
        <v>Instructor Request</v>
      </c>
      <c r="F64" t="str">
        <f>IFERROR(__xludf.DUMMYFUNCTION("""COMPUTED_VALUE"""),"Design")</f>
        <v>Design</v>
      </c>
      <c r="G64" s="140">
        <f>IFERROR(__xludf.DUMMYFUNCTION("""COMPUTED_VALUE"""),416542.0)</f>
        <v>416542</v>
      </c>
      <c r="H64" s="140" t="str">
        <f>IFERROR(__xludf.DUMMYFUNCTION("""COMPUTED_VALUE"""),"")</f>
        <v/>
      </c>
    </row>
    <row r="65">
      <c r="A65" s="143">
        <f>IFERROR(__xludf.DUMMYFUNCTION("""COMPUTED_VALUE"""),42643.0)</f>
        <v>42643</v>
      </c>
      <c r="B65" s="140">
        <f>IFERROR(__xludf.DUMMYFUNCTION("""COMPUTED_VALUE"""),130244.0)</f>
        <v>130244</v>
      </c>
      <c r="C65" s="140" t="str">
        <f>IFERROR(__xludf.DUMMYFUNCTION("""COMPUTED_VALUE"""),"")</f>
        <v/>
      </c>
      <c r="D65" t="str">
        <f>IFERROR(__xludf.DUMMYFUNCTION("""COMPUTED_VALUE"""),"Train Simple")</f>
        <v>Train Simple</v>
      </c>
      <c r="E65" t="str">
        <f>IFERROR(__xludf.DUMMYFUNCTION("""COMPUTED_VALUE"""),"Instructor Request")</f>
        <v>Instructor Request</v>
      </c>
      <c r="F65" t="str">
        <f>IFERROR(__xludf.DUMMYFUNCTION("""COMPUTED_VALUE"""),"Design")</f>
        <v>Design</v>
      </c>
      <c r="G65" s="140">
        <f>IFERROR(__xludf.DUMMYFUNCTION("""COMPUTED_VALUE"""),416542.0)</f>
        <v>416542</v>
      </c>
      <c r="H65" s="140" t="str">
        <f>IFERROR(__xludf.DUMMYFUNCTION("""COMPUTED_VALUE"""),"")</f>
        <v/>
      </c>
    </row>
    <row r="66">
      <c r="A66" s="143">
        <f>IFERROR(__xludf.DUMMYFUNCTION("""COMPUTED_VALUE"""),42643.0)</f>
        <v>42643</v>
      </c>
      <c r="B66" s="140">
        <f>IFERROR(__xludf.DUMMYFUNCTION("""COMPUTED_VALUE"""),703912.0)</f>
        <v>703912</v>
      </c>
      <c r="C66" s="140" t="str">
        <f>IFERROR(__xludf.DUMMYFUNCTION("""COMPUTED_VALUE"""),"")</f>
        <v/>
      </c>
      <c r="D66" t="str">
        <f>IFERROR(__xludf.DUMMYFUNCTION("""COMPUTED_VALUE"""),"Train Simple")</f>
        <v>Train Simple</v>
      </c>
      <c r="E66" t="str">
        <f>IFERROR(__xludf.DUMMYFUNCTION("""COMPUTED_VALUE"""),"Instructor Request")</f>
        <v>Instructor Request</v>
      </c>
      <c r="F66" t="str">
        <f>IFERROR(__xludf.DUMMYFUNCTION("""COMPUTED_VALUE"""),"Design")</f>
        <v>Design</v>
      </c>
      <c r="G66" s="140">
        <f>IFERROR(__xludf.DUMMYFUNCTION("""COMPUTED_VALUE"""),416542.0)</f>
        <v>416542</v>
      </c>
      <c r="H66" s="140" t="str">
        <f>IFERROR(__xludf.DUMMYFUNCTION("""COMPUTED_VALUE"""),"")</f>
        <v/>
      </c>
    </row>
    <row r="67">
      <c r="A67" s="143">
        <f>IFERROR(__xludf.DUMMYFUNCTION("""COMPUTED_VALUE"""),42643.0)</f>
        <v>42643</v>
      </c>
      <c r="B67" s="140">
        <f>IFERROR(__xludf.DUMMYFUNCTION("""COMPUTED_VALUE"""),132822.0)</f>
        <v>132822</v>
      </c>
      <c r="C67" s="140" t="str">
        <f>IFERROR(__xludf.DUMMYFUNCTION("""COMPUTED_VALUE"""),"")</f>
        <v/>
      </c>
      <c r="D67" t="str">
        <f>IFERROR(__xludf.DUMMYFUNCTION("""COMPUTED_VALUE"""),"Train Simple")</f>
        <v>Train Simple</v>
      </c>
      <c r="E67" t="str">
        <f>IFERROR(__xludf.DUMMYFUNCTION("""COMPUTED_VALUE"""),"Instructor Request")</f>
        <v>Instructor Request</v>
      </c>
      <c r="F67" t="str">
        <f>IFERROR(__xludf.DUMMYFUNCTION("""COMPUTED_VALUE"""),"Design")</f>
        <v>Design</v>
      </c>
      <c r="G67" s="140">
        <f>IFERROR(__xludf.DUMMYFUNCTION("""COMPUTED_VALUE"""),416542.0)</f>
        <v>416542</v>
      </c>
      <c r="H67" s="140" t="str">
        <f>IFERROR(__xludf.DUMMYFUNCTION("""COMPUTED_VALUE"""),"")</f>
        <v/>
      </c>
    </row>
    <row r="68">
      <c r="A68" s="143">
        <f>IFERROR(__xludf.DUMMYFUNCTION("""COMPUTED_VALUE"""),42643.0)</f>
        <v>42643</v>
      </c>
      <c r="B68" s="140">
        <f>IFERROR(__xludf.DUMMYFUNCTION("""COMPUTED_VALUE"""),693432.0)</f>
        <v>693432</v>
      </c>
      <c r="C68" s="140" t="str">
        <f>IFERROR(__xludf.DUMMYFUNCTION("""COMPUTED_VALUE"""),"")</f>
        <v/>
      </c>
      <c r="D68" t="str">
        <f>IFERROR(__xludf.DUMMYFUNCTION("""COMPUTED_VALUE"""),"Train Simple")</f>
        <v>Train Simple</v>
      </c>
      <c r="E68" t="str">
        <f>IFERROR(__xludf.DUMMYFUNCTION("""COMPUTED_VALUE"""),"Instructor Request")</f>
        <v>Instructor Request</v>
      </c>
      <c r="F68" t="str">
        <f>IFERROR(__xludf.DUMMYFUNCTION("""COMPUTED_VALUE"""),"Design")</f>
        <v>Design</v>
      </c>
      <c r="G68" s="140">
        <f>IFERROR(__xludf.DUMMYFUNCTION("""COMPUTED_VALUE"""),416542.0)</f>
        <v>416542</v>
      </c>
      <c r="H68" s="140" t="str">
        <f>IFERROR(__xludf.DUMMYFUNCTION("""COMPUTED_VALUE"""),"")</f>
        <v/>
      </c>
    </row>
    <row r="69">
      <c r="A69" s="143">
        <f>IFERROR(__xludf.DUMMYFUNCTION("""COMPUTED_VALUE"""),42643.0)</f>
        <v>42643</v>
      </c>
      <c r="B69" s="140">
        <f>IFERROR(__xludf.DUMMYFUNCTION("""COMPUTED_VALUE"""),694084.0)</f>
        <v>694084</v>
      </c>
      <c r="C69" s="140" t="str">
        <f>IFERROR(__xludf.DUMMYFUNCTION("""COMPUTED_VALUE"""),"")</f>
        <v/>
      </c>
      <c r="D69" t="str">
        <f>IFERROR(__xludf.DUMMYFUNCTION("""COMPUTED_VALUE"""),"Train Simple")</f>
        <v>Train Simple</v>
      </c>
      <c r="E69" t="str">
        <f>IFERROR(__xludf.DUMMYFUNCTION("""COMPUTED_VALUE"""),"Instructor Request")</f>
        <v>Instructor Request</v>
      </c>
      <c r="F69" t="str">
        <f>IFERROR(__xludf.DUMMYFUNCTION("""COMPUTED_VALUE"""),"Design")</f>
        <v>Design</v>
      </c>
      <c r="G69" s="140">
        <f>IFERROR(__xludf.DUMMYFUNCTION("""COMPUTED_VALUE"""),416542.0)</f>
        <v>416542</v>
      </c>
      <c r="H69" s="140" t="str">
        <f>IFERROR(__xludf.DUMMYFUNCTION("""COMPUTED_VALUE"""),"")</f>
        <v/>
      </c>
    </row>
    <row r="70">
      <c r="A70" s="143">
        <f>IFERROR(__xludf.DUMMYFUNCTION("""COMPUTED_VALUE"""),42643.0)</f>
        <v>42643</v>
      </c>
      <c r="B70" s="140">
        <f>IFERROR(__xludf.DUMMYFUNCTION("""COMPUTED_VALUE"""),695042.0)</f>
        <v>695042</v>
      </c>
      <c r="C70" s="140" t="str">
        <f>IFERROR(__xludf.DUMMYFUNCTION("""COMPUTED_VALUE"""),"")</f>
        <v/>
      </c>
      <c r="D70" t="str">
        <f>IFERROR(__xludf.DUMMYFUNCTION("""COMPUTED_VALUE"""),"Train Simple")</f>
        <v>Train Simple</v>
      </c>
      <c r="E70" t="str">
        <f>IFERROR(__xludf.DUMMYFUNCTION("""COMPUTED_VALUE"""),"Instructor Request")</f>
        <v>Instructor Request</v>
      </c>
      <c r="F70" t="str">
        <f>IFERROR(__xludf.DUMMYFUNCTION("""COMPUTED_VALUE"""),"Design")</f>
        <v>Design</v>
      </c>
      <c r="G70" s="140">
        <f>IFERROR(__xludf.DUMMYFUNCTION("""COMPUTED_VALUE"""),416542.0)</f>
        <v>416542</v>
      </c>
      <c r="H70" s="140" t="str">
        <f>IFERROR(__xludf.DUMMYFUNCTION("""COMPUTED_VALUE"""),"")</f>
        <v/>
      </c>
    </row>
    <row r="71">
      <c r="A71" s="143">
        <f>IFERROR(__xludf.DUMMYFUNCTION("""COMPUTED_VALUE"""),42643.0)</f>
        <v>42643</v>
      </c>
      <c r="B71" s="140">
        <f>IFERROR(__xludf.DUMMYFUNCTION("""COMPUTED_VALUE"""),695132.0)</f>
        <v>695132</v>
      </c>
      <c r="C71" s="140" t="str">
        <f>IFERROR(__xludf.DUMMYFUNCTION("""COMPUTED_VALUE"""),"")</f>
        <v/>
      </c>
      <c r="D71" t="str">
        <f>IFERROR(__xludf.DUMMYFUNCTION("""COMPUTED_VALUE"""),"Train Simple")</f>
        <v>Train Simple</v>
      </c>
      <c r="E71" t="str">
        <f>IFERROR(__xludf.DUMMYFUNCTION("""COMPUTED_VALUE"""),"Instructor Request")</f>
        <v>Instructor Request</v>
      </c>
      <c r="F71" t="str">
        <f>IFERROR(__xludf.DUMMYFUNCTION("""COMPUTED_VALUE"""),"Design")</f>
        <v>Design</v>
      </c>
      <c r="G71" s="140">
        <f>IFERROR(__xludf.DUMMYFUNCTION("""COMPUTED_VALUE"""),416542.0)</f>
        <v>416542</v>
      </c>
      <c r="H71" s="140" t="str">
        <f>IFERROR(__xludf.DUMMYFUNCTION("""COMPUTED_VALUE"""),"")</f>
        <v/>
      </c>
    </row>
    <row r="72">
      <c r="A72" s="143">
        <f>IFERROR(__xludf.DUMMYFUNCTION("""COMPUTED_VALUE"""),42643.0)</f>
        <v>42643</v>
      </c>
      <c r="B72" s="140">
        <f>IFERROR(__xludf.DUMMYFUNCTION("""COMPUTED_VALUE"""),697320.0)</f>
        <v>697320</v>
      </c>
      <c r="C72" s="140" t="str">
        <f>IFERROR(__xludf.DUMMYFUNCTION("""COMPUTED_VALUE"""),"")</f>
        <v/>
      </c>
      <c r="D72" t="str">
        <f>IFERROR(__xludf.DUMMYFUNCTION("""COMPUTED_VALUE"""),"Train Simple")</f>
        <v>Train Simple</v>
      </c>
      <c r="E72" t="str">
        <f>IFERROR(__xludf.DUMMYFUNCTION("""COMPUTED_VALUE"""),"Instructor Request")</f>
        <v>Instructor Request</v>
      </c>
      <c r="F72" t="str">
        <f>IFERROR(__xludf.DUMMYFUNCTION("""COMPUTED_VALUE"""),"Design")</f>
        <v>Design</v>
      </c>
      <c r="G72" s="140">
        <f>IFERROR(__xludf.DUMMYFUNCTION("""COMPUTED_VALUE"""),416542.0)</f>
        <v>416542</v>
      </c>
      <c r="H72" s="140" t="str">
        <f>IFERROR(__xludf.DUMMYFUNCTION("""COMPUTED_VALUE"""),"")</f>
        <v/>
      </c>
    </row>
    <row r="73">
      <c r="A73" s="143">
        <f>IFERROR(__xludf.DUMMYFUNCTION("""COMPUTED_VALUE"""),42643.0)</f>
        <v>42643</v>
      </c>
      <c r="B73" s="140">
        <f>IFERROR(__xludf.DUMMYFUNCTION("""COMPUTED_VALUE"""),697480.0)</f>
        <v>697480</v>
      </c>
      <c r="C73" s="140" t="str">
        <f>IFERROR(__xludf.DUMMYFUNCTION("""COMPUTED_VALUE"""),"")</f>
        <v/>
      </c>
      <c r="D73" t="str">
        <f>IFERROR(__xludf.DUMMYFUNCTION("""COMPUTED_VALUE"""),"Train Simple")</f>
        <v>Train Simple</v>
      </c>
      <c r="E73" t="str">
        <f>IFERROR(__xludf.DUMMYFUNCTION("""COMPUTED_VALUE"""),"Instructor Request")</f>
        <v>Instructor Request</v>
      </c>
      <c r="F73" t="str">
        <f>IFERROR(__xludf.DUMMYFUNCTION("""COMPUTED_VALUE"""),"Design")</f>
        <v>Design</v>
      </c>
      <c r="G73" s="140">
        <f>IFERROR(__xludf.DUMMYFUNCTION("""COMPUTED_VALUE"""),416542.0)</f>
        <v>416542</v>
      </c>
      <c r="H73" s="140" t="str">
        <f>IFERROR(__xludf.DUMMYFUNCTION("""COMPUTED_VALUE"""),"")</f>
        <v/>
      </c>
    </row>
    <row r="74">
      <c r="A74" s="143">
        <f>IFERROR(__xludf.DUMMYFUNCTION("""COMPUTED_VALUE"""),42643.0)</f>
        <v>42643</v>
      </c>
      <c r="B74" s="140">
        <f>IFERROR(__xludf.DUMMYFUNCTION("""COMPUTED_VALUE"""),703930.0)</f>
        <v>703930</v>
      </c>
      <c r="C74" s="140" t="str">
        <f>IFERROR(__xludf.DUMMYFUNCTION("""COMPUTED_VALUE"""),"")</f>
        <v/>
      </c>
      <c r="D74" t="str">
        <f>IFERROR(__xludf.DUMMYFUNCTION("""COMPUTED_VALUE"""),"Train Simple")</f>
        <v>Train Simple</v>
      </c>
      <c r="E74" t="str">
        <f>IFERROR(__xludf.DUMMYFUNCTION("""COMPUTED_VALUE"""),"Instructor Request")</f>
        <v>Instructor Request</v>
      </c>
      <c r="F74" t="str">
        <f>IFERROR(__xludf.DUMMYFUNCTION("""COMPUTED_VALUE"""),"Design")</f>
        <v>Design</v>
      </c>
      <c r="G74" s="140">
        <f>IFERROR(__xludf.DUMMYFUNCTION("""COMPUTED_VALUE"""),416542.0)</f>
        <v>416542</v>
      </c>
      <c r="H74" s="140" t="str">
        <f>IFERROR(__xludf.DUMMYFUNCTION("""COMPUTED_VALUE"""),"")</f>
        <v/>
      </c>
    </row>
    <row r="75">
      <c r="A75" s="143">
        <f>IFERROR(__xludf.DUMMYFUNCTION("""COMPUTED_VALUE"""),42643.0)</f>
        <v>42643</v>
      </c>
      <c r="B75" s="140">
        <f>IFERROR(__xludf.DUMMYFUNCTION("""COMPUTED_VALUE"""),703864.0)</f>
        <v>703864</v>
      </c>
      <c r="C75" s="140" t="str">
        <f>IFERROR(__xludf.DUMMYFUNCTION("""COMPUTED_VALUE"""),"")</f>
        <v/>
      </c>
      <c r="D75" t="str">
        <f>IFERROR(__xludf.DUMMYFUNCTION("""COMPUTED_VALUE"""),"Train Simple")</f>
        <v>Train Simple</v>
      </c>
      <c r="E75" t="str">
        <f>IFERROR(__xludf.DUMMYFUNCTION("""COMPUTED_VALUE"""),"Instructor Request")</f>
        <v>Instructor Request</v>
      </c>
      <c r="F75" t="str">
        <f>IFERROR(__xludf.DUMMYFUNCTION("""COMPUTED_VALUE"""),"Design")</f>
        <v>Design</v>
      </c>
      <c r="G75" s="140">
        <f>IFERROR(__xludf.DUMMYFUNCTION("""COMPUTED_VALUE"""),416548.0)</f>
        <v>416548</v>
      </c>
      <c r="H75" s="140" t="str">
        <f>IFERROR(__xludf.DUMMYFUNCTION("""COMPUTED_VALUE"""),"")</f>
        <v/>
      </c>
    </row>
    <row r="76">
      <c r="A76" s="143">
        <f>IFERROR(__xludf.DUMMYFUNCTION("""COMPUTED_VALUE"""),42643.0)</f>
        <v>42643</v>
      </c>
      <c r="B76" s="140">
        <f>IFERROR(__xludf.DUMMYFUNCTION("""COMPUTED_VALUE"""),700906.0)</f>
        <v>700906</v>
      </c>
      <c r="C76" s="140" t="str">
        <f>IFERROR(__xludf.DUMMYFUNCTION("""COMPUTED_VALUE"""),"")</f>
        <v/>
      </c>
      <c r="D76" t="str">
        <f>IFERROR(__xludf.DUMMYFUNCTION("""COMPUTED_VALUE"""),"Train Simple")</f>
        <v>Train Simple</v>
      </c>
      <c r="E76" t="str">
        <f>IFERROR(__xludf.DUMMYFUNCTION("""COMPUTED_VALUE"""),"Instructor Request")</f>
        <v>Instructor Request</v>
      </c>
      <c r="F76" t="str">
        <f>IFERROR(__xludf.DUMMYFUNCTION("""COMPUTED_VALUE"""),"Design")</f>
        <v>Design</v>
      </c>
      <c r="G76" s="140">
        <f>IFERROR(__xludf.DUMMYFUNCTION("""COMPUTED_VALUE"""),435882.0)</f>
        <v>435882</v>
      </c>
      <c r="H76" s="140" t="str">
        <f>IFERROR(__xludf.DUMMYFUNCTION("""COMPUTED_VALUE"""),"")</f>
        <v/>
      </c>
      <c r="I76" s="142" t="str">
        <f>IFERROR(__xludf.DUMMYFUNCTION("""COMPUTED_VALUE"""),"430152")</f>
        <v>430152</v>
      </c>
      <c r="J76" t="str">
        <f>IFERROR(__xludf.DUMMYFUNCTION("""COMPUTED_VALUE"""),"Adobe Captivate - Focus on Demonstrations")</f>
        <v>Adobe Captivate - Focus on Demonstrations</v>
      </c>
    </row>
    <row r="77">
      <c r="A77" s="143">
        <f>IFERROR(__xludf.DUMMYFUNCTION("""COMPUTED_VALUE"""),42643.0)</f>
        <v>42643</v>
      </c>
      <c r="B77" s="140">
        <f>IFERROR(__xludf.DUMMYFUNCTION("""COMPUTED_VALUE"""),120514.0)</f>
        <v>120514</v>
      </c>
      <c r="C77" s="140" t="str">
        <f>IFERROR(__xludf.DUMMYFUNCTION("""COMPUTED_VALUE"""),"")</f>
        <v/>
      </c>
      <c r="D77" t="str">
        <f>IFERROR(__xludf.DUMMYFUNCTION("""COMPUTED_VALUE"""),"Train Simple")</f>
        <v>Train Simple</v>
      </c>
      <c r="E77" t="str">
        <f>IFERROR(__xludf.DUMMYFUNCTION("""COMPUTED_VALUE"""),"Instructor Request")</f>
        <v>Instructor Request</v>
      </c>
      <c r="F77" t="str">
        <f>IFERROR(__xludf.DUMMYFUNCTION("""COMPUTED_VALUE"""),"Design")</f>
        <v>Design</v>
      </c>
      <c r="G77" s="140">
        <f>IFERROR(__xludf.DUMMYFUNCTION("""COMPUTED_VALUE"""),502138.0)</f>
        <v>502138</v>
      </c>
      <c r="H77" s="140" t="str">
        <f>IFERROR(__xludf.DUMMYFUNCTION("""COMPUTED_VALUE"""),"")</f>
        <v/>
      </c>
    </row>
    <row r="78">
      <c r="A78" s="143">
        <f>IFERROR(__xludf.DUMMYFUNCTION("""COMPUTED_VALUE"""),42643.0)</f>
        <v>42643</v>
      </c>
      <c r="B78" s="140">
        <f>IFERROR(__xludf.DUMMYFUNCTION("""COMPUTED_VALUE"""),120536.0)</f>
        <v>120536</v>
      </c>
      <c r="C78" s="140" t="str">
        <f>IFERROR(__xludf.DUMMYFUNCTION("""COMPUTED_VALUE"""),"")</f>
        <v/>
      </c>
      <c r="D78" t="str">
        <f>IFERROR(__xludf.DUMMYFUNCTION("""COMPUTED_VALUE"""),"Train Simple")</f>
        <v>Train Simple</v>
      </c>
      <c r="E78" t="str">
        <f>IFERROR(__xludf.DUMMYFUNCTION("""COMPUTED_VALUE"""),"Instructor Request")</f>
        <v>Instructor Request</v>
      </c>
      <c r="F78" t="str">
        <f>IFERROR(__xludf.DUMMYFUNCTION("""COMPUTED_VALUE"""),"Design")</f>
        <v>Design</v>
      </c>
      <c r="G78" s="140">
        <f>IFERROR(__xludf.DUMMYFUNCTION("""COMPUTED_VALUE"""),502138.0)</f>
        <v>502138</v>
      </c>
      <c r="H78" s="140" t="str">
        <f>IFERROR(__xludf.DUMMYFUNCTION("""COMPUTED_VALUE"""),"")</f>
        <v/>
      </c>
    </row>
    <row r="79">
      <c r="A79" s="143">
        <f>IFERROR(__xludf.DUMMYFUNCTION("""COMPUTED_VALUE"""),42643.0)</f>
        <v>42643</v>
      </c>
      <c r="B79" s="140">
        <f>IFERROR(__xludf.DUMMYFUNCTION("""COMPUTED_VALUE"""),700972.0)</f>
        <v>700972</v>
      </c>
      <c r="C79" s="140" t="str">
        <f>IFERROR(__xludf.DUMMYFUNCTION("""COMPUTED_VALUE"""),"")</f>
        <v/>
      </c>
      <c r="D79" t="str">
        <f>IFERROR(__xludf.DUMMYFUNCTION("""COMPUTED_VALUE"""),"Train Simple")</f>
        <v>Train Simple</v>
      </c>
      <c r="E79" t="str">
        <f>IFERROR(__xludf.DUMMYFUNCTION("""COMPUTED_VALUE"""),"Instructor Request")</f>
        <v>Instructor Request</v>
      </c>
      <c r="F79" t="str">
        <f>IFERROR(__xludf.DUMMYFUNCTION("""COMPUTED_VALUE"""),"Design")</f>
        <v>Design</v>
      </c>
      <c r="G79" s="140">
        <f>IFERROR(__xludf.DUMMYFUNCTION("""COMPUTED_VALUE"""),502138.0)</f>
        <v>502138</v>
      </c>
      <c r="H79" s="140" t="str">
        <f>IFERROR(__xludf.DUMMYFUNCTION("""COMPUTED_VALUE"""),"")</f>
        <v/>
      </c>
    </row>
    <row r="80">
      <c r="A80" s="143">
        <f>IFERROR(__xludf.DUMMYFUNCTION("""COMPUTED_VALUE"""),42643.0)</f>
        <v>42643</v>
      </c>
      <c r="B80" s="140">
        <f>IFERROR(__xludf.DUMMYFUNCTION("""COMPUTED_VALUE"""),703266.0)</f>
        <v>703266</v>
      </c>
      <c r="C80" s="140" t="str">
        <f>IFERROR(__xludf.DUMMYFUNCTION("""COMPUTED_VALUE"""),"")</f>
        <v/>
      </c>
      <c r="D80" t="str">
        <f>IFERROR(__xludf.DUMMYFUNCTION("""COMPUTED_VALUE"""),"Train Simple")</f>
        <v>Train Simple</v>
      </c>
      <c r="E80" t="str">
        <f>IFERROR(__xludf.DUMMYFUNCTION("""COMPUTED_VALUE"""),"Instructor Request")</f>
        <v>Instructor Request</v>
      </c>
      <c r="F80" t="str">
        <f>IFERROR(__xludf.DUMMYFUNCTION("""COMPUTED_VALUE"""),"Design")</f>
        <v>Design</v>
      </c>
      <c r="G80" s="140">
        <f>IFERROR(__xludf.DUMMYFUNCTION("""COMPUTED_VALUE"""),502138.0)</f>
        <v>502138</v>
      </c>
      <c r="H80" s="140" t="str">
        <f>IFERROR(__xludf.DUMMYFUNCTION("""COMPUTED_VALUE"""),"")</f>
        <v/>
      </c>
    </row>
    <row r="81">
      <c r="A81" s="143">
        <f>IFERROR(__xludf.DUMMYFUNCTION("""COMPUTED_VALUE"""),42643.0)</f>
        <v>42643</v>
      </c>
      <c r="B81" s="140">
        <f>IFERROR(__xludf.DUMMYFUNCTION("""COMPUTED_VALUE"""),703840.0)</f>
        <v>703840</v>
      </c>
      <c r="C81" s="140" t="str">
        <f>IFERROR(__xludf.DUMMYFUNCTION("""COMPUTED_VALUE"""),"")</f>
        <v/>
      </c>
      <c r="D81" t="str">
        <f>IFERROR(__xludf.DUMMYFUNCTION("""COMPUTED_VALUE"""),"Train Simple")</f>
        <v>Train Simple</v>
      </c>
      <c r="E81" t="str">
        <f>IFERROR(__xludf.DUMMYFUNCTION("""COMPUTED_VALUE"""),"Instructor Request")</f>
        <v>Instructor Request</v>
      </c>
      <c r="F81" t="str">
        <f>IFERROR(__xludf.DUMMYFUNCTION("""COMPUTED_VALUE"""),"Design")</f>
        <v>Design</v>
      </c>
      <c r="G81" s="140">
        <f>IFERROR(__xludf.DUMMYFUNCTION("""COMPUTED_VALUE"""),502138.0)</f>
        <v>502138</v>
      </c>
      <c r="H81" s="140" t="str">
        <f>IFERROR(__xludf.DUMMYFUNCTION("""COMPUTED_VALUE"""),"")</f>
        <v/>
      </c>
    </row>
    <row r="82">
      <c r="A82" s="143">
        <f>IFERROR(__xludf.DUMMYFUNCTION("""COMPUTED_VALUE"""),42643.0)</f>
        <v>42643</v>
      </c>
      <c r="B82" s="140">
        <f>IFERROR(__xludf.DUMMYFUNCTION("""COMPUTED_VALUE"""),703882.0)</f>
        <v>703882</v>
      </c>
      <c r="C82" s="140" t="str">
        <f>IFERROR(__xludf.DUMMYFUNCTION("""COMPUTED_VALUE"""),"")</f>
        <v/>
      </c>
      <c r="D82" t="str">
        <f>IFERROR(__xludf.DUMMYFUNCTION("""COMPUTED_VALUE"""),"Train Simple")</f>
        <v>Train Simple</v>
      </c>
      <c r="E82" t="str">
        <f>IFERROR(__xludf.DUMMYFUNCTION("""COMPUTED_VALUE"""),"Instructor Request")</f>
        <v>Instructor Request</v>
      </c>
      <c r="F82" t="str">
        <f>IFERROR(__xludf.DUMMYFUNCTION("""COMPUTED_VALUE"""),"Design")</f>
        <v>Design</v>
      </c>
      <c r="G82" s="140">
        <f>IFERROR(__xludf.DUMMYFUNCTION("""COMPUTED_VALUE"""),502138.0)</f>
        <v>502138</v>
      </c>
      <c r="H82" s="140" t="str">
        <f>IFERROR(__xludf.DUMMYFUNCTION("""COMPUTED_VALUE"""),"")</f>
        <v/>
      </c>
    </row>
    <row r="83">
      <c r="A83" s="143">
        <f>IFERROR(__xludf.DUMMYFUNCTION("""COMPUTED_VALUE"""),42643.0)</f>
        <v>42643</v>
      </c>
      <c r="B83" s="140">
        <f>IFERROR(__xludf.DUMMYFUNCTION("""COMPUTED_VALUE"""),703904.0)</f>
        <v>703904</v>
      </c>
      <c r="C83" s="140" t="str">
        <f>IFERROR(__xludf.DUMMYFUNCTION("""COMPUTED_VALUE"""),"")</f>
        <v/>
      </c>
      <c r="D83" t="str">
        <f>IFERROR(__xludf.DUMMYFUNCTION("""COMPUTED_VALUE"""),"Train Simple")</f>
        <v>Train Simple</v>
      </c>
      <c r="E83" t="str">
        <f>IFERROR(__xludf.DUMMYFUNCTION("""COMPUTED_VALUE"""),"Instructor Request")</f>
        <v>Instructor Request</v>
      </c>
      <c r="F83" t="str">
        <f>IFERROR(__xludf.DUMMYFUNCTION("""COMPUTED_VALUE"""),"Design")</f>
        <v>Design</v>
      </c>
      <c r="G83" s="140">
        <f>IFERROR(__xludf.DUMMYFUNCTION("""COMPUTED_VALUE"""),502138.0)</f>
        <v>502138</v>
      </c>
      <c r="H83" s="140" t="str">
        <f>IFERROR(__xludf.DUMMYFUNCTION("""COMPUTED_VALUE"""),"")</f>
        <v/>
      </c>
    </row>
    <row r="84">
      <c r="A84" s="143">
        <f>IFERROR(__xludf.DUMMYFUNCTION("""COMPUTED_VALUE"""),42643.0)</f>
        <v>42643</v>
      </c>
      <c r="B84" s="140">
        <f>IFERROR(__xludf.DUMMYFUNCTION("""COMPUTED_VALUE"""),703894.0)</f>
        <v>703894</v>
      </c>
      <c r="C84" s="140" t="str">
        <f>IFERROR(__xludf.DUMMYFUNCTION("""COMPUTED_VALUE"""),"")</f>
        <v/>
      </c>
      <c r="D84" t="str">
        <f>IFERROR(__xludf.DUMMYFUNCTION("""COMPUTED_VALUE"""),"Train Simple")</f>
        <v>Train Simple</v>
      </c>
      <c r="E84" t="str">
        <f>IFERROR(__xludf.DUMMYFUNCTION("""COMPUTED_VALUE"""),"Instructor Request")</f>
        <v>Instructor Request</v>
      </c>
      <c r="F84" t="str">
        <f>IFERROR(__xludf.DUMMYFUNCTION("""COMPUTED_VALUE"""),"Design")</f>
        <v>Design</v>
      </c>
      <c r="G84" s="140">
        <f>IFERROR(__xludf.DUMMYFUNCTION("""COMPUTED_VALUE"""),502138.0)</f>
        <v>502138</v>
      </c>
      <c r="H84" s="140" t="str">
        <f>IFERROR(__xludf.DUMMYFUNCTION("""COMPUTED_VALUE"""),"")</f>
        <v/>
      </c>
    </row>
    <row r="85">
      <c r="A85" s="143">
        <f>IFERROR(__xludf.DUMMYFUNCTION("""COMPUTED_VALUE"""),42643.0)</f>
        <v>42643</v>
      </c>
      <c r="B85" s="140">
        <f>IFERROR(__xludf.DUMMYFUNCTION("""COMPUTED_VALUE"""),87680.0)</f>
        <v>87680</v>
      </c>
      <c r="C85" s="140" t="str">
        <f>IFERROR(__xludf.DUMMYFUNCTION("""COMPUTED_VALUE"""),"")</f>
        <v/>
      </c>
      <c r="D85" t="str">
        <f>IFERROR(__xludf.DUMMYFUNCTION("""COMPUTED_VALUE"""),"LearnToProgram, Inc.")</f>
        <v>LearnToProgram, Inc.</v>
      </c>
      <c r="E85" t="str">
        <f>IFERROR(__xludf.DUMMYFUNCTION("""COMPUTED_VALUE"""),"Instructor Request")</f>
        <v>Instructor Request</v>
      </c>
      <c r="F85" t="str">
        <f>IFERROR(__xludf.DUMMYFUNCTION("""COMPUTED_VALUE"""),"Mobile Development")</f>
        <v>Mobile Development</v>
      </c>
      <c r="G85" s="140">
        <f>IFERROR(__xludf.DUMMYFUNCTION("""COMPUTED_VALUE"""),511424.0)</f>
        <v>511424</v>
      </c>
      <c r="H85" s="140" t="str">
        <f>IFERROR(__xludf.DUMMYFUNCTION("""COMPUTED_VALUE"""),"")</f>
        <v/>
      </c>
    </row>
    <row r="86">
      <c r="A86" s="143">
        <f>IFERROR(__xludf.DUMMYFUNCTION("""COMPUTED_VALUE"""),42643.0)</f>
        <v>42643</v>
      </c>
      <c r="B86" s="140">
        <f>IFERROR(__xludf.DUMMYFUNCTION("""COMPUTED_VALUE"""),699338.0)</f>
        <v>699338</v>
      </c>
      <c r="C86" s="140" t="str">
        <f>IFERROR(__xludf.DUMMYFUNCTION("""COMPUTED_VALUE"""),"")</f>
        <v/>
      </c>
      <c r="D86" t="str">
        <f>IFERROR(__xludf.DUMMYFUNCTION("""COMPUTED_VALUE"""),"Train Simple")</f>
        <v>Train Simple</v>
      </c>
      <c r="E86" t="str">
        <f>IFERROR(__xludf.DUMMYFUNCTION("""COMPUTED_VALUE"""),"Instructor Request")</f>
        <v>Instructor Request</v>
      </c>
      <c r="F86" t="str">
        <f>IFERROR(__xludf.DUMMYFUNCTION("""COMPUTED_VALUE"""),"Design")</f>
        <v>Design</v>
      </c>
      <c r="G86" s="140">
        <f>IFERROR(__xludf.DUMMYFUNCTION("""COMPUTED_VALUE"""),51158.0)</f>
        <v>51158</v>
      </c>
      <c r="H86" s="140" t="str">
        <f>IFERROR(__xludf.DUMMYFUNCTION("""COMPUTED_VALUE"""),"")</f>
        <v/>
      </c>
    </row>
    <row r="87">
      <c r="A87" s="143">
        <f>IFERROR(__xludf.DUMMYFUNCTION("""COMPUTED_VALUE"""),42643.0)</f>
        <v>42643</v>
      </c>
      <c r="B87" s="140">
        <f>IFERROR(__xludf.DUMMYFUNCTION("""COMPUTED_VALUE"""),699416.0)</f>
        <v>699416</v>
      </c>
      <c r="C87" s="140" t="str">
        <f>IFERROR(__xludf.DUMMYFUNCTION("""COMPUTED_VALUE"""),"")</f>
        <v/>
      </c>
      <c r="D87" t="str">
        <f>IFERROR(__xludf.DUMMYFUNCTION("""COMPUTED_VALUE"""),"Train Simple")</f>
        <v>Train Simple</v>
      </c>
      <c r="E87" t="str">
        <f>IFERROR(__xludf.DUMMYFUNCTION("""COMPUTED_VALUE"""),"Instructor Request")</f>
        <v>Instructor Request</v>
      </c>
      <c r="F87" t="str">
        <f>IFERROR(__xludf.DUMMYFUNCTION("""COMPUTED_VALUE"""),"Design")</f>
        <v>Design</v>
      </c>
      <c r="G87" s="140">
        <f>IFERROR(__xludf.DUMMYFUNCTION("""COMPUTED_VALUE"""),51158.0)</f>
        <v>51158</v>
      </c>
      <c r="H87" s="140" t="str">
        <f>IFERROR(__xludf.DUMMYFUNCTION("""COMPUTED_VALUE"""),"")</f>
        <v/>
      </c>
    </row>
    <row r="88">
      <c r="A88" s="143">
        <f>IFERROR(__xludf.DUMMYFUNCTION("""COMPUTED_VALUE"""),42643.0)</f>
        <v>42643</v>
      </c>
      <c r="B88" s="140">
        <f>IFERROR(__xludf.DUMMYFUNCTION("""COMPUTED_VALUE"""),699270.0)</f>
        <v>699270</v>
      </c>
      <c r="C88" s="140" t="str">
        <f>IFERROR(__xludf.DUMMYFUNCTION("""COMPUTED_VALUE"""),"")</f>
        <v/>
      </c>
      <c r="D88" t="str">
        <f>IFERROR(__xludf.DUMMYFUNCTION("""COMPUTED_VALUE"""),"Train Simple")</f>
        <v>Train Simple</v>
      </c>
      <c r="E88" t="str">
        <f>IFERROR(__xludf.DUMMYFUNCTION("""COMPUTED_VALUE"""),"Instructor Request")</f>
        <v>Instructor Request</v>
      </c>
      <c r="F88" t="str">
        <f>IFERROR(__xludf.DUMMYFUNCTION("""COMPUTED_VALUE"""),"Design")</f>
        <v>Design</v>
      </c>
      <c r="G88" s="140">
        <f>IFERROR(__xludf.DUMMYFUNCTION("""COMPUTED_VALUE"""),51158.0)</f>
        <v>51158</v>
      </c>
      <c r="H88" s="140" t="str">
        <f>IFERROR(__xludf.DUMMYFUNCTION("""COMPUTED_VALUE"""),"")</f>
        <v/>
      </c>
    </row>
    <row r="89">
      <c r="A89" s="143">
        <f>IFERROR(__xludf.DUMMYFUNCTION("""COMPUTED_VALUE"""),42643.0)</f>
        <v>42643</v>
      </c>
      <c r="B89" s="140">
        <f>IFERROR(__xludf.DUMMYFUNCTION("""COMPUTED_VALUE"""),276174.0)</f>
        <v>276174</v>
      </c>
      <c r="C89" s="140" t="str">
        <f>IFERROR(__xludf.DUMMYFUNCTION("""COMPUTED_VALUE"""),"")</f>
        <v/>
      </c>
      <c r="D89" t="str">
        <f>IFERROR(__xludf.DUMMYFUNCTION("""COMPUTED_VALUE"""),"LearnToProgram, Inc.")</f>
        <v>LearnToProgram, Inc.</v>
      </c>
      <c r="E89" t="str">
        <f>IFERROR(__xludf.DUMMYFUNCTION("""COMPUTED_VALUE"""),"Instructor Request")</f>
        <v>Instructor Request</v>
      </c>
      <c r="F89" t="str">
        <f>IFERROR(__xludf.DUMMYFUNCTION("""COMPUTED_VALUE"""),"Design")</f>
        <v>Design</v>
      </c>
      <c r="G89" s="140">
        <f>IFERROR(__xludf.DUMMYFUNCTION("""COMPUTED_VALUE"""),526534.0)</f>
        <v>526534</v>
      </c>
      <c r="H89" s="140" t="str">
        <f>IFERROR(__xludf.DUMMYFUNCTION("""COMPUTED_VALUE"""),"")</f>
        <v/>
      </c>
    </row>
    <row r="90">
      <c r="A90" s="143">
        <f>IFERROR(__xludf.DUMMYFUNCTION("""COMPUTED_VALUE"""),42643.0)</f>
        <v>42643</v>
      </c>
      <c r="B90" s="140">
        <f>IFERROR(__xludf.DUMMYFUNCTION("""COMPUTED_VALUE"""),484342.0)</f>
        <v>484342</v>
      </c>
      <c r="C90" s="140" t="str">
        <f>IFERROR(__xludf.DUMMYFUNCTION("""COMPUTED_VALUE"""),"")</f>
        <v/>
      </c>
      <c r="D90" t="str">
        <f>IFERROR(__xludf.DUMMYFUNCTION("""COMPUTED_VALUE"""),"Stephanie Losi")</f>
        <v>Stephanie Losi</v>
      </c>
      <c r="E90" t="str">
        <f>IFERROR(__xludf.DUMMYFUNCTION("""COMPUTED_VALUE"""),"Below Quality Standards")</f>
        <v>Below Quality Standards</v>
      </c>
      <c r="F90" t="str">
        <f>IFERROR(__xludf.DUMMYFUNCTION("""COMPUTED_VALUE"""),"Front-End Programming")</f>
        <v>Front-End Programming</v>
      </c>
      <c r="G90" s="140">
        <f>IFERROR(__xludf.DUMMYFUNCTION("""COMPUTED_VALUE"""),531846.0)</f>
        <v>531846</v>
      </c>
      <c r="H90" s="140" t="str">
        <f>IFERROR(__xludf.DUMMYFUNCTION("""COMPUTED_VALUE"""),"")</f>
        <v/>
      </c>
      <c r="I90" s="142" t="str">
        <f>IFERROR(__xludf.DUMMYFUNCTION("""COMPUTED_VALUE"""),"221696")</f>
        <v>221696</v>
      </c>
      <c r="J90" t="str">
        <f>IFERROR(__xludf.DUMMYFUNCTION("""COMPUTED_VALUE"""),"Git Going Fast: One Hour Git Crash Course")</f>
        <v>Git Going Fast: One Hour Git Crash Course</v>
      </c>
    </row>
    <row r="91">
      <c r="A91" s="143">
        <f>IFERROR(__xludf.DUMMYFUNCTION("""COMPUTED_VALUE"""),42643.0)</f>
        <v>42643</v>
      </c>
      <c r="B91" s="140">
        <f>IFERROR(__xludf.DUMMYFUNCTION("""COMPUTED_VALUE"""),349732.0)</f>
        <v>349732</v>
      </c>
      <c r="C91" s="140" t="str">
        <f>IFERROR(__xludf.DUMMYFUNCTION("""COMPUTED_VALUE"""),"")</f>
        <v/>
      </c>
      <c r="D91" t="str">
        <f>IFERROR(__xludf.DUMMYFUNCTION("""COMPUTED_VALUE"""),"Train Simple")</f>
        <v>Train Simple</v>
      </c>
      <c r="E91" t="str">
        <f>IFERROR(__xludf.DUMMYFUNCTION("""COMPUTED_VALUE"""),"Instructor Request")</f>
        <v>Instructor Request</v>
      </c>
      <c r="F91" t="str">
        <f>IFERROR(__xludf.DUMMYFUNCTION("""COMPUTED_VALUE"""),"Design")</f>
        <v>Design</v>
      </c>
      <c r="G91" s="140">
        <f>IFERROR(__xludf.DUMMYFUNCTION("""COMPUTED_VALUE"""),927360.0)</f>
        <v>927360</v>
      </c>
      <c r="H91" s="140" t="str">
        <f>IFERROR(__xludf.DUMMYFUNCTION("""COMPUTED_VALUE"""),"")</f>
        <v/>
      </c>
    </row>
    <row r="92">
      <c r="A92" s="143">
        <f>IFERROR(__xludf.DUMMYFUNCTION("""COMPUTED_VALUE"""),42643.0)</f>
        <v>42643</v>
      </c>
      <c r="B92" s="140">
        <f>IFERROR(__xludf.DUMMYFUNCTION("""COMPUTED_VALUE"""),700174.0)</f>
        <v>700174</v>
      </c>
      <c r="C92" s="140" t="str">
        <f>IFERROR(__xludf.DUMMYFUNCTION("""COMPUTED_VALUE"""),"")</f>
        <v/>
      </c>
      <c r="D92" t="str">
        <f>IFERROR(__xludf.DUMMYFUNCTION("""COMPUTED_VALUE"""),"Train Simple")</f>
        <v>Train Simple</v>
      </c>
      <c r="E92" t="str">
        <f>IFERROR(__xludf.DUMMYFUNCTION("""COMPUTED_VALUE"""),"Instructor Request")</f>
        <v>Instructor Request</v>
      </c>
      <c r="F92" t="str">
        <f>IFERROR(__xludf.DUMMYFUNCTION("""COMPUTED_VALUE"""),"Design")</f>
        <v>Design</v>
      </c>
      <c r="G92" s="140">
        <f>IFERROR(__xludf.DUMMYFUNCTION("""COMPUTED_VALUE"""),927360.0)</f>
        <v>927360</v>
      </c>
      <c r="H92" s="140" t="str">
        <f>IFERROR(__xludf.DUMMYFUNCTION("""COMPUTED_VALUE"""),"")</f>
        <v/>
      </c>
    </row>
    <row r="93">
      <c r="A93" s="143">
        <f>IFERROR(__xludf.DUMMYFUNCTION("""COMPUTED_VALUE"""),42643.0)</f>
        <v>42643</v>
      </c>
      <c r="B93" s="140">
        <f>IFERROR(__xludf.DUMMYFUNCTION("""COMPUTED_VALUE"""),692054.0)</f>
        <v>692054</v>
      </c>
      <c r="C93" s="140" t="str">
        <f>IFERROR(__xludf.DUMMYFUNCTION("""COMPUTED_VALUE"""),"")</f>
        <v/>
      </c>
      <c r="D93" t="str">
        <f>IFERROR(__xludf.DUMMYFUNCTION("""COMPUTED_VALUE"""),"Train Simple")</f>
        <v>Train Simple</v>
      </c>
      <c r="E93" t="str">
        <f>IFERROR(__xludf.DUMMYFUNCTION("""COMPUTED_VALUE"""),"Instructor Request")</f>
        <v>Instructor Request</v>
      </c>
      <c r="F93" t="str">
        <f>IFERROR(__xludf.DUMMYFUNCTION("""COMPUTED_VALUE"""),"Design")</f>
        <v>Design</v>
      </c>
      <c r="G93" s="140">
        <f>IFERROR(__xludf.DUMMYFUNCTION("""COMPUTED_VALUE"""),927360.0)</f>
        <v>927360</v>
      </c>
      <c r="H93" s="140" t="str">
        <f>IFERROR(__xludf.DUMMYFUNCTION("""COMPUTED_VALUE"""),"")</f>
        <v/>
      </c>
    </row>
    <row r="94">
      <c r="A94" s="143">
        <f>IFERROR(__xludf.DUMMYFUNCTION("""COMPUTED_VALUE"""),42643.0)</f>
        <v>42643</v>
      </c>
      <c r="B94" s="140">
        <f>IFERROR(__xludf.DUMMYFUNCTION("""COMPUTED_VALUE"""),692148.0)</f>
        <v>692148</v>
      </c>
      <c r="C94" s="140" t="str">
        <f>IFERROR(__xludf.DUMMYFUNCTION("""COMPUTED_VALUE"""),"")</f>
        <v/>
      </c>
      <c r="D94" t="str">
        <f>IFERROR(__xludf.DUMMYFUNCTION("""COMPUTED_VALUE"""),"Train Simple")</f>
        <v>Train Simple</v>
      </c>
      <c r="E94" t="str">
        <f>IFERROR(__xludf.DUMMYFUNCTION("""COMPUTED_VALUE"""),"Instructor Request")</f>
        <v>Instructor Request</v>
      </c>
      <c r="F94" t="str">
        <f>IFERROR(__xludf.DUMMYFUNCTION("""COMPUTED_VALUE"""),"Design")</f>
        <v>Design</v>
      </c>
      <c r="G94" s="140">
        <f>IFERROR(__xludf.DUMMYFUNCTION("""COMPUTED_VALUE"""),927360.0)</f>
        <v>927360</v>
      </c>
      <c r="H94" s="140" t="str">
        <f>IFERROR(__xludf.DUMMYFUNCTION("""COMPUTED_VALUE"""),"")</f>
        <v/>
      </c>
    </row>
    <row r="95">
      <c r="A95" s="143">
        <f>IFERROR(__xludf.DUMMYFUNCTION("""COMPUTED_VALUE"""),42643.0)</f>
        <v>42643</v>
      </c>
      <c r="B95" s="140">
        <f>IFERROR(__xludf.DUMMYFUNCTION("""COMPUTED_VALUE"""),700246.0)</f>
        <v>700246</v>
      </c>
      <c r="C95" s="140" t="str">
        <f>IFERROR(__xludf.DUMMYFUNCTION("""COMPUTED_VALUE"""),"")</f>
        <v/>
      </c>
      <c r="D95" t="str">
        <f>IFERROR(__xludf.DUMMYFUNCTION("""COMPUTED_VALUE"""),"Train Simple")</f>
        <v>Train Simple</v>
      </c>
      <c r="E95" t="str">
        <f>IFERROR(__xludf.DUMMYFUNCTION("""COMPUTED_VALUE"""),"Instructor Request")</f>
        <v>Instructor Request</v>
      </c>
      <c r="F95" t="str">
        <f>IFERROR(__xludf.DUMMYFUNCTION("""COMPUTED_VALUE"""),"Design")</f>
        <v>Design</v>
      </c>
      <c r="G95" s="140">
        <f>IFERROR(__xludf.DUMMYFUNCTION("""COMPUTED_VALUE"""),927360.0)</f>
        <v>927360</v>
      </c>
      <c r="H95" s="140" t="str">
        <f>IFERROR(__xludf.DUMMYFUNCTION("""COMPUTED_VALUE"""),"")</f>
        <v/>
      </c>
    </row>
    <row r="96">
      <c r="A96" s="143">
        <f>IFERROR(__xludf.DUMMYFUNCTION("""COMPUTED_VALUE"""),42643.0)</f>
        <v>42643</v>
      </c>
      <c r="B96" s="140">
        <f>IFERROR(__xludf.DUMMYFUNCTION("""COMPUTED_VALUE"""),700266.0)</f>
        <v>700266</v>
      </c>
      <c r="C96" s="140" t="str">
        <f>IFERROR(__xludf.DUMMYFUNCTION("""COMPUTED_VALUE"""),"")</f>
        <v/>
      </c>
      <c r="D96" t="str">
        <f>IFERROR(__xludf.DUMMYFUNCTION("""COMPUTED_VALUE"""),"Train Simple")</f>
        <v>Train Simple</v>
      </c>
      <c r="E96" t="str">
        <f>IFERROR(__xludf.DUMMYFUNCTION("""COMPUTED_VALUE"""),"Instructor Request")</f>
        <v>Instructor Request</v>
      </c>
      <c r="F96" t="str">
        <f>IFERROR(__xludf.DUMMYFUNCTION("""COMPUTED_VALUE"""),"Design")</f>
        <v>Design</v>
      </c>
      <c r="G96" s="140">
        <f>IFERROR(__xludf.DUMMYFUNCTION("""COMPUTED_VALUE"""),927360.0)</f>
        <v>927360</v>
      </c>
      <c r="H96" s="140" t="str">
        <f>IFERROR(__xludf.DUMMYFUNCTION("""COMPUTED_VALUE"""),"")</f>
        <v/>
      </c>
    </row>
    <row r="97">
      <c r="A97" s="143">
        <f>IFERROR(__xludf.DUMMYFUNCTION("""COMPUTED_VALUE"""),42643.0)</f>
        <v>42643</v>
      </c>
      <c r="B97" s="140">
        <f>IFERROR(__xludf.DUMMYFUNCTION("""COMPUTED_VALUE"""),128384.0)</f>
        <v>128384</v>
      </c>
      <c r="C97" s="140" t="str">
        <f>IFERROR(__xludf.DUMMYFUNCTION("""COMPUTED_VALUE"""),"")</f>
        <v/>
      </c>
      <c r="D97" t="str">
        <f>IFERROR(__xludf.DUMMYFUNCTION("""COMPUTED_VALUE"""),"Parallel Branch Inc")</f>
        <v>Parallel Branch Inc</v>
      </c>
      <c r="E97" t="str">
        <f>IFERROR(__xludf.DUMMYFUNCTION("""COMPUTED_VALUE"""),"Below Quality Standards")</f>
        <v>Below Quality Standards</v>
      </c>
      <c r="F97" t="str">
        <f>IFERROR(__xludf.DUMMYFUNCTION("""COMPUTED_VALUE"""),"Data Science")</f>
        <v>Data Science</v>
      </c>
      <c r="G97" s="140">
        <f>IFERROR(__xludf.DUMMYFUNCTION("""COMPUTED_VALUE"""),540270.0)</f>
        <v>540270</v>
      </c>
      <c r="H97" s="140" t="str">
        <f>IFERROR(__xludf.DUMMYFUNCTION("""COMPUTED_VALUE"""),"")</f>
        <v/>
      </c>
    </row>
    <row r="98">
      <c r="A98" s="143">
        <f>IFERROR(__xludf.DUMMYFUNCTION("""COMPUTED_VALUE"""),42643.0)</f>
        <v>42643</v>
      </c>
      <c r="B98" s="140">
        <f>IFERROR(__xludf.DUMMYFUNCTION("""COMPUTED_VALUE"""),129554.0)</f>
        <v>129554</v>
      </c>
      <c r="C98" s="140" t="str">
        <f>IFERROR(__xludf.DUMMYFUNCTION("""COMPUTED_VALUE"""),"")</f>
        <v/>
      </c>
      <c r="D98" t="str">
        <f>IFERROR(__xludf.DUMMYFUNCTION("""COMPUTED_VALUE"""),"Train Simple")</f>
        <v>Train Simple</v>
      </c>
      <c r="E98" t="str">
        <f>IFERROR(__xludf.DUMMYFUNCTION("""COMPUTED_VALUE"""),"Instructor Request")</f>
        <v>Instructor Request</v>
      </c>
      <c r="F98" t="str">
        <f>IFERROR(__xludf.DUMMYFUNCTION("""COMPUTED_VALUE"""),"Design")</f>
        <v>Design</v>
      </c>
      <c r="G98" s="140">
        <f>IFERROR(__xludf.DUMMYFUNCTION("""COMPUTED_VALUE"""),557194.0)</f>
        <v>557194</v>
      </c>
      <c r="H98" s="140" t="str">
        <f>IFERROR(__xludf.DUMMYFUNCTION("""COMPUTED_VALUE"""),"")</f>
        <v/>
      </c>
    </row>
    <row r="99">
      <c r="A99" s="143">
        <f>IFERROR(__xludf.DUMMYFUNCTION("""COMPUTED_VALUE"""),42643.0)</f>
        <v>42643</v>
      </c>
      <c r="B99" s="140">
        <f>IFERROR(__xludf.DUMMYFUNCTION("""COMPUTED_VALUE"""),645126.0)</f>
        <v>645126</v>
      </c>
      <c r="C99" s="140" t="str">
        <f>IFERROR(__xludf.DUMMYFUNCTION("""COMPUTED_VALUE"""),"")</f>
        <v/>
      </c>
      <c r="D99" t="str">
        <f>IFERROR(__xludf.DUMMYFUNCTION("""COMPUTED_VALUE"""),"Edward Viaene")</f>
        <v>Edward Viaene</v>
      </c>
      <c r="E99" t="str">
        <f>IFERROR(__xludf.DUMMYFUNCTION("""COMPUTED_VALUE"""),"Below Quality Standards")</f>
        <v>Below Quality Standards</v>
      </c>
      <c r="F99" t="str">
        <f>IFERROR(__xludf.DUMMYFUNCTION("""COMPUTED_VALUE"""),"Back-End Programming")</f>
        <v>Back-End Programming</v>
      </c>
      <c r="G99" s="140">
        <f>IFERROR(__xludf.DUMMYFUNCTION("""COMPUTED_VALUE"""),714724.0)</f>
        <v>714724</v>
      </c>
      <c r="H99" s="140" t="str">
        <f>IFERROR(__xludf.DUMMYFUNCTION("""COMPUTED_VALUE"""),"")</f>
        <v/>
      </c>
    </row>
    <row r="100">
      <c r="A100" s="143">
        <f>IFERROR(__xludf.DUMMYFUNCTION("""COMPUTED_VALUE"""),42643.0)</f>
        <v>42643</v>
      </c>
      <c r="B100" s="140">
        <f>IFERROR(__xludf.DUMMYFUNCTION("""COMPUTED_VALUE"""),310162.0)</f>
        <v>310162</v>
      </c>
      <c r="C100" s="140" t="str">
        <f>IFERROR(__xludf.DUMMYFUNCTION("""COMPUTED_VALUE"""),"")</f>
        <v/>
      </c>
      <c r="D100" t="str">
        <f>IFERROR(__xludf.DUMMYFUNCTION("""COMPUTED_VALUE"""),"Mark Hughes")</f>
        <v>Mark Hughes</v>
      </c>
      <c r="E100" t="str">
        <f>IFERROR(__xludf.DUMMYFUNCTION("""COMPUTED_VALUE"""),"Course is Private")</f>
        <v>Course is Private</v>
      </c>
      <c r="F100" t="str">
        <f>IFERROR(__xludf.DUMMYFUNCTION("""COMPUTED_VALUE"""),"Sales")</f>
        <v>Sales</v>
      </c>
      <c r="G100" s="140">
        <f>IFERROR(__xludf.DUMMYFUNCTION("""COMPUTED_VALUE"""),1149896.0)</f>
        <v>1149896</v>
      </c>
      <c r="H100" s="140" t="str">
        <f>IFERROR(__xludf.DUMMYFUNCTION("""COMPUTED_VALUE"""),"")</f>
        <v/>
      </c>
      <c r="I100" s="142" t="str">
        <f>IFERROR(__xludf.DUMMYFUNCTION("""COMPUTED_VALUE"""),"1149896")</f>
        <v>1149896</v>
      </c>
      <c r="J100" t="str">
        <f>IFERROR(__xludf.DUMMYFUNCTION("""COMPUTED_VALUE"""),"Comprehensive Guide to LinkedIn in 2017 (New Look)")</f>
        <v>Comprehensive Guide to LinkedIn in 2017 (New Look)</v>
      </c>
    </row>
    <row r="101">
      <c r="A101" s="143">
        <f>IFERROR(__xludf.DUMMYFUNCTION("""COMPUTED_VALUE"""),42643.0)</f>
        <v>42643</v>
      </c>
      <c r="B101" s="140">
        <f>IFERROR(__xludf.DUMMYFUNCTION("""COMPUTED_VALUE"""),341256.0)</f>
        <v>341256</v>
      </c>
      <c r="C101" s="140" t="str">
        <f>IFERROR(__xludf.DUMMYFUNCTION("""COMPUTED_VALUE"""),"")</f>
        <v/>
      </c>
      <c r="D101" t="str">
        <f>IFERROR(__xludf.DUMMYFUNCTION("""COMPUTED_VALUE"""),"Mark Hughes")</f>
        <v>Mark Hughes</v>
      </c>
      <c r="E101" t="str">
        <f>IFERROR(__xludf.DUMMYFUNCTION("""COMPUTED_VALUE"""),"Course is Private")</f>
        <v>Course is Private</v>
      </c>
      <c r="F101" t="str">
        <f>IFERROR(__xludf.DUMMYFUNCTION("""COMPUTED_VALUE"""),"Sales")</f>
        <v>Sales</v>
      </c>
      <c r="G101" s="140">
        <f>IFERROR(__xludf.DUMMYFUNCTION("""COMPUTED_VALUE"""),1149896.0)</f>
        <v>1149896</v>
      </c>
      <c r="H101" s="140" t="str">
        <f>IFERROR(__xludf.DUMMYFUNCTION("""COMPUTED_VALUE"""),"")</f>
        <v/>
      </c>
      <c r="I101" s="142" t="str">
        <f>IFERROR(__xludf.DUMMYFUNCTION("""COMPUTED_VALUE"""),"1149896")</f>
        <v>1149896</v>
      </c>
      <c r="J101" t="str">
        <f>IFERROR(__xludf.DUMMYFUNCTION("""COMPUTED_VALUE"""),"Comprehensive Guide to LinkedIn in 2017 (New Look)")</f>
        <v>Comprehensive Guide to LinkedIn in 2017 (New Look)</v>
      </c>
    </row>
    <row r="102">
      <c r="A102" s="143">
        <f>IFERROR(__xludf.DUMMYFUNCTION("""COMPUTED_VALUE"""),42643.0)</f>
        <v>42643</v>
      </c>
      <c r="B102" s="140">
        <f>IFERROR(__xludf.DUMMYFUNCTION("""COMPUTED_VALUE"""),350018.0)</f>
        <v>350018</v>
      </c>
      <c r="C102" s="140" t="str">
        <f>IFERROR(__xludf.DUMMYFUNCTION("""COMPUTED_VALUE"""),"")</f>
        <v/>
      </c>
      <c r="D102" t="str">
        <f>IFERROR(__xludf.DUMMYFUNCTION("""COMPUTED_VALUE"""),"Train Simple")</f>
        <v>Train Simple</v>
      </c>
      <c r="E102" t="str">
        <f>IFERROR(__xludf.DUMMYFUNCTION("""COMPUTED_VALUE"""),"Instructor Request")</f>
        <v>Instructor Request</v>
      </c>
      <c r="F102" t="str">
        <f>IFERROR(__xludf.DUMMYFUNCTION("""COMPUTED_VALUE"""),"Design")</f>
        <v>Design</v>
      </c>
      <c r="G102" s="140">
        <f>IFERROR(__xludf.DUMMYFUNCTION("""COMPUTED_VALUE"""),778548.0)</f>
        <v>778548</v>
      </c>
      <c r="H102" s="140" t="str">
        <f>IFERROR(__xludf.DUMMYFUNCTION("""COMPUTED_VALUE"""),"")</f>
        <v/>
      </c>
    </row>
    <row r="103">
      <c r="A103" s="143">
        <f>IFERROR(__xludf.DUMMYFUNCTION("""COMPUTED_VALUE"""),42643.0)</f>
        <v>42643</v>
      </c>
      <c r="B103" s="140">
        <f>IFERROR(__xludf.DUMMYFUNCTION("""COMPUTED_VALUE"""),717282.0)</f>
        <v>717282</v>
      </c>
      <c r="C103" s="140" t="str">
        <f>IFERROR(__xludf.DUMMYFUNCTION("""COMPUTED_VALUE"""),"")</f>
        <v/>
      </c>
      <c r="D103" t="str">
        <f>IFERROR(__xludf.DUMMYFUNCTION("""COMPUTED_VALUE"""),"Train Simple")</f>
        <v>Train Simple</v>
      </c>
      <c r="E103" t="str">
        <f>IFERROR(__xludf.DUMMYFUNCTION("""COMPUTED_VALUE"""),"Instructor Request")</f>
        <v>Instructor Request</v>
      </c>
      <c r="F103" t="str">
        <f>IFERROR(__xludf.DUMMYFUNCTION("""COMPUTED_VALUE"""),"Design")</f>
        <v>Design</v>
      </c>
      <c r="G103" s="140">
        <f>IFERROR(__xludf.DUMMYFUNCTION("""COMPUTED_VALUE"""),778548.0)</f>
        <v>778548</v>
      </c>
      <c r="H103" s="140" t="str">
        <f>IFERROR(__xludf.DUMMYFUNCTION("""COMPUTED_VALUE"""),"")</f>
        <v/>
      </c>
    </row>
    <row r="104">
      <c r="A104" s="143">
        <f>IFERROR(__xludf.DUMMYFUNCTION("""COMPUTED_VALUE"""),42643.0)</f>
        <v>42643</v>
      </c>
      <c r="B104" s="140">
        <f>IFERROR(__xludf.DUMMYFUNCTION("""COMPUTED_VALUE"""),698396.0)</f>
        <v>698396</v>
      </c>
      <c r="C104" s="140" t="str">
        <f>IFERROR(__xludf.DUMMYFUNCTION("""COMPUTED_VALUE"""),"")</f>
        <v/>
      </c>
      <c r="D104" t="str">
        <f>IFERROR(__xludf.DUMMYFUNCTION("""COMPUTED_VALUE"""),"Train Simple")</f>
        <v>Train Simple</v>
      </c>
      <c r="E104" t="str">
        <f>IFERROR(__xludf.DUMMYFUNCTION("""COMPUTED_VALUE"""),"Instructor Request")</f>
        <v>Instructor Request</v>
      </c>
      <c r="F104" t="str">
        <f>IFERROR(__xludf.DUMMYFUNCTION("""COMPUTED_VALUE"""),"Design")</f>
        <v>Design</v>
      </c>
      <c r="G104" s="140">
        <f>IFERROR(__xludf.DUMMYFUNCTION("""COMPUTED_VALUE"""),778548.0)</f>
        <v>778548</v>
      </c>
      <c r="H104" s="140" t="str">
        <f>IFERROR(__xludf.DUMMYFUNCTION("""COMPUTED_VALUE"""),"")</f>
        <v/>
      </c>
    </row>
    <row r="105">
      <c r="A105" s="143">
        <f>IFERROR(__xludf.DUMMYFUNCTION("""COMPUTED_VALUE"""),42643.0)</f>
        <v>42643</v>
      </c>
      <c r="B105" s="140">
        <f>IFERROR(__xludf.DUMMYFUNCTION("""COMPUTED_VALUE"""),717344.0)</f>
        <v>717344</v>
      </c>
      <c r="C105" s="140" t="str">
        <f>IFERROR(__xludf.DUMMYFUNCTION("""COMPUTED_VALUE"""),"")</f>
        <v/>
      </c>
      <c r="D105" t="str">
        <f>IFERROR(__xludf.DUMMYFUNCTION("""COMPUTED_VALUE"""),"Train Simple")</f>
        <v>Train Simple</v>
      </c>
      <c r="E105" t="str">
        <f>IFERROR(__xludf.DUMMYFUNCTION("""COMPUTED_VALUE"""),"Instructor Request")</f>
        <v>Instructor Request</v>
      </c>
      <c r="F105" t="str">
        <f>IFERROR(__xludf.DUMMYFUNCTION("""COMPUTED_VALUE"""),"Design")</f>
        <v>Design</v>
      </c>
      <c r="G105" s="140">
        <f>IFERROR(__xludf.DUMMYFUNCTION("""COMPUTED_VALUE"""),778548.0)</f>
        <v>778548</v>
      </c>
      <c r="H105" s="140" t="str">
        <f>IFERROR(__xludf.DUMMYFUNCTION("""COMPUTED_VALUE"""),"")</f>
        <v/>
      </c>
    </row>
    <row r="106">
      <c r="A106" s="143">
        <f>IFERROR(__xludf.DUMMYFUNCTION("""COMPUTED_VALUE"""),42643.0)</f>
        <v>42643</v>
      </c>
      <c r="B106" s="140">
        <f>IFERROR(__xludf.DUMMYFUNCTION("""COMPUTED_VALUE"""),704078.0)</f>
        <v>704078</v>
      </c>
      <c r="C106" s="140" t="str">
        <f>IFERROR(__xludf.DUMMYFUNCTION("""COMPUTED_VALUE"""),"")</f>
        <v/>
      </c>
      <c r="D106" t="str">
        <f>IFERROR(__xludf.DUMMYFUNCTION("""COMPUTED_VALUE"""),"Train Simple")</f>
        <v>Train Simple</v>
      </c>
      <c r="E106" t="str">
        <f>IFERROR(__xludf.DUMMYFUNCTION("""COMPUTED_VALUE"""),"Instructor Request")</f>
        <v>Instructor Request</v>
      </c>
      <c r="F106" t="str">
        <f>IFERROR(__xludf.DUMMYFUNCTION("""COMPUTED_VALUE"""),"Design")</f>
        <v>Design</v>
      </c>
      <c r="G106" s="140">
        <f>IFERROR(__xludf.DUMMYFUNCTION("""COMPUTED_VALUE"""),821228.0)</f>
        <v>821228</v>
      </c>
      <c r="H106" s="140" t="str">
        <f>IFERROR(__xludf.DUMMYFUNCTION("""COMPUTED_VALUE"""),"")</f>
        <v/>
      </c>
    </row>
    <row r="107">
      <c r="A107" s="143">
        <f>IFERROR(__xludf.DUMMYFUNCTION("""COMPUTED_VALUE"""),42643.0)</f>
        <v>42643</v>
      </c>
      <c r="B107" s="140">
        <f>IFERROR(__xludf.DUMMYFUNCTION("""COMPUTED_VALUE"""),702936.0)</f>
        <v>702936</v>
      </c>
      <c r="C107" s="140" t="str">
        <f>IFERROR(__xludf.DUMMYFUNCTION("""COMPUTED_VALUE"""),"")</f>
        <v/>
      </c>
      <c r="D107" t="str">
        <f>IFERROR(__xludf.DUMMYFUNCTION("""COMPUTED_VALUE"""),"Train Simple")</f>
        <v>Train Simple</v>
      </c>
      <c r="E107" t="str">
        <f>IFERROR(__xludf.DUMMYFUNCTION("""COMPUTED_VALUE"""),"Instructor Request")</f>
        <v>Instructor Request</v>
      </c>
      <c r="F107" t="str">
        <f>IFERROR(__xludf.DUMMYFUNCTION("""COMPUTED_VALUE"""),"Design")</f>
        <v>Design</v>
      </c>
      <c r="G107" s="140">
        <f>IFERROR(__xludf.DUMMYFUNCTION("""COMPUTED_VALUE"""),821228.0)</f>
        <v>821228</v>
      </c>
      <c r="H107" s="140" t="str">
        <f>IFERROR(__xludf.DUMMYFUNCTION("""COMPUTED_VALUE"""),"")</f>
        <v/>
      </c>
    </row>
    <row r="108">
      <c r="A108" s="143">
        <f>IFERROR(__xludf.DUMMYFUNCTION("""COMPUTED_VALUE"""),42643.0)</f>
        <v>42643</v>
      </c>
      <c r="B108" s="140">
        <f>IFERROR(__xludf.DUMMYFUNCTION("""COMPUTED_VALUE"""),919032.0)</f>
        <v>919032</v>
      </c>
      <c r="C108" s="140" t="str">
        <f>IFERROR(__xludf.DUMMYFUNCTION("""COMPUTED_VALUE"""),"")</f>
        <v/>
      </c>
      <c r="D108" t="str">
        <f>IFERROR(__xludf.DUMMYFUNCTION("""COMPUTED_VALUE"""),"Cyber Training")</f>
        <v>Cyber Training</v>
      </c>
      <c r="E108" t="str">
        <f>IFERROR(__xludf.DUMMYFUNCTION("""COMPUTED_VALUE"""),"DMCA Removal")</f>
        <v>DMCA Removal</v>
      </c>
      <c r="F108" t="str">
        <f>IFERROR(__xludf.DUMMYFUNCTION("""COMPUTED_VALUE"""),"Software and Systems")</f>
        <v>Software and Systems</v>
      </c>
      <c r="G108" s="140">
        <f>IFERROR(__xludf.DUMMYFUNCTION("""COMPUTED_VALUE"""),1163956.0)</f>
        <v>1163956</v>
      </c>
      <c r="H108" s="140" t="str">
        <f>IFERROR(__xludf.DUMMYFUNCTION("""COMPUTED_VALUE"""),"")</f>
        <v/>
      </c>
    </row>
    <row r="109">
      <c r="A109" s="143">
        <f>IFERROR(__xludf.DUMMYFUNCTION("""COMPUTED_VALUE"""),42643.0)</f>
        <v>42643</v>
      </c>
      <c r="B109" s="140">
        <f>IFERROR(__xludf.DUMMYFUNCTION("""COMPUTED_VALUE"""),935434.0)</f>
        <v>935434</v>
      </c>
      <c r="C109" s="140" t="str">
        <f>IFERROR(__xludf.DUMMYFUNCTION("""COMPUTED_VALUE"""),"")</f>
        <v/>
      </c>
      <c r="D109" t="str">
        <f>IFERROR(__xludf.DUMMYFUNCTION("""COMPUTED_VALUE"""),"Cyber Training")</f>
        <v>Cyber Training</v>
      </c>
      <c r="E109" t="str">
        <f>IFERROR(__xludf.DUMMYFUNCTION("""COMPUTED_VALUE"""),"DMCA Removal")</f>
        <v>DMCA Removal</v>
      </c>
      <c r="F109" t="str">
        <f>IFERROR(__xludf.DUMMYFUNCTION("""COMPUTED_VALUE"""),"Software and Systems")</f>
        <v>Software and Systems</v>
      </c>
      <c r="H109" s="140" t="str">
        <f>IFERROR(__xludf.DUMMYFUNCTION("""COMPUTED_VALUE"""),"")</f>
        <v/>
      </c>
    </row>
    <row r="110">
      <c r="A110" s="143">
        <f>IFERROR(__xludf.DUMMYFUNCTION("""COMPUTED_VALUE"""),42613.0)</f>
        <v>42613</v>
      </c>
      <c r="B110" s="140">
        <f>IFERROR(__xludf.DUMMYFUNCTION("""COMPUTED_VALUE"""),764042.0)</f>
        <v>764042</v>
      </c>
      <c r="C110" s="140" t="str">
        <f>IFERROR(__xludf.DUMMYFUNCTION("""COMPUTED_VALUE"""),"")</f>
        <v/>
      </c>
      <c r="D110" t="str">
        <f>IFERROR(__xludf.DUMMYFUNCTION("""COMPUTED_VALUE"""),"Eduonix Learning Solutions")</f>
        <v>Eduonix Learning Solutions</v>
      </c>
      <c r="E110" t="str">
        <f>IFERROR(__xludf.DUMMYFUNCTION("""COMPUTED_VALUE"""),"Below Quality Standards")</f>
        <v>Below Quality Standards</v>
      </c>
      <c r="F110" t="str">
        <f>IFERROR(__xludf.DUMMYFUNCTION("""COMPUTED_VALUE"""),"Front-End Programming")</f>
        <v>Front-End Programming</v>
      </c>
      <c r="G110" s="140">
        <f>IFERROR(__xludf.DUMMYFUNCTION("""COMPUTED_VALUE"""),705264.0)</f>
        <v>705264</v>
      </c>
      <c r="H110" s="140" t="str">
        <f>IFERROR(__xludf.DUMMYFUNCTION("""COMPUTED_VALUE"""),"")</f>
        <v/>
      </c>
    </row>
    <row r="111">
      <c r="A111" s="143">
        <f>IFERROR(__xludf.DUMMYFUNCTION("""COMPUTED_VALUE"""),42613.0)</f>
        <v>42613</v>
      </c>
      <c r="B111" s="140">
        <f>IFERROR(__xludf.DUMMYFUNCTION("""COMPUTED_VALUE"""),686764.0)</f>
        <v>686764</v>
      </c>
      <c r="C111" s="140" t="str">
        <f>IFERROR(__xludf.DUMMYFUNCTION("""COMPUTED_VALUE"""),"")</f>
        <v/>
      </c>
      <c r="D111" t="str">
        <f>IFERROR(__xludf.DUMMYFUNCTION("""COMPUTED_VALUE"""),"Eduonix Learning Solutions")</f>
        <v>Eduonix Learning Solutions</v>
      </c>
      <c r="E111" t="str">
        <f>IFERROR(__xludf.DUMMYFUNCTION("""COMPUTED_VALUE"""),"Below Quality Standards")</f>
        <v>Below Quality Standards</v>
      </c>
      <c r="F111" t="str">
        <f>IFERROR(__xludf.DUMMYFUNCTION("""COMPUTED_VALUE"""),"Content Management")</f>
        <v>Content Management</v>
      </c>
      <c r="G111" s="140">
        <f>IFERROR(__xludf.DUMMYFUNCTION("""COMPUTED_VALUE"""),1074788.0)</f>
        <v>1074788</v>
      </c>
      <c r="H111" s="140" t="str">
        <f>IFERROR(__xludf.DUMMYFUNCTION("""COMPUTED_VALUE"""),"")</f>
        <v/>
      </c>
    </row>
    <row r="112">
      <c r="A112" s="143">
        <f>IFERROR(__xludf.DUMMYFUNCTION("""COMPUTED_VALUE"""),42613.0)</f>
        <v>42613</v>
      </c>
      <c r="B112" s="140">
        <f>IFERROR(__xludf.DUMMYFUNCTION("""COMPUTED_VALUE"""),406470.0)</f>
        <v>406470</v>
      </c>
      <c r="C112" s="140" t="str">
        <f>IFERROR(__xludf.DUMMYFUNCTION("""COMPUTED_VALUE"""),"")</f>
        <v/>
      </c>
      <c r="D112" t="str">
        <f>IFERROR(__xludf.DUMMYFUNCTION("""COMPUTED_VALUE"""),"Chad Tennant")</f>
        <v>Chad Tennant</v>
      </c>
      <c r="E112" t="str">
        <f>IFERROR(__xludf.DUMMYFUNCTION("""COMPUTED_VALUE"""),"Instructor Request")</f>
        <v>Instructor Request</v>
      </c>
      <c r="F112" t="str">
        <f>IFERROR(__xludf.DUMMYFUNCTION("""COMPUTED_VALUE"""),"Marketing")</f>
        <v>Marketing</v>
      </c>
      <c r="G112" s="140">
        <f>IFERROR(__xludf.DUMMYFUNCTION("""COMPUTED_VALUE"""),355212.0)</f>
        <v>355212</v>
      </c>
      <c r="H112" s="140" t="str">
        <f>IFERROR(__xludf.DUMMYFUNCTION("""COMPUTED_VALUE"""),"")</f>
        <v/>
      </c>
    </row>
    <row r="113">
      <c r="A113" s="143">
        <f>IFERROR(__xludf.DUMMYFUNCTION("""COMPUTED_VALUE"""),42613.0)</f>
        <v>42613</v>
      </c>
      <c r="B113" s="140">
        <f>IFERROR(__xludf.DUMMYFUNCTION("""COMPUTED_VALUE"""),59551.0)</f>
        <v>59551</v>
      </c>
      <c r="C113" s="140" t="str">
        <f>IFERROR(__xludf.DUMMYFUNCTION("""COMPUTED_VALUE"""),"")</f>
        <v/>
      </c>
      <c r="D113" t="str">
        <f>IFERROR(__xludf.DUMMYFUNCTION("""COMPUTED_VALUE"""),"Learn iT! Anytime")</f>
        <v>Learn iT! Anytime</v>
      </c>
      <c r="E113" t="str">
        <f>IFERROR(__xludf.DUMMYFUNCTION("""COMPUTED_VALUE"""),"Below Quality Standards")</f>
        <v>Below Quality Standards</v>
      </c>
      <c r="F113" t="str">
        <f>IFERROR(__xludf.DUMMYFUNCTION("""COMPUTED_VALUE"""),"Office Productivity")</f>
        <v>Office Productivity</v>
      </c>
      <c r="G113" s="140">
        <f>IFERROR(__xludf.DUMMYFUNCTION("""COMPUTED_VALUE"""),113316.0)</f>
        <v>113316</v>
      </c>
      <c r="H113" s="140" t="str">
        <f>IFERROR(__xludf.DUMMYFUNCTION("""COMPUTED_VALUE"""),"")</f>
        <v/>
      </c>
    </row>
    <row r="114">
      <c r="A114" s="143">
        <f>IFERROR(__xludf.DUMMYFUNCTION("""COMPUTED_VALUE"""),42613.0)</f>
        <v>42613</v>
      </c>
      <c r="B114" s="140">
        <f>IFERROR(__xludf.DUMMYFUNCTION("""COMPUTED_VALUE"""),538136.0)</f>
        <v>538136</v>
      </c>
      <c r="C114" s="140" t="str">
        <f>IFERROR(__xludf.DUMMYFUNCTION("""COMPUTED_VALUE"""),"")</f>
        <v/>
      </c>
      <c r="D114" t="str">
        <f>IFERROR(__xludf.DUMMYFUNCTION("""COMPUTED_VALUE"""),"OSTraining LLC")</f>
        <v>OSTraining LLC</v>
      </c>
      <c r="E114" t="str">
        <f>IFERROR(__xludf.DUMMYFUNCTION("""COMPUTED_VALUE"""),"Redundant")</f>
        <v>Redundant</v>
      </c>
      <c r="F114" t="str">
        <f>IFERROR(__xludf.DUMMYFUNCTION("""COMPUTED_VALUE"""),"Content Management")</f>
        <v>Content Management</v>
      </c>
      <c r="G114" s="140">
        <f>IFERROR(__xludf.DUMMYFUNCTION("""COMPUTED_VALUE"""),915986.0)</f>
        <v>915986</v>
      </c>
      <c r="H114" s="140" t="str">
        <f>IFERROR(__xludf.DUMMYFUNCTION("""COMPUTED_VALUE"""),"")</f>
        <v/>
      </c>
    </row>
    <row r="115">
      <c r="A115" s="143">
        <f>IFERROR(__xludf.DUMMYFUNCTION("""COMPUTED_VALUE"""),42613.0)</f>
        <v>42613</v>
      </c>
      <c r="B115" s="140">
        <f>IFERROR(__xludf.DUMMYFUNCTION("""COMPUTED_VALUE"""),339086.0)</f>
        <v>339086</v>
      </c>
      <c r="C115" s="140" t="str">
        <f>IFERROR(__xludf.DUMMYFUNCTION("""COMPUTED_VALUE"""),"")</f>
        <v/>
      </c>
      <c r="D115" t="str">
        <f>IFERROR(__xludf.DUMMYFUNCTION("""COMPUTED_VALUE"""),"Khalid Hamadeh")</f>
        <v>Khalid Hamadeh</v>
      </c>
      <c r="E115" t="str">
        <f>IFERROR(__xludf.DUMMYFUNCTION("""COMPUTED_VALUE"""),"Redundant")</f>
        <v>Redundant</v>
      </c>
      <c r="F115" t="str">
        <f>IFERROR(__xludf.DUMMYFUNCTION("""COMPUTED_VALUE"""),"Software and Systems")</f>
        <v>Software and Systems</v>
      </c>
      <c r="G115" s="140">
        <f>IFERROR(__xludf.DUMMYFUNCTION("""COMPUTED_VALUE"""),915986.0)</f>
        <v>915986</v>
      </c>
      <c r="H115" s="140" t="str">
        <f>IFERROR(__xludf.DUMMYFUNCTION("""COMPUTED_VALUE"""),"")</f>
        <v/>
      </c>
    </row>
    <row r="116">
      <c r="A116" s="143">
        <f>IFERROR(__xludf.DUMMYFUNCTION("""COMPUTED_VALUE"""),42613.0)</f>
        <v>42613</v>
      </c>
      <c r="B116" s="140">
        <f>IFERROR(__xludf.DUMMYFUNCTION("""COMPUTED_VALUE"""),113766.0)</f>
        <v>113766</v>
      </c>
      <c r="C116" s="140" t="str">
        <f>IFERROR(__xludf.DUMMYFUNCTION("""COMPUTED_VALUE"""),"")</f>
        <v/>
      </c>
      <c r="D116" t="str">
        <f>IFERROR(__xludf.DUMMYFUNCTION("""COMPUTED_VALUE"""),"Simon Sez IT")</f>
        <v>Simon Sez IT</v>
      </c>
      <c r="E116" t="str">
        <f>IFERROR(__xludf.DUMMYFUNCTION("""COMPUTED_VALUE"""),"Redundant")</f>
        <v>Redundant</v>
      </c>
      <c r="F116" t="str">
        <f>IFERROR(__xludf.DUMMYFUNCTION("""COMPUTED_VALUE"""),"Back-End Programming")</f>
        <v>Back-End Programming</v>
      </c>
      <c r="G116" s="140">
        <f>IFERROR(__xludf.DUMMYFUNCTION("""COMPUTED_VALUE"""),130064.0)</f>
        <v>130064</v>
      </c>
      <c r="H116" s="140" t="str">
        <f>IFERROR(__xludf.DUMMYFUNCTION("""COMPUTED_VALUE"""),"")</f>
        <v/>
      </c>
    </row>
    <row r="117">
      <c r="A117" s="143">
        <f>IFERROR(__xludf.DUMMYFUNCTION("""COMPUTED_VALUE"""),42613.0)</f>
        <v>42613</v>
      </c>
      <c r="B117" s="140">
        <f>IFERROR(__xludf.DUMMYFUNCTION("""COMPUTED_VALUE"""),281626.0)</f>
        <v>281626</v>
      </c>
      <c r="C117" s="140" t="str">
        <f>IFERROR(__xludf.DUMMYFUNCTION("""COMPUTED_VALUE"""),"")</f>
        <v/>
      </c>
      <c r="D117" t="str">
        <f>IFERROR(__xludf.DUMMYFUNCTION("""COMPUTED_VALUE"""),"TJ Walker")</f>
        <v>TJ Walker</v>
      </c>
      <c r="E117" t="str">
        <f>IFERROR(__xludf.DUMMYFUNCTION("""COMPUTED_VALUE"""),"Redundant")</f>
        <v>Redundant</v>
      </c>
      <c r="F117" t="str">
        <f>IFERROR(__xludf.DUMMYFUNCTION("""COMPUTED_VALUE"""),"Soft Skills")</f>
        <v>Soft Skills</v>
      </c>
      <c r="G117" s="140">
        <f>IFERROR(__xludf.DUMMYFUNCTION("""COMPUTED_VALUE"""),139200.0)</f>
        <v>139200</v>
      </c>
      <c r="H117" s="140" t="str">
        <f>IFERROR(__xludf.DUMMYFUNCTION("""COMPUTED_VALUE"""),"")</f>
        <v/>
      </c>
    </row>
    <row r="118">
      <c r="A118" s="143">
        <f>IFERROR(__xludf.DUMMYFUNCTION("""COMPUTED_VALUE"""),42613.0)</f>
        <v>42613</v>
      </c>
      <c r="B118" s="140">
        <f>IFERROR(__xludf.DUMMYFUNCTION("""COMPUTED_VALUE"""),9912.0)</f>
        <v>9912</v>
      </c>
      <c r="C118" s="140" t="str">
        <f>IFERROR(__xludf.DUMMYFUNCTION("""COMPUTED_VALUE"""),"")</f>
        <v/>
      </c>
      <c r="D118" t="str">
        <f>IFERROR(__xludf.DUMMYFUNCTION("""COMPUTED_VALUE"""),"Train Simple")</f>
        <v>Train Simple</v>
      </c>
      <c r="E118" t="str">
        <f>IFERROR(__xludf.DUMMYFUNCTION("""COMPUTED_VALUE"""),"Low Usage + Redundant")</f>
        <v>Low Usage + Redundant</v>
      </c>
      <c r="F118" t="str">
        <f>IFERROR(__xludf.DUMMYFUNCTION("""COMPUTED_VALUE"""),"Design")</f>
        <v>Design</v>
      </c>
      <c r="G118" s="140">
        <f>IFERROR(__xludf.DUMMYFUNCTION("""COMPUTED_VALUE"""),15620.0)</f>
        <v>15620</v>
      </c>
      <c r="H118" s="140" t="str">
        <f>IFERROR(__xludf.DUMMYFUNCTION("""COMPUTED_VALUE"""),"")</f>
        <v/>
      </c>
    </row>
    <row r="119">
      <c r="A119" s="143">
        <f>IFERROR(__xludf.DUMMYFUNCTION("""COMPUTED_VALUE"""),42613.0)</f>
        <v>42613</v>
      </c>
      <c r="B119" s="140">
        <f>IFERROR(__xludf.DUMMYFUNCTION("""COMPUTED_VALUE"""),50273.0)</f>
        <v>50273</v>
      </c>
      <c r="C119" s="140" t="str">
        <f>IFERROR(__xludf.DUMMYFUNCTION("""COMPUTED_VALUE"""),"")</f>
        <v/>
      </c>
      <c r="D119" t="str">
        <f>IFERROR(__xludf.DUMMYFUNCTION("""COMPUTED_VALUE"""),"CompuWorks Trainers")</f>
        <v>CompuWorks Trainers</v>
      </c>
      <c r="E119" t="str">
        <f>IFERROR(__xludf.DUMMYFUNCTION("""COMPUTED_VALUE"""),"Low Use")</f>
        <v>Low Use</v>
      </c>
      <c r="F119" t="str">
        <f>IFERROR(__xludf.DUMMYFUNCTION("""COMPUTED_VALUE"""),"Office Productivity")</f>
        <v>Office Productivity</v>
      </c>
      <c r="G119" s="140">
        <f>IFERROR(__xludf.DUMMYFUNCTION("""COMPUTED_VALUE"""),157542.0)</f>
        <v>157542</v>
      </c>
      <c r="H119" s="140" t="str">
        <f>IFERROR(__xludf.DUMMYFUNCTION("""COMPUTED_VALUE"""),"")</f>
        <v/>
      </c>
    </row>
    <row r="120">
      <c r="A120" s="143">
        <f>IFERROR(__xludf.DUMMYFUNCTION("""COMPUTED_VALUE"""),42613.0)</f>
        <v>42613</v>
      </c>
      <c r="B120" s="140">
        <f>IFERROR(__xludf.DUMMYFUNCTION("""COMPUTED_VALUE"""),863978.0)</f>
        <v>863978</v>
      </c>
      <c r="C120" s="140" t="str">
        <f>IFERROR(__xludf.DUMMYFUNCTION("""COMPUTED_VALUE"""),"")</f>
        <v/>
      </c>
      <c r="D120" t="str">
        <f>IFERROR(__xludf.DUMMYFUNCTION("""COMPUTED_VALUE"""),"Bloomberg LP")</f>
        <v>Bloomberg LP</v>
      </c>
      <c r="E120" t="str">
        <f>IFERROR(__xludf.DUMMYFUNCTION("""COMPUTED_VALUE"""),"Instructor Request")</f>
        <v>Instructor Request</v>
      </c>
      <c r="F120" t="str">
        <f>IFERROR(__xludf.DUMMYFUNCTION("""COMPUTED_VALUE"""),"Finance and Accounting")</f>
        <v>Finance and Accounting</v>
      </c>
      <c r="G120" s="140">
        <f>IFERROR(__xludf.DUMMYFUNCTION("""COMPUTED_VALUE"""),178602.0)</f>
        <v>178602</v>
      </c>
      <c r="H120" s="140" t="str">
        <f>IFERROR(__xludf.DUMMYFUNCTION("""COMPUTED_VALUE"""),"")</f>
        <v/>
      </c>
      <c r="M120" t="str">
        <f>IFERROR(__xludf.DUMMYFUNCTION("""COMPUTED_VALUE"""),"Not a perfect match.")</f>
        <v>Not a perfect match.</v>
      </c>
    </row>
    <row r="121">
      <c r="A121" s="143">
        <f>IFERROR(__xludf.DUMMYFUNCTION("""COMPUTED_VALUE"""),42613.0)</f>
        <v>42613</v>
      </c>
      <c r="B121" s="140">
        <f>IFERROR(__xludf.DUMMYFUNCTION("""COMPUTED_VALUE"""),25979.0)</f>
        <v>25979</v>
      </c>
      <c r="C121" s="140" t="str">
        <f>IFERROR(__xludf.DUMMYFUNCTION("""COMPUTED_VALUE"""),"")</f>
        <v/>
      </c>
      <c r="D121" t="str">
        <f>IFERROR(__xludf.DUMMYFUNCTION("""COMPUTED_VALUE"""),"Learn iT! Anytime")</f>
        <v>Learn iT! Anytime</v>
      </c>
      <c r="E121" t="str">
        <f>IFERROR(__xludf.DUMMYFUNCTION("""COMPUTED_VALUE"""),"Below Quality Standards")</f>
        <v>Below Quality Standards</v>
      </c>
      <c r="F121" t="str">
        <f>IFERROR(__xludf.DUMMYFUNCTION("""COMPUTED_VALUE"""),"Office Productivity")</f>
        <v>Office Productivity</v>
      </c>
      <c r="G121" s="140">
        <f>IFERROR(__xludf.DUMMYFUNCTION("""COMPUTED_VALUE"""),181524.0)</f>
        <v>181524</v>
      </c>
      <c r="H121" s="140" t="str">
        <f>IFERROR(__xludf.DUMMYFUNCTION("""COMPUTED_VALUE"""),"")</f>
        <v/>
      </c>
    </row>
    <row r="122">
      <c r="A122" s="143">
        <f>IFERROR(__xludf.DUMMYFUNCTION("""COMPUTED_VALUE"""),42613.0)</f>
        <v>42613</v>
      </c>
      <c r="B122" s="140">
        <f>IFERROR(__xludf.DUMMYFUNCTION("""COMPUTED_VALUE"""),255714.0)</f>
        <v>255714</v>
      </c>
      <c r="C122" s="140" t="str">
        <f>IFERROR(__xludf.DUMMYFUNCTION("""COMPUTED_VALUE"""),"")</f>
        <v/>
      </c>
      <c r="D122" t="str">
        <f>IFERROR(__xludf.DUMMYFUNCTION("""COMPUTED_VALUE"""),"Ian Littlejohn")</f>
        <v>Ian Littlejohn</v>
      </c>
      <c r="E122" t="str">
        <f>IFERROR(__xludf.DUMMYFUNCTION("""COMPUTED_VALUE"""),"Below Quality Standards")</f>
        <v>Below Quality Standards</v>
      </c>
      <c r="F122" t="str">
        <f>IFERROR(__xludf.DUMMYFUNCTION("""COMPUTED_VALUE"""),"Data Science")</f>
        <v>Data Science</v>
      </c>
      <c r="G122" s="140">
        <f>IFERROR(__xludf.DUMMYFUNCTION("""COMPUTED_VALUE"""),18212.0)</f>
        <v>18212</v>
      </c>
      <c r="H122" s="140" t="str">
        <f>IFERROR(__xludf.DUMMYFUNCTION("""COMPUTED_VALUE"""),"")</f>
        <v/>
      </c>
    </row>
    <row r="123">
      <c r="A123" s="143">
        <f>IFERROR(__xludf.DUMMYFUNCTION("""COMPUTED_VALUE"""),42613.0)</f>
        <v>42613</v>
      </c>
      <c r="B123" s="140">
        <f>IFERROR(__xludf.DUMMYFUNCTION("""COMPUTED_VALUE"""),87156.0)</f>
        <v>87156</v>
      </c>
      <c r="C123" s="140" t="str">
        <f>IFERROR(__xludf.DUMMYFUNCTION("""COMPUTED_VALUE"""),"")</f>
        <v/>
      </c>
      <c r="D123" t="str">
        <f>IFERROR(__xludf.DUMMYFUNCTION("""COMPUTED_VALUE"""),"Simon Sez IT")</f>
        <v>Simon Sez IT</v>
      </c>
      <c r="E123" t="str">
        <f>IFERROR(__xludf.DUMMYFUNCTION("""COMPUTED_VALUE"""),"Redundant")</f>
        <v>Redundant</v>
      </c>
      <c r="F123" t="str">
        <f>IFERROR(__xludf.DUMMYFUNCTION("""COMPUTED_VALUE"""),"Office Productivity")</f>
        <v>Office Productivity</v>
      </c>
      <c r="G123" s="140">
        <f>IFERROR(__xludf.DUMMYFUNCTION("""COMPUTED_VALUE"""),18212.0)</f>
        <v>18212</v>
      </c>
      <c r="H123" s="140" t="str">
        <f>IFERROR(__xludf.DUMMYFUNCTION("""COMPUTED_VALUE"""),"")</f>
        <v/>
      </c>
    </row>
    <row r="124">
      <c r="A124" s="143">
        <f>IFERROR(__xludf.DUMMYFUNCTION("""COMPUTED_VALUE"""),42613.0)</f>
        <v>42613</v>
      </c>
      <c r="B124" s="140">
        <f>IFERROR(__xludf.DUMMYFUNCTION("""COMPUTED_VALUE"""),171838.0)</f>
        <v>171838</v>
      </c>
      <c r="C124" s="140" t="str">
        <f>IFERROR(__xludf.DUMMYFUNCTION("""COMPUTED_VALUE"""),"")</f>
        <v/>
      </c>
      <c r="D124" t="str">
        <f>IFERROR(__xludf.DUMMYFUNCTION("""COMPUTED_VALUE"""),"Shani Raja")</f>
        <v>Shani Raja</v>
      </c>
      <c r="E124" t="str">
        <f>IFERROR(__xludf.DUMMYFUNCTION("""COMPUTED_VALUE"""),"Below Quality Standards")</f>
        <v>Below Quality Standards</v>
      </c>
      <c r="F124" t="str">
        <f>IFERROR(__xludf.DUMMYFUNCTION("""COMPUTED_VALUE"""),"Soft Skills")</f>
        <v>Soft Skills</v>
      </c>
      <c r="G124" s="140">
        <f>IFERROR(__xludf.DUMMYFUNCTION("""COMPUTED_VALUE"""),196152.0)</f>
        <v>196152</v>
      </c>
      <c r="H124" s="140" t="str">
        <f>IFERROR(__xludf.DUMMYFUNCTION("""COMPUTED_VALUE"""),"")</f>
        <v/>
      </c>
    </row>
    <row r="125">
      <c r="A125" s="143">
        <f>IFERROR(__xludf.DUMMYFUNCTION("""COMPUTED_VALUE"""),42613.0)</f>
        <v>42613</v>
      </c>
      <c r="B125" s="140">
        <f>IFERROR(__xludf.DUMMYFUNCTION("""COMPUTED_VALUE"""),344178.0)</f>
        <v>344178</v>
      </c>
      <c r="C125" s="140" t="str">
        <f>IFERROR(__xludf.DUMMYFUNCTION("""COMPUTED_VALUE"""),"")</f>
        <v/>
      </c>
      <c r="D125" t="str">
        <f>IFERROR(__xludf.DUMMYFUNCTION("""COMPUTED_VALUE"""),"TJ Walker")</f>
        <v>TJ Walker</v>
      </c>
      <c r="E125" t="str">
        <f>IFERROR(__xludf.DUMMYFUNCTION("""COMPUTED_VALUE"""),"Redundant")</f>
        <v>Redundant</v>
      </c>
      <c r="F125" t="str">
        <f>IFERROR(__xludf.DUMMYFUNCTION("""COMPUTED_VALUE"""),"Soft Skills")</f>
        <v>Soft Skills</v>
      </c>
      <c r="G125" s="140">
        <f>IFERROR(__xludf.DUMMYFUNCTION("""COMPUTED_VALUE"""),206886.0)</f>
        <v>206886</v>
      </c>
      <c r="H125" s="140" t="str">
        <f>IFERROR(__xludf.DUMMYFUNCTION("""COMPUTED_VALUE"""),"")</f>
        <v/>
      </c>
    </row>
    <row r="126">
      <c r="A126" s="143">
        <f>IFERROR(__xludf.DUMMYFUNCTION("""COMPUTED_VALUE"""),42613.0)</f>
        <v>42613</v>
      </c>
      <c r="B126" s="140">
        <f>IFERROR(__xludf.DUMMYFUNCTION("""COMPUTED_VALUE"""),363958.0)</f>
        <v>363958</v>
      </c>
      <c r="C126" s="140" t="str">
        <f>IFERROR(__xludf.DUMMYFUNCTION("""COMPUTED_VALUE"""),"")</f>
        <v/>
      </c>
      <c r="D126" t="str">
        <f>IFERROR(__xludf.DUMMYFUNCTION("""COMPUTED_VALUE"""),"TJ Walker")</f>
        <v>TJ Walker</v>
      </c>
      <c r="E126" t="str">
        <f>IFERROR(__xludf.DUMMYFUNCTION("""COMPUTED_VALUE"""),"Redundant")</f>
        <v>Redundant</v>
      </c>
      <c r="F126" t="str">
        <f>IFERROR(__xludf.DUMMYFUNCTION("""COMPUTED_VALUE"""),"Soft Skills")</f>
        <v>Soft Skills</v>
      </c>
      <c r="G126" s="140">
        <f>IFERROR(__xludf.DUMMYFUNCTION("""COMPUTED_VALUE"""),206886.0)</f>
        <v>206886</v>
      </c>
      <c r="H126" s="140" t="str">
        <f>IFERROR(__xludf.DUMMYFUNCTION("""COMPUTED_VALUE"""),"")</f>
        <v/>
      </c>
    </row>
    <row r="127">
      <c r="A127" s="143">
        <f>IFERROR(__xludf.DUMMYFUNCTION("""COMPUTED_VALUE"""),42613.0)</f>
        <v>42613</v>
      </c>
      <c r="B127" s="140">
        <f>IFERROR(__xludf.DUMMYFUNCTION("""COMPUTED_VALUE"""),28375.0)</f>
        <v>28375</v>
      </c>
      <c r="C127" s="140" t="str">
        <f>IFERROR(__xludf.DUMMYFUNCTION("""COMPUTED_VALUE"""),"")</f>
        <v/>
      </c>
      <c r="D127" t="str">
        <f>IFERROR(__xludf.DUMMYFUNCTION("""COMPUTED_VALUE"""),"Simon Sez IT")</f>
        <v>Simon Sez IT</v>
      </c>
      <c r="E127" t="str">
        <f>IFERROR(__xludf.DUMMYFUNCTION("""COMPUTED_VALUE"""),"Below Quality Standards")</f>
        <v>Below Quality Standards</v>
      </c>
      <c r="F127" t="str">
        <f>IFERROR(__xludf.DUMMYFUNCTION("""COMPUTED_VALUE"""),"Office Productivity")</f>
        <v>Office Productivity</v>
      </c>
      <c r="G127" s="140">
        <f>IFERROR(__xludf.DUMMYFUNCTION("""COMPUTED_VALUE"""),506788.0)</f>
        <v>506788</v>
      </c>
      <c r="H127" s="140" t="str">
        <f>IFERROR(__xludf.DUMMYFUNCTION("""COMPUTED_VALUE"""),"")</f>
        <v/>
      </c>
    </row>
    <row r="128">
      <c r="A128" s="143">
        <f>IFERROR(__xludf.DUMMYFUNCTION("""COMPUTED_VALUE"""),42613.0)</f>
        <v>42613</v>
      </c>
      <c r="B128" s="140">
        <f>IFERROR(__xludf.DUMMYFUNCTION("""COMPUTED_VALUE"""),28501.0)</f>
        <v>28501</v>
      </c>
      <c r="C128" s="140" t="str">
        <f>IFERROR(__xludf.DUMMYFUNCTION("""COMPUTED_VALUE"""),"")</f>
        <v/>
      </c>
      <c r="D128" t="str">
        <f>IFERROR(__xludf.DUMMYFUNCTION("""COMPUTED_VALUE"""),"Simon Sez IT")</f>
        <v>Simon Sez IT</v>
      </c>
      <c r="E128" t="str">
        <f>IFERROR(__xludf.DUMMYFUNCTION("""COMPUTED_VALUE"""),"Redundant")</f>
        <v>Redundant</v>
      </c>
      <c r="F128" t="str">
        <f>IFERROR(__xludf.DUMMYFUNCTION("""COMPUTED_VALUE"""),"Office Productivity")</f>
        <v>Office Productivity</v>
      </c>
      <c r="G128" s="140">
        <f>IFERROR(__xludf.DUMMYFUNCTION("""COMPUTED_VALUE"""),506788.0)</f>
        <v>506788</v>
      </c>
      <c r="H128" s="140" t="str">
        <f>IFERROR(__xludf.DUMMYFUNCTION("""COMPUTED_VALUE"""),"")</f>
        <v/>
      </c>
    </row>
    <row r="129">
      <c r="A129" s="143">
        <f>IFERROR(__xludf.DUMMYFUNCTION("""COMPUTED_VALUE"""),42613.0)</f>
        <v>42613</v>
      </c>
      <c r="B129" s="140">
        <f>IFERROR(__xludf.DUMMYFUNCTION("""COMPUTED_VALUE"""),49657.0)</f>
        <v>49657</v>
      </c>
      <c r="C129" s="140" t="str">
        <f>IFERROR(__xludf.DUMMYFUNCTION("""COMPUTED_VALUE"""),"")</f>
        <v/>
      </c>
      <c r="D129" t="str">
        <f>IFERROR(__xludf.DUMMYFUNCTION("""COMPUTED_VALUE"""),"CompuWorks Trainers")</f>
        <v>CompuWorks Trainers</v>
      </c>
      <c r="E129" t="str">
        <f>IFERROR(__xludf.DUMMYFUNCTION("""COMPUTED_VALUE"""),"Redundant")</f>
        <v>Redundant</v>
      </c>
      <c r="F129" t="str">
        <f>IFERROR(__xludf.DUMMYFUNCTION("""COMPUTED_VALUE"""),"Office Productivity")</f>
        <v>Office Productivity</v>
      </c>
      <c r="G129" s="140">
        <f>IFERROR(__xludf.DUMMYFUNCTION("""COMPUTED_VALUE"""),506788.0)</f>
        <v>506788</v>
      </c>
      <c r="H129" s="140" t="str">
        <f>IFERROR(__xludf.DUMMYFUNCTION("""COMPUTED_VALUE"""),"")</f>
        <v/>
      </c>
    </row>
    <row r="130">
      <c r="A130" s="143">
        <f>IFERROR(__xludf.DUMMYFUNCTION("""COMPUTED_VALUE"""),42613.0)</f>
        <v>42613</v>
      </c>
      <c r="B130" s="140">
        <f>IFERROR(__xludf.DUMMYFUNCTION("""COMPUTED_VALUE"""),50377.0)</f>
        <v>50377</v>
      </c>
      <c r="C130" s="140" t="str">
        <f>IFERROR(__xludf.DUMMYFUNCTION("""COMPUTED_VALUE"""),"")</f>
        <v/>
      </c>
      <c r="D130" t="str">
        <f>IFERROR(__xludf.DUMMYFUNCTION("""COMPUTED_VALUE"""),"CompuWorks Trainers")</f>
        <v>CompuWorks Trainers</v>
      </c>
      <c r="E130" t="str">
        <f>IFERROR(__xludf.DUMMYFUNCTION("""COMPUTED_VALUE"""),"Redundant")</f>
        <v>Redundant</v>
      </c>
      <c r="F130" t="str">
        <f>IFERROR(__xludf.DUMMYFUNCTION("""COMPUTED_VALUE"""),"Office Productivity")</f>
        <v>Office Productivity</v>
      </c>
      <c r="G130" s="140">
        <f>IFERROR(__xludf.DUMMYFUNCTION("""COMPUTED_VALUE"""),506788.0)</f>
        <v>506788</v>
      </c>
      <c r="H130" s="140" t="str">
        <f>IFERROR(__xludf.DUMMYFUNCTION("""COMPUTED_VALUE"""),"")</f>
        <v/>
      </c>
    </row>
    <row r="131">
      <c r="A131" s="143">
        <f>IFERROR(__xludf.DUMMYFUNCTION("""COMPUTED_VALUE"""),42613.0)</f>
        <v>42613</v>
      </c>
      <c r="B131" s="140">
        <f>IFERROR(__xludf.DUMMYFUNCTION("""COMPUTED_VALUE"""),50431.0)</f>
        <v>50431</v>
      </c>
      <c r="C131" s="140" t="str">
        <f>IFERROR(__xludf.DUMMYFUNCTION("""COMPUTED_VALUE"""),"")</f>
        <v/>
      </c>
      <c r="D131" t="str">
        <f>IFERROR(__xludf.DUMMYFUNCTION("""COMPUTED_VALUE"""),"CompuWorks Trainers")</f>
        <v>CompuWorks Trainers</v>
      </c>
      <c r="E131" t="str">
        <f>IFERROR(__xludf.DUMMYFUNCTION("""COMPUTED_VALUE"""),"Below Quality Standards")</f>
        <v>Below Quality Standards</v>
      </c>
      <c r="F131" t="str">
        <f>IFERROR(__xludf.DUMMYFUNCTION("""COMPUTED_VALUE"""),"Office Productivity")</f>
        <v>Office Productivity</v>
      </c>
      <c r="G131" s="140">
        <f>IFERROR(__xludf.DUMMYFUNCTION("""COMPUTED_VALUE"""),506788.0)</f>
        <v>506788</v>
      </c>
      <c r="H131" s="140" t="str">
        <f>IFERROR(__xludf.DUMMYFUNCTION("""COMPUTED_VALUE"""),"")</f>
        <v/>
      </c>
    </row>
    <row r="132">
      <c r="A132" s="143">
        <f>IFERROR(__xludf.DUMMYFUNCTION("""COMPUTED_VALUE"""),42613.0)</f>
        <v>42613</v>
      </c>
      <c r="B132" s="140">
        <f>IFERROR(__xludf.DUMMYFUNCTION("""COMPUTED_VALUE"""),338792.0)</f>
        <v>338792</v>
      </c>
      <c r="C132" s="140" t="str">
        <f>IFERROR(__xludf.DUMMYFUNCTION("""COMPUTED_VALUE"""),"")</f>
        <v/>
      </c>
      <c r="D132" t="str">
        <f>IFERROR(__xludf.DUMMYFUNCTION("""COMPUTED_VALUE"""),"TJ Walker")</f>
        <v>TJ Walker</v>
      </c>
      <c r="E132" t="str">
        <f>IFERROR(__xludf.DUMMYFUNCTION("""COMPUTED_VALUE"""),"Redundant")</f>
        <v>Redundant</v>
      </c>
      <c r="F132" t="str">
        <f>IFERROR(__xludf.DUMMYFUNCTION("""COMPUTED_VALUE"""),"Soft Skills")</f>
        <v>Soft Skills</v>
      </c>
      <c r="G132" s="140">
        <f>IFERROR(__xludf.DUMMYFUNCTION("""COMPUTED_VALUE"""),224138.0)</f>
        <v>224138</v>
      </c>
      <c r="H132" s="140" t="str">
        <f>IFERROR(__xludf.DUMMYFUNCTION("""COMPUTED_VALUE"""),"")</f>
        <v/>
      </c>
    </row>
    <row r="133">
      <c r="A133" s="143">
        <f>IFERROR(__xludf.DUMMYFUNCTION("""COMPUTED_VALUE"""),42613.0)</f>
        <v>42613</v>
      </c>
      <c r="B133" s="140">
        <f>IFERROR(__xludf.DUMMYFUNCTION("""COMPUTED_VALUE"""),106898.0)</f>
        <v>106898</v>
      </c>
      <c r="C133" s="140" t="str">
        <f>IFERROR(__xludf.DUMMYFUNCTION("""COMPUTED_VALUE"""),"")</f>
        <v/>
      </c>
      <c r="D133" t="str">
        <f>IFERROR(__xludf.DUMMYFUNCTION("""COMPUTED_VALUE"""),"3D BUZZ Programming and Digital Art training")</f>
        <v>3D BUZZ Programming and Digital Art training</v>
      </c>
      <c r="E133" t="str">
        <f>IFERROR(__xludf.DUMMYFUNCTION("""COMPUTED_VALUE"""),"Redundant")</f>
        <v>Redundant</v>
      </c>
      <c r="F133" t="str">
        <f>IFERROR(__xludf.DUMMYFUNCTION("""COMPUTED_VALUE"""),"Design")</f>
        <v>Design</v>
      </c>
      <c r="G133" s="140">
        <f>IFERROR(__xludf.DUMMYFUNCTION("""COMPUTED_VALUE"""),1178124.0)</f>
        <v>1178124</v>
      </c>
      <c r="H133" s="140" t="str">
        <f>IFERROR(__xludf.DUMMYFUNCTION("""COMPUTED_VALUE"""),"")</f>
        <v/>
      </c>
    </row>
    <row r="134">
      <c r="A134" s="143">
        <f>IFERROR(__xludf.DUMMYFUNCTION("""COMPUTED_VALUE"""),42613.0)</f>
        <v>42613</v>
      </c>
      <c r="B134" s="140">
        <f>IFERROR(__xludf.DUMMYFUNCTION("""COMPUTED_VALUE"""),125330.0)</f>
        <v>125330</v>
      </c>
      <c r="C134" s="140" t="str">
        <f>IFERROR(__xludf.DUMMYFUNCTION("""COMPUTED_VALUE"""),"")</f>
        <v/>
      </c>
      <c r="D134" t="str">
        <f>IFERROR(__xludf.DUMMYFUNCTION("""COMPUTED_VALUE"""),"3D BUZZ Programming and Digital Art training")</f>
        <v>3D BUZZ Programming and Digital Art training</v>
      </c>
      <c r="E134" t="str">
        <f>IFERROR(__xludf.DUMMYFUNCTION("""COMPUTED_VALUE"""),"Redundant")</f>
        <v>Redundant</v>
      </c>
      <c r="F134" t="str">
        <f>IFERROR(__xludf.DUMMYFUNCTION("""COMPUTED_VALUE"""),"Design")</f>
        <v>Design</v>
      </c>
      <c r="G134" s="140">
        <f>IFERROR(__xludf.DUMMYFUNCTION("""COMPUTED_VALUE"""),1178124.0)</f>
        <v>1178124</v>
      </c>
      <c r="H134" s="140" t="str">
        <f>IFERROR(__xludf.DUMMYFUNCTION("""COMPUTED_VALUE"""),"")</f>
        <v/>
      </c>
    </row>
    <row r="135">
      <c r="A135" s="143">
        <f>IFERROR(__xludf.DUMMYFUNCTION("""COMPUTED_VALUE"""),42613.0)</f>
        <v>42613</v>
      </c>
      <c r="B135" s="140">
        <f>IFERROR(__xludf.DUMMYFUNCTION("""COMPUTED_VALUE"""),481566.0)</f>
        <v>481566</v>
      </c>
      <c r="C135" s="140" t="str">
        <f>IFERROR(__xludf.DUMMYFUNCTION("""COMPUTED_VALUE"""),"")</f>
        <v/>
      </c>
      <c r="D135" t="str">
        <f>IFERROR(__xludf.DUMMYFUNCTION("""COMPUTED_VALUE"""),"3D BUZZ Programming and Digital Art training")</f>
        <v>3D BUZZ Programming and Digital Art training</v>
      </c>
      <c r="E135" t="str">
        <f>IFERROR(__xludf.DUMMYFUNCTION("""COMPUTED_VALUE"""),"Redundant")</f>
        <v>Redundant</v>
      </c>
      <c r="F135" t="str">
        <f>IFERROR(__xludf.DUMMYFUNCTION("""COMPUTED_VALUE"""),"Design")</f>
        <v>Design</v>
      </c>
      <c r="G135" s="140">
        <f>IFERROR(__xludf.DUMMYFUNCTION("""COMPUTED_VALUE"""),1178124.0)</f>
        <v>1178124</v>
      </c>
      <c r="H135" s="140" t="str">
        <f>IFERROR(__xludf.DUMMYFUNCTION("""COMPUTED_VALUE"""),"")</f>
        <v/>
      </c>
    </row>
    <row r="136">
      <c r="A136" s="143">
        <f>IFERROR(__xludf.DUMMYFUNCTION("""COMPUTED_VALUE"""),42613.0)</f>
        <v>42613</v>
      </c>
      <c r="B136" s="140">
        <f>IFERROR(__xludf.DUMMYFUNCTION("""COMPUTED_VALUE"""),608034.0)</f>
        <v>608034</v>
      </c>
      <c r="C136" s="140" t="str">
        <f>IFERROR(__xludf.DUMMYFUNCTION("""COMPUTED_VALUE"""),"")</f>
        <v/>
      </c>
      <c r="D136" t="str">
        <f>IFERROR(__xludf.DUMMYFUNCTION("""COMPUTED_VALUE"""),"LearnToProgram, Inc.")</f>
        <v>LearnToProgram, Inc.</v>
      </c>
      <c r="E136" t="str">
        <f>IFERROR(__xludf.DUMMYFUNCTION("""COMPUTED_VALUE"""),"Redundant")</f>
        <v>Redundant</v>
      </c>
      <c r="F136" t="str">
        <f>IFERROR(__xludf.DUMMYFUNCTION("""COMPUTED_VALUE"""),"Design")</f>
        <v>Design</v>
      </c>
      <c r="G136" s="140">
        <f>IFERROR(__xludf.DUMMYFUNCTION("""COMPUTED_VALUE"""),1178124.0)</f>
        <v>1178124</v>
      </c>
      <c r="H136" s="140" t="str">
        <f>IFERROR(__xludf.DUMMYFUNCTION("""COMPUTED_VALUE"""),"")</f>
        <v/>
      </c>
    </row>
    <row r="137">
      <c r="A137" s="143">
        <f>IFERROR(__xludf.DUMMYFUNCTION("""COMPUTED_VALUE"""),42613.0)</f>
        <v>42613</v>
      </c>
      <c r="B137" s="140">
        <f>IFERROR(__xludf.DUMMYFUNCTION("""COMPUTED_VALUE"""),94812.0)</f>
        <v>94812</v>
      </c>
      <c r="C137" s="140" t="str">
        <f>IFERROR(__xludf.DUMMYFUNCTION("""COMPUTED_VALUE"""),"")</f>
        <v/>
      </c>
      <c r="D137" t="str">
        <f>IFERROR(__xludf.DUMMYFUNCTION("""COMPUTED_VALUE"""),"Eduonix Learning Solutions")</f>
        <v>Eduonix Learning Solutions</v>
      </c>
      <c r="E137" t="str">
        <f>IFERROR(__xludf.DUMMYFUNCTION("""COMPUTED_VALUE"""),"Below Quality Standards")</f>
        <v>Below Quality Standards</v>
      </c>
      <c r="F137" t="str">
        <f>IFERROR(__xludf.DUMMYFUNCTION("""COMPUTED_VALUE"""),"Back-End Programming")</f>
        <v>Back-End Programming</v>
      </c>
      <c r="G137" s="140">
        <f>IFERROR(__xludf.DUMMYFUNCTION("""COMPUTED_VALUE"""),266252.0)</f>
        <v>266252</v>
      </c>
      <c r="H137" s="140" t="str">
        <f>IFERROR(__xludf.DUMMYFUNCTION("""COMPUTED_VALUE"""),"")</f>
        <v/>
      </c>
      <c r="I137" s="142" t="str">
        <f>IFERROR(__xludf.DUMMYFUNCTION("""COMPUTED_VALUE"""),"785066")</f>
        <v>785066</v>
      </c>
      <c r="J137" t="str">
        <f>IFERROR(__xludf.DUMMYFUNCTION("""COMPUTED_VALUE"""),"The Complete MySQL Developer Course")</f>
        <v>The Complete MySQL Developer Course</v>
      </c>
    </row>
    <row r="138">
      <c r="A138" s="143">
        <f>IFERROR(__xludf.DUMMYFUNCTION("""COMPUTED_VALUE"""),42613.0)</f>
        <v>42613</v>
      </c>
      <c r="B138" s="140">
        <f>IFERROR(__xludf.DUMMYFUNCTION("""COMPUTED_VALUE"""),538144.0)</f>
        <v>538144</v>
      </c>
      <c r="C138" s="140" t="str">
        <f>IFERROR(__xludf.DUMMYFUNCTION("""COMPUTED_VALUE"""),"")</f>
        <v/>
      </c>
      <c r="D138" t="str">
        <f>IFERROR(__xludf.DUMMYFUNCTION("""COMPUTED_VALUE"""),"OSTraining LLC")</f>
        <v>OSTraining LLC</v>
      </c>
      <c r="E138" t="str">
        <f>IFERROR(__xludf.DUMMYFUNCTION("""COMPUTED_VALUE"""),"Redundant")</f>
        <v>Redundant</v>
      </c>
      <c r="F138" t="str">
        <f>IFERROR(__xludf.DUMMYFUNCTION("""COMPUTED_VALUE"""),"Content Management")</f>
        <v>Content Management</v>
      </c>
      <c r="G138" s="140">
        <f>IFERROR(__xludf.DUMMYFUNCTION("""COMPUTED_VALUE"""),271228.0)</f>
        <v>271228</v>
      </c>
      <c r="H138" s="140" t="str">
        <f>IFERROR(__xludf.DUMMYFUNCTION("""COMPUTED_VALUE"""),"")</f>
        <v/>
      </c>
    </row>
    <row r="139">
      <c r="A139" s="143">
        <f>IFERROR(__xludf.DUMMYFUNCTION("""COMPUTED_VALUE"""),42613.0)</f>
        <v>42613</v>
      </c>
      <c r="B139" s="140">
        <f>IFERROR(__xludf.DUMMYFUNCTION("""COMPUTED_VALUE"""),343316.0)</f>
        <v>343316</v>
      </c>
      <c r="C139" s="140" t="str">
        <f>IFERROR(__xludf.DUMMYFUNCTION("""COMPUTED_VALUE"""),"")</f>
        <v/>
      </c>
      <c r="D139" t="str">
        <f>IFERROR(__xludf.DUMMYFUNCTION("""COMPUTED_VALUE"""),"TJ Walker")</f>
        <v>TJ Walker</v>
      </c>
      <c r="E139" t="str">
        <f>IFERROR(__xludf.DUMMYFUNCTION("""COMPUTED_VALUE"""),"Redundant")</f>
        <v>Redundant</v>
      </c>
      <c r="F139" t="str">
        <f>IFERROR(__xludf.DUMMYFUNCTION("""COMPUTED_VALUE"""),"Soft Skills")</f>
        <v>Soft Skills</v>
      </c>
      <c r="G139" s="140">
        <f>IFERROR(__xludf.DUMMYFUNCTION("""COMPUTED_VALUE"""),281634.0)</f>
        <v>281634</v>
      </c>
      <c r="H139" s="140" t="str">
        <f>IFERROR(__xludf.DUMMYFUNCTION("""COMPUTED_VALUE"""),"")</f>
        <v/>
      </c>
    </row>
    <row r="140">
      <c r="A140" s="143">
        <f>IFERROR(__xludf.DUMMYFUNCTION("""COMPUTED_VALUE"""),42613.0)</f>
        <v>42613</v>
      </c>
      <c r="B140" s="140">
        <f>IFERROR(__xludf.DUMMYFUNCTION("""COMPUTED_VALUE"""),690454.0)</f>
        <v>690454</v>
      </c>
      <c r="C140" s="140" t="str">
        <f>IFERROR(__xludf.DUMMYFUNCTION("""COMPUTED_VALUE"""),"")</f>
        <v/>
      </c>
      <c r="D140" t="str">
        <f>IFERROR(__xludf.DUMMYFUNCTION("""COMPUTED_VALUE"""),"TJ Walker")</f>
        <v>TJ Walker</v>
      </c>
      <c r="E140" t="str">
        <f>IFERROR(__xludf.DUMMYFUNCTION("""COMPUTED_VALUE"""),"Redundant")</f>
        <v>Redundant</v>
      </c>
      <c r="F140" t="str">
        <f>IFERROR(__xludf.DUMMYFUNCTION("""COMPUTED_VALUE"""),"Soft Skills")</f>
        <v>Soft Skills</v>
      </c>
      <c r="G140" s="140">
        <f>IFERROR(__xludf.DUMMYFUNCTION("""COMPUTED_VALUE"""),281634.0)</f>
        <v>281634</v>
      </c>
      <c r="H140" s="140" t="str">
        <f>IFERROR(__xludf.DUMMYFUNCTION("""COMPUTED_VALUE"""),"")</f>
        <v/>
      </c>
    </row>
    <row r="141">
      <c r="A141" s="143">
        <f>IFERROR(__xludf.DUMMYFUNCTION("""COMPUTED_VALUE"""),42613.0)</f>
        <v>42613</v>
      </c>
      <c r="B141" s="140">
        <f>IFERROR(__xludf.DUMMYFUNCTION("""COMPUTED_VALUE"""),363998.0)</f>
        <v>363998</v>
      </c>
      <c r="C141" s="140" t="str">
        <f>IFERROR(__xludf.DUMMYFUNCTION("""COMPUTED_VALUE"""),"")</f>
        <v/>
      </c>
      <c r="D141" t="str">
        <f>IFERROR(__xludf.DUMMYFUNCTION("""COMPUTED_VALUE"""),"TJ Walker")</f>
        <v>TJ Walker</v>
      </c>
      <c r="E141" t="str">
        <f>IFERROR(__xludf.DUMMYFUNCTION("""COMPUTED_VALUE"""),"Redundant")</f>
        <v>Redundant</v>
      </c>
      <c r="F141" t="str">
        <f>IFERROR(__xludf.DUMMYFUNCTION("""COMPUTED_VALUE"""),"Marketing")</f>
        <v>Marketing</v>
      </c>
      <c r="G141" s="140">
        <f>IFERROR(__xludf.DUMMYFUNCTION("""COMPUTED_VALUE"""),296403.0)</f>
        <v>296403</v>
      </c>
      <c r="H141" s="140" t="str">
        <f>IFERROR(__xludf.DUMMYFUNCTION("""COMPUTED_VALUE"""),"")</f>
        <v/>
      </c>
    </row>
    <row r="142">
      <c r="A142" s="143">
        <f>IFERROR(__xludf.DUMMYFUNCTION("""COMPUTED_VALUE"""),42613.0)</f>
        <v>42613</v>
      </c>
      <c r="B142" s="140">
        <f>IFERROR(__xludf.DUMMYFUNCTION("""COMPUTED_VALUE"""),343204.0)</f>
        <v>343204</v>
      </c>
      <c r="C142" s="140" t="str">
        <f>IFERROR(__xludf.DUMMYFUNCTION("""COMPUTED_VALUE"""),"")</f>
        <v/>
      </c>
      <c r="D142" t="str">
        <f>IFERROR(__xludf.DUMMYFUNCTION("""COMPUTED_VALUE"""),"TJ Walker")</f>
        <v>TJ Walker</v>
      </c>
      <c r="E142" t="str">
        <f>IFERROR(__xludf.DUMMYFUNCTION("""COMPUTED_VALUE"""),"Redundant")</f>
        <v>Redundant</v>
      </c>
      <c r="F142" t="str">
        <f>IFERROR(__xludf.DUMMYFUNCTION("""COMPUTED_VALUE"""),"Soft Skills")</f>
        <v>Soft Skills</v>
      </c>
      <c r="G142" s="140">
        <f>IFERROR(__xludf.DUMMYFUNCTION("""COMPUTED_VALUE"""),296403.0)</f>
        <v>296403</v>
      </c>
      <c r="H142" s="140" t="str">
        <f>IFERROR(__xludf.DUMMYFUNCTION("""COMPUTED_VALUE"""),"")</f>
        <v/>
      </c>
    </row>
    <row r="143">
      <c r="A143" s="143">
        <f>IFERROR(__xludf.DUMMYFUNCTION("""COMPUTED_VALUE"""),42613.0)</f>
        <v>42613</v>
      </c>
      <c r="B143" s="140">
        <f>IFERROR(__xludf.DUMMYFUNCTION("""COMPUTED_VALUE"""),362470.0)</f>
        <v>362470</v>
      </c>
      <c r="C143" s="140" t="str">
        <f>IFERROR(__xludf.DUMMYFUNCTION("""COMPUTED_VALUE"""),"")</f>
        <v/>
      </c>
      <c r="D143" t="str">
        <f>IFERROR(__xludf.DUMMYFUNCTION("""COMPUTED_VALUE"""),"TJ Walker")</f>
        <v>TJ Walker</v>
      </c>
      <c r="E143" t="str">
        <f>IFERROR(__xludf.DUMMYFUNCTION("""COMPUTED_VALUE"""),"Redundant")</f>
        <v>Redundant</v>
      </c>
      <c r="F143" t="str">
        <f>IFERROR(__xludf.DUMMYFUNCTION("""COMPUTED_VALUE"""),"Soft Skills")</f>
        <v>Soft Skills</v>
      </c>
      <c r="G143" s="140">
        <f>IFERROR(__xludf.DUMMYFUNCTION("""COMPUTED_VALUE"""),296403.0)</f>
        <v>296403</v>
      </c>
      <c r="H143" s="140" t="str">
        <f>IFERROR(__xludf.DUMMYFUNCTION("""COMPUTED_VALUE"""),"")</f>
        <v/>
      </c>
    </row>
    <row r="144">
      <c r="A144" s="143">
        <f>IFERROR(__xludf.DUMMYFUNCTION("""COMPUTED_VALUE"""),42613.0)</f>
        <v>42613</v>
      </c>
      <c r="B144" s="140">
        <f>IFERROR(__xludf.DUMMYFUNCTION("""COMPUTED_VALUE"""),363218.0)</f>
        <v>363218</v>
      </c>
      <c r="C144" s="140" t="str">
        <f>IFERROR(__xludf.DUMMYFUNCTION("""COMPUTED_VALUE"""),"")</f>
        <v/>
      </c>
      <c r="D144" t="str">
        <f>IFERROR(__xludf.DUMMYFUNCTION("""COMPUTED_VALUE"""),"TJ Walker")</f>
        <v>TJ Walker</v>
      </c>
      <c r="E144" t="str">
        <f>IFERROR(__xludf.DUMMYFUNCTION("""COMPUTED_VALUE"""),"Redundant")</f>
        <v>Redundant</v>
      </c>
      <c r="F144" t="str">
        <f>IFERROR(__xludf.DUMMYFUNCTION("""COMPUTED_VALUE"""),"Soft Skills")</f>
        <v>Soft Skills</v>
      </c>
      <c r="G144" s="140">
        <f>IFERROR(__xludf.DUMMYFUNCTION("""COMPUTED_VALUE"""),296403.0)</f>
        <v>296403</v>
      </c>
      <c r="H144" s="140" t="str">
        <f>IFERROR(__xludf.DUMMYFUNCTION("""COMPUTED_VALUE"""),"")</f>
        <v/>
      </c>
    </row>
    <row r="145">
      <c r="A145" s="143">
        <f>IFERROR(__xludf.DUMMYFUNCTION("""COMPUTED_VALUE"""),42613.0)</f>
        <v>42613</v>
      </c>
      <c r="B145" s="140">
        <f>IFERROR(__xludf.DUMMYFUNCTION("""COMPUTED_VALUE"""),363252.0)</f>
        <v>363252</v>
      </c>
      <c r="C145" s="140" t="str">
        <f>IFERROR(__xludf.DUMMYFUNCTION("""COMPUTED_VALUE"""),"")</f>
        <v/>
      </c>
      <c r="D145" t="str">
        <f>IFERROR(__xludf.DUMMYFUNCTION("""COMPUTED_VALUE"""),"TJ Walker")</f>
        <v>TJ Walker</v>
      </c>
      <c r="E145" t="str">
        <f>IFERROR(__xludf.DUMMYFUNCTION("""COMPUTED_VALUE"""),"Redundant")</f>
        <v>Redundant</v>
      </c>
      <c r="F145" t="str">
        <f>IFERROR(__xludf.DUMMYFUNCTION("""COMPUTED_VALUE"""),"Soft Skills")</f>
        <v>Soft Skills</v>
      </c>
      <c r="G145" s="140">
        <f>IFERROR(__xludf.DUMMYFUNCTION("""COMPUTED_VALUE"""),296403.0)</f>
        <v>296403</v>
      </c>
      <c r="H145" s="140" t="str">
        <f>IFERROR(__xludf.DUMMYFUNCTION("""COMPUTED_VALUE"""),"")</f>
        <v/>
      </c>
    </row>
    <row r="146">
      <c r="A146" s="143">
        <f>IFERROR(__xludf.DUMMYFUNCTION("""COMPUTED_VALUE"""),42613.0)</f>
        <v>42613</v>
      </c>
      <c r="B146" s="140">
        <f>IFERROR(__xludf.DUMMYFUNCTION("""COMPUTED_VALUE"""),16417.0)</f>
        <v>16417</v>
      </c>
      <c r="C146" s="140" t="str">
        <f>IFERROR(__xludf.DUMMYFUNCTION("""COMPUTED_VALUE"""),"")</f>
        <v/>
      </c>
      <c r="D146" t="str">
        <f>IFERROR(__xludf.DUMMYFUNCTION("""COMPUTED_VALUE"""),"OSTraining LLC")</f>
        <v>OSTraining LLC</v>
      </c>
      <c r="E146" t="str">
        <f>IFERROR(__xludf.DUMMYFUNCTION("""COMPUTED_VALUE"""),"Below Quality Standards")</f>
        <v>Below Quality Standards</v>
      </c>
      <c r="F146" t="str">
        <f>IFERROR(__xludf.DUMMYFUNCTION("""COMPUTED_VALUE"""),"Content Management")</f>
        <v>Content Management</v>
      </c>
      <c r="G146" s="140">
        <f>IFERROR(__xludf.DUMMYFUNCTION("""COMPUTED_VALUE"""),297390.0)</f>
        <v>297390</v>
      </c>
      <c r="H146" s="140" t="str">
        <f>IFERROR(__xludf.DUMMYFUNCTION("""COMPUTED_VALUE"""),"")</f>
        <v/>
      </c>
    </row>
    <row r="147">
      <c r="A147" s="143">
        <f>IFERROR(__xludf.DUMMYFUNCTION("""COMPUTED_VALUE"""),42613.0)</f>
        <v>42613</v>
      </c>
      <c r="B147" s="140">
        <f>IFERROR(__xludf.DUMMYFUNCTION("""COMPUTED_VALUE"""),61791.0)</f>
        <v>61791</v>
      </c>
      <c r="C147" s="140" t="str">
        <f>IFERROR(__xludf.DUMMYFUNCTION("""COMPUTED_VALUE"""),"")</f>
        <v/>
      </c>
      <c r="D147" t="str">
        <f>IFERROR(__xludf.DUMMYFUNCTION("""COMPUTED_VALUE"""),"CompuWorks Trainers")</f>
        <v>CompuWorks Trainers</v>
      </c>
      <c r="E147" t="str">
        <f>IFERROR(__xludf.DUMMYFUNCTION("""COMPUTED_VALUE"""),"Below Quality Standards")</f>
        <v>Below Quality Standards</v>
      </c>
      <c r="F147" t="str">
        <f>IFERROR(__xludf.DUMMYFUNCTION("""COMPUTED_VALUE"""),"Content Management")</f>
        <v>Content Management</v>
      </c>
      <c r="G147" s="140">
        <f>IFERROR(__xludf.DUMMYFUNCTION("""COMPUTED_VALUE"""),297390.0)</f>
        <v>297390</v>
      </c>
      <c r="H147" s="140" t="str">
        <f>IFERROR(__xludf.DUMMYFUNCTION("""COMPUTED_VALUE"""),"")</f>
        <v/>
      </c>
    </row>
    <row r="148">
      <c r="A148" s="143">
        <f>IFERROR(__xludf.DUMMYFUNCTION("""COMPUTED_VALUE"""),42613.0)</f>
        <v>42613</v>
      </c>
      <c r="B148" s="140">
        <f>IFERROR(__xludf.DUMMYFUNCTION("""COMPUTED_VALUE"""),62095.0)</f>
        <v>62095</v>
      </c>
      <c r="C148" s="140" t="str">
        <f>IFERROR(__xludf.DUMMYFUNCTION("""COMPUTED_VALUE"""),"")</f>
        <v/>
      </c>
      <c r="D148" t="str">
        <f>IFERROR(__xludf.DUMMYFUNCTION("""COMPUTED_VALUE"""),"CompuWorks Trainers")</f>
        <v>CompuWorks Trainers</v>
      </c>
      <c r="E148" t="str">
        <f>IFERROR(__xludf.DUMMYFUNCTION("""COMPUTED_VALUE"""),"Below Quality Standards")</f>
        <v>Below Quality Standards</v>
      </c>
      <c r="F148" t="str">
        <f>IFERROR(__xludf.DUMMYFUNCTION("""COMPUTED_VALUE"""),"Content Management")</f>
        <v>Content Management</v>
      </c>
      <c r="G148" s="140">
        <f>IFERROR(__xludf.DUMMYFUNCTION("""COMPUTED_VALUE"""),297390.0)</f>
        <v>297390</v>
      </c>
      <c r="H148" s="140" t="str">
        <f>IFERROR(__xludf.DUMMYFUNCTION("""COMPUTED_VALUE"""),"")</f>
        <v/>
      </c>
    </row>
    <row r="149">
      <c r="A149" s="143">
        <f>IFERROR(__xludf.DUMMYFUNCTION("""COMPUTED_VALUE"""),42613.0)</f>
        <v>42613</v>
      </c>
      <c r="B149" s="140">
        <f>IFERROR(__xludf.DUMMYFUNCTION("""COMPUTED_VALUE"""),125324.0)</f>
        <v>125324</v>
      </c>
      <c r="C149" s="140" t="str">
        <f>IFERROR(__xludf.DUMMYFUNCTION("""COMPUTED_VALUE"""),"")</f>
        <v/>
      </c>
      <c r="D149" t="str">
        <f>IFERROR(__xludf.DUMMYFUNCTION("""COMPUTED_VALUE"""),"OSTraining LLC")</f>
        <v>OSTraining LLC</v>
      </c>
      <c r="E149" t="str">
        <f>IFERROR(__xludf.DUMMYFUNCTION("""COMPUTED_VALUE"""),"Below Quality Standards")</f>
        <v>Below Quality Standards</v>
      </c>
      <c r="F149" t="str">
        <f>IFERROR(__xludf.DUMMYFUNCTION("""COMPUTED_VALUE"""),"Content Management")</f>
        <v>Content Management</v>
      </c>
      <c r="G149" s="140">
        <f>IFERROR(__xludf.DUMMYFUNCTION("""COMPUTED_VALUE"""),297390.0)</f>
        <v>297390</v>
      </c>
      <c r="H149" s="140" t="str">
        <f>IFERROR(__xludf.DUMMYFUNCTION("""COMPUTED_VALUE"""),"")</f>
        <v/>
      </c>
    </row>
    <row r="150">
      <c r="A150" s="143">
        <f>IFERROR(__xludf.DUMMYFUNCTION("""COMPUTED_VALUE"""),42613.0)</f>
        <v>42613</v>
      </c>
      <c r="B150" s="140">
        <f>IFERROR(__xludf.DUMMYFUNCTION("""COMPUTED_VALUE"""),125678.0)</f>
        <v>125678</v>
      </c>
      <c r="C150" s="140" t="str">
        <f>IFERROR(__xludf.DUMMYFUNCTION("""COMPUTED_VALUE"""),"")</f>
        <v/>
      </c>
      <c r="D150" t="str">
        <f>IFERROR(__xludf.DUMMYFUNCTION("""COMPUTED_VALUE"""),"OSTraining LLC")</f>
        <v>OSTraining LLC</v>
      </c>
      <c r="E150" t="str">
        <f>IFERROR(__xludf.DUMMYFUNCTION("""COMPUTED_VALUE"""),"Below Quality Standards")</f>
        <v>Below Quality Standards</v>
      </c>
      <c r="F150" t="str">
        <f>IFERROR(__xludf.DUMMYFUNCTION("""COMPUTED_VALUE"""),"Content Management")</f>
        <v>Content Management</v>
      </c>
      <c r="G150" s="140">
        <f>IFERROR(__xludf.DUMMYFUNCTION("""COMPUTED_VALUE"""),297390.0)</f>
        <v>297390</v>
      </c>
      <c r="H150" s="140" t="str">
        <f>IFERROR(__xludf.DUMMYFUNCTION("""COMPUTED_VALUE"""),"")</f>
        <v/>
      </c>
    </row>
    <row r="151">
      <c r="A151" s="143">
        <f>IFERROR(__xludf.DUMMYFUNCTION("""COMPUTED_VALUE"""),42613.0)</f>
        <v>42613</v>
      </c>
      <c r="B151" s="140">
        <f>IFERROR(__xludf.DUMMYFUNCTION("""COMPUTED_VALUE"""),128684.0)</f>
        <v>128684</v>
      </c>
      <c r="C151" s="140" t="str">
        <f>IFERROR(__xludf.DUMMYFUNCTION("""COMPUTED_VALUE"""),"")</f>
        <v/>
      </c>
      <c r="D151" t="str">
        <f>IFERROR(__xludf.DUMMYFUNCTION("""COMPUTED_VALUE"""),"CompuWorks Trainers")</f>
        <v>CompuWorks Trainers</v>
      </c>
      <c r="E151" t="str">
        <f>IFERROR(__xludf.DUMMYFUNCTION("""COMPUTED_VALUE"""),"Below Quality Standards")</f>
        <v>Below Quality Standards</v>
      </c>
      <c r="F151" t="str">
        <f>IFERROR(__xludf.DUMMYFUNCTION("""COMPUTED_VALUE"""),"Content Management")</f>
        <v>Content Management</v>
      </c>
      <c r="G151" s="140">
        <f>IFERROR(__xludf.DUMMYFUNCTION("""COMPUTED_VALUE"""),297390.0)</f>
        <v>297390</v>
      </c>
      <c r="H151" s="140" t="str">
        <f>IFERROR(__xludf.DUMMYFUNCTION("""COMPUTED_VALUE"""),"")</f>
        <v/>
      </c>
    </row>
    <row r="152">
      <c r="A152" s="143">
        <f>IFERROR(__xludf.DUMMYFUNCTION("""COMPUTED_VALUE"""),42613.0)</f>
        <v>42613</v>
      </c>
      <c r="B152" s="140">
        <f>IFERROR(__xludf.DUMMYFUNCTION("""COMPUTED_VALUE"""),58950.0)</f>
        <v>58950</v>
      </c>
      <c r="C152" s="140" t="str">
        <f>IFERROR(__xludf.DUMMYFUNCTION("""COMPUTED_VALUE"""),"")</f>
        <v/>
      </c>
      <c r="D152" t="str">
        <f>IFERROR(__xludf.DUMMYFUNCTION("""COMPUTED_VALUE"""),"Rob Cubbon")</f>
        <v>Rob Cubbon</v>
      </c>
      <c r="E152" t="str">
        <f>IFERROR(__xludf.DUMMYFUNCTION("""COMPUTED_VALUE"""),"Below Quality Standards")</f>
        <v>Below Quality Standards</v>
      </c>
      <c r="F152" t="str">
        <f>IFERROR(__xludf.DUMMYFUNCTION("""COMPUTED_VALUE"""),"Marketing")</f>
        <v>Marketing</v>
      </c>
      <c r="G152" s="140">
        <f>IFERROR(__xludf.DUMMYFUNCTION("""COMPUTED_VALUE"""),573994.0)</f>
        <v>573994</v>
      </c>
      <c r="H152" s="140" t="str">
        <f>IFERROR(__xludf.DUMMYFUNCTION("""COMPUTED_VALUE"""),"")</f>
        <v/>
      </c>
    </row>
    <row r="153">
      <c r="A153" s="143">
        <f>IFERROR(__xludf.DUMMYFUNCTION("""COMPUTED_VALUE"""),42613.0)</f>
        <v>42613</v>
      </c>
      <c r="B153" s="140">
        <f>IFERROR(__xludf.DUMMYFUNCTION("""COMPUTED_VALUE"""),56244.0)</f>
        <v>56244</v>
      </c>
      <c r="C153" s="140" t="str">
        <f>IFERROR(__xludf.DUMMYFUNCTION("""COMPUTED_VALUE"""),"")</f>
        <v/>
      </c>
      <c r="D153" t="str">
        <f>IFERROR(__xludf.DUMMYFUNCTION("""COMPUTED_VALUE"""),"Learn iT! Anytime")</f>
        <v>Learn iT! Anytime</v>
      </c>
      <c r="E153" t="str">
        <f>IFERROR(__xludf.DUMMYFUNCTION("""COMPUTED_VALUE"""),"Redundant")</f>
        <v>Redundant</v>
      </c>
      <c r="F153" t="str">
        <f>IFERROR(__xludf.DUMMYFUNCTION("""COMPUTED_VALUE"""),"Front-End Programming")</f>
        <v>Front-End Programming</v>
      </c>
      <c r="G153" s="140">
        <f>IFERROR(__xludf.DUMMYFUNCTION("""COMPUTED_VALUE"""),303514.0)</f>
        <v>303514</v>
      </c>
      <c r="H153" s="140" t="str">
        <f>IFERROR(__xludf.DUMMYFUNCTION("""COMPUTED_VALUE"""),"")</f>
        <v/>
      </c>
      <c r="I153" s="142" t="str">
        <f>IFERROR(__xludf.DUMMYFUNCTION("""COMPUTED_VALUE"""),"64605")</f>
        <v>64605</v>
      </c>
      <c r="J153" t="str">
        <f>IFERROR(__xludf.DUMMYFUNCTION("""COMPUTED_VALUE"""),"1 Hour CSS")</f>
        <v>1 Hour CSS</v>
      </c>
    </row>
    <row r="154">
      <c r="A154" s="143">
        <f>IFERROR(__xludf.DUMMYFUNCTION("""COMPUTED_VALUE"""),42613.0)</f>
        <v>42613</v>
      </c>
      <c r="B154" s="140">
        <f>IFERROR(__xludf.DUMMYFUNCTION("""COMPUTED_VALUE"""),212374.0)</f>
        <v>212374</v>
      </c>
      <c r="C154" s="140" t="str">
        <f>IFERROR(__xludf.DUMMYFUNCTION("""COMPUTED_VALUE"""),"")</f>
        <v/>
      </c>
      <c r="D154" t="str">
        <f>IFERROR(__xludf.DUMMYFUNCTION("""COMPUTED_VALUE"""),"RefactorU LLC")</f>
        <v>RefactorU LLC</v>
      </c>
      <c r="E154" t="str">
        <f>IFERROR(__xludf.DUMMYFUNCTION("""COMPUTED_VALUE"""),"Below Quality Standards")</f>
        <v>Below Quality Standards</v>
      </c>
      <c r="F154" t="str">
        <f>IFERROR(__xludf.DUMMYFUNCTION("""COMPUTED_VALUE"""),"Front-End Programming")</f>
        <v>Front-End Programming</v>
      </c>
      <c r="G154" s="140">
        <f>IFERROR(__xludf.DUMMYFUNCTION("""COMPUTED_VALUE"""),303514.0)</f>
        <v>303514</v>
      </c>
      <c r="H154" s="140" t="str">
        <f>IFERROR(__xludf.DUMMYFUNCTION("""COMPUTED_VALUE"""),"")</f>
        <v/>
      </c>
      <c r="I154" s="142" t="str">
        <f>IFERROR(__xludf.DUMMYFUNCTION("""COMPUTED_VALUE"""),"64605")</f>
        <v>64605</v>
      </c>
      <c r="J154" t="str">
        <f>IFERROR(__xludf.DUMMYFUNCTION("""COMPUTED_VALUE"""),"1 Hour CSS")</f>
        <v>1 Hour CSS</v>
      </c>
    </row>
    <row r="155">
      <c r="A155" s="143">
        <f>IFERROR(__xludf.DUMMYFUNCTION("""COMPUTED_VALUE"""),42613.0)</f>
        <v>42613</v>
      </c>
      <c r="B155" s="140">
        <f>IFERROR(__xludf.DUMMYFUNCTION("""COMPUTED_VALUE"""),212378.0)</f>
        <v>212378</v>
      </c>
      <c r="C155" s="140" t="str">
        <f>IFERROR(__xludf.DUMMYFUNCTION("""COMPUTED_VALUE"""),"")</f>
        <v/>
      </c>
      <c r="D155" t="str">
        <f>IFERROR(__xludf.DUMMYFUNCTION("""COMPUTED_VALUE"""),"RefactorU LLC")</f>
        <v>RefactorU LLC</v>
      </c>
      <c r="E155" t="str">
        <f>IFERROR(__xludf.DUMMYFUNCTION("""COMPUTED_VALUE"""),"Below Quality Standards")</f>
        <v>Below Quality Standards</v>
      </c>
      <c r="F155" t="str">
        <f>IFERROR(__xludf.DUMMYFUNCTION("""COMPUTED_VALUE"""),"Front-End Programming")</f>
        <v>Front-End Programming</v>
      </c>
      <c r="G155" s="140">
        <f>IFERROR(__xludf.DUMMYFUNCTION("""COMPUTED_VALUE"""),303514.0)</f>
        <v>303514</v>
      </c>
      <c r="H155" s="140" t="str">
        <f>IFERROR(__xludf.DUMMYFUNCTION("""COMPUTED_VALUE"""),"")</f>
        <v/>
      </c>
      <c r="I155" s="142" t="str">
        <f>IFERROR(__xludf.DUMMYFUNCTION("""COMPUTED_VALUE"""),"64605")</f>
        <v>64605</v>
      </c>
      <c r="J155" t="str">
        <f>IFERROR(__xludf.DUMMYFUNCTION("""COMPUTED_VALUE"""),"1 Hour CSS")</f>
        <v>1 Hour CSS</v>
      </c>
    </row>
    <row r="156">
      <c r="A156" s="143">
        <f>IFERROR(__xludf.DUMMYFUNCTION("""COMPUTED_VALUE"""),42613.0)</f>
        <v>42613</v>
      </c>
      <c r="B156" s="140">
        <f>IFERROR(__xludf.DUMMYFUNCTION("""COMPUTED_VALUE"""),219372.0)</f>
        <v>219372</v>
      </c>
      <c r="C156" s="140" t="str">
        <f>IFERROR(__xludf.DUMMYFUNCTION("""COMPUTED_VALUE"""),"")</f>
        <v/>
      </c>
      <c r="D156" t="str">
        <f>IFERROR(__xludf.DUMMYFUNCTION("""COMPUTED_VALUE"""),"Simon Sez IT")</f>
        <v>Simon Sez IT</v>
      </c>
      <c r="E156" t="str">
        <f>IFERROR(__xludf.DUMMYFUNCTION("""COMPUTED_VALUE"""),"Below Quality Standards")</f>
        <v>Below Quality Standards</v>
      </c>
      <c r="F156" t="str">
        <f>IFERROR(__xludf.DUMMYFUNCTION("""COMPUTED_VALUE"""),"Front-End Programming")</f>
        <v>Front-End Programming</v>
      </c>
      <c r="G156" s="140">
        <f>IFERROR(__xludf.DUMMYFUNCTION("""COMPUTED_VALUE"""),303514.0)</f>
        <v>303514</v>
      </c>
      <c r="H156" s="140" t="str">
        <f>IFERROR(__xludf.DUMMYFUNCTION("""COMPUTED_VALUE"""),"")</f>
        <v/>
      </c>
      <c r="I156" s="142" t="str">
        <f>IFERROR(__xludf.DUMMYFUNCTION("""COMPUTED_VALUE"""),"64605")</f>
        <v>64605</v>
      </c>
      <c r="J156" t="str">
        <f>IFERROR(__xludf.DUMMYFUNCTION("""COMPUTED_VALUE"""),"1 Hour CSS")</f>
        <v>1 Hour CSS</v>
      </c>
    </row>
    <row r="157">
      <c r="A157" s="143">
        <f>IFERROR(__xludf.DUMMYFUNCTION("""COMPUTED_VALUE"""),42613.0)</f>
        <v>42613</v>
      </c>
      <c r="B157" s="140">
        <f>IFERROR(__xludf.DUMMYFUNCTION("""COMPUTED_VALUE"""),478224.0)</f>
        <v>478224</v>
      </c>
      <c r="C157" s="140" t="str">
        <f>IFERROR(__xludf.DUMMYFUNCTION("""COMPUTED_VALUE"""),"")</f>
        <v/>
      </c>
      <c r="D157" t="str">
        <f>IFERROR(__xludf.DUMMYFUNCTION("""COMPUTED_VALUE"""),"Eleventure Team")</f>
        <v>Eleventure Team</v>
      </c>
      <c r="E157" t="str">
        <f>IFERROR(__xludf.DUMMYFUNCTION("""COMPUTED_VALUE"""),"Redundant")</f>
        <v>Redundant</v>
      </c>
      <c r="F157" t="str">
        <f>IFERROR(__xludf.DUMMYFUNCTION("""COMPUTED_VALUE"""),"Management")</f>
        <v>Management</v>
      </c>
      <c r="G157" s="140">
        <f>IFERROR(__xludf.DUMMYFUNCTION("""COMPUTED_VALUE"""),550604.0)</f>
        <v>550604</v>
      </c>
      <c r="H157" s="140" t="str">
        <f>IFERROR(__xludf.DUMMYFUNCTION("""COMPUTED_VALUE"""),"")</f>
        <v/>
      </c>
    </row>
    <row r="158">
      <c r="A158" s="143">
        <f>IFERROR(__xludf.DUMMYFUNCTION("""COMPUTED_VALUE"""),42613.0)</f>
        <v>42613</v>
      </c>
      <c r="B158" s="140">
        <f>IFERROR(__xludf.DUMMYFUNCTION("""COMPUTED_VALUE"""),214906.0)</f>
        <v>214906</v>
      </c>
      <c r="C158" s="140" t="str">
        <f>IFERROR(__xludf.DUMMYFUNCTION("""COMPUTED_VALUE"""),"")</f>
        <v/>
      </c>
      <c r="D158" t="str">
        <f>IFERROR(__xludf.DUMMYFUNCTION("""COMPUTED_VALUE"""),"CompuWorks Trainers")</f>
        <v>CompuWorks Trainers</v>
      </c>
      <c r="E158" t="str">
        <f>IFERROR(__xludf.DUMMYFUNCTION("""COMPUTED_VALUE"""),"Redundant")</f>
        <v>Redundant</v>
      </c>
      <c r="F158" t="str">
        <f>IFERROR(__xludf.DUMMYFUNCTION("""COMPUTED_VALUE"""),"Design")</f>
        <v>Design</v>
      </c>
      <c r="G158" s="140">
        <f>IFERROR(__xludf.DUMMYFUNCTION("""COMPUTED_VALUE"""),348146.0)</f>
        <v>348146</v>
      </c>
      <c r="H158" s="140" t="str">
        <f>IFERROR(__xludf.DUMMYFUNCTION("""COMPUTED_VALUE"""),"")</f>
        <v/>
      </c>
    </row>
    <row r="159">
      <c r="A159" s="143">
        <f>IFERROR(__xludf.DUMMYFUNCTION("""COMPUTED_VALUE"""),42613.0)</f>
        <v>42613</v>
      </c>
      <c r="B159" s="140">
        <f>IFERROR(__xludf.DUMMYFUNCTION("""COMPUTED_VALUE"""),546832.0)</f>
        <v>546832</v>
      </c>
      <c r="C159" s="140" t="str">
        <f>IFERROR(__xludf.DUMMYFUNCTION("""COMPUTED_VALUE"""),"")</f>
        <v/>
      </c>
      <c r="D159" t="str">
        <f>IFERROR(__xludf.DUMMYFUNCTION("""COMPUTED_VALUE"""),"John Bura")</f>
        <v>John Bura</v>
      </c>
      <c r="E159" t="str">
        <f>IFERROR(__xludf.DUMMYFUNCTION("""COMPUTED_VALUE"""),"Redundant")</f>
        <v>Redundant</v>
      </c>
      <c r="F159" t="str">
        <f>IFERROR(__xludf.DUMMYFUNCTION("""COMPUTED_VALUE"""),"Design")</f>
        <v>Design</v>
      </c>
      <c r="G159" s="140">
        <f>IFERROR(__xludf.DUMMYFUNCTION("""COMPUTED_VALUE"""),348146.0)</f>
        <v>348146</v>
      </c>
      <c r="H159" s="140" t="str">
        <f>IFERROR(__xludf.DUMMYFUNCTION("""COMPUTED_VALUE"""),"")</f>
        <v/>
      </c>
    </row>
    <row r="160">
      <c r="A160" s="143">
        <f>IFERROR(__xludf.DUMMYFUNCTION("""COMPUTED_VALUE"""),42613.0)</f>
        <v>42613</v>
      </c>
      <c r="B160" s="140">
        <f>IFERROR(__xludf.DUMMYFUNCTION("""COMPUTED_VALUE"""),130462.0)</f>
        <v>130462</v>
      </c>
      <c r="C160" s="140" t="str">
        <f>IFERROR(__xludf.DUMMYFUNCTION("""COMPUTED_VALUE"""),"")</f>
        <v/>
      </c>
      <c r="D160" t="str">
        <f>IFERROR(__xludf.DUMMYFUNCTION("""COMPUTED_VALUE"""),"Jordan Hudgens")</f>
        <v>Jordan Hudgens</v>
      </c>
      <c r="E160" t="str">
        <f>IFERROR(__xludf.DUMMYFUNCTION("""COMPUTED_VALUE"""),"Redundant")</f>
        <v>Redundant</v>
      </c>
      <c r="F160" t="str">
        <f>IFERROR(__xludf.DUMMYFUNCTION("""COMPUTED_VALUE"""),"Office Productivity")</f>
        <v>Office Productivity</v>
      </c>
      <c r="G160" s="140">
        <f>IFERROR(__xludf.DUMMYFUNCTION("""COMPUTED_VALUE"""),348146.0)</f>
        <v>348146</v>
      </c>
      <c r="H160" s="140" t="str">
        <f>IFERROR(__xludf.DUMMYFUNCTION("""COMPUTED_VALUE"""),"")</f>
        <v/>
      </c>
    </row>
    <row r="161">
      <c r="A161" s="143">
        <f>IFERROR(__xludf.DUMMYFUNCTION("""COMPUTED_VALUE"""),42613.0)</f>
        <v>42613</v>
      </c>
      <c r="B161" s="140">
        <f>IFERROR(__xludf.DUMMYFUNCTION("""COMPUTED_VALUE"""),242886.0)</f>
        <v>242886</v>
      </c>
      <c r="C161" s="140" t="str">
        <f>IFERROR(__xludf.DUMMYFUNCTION("""COMPUTED_VALUE"""),"")</f>
        <v/>
      </c>
      <c r="D161" t="str">
        <f>IFERROR(__xludf.DUMMYFUNCTION("""COMPUTED_VALUE"""),"TJ Walker")</f>
        <v>TJ Walker</v>
      </c>
      <c r="E161" t="str">
        <f>IFERROR(__xludf.DUMMYFUNCTION("""COMPUTED_VALUE"""),"Redundant")</f>
        <v>Redundant</v>
      </c>
      <c r="F161" t="str">
        <f>IFERROR(__xludf.DUMMYFUNCTION("""COMPUTED_VALUE"""),"Soft Skills")</f>
        <v>Soft Skills</v>
      </c>
      <c r="G161" s="140">
        <f>IFERROR(__xludf.DUMMYFUNCTION("""COMPUTED_VALUE"""),348510.0)</f>
        <v>348510</v>
      </c>
      <c r="H161" s="140" t="str">
        <f>IFERROR(__xludf.DUMMYFUNCTION("""COMPUTED_VALUE"""),"")</f>
        <v/>
      </c>
    </row>
    <row r="162">
      <c r="A162" s="143">
        <f>IFERROR(__xludf.DUMMYFUNCTION("""COMPUTED_VALUE"""),42613.0)</f>
        <v>42613</v>
      </c>
      <c r="B162" s="140">
        <f>IFERROR(__xludf.DUMMYFUNCTION("""COMPUTED_VALUE"""),303056.0)</f>
        <v>303056</v>
      </c>
      <c r="C162" s="140" t="str">
        <f>IFERROR(__xludf.DUMMYFUNCTION("""COMPUTED_VALUE"""),"")</f>
        <v/>
      </c>
      <c r="D162" t="str">
        <f>IFERROR(__xludf.DUMMYFUNCTION("""COMPUTED_VALUE"""),"TJ Walker")</f>
        <v>TJ Walker</v>
      </c>
      <c r="E162" t="str">
        <f>IFERROR(__xludf.DUMMYFUNCTION("""COMPUTED_VALUE"""),"Redundant")</f>
        <v>Redundant</v>
      </c>
      <c r="F162" t="str">
        <f>IFERROR(__xludf.DUMMYFUNCTION("""COMPUTED_VALUE"""),"Soft Skills")</f>
        <v>Soft Skills</v>
      </c>
      <c r="G162" s="140">
        <f>IFERROR(__xludf.DUMMYFUNCTION("""COMPUTED_VALUE"""),348510.0)</f>
        <v>348510</v>
      </c>
      <c r="H162" s="140" t="str">
        <f>IFERROR(__xludf.DUMMYFUNCTION("""COMPUTED_VALUE"""),"")</f>
        <v/>
      </c>
    </row>
    <row r="163">
      <c r="A163" s="143">
        <f>IFERROR(__xludf.DUMMYFUNCTION("""COMPUTED_VALUE"""),42613.0)</f>
        <v>42613</v>
      </c>
      <c r="B163" s="140">
        <f>IFERROR(__xludf.DUMMYFUNCTION("""COMPUTED_VALUE"""),187928.0)</f>
        <v>187928</v>
      </c>
      <c r="C163" s="140" t="str">
        <f>IFERROR(__xludf.DUMMYFUNCTION("""COMPUTED_VALUE"""),"")</f>
        <v/>
      </c>
      <c r="D163" t="str">
        <f>IFERROR(__xludf.DUMMYFUNCTION("""COMPUTED_VALUE"""),"Sandy Ludosky")</f>
        <v>Sandy Ludosky</v>
      </c>
      <c r="E163" t="str">
        <f>IFERROR(__xludf.DUMMYFUNCTION("""COMPUTED_VALUE"""),"Below Quality Standards")</f>
        <v>Below Quality Standards</v>
      </c>
      <c r="F163" t="str">
        <f>IFERROR(__xludf.DUMMYFUNCTION("""COMPUTED_VALUE"""),"Design")</f>
        <v>Design</v>
      </c>
      <c r="G163" s="140">
        <f>IFERROR(__xludf.DUMMYFUNCTION("""COMPUTED_VALUE"""),352132.0)</f>
        <v>352132</v>
      </c>
      <c r="H163" s="140" t="str">
        <f>IFERROR(__xludf.DUMMYFUNCTION("""COMPUTED_VALUE"""),"")</f>
        <v/>
      </c>
    </row>
    <row r="164">
      <c r="A164" s="143">
        <f>IFERROR(__xludf.DUMMYFUNCTION("""COMPUTED_VALUE"""),42613.0)</f>
        <v>42613</v>
      </c>
      <c r="B164" s="140">
        <f>IFERROR(__xludf.DUMMYFUNCTION("""COMPUTED_VALUE"""),269082.0)</f>
        <v>269082</v>
      </c>
      <c r="C164" s="140" t="str">
        <f>IFERROR(__xludf.DUMMYFUNCTION("""COMPUTED_VALUE"""),"")</f>
        <v/>
      </c>
      <c r="D164" t="str">
        <f>IFERROR(__xludf.DUMMYFUNCTION("""COMPUTED_VALUE"""),"Rob Cubbon")</f>
        <v>Rob Cubbon</v>
      </c>
      <c r="E164" t="str">
        <f>IFERROR(__xludf.DUMMYFUNCTION("""COMPUTED_VALUE"""),"Below Quality Standards")</f>
        <v>Below Quality Standards</v>
      </c>
      <c r="F164" t="str">
        <f>IFERROR(__xludf.DUMMYFUNCTION("""COMPUTED_VALUE"""),"Design")</f>
        <v>Design</v>
      </c>
      <c r="G164" s="140">
        <f>IFERROR(__xludf.DUMMYFUNCTION("""COMPUTED_VALUE"""),352132.0)</f>
        <v>352132</v>
      </c>
      <c r="H164" s="140" t="str">
        <f>IFERROR(__xludf.DUMMYFUNCTION("""COMPUTED_VALUE"""),"")</f>
        <v/>
      </c>
    </row>
    <row r="165">
      <c r="A165" s="143">
        <f>IFERROR(__xludf.DUMMYFUNCTION("""COMPUTED_VALUE"""),42613.0)</f>
        <v>42613</v>
      </c>
      <c r="B165" s="140">
        <f>IFERROR(__xludf.DUMMYFUNCTION("""COMPUTED_VALUE"""),20548.0)</f>
        <v>20548</v>
      </c>
      <c r="C165" s="140" t="str">
        <f>IFERROR(__xludf.DUMMYFUNCTION("""COMPUTED_VALUE"""),"")</f>
        <v/>
      </c>
      <c r="D165" t="str">
        <f>IFERROR(__xludf.DUMMYFUNCTION("""COMPUTED_VALUE"""),"Simon Sez IT")</f>
        <v>Simon Sez IT</v>
      </c>
      <c r="E165" t="str">
        <f>IFERROR(__xludf.DUMMYFUNCTION("""COMPUTED_VALUE"""),"Low Usage + Redundant")</f>
        <v>Low Usage + Redundant</v>
      </c>
      <c r="F165" t="str">
        <f>IFERROR(__xludf.DUMMYFUNCTION("""COMPUTED_VALUE"""),"Design")</f>
        <v>Design</v>
      </c>
      <c r="G165" s="140">
        <f>IFERROR(__xludf.DUMMYFUNCTION("""COMPUTED_VALUE"""),354186.0)</f>
        <v>354186</v>
      </c>
      <c r="H165" s="140" t="str">
        <f>IFERROR(__xludf.DUMMYFUNCTION("""COMPUTED_VALUE"""),"")</f>
        <v/>
      </c>
    </row>
    <row r="166">
      <c r="A166" s="143">
        <f>IFERROR(__xludf.DUMMYFUNCTION("""COMPUTED_VALUE"""),42613.0)</f>
        <v>42613</v>
      </c>
      <c r="B166" s="140">
        <f>IFERROR(__xludf.DUMMYFUNCTION("""COMPUTED_VALUE"""),28861.0)</f>
        <v>28861</v>
      </c>
      <c r="C166" s="140" t="str">
        <f>IFERROR(__xludf.DUMMYFUNCTION("""COMPUTED_VALUE"""),"")</f>
        <v/>
      </c>
      <c r="D166" t="str">
        <f>IFERROR(__xludf.DUMMYFUNCTION("""COMPUTED_VALUE"""),"Simon Sez IT")</f>
        <v>Simon Sez IT</v>
      </c>
      <c r="E166" t="str">
        <f>IFERROR(__xludf.DUMMYFUNCTION("""COMPUTED_VALUE"""),"Low Usage + Redundant")</f>
        <v>Low Usage + Redundant</v>
      </c>
      <c r="F166" t="str">
        <f>IFERROR(__xludf.DUMMYFUNCTION("""COMPUTED_VALUE"""),"Design")</f>
        <v>Design</v>
      </c>
      <c r="G166" s="140">
        <f>IFERROR(__xludf.DUMMYFUNCTION("""COMPUTED_VALUE"""),354186.0)</f>
        <v>354186</v>
      </c>
      <c r="H166" s="140" t="str">
        <f>IFERROR(__xludf.DUMMYFUNCTION("""COMPUTED_VALUE"""),"")</f>
        <v/>
      </c>
    </row>
    <row r="167">
      <c r="A167" s="143">
        <f>IFERROR(__xludf.DUMMYFUNCTION("""COMPUTED_VALUE"""),42613.0)</f>
        <v>42613</v>
      </c>
      <c r="B167" s="140">
        <f>IFERROR(__xludf.DUMMYFUNCTION("""COMPUTED_VALUE"""),118286.0)</f>
        <v>118286</v>
      </c>
      <c r="C167" s="140" t="str">
        <f>IFERROR(__xludf.DUMMYFUNCTION("""COMPUTED_VALUE"""),"")</f>
        <v/>
      </c>
      <c r="D167" t="str">
        <f>IFERROR(__xludf.DUMMYFUNCTION("""COMPUTED_VALUE"""),"Simon Sez IT")</f>
        <v>Simon Sez IT</v>
      </c>
      <c r="E167" t="str">
        <f>IFERROR(__xludf.DUMMYFUNCTION("""COMPUTED_VALUE"""),"Low Usage + Redundant")</f>
        <v>Low Usage + Redundant</v>
      </c>
      <c r="F167" t="str">
        <f>IFERROR(__xludf.DUMMYFUNCTION("""COMPUTED_VALUE"""),"Design")</f>
        <v>Design</v>
      </c>
      <c r="G167" s="140">
        <f>IFERROR(__xludf.DUMMYFUNCTION("""COMPUTED_VALUE"""),354186.0)</f>
        <v>354186</v>
      </c>
      <c r="H167" s="140" t="str">
        <f>IFERROR(__xludf.DUMMYFUNCTION("""COMPUTED_VALUE"""),"")</f>
        <v/>
      </c>
    </row>
    <row r="168">
      <c r="A168" s="143">
        <f>IFERROR(__xludf.DUMMYFUNCTION("""COMPUTED_VALUE"""),42613.0)</f>
        <v>42613</v>
      </c>
      <c r="B168" s="140">
        <f>IFERROR(__xludf.DUMMYFUNCTION("""COMPUTED_VALUE"""),288992.0)</f>
        <v>288992</v>
      </c>
      <c r="C168" s="140" t="str">
        <f>IFERROR(__xludf.DUMMYFUNCTION("""COMPUTED_VALUE"""),"")</f>
        <v/>
      </c>
      <c r="D168" t="str">
        <f>IFERROR(__xludf.DUMMYFUNCTION("""COMPUTED_VALUE"""),"Simon Sez IT")</f>
        <v>Simon Sez IT</v>
      </c>
      <c r="E168" t="str">
        <f>IFERROR(__xludf.DUMMYFUNCTION("""COMPUTED_VALUE"""),"Below Quality Standards")</f>
        <v>Below Quality Standards</v>
      </c>
      <c r="F168" t="str">
        <f>IFERROR(__xludf.DUMMYFUNCTION("""COMPUTED_VALUE"""),"Design")</f>
        <v>Design</v>
      </c>
      <c r="G168" s="140">
        <f>IFERROR(__xludf.DUMMYFUNCTION("""COMPUTED_VALUE"""),354186.0)</f>
        <v>354186</v>
      </c>
      <c r="H168" s="140" t="str">
        <f>IFERROR(__xludf.DUMMYFUNCTION("""COMPUTED_VALUE"""),"")</f>
        <v/>
      </c>
    </row>
    <row r="169">
      <c r="A169" s="143">
        <f>IFERROR(__xludf.DUMMYFUNCTION("""COMPUTED_VALUE"""),42613.0)</f>
        <v>42613</v>
      </c>
      <c r="B169" s="140">
        <f>IFERROR(__xludf.DUMMYFUNCTION("""COMPUTED_VALUE"""),372270.0)</f>
        <v>372270</v>
      </c>
      <c r="C169" s="140" t="str">
        <f>IFERROR(__xludf.DUMMYFUNCTION("""COMPUTED_VALUE"""),"")</f>
        <v/>
      </c>
      <c r="D169" t="str">
        <f>IFERROR(__xludf.DUMMYFUNCTION("""COMPUTED_VALUE"""),"Simon Sez IT")</f>
        <v>Simon Sez IT</v>
      </c>
      <c r="E169" t="str">
        <f>IFERROR(__xludf.DUMMYFUNCTION("""COMPUTED_VALUE"""),"Redundant")</f>
        <v>Redundant</v>
      </c>
      <c r="F169" t="str">
        <f>IFERROR(__xludf.DUMMYFUNCTION("""COMPUTED_VALUE"""),"Design")</f>
        <v>Design</v>
      </c>
      <c r="G169" s="140">
        <f>IFERROR(__xludf.DUMMYFUNCTION("""COMPUTED_VALUE"""),354186.0)</f>
        <v>354186</v>
      </c>
      <c r="H169" s="140" t="str">
        <f>IFERROR(__xludf.DUMMYFUNCTION("""COMPUTED_VALUE"""),"")</f>
        <v/>
      </c>
    </row>
    <row r="170">
      <c r="A170" s="143">
        <f>IFERROR(__xludf.DUMMYFUNCTION("""COMPUTED_VALUE"""),42613.0)</f>
        <v>42613</v>
      </c>
      <c r="B170" s="140">
        <f>IFERROR(__xludf.DUMMYFUNCTION("""COMPUTED_VALUE"""),845854.0)</f>
        <v>845854</v>
      </c>
      <c r="C170" s="140" t="str">
        <f>IFERROR(__xludf.DUMMYFUNCTION("""COMPUTED_VALUE"""),"")</f>
        <v/>
      </c>
      <c r="D170" t="str">
        <f>IFERROR(__xludf.DUMMYFUNCTION("""COMPUTED_VALUE"""),"Simon Sez IT")</f>
        <v>Simon Sez IT</v>
      </c>
      <c r="E170" t="str">
        <f>IFERROR(__xludf.DUMMYFUNCTION("""COMPUTED_VALUE"""),"Low Usage + Redundant")</f>
        <v>Low Usage + Redundant</v>
      </c>
      <c r="F170" t="str">
        <f>IFERROR(__xludf.DUMMYFUNCTION("""COMPUTED_VALUE"""),"Design")</f>
        <v>Design</v>
      </c>
      <c r="G170" s="140">
        <f>IFERROR(__xludf.DUMMYFUNCTION("""COMPUTED_VALUE"""),354186.0)</f>
        <v>354186</v>
      </c>
      <c r="H170" s="140" t="str">
        <f>IFERROR(__xludf.DUMMYFUNCTION("""COMPUTED_VALUE"""),"")</f>
        <v/>
      </c>
    </row>
    <row r="171">
      <c r="A171" s="143">
        <f>IFERROR(__xludf.DUMMYFUNCTION("""COMPUTED_VALUE"""),42613.0)</f>
        <v>42613</v>
      </c>
      <c r="B171" s="140">
        <f>IFERROR(__xludf.DUMMYFUNCTION("""COMPUTED_VALUE"""),10413.0)</f>
        <v>10413</v>
      </c>
      <c r="C171" s="140" t="str">
        <f>IFERROR(__xludf.DUMMYFUNCTION("""COMPUTED_VALUE"""),"")</f>
        <v/>
      </c>
      <c r="D171" t="str">
        <f>IFERROR(__xludf.DUMMYFUNCTION("""COMPUTED_VALUE"""),"OSTraining LLC")</f>
        <v>OSTraining LLC</v>
      </c>
      <c r="E171" t="str">
        <f>IFERROR(__xludf.DUMMYFUNCTION("""COMPUTED_VALUE"""),"Redundant")</f>
        <v>Redundant</v>
      </c>
      <c r="F171" t="str">
        <f>IFERROR(__xludf.DUMMYFUNCTION("""COMPUTED_VALUE"""),"Content Management")</f>
        <v>Content Management</v>
      </c>
      <c r="G171" s="140">
        <f>IFERROR(__xludf.DUMMYFUNCTION("""COMPUTED_VALUE"""),355212.0)</f>
        <v>355212</v>
      </c>
      <c r="H171" s="140" t="str">
        <f>IFERROR(__xludf.DUMMYFUNCTION("""COMPUTED_VALUE"""),"")</f>
        <v/>
      </c>
    </row>
    <row r="172">
      <c r="A172" s="143">
        <f>IFERROR(__xludf.DUMMYFUNCTION("""COMPUTED_VALUE"""),42613.0)</f>
        <v>42613</v>
      </c>
      <c r="B172" s="140">
        <f>IFERROR(__xludf.DUMMYFUNCTION("""COMPUTED_VALUE"""),11922.0)</f>
        <v>11922</v>
      </c>
      <c r="C172" s="140" t="str">
        <f>IFERROR(__xludf.DUMMYFUNCTION("""COMPUTED_VALUE"""),"")</f>
        <v/>
      </c>
      <c r="D172" t="str">
        <f>IFERROR(__xludf.DUMMYFUNCTION("""COMPUTED_VALUE"""),"Miguel Hernandez")</f>
        <v>Miguel Hernandez</v>
      </c>
      <c r="E172" t="str">
        <f>IFERROR(__xludf.DUMMYFUNCTION("""COMPUTED_VALUE"""),"Redundant")</f>
        <v>Redundant</v>
      </c>
      <c r="F172" t="str">
        <f>IFERROR(__xludf.DUMMYFUNCTION("""COMPUTED_VALUE"""),"Content Management")</f>
        <v>Content Management</v>
      </c>
      <c r="G172" s="140">
        <f>IFERROR(__xludf.DUMMYFUNCTION("""COMPUTED_VALUE"""),355212.0)</f>
        <v>355212</v>
      </c>
      <c r="H172" s="140" t="str">
        <f>IFERROR(__xludf.DUMMYFUNCTION("""COMPUTED_VALUE"""),"")</f>
        <v/>
      </c>
    </row>
    <row r="173">
      <c r="A173" s="143">
        <f>IFERROR(__xludf.DUMMYFUNCTION("""COMPUTED_VALUE"""),42613.0)</f>
        <v>42613</v>
      </c>
      <c r="B173" s="140">
        <f>IFERROR(__xludf.DUMMYFUNCTION("""COMPUTED_VALUE"""),29195.0)</f>
        <v>29195</v>
      </c>
      <c r="C173" s="140" t="str">
        <f>IFERROR(__xludf.DUMMYFUNCTION("""COMPUTED_VALUE"""),"")</f>
        <v/>
      </c>
      <c r="D173" t="str">
        <f>IFERROR(__xludf.DUMMYFUNCTION("""COMPUTED_VALUE"""),"Seth Leonard")</f>
        <v>Seth Leonard</v>
      </c>
      <c r="E173" t="str">
        <f>IFERROR(__xludf.DUMMYFUNCTION("""COMPUTED_VALUE"""),"Below Quality Standards")</f>
        <v>Below Quality Standards</v>
      </c>
      <c r="F173" t="str">
        <f>IFERROR(__xludf.DUMMYFUNCTION("""COMPUTED_VALUE"""),"Content Management")</f>
        <v>Content Management</v>
      </c>
      <c r="G173" s="140">
        <f>IFERROR(__xludf.DUMMYFUNCTION("""COMPUTED_VALUE"""),355212.0)</f>
        <v>355212</v>
      </c>
      <c r="H173" s="140" t="str">
        <f>IFERROR(__xludf.DUMMYFUNCTION("""COMPUTED_VALUE"""),"")</f>
        <v/>
      </c>
    </row>
    <row r="174">
      <c r="A174" s="143">
        <f>IFERROR(__xludf.DUMMYFUNCTION("""COMPUTED_VALUE"""),42613.0)</f>
        <v>42613</v>
      </c>
      <c r="B174" s="140">
        <f>IFERROR(__xludf.DUMMYFUNCTION("""COMPUTED_VALUE"""),30255.0)</f>
        <v>30255</v>
      </c>
      <c r="C174" s="140" t="str">
        <f>IFERROR(__xludf.DUMMYFUNCTION("""COMPUTED_VALUE"""),"")</f>
        <v/>
      </c>
      <c r="D174" t="str">
        <f>IFERROR(__xludf.DUMMYFUNCTION("""COMPUTED_VALUE"""),"Seth Leonard")</f>
        <v>Seth Leonard</v>
      </c>
      <c r="E174" t="str">
        <f>IFERROR(__xludf.DUMMYFUNCTION("""COMPUTED_VALUE"""),"Redundant")</f>
        <v>Redundant</v>
      </c>
      <c r="F174" t="str">
        <f>IFERROR(__xludf.DUMMYFUNCTION("""COMPUTED_VALUE"""),"Content Management")</f>
        <v>Content Management</v>
      </c>
      <c r="G174" s="140">
        <f>IFERROR(__xludf.DUMMYFUNCTION("""COMPUTED_VALUE"""),355212.0)</f>
        <v>355212</v>
      </c>
      <c r="H174" s="140" t="str">
        <f>IFERROR(__xludf.DUMMYFUNCTION("""COMPUTED_VALUE"""),"")</f>
        <v/>
      </c>
    </row>
    <row r="175">
      <c r="A175" s="143">
        <f>IFERROR(__xludf.DUMMYFUNCTION("""COMPUTED_VALUE"""),42613.0)</f>
        <v>42613</v>
      </c>
      <c r="B175" s="140">
        <f>IFERROR(__xludf.DUMMYFUNCTION("""COMPUTED_VALUE"""),73172.0)</f>
        <v>73172</v>
      </c>
      <c r="C175" s="140" t="str">
        <f>IFERROR(__xludf.DUMMYFUNCTION("""COMPUTED_VALUE"""),"")</f>
        <v/>
      </c>
      <c r="D175" t="str">
        <f>IFERROR(__xludf.DUMMYFUNCTION("""COMPUTED_VALUE"""),"John Wiley &amp; Sons, Inc.")</f>
        <v>John Wiley &amp; Sons, Inc.</v>
      </c>
      <c r="E175" t="str">
        <f>IFERROR(__xludf.DUMMYFUNCTION("""COMPUTED_VALUE"""),"Redundant")</f>
        <v>Redundant</v>
      </c>
      <c r="F175" t="str">
        <f>IFERROR(__xludf.DUMMYFUNCTION("""COMPUTED_VALUE"""),"Content Management")</f>
        <v>Content Management</v>
      </c>
      <c r="G175" s="140">
        <f>IFERROR(__xludf.DUMMYFUNCTION("""COMPUTED_VALUE"""),355212.0)</f>
        <v>355212</v>
      </c>
      <c r="H175" s="140" t="str">
        <f>IFERROR(__xludf.DUMMYFUNCTION("""COMPUTED_VALUE"""),"")</f>
        <v/>
      </c>
    </row>
    <row r="176">
      <c r="A176" s="143">
        <f>IFERROR(__xludf.DUMMYFUNCTION("""COMPUTED_VALUE"""),42613.0)</f>
        <v>42613</v>
      </c>
      <c r="B176" s="140">
        <f>IFERROR(__xludf.DUMMYFUNCTION("""COMPUTED_VALUE"""),159760.0)</f>
        <v>159760</v>
      </c>
      <c r="C176" s="140" t="str">
        <f>IFERROR(__xludf.DUMMYFUNCTION("""COMPUTED_VALUE"""),"")</f>
        <v/>
      </c>
      <c r="D176" t="str">
        <f>IFERROR(__xludf.DUMMYFUNCTION("""COMPUTED_VALUE"""),"Rob Cubbon")</f>
        <v>Rob Cubbon</v>
      </c>
      <c r="E176" t="str">
        <f>IFERROR(__xludf.DUMMYFUNCTION("""COMPUTED_VALUE"""),"Redundant")</f>
        <v>Redundant</v>
      </c>
      <c r="F176" t="str">
        <f>IFERROR(__xludf.DUMMYFUNCTION("""COMPUTED_VALUE"""),"Content Management")</f>
        <v>Content Management</v>
      </c>
      <c r="G176" s="140">
        <f>IFERROR(__xludf.DUMMYFUNCTION("""COMPUTED_VALUE"""),355212.0)</f>
        <v>355212</v>
      </c>
      <c r="H176" s="140" t="str">
        <f>IFERROR(__xludf.DUMMYFUNCTION("""COMPUTED_VALUE"""),"")</f>
        <v/>
      </c>
    </row>
    <row r="177">
      <c r="A177" s="143">
        <f>IFERROR(__xludf.DUMMYFUNCTION("""COMPUTED_VALUE"""),42613.0)</f>
        <v>42613</v>
      </c>
      <c r="B177" s="140">
        <f>IFERROR(__xludf.DUMMYFUNCTION("""COMPUTED_VALUE"""),264790.0)</f>
        <v>264790</v>
      </c>
      <c r="C177" s="140" t="str">
        <f>IFERROR(__xludf.DUMMYFUNCTION("""COMPUTED_VALUE"""),"")</f>
        <v/>
      </c>
      <c r="D177" t="str">
        <f>IFERROR(__xludf.DUMMYFUNCTION("""COMPUTED_VALUE"""),"Deltina Hay")</f>
        <v>Deltina Hay</v>
      </c>
      <c r="E177" t="str">
        <f>IFERROR(__xludf.DUMMYFUNCTION("""COMPUTED_VALUE"""),"Redundant")</f>
        <v>Redundant</v>
      </c>
      <c r="F177" t="str">
        <f>IFERROR(__xludf.DUMMYFUNCTION("""COMPUTED_VALUE"""),"Content Management")</f>
        <v>Content Management</v>
      </c>
      <c r="G177" s="140">
        <f>IFERROR(__xludf.DUMMYFUNCTION("""COMPUTED_VALUE"""),355212.0)</f>
        <v>355212</v>
      </c>
      <c r="H177" s="140" t="str">
        <f>IFERROR(__xludf.DUMMYFUNCTION("""COMPUTED_VALUE"""),"")</f>
        <v/>
      </c>
    </row>
    <row r="178">
      <c r="A178" s="143">
        <f>IFERROR(__xludf.DUMMYFUNCTION("""COMPUTED_VALUE"""),42613.0)</f>
        <v>42613</v>
      </c>
      <c r="B178" s="140">
        <f>IFERROR(__xludf.DUMMYFUNCTION("""COMPUTED_VALUE"""),290332.0)</f>
        <v>290332</v>
      </c>
      <c r="C178" s="140" t="str">
        <f>IFERROR(__xludf.DUMMYFUNCTION("""COMPUTED_VALUE"""),"")</f>
        <v/>
      </c>
      <c r="D178" t="str">
        <f>IFERROR(__xludf.DUMMYFUNCTION("""COMPUTED_VALUE"""),"CompuWorks Trainers")</f>
        <v>CompuWorks Trainers</v>
      </c>
      <c r="E178" t="str">
        <f>IFERROR(__xludf.DUMMYFUNCTION("""COMPUTED_VALUE"""),"Redundant")</f>
        <v>Redundant</v>
      </c>
      <c r="F178" t="str">
        <f>IFERROR(__xludf.DUMMYFUNCTION("""COMPUTED_VALUE"""),"Content Management")</f>
        <v>Content Management</v>
      </c>
      <c r="G178" s="140">
        <f>IFERROR(__xludf.DUMMYFUNCTION("""COMPUTED_VALUE"""),355212.0)</f>
        <v>355212</v>
      </c>
      <c r="H178" s="140" t="str">
        <f>IFERROR(__xludf.DUMMYFUNCTION("""COMPUTED_VALUE"""),"")</f>
        <v/>
      </c>
    </row>
    <row r="179">
      <c r="A179" s="143">
        <f>IFERROR(__xludf.DUMMYFUNCTION("""COMPUTED_VALUE"""),42613.0)</f>
        <v>42613</v>
      </c>
      <c r="B179" s="140">
        <f>IFERROR(__xludf.DUMMYFUNCTION("""COMPUTED_VALUE"""),343650.0)</f>
        <v>343650</v>
      </c>
      <c r="C179" s="140" t="str">
        <f>IFERROR(__xludf.DUMMYFUNCTION("""COMPUTED_VALUE"""),"")</f>
        <v/>
      </c>
      <c r="D179" t="str">
        <f>IFERROR(__xludf.DUMMYFUNCTION("""COMPUTED_VALUE"""),"John Wiley &amp; Sons, Inc.")</f>
        <v>John Wiley &amp; Sons, Inc.</v>
      </c>
      <c r="E179" t="str">
        <f>IFERROR(__xludf.DUMMYFUNCTION("""COMPUTED_VALUE"""),"Redundant")</f>
        <v>Redundant</v>
      </c>
      <c r="F179" t="str">
        <f>IFERROR(__xludf.DUMMYFUNCTION("""COMPUTED_VALUE"""),"Content Management")</f>
        <v>Content Management</v>
      </c>
      <c r="G179" s="140">
        <f>IFERROR(__xludf.DUMMYFUNCTION("""COMPUTED_VALUE"""),355212.0)</f>
        <v>355212</v>
      </c>
      <c r="H179" s="140" t="str">
        <f>IFERROR(__xludf.DUMMYFUNCTION("""COMPUTED_VALUE"""),"")</f>
        <v/>
      </c>
    </row>
    <row r="180">
      <c r="A180" s="143">
        <f>IFERROR(__xludf.DUMMYFUNCTION("""COMPUTED_VALUE"""),42613.0)</f>
        <v>42613</v>
      </c>
      <c r="B180" s="140">
        <f>IFERROR(__xludf.DUMMYFUNCTION("""COMPUTED_VALUE"""),590610.0)</f>
        <v>590610</v>
      </c>
      <c r="C180" s="140" t="str">
        <f>IFERROR(__xludf.DUMMYFUNCTION("""COMPUTED_VALUE"""),"")</f>
        <v/>
      </c>
      <c r="D180" t="str">
        <f>IFERROR(__xludf.DUMMYFUNCTION("""COMPUTED_VALUE"""),"David Bain")</f>
        <v>David Bain</v>
      </c>
      <c r="E180" t="str">
        <f>IFERROR(__xludf.DUMMYFUNCTION("""COMPUTED_VALUE"""),"Redundant")</f>
        <v>Redundant</v>
      </c>
      <c r="F180" t="str">
        <f>IFERROR(__xludf.DUMMYFUNCTION("""COMPUTED_VALUE"""),"Content Management")</f>
        <v>Content Management</v>
      </c>
      <c r="G180" s="140">
        <f>IFERROR(__xludf.DUMMYFUNCTION("""COMPUTED_VALUE"""),355212.0)</f>
        <v>355212</v>
      </c>
      <c r="H180" s="140" t="str">
        <f>IFERROR(__xludf.DUMMYFUNCTION("""COMPUTED_VALUE"""),"")</f>
        <v/>
      </c>
    </row>
    <row r="181">
      <c r="A181" s="143">
        <f>IFERROR(__xludf.DUMMYFUNCTION("""COMPUTED_VALUE"""),42613.0)</f>
        <v>42613</v>
      </c>
      <c r="B181" s="140">
        <f>IFERROR(__xludf.DUMMYFUNCTION("""COMPUTED_VALUE"""),646294.0)</f>
        <v>646294</v>
      </c>
      <c r="C181" s="140" t="str">
        <f>IFERROR(__xludf.DUMMYFUNCTION("""COMPUTED_VALUE"""),"")</f>
        <v/>
      </c>
      <c r="D181" t="str">
        <f>IFERROR(__xludf.DUMMYFUNCTION("""COMPUTED_VALUE"""),"Rob Cubbon")</f>
        <v>Rob Cubbon</v>
      </c>
      <c r="E181" t="str">
        <f>IFERROR(__xludf.DUMMYFUNCTION("""COMPUTED_VALUE"""),"Below Quality Standards")</f>
        <v>Below Quality Standards</v>
      </c>
      <c r="F181" t="str">
        <f>IFERROR(__xludf.DUMMYFUNCTION("""COMPUTED_VALUE"""),"Marketing")</f>
        <v>Marketing</v>
      </c>
      <c r="G181" s="140">
        <f>IFERROR(__xludf.DUMMYFUNCTION("""COMPUTED_VALUE"""),355212.0)</f>
        <v>355212</v>
      </c>
      <c r="H181" s="140" t="str">
        <f>IFERROR(__xludf.DUMMYFUNCTION("""COMPUTED_VALUE"""),"")</f>
        <v/>
      </c>
    </row>
    <row r="182">
      <c r="A182" s="143">
        <f>IFERROR(__xludf.DUMMYFUNCTION("""COMPUTED_VALUE"""),42613.0)</f>
        <v>42613</v>
      </c>
      <c r="B182" s="140">
        <f>IFERROR(__xludf.DUMMYFUNCTION("""COMPUTED_VALUE"""),582654.0)</f>
        <v>582654</v>
      </c>
      <c r="C182" s="140" t="str">
        <f>IFERROR(__xludf.DUMMYFUNCTION("""COMPUTED_VALUE"""),"")</f>
        <v/>
      </c>
      <c r="D182" t="str">
        <f>IFERROR(__xludf.DUMMYFUNCTION("""COMPUTED_VALUE"""),"Learoy Tonight")</f>
        <v>Learoy Tonight</v>
      </c>
      <c r="E182" t="str">
        <f>IFERROR(__xludf.DUMMYFUNCTION("""COMPUTED_VALUE"""),"Redundant")</f>
        <v>Redundant</v>
      </c>
      <c r="F182" t="str">
        <f>IFERROR(__xludf.DUMMYFUNCTION("""COMPUTED_VALUE"""),"Management")</f>
        <v>Management</v>
      </c>
      <c r="G182" s="140">
        <f>IFERROR(__xludf.DUMMYFUNCTION("""COMPUTED_VALUE"""),323448.0)</f>
        <v>323448</v>
      </c>
      <c r="H182" s="140" t="str">
        <f>IFERROR(__xludf.DUMMYFUNCTION("""COMPUTED_VALUE"""),"")</f>
        <v/>
      </c>
    </row>
    <row r="183">
      <c r="A183" s="143">
        <f>IFERROR(__xludf.DUMMYFUNCTION("""COMPUTED_VALUE"""),42613.0)</f>
        <v>42613</v>
      </c>
      <c r="B183" s="140">
        <f>IFERROR(__xludf.DUMMYFUNCTION("""COMPUTED_VALUE"""),500380.0)</f>
        <v>500380</v>
      </c>
      <c r="C183" s="140" t="str">
        <f>IFERROR(__xludf.DUMMYFUNCTION("""COMPUTED_VALUE"""),"")</f>
        <v/>
      </c>
      <c r="D183" t="str">
        <f>IFERROR(__xludf.DUMMYFUNCTION("""COMPUTED_VALUE"""),"Drucker Institute")</f>
        <v>Drucker Institute</v>
      </c>
      <c r="E183" t="str">
        <f>IFERROR(__xludf.DUMMYFUNCTION("""COMPUTED_VALUE"""),"Below Quality Standards")</f>
        <v>Below Quality Standards</v>
      </c>
      <c r="F183" t="str">
        <f>IFERROR(__xludf.DUMMYFUNCTION("""COMPUTED_VALUE"""),"Soft Skills")</f>
        <v>Soft Skills</v>
      </c>
      <c r="G183" s="140">
        <f>IFERROR(__xludf.DUMMYFUNCTION("""COMPUTED_VALUE"""),323448.0)</f>
        <v>323448</v>
      </c>
      <c r="H183" s="140" t="str">
        <f>IFERROR(__xludf.DUMMYFUNCTION("""COMPUTED_VALUE"""),"")</f>
        <v/>
      </c>
    </row>
    <row r="184">
      <c r="A184" s="143">
        <f>IFERROR(__xludf.DUMMYFUNCTION("""COMPUTED_VALUE"""),42613.0)</f>
        <v>42613</v>
      </c>
      <c r="B184" s="140">
        <f>IFERROR(__xludf.DUMMYFUNCTION("""COMPUTED_VALUE"""),704058.0)</f>
        <v>704058</v>
      </c>
      <c r="C184" s="140" t="str">
        <f>IFERROR(__xludf.DUMMYFUNCTION("""COMPUTED_VALUE"""),"")</f>
        <v/>
      </c>
      <c r="D184" t="str">
        <f>IFERROR(__xludf.DUMMYFUNCTION("""COMPUTED_VALUE"""),"Train Simple")</f>
        <v>Train Simple</v>
      </c>
      <c r="E184" t="str">
        <f>IFERROR(__xludf.DUMMYFUNCTION("""COMPUTED_VALUE"""),"Redundant")</f>
        <v>Redundant</v>
      </c>
      <c r="F184" t="str">
        <f>IFERROR(__xludf.DUMMYFUNCTION("""COMPUTED_VALUE"""),"Design")</f>
        <v>Design</v>
      </c>
      <c r="G184" s="140">
        <f>IFERROR(__xludf.DUMMYFUNCTION("""COMPUTED_VALUE"""),360214.0)</f>
        <v>360214</v>
      </c>
      <c r="H184" s="140" t="str">
        <f>IFERROR(__xludf.DUMMYFUNCTION("""COMPUTED_VALUE"""),"")</f>
        <v/>
      </c>
    </row>
    <row r="185">
      <c r="A185" s="143">
        <f>IFERROR(__xludf.DUMMYFUNCTION("""COMPUTED_VALUE"""),42613.0)</f>
        <v>42613</v>
      </c>
      <c r="B185" s="140">
        <f>IFERROR(__xludf.DUMMYFUNCTION("""COMPUTED_VALUE"""),363248.0)</f>
        <v>363248</v>
      </c>
      <c r="C185" s="140" t="str">
        <f>IFERROR(__xludf.DUMMYFUNCTION("""COMPUTED_VALUE"""),"")</f>
        <v/>
      </c>
      <c r="D185" t="str">
        <f>IFERROR(__xludf.DUMMYFUNCTION("""COMPUTED_VALUE"""),"TJ Walker")</f>
        <v>TJ Walker</v>
      </c>
      <c r="E185" t="str">
        <f>IFERROR(__xludf.DUMMYFUNCTION("""COMPUTED_VALUE"""),"Redundant")</f>
        <v>Redundant</v>
      </c>
      <c r="F185" t="str">
        <f>IFERROR(__xludf.DUMMYFUNCTION("""COMPUTED_VALUE"""),"Soft Skills")</f>
        <v>Soft Skills</v>
      </c>
      <c r="G185" s="140">
        <f>IFERROR(__xludf.DUMMYFUNCTION("""COMPUTED_VALUE"""),363092.0)</f>
        <v>363092</v>
      </c>
      <c r="H185" s="140" t="str">
        <f>IFERROR(__xludf.DUMMYFUNCTION("""COMPUTED_VALUE"""),"")</f>
        <v/>
      </c>
    </row>
    <row r="186">
      <c r="A186" s="143">
        <f>IFERROR(__xludf.DUMMYFUNCTION("""COMPUTED_VALUE"""),42613.0)</f>
        <v>42613</v>
      </c>
      <c r="B186" s="140">
        <f>IFERROR(__xludf.DUMMYFUNCTION("""COMPUTED_VALUE"""),363870.0)</f>
        <v>363870</v>
      </c>
      <c r="C186" s="140" t="str">
        <f>IFERROR(__xludf.DUMMYFUNCTION("""COMPUTED_VALUE"""),"")</f>
        <v/>
      </c>
      <c r="D186" t="str">
        <f>IFERROR(__xludf.DUMMYFUNCTION("""COMPUTED_VALUE"""),"TJ Walker")</f>
        <v>TJ Walker</v>
      </c>
      <c r="E186" t="str">
        <f>IFERROR(__xludf.DUMMYFUNCTION("""COMPUTED_VALUE"""),"Redundant")</f>
        <v>Redundant</v>
      </c>
      <c r="F186" t="str">
        <f>IFERROR(__xludf.DUMMYFUNCTION("""COMPUTED_VALUE"""),"Soft Skills")</f>
        <v>Soft Skills</v>
      </c>
      <c r="G186" s="140">
        <f>IFERROR(__xludf.DUMMYFUNCTION("""COMPUTED_VALUE"""),363092.0)</f>
        <v>363092</v>
      </c>
      <c r="H186" s="140" t="str">
        <f>IFERROR(__xludf.DUMMYFUNCTION("""COMPUTED_VALUE"""),"")</f>
        <v/>
      </c>
    </row>
    <row r="187">
      <c r="A187" s="143">
        <f>IFERROR(__xludf.DUMMYFUNCTION("""COMPUTED_VALUE"""),42613.0)</f>
        <v>42613</v>
      </c>
      <c r="B187" s="140">
        <f>IFERROR(__xludf.DUMMYFUNCTION("""COMPUTED_VALUE"""),89214.0)</f>
        <v>89214</v>
      </c>
      <c r="C187" s="140" t="str">
        <f>IFERROR(__xludf.DUMMYFUNCTION("""COMPUTED_VALUE"""),"")</f>
        <v/>
      </c>
      <c r="D187" t="str">
        <f>IFERROR(__xludf.DUMMYFUNCTION("""COMPUTED_VALUE"""),"John Bura")</f>
        <v>John Bura</v>
      </c>
      <c r="E187" t="str">
        <f>IFERROR(__xludf.DUMMYFUNCTION("""COMPUTED_VALUE"""),"Redundant")</f>
        <v>Redundant</v>
      </c>
      <c r="F187" t="str">
        <f>IFERROR(__xludf.DUMMYFUNCTION("""COMPUTED_VALUE"""),"Back-End Programming")</f>
        <v>Back-End Programming</v>
      </c>
      <c r="G187" s="140">
        <f>IFERROR(__xludf.DUMMYFUNCTION("""COMPUTED_VALUE"""),822660.0)</f>
        <v>822660</v>
      </c>
      <c r="H187" s="140" t="str">
        <f>IFERROR(__xludf.DUMMYFUNCTION("""COMPUTED_VALUE"""),"")</f>
        <v/>
      </c>
    </row>
    <row r="188">
      <c r="A188" s="143">
        <f>IFERROR(__xludf.DUMMYFUNCTION("""COMPUTED_VALUE"""),42613.0)</f>
        <v>42613</v>
      </c>
      <c r="B188" s="140">
        <f>IFERROR(__xludf.DUMMYFUNCTION("""COMPUTED_VALUE"""),513092.0)</f>
        <v>513092</v>
      </c>
      <c r="C188" s="140" t="str">
        <f>IFERROR(__xludf.DUMMYFUNCTION("""COMPUTED_VALUE"""),"")</f>
        <v/>
      </c>
      <c r="D188" t="str">
        <f>IFERROR(__xludf.DUMMYFUNCTION("""COMPUTED_VALUE"""),"Tom Owsiak")</f>
        <v>Tom Owsiak</v>
      </c>
      <c r="E188" t="str">
        <f>IFERROR(__xludf.DUMMYFUNCTION("""COMPUTED_VALUE"""),"Redundant")</f>
        <v>Redundant</v>
      </c>
      <c r="F188" t="str">
        <f>IFERROR(__xludf.DUMMYFUNCTION("""COMPUTED_VALUE"""),"Back-End Programming")</f>
        <v>Back-End Programming</v>
      </c>
      <c r="G188" s="140">
        <f>IFERROR(__xludf.DUMMYFUNCTION("""COMPUTED_VALUE"""),822660.0)</f>
        <v>822660</v>
      </c>
      <c r="H188" s="140" t="str">
        <f>IFERROR(__xludf.DUMMYFUNCTION("""COMPUTED_VALUE"""),"")</f>
        <v/>
      </c>
    </row>
    <row r="189">
      <c r="A189" s="143">
        <f>IFERROR(__xludf.DUMMYFUNCTION("""COMPUTED_VALUE"""),42613.0)</f>
        <v>42613</v>
      </c>
      <c r="B189" s="140">
        <f>IFERROR(__xludf.DUMMYFUNCTION("""COMPUTED_VALUE"""),197830.0)</f>
        <v>197830</v>
      </c>
      <c r="C189" s="140" t="str">
        <f>IFERROR(__xludf.DUMMYFUNCTION("""COMPUTED_VALUE"""),"")</f>
        <v/>
      </c>
      <c r="D189" t="str">
        <f>IFERROR(__xludf.DUMMYFUNCTION("""COMPUTED_VALUE"""),"Eduonix Learning Solutions")</f>
        <v>Eduonix Learning Solutions</v>
      </c>
      <c r="E189" t="str">
        <f>IFERROR(__xludf.DUMMYFUNCTION("""COMPUTED_VALUE"""),"Redundant")</f>
        <v>Redundant</v>
      </c>
      <c r="F189" t="str">
        <f>IFERROR(__xludf.DUMMYFUNCTION("""COMPUTED_VALUE"""),"Mobile Development")</f>
        <v>Mobile Development</v>
      </c>
      <c r="G189" s="140">
        <f>IFERROR(__xludf.DUMMYFUNCTION("""COMPUTED_VALUE"""),822660.0)</f>
        <v>822660</v>
      </c>
      <c r="H189" s="140" t="str">
        <f>IFERROR(__xludf.DUMMYFUNCTION("""COMPUTED_VALUE"""),"")</f>
        <v/>
      </c>
    </row>
    <row r="190">
      <c r="A190" s="143">
        <f>IFERROR(__xludf.DUMMYFUNCTION("""COMPUTED_VALUE"""),42613.0)</f>
        <v>42613</v>
      </c>
      <c r="B190" s="140">
        <f>IFERROR(__xludf.DUMMYFUNCTION("""COMPUTED_VALUE"""),212382.0)</f>
        <v>212382</v>
      </c>
      <c r="C190" s="140" t="str">
        <f>IFERROR(__xludf.DUMMYFUNCTION("""COMPUTED_VALUE"""),"")</f>
        <v/>
      </c>
      <c r="D190" t="str">
        <f>IFERROR(__xludf.DUMMYFUNCTION("""COMPUTED_VALUE"""),"RefactorU LLC")</f>
        <v>RefactorU LLC</v>
      </c>
      <c r="E190" t="str">
        <f>IFERROR(__xludf.DUMMYFUNCTION("""COMPUTED_VALUE"""),"Redundant")</f>
        <v>Redundant</v>
      </c>
      <c r="F190" t="str">
        <f>IFERROR(__xludf.DUMMYFUNCTION("""COMPUTED_VALUE"""),"Front-End Programming")</f>
        <v>Front-End Programming</v>
      </c>
      <c r="G190" s="140">
        <f>IFERROR(__xludf.DUMMYFUNCTION("""COMPUTED_VALUE"""),364426.0)</f>
        <v>364426</v>
      </c>
      <c r="H190" s="140" t="str">
        <f>IFERROR(__xludf.DUMMYFUNCTION("""COMPUTED_VALUE"""),"")</f>
        <v/>
      </c>
    </row>
    <row r="191">
      <c r="A191" s="143">
        <f>IFERROR(__xludf.DUMMYFUNCTION("""COMPUTED_VALUE"""),42613.0)</f>
        <v>42613</v>
      </c>
      <c r="B191" s="140">
        <f>IFERROR(__xludf.DUMMYFUNCTION("""COMPUTED_VALUE"""),12196.0)</f>
        <v>12196</v>
      </c>
      <c r="C191" s="140" t="str">
        <f>IFERROR(__xludf.DUMMYFUNCTION("""COMPUTED_VALUE"""),"")</f>
        <v/>
      </c>
      <c r="D191" t="str">
        <f>IFERROR(__xludf.DUMMYFUNCTION("""COMPUTED_VALUE"""),"Len Smith")</f>
        <v>Len Smith</v>
      </c>
      <c r="E191" t="str">
        <f>IFERROR(__xludf.DUMMYFUNCTION("""COMPUTED_VALUE"""),"Below Quality Standards")</f>
        <v>Below Quality Standards</v>
      </c>
      <c r="F191" t="str">
        <f>IFERROR(__xludf.DUMMYFUNCTION("""COMPUTED_VALUE"""),"Marketing")</f>
        <v>Marketing</v>
      </c>
      <c r="G191" s="140">
        <f>IFERROR(__xludf.DUMMYFUNCTION("""COMPUTED_VALUE"""),365176.0)</f>
        <v>365176</v>
      </c>
      <c r="H191" s="140" t="str">
        <f>IFERROR(__xludf.DUMMYFUNCTION("""COMPUTED_VALUE"""),"")</f>
        <v/>
      </c>
    </row>
    <row r="192">
      <c r="A192" s="143">
        <f>IFERROR(__xludf.DUMMYFUNCTION("""COMPUTED_VALUE"""),42613.0)</f>
        <v>42613</v>
      </c>
      <c r="B192" s="140">
        <f>IFERROR(__xludf.DUMMYFUNCTION("""COMPUTED_VALUE"""),406784.0)</f>
        <v>406784</v>
      </c>
      <c r="C192" s="140" t="str">
        <f>IFERROR(__xludf.DUMMYFUNCTION("""COMPUTED_VALUE"""),"")</f>
        <v/>
      </c>
      <c r="D192" t="str">
        <f>IFERROR(__xludf.DUMMYFUNCTION("""COMPUTED_VALUE"""),"Communication for Geeks®")</f>
        <v>Communication for Geeks®</v>
      </c>
      <c r="E192" t="str">
        <f>IFERROR(__xludf.DUMMYFUNCTION("""COMPUTED_VALUE"""),"Below Quality Standards")</f>
        <v>Below Quality Standards</v>
      </c>
      <c r="F192" t="str">
        <f>IFERROR(__xludf.DUMMYFUNCTION("""COMPUTED_VALUE"""),"Soft Skills")</f>
        <v>Soft Skills</v>
      </c>
      <c r="G192" s="140">
        <f>IFERROR(__xludf.DUMMYFUNCTION("""COMPUTED_VALUE"""),1355610.0)</f>
        <v>1355610</v>
      </c>
      <c r="H192" s="140" t="str">
        <f>IFERROR(__xludf.DUMMYFUNCTION("""COMPUTED_VALUE"""),"")</f>
        <v/>
      </c>
    </row>
    <row r="193">
      <c r="A193" s="143">
        <f>IFERROR(__xludf.DUMMYFUNCTION("""COMPUTED_VALUE"""),42613.0)</f>
        <v>42613</v>
      </c>
      <c r="B193" s="140">
        <f>IFERROR(__xludf.DUMMYFUNCTION("""COMPUTED_VALUE"""),647410.0)</f>
        <v>647410</v>
      </c>
      <c r="C193" s="140" t="str">
        <f>IFERROR(__xludf.DUMMYFUNCTION("""COMPUTED_VALUE"""),"")</f>
        <v/>
      </c>
      <c r="D193" t="str">
        <f>IFERROR(__xludf.DUMMYFUNCTION("""COMPUTED_VALUE"""),"Ilya Eremenko")</f>
        <v>Ilya Eremenko</v>
      </c>
      <c r="E193" t="str">
        <f>IFERROR(__xludf.DUMMYFUNCTION("""COMPUTED_VALUE"""),"Below Quality Standards")</f>
        <v>Below Quality Standards</v>
      </c>
      <c r="F193" t="str">
        <f>IFERROR(__xludf.DUMMYFUNCTION("""COMPUTED_VALUE"""),"Operations")</f>
        <v>Operations</v>
      </c>
      <c r="G193" s="140">
        <f>IFERROR(__xludf.DUMMYFUNCTION("""COMPUTED_VALUE"""),375842.0)</f>
        <v>375842</v>
      </c>
      <c r="H193" s="140" t="str">
        <f>IFERROR(__xludf.DUMMYFUNCTION("""COMPUTED_VALUE"""),"")</f>
        <v/>
      </c>
    </row>
    <row r="194">
      <c r="A194" s="143">
        <f>IFERROR(__xludf.DUMMYFUNCTION("""COMPUTED_VALUE"""),42613.0)</f>
        <v>42613</v>
      </c>
      <c r="B194" s="140">
        <f>IFERROR(__xludf.DUMMYFUNCTION("""COMPUTED_VALUE"""),50266.0)</f>
        <v>50266</v>
      </c>
      <c r="C194" s="140" t="str">
        <f>IFERROR(__xludf.DUMMYFUNCTION("""COMPUTED_VALUE"""),"")</f>
        <v/>
      </c>
      <c r="D194" t="str">
        <f>IFERROR(__xludf.DUMMYFUNCTION("""COMPUTED_VALUE"""),"CompuWorks Trainers")</f>
        <v>CompuWorks Trainers</v>
      </c>
      <c r="E194" t="str">
        <f>IFERROR(__xludf.DUMMYFUNCTION("""COMPUTED_VALUE"""),"Low Use")</f>
        <v>Low Use</v>
      </c>
      <c r="F194" t="str">
        <f>IFERROR(__xludf.DUMMYFUNCTION("""COMPUTED_VALUE"""),"Office Productivity")</f>
        <v>Office Productivity</v>
      </c>
      <c r="G194" s="140">
        <f>IFERROR(__xludf.DUMMYFUNCTION("""COMPUTED_VALUE"""),395700.0)</f>
        <v>395700</v>
      </c>
      <c r="H194" s="140" t="str">
        <f>IFERROR(__xludf.DUMMYFUNCTION("""COMPUTED_VALUE"""),"")</f>
        <v/>
      </c>
    </row>
    <row r="195">
      <c r="A195" s="143">
        <f>IFERROR(__xludf.DUMMYFUNCTION("""COMPUTED_VALUE"""),42613.0)</f>
        <v>42613</v>
      </c>
      <c r="B195" s="140">
        <f>IFERROR(__xludf.DUMMYFUNCTION("""COMPUTED_VALUE"""),119272.0)</f>
        <v>119272</v>
      </c>
      <c r="C195" s="140" t="str">
        <f>IFERROR(__xludf.DUMMYFUNCTION("""COMPUTED_VALUE"""),"")</f>
        <v/>
      </c>
      <c r="D195" t="str">
        <f>IFERROR(__xludf.DUMMYFUNCTION("""COMPUTED_VALUE"""),"Jordan Hudgens")</f>
        <v>Jordan Hudgens</v>
      </c>
      <c r="E195" t="str">
        <f>IFERROR(__xludf.DUMMYFUNCTION("""COMPUTED_VALUE"""),"Redundant")</f>
        <v>Redundant</v>
      </c>
      <c r="F195" t="str">
        <f>IFERROR(__xludf.DUMMYFUNCTION("""COMPUTED_VALUE"""),"Office Productivity")</f>
        <v>Office Productivity</v>
      </c>
      <c r="G195" s="140">
        <f>IFERROR(__xludf.DUMMYFUNCTION("""COMPUTED_VALUE"""),395700.0)</f>
        <v>395700</v>
      </c>
      <c r="H195" s="140" t="str">
        <f>IFERROR(__xludf.DUMMYFUNCTION("""COMPUTED_VALUE"""),"")</f>
        <v/>
      </c>
    </row>
    <row r="196">
      <c r="A196" s="143">
        <f>IFERROR(__xludf.DUMMYFUNCTION("""COMPUTED_VALUE"""),42613.0)</f>
        <v>42613</v>
      </c>
      <c r="B196" s="140">
        <f>IFERROR(__xludf.DUMMYFUNCTION("""COMPUTED_VALUE"""),113768.0)</f>
        <v>113768</v>
      </c>
      <c r="C196" s="140" t="str">
        <f>IFERROR(__xludf.DUMMYFUNCTION("""COMPUTED_VALUE"""),"")</f>
        <v/>
      </c>
      <c r="D196" t="str">
        <f>IFERROR(__xludf.DUMMYFUNCTION("""COMPUTED_VALUE"""),"Simon Sez IT")</f>
        <v>Simon Sez IT</v>
      </c>
      <c r="E196" t="str">
        <f>IFERROR(__xludf.DUMMYFUNCTION("""COMPUTED_VALUE"""),"Below Quality Standards")</f>
        <v>Below Quality Standards</v>
      </c>
      <c r="F196" t="str">
        <f>IFERROR(__xludf.DUMMYFUNCTION("""COMPUTED_VALUE"""),"Back-End Programming")</f>
        <v>Back-End Programming</v>
      </c>
      <c r="G196" s="140">
        <f>IFERROR(__xludf.DUMMYFUNCTION("""COMPUTED_VALUE"""),405282.0)</f>
        <v>405282</v>
      </c>
      <c r="H196" s="140" t="str">
        <f>IFERROR(__xludf.DUMMYFUNCTION("""COMPUTED_VALUE"""),"")</f>
        <v/>
      </c>
    </row>
    <row r="197">
      <c r="A197" s="143">
        <f>IFERROR(__xludf.DUMMYFUNCTION("""COMPUTED_VALUE"""),42613.0)</f>
        <v>42613</v>
      </c>
      <c r="B197" s="140">
        <f>IFERROR(__xludf.DUMMYFUNCTION("""COMPUTED_VALUE"""),538160.0)</f>
        <v>538160</v>
      </c>
      <c r="C197" s="140" t="str">
        <f>IFERROR(__xludf.DUMMYFUNCTION("""COMPUTED_VALUE"""),"")</f>
        <v/>
      </c>
      <c r="D197" t="str">
        <f>IFERROR(__xludf.DUMMYFUNCTION("""COMPUTED_VALUE"""),"OSTraining LLC")</f>
        <v>OSTraining LLC</v>
      </c>
      <c r="E197" t="str">
        <f>IFERROR(__xludf.DUMMYFUNCTION("""COMPUTED_VALUE"""),"Redundant")</f>
        <v>Redundant</v>
      </c>
      <c r="F197" t="str">
        <f>IFERROR(__xludf.DUMMYFUNCTION("""COMPUTED_VALUE"""),"Back-End Programming")</f>
        <v>Back-End Programming</v>
      </c>
      <c r="G197" s="140">
        <f>IFERROR(__xludf.DUMMYFUNCTION("""COMPUTED_VALUE"""),405282.0)</f>
        <v>405282</v>
      </c>
      <c r="H197" s="140" t="str">
        <f>IFERROR(__xludf.DUMMYFUNCTION("""COMPUTED_VALUE"""),"")</f>
        <v/>
      </c>
    </row>
    <row r="198">
      <c r="A198" s="143">
        <f>IFERROR(__xludf.DUMMYFUNCTION("""COMPUTED_VALUE"""),42613.0)</f>
        <v>42613</v>
      </c>
      <c r="B198" s="140">
        <f>IFERROR(__xludf.DUMMYFUNCTION("""COMPUTED_VALUE"""),8325.0)</f>
        <v>8325</v>
      </c>
      <c r="C198" s="140" t="str">
        <f>IFERROR(__xludf.DUMMYFUNCTION("""COMPUTED_VALUE"""),"")</f>
        <v/>
      </c>
      <c r="D198" t="str">
        <f>IFERROR(__xludf.DUMMYFUNCTION("""COMPUTED_VALUE"""),"LearnToProgram, Inc.")</f>
        <v>LearnToProgram, Inc.</v>
      </c>
      <c r="E198" t="str">
        <f>IFERROR(__xludf.DUMMYFUNCTION("""COMPUTED_VALUE"""),"Below Quality Standards")</f>
        <v>Below Quality Standards</v>
      </c>
      <c r="F198" t="str">
        <f>IFERROR(__xludf.DUMMYFUNCTION("""COMPUTED_VALUE"""),"Front-End Programming")</f>
        <v>Front-End Programming</v>
      </c>
      <c r="G198" s="140">
        <f>IFERROR(__xludf.DUMMYFUNCTION("""COMPUTED_VALUE"""),405926.0)</f>
        <v>405926</v>
      </c>
      <c r="H198" s="140" t="str">
        <f>IFERROR(__xludf.DUMMYFUNCTION("""COMPUTED_VALUE"""),"")</f>
        <v/>
      </c>
    </row>
    <row r="199">
      <c r="A199" s="143">
        <f>IFERROR(__xludf.DUMMYFUNCTION("""COMPUTED_VALUE"""),42613.0)</f>
        <v>42613</v>
      </c>
      <c r="B199" s="140">
        <f>IFERROR(__xludf.DUMMYFUNCTION("""COMPUTED_VALUE"""),336104.0)</f>
        <v>336104</v>
      </c>
      <c r="C199" s="140" t="str">
        <f>IFERROR(__xludf.DUMMYFUNCTION("""COMPUTED_VALUE"""),"")</f>
        <v/>
      </c>
      <c r="D199" t="str">
        <f>IFERROR(__xludf.DUMMYFUNCTION("""COMPUTED_VALUE"""),"Sandy Ludosky")</f>
        <v>Sandy Ludosky</v>
      </c>
      <c r="E199" t="str">
        <f>IFERROR(__xludf.DUMMYFUNCTION("""COMPUTED_VALUE"""),"Below Quality Standards")</f>
        <v>Below Quality Standards</v>
      </c>
      <c r="F199" t="str">
        <f>IFERROR(__xludf.DUMMYFUNCTION("""COMPUTED_VALUE"""),"Front-End Programming")</f>
        <v>Front-End Programming</v>
      </c>
      <c r="G199" s="140">
        <f>IFERROR(__xludf.DUMMYFUNCTION("""COMPUTED_VALUE"""),405926.0)</f>
        <v>405926</v>
      </c>
      <c r="H199" s="140" t="str">
        <f>IFERROR(__xludf.DUMMYFUNCTION("""COMPUTED_VALUE"""),"")</f>
        <v/>
      </c>
    </row>
    <row r="200">
      <c r="A200" s="143">
        <f>IFERROR(__xludf.DUMMYFUNCTION("""COMPUTED_VALUE"""),42613.0)</f>
        <v>42613</v>
      </c>
      <c r="B200" s="140">
        <f>IFERROR(__xludf.DUMMYFUNCTION("""COMPUTED_VALUE"""),348342.0)</f>
        <v>348342</v>
      </c>
      <c r="C200" s="140" t="str">
        <f>IFERROR(__xludf.DUMMYFUNCTION("""COMPUTED_VALUE"""),"")</f>
        <v/>
      </c>
      <c r="D200" t="str">
        <f>IFERROR(__xludf.DUMMYFUNCTION("""COMPUTED_VALUE"""),"TJ Walker")</f>
        <v>TJ Walker</v>
      </c>
      <c r="E200" t="str">
        <f>IFERROR(__xludf.DUMMYFUNCTION("""COMPUTED_VALUE"""),"Redundant")</f>
        <v>Redundant</v>
      </c>
      <c r="F200" t="str">
        <f>IFERROR(__xludf.DUMMYFUNCTION("""COMPUTED_VALUE"""),"Sales")</f>
        <v>Sales</v>
      </c>
      <c r="G200" s="140">
        <f>IFERROR(__xludf.DUMMYFUNCTION("""COMPUTED_VALUE"""),414930.0)</f>
        <v>414930</v>
      </c>
      <c r="H200" s="140" t="str">
        <f>IFERROR(__xludf.DUMMYFUNCTION("""COMPUTED_VALUE"""),"")</f>
        <v/>
      </c>
    </row>
    <row r="201">
      <c r="A201" s="143">
        <f>IFERROR(__xludf.DUMMYFUNCTION("""COMPUTED_VALUE"""),42613.0)</f>
        <v>42613</v>
      </c>
      <c r="B201" s="140">
        <f>IFERROR(__xludf.DUMMYFUNCTION("""COMPUTED_VALUE"""),608980.0)</f>
        <v>608980</v>
      </c>
      <c r="C201" s="140" t="str">
        <f>IFERROR(__xludf.DUMMYFUNCTION("""COMPUTED_VALUE"""),"")</f>
        <v/>
      </c>
      <c r="D201" t="str">
        <f>IFERROR(__xludf.DUMMYFUNCTION("""COMPUTED_VALUE"""),"Can Studios")</f>
        <v>Can Studios</v>
      </c>
      <c r="E201" t="str">
        <f>IFERROR(__xludf.DUMMYFUNCTION("""COMPUTED_VALUE"""),"Instructor Opted Out")</f>
        <v>Instructor Opted Out</v>
      </c>
      <c r="F201" t="str">
        <f>IFERROR(__xludf.DUMMYFUNCTION("""COMPUTED_VALUE"""),"Human Resources")</f>
        <v>Human Resources</v>
      </c>
      <c r="G201" s="140">
        <f>IFERROR(__xludf.DUMMYFUNCTION("""COMPUTED_VALUE"""),415612.0)</f>
        <v>415612</v>
      </c>
      <c r="H201" s="140" t="str">
        <f>IFERROR(__xludf.DUMMYFUNCTION("""COMPUTED_VALUE"""),"")</f>
        <v/>
      </c>
      <c r="M201" t="str">
        <f>IFERROR(__xludf.DUMMYFUNCTION("""COMPUTED_VALUE"""),"Not a perfect match.")</f>
        <v>Not a perfect match.</v>
      </c>
    </row>
    <row r="202">
      <c r="A202" s="143">
        <f>IFERROR(__xludf.DUMMYFUNCTION("""COMPUTED_VALUE"""),42613.0)</f>
        <v>42613</v>
      </c>
      <c r="B202" s="140">
        <f>IFERROR(__xludf.DUMMYFUNCTION("""COMPUTED_VALUE"""),50728.0)</f>
        <v>50728</v>
      </c>
      <c r="C202" s="140" t="str">
        <f>IFERROR(__xludf.DUMMYFUNCTION("""COMPUTED_VALUE"""),"")</f>
        <v/>
      </c>
      <c r="D202" t="str">
        <f>IFERROR(__xludf.DUMMYFUNCTION("""COMPUTED_VALUE"""),"Michael Williams")</f>
        <v>Michael Williams</v>
      </c>
      <c r="E202" t="str">
        <f>IFERROR(__xludf.DUMMYFUNCTION("""COMPUTED_VALUE"""),"Below Quality Standards")</f>
        <v>Below Quality Standards</v>
      </c>
      <c r="F202" t="str">
        <f>IFERROR(__xludf.DUMMYFUNCTION("""COMPUTED_VALUE"""),"Soft Skills")</f>
        <v>Soft Skills</v>
      </c>
      <c r="G202" s="140">
        <f>IFERROR(__xludf.DUMMYFUNCTION("""COMPUTED_VALUE"""),424486.0)</f>
        <v>424486</v>
      </c>
      <c r="H202" s="140" t="str">
        <f>IFERROR(__xludf.DUMMYFUNCTION("""COMPUTED_VALUE"""),"")</f>
        <v/>
      </c>
    </row>
    <row r="203">
      <c r="A203" s="143">
        <f>IFERROR(__xludf.DUMMYFUNCTION("""COMPUTED_VALUE"""),42613.0)</f>
        <v>42613</v>
      </c>
      <c r="B203" s="140">
        <f>IFERROR(__xludf.DUMMYFUNCTION("""COMPUTED_VALUE"""),86192.0)</f>
        <v>86192</v>
      </c>
      <c r="C203" s="140" t="str">
        <f>IFERROR(__xludf.DUMMYFUNCTION("""COMPUTED_VALUE"""),"")</f>
        <v/>
      </c>
      <c r="D203" t="str">
        <f>IFERROR(__xludf.DUMMYFUNCTION("""COMPUTED_VALUE"""),"Michael Williams")</f>
        <v>Michael Williams</v>
      </c>
      <c r="E203" t="str">
        <f>IFERROR(__xludf.DUMMYFUNCTION("""COMPUTED_VALUE"""),"Below Quality Standards")</f>
        <v>Below Quality Standards</v>
      </c>
      <c r="F203" t="str">
        <f>IFERROR(__xludf.DUMMYFUNCTION("""COMPUTED_VALUE"""),"Soft Skills")</f>
        <v>Soft Skills</v>
      </c>
      <c r="G203" s="140">
        <f>IFERROR(__xludf.DUMMYFUNCTION("""COMPUTED_VALUE"""),424486.0)</f>
        <v>424486</v>
      </c>
      <c r="H203" s="140" t="str">
        <f>IFERROR(__xludf.DUMMYFUNCTION("""COMPUTED_VALUE"""),"")</f>
        <v/>
      </c>
    </row>
    <row r="204">
      <c r="A204" s="143">
        <f>IFERROR(__xludf.DUMMYFUNCTION("""COMPUTED_VALUE"""),42613.0)</f>
        <v>42613</v>
      </c>
      <c r="B204" s="140">
        <f>IFERROR(__xludf.DUMMYFUNCTION("""COMPUTED_VALUE"""),137216.0)</f>
        <v>137216</v>
      </c>
      <c r="C204" s="140" t="str">
        <f>IFERROR(__xludf.DUMMYFUNCTION("""COMPUTED_VALUE"""),"")</f>
        <v/>
      </c>
      <c r="D204" t="str">
        <f>IFERROR(__xludf.DUMMYFUNCTION("""COMPUTED_VALUE"""),"Jason Teteak")</f>
        <v>Jason Teteak</v>
      </c>
      <c r="E204" t="str">
        <f>IFERROR(__xludf.DUMMYFUNCTION("""COMPUTED_VALUE"""),"Instructor Request")</f>
        <v>Instructor Request</v>
      </c>
      <c r="F204" t="str">
        <f>IFERROR(__xludf.DUMMYFUNCTION("""COMPUTED_VALUE"""),"Soft Skills")</f>
        <v>Soft Skills</v>
      </c>
      <c r="G204" s="140">
        <f>IFERROR(__xludf.DUMMYFUNCTION("""COMPUTED_VALUE"""),429834.0)</f>
        <v>429834</v>
      </c>
      <c r="H204" s="140" t="str">
        <f>IFERROR(__xludf.DUMMYFUNCTION("""COMPUTED_VALUE"""),"")</f>
        <v/>
      </c>
    </row>
    <row r="205">
      <c r="A205" s="143">
        <f>IFERROR(__xludf.DUMMYFUNCTION("""COMPUTED_VALUE"""),42613.0)</f>
        <v>42613</v>
      </c>
      <c r="B205" s="140">
        <f>IFERROR(__xludf.DUMMYFUNCTION("""COMPUTED_VALUE"""),109092.0)</f>
        <v>109092</v>
      </c>
      <c r="C205" s="140" t="str">
        <f>IFERROR(__xludf.DUMMYFUNCTION("""COMPUTED_VALUE"""),"")</f>
        <v/>
      </c>
      <c r="D205" t="str">
        <f>IFERROR(__xludf.DUMMYFUNCTION("""COMPUTED_VALUE"""),"Simon Sez IT")</f>
        <v>Simon Sez IT</v>
      </c>
      <c r="E205" t="str">
        <f>IFERROR(__xludf.DUMMYFUNCTION("""COMPUTED_VALUE"""),"Below Quality Standards")</f>
        <v>Below Quality Standards</v>
      </c>
      <c r="F205" t="str">
        <f>IFERROR(__xludf.DUMMYFUNCTION("""COMPUTED_VALUE"""),"Office Productivity")</f>
        <v>Office Productivity</v>
      </c>
      <c r="G205" s="140">
        <f>IFERROR(__xludf.DUMMYFUNCTION("""COMPUTED_VALUE"""),43677.0)</f>
        <v>43677</v>
      </c>
      <c r="H205" s="140" t="str">
        <f>IFERROR(__xludf.DUMMYFUNCTION("""COMPUTED_VALUE"""),"")</f>
        <v/>
      </c>
    </row>
    <row r="206">
      <c r="A206" s="143">
        <f>IFERROR(__xludf.DUMMYFUNCTION("""COMPUTED_VALUE"""),42613.0)</f>
        <v>42613</v>
      </c>
      <c r="B206" s="140">
        <f>IFERROR(__xludf.DUMMYFUNCTION("""COMPUTED_VALUE"""),109094.0)</f>
        <v>109094</v>
      </c>
      <c r="C206" s="140" t="str">
        <f>IFERROR(__xludf.DUMMYFUNCTION("""COMPUTED_VALUE"""),"")</f>
        <v/>
      </c>
      <c r="D206" t="str">
        <f>IFERROR(__xludf.DUMMYFUNCTION("""COMPUTED_VALUE"""),"Simon Sez IT")</f>
        <v>Simon Sez IT</v>
      </c>
      <c r="E206" t="str">
        <f>IFERROR(__xludf.DUMMYFUNCTION("""COMPUTED_VALUE"""),"Below Quality Standards")</f>
        <v>Below Quality Standards</v>
      </c>
      <c r="F206" t="str">
        <f>IFERROR(__xludf.DUMMYFUNCTION("""COMPUTED_VALUE"""),"Office Productivity")</f>
        <v>Office Productivity</v>
      </c>
      <c r="G206" s="140">
        <f>IFERROR(__xludf.DUMMYFUNCTION("""COMPUTED_VALUE"""),43677.0)</f>
        <v>43677</v>
      </c>
      <c r="H206" s="140" t="str">
        <f>IFERROR(__xludf.DUMMYFUNCTION("""COMPUTED_VALUE"""),"")</f>
        <v/>
      </c>
    </row>
    <row r="207">
      <c r="A207" s="143">
        <f>IFERROR(__xludf.DUMMYFUNCTION("""COMPUTED_VALUE"""),42613.0)</f>
        <v>42613</v>
      </c>
      <c r="B207" s="140">
        <f>IFERROR(__xludf.DUMMYFUNCTION("""COMPUTED_VALUE"""),201292.0)</f>
        <v>201292</v>
      </c>
      <c r="C207" s="140" t="str">
        <f>IFERROR(__xludf.DUMMYFUNCTION("""COMPUTED_VALUE"""),"")</f>
        <v/>
      </c>
      <c r="D207" t="str">
        <f>IFERROR(__xludf.DUMMYFUNCTION("""COMPUTED_VALUE"""),"LearnToProgram, Inc.")</f>
        <v>LearnToProgram, Inc.</v>
      </c>
      <c r="E207" t="str">
        <f>IFERROR(__xludf.DUMMYFUNCTION("""COMPUTED_VALUE"""),"Below Quality Standards")</f>
        <v>Below Quality Standards</v>
      </c>
      <c r="F207" s="142" t="str">
        <f>IFERROR(__xludf.DUMMYFUNCTION("""COMPUTED_VALUE"""),"Front-End Programming")</f>
        <v>Front-End Programming</v>
      </c>
      <c r="G207" s="140">
        <f>IFERROR(__xludf.DUMMYFUNCTION("""COMPUTED_VALUE"""),461160.0)</f>
        <v>461160</v>
      </c>
      <c r="H207" s="140" t="str">
        <f>IFERROR(__xludf.DUMMYFUNCTION("""COMPUTED_VALUE"""),"")</f>
        <v/>
      </c>
    </row>
    <row r="208">
      <c r="A208" s="143">
        <f>IFERROR(__xludf.DUMMYFUNCTION("""COMPUTED_VALUE"""),42613.0)</f>
        <v>42613</v>
      </c>
      <c r="B208" s="140">
        <f>IFERROR(__xludf.DUMMYFUNCTION("""COMPUTED_VALUE"""),772618.0)</f>
        <v>772618</v>
      </c>
      <c r="C208" s="140" t="str">
        <f>IFERROR(__xludf.DUMMYFUNCTION("""COMPUTED_VALUE"""),"")</f>
        <v/>
      </c>
      <c r="D208" t="str">
        <f>IFERROR(__xludf.DUMMYFUNCTION("""COMPUTED_VALUE"""),"Eduonix Learning Solutions")</f>
        <v>Eduonix Learning Solutions</v>
      </c>
      <c r="E208" t="str">
        <f>IFERROR(__xludf.DUMMYFUNCTION("""COMPUTED_VALUE"""),"Redundant")</f>
        <v>Redundant</v>
      </c>
      <c r="F208" t="str">
        <f>IFERROR(__xludf.DUMMYFUNCTION("""COMPUTED_VALUE"""),"Back-End Programming")</f>
        <v>Back-End Programming</v>
      </c>
      <c r="G208" s="140">
        <f>IFERROR(__xludf.DUMMYFUNCTION("""COMPUTED_VALUE"""),473548.0)</f>
        <v>473548</v>
      </c>
      <c r="H208" s="140" t="str">
        <f>IFERROR(__xludf.DUMMYFUNCTION("""COMPUTED_VALUE"""),"")</f>
        <v/>
      </c>
    </row>
    <row r="209">
      <c r="A209" s="143">
        <f>IFERROR(__xludf.DUMMYFUNCTION("""COMPUTED_VALUE"""),42613.0)</f>
        <v>42613</v>
      </c>
      <c r="B209" s="140">
        <f>IFERROR(__xludf.DUMMYFUNCTION("""COMPUTED_VALUE"""),785782.0)</f>
        <v>785782</v>
      </c>
      <c r="C209" s="140" t="str">
        <f>IFERROR(__xludf.DUMMYFUNCTION("""COMPUTED_VALUE"""),"")</f>
        <v/>
      </c>
      <c r="D209" t="str">
        <f>IFERROR(__xludf.DUMMYFUNCTION("""COMPUTED_VALUE"""),"Eduonix Learning Solutions")</f>
        <v>Eduonix Learning Solutions</v>
      </c>
      <c r="E209" t="str">
        <f>IFERROR(__xludf.DUMMYFUNCTION("""COMPUTED_VALUE"""),"Below Quality Standards")</f>
        <v>Below Quality Standards</v>
      </c>
      <c r="F209" t="str">
        <f>IFERROR(__xludf.DUMMYFUNCTION("""COMPUTED_VALUE"""),"Mobile Development")</f>
        <v>Mobile Development</v>
      </c>
      <c r="G209" s="140">
        <f>IFERROR(__xludf.DUMMYFUNCTION("""COMPUTED_VALUE"""),1070124.0)</f>
        <v>1070124</v>
      </c>
      <c r="H209" s="140" t="str">
        <f>IFERROR(__xludf.DUMMYFUNCTION("""COMPUTED_VALUE"""),"")</f>
        <v/>
      </c>
    </row>
    <row r="210">
      <c r="A210" s="143">
        <f>IFERROR(__xludf.DUMMYFUNCTION("""COMPUTED_VALUE"""),42613.0)</f>
        <v>42613</v>
      </c>
      <c r="B210" s="140">
        <f>IFERROR(__xludf.DUMMYFUNCTION("""COMPUTED_VALUE"""),50080.0)</f>
        <v>50080</v>
      </c>
      <c r="C210" s="140" t="str">
        <f>IFERROR(__xludf.DUMMYFUNCTION("""COMPUTED_VALUE"""),"")</f>
        <v/>
      </c>
      <c r="D210" t="str">
        <f>IFERROR(__xludf.DUMMYFUNCTION("""COMPUTED_VALUE"""),"CompuWorks Trainers")</f>
        <v>CompuWorks Trainers</v>
      </c>
      <c r="E210" t="str">
        <f>IFERROR(__xludf.DUMMYFUNCTION("""COMPUTED_VALUE"""),"Redundant")</f>
        <v>Redundant</v>
      </c>
      <c r="F210" t="str">
        <f>IFERROR(__xludf.DUMMYFUNCTION("""COMPUTED_VALUE"""),"Office Productivity")</f>
        <v>Office Productivity</v>
      </c>
      <c r="G210" s="140">
        <f>IFERROR(__xludf.DUMMYFUNCTION("""COMPUTED_VALUE"""),48098.0)</f>
        <v>48098</v>
      </c>
      <c r="H210" s="140" t="str">
        <f>IFERROR(__xludf.DUMMYFUNCTION("""COMPUTED_VALUE"""),"")</f>
        <v/>
      </c>
    </row>
    <row r="211">
      <c r="A211" s="143">
        <f>IFERROR(__xludf.DUMMYFUNCTION("""COMPUTED_VALUE"""),42613.0)</f>
        <v>42613</v>
      </c>
      <c r="B211" s="140">
        <f>IFERROR(__xludf.DUMMYFUNCTION("""COMPUTED_VALUE"""),101588.0)</f>
        <v>101588</v>
      </c>
      <c r="C211" s="140" t="str">
        <f>IFERROR(__xludf.DUMMYFUNCTION("""COMPUTED_VALUE"""),"")</f>
        <v/>
      </c>
      <c r="D211" t="str">
        <f>IFERROR(__xludf.DUMMYFUNCTION("""COMPUTED_VALUE"""),"Andrew Macarthy ")</f>
        <v>Andrew Macarthy </v>
      </c>
      <c r="E211" t="str">
        <f>IFERROR(__xludf.DUMMYFUNCTION("""COMPUTED_VALUE"""),"Below Quality Standards + Outdated")</f>
        <v>Below Quality Standards + Outdated</v>
      </c>
      <c r="F211" t="str">
        <f>IFERROR(__xludf.DUMMYFUNCTION("""COMPUTED_VALUE"""),"Marketing")</f>
        <v>Marketing</v>
      </c>
      <c r="G211" s="140">
        <f>IFERROR(__xludf.DUMMYFUNCTION("""COMPUTED_VALUE"""),484606.0)</f>
        <v>484606</v>
      </c>
      <c r="H211" s="140" t="str">
        <f>IFERROR(__xludf.DUMMYFUNCTION("""COMPUTED_VALUE"""),"")</f>
        <v/>
      </c>
    </row>
    <row r="212">
      <c r="A212" s="143">
        <f>IFERROR(__xludf.DUMMYFUNCTION("""COMPUTED_VALUE"""),42613.0)</f>
        <v>42613</v>
      </c>
      <c r="B212" s="140">
        <f>IFERROR(__xludf.DUMMYFUNCTION("""COMPUTED_VALUE"""),8324.0)</f>
        <v>8324</v>
      </c>
      <c r="C212" s="140" t="str">
        <f>IFERROR(__xludf.DUMMYFUNCTION("""COMPUTED_VALUE"""),"")</f>
        <v/>
      </c>
      <c r="D212" t="str">
        <f>IFERROR(__xludf.DUMMYFUNCTION("""COMPUTED_VALUE"""),"LearnToProgram, Inc.")</f>
        <v>LearnToProgram, Inc.</v>
      </c>
      <c r="E212" t="str">
        <f>IFERROR(__xludf.DUMMYFUNCTION("""COMPUTED_VALUE"""),"Below Quality Standards")</f>
        <v>Below Quality Standards</v>
      </c>
      <c r="F212" t="str">
        <f>IFERROR(__xludf.DUMMYFUNCTION("""COMPUTED_VALUE"""),"Front-End Programming")</f>
        <v>Front-End Programming</v>
      </c>
      <c r="G212" s="140">
        <f>IFERROR(__xludf.DUMMYFUNCTION("""COMPUTED_VALUE"""),851712.0)</f>
        <v>851712</v>
      </c>
      <c r="H212" s="140" t="str">
        <f>IFERROR(__xludf.DUMMYFUNCTION("""COMPUTED_VALUE"""),"")</f>
        <v/>
      </c>
    </row>
    <row r="213">
      <c r="A213" s="143">
        <f>IFERROR(__xludf.DUMMYFUNCTION("""COMPUTED_VALUE"""),42613.0)</f>
        <v>42613</v>
      </c>
      <c r="B213" s="140">
        <f>IFERROR(__xludf.DUMMYFUNCTION("""COMPUTED_VALUE"""),500072.0)</f>
        <v>500072</v>
      </c>
      <c r="C213" s="140" t="str">
        <f>IFERROR(__xludf.DUMMYFUNCTION("""COMPUTED_VALUE"""),"")</f>
        <v/>
      </c>
      <c r="D213" t="str">
        <f>IFERROR(__xludf.DUMMYFUNCTION("""COMPUTED_VALUE"""),"László Csanaki Bognár ")</f>
        <v>László Csanaki Bognár </v>
      </c>
      <c r="E213" t="str">
        <f>IFERROR(__xludf.DUMMYFUNCTION("""COMPUTED_VALUE"""),"Below Quality Standards")</f>
        <v>Below Quality Standards</v>
      </c>
      <c r="F213" t="str">
        <f>IFERROR(__xludf.DUMMYFUNCTION("""COMPUTED_VALUE"""),"Data Science")</f>
        <v>Data Science</v>
      </c>
      <c r="H213" s="140" t="str">
        <f>IFERROR(__xludf.DUMMYFUNCTION("""COMPUTED_VALUE"""),"")</f>
        <v/>
      </c>
    </row>
    <row r="214">
      <c r="A214" s="143">
        <f>IFERROR(__xludf.DUMMYFUNCTION("""COMPUTED_VALUE"""),42613.0)</f>
        <v>42613</v>
      </c>
      <c r="B214" s="140">
        <f>IFERROR(__xludf.DUMMYFUNCTION("""COMPUTED_VALUE"""),200854.0)</f>
        <v>200854</v>
      </c>
      <c r="C214" s="140" t="str">
        <f>IFERROR(__xludf.DUMMYFUNCTION("""COMPUTED_VALUE"""),"")</f>
        <v/>
      </c>
      <c r="D214" t="str">
        <f>IFERROR(__xludf.DUMMYFUNCTION("""COMPUTED_VALUE"""),"Simon Sez IT")</f>
        <v>Simon Sez IT</v>
      </c>
      <c r="E214" t="str">
        <f>IFERROR(__xludf.DUMMYFUNCTION("""COMPUTED_VALUE"""),"Below Quality Standards")</f>
        <v>Below Quality Standards</v>
      </c>
      <c r="F214" t="str">
        <f>IFERROR(__xludf.DUMMYFUNCTION("""COMPUTED_VALUE"""),"Front-End Programming")</f>
        <v>Front-End Programming</v>
      </c>
      <c r="G214" s="140">
        <f>IFERROR(__xludf.DUMMYFUNCTION("""COMPUTED_VALUE"""),505208.0)</f>
        <v>505208</v>
      </c>
      <c r="H214" s="140" t="str">
        <f>IFERROR(__xludf.DUMMYFUNCTION("""COMPUTED_VALUE"""),"")</f>
        <v/>
      </c>
    </row>
    <row r="215">
      <c r="A215" s="143">
        <f>IFERROR(__xludf.DUMMYFUNCTION("""COMPUTED_VALUE"""),42613.0)</f>
        <v>42613</v>
      </c>
      <c r="B215" s="140">
        <f>IFERROR(__xludf.DUMMYFUNCTION("""COMPUTED_VALUE"""),287010.0)</f>
        <v>287010</v>
      </c>
      <c r="C215" s="140" t="str">
        <f>IFERROR(__xludf.DUMMYFUNCTION("""COMPUTED_VALUE"""),"")</f>
        <v/>
      </c>
      <c r="D215" t="str">
        <f>IFERROR(__xludf.DUMMYFUNCTION("""COMPUTED_VALUE"""),"Sandy Ludosky")</f>
        <v>Sandy Ludosky</v>
      </c>
      <c r="E215" t="str">
        <f>IFERROR(__xludf.DUMMYFUNCTION("""COMPUTED_VALUE"""),"Redundant")</f>
        <v>Redundant</v>
      </c>
      <c r="F215" t="str">
        <f>IFERROR(__xludf.DUMMYFUNCTION("""COMPUTED_VALUE"""),"Front-End Programming")</f>
        <v>Front-End Programming</v>
      </c>
      <c r="G215" s="140">
        <f>IFERROR(__xludf.DUMMYFUNCTION("""COMPUTED_VALUE"""),505208.0)</f>
        <v>505208</v>
      </c>
      <c r="H215" s="140" t="str">
        <f>IFERROR(__xludf.DUMMYFUNCTION("""COMPUTED_VALUE"""),"")</f>
        <v/>
      </c>
    </row>
    <row r="216">
      <c r="A216" s="143">
        <f>IFERROR(__xludf.DUMMYFUNCTION("""COMPUTED_VALUE"""),42613.0)</f>
        <v>42613</v>
      </c>
      <c r="B216" s="140">
        <f>IFERROR(__xludf.DUMMYFUNCTION("""COMPUTED_VALUE"""),8082.0)</f>
        <v>8082</v>
      </c>
      <c r="C216" s="140" t="str">
        <f>IFERROR(__xludf.DUMMYFUNCTION("""COMPUTED_VALUE"""),"")</f>
        <v/>
      </c>
      <c r="D216" t="str">
        <f>IFERROR(__xludf.DUMMYFUNCTION("""COMPUTED_VALUE"""),"Huw Collingbourne")</f>
        <v>Huw Collingbourne</v>
      </c>
      <c r="E216" t="str">
        <f>IFERROR(__xludf.DUMMYFUNCTION("""COMPUTED_VALUE"""),"Below Quality Standards")</f>
        <v>Below Quality Standards</v>
      </c>
      <c r="F216" t="str">
        <f>IFERROR(__xludf.DUMMYFUNCTION("""COMPUTED_VALUE"""),"Back-End Programming")</f>
        <v>Back-End Programming</v>
      </c>
      <c r="G216" s="140">
        <f>IFERROR(__xludf.DUMMYFUNCTION("""COMPUTED_VALUE"""),519442.0)</f>
        <v>519442</v>
      </c>
      <c r="H216" s="140" t="str">
        <f>IFERROR(__xludf.DUMMYFUNCTION("""COMPUTED_VALUE"""),"")</f>
        <v/>
      </c>
    </row>
    <row r="217">
      <c r="A217" s="143">
        <f>IFERROR(__xludf.DUMMYFUNCTION("""COMPUTED_VALUE"""),42613.0)</f>
        <v>42613</v>
      </c>
      <c r="B217" s="140">
        <f>IFERROR(__xludf.DUMMYFUNCTION("""COMPUTED_VALUE"""),129580.0)</f>
        <v>129580</v>
      </c>
      <c r="C217" s="140" t="str">
        <f>IFERROR(__xludf.DUMMYFUNCTION("""COMPUTED_VALUE"""),"")</f>
        <v/>
      </c>
      <c r="D217" t="str">
        <f>IFERROR(__xludf.DUMMYFUNCTION("""COMPUTED_VALUE"""),"Simon Sez IT")</f>
        <v>Simon Sez IT</v>
      </c>
      <c r="E217" t="str">
        <f>IFERROR(__xludf.DUMMYFUNCTION("""COMPUTED_VALUE"""),"Below Quality Standards")</f>
        <v>Below Quality Standards</v>
      </c>
      <c r="F217" t="str">
        <f>IFERROR(__xludf.DUMMYFUNCTION("""COMPUTED_VALUE"""),"Back-End Programming")</f>
        <v>Back-End Programming</v>
      </c>
      <c r="G217" s="140">
        <f>IFERROR(__xludf.DUMMYFUNCTION("""COMPUTED_VALUE"""),527952.0)</f>
        <v>527952</v>
      </c>
      <c r="H217" s="140" t="str">
        <f>IFERROR(__xludf.DUMMYFUNCTION("""COMPUTED_VALUE"""),"")</f>
        <v/>
      </c>
    </row>
    <row r="218">
      <c r="A218" s="143">
        <f>IFERROR(__xludf.DUMMYFUNCTION("""COMPUTED_VALUE"""),42613.0)</f>
        <v>42613</v>
      </c>
      <c r="B218" s="140">
        <f>IFERROR(__xludf.DUMMYFUNCTION("""COMPUTED_VALUE"""),123540.0)</f>
        <v>123540</v>
      </c>
      <c r="C218" s="140" t="str">
        <f>IFERROR(__xludf.DUMMYFUNCTION("""COMPUTED_VALUE"""),"")</f>
        <v/>
      </c>
      <c r="D218" t="str">
        <f>IFERROR(__xludf.DUMMYFUNCTION("""COMPUTED_VALUE"""),"Josh Ratta")</f>
        <v>Josh Ratta</v>
      </c>
      <c r="E218" t="str">
        <f>IFERROR(__xludf.DUMMYFUNCTION("""COMPUTED_VALUE"""),"Below Quality Standards")</f>
        <v>Below Quality Standards</v>
      </c>
      <c r="F218" t="str">
        <f>IFERROR(__xludf.DUMMYFUNCTION("""COMPUTED_VALUE"""),"Design")</f>
        <v>Design</v>
      </c>
      <c r="G218" s="140">
        <f>IFERROR(__xludf.DUMMYFUNCTION("""COMPUTED_VALUE"""),927360.0)</f>
        <v>927360</v>
      </c>
      <c r="H218" s="140" t="str">
        <f>IFERROR(__xludf.DUMMYFUNCTION("""COMPUTED_VALUE"""),"")</f>
        <v/>
      </c>
    </row>
    <row r="219">
      <c r="A219" s="143">
        <f>IFERROR(__xludf.DUMMYFUNCTION("""COMPUTED_VALUE"""),42613.0)</f>
        <v>42613</v>
      </c>
      <c r="B219" s="140">
        <f>IFERROR(__xludf.DUMMYFUNCTION("""COMPUTED_VALUE"""),139420.0)</f>
        <v>139420</v>
      </c>
      <c r="C219" s="140" t="str">
        <f>IFERROR(__xludf.DUMMYFUNCTION("""COMPUTED_VALUE"""),"")</f>
        <v/>
      </c>
      <c r="D219" t="str">
        <f>IFERROR(__xludf.DUMMYFUNCTION("""COMPUTED_VALUE"""),"Parallel Branch Inc")</f>
        <v>Parallel Branch Inc</v>
      </c>
      <c r="E219" t="str">
        <f>IFERROR(__xludf.DUMMYFUNCTION("""COMPUTED_VALUE"""),"Below Quality Standards")</f>
        <v>Below Quality Standards</v>
      </c>
      <c r="F219" t="str">
        <f>IFERROR(__xludf.DUMMYFUNCTION("""COMPUTED_VALUE"""),"Software and Systems")</f>
        <v>Software and Systems</v>
      </c>
      <c r="G219" s="140">
        <f>IFERROR(__xludf.DUMMYFUNCTION("""COMPUTED_VALUE"""),54557.0)</f>
        <v>54557</v>
      </c>
      <c r="H219" s="140" t="str">
        <f>IFERROR(__xludf.DUMMYFUNCTION("""COMPUTED_VALUE"""),"")</f>
        <v/>
      </c>
      <c r="I219" s="142" t="str">
        <f>IFERROR(__xludf.DUMMYFUNCTION("""COMPUTED_VALUE"""),"126134")</f>
        <v>126134</v>
      </c>
      <c r="J219" t="str">
        <f>IFERROR(__xludf.DUMMYFUNCTION("""COMPUTED_VALUE"""),"Oracle 11g PL/SQL Fundamentals II")</f>
        <v>Oracle 11g PL/SQL Fundamentals II</v>
      </c>
    </row>
    <row r="220">
      <c r="A220" s="143">
        <f>IFERROR(__xludf.DUMMYFUNCTION("""COMPUTED_VALUE"""),42613.0)</f>
        <v>42613</v>
      </c>
      <c r="B220" s="140">
        <f>IFERROR(__xludf.DUMMYFUNCTION("""COMPUTED_VALUE"""),524654.0)</f>
        <v>524654</v>
      </c>
      <c r="C220" s="140" t="str">
        <f>IFERROR(__xludf.DUMMYFUNCTION("""COMPUTED_VALUE"""),"")</f>
        <v/>
      </c>
      <c r="D220" t="str">
        <f>IFERROR(__xludf.DUMMYFUNCTION("""COMPUTED_VALUE"""),"Doug Stevenson")</f>
        <v>Doug Stevenson</v>
      </c>
      <c r="E220" t="str">
        <f>IFERROR(__xludf.DUMMYFUNCTION("""COMPUTED_VALUE"""),"Redundant")</f>
        <v>Redundant</v>
      </c>
      <c r="F220" t="str">
        <f>IFERROR(__xludf.DUMMYFUNCTION("""COMPUTED_VALUE"""),"Soft Skills")</f>
        <v>Soft Skills</v>
      </c>
      <c r="G220" s="140">
        <f>IFERROR(__xludf.DUMMYFUNCTION("""COMPUTED_VALUE"""),550604.0)</f>
        <v>550604</v>
      </c>
      <c r="H220" s="140" t="str">
        <f>IFERROR(__xludf.DUMMYFUNCTION("""COMPUTED_VALUE"""),"")</f>
        <v/>
      </c>
    </row>
    <row r="221">
      <c r="A221" s="143">
        <f>IFERROR(__xludf.DUMMYFUNCTION("""COMPUTED_VALUE"""),42613.0)</f>
        <v>42613</v>
      </c>
      <c r="B221" s="140">
        <f>IFERROR(__xludf.DUMMYFUNCTION("""COMPUTED_VALUE"""),49854.0)</f>
        <v>49854</v>
      </c>
      <c r="C221" s="140" t="str">
        <f>IFERROR(__xludf.DUMMYFUNCTION("""COMPUTED_VALUE"""),"")</f>
        <v/>
      </c>
      <c r="D221" t="str">
        <f>IFERROR(__xludf.DUMMYFUNCTION("""COMPUTED_VALUE"""),"CompuWorks Trainers")</f>
        <v>CompuWorks Trainers</v>
      </c>
      <c r="E221" t="str">
        <f>IFERROR(__xludf.DUMMYFUNCTION("""COMPUTED_VALUE"""),"Redundant")</f>
        <v>Redundant</v>
      </c>
      <c r="F221" t="str">
        <f>IFERROR(__xludf.DUMMYFUNCTION("""COMPUTED_VALUE"""),"Office Productivity")</f>
        <v>Office Productivity</v>
      </c>
      <c r="G221" s="140">
        <f>IFERROR(__xludf.DUMMYFUNCTION("""COMPUTED_VALUE"""),59325.0)</f>
        <v>59325</v>
      </c>
      <c r="H221" s="140" t="str">
        <f>IFERROR(__xludf.DUMMYFUNCTION("""COMPUTED_VALUE"""),"")</f>
        <v/>
      </c>
    </row>
    <row r="222">
      <c r="A222" s="143">
        <f>IFERROR(__xludf.DUMMYFUNCTION("""COMPUTED_VALUE"""),42613.0)</f>
        <v>42613</v>
      </c>
      <c r="B222" s="140">
        <f>IFERROR(__xludf.DUMMYFUNCTION("""COMPUTED_VALUE"""),343610.0)</f>
        <v>343610</v>
      </c>
      <c r="C222" s="140" t="str">
        <f>IFERROR(__xludf.DUMMYFUNCTION("""COMPUTED_VALUE"""),"")</f>
        <v/>
      </c>
      <c r="D222" t="str">
        <f>IFERROR(__xludf.DUMMYFUNCTION("""COMPUTED_VALUE"""),"John Wiley &amp; Sons, Inc.")</f>
        <v>John Wiley &amp; Sons, Inc.</v>
      </c>
      <c r="E222" t="str">
        <f>IFERROR(__xludf.DUMMYFUNCTION("""COMPUTED_VALUE"""),"Redundant")</f>
        <v>Redundant</v>
      </c>
      <c r="F222" t="str">
        <f>IFERROR(__xludf.DUMMYFUNCTION("""COMPUTED_VALUE"""),"Office Productivity")</f>
        <v>Office Productivity</v>
      </c>
      <c r="G222" s="140">
        <f>IFERROR(__xludf.DUMMYFUNCTION("""COMPUTED_VALUE"""),59325.0)</f>
        <v>59325</v>
      </c>
      <c r="H222" s="140" t="str">
        <f>IFERROR(__xludf.DUMMYFUNCTION("""COMPUTED_VALUE"""),"")</f>
        <v/>
      </c>
    </row>
    <row r="223">
      <c r="A223" s="143">
        <f>IFERROR(__xludf.DUMMYFUNCTION("""COMPUTED_VALUE"""),42613.0)</f>
        <v>42613</v>
      </c>
      <c r="B223" s="140">
        <f>IFERROR(__xludf.DUMMYFUNCTION("""COMPUTED_VALUE"""),46747.0)</f>
        <v>46747</v>
      </c>
      <c r="C223" s="140" t="str">
        <f>IFERROR(__xludf.DUMMYFUNCTION("""COMPUTED_VALUE"""),"")</f>
        <v/>
      </c>
      <c r="D223" t="str">
        <f>IFERROR(__xludf.DUMMYFUNCTION("""COMPUTED_VALUE"""),"Jesse Boyer")</f>
        <v>Jesse Boyer</v>
      </c>
      <c r="E223" t="str">
        <f>IFERROR(__xludf.DUMMYFUNCTION("""COMPUTED_VALUE"""),"Below Quality Standards")</f>
        <v>Below Quality Standards</v>
      </c>
      <c r="F223" t="str">
        <f>IFERROR(__xludf.DUMMYFUNCTION("""COMPUTED_VALUE"""),"Back-End Programming")</f>
        <v>Back-End Programming</v>
      </c>
      <c r="G223" s="140">
        <f>IFERROR(__xludf.DUMMYFUNCTION("""COMPUTED_VALUE"""),593544.0)</f>
        <v>593544</v>
      </c>
      <c r="H223" s="140" t="str">
        <f>IFERROR(__xludf.DUMMYFUNCTION("""COMPUTED_VALUE"""),"")</f>
        <v/>
      </c>
    </row>
    <row r="224">
      <c r="A224" s="143">
        <f>IFERROR(__xludf.DUMMYFUNCTION("""COMPUTED_VALUE"""),42613.0)</f>
        <v>42613</v>
      </c>
      <c r="B224" s="140">
        <f>IFERROR(__xludf.DUMMYFUNCTION("""COMPUTED_VALUE"""),241526.0)</f>
        <v>241526</v>
      </c>
      <c r="C224" s="140" t="str">
        <f>IFERROR(__xludf.DUMMYFUNCTION("""COMPUTED_VALUE"""),"")</f>
        <v/>
      </c>
      <c r="D224" t="str">
        <f>IFERROR(__xludf.DUMMYFUNCTION("""COMPUTED_VALUE"""),"Akash Karia ")</f>
        <v>Akash Karia </v>
      </c>
      <c r="E224" t="str">
        <f>IFERROR(__xludf.DUMMYFUNCTION("""COMPUTED_VALUE"""),"Below Quality Standards")</f>
        <v>Below Quality Standards</v>
      </c>
      <c r="F224" t="str">
        <f>IFERROR(__xludf.DUMMYFUNCTION("""COMPUTED_VALUE"""),"Soft Skills")</f>
        <v>Soft Skills</v>
      </c>
      <c r="G224" s="140">
        <f>IFERROR(__xludf.DUMMYFUNCTION("""COMPUTED_VALUE"""),615274.0)</f>
        <v>615274</v>
      </c>
      <c r="H224" s="140" t="str">
        <f>IFERROR(__xludf.DUMMYFUNCTION("""COMPUTED_VALUE"""),"")</f>
        <v/>
      </c>
      <c r="I224" s="142" t="str">
        <f>IFERROR(__xludf.DUMMYFUNCTION("""COMPUTED_VALUE"""),"698200")</f>
        <v>698200</v>
      </c>
      <c r="J224" t="str">
        <f>IFERROR(__xludf.DUMMYFUNCTION("""COMPUTED_VALUE"""),"Success: How to Set and Achieve Goals")</f>
        <v>Success: How to Set and Achieve Goals</v>
      </c>
    </row>
    <row r="225">
      <c r="A225" s="143">
        <f>IFERROR(__xludf.DUMMYFUNCTION("""COMPUTED_VALUE"""),42613.0)</f>
        <v>42613</v>
      </c>
      <c r="B225" s="140">
        <f>IFERROR(__xludf.DUMMYFUNCTION("""COMPUTED_VALUE"""),606888.0)</f>
        <v>606888</v>
      </c>
      <c r="C225" s="140" t="str">
        <f>IFERROR(__xludf.DUMMYFUNCTION("""COMPUTED_VALUE"""),"")</f>
        <v/>
      </c>
      <c r="D225" t="str">
        <f>IFERROR(__xludf.DUMMYFUNCTION("""COMPUTED_VALUE"""),"Can Studios")</f>
        <v>Can Studios</v>
      </c>
      <c r="E225" t="str">
        <f>IFERROR(__xludf.DUMMYFUNCTION("""COMPUTED_VALUE"""),"Instructor Opted Out")</f>
        <v>Instructor Opted Out</v>
      </c>
      <c r="F225" t="str">
        <f>IFERROR(__xludf.DUMMYFUNCTION("""COMPUTED_VALUE"""),"Sales")</f>
        <v>Sales</v>
      </c>
      <c r="G225" s="140">
        <f>IFERROR(__xludf.DUMMYFUNCTION("""COMPUTED_VALUE"""),640964.0)</f>
        <v>640964</v>
      </c>
      <c r="H225" s="140" t="str">
        <f>IFERROR(__xludf.DUMMYFUNCTION("""COMPUTED_VALUE"""),"")</f>
        <v/>
      </c>
      <c r="I225" s="142" t="str">
        <f>IFERROR(__xludf.DUMMYFUNCTION("""COMPUTED_VALUE"""),"672290")</f>
        <v>672290</v>
      </c>
      <c r="J225" t="str">
        <f>IFERROR(__xludf.DUMMYFUNCTION("""COMPUTED_VALUE"""),"Brilliant Customer Service: How to Impress your Customers!")</f>
        <v>Brilliant Customer Service: How to Impress your Customers!</v>
      </c>
    </row>
    <row r="226">
      <c r="A226" s="143">
        <f>IFERROR(__xludf.DUMMYFUNCTION("""COMPUTED_VALUE"""),42613.0)</f>
        <v>42613</v>
      </c>
      <c r="B226" s="140">
        <f>IFERROR(__xludf.DUMMYFUNCTION("""COMPUTED_VALUE"""),56251.0)</f>
        <v>56251</v>
      </c>
      <c r="C226" s="140" t="str">
        <f>IFERROR(__xludf.DUMMYFUNCTION("""COMPUTED_VALUE"""),"")</f>
        <v/>
      </c>
      <c r="D226" t="str">
        <f>IFERROR(__xludf.DUMMYFUNCTION("""COMPUTED_VALUE"""),"Learn iT! Anytime")</f>
        <v>Learn iT! Anytime</v>
      </c>
      <c r="E226" t="str">
        <f>IFERROR(__xludf.DUMMYFUNCTION("""COMPUTED_VALUE"""),"Redundant")</f>
        <v>Redundant</v>
      </c>
      <c r="F226" t="str">
        <f>IFERROR(__xludf.DUMMYFUNCTION("""COMPUTED_VALUE"""),"Front-End Programming")</f>
        <v>Front-End Programming</v>
      </c>
      <c r="G226" s="140">
        <f>IFERROR(__xludf.DUMMYFUNCTION("""COMPUTED_VALUE"""),876850.0)</f>
        <v>876850</v>
      </c>
      <c r="H226" s="140" t="str">
        <f>IFERROR(__xludf.DUMMYFUNCTION("""COMPUTED_VALUE"""),"")</f>
        <v/>
      </c>
      <c r="I226" s="142" t="str">
        <f>IFERROR(__xludf.DUMMYFUNCTION("""COMPUTED_VALUE"""),"876850")</f>
        <v>876850</v>
      </c>
      <c r="J226" s="145" t="str">
        <f>IFERROR(__xludf.DUMMYFUNCTION("""COMPUTED_VALUE"""),"HTML5 Specialist: Comprehensive HTML5 Training")</f>
        <v>HTML5 Specialist: Comprehensive HTML5 Training</v>
      </c>
    </row>
    <row r="227">
      <c r="A227" s="143">
        <f>IFERROR(__xludf.DUMMYFUNCTION("""COMPUTED_VALUE"""),42613.0)</f>
        <v>42613</v>
      </c>
      <c r="B227" s="140">
        <f>IFERROR(__xludf.DUMMYFUNCTION("""COMPUTED_VALUE"""),603756.0)</f>
        <v>603756</v>
      </c>
      <c r="C227" s="140" t="str">
        <f>IFERROR(__xludf.DUMMYFUNCTION("""COMPUTED_VALUE"""),"")</f>
        <v/>
      </c>
      <c r="D227" t="str">
        <f>IFERROR(__xludf.DUMMYFUNCTION("""COMPUTED_VALUE"""),"Scott Duffy")</f>
        <v>Scott Duffy</v>
      </c>
      <c r="E227" t="str">
        <f>IFERROR(__xludf.DUMMYFUNCTION("""COMPUTED_VALUE"""),"Below Quality Standards")</f>
        <v>Below Quality Standards</v>
      </c>
      <c r="F227" t="str">
        <f>IFERROR(__xludf.DUMMYFUNCTION("""COMPUTED_VALUE"""),"Design")</f>
        <v>Design</v>
      </c>
      <c r="G227" s="140">
        <f>IFERROR(__xludf.DUMMYFUNCTION("""COMPUTED_VALUE"""),530088.0)</f>
        <v>530088</v>
      </c>
      <c r="H227" s="140" t="str">
        <f>IFERROR(__xludf.DUMMYFUNCTION("""COMPUTED_VALUE"""),"")</f>
        <v/>
      </c>
    </row>
    <row r="228">
      <c r="A228" s="143">
        <f>IFERROR(__xludf.DUMMYFUNCTION("""COMPUTED_VALUE"""),42613.0)</f>
        <v>42613</v>
      </c>
      <c r="B228" s="140">
        <f>IFERROR(__xludf.DUMMYFUNCTION("""COMPUTED_VALUE"""),660922.0)</f>
        <v>660922</v>
      </c>
      <c r="C228" s="140" t="str">
        <f>IFERROR(__xludf.DUMMYFUNCTION("""COMPUTED_VALUE"""),"")</f>
        <v/>
      </c>
      <c r="D228" t="str">
        <f>IFERROR(__xludf.DUMMYFUNCTION("""COMPUTED_VALUE"""),"Simon Sez IT")</f>
        <v>Simon Sez IT</v>
      </c>
      <c r="E228" t="str">
        <f>IFERROR(__xludf.DUMMYFUNCTION("""COMPUTED_VALUE"""),"Below Quality Standards")</f>
        <v>Below Quality Standards</v>
      </c>
      <c r="F228" t="str">
        <f>IFERROR(__xludf.DUMMYFUNCTION("""COMPUTED_VALUE"""),"Office Productivity")</f>
        <v>Office Productivity</v>
      </c>
      <c r="G228" s="140">
        <f>IFERROR(__xludf.DUMMYFUNCTION("""COMPUTED_VALUE"""),659464.0)</f>
        <v>659464</v>
      </c>
      <c r="H228" s="140" t="str">
        <f>IFERROR(__xludf.DUMMYFUNCTION("""COMPUTED_VALUE"""),"")</f>
        <v/>
      </c>
    </row>
    <row r="229">
      <c r="A229" s="143">
        <f>IFERROR(__xludf.DUMMYFUNCTION("""COMPUTED_VALUE"""),42613.0)</f>
        <v>42613</v>
      </c>
      <c r="B229" s="140">
        <f>IFERROR(__xludf.DUMMYFUNCTION("""COMPUTED_VALUE"""),129884.0)</f>
        <v>129884</v>
      </c>
      <c r="C229" s="140" t="str">
        <f>IFERROR(__xludf.DUMMYFUNCTION("""COMPUTED_VALUE"""),"")</f>
        <v/>
      </c>
      <c r="D229" t="str">
        <f>IFERROR(__xludf.DUMMYFUNCTION("""COMPUTED_VALUE"""),"Andrew Macarthy")</f>
        <v>Andrew Macarthy</v>
      </c>
      <c r="E229" t="str">
        <f>IFERROR(__xludf.DUMMYFUNCTION("""COMPUTED_VALUE"""),"Below Quality Standards")</f>
        <v>Below Quality Standards</v>
      </c>
      <c r="F229" t="str">
        <f>IFERROR(__xludf.DUMMYFUNCTION("""COMPUTED_VALUE"""),"Marketing")</f>
        <v>Marketing</v>
      </c>
      <c r="G229" s="140">
        <f>IFERROR(__xludf.DUMMYFUNCTION("""COMPUTED_VALUE"""),777390.0)</f>
        <v>777390</v>
      </c>
      <c r="H229" s="140" t="str">
        <f>IFERROR(__xludf.DUMMYFUNCTION("""COMPUTED_VALUE"""),"")</f>
        <v/>
      </c>
    </row>
    <row r="230">
      <c r="A230" s="143">
        <f>IFERROR(__xludf.DUMMYFUNCTION("""COMPUTED_VALUE"""),42613.0)</f>
        <v>42613</v>
      </c>
      <c r="B230" s="140">
        <f>IFERROR(__xludf.DUMMYFUNCTION("""COMPUTED_VALUE"""),153726.0)</f>
        <v>153726</v>
      </c>
      <c r="C230" s="140" t="str">
        <f>IFERROR(__xludf.DUMMYFUNCTION("""COMPUTED_VALUE"""),"")</f>
        <v/>
      </c>
      <c r="D230" t="str">
        <f>IFERROR(__xludf.DUMMYFUNCTION("""COMPUTED_VALUE"""),"John Wiley &amp; Sons, Inc.")</f>
        <v>John Wiley &amp; Sons, Inc.</v>
      </c>
      <c r="E230" t="str">
        <f>IFERROR(__xludf.DUMMYFUNCTION("""COMPUTED_VALUE"""),"Below Quality Standards")</f>
        <v>Below Quality Standards</v>
      </c>
      <c r="F230" t="str">
        <f>IFERROR(__xludf.DUMMYFUNCTION("""COMPUTED_VALUE"""),"Office Productivity")</f>
        <v>Office Productivity</v>
      </c>
      <c r="G230" s="140">
        <f>IFERROR(__xludf.DUMMYFUNCTION("""COMPUTED_VALUE"""),690066.0)</f>
        <v>690066</v>
      </c>
      <c r="H230" s="140" t="str">
        <f>IFERROR(__xludf.DUMMYFUNCTION("""COMPUTED_VALUE"""),"")</f>
        <v/>
      </c>
    </row>
    <row r="231">
      <c r="A231" s="143">
        <f>IFERROR(__xludf.DUMMYFUNCTION("""COMPUTED_VALUE"""),42613.0)</f>
        <v>42613</v>
      </c>
      <c r="B231" s="140">
        <f>IFERROR(__xludf.DUMMYFUNCTION("""COMPUTED_VALUE"""),540962.0)</f>
        <v>540962</v>
      </c>
      <c r="C231" s="140" t="str">
        <f>IFERROR(__xludf.DUMMYFUNCTION("""COMPUTED_VALUE"""),"")</f>
        <v/>
      </c>
      <c r="D231" t="str">
        <f>IFERROR(__xludf.DUMMYFUNCTION("""COMPUTED_VALUE"""),"Simon Sez IT")</f>
        <v>Simon Sez IT</v>
      </c>
      <c r="E231" t="str">
        <f>IFERROR(__xludf.DUMMYFUNCTION("""COMPUTED_VALUE"""),"Below Quality Standards")</f>
        <v>Below Quality Standards</v>
      </c>
      <c r="F231" t="str">
        <f>IFERROR(__xludf.DUMMYFUNCTION("""COMPUTED_VALUE"""),"Office Productivity")</f>
        <v>Office Productivity</v>
      </c>
      <c r="G231" s="140">
        <f>IFERROR(__xludf.DUMMYFUNCTION("""COMPUTED_VALUE"""),690066.0)</f>
        <v>690066</v>
      </c>
      <c r="H231" s="140" t="str">
        <f>IFERROR(__xludf.DUMMYFUNCTION("""COMPUTED_VALUE"""),"")</f>
        <v/>
      </c>
    </row>
    <row r="232">
      <c r="A232" s="143">
        <f>IFERROR(__xludf.DUMMYFUNCTION("""COMPUTED_VALUE"""),42613.0)</f>
        <v>42613</v>
      </c>
      <c r="B232" s="140">
        <f>IFERROR(__xludf.DUMMYFUNCTION("""COMPUTED_VALUE"""),647648.0)</f>
        <v>647648</v>
      </c>
      <c r="C232" s="140" t="str">
        <f>IFERROR(__xludf.DUMMYFUNCTION("""COMPUTED_VALUE"""),"")</f>
        <v/>
      </c>
      <c r="D232" t="str">
        <f>IFERROR(__xludf.DUMMYFUNCTION("""COMPUTED_VALUE"""),"Simon Sez IT")</f>
        <v>Simon Sez IT</v>
      </c>
      <c r="E232" t="str">
        <f>IFERROR(__xludf.DUMMYFUNCTION("""COMPUTED_VALUE"""),"Below Quality Standards")</f>
        <v>Below Quality Standards</v>
      </c>
      <c r="F232" t="str">
        <f>IFERROR(__xludf.DUMMYFUNCTION("""COMPUTED_VALUE"""),"Office Productivity")</f>
        <v>Office Productivity</v>
      </c>
      <c r="G232" s="140">
        <f>IFERROR(__xludf.DUMMYFUNCTION("""COMPUTED_VALUE"""),690066.0)</f>
        <v>690066</v>
      </c>
      <c r="H232" s="140" t="str">
        <f>IFERROR(__xludf.DUMMYFUNCTION("""COMPUTED_VALUE"""),"")</f>
        <v/>
      </c>
    </row>
    <row r="233">
      <c r="A233" s="143">
        <f>IFERROR(__xludf.DUMMYFUNCTION("""COMPUTED_VALUE"""),42613.0)</f>
        <v>42613</v>
      </c>
      <c r="B233" s="140">
        <f>IFERROR(__xludf.DUMMYFUNCTION("""COMPUTED_VALUE"""),656972.0)</f>
        <v>656972</v>
      </c>
      <c r="C233" s="140" t="str">
        <f>IFERROR(__xludf.DUMMYFUNCTION("""COMPUTED_VALUE"""),"")</f>
        <v/>
      </c>
      <c r="D233" t="str">
        <f>IFERROR(__xludf.DUMMYFUNCTION("""COMPUTED_VALUE"""),"Simon Sez IT")</f>
        <v>Simon Sez IT</v>
      </c>
      <c r="E233" t="str">
        <f>IFERROR(__xludf.DUMMYFUNCTION("""COMPUTED_VALUE"""),"Below Quality Standards")</f>
        <v>Below Quality Standards</v>
      </c>
      <c r="F233" t="str">
        <f>IFERROR(__xludf.DUMMYFUNCTION("""COMPUTED_VALUE"""),"Office Productivity")</f>
        <v>Office Productivity</v>
      </c>
      <c r="G233" s="140">
        <f>IFERROR(__xludf.DUMMYFUNCTION("""COMPUTED_VALUE"""),690066.0)</f>
        <v>690066</v>
      </c>
      <c r="H233" s="140" t="str">
        <f>IFERROR(__xludf.DUMMYFUNCTION("""COMPUTED_VALUE"""),"")</f>
        <v/>
      </c>
    </row>
    <row r="234">
      <c r="A234" s="143">
        <f>IFERROR(__xludf.DUMMYFUNCTION("""COMPUTED_VALUE"""),42613.0)</f>
        <v>42613</v>
      </c>
      <c r="B234" s="140">
        <f>IFERROR(__xludf.DUMMYFUNCTION("""COMPUTED_VALUE"""),145370.0)</f>
        <v>145370</v>
      </c>
      <c r="C234" s="140" t="str">
        <f>IFERROR(__xludf.DUMMYFUNCTION("""COMPUTED_VALUE"""),"")</f>
        <v/>
      </c>
      <c r="D234" t="str">
        <f>IFERROR(__xludf.DUMMYFUNCTION("""COMPUTED_VALUE"""),"Simon Sez IT")</f>
        <v>Simon Sez IT</v>
      </c>
      <c r="E234" t="str">
        <f>IFERROR(__xludf.DUMMYFUNCTION("""COMPUTED_VALUE"""),"Below Quality Standards")</f>
        <v>Below Quality Standards</v>
      </c>
      <c r="F234" t="str">
        <f>IFERROR(__xludf.DUMMYFUNCTION("""COMPUTED_VALUE"""),"Back-End Programming")</f>
        <v>Back-End Programming</v>
      </c>
      <c r="G234" s="140">
        <f>IFERROR(__xludf.DUMMYFUNCTION("""COMPUTED_VALUE"""),740762.0)</f>
        <v>740762</v>
      </c>
      <c r="H234" s="140" t="str">
        <f>IFERROR(__xludf.DUMMYFUNCTION("""COMPUTED_VALUE"""),"")</f>
        <v/>
      </c>
    </row>
    <row r="235">
      <c r="A235" s="143">
        <f>IFERROR(__xludf.DUMMYFUNCTION("""COMPUTED_VALUE"""),42613.0)</f>
        <v>42613</v>
      </c>
      <c r="B235" s="140">
        <f>IFERROR(__xludf.DUMMYFUNCTION("""COMPUTED_VALUE"""),382516.0)</f>
        <v>382516</v>
      </c>
      <c r="C235" s="140" t="str">
        <f>IFERROR(__xludf.DUMMYFUNCTION("""COMPUTED_VALUE"""),"")</f>
        <v/>
      </c>
      <c r="D235" t="str">
        <f>IFERROR(__xludf.DUMMYFUNCTION("""COMPUTED_VALUE"""),"Don Hussey")</f>
        <v>Don Hussey</v>
      </c>
      <c r="E235" t="str">
        <f>IFERROR(__xludf.DUMMYFUNCTION("""COMPUTED_VALUE"""),"Below Quality Standards")</f>
        <v>Below Quality Standards</v>
      </c>
      <c r="F235" t="str">
        <f>IFERROR(__xludf.DUMMYFUNCTION("""COMPUTED_VALUE"""),"Strategy")</f>
        <v>Strategy</v>
      </c>
      <c r="G235" s="140">
        <f>IFERROR(__xludf.DUMMYFUNCTION("""COMPUTED_VALUE"""),751792.0)</f>
        <v>751792</v>
      </c>
      <c r="H235" s="140" t="str">
        <f>IFERROR(__xludf.DUMMYFUNCTION("""COMPUTED_VALUE"""),"")</f>
        <v/>
      </c>
    </row>
    <row r="236">
      <c r="A236" s="143">
        <f>IFERROR(__xludf.DUMMYFUNCTION("""COMPUTED_VALUE"""),42613.0)</f>
        <v>42613</v>
      </c>
      <c r="B236" s="140">
        <f>IFERROR(__xludf.DUMMYFUNCTION("""COMPUTED_VALUE"""),212400.0)</f>
        <v>212400</v>
      </c>
      <c r="C236" s="140" t="str">
        <f>IFERROR(__xludf.DUMMYFUNCTION("""COMPUTED_VALUE"""),"")</f>
        <v/>
      </c>
      <c r="D236" t="str">
        <f>IFERROR(__xludf.DUMMYFUNCTION("""COMPUTED_VALUE"""),"RefactorU LLC")</f>
        <v>RefactorU LLC</v>
      </c>
      <c r="E236" t="str">
        <f>IFERROR(__xludf.DUMMYFUNCTION("""COMPUTED_VALUE"""),"Redundant")</f>
        <v>Redundant</v>
      </c>
      <c r="F236" t="str">
        <f>IFERROR(__xludf.DUMMYFUNCTION("""COMPUTED_VALUE"""),"Back-End Programming")</f>
        <v>Back-End Programming</v>
      </c>
      <c r="G236" s="140">
        <f>IFERROR(__xludf.DUMMYFUNCTION("""COMPUTED_VALUE"""),764164.0)</f>
        <v>764164</v>
      </c>
      <c r="H236" s="140" t="str">
        <f>IFERROR(__xludf.DUMMYFUNCTION("""COMPUTED_VALUE"""),"")</f>
        <v/>
      </c>
      <c r="I236" s="142" t="str">
        <f>IFERROR(__xludf.DUMMYFUNCTION("""COMPUTED_VALUE"""),"625204")</f>
        <v>625204</v>
      </c>
      <c r="J236" t="str">
        <f>IFERROR(__xludf.DUMMYFUNCTION("""COMPUTED_VALUE"""),"The Web Developer Bootcamp")</f>
        <v>The Web Developer Bootcamp</v>
      </c>
    </row>
    <row r="237">
      <c r="A237" s="143">
        <f>IFERROR(__xludf.DUMMYFUNCTION("""COMPUTED_VALUE"""),42613.0)</f>
        <v>42613</v>
      </c>
      <c r="B237" s="140">
        <f>IFERROR(__xludf.DUMMYFUNCTION("""COMPUTED_VALUE"""),288466.0)</f>
        <v>288466</v>
      </c>
      <c r="C237" s="140" t="str">
        <f>IFERROR(__xludf.DUMMYFUNCTION("""COMPUTED_VALUE"""),"")</f>
        <v/>
      </c>
      <c r="D237" t="str">
        <f>IFERROR(__xludf.DUMMYFUNCTION("""COMPUTED_VALUE"""),"Simon Sez IT")</f>
        <v>Simon Sez IT</v>
      </c>
      <c r="E237" t="str">
        <f>IFERROR(__xludf.DUMMYFUNCTION("""COMPUTED_VALUE"""),"Redundant")</f>
        <v>Redundant</v>
      </c>
      <c r="F237" t="str">
        <f>IFERROR(__xludf.DUMMYFUNCTION("""COMPUTED_VALUE"""),"Back-End Programming")</f>
        <v>Back-End Programming</v>
      </c>
      <c r="G237" s="140">
        <f>IFERROR(__xludf.DUMMYFUNCTION("""COMPUTED_VALUE"""),764164.0)</f>
        <v>764164</v>
      </c>
      <c r="H237" s="140" t="str">
        <f>IFERROR(__xludf.DUMMYFUNCTION("""COMPUTED_VALUE"""),"")</f>
        <v/>
      </c>
      <c r="I237" s="142" t="str">
        <f>IFERROR(__xludf.DUMMYFUNCTION("""COMPUTED_VALUE"""),"625204")</f>
        <v>625204</v>
      </c>
      <c r="J237" t="str">
        <f>IFERROR(__xludf.DUMMYFUNCTION("""COMPUTED_VALUE"""),"The Web Developer Bootcamp")</f>
        <v>The Web Developer Bootcamp</v>
      </c>
    </row>
    <row r="238">
      <c r="A238" s="143">
        <f>IFERROR(__xludf.DUMMYFUNCTION("""COMPUTED_VALUE"""),42613.0)</f>
        <v>42613</v>
      </c>
      <c r="B238" s="140">
        <f>IFERROR(__xludf.DUMMYFUNCTION("""COMPUTED_VALUE"""),330386.0)</f>
        <v>330386</v>
      </c>
      <c r="C238" s="140" t="str">
        <f>IFERROR(__xludf.DUMMYFUNCTION("""COMPUTED_VALUE"""),"")</f>
        <v/>
      </c>
      <c r="D238" t="str">
        <f>IFERROR(__xludf.DUMMYFUNCTION("""COMPUTED_VALUE"""),"R-Tutorials Training")</f>
        <v>R-Tutorials Training</v>
      </c>
      <c r="E238" t="str">
        <f>IFERROR(__xludf.DUMMYFUNCTION("""COMPUTED_VALUE"""),"Below Quality Standards")</f>
        <v>Below Quality Standards</v>
      </c>
      <c r="F238" t="str">
        <f>IFERROR(__xludf.DUMMYFUNCTION("""COMPUTED_VALUE"""),"Data Science")</f>
        <v>Data Science</v>
      </c>
      <c r="G238" s="140">
        <f>IFERROR(__xludf.DUMMYFUNCTION("""COMPUTED_VALUE"""),765242.0)</f>
        <v>765242</v>
      </c>
      <c r="H238" s="140" t="str">
        <f>IFERROR(__xludf.DUMMYFUNCTION("""COMPUTED_VALUE"""),"")</f>
        <v/>
      </c>
    </row>
    <row r="239">
      <c r="A239" s="143">
        <f>IFERROR(__xludf.DUMMYFUNCTION("""COMPUTED_VALUE"""),42613.0)</f>
        <v>42613</v>
      </c>
      <c r="B239" s="140">
        <f>IFERROR(__xludf.DUMMYFUNCTION("""COMPUTED_VALUE"""),375989.0)</f>
        <v>375989</v>
      </c>
      <c r="C239" s="140" t="str">
        <f>IFERROR(__xludf.DUMMYFUNCTION("""COMPUTED_VALUE"""),"")</f>
        <v/>
      </c>
      <c r="D239" t="str">
        <f>IFERROR(__xludf.DUMMYFUNCTION("""COMPUTED_VALUE"""),"Gopal Prasad Malakar")</f>
        <v>Gopal Prasad Malakar</v>
      </c>
      <c r="E239" t="str">
        <f>IFERROR(__xludf.DUMMYFUNCTION("""COMPUTED_VALUE"""),"Below Quality Standards")</f>
        <v>Below Quality Standards</v>
      </c>
      <c r="F239" t="str">
        <f>IFERROR(__xludf.DUMMYFUNCTION("""COMPUTED_VALUE"""),"Data Science")</f>
        <v>Data Science</v>
      </c>
      <c r="G239" s="140">
        <f>IFERROR(__xludf.DUMMYFUNCTION("""COMPUTED_VALUE"""),765242.0)</f>
        <v>765242</v>
      </c>
      <c r="H239" s="140" t="str">
        <f>IFERROR(__xludf.DUMMYFUNCTION("""COMPUTED_VALUE"""),"")</f>
        <v/>
      </c>
    </row>
    <row r="240">
      <c r="A240" s="143">
        <f>IFERROR(__xludf.DUMMYFUNCTION("""COMPUTED_VALUE"""),42613.0)</f>
        <v>42613</v>
      </c>
      <c r="B240" s="140">
        <f>IFERROR(__xludf.DUMMYFUNCTION("""COMPUTED_VALUE"""),110718.0)</f>
        <v>110718</v>
      </c>
      <c r="C240" s="140" t="str">
        <f>IFERROR(__xludf.DUMMYFUNCTION("""COMPUTED_VALUE"""),"")</f>
        <v/>
      </c>
      <c r="D240" t="str">
        <f>IFERROR(__xludf.DUMMYFUNCTION("""COMPUTED_VALUE"""),"Accelerate Learning &amp; Development")</f>
        <v>Accelerate Learning &amp; Development</v>
      </c>
      <c r="E240" t="str">
        <f>IFERROR(__xludf.DUMMYFUNCTION("""COMPUTED_VALUE"""),"Outdated Content")</f>
        <v>Outdated Content</v>
      </c>
      <c r="F240" t="str">
        <f>IFERROR(__xludf.DUMMYFUNCTION("""COMPUTED_VALUE"""),"Human Resources")</f>
        <v>Human Resources</v>
      </c>
      <c r="H240" s="140" t="str">
        <f>IFERROR(__xludf.DUMMYFUNCTION("""COMPUTED_VALUE"""),"")</f>
        <v/>
      </c>
    </row>
    <row r="241">
      <c r="A241" s="143">
        <f>IFERROR(__xludf.DUMMYFUNCTION("""COMPUTED_VALUE"""),42613.0)</f>
        <v>42613</v>
      </c>
      <c r="B241" s="140">
        <f>IFERROR(__xludf.DUMMYFUNCTION("""COMPUTED_VALUE"""),200080.0)</f>
        <v>200080</v>
      </c>
      <c r="C241" s="140" t="str">
        <f>IFERROR(__xludf.DUMMYFUNCTION("""COMPUTED_VALUE"""),"")</f>
        <v/>
      </c>
      <c r="D241" t="str">
        <f>IFERROR(__xludf.DUMMYFUNCTION("""COMPUTED_VALUE"""),"John Wiley &amp; Sons, Inc. ")</f>
        <v>John Wiley &amp; Sons, Inc. </v>
      </c>
      <c r="E241" t="str">
        <f>IFERROR(__xludf.DUMMYFUNCTION("""COMPUTED_VALUE"""),"Below Quality Standards")</f>
        <v>Below Quality Standards</v>
      </c>
      <c r="F241" t="str">
        <f>IFERROR(__xludf.DUMMYFUNCTION("""COMPUTED_VALUE"""),"Office Productivity")</f>
        <v>Office Productivity</v>
      </c>
      <c r="G241" s="140">
        <f>IFERROR(__xludf.DUMMYFUNCTION("""COMPUTED_VALUE"""),775346.0)</f>
        <v>775346</v>
      </c>
      <c r="H241" s="140" t="str">
        <f>IFERROR(__xludf.DUMMYFUNCTION("""COMPUTED_VALUE"""),"")</f>
        <v/>
      </c>
    </row>
    <row r="242">
      <c r="A242" s="143">
        <f>IFERROR(__xludf.DUMMYFUNCTION("""COMPUTED_VALUE"""),42613.0)</f>
        <v>42613</v>
      </c>
      <c r="B242" s="140">
        <f>IFERROR(__xludf.DUMMYFUNCTION("""COMPUTED_VALUE"""),200178.0)</f>
        <v>200178</v>
      </c>
      <c r="C242" s="140" t="str">
        <f>IFERROR(__xludf.DUMMYFUNCTION("""COMPUTED_VALUE"""),"")</f>
        <v/>
      </c>
      <c r="D242" t="str">
        <f>IFERROR(__xludf.DUMMYFUNCTION("""COMPUTED_VALUE"""),"John Wiley &amp; Sons, Inc. ")</f>
        <v>John Wiley &amp; Sons, Inc. </v>
      </c>
      <c r="E242" t="str">
        <f>IFERROR(__xludf.DUMMYFUNCTION("""COMPUTED_VALUE"""),"Below Quality Standards")</f>
        <v>Below Quality Standards</v>
      </c>
      <c r="F242" t="str">
        <f>IFERROR(__xludf.DUMMYFUNCTION("""COMPUTED_VALUE"""),"Office Productivity")</f>
        <v>Office Productivity</v>
      </c>
      <c r="G242" s="140">
        <f>IFERROR(__xludf.DUMMYFUNCTION("""COMPUTED_VALUE"""),775346.0)</f>
        <v>775346</v>
      </c>
      <c r="H242" s="140" t="str">
        <f>IFERROR(__xludf.DUMMYFUNCTION("""COMPUTED_VALUE"""),"")</f>
        <v/>
      </c>
    </row>
    <row r="243">
      <c r="A243" s="143">
        <f>IFERROR(__xludf.DUMMYFUNCTION("""COMPUTED_VALUE"""),42613.0)</f>
        <v>42613</v>
      </c>
      <c r="B243" s="140">
        <f>IFERROR(__xludf.DUMMYFUNCTION("""COMPUTED_VALUE"""),376460.0)</f>
        <v>376460</v>
      </c>
      <c r="C243" s="140" t="str">
        <f>IFERROR(__xludf.DUMMYFUNCTION("""COMPUTED_VALUE"""),"")</f>
        <v/>
      </c>
      <c r="D243" t="str">
        <f>IFERROR(__xludf.DUMMYFUNCTION("""COMPUTED_VALUE"""),"CompuWorks Trainers ")</f>
        <v>CompuWorks Trainers </v>
      </c>
      <c r="E243" t="str">
        <f>IFERROR(__xludf.DUMMYFUNCTION("""COMPUTED_VALUE"""),"Below Quality Standards")</f>
        <v>Below Quality Standards</v>
      </c>
      <c r="F243" t="str">
        <f>IFERROR(__xludf.DUMMYFUNCTION("""COMPUTED_VALUE"""),"Software and Systems")</f>
        <v>Software and Systems</v>
      </c>
      <c r="G243" s="140">
        <f>IFERROR(__xludf.DUMMYFUNCTION("""COMPUTED_VALUE"""),775346.0)</f>
        <v>775346</v>
      </c>
      <c r="H243" s="140" t="str">
        <f>IFERROR(__xludf.DUMMYFUNCTION("""COMPUTED_VALUE"""),"")</f>
        <v/>
      </c>
    </row>
    <row r="244">
      <c r="A244" s="143">
        <f>IFERROR(__xludf.DUMMYFUNCTION("""COMPUTED_VALUE"""),42613.0)</f>
        <v>42613</v>
      </c>
      <c r="B244" s="140">
        <f>IFERROR(__xludf.DUMMYFUNCTION("""COMPUTED_VALUE"""),270814.0)</f>
        <v>270814</v>
      </c>
      <c r="C244" s="140" t="str">
        <f>IFERROR(__xludf.DUMMYFUNCTION("""COMPUTED_VALUE"""),"")</f>
        <v/>
      </c>
      <c r="D244" t="str">
        <f>IFERROR(__xludf.DUMMYFUNCTION("""COMPUTED_VALUE"""),"Eduonix Learning Solutions")</f>
        <v>Eduonix Learning Solutions</v>
      </c>
      <c r="E244" t="str">
        <f>IFERROR(__xludf.DUMMYFUNCTION("""COMPUTED_VALUE"""),"Below Quality Standards")</f>
        <v>Below Quality Standards</v>
      </c>
      <c r="F244" t="str">
        <f>IFERROR(__xludf.DUMMYFUNCTION("""COMPUTED_VALUE"""),"Back-End Programming")</f>
        <v>Back-End Programming</v>
      </c>
      <c r="G244" s="140">
        <f>IFERROR(__xludf.DUMMYFUNCTION("""COMPUTED_VALUE"""),781502.0)</f>
        <v>781502</v>
      </c>
      <c r="H244" s="140" t="str">
        <f>IFERROR(__xludf.DUMMYFUNCTION("""COMPUTED_VALUE"""),"")</f>
        <v/>
      </c>
    </row>
    <row r="245">
      <c r="A245" s="143">
        <f>IFERROR(__xludf.DUMMYFUNCTION("""COMPUTED_VALUE"""),42613.0)</f>
        <v>42613</v>
      </c>
      <c r="B245" s="140">
        <f>IFERROR(__xludf.DUMMYFUNCTION("""COMPUTED_VALUE"""),129574.0)</f>
        <v>129574</v>
      </c>
      <c r="C245" s="140" t="str">
        <f>IFERROR(__xludf.DUMMYFUNCTION("""COMPUTED_VALUE"""),"")</f>
        <v/>
      </c>
      <c r="D245" t="str">
        <f>IFERROR(__xludf.DUMMYFUNCTION("""COMPUTED_VALUE"""),"Simon Sez IT")</f>
        <v>Simon Sez IT</v>
      </c>
      <c r="E245" t="str">
        <f>IFERROR(__xludf.DUMMYFUNCTION("""COMPUTED_VALUE"""),"Below Quality Standards")</f>
        <v>Below Quality Standards</v>
      </c>
      <c r="F245" t="str">
        <f>IFERROR(__xludf.DUMMYFUNCTION("""COMPUTED_VALUE"""),"Back-End Programming")</f>
        <v>Back-End Programming</v>
      </c>
      <c r="G245" s="140">
        <f>IFERROR(__xludf.DUMMYFUNCTION("""COMPUTED_VALUE"""),785066.0)</f>
        <v>785066</v>
      </c>
      <c r="H245" s="140" t="str">
        <f>IFERROR(__xludf.DUMMYFUNCTION("""COMPUTED_VALUE"""),"")</f>
        <v/>
      </c>
    </row>
    <row r="246">
      <c r="A246" s="143">
        <f>IFERROR(__xludf.DUMMYFUNCTION("""COMPUTED_VALUE"""),42613.0)</f>
        <v>42613</v>
      </c>
      <c r="B246" s="140">
        <f>IFERROR(__xludf.DUMMYFUNCTION("""COMPUTED_VALUE"""),650816.0)</f>
        <v>650816</v>
      </c>
      <c r="C246" s="140" t="str">
        <f>IFERROR(__xludf.DUMMYFUNCTION("""COMPUTED_VALUE"""),"")</f>
        <v/>
      </c>
      <c r="D246" t="str">
        <f>IFERROR(__xludf.DUMMYFUNCTION("""COMPUTED_VALUE"""),"Rico Rodriguez")</f>
        <v>Rico Rodriguez</v>
      </c>
      <c r="E246" t="str">
        <f>IFERROR(__xludf.DUMMYFUNCTION("""COMPUTED_VALUE"""),"Below Quality Standards")</f>
        <v>Below Quality Standards</v>
      </c>
      <c r="F246" t="str">
        <f>IFERROR(__xludf.DUMMYFUNCTION("""COMPUTED_VALUE"""),"Back-End Programming")</f>
        <v>Back-End Programming</v>
      </c>
      <c r="G246" s="140">
        <f>IFERROR(__xludf.DUMMYFUNCTION("""COMPUTED_VALUE"""),785066.0)</f>
        <v>785066</v>
      </c>
      <c r="H246" s="140" t="str">
        <f>IFERROR(__xludf.DUMMYFUNCTION("""COMPUTED_VALUE"""),"")</f>
        <v/>
      </c>
    </row>
    <row r="247">
      <c r="A247" s="143">
        <f>IFERROR(__xludf.DUMMYFUNCTION("""COMPUTED_VALUE"""),42613.0)</f>
        <v>42613</v>
      </c>
      <c r="B247" s="140">
        <f>IFERROR(__xludf.DUMMYFUNCTION("""COMPUTED_VALUE"""),81094.0)</f>
        <v>81094</v>
      </c>
      <c r="C247" s="140" t="str">
        <f>IFERROR(__xludf.DUMMYFUNCTION("""COMPUTED_VALUE"""),"")</f>
        <v/>
      </c>
      <c r="D247" t="str">
        <f>IFERROR(__xludf.DUMMYFUNCTION("""COMPUTED_VALUE"""),"Raghavendra Dixit")</f>
        <v>Raghavendra Dixit</v>
      </c>
      <c r="E247" t="str">
        <f>IFERROR(__xludf.DUMMYFUNCTION("""COMPUTED_VALUE"""),"Below Quality Standards")</f>
        <v>Below Quality Standards</v>
      </c>
      <c r="F247" t="str">
        <f>IFERROR(__xludf.DUMMYFUNCTION("""COMPUTED_VALUE"""),"Back End Programming, Data Science")</f>
        <v>Back End Programming, Data Science</v>
      </c>
      <c r="G247" s="140">
        <f>IFERROR(__xludf.DUMMYFUNCTION("""COMPUTED_VALUE"""),798580.0)</f>
        <v>798580</v>
      </c>
      <c r="H247" s="140" t="str">
        <f>IFERROR(__xludf.DUMMYFUNCTION("""COMPUTED_VALUE"""),"")</f>
        <v/>
      </c>
    </row>
    <row r="248">
      <c r="A248" s="143">
        <f>IFERROR(__xludf.DUMMYFUNCTION("""COMPUTED_VALUE"""),42613.0)</f>
        <v>42613</v>
      </c>
      <c r="B248" s="140">
        <f>IFERROR(__xludf.DUMMYFUNCTION("""COMPUTED_VALUE"""),515906.0)</f>
        <v>515906</v>
      </c>
      <c r="C248" s="140" t="str">
        <f>IFERROR(__xludf.DUMMYFUNCTION("""COMPUTED_VALUE"""),"")</f>
        <v/>
      </c>
      <c r="D248" t="str">
        <f>IFERROR(__xludf.DUMMYFUNCTION("""COMPUTED_VALUE"""),"Vladimir Raykov")</f>
        <v>Vladimir Raykov</v>
      </c>
      <c r="E248" t="str">
        <f>IFERROR(__xludf.DUMMYFUNCTION("""COMPUTED_VALUE"""),"Redundant")</f>
        <v>Redundant</v>
      </c>
      <c r="F248" t="str">
        <f>IFERROR(__xludf.DUMMYFUNCTION("""COMPUTED_VALUE"""),"Marketing")</f>
        <v>Marketing</v>
      </c>
      <c r="G248" s="140">
        <f>IFERROR(__xludf.DUMMYFUNCTION("""COMPUTED_VALUE"""),802116.0)</f>
        <v>802116</v>
      </c>
      <c r="H248" s="140" t="str">
        <f>IFERROR(__xludf.DUMMYFUNCTION("""COMPUTED_VALUE"""),"")</f>
        <v/>
      </c>
    </row>
    <row r="249">
      <c r="A249" s="143">
        <f>IFERROR(__xludf.DUMMYFUNCTION("""COMPUTED_VALUE"""),42613.0)</f>
        <v>42613</v>
      </c>
      <c r="B249" s="140">
        <f>IFERROR(__xludf.DUMMYFUNCTION("""COMPUTED_VALUE"""),157522.0)</f>
        <v>157522</v>
      </c>
      <c r="C249" s="140" t="str">
        <f>IFERROR(__xludf.DUMMYFUNCTION("""COMPUTED_VALUE"""),"")</f>
        <v/>
      </c>
      <c r="D249" t="str">
        <f>IFERROR(__xludf.DUMMYFUNCTION("""COMPUTED_VALUE"""),"Simon Sez IT")</f>
        <v>Simon Sez IT</v>
      </c>
      <c r="E249" t="str">
        <f>IFERROR(__xludf.DUMMYFUNCTION("""COMPUTED_VALUE"""),"Below Quality Standards")</f>
        <v>Below Quality Standards</v>
      </c>
      <c r="F249" t="str">
        <f>IFERROR(__xludf.DUMMYFUNCTION("""COMPUTED_VALUE"""),"Office Productivity")</f>
        <v>Office Productivity</v>
      </c>
      <c r="G249" s="140">
        <f>IFERROR(__xludf.DUMMYFUNCTION("""COMPUTED_VALUE"""),775346.0)</f>
        <v>775346</v>
      </c>
      <c r="H249" s="140" t="str">
        <f>IFERROR(__xludf.DUMMYFUNCTION("""COMPUTED_VALUE"""),"")</f>
        <v/>
      </c>
    </row>
    <row r="250">
      <c r="A250" s="143">
        <f>IFERROR(__xludf.DUMMYFUNCTION("""COMPUTED_VALUE"""),42613.0)</f>
        <v>42613</v>
      </c>
      <c r="B250" s="140">
        <f>IFERROR(__xludf.DUMMYFUNCTION("""COMPUTED_VALUE"""),106856.0)</f>
        <v>106856</v>
      </c>
      <c r="C250" s="140" t="str">
        <f>IFERROR(__xludf.DUMMYFUNCTION("""COMPUTED_VALUE"""),"")</f>
        <v/>
      </c>
      <c r="D250" t="str">
        <f>IFERROR(__xludf.DUMMYFUNCTION("""COMPUTED_VALUE"""),"3D BUZZ Programming and Digital Art training ")</f>
        <v>3D BUZZ Programming and Digital Art training </v>
      </c>
      <c r="E250" t="str">
        <f>IFERROR(__xludf.DUMMYFUNCTION("""COMPUTED_VALUE"""),"Below Quality Standards")</f>
        <v>Below Quality Standards</v>
      </c>
      <c r="F250" t="str">
        <f>IFERROR(__xludf.DUMMYFUNCTION("""COMPUTED_VALUE"""),"Software and Systems")</f>
        <v>Software and Systems</v>
      </c>
      <c r="G250" s="140">
        <f>IFERROR(__xludf.DUMMYFUNCTION("""COMPUTED_VALUE"""),806922.0)</f>
        <v>806922</v>
      </c>
      <c r="H250" s="140" t="str">
        <f>IFERROR(__xludf.DUMMYFUNCTION("""COMPUTED_VALUE"""),"")</f>
        <v/>
      </c>
    </row>
    <row r="251">
      <c r="A251" s="143">
        <f>IFERROR(__xludf.DUMMYFUNCTION("""COMPUTED_VALUE"""),42613.0)</f>
        <v>42613</v>
      </c>
      <c r="B251" s="140">
        <f>IFERROR(__xludf.DUMMYFUNCTION("""COMPUTED_VALUE"""),179288.0)</f>
        <v>179288</v>
      </c>
      <c r="C251" s="140" t="str">
        <f>IFERROR(__xludf.DUMMYFUNCTION("""COMPUTED_VALUE"""),"")</f>
        <v/>
      </c>
      <c r="D251" t="str">
        <f>IFERROR(__xludf.DUMMYFUNCTION("""COMPUTED_VALUE"""),"Microsoft Certified Trainer Mohammed Manzoor Ahmed ")</f>
        <v>Microsoft Certified Trainer Mohammed Manzoor Ahmed </v>
      </c>
      <c r="E251" t="str">
        <f>IFERROR(__xludf.DUMMYFUNCTION("""COMPUTED_VALUE"""),"Below Quality Standards")</f>
        <v>Below Quality Standards</v>
      </c>
      <c r="F251" t="str">
        <f>IFERROR(__xludf.DUMMYFUNCTION("""COMPUTED_VALUE"""),"Software and Systems")</f>
        <v>Software and Systems</v>
      </c>
      <c r="G251" s="140">
        <f>IFERROR(__xludf.DUMMYFUNCTION("""COMPUTED_VALUE"""),806922.0)</f>
        <v>806922</v>
      </c>
      <c r="H251" s="140" t="str">
        <f>IFERROR(__xludf.DUMMYFUNCTION("""COMPUTED_VALUE"""),"")</f>
        <v/>
      </c>
      <c r="I251" s="142" t="str">
        <f>IFERROR(__xludf.DUMMYFUNCTION("""COMPUTED_VALUE"""),"551498")</f>
        <v>551498</v>
      </c>
      <c r="J251" s="145" t="str">
        <f>IFERROR(__xludf.DUMMYFUNCTION("""COMPUTED_VALUE"""),"Entity Framework in Depth: The Complete Guide")</f>
        <v>Entity Framework in Depth: The Complete Guide</v>
      </c>
    </row>
    <row r="252">
      <c r="A252" s="143">
        <f>IFERROR(__xludf.DUMMYFUNCTION("""COMPUTED_VALUE"""),42613.0)</f>
        <v>42613</v>
      </c>
      <c r="B252" s="140">
        <f>IFERROR(__xludf.DUMMYFUNCTION("""COMPUTED_VALUE"""),202350.0)</f>
        <v>202350</v>
      </c>
      <c r="C252" s="140" t="str">
        <f>IFERROR(__xludf.DUMMYFUNCTION("""COMPUTED_VALUE"""),"")</f>
        <v/>
      </c>
      <c r="D252" t="str">
        <f>IFERROR(__xludf.DUMMYFUNCTION("""COMPUTED_VALUE"""),"Jesse Boyer")</f>
        <v>Jesse Boyer</v>
      </c>
      <c r="E252" t="str">
        <f>IFERROR(__xludf.DUMMYFUNCTION("""COMPUTED_VALUE"""),"Redundant")</f>
        <v>Redundant</v>
      </c>
      <c r="F252" t="str">
        <f>IFERROR(__xludf.DUMMYFUNCTION("""COMPUTED_VALUE"""),"Front-End Programming")</f>
        <v>Front-End Programming</v>
      </c>
      <c r="G252" s="140">
        <f>IFERROR(__xludf.DUMMYFUNCTION("""COMPUTED_VALUE"""),80940.0)</f>
        <v>80940</v>
      </c>
      <c r="H252" s="140" t="str">
        <f>IFERROR(__xludf.DUMMYFUNCTION("""COMPUTED_VALUE"""),"")</f>
        <v/>
      </c>
    </row>
    <row r="253">
      <c r="A253" s="143">
        <f>IFERROR(__xludf.DUMMYFUNCTION("""COMPUTED_VALUE"""),42613.0)</f>
        <v>42613</v>
      </c>
      <c r="B253" s="140">
        <f>IFERROR(__xludf.DUMMYFUNCTION("""COMPUTED_VALUE"""),470412.0)</f>
        <v>470412</v>
      </c>
      <c r="C253" s="140" t="str">
        <f>IFERROR(__xludf.DUMMYFUNCTION("""COMPUTED_VALUE"""),"")</f>
        <v/>
      </c>
      <c r="D253" t="str">
        <f>IFERROR(__xludf.DUMMYFUNCTION("""COMPUTED_VALUE"""),"Simon Sez IT")</f>
        <v>Simon Sez IT</v>
      </c>
      <c r="E253" t="str">
        <f>IFERROR(__xludf.DUMMYFUNCTION("""COMPUTED_VALUE"""),"Redundant")</f>
        <v>Redundant</v>
      </c>
      <c r="F253" t="str">
        <f>IFERROR(__xludf.DUMMYFUNCTION("""COMPUTED_VALUE"""),"Front-End Programming")</f>
        <v>Front-End Programming</v>
      </c>
      <c r="G253" s="140">
        <f>IFERROR(__xludf.DUMMYFUNCTION("""COMPUTED_VALUE"""),80940.0)</f>
        <v>80940</v>
      </c>
      <c r="H253" s="140" t="str">
        <f>IFERROR(__xludf.DUMMYFUNCTION("""COMPUTED_VALUE"""),"")</f>
        <v/>
      </c>
    </row>
    <row r="254">
      <c r="A254" s="143">
        <f>IFERROR(__xludf.DUMMYFUNCTION("""COMPUTED_VALUE"""),42613.0)</f>
        <v>42613</v>
      </c>
      <c r="B254" s="140">
        <f>IFERROR(__xludf.DUMMYFUNCTION("""COMPUTED_VALUE"""),508852.0)</f>
        <v>508852</v>
      </c>
      <c r="C254" s="140" t="str">
        <f>IFERROR(__xludf.DUMMYFUNCTION("""COMPUTED_VALUE"""),"")</f>
        <v/>
      </c>
      <c r="D254" t="str">
        <f>IFERROR(__xludf.DUMMYFUNCTION("""COMPUTED_VALUE"""),"John Bura")</f>
        <v>John Bura</v>
      </c>
      <c r="E254" t="str">
        <f>IFERROR(__xludf.DUMMYFUNCTION("""COMPUTED_VALUE"""),"Below Quality Standards")</f>
        <v>Below Quality Standards</v>
      </c>
      <c r="F254" t="str">
        <f>IFERROR(__xludf.DUMMYFUNCTION("""COMPUTED_VALUE"""),"Front-End Programming")</f>
        <v>Front-End Programming</v>
      </c>
      <c r="G254" s="140">
        <f>IFERROR(__xludf.DUMMYFUNCTION("""COMPUTED_VALUE"""),80940.0)</f>
        <v>80940</v>
      </c>
      <c r="H254" s="140" t="str">
        <f>IFERROR(__xludf.DUMMYFUNCTION("""COMPUTED_VALUE"""),"")</f>
        <v/>
      </c>
    </row>
    <row r="255">
      <c r="A255" s="143">
        <f>IFERROR(__xludf.DUMMYFUNCTION("""COMPUTED_VALUE"""),42613.0)</f>
        <v>42613</v>
      </c>
      <c r="B255" s="140">
        <f>IFERROR(__xludf.DUMMYFUNCTION("""COMPUTED_VALUE"""),624060.0)</f>
        <v>624060</v>
      </c>
      <c r="C255" s="140" t="str">
        <f>IFERROR(__xludf.DUMMYFUNCTION("""COMPUTED_VALUE"""),"")</f>
        <v/>
      </c>
      <c r="D255" t="str">
        <f>IFERROR(__xludf.DUMMYFUNCTION("""COMPUTED_VALUE"""),"John Bura")</f>
        <v>John Bura</v>
      </c>
      <c r="E255" t="str">
        <f>IFERROR(__xludf.DUMMYFUNCTION("""COMPUTED_VALUE"""),"Below Quality Standards")</f>
        <v>Below Quality Standards</v>
      </c>
      <c r="F255" t="str">
        <f>IFERROR(__xludf.DUMMYFUNCTION("""COMPUTED_VALUE"""),"Design")</f>
        <v>Design</v>
      </c>
      <c r="G255" s="140">
        <f>IFERROR(__xludf.DUMMYFUNCTION("""COMPUTED_VALUE"""),816772.0)</f>
        <v>816772</v>
      </c>
      <c r="H255" s="140" t="str">
        <f>IFERROR(__xludf.DUMMYFUNCTION("""COMPUTED_VALUE"""),"")</f>
        <v/>
      </c>
    </row>
    <row r="256">
      <c r="A256" s="143">
        <f>IFERROR(__xludf.DUMMYFUNCTION("""COMPUTED_VALUE"""),42613.0)</f>
        <v>42613</v>
      </c>
      <c r="B256" s="140">
        <f>IFERROR(__xludf.DUMMYFUNCTION("""COMPUTED_VALUE"""),529366.0)</f>
        <v>529366</v>
      </c>
      <c r="C256" s="140" t="str">
        <f>IFERROR(__xludf.DUMMYFUNCTION("""COMPUTED_VALUE"""),"")</f>
        <v/>
      </c>
      <c r="D256" t="str">
        <f>IFERROR(__xludf.DUMMYFUNCTION("""COMPUTED_VALUE"""),"Uri Soglowek")</f>
        <v>Uri Soglowek</v>
      </c>
      <c r="E256" t="str">
        <f>IFERROR(__xludf.DUMMYFUNCTION("""COMPUTED_VALUE"""),"Below Quality Standards")</f>
        <v>Below Quality Standards</v>
      </c>
      <c r="F256" t="str">
        <f>IFERROR(__xludf.DUMMYFUNCTION("""COMPUTED_VALUE"""),"Office Productivity")</f>
        <v>Office Productivity</v>
      </c>
      <c r="G256" s="140">
        <f>IFERROR(__xludf.DUMMYFUNCTION("""COMPUTED_VALUE"""),819920.0)</f>
        <v>819920</v>
      </c>
      <c r="H256" s="140" t="str">
        <f>IFERROR(__xludf.DUMMYFUNCTION("""COMPUTED_VALUE"""),"")</f>
        <v/>
      </c>
    </row>
    <row r="257">
      <c r="A257" s="143">
        <f>IFERROR(__xludf.DUMMYFUNCTION("""COMPUTED_VALUE"""),42613.0)</f>
        <v>42613</v>
      </c>
      <c r="B257" s="140">
        <f>IFERROR(__xludf.DUMMYFUNCTION("""COMPUTED_VALUE"""),555764.0)</f>
        <v>555764</v>
      </c>
      <c r="C257" s="140" t="str">
        <f>IFERROR(__xludf.DUMMYFUNCTION("""COMPUTED_VALUE"""),"")</f>
        <v/>
      </c>
      <c r="D257" t="str">
        <f>IFERROR(__xludf.DUMMYFUNCTION("""COMPUTED_VALUE"""),"Alexander French")</f>
        <v>Alexander French</v>
      </c>
      <c r="E257" t="str">
        <f>IFERROR(__xludf.DUMMYFUNCTION("""COMPUTED_VALUE"""),"Below Quality Standards")</f>
        <v>Below Quality Standards</v>
      </c>
      <c r="F257" t="str">
        <f>IFERROR(__xludf.DUMMYFUNCTION("""COMPUTED_VALUE"""),"Office Productivity")</f>
        <v>Office Productivity</v>
      </c>
      <c r="G257" s="140">
        <f>IFERROR(__xludf.DUMMYFUNCTION("""COMPUTED_VALUE"""),819920.0)</f>
        <v>819920</v>
      </c>
      <c r="H257" s="140" t="str">
        <f>IFERROR(__xludf.DUMMYFUNCTION("""COMPUTED_VALUE"""),"")</f>
        <v/>
      </c>
    </row>
    <row r="258">
      <c r="A258" s="143">
        <f>IFERROR(__xludf.DUMMYFUNCTION("""COMPUTED_VALUE"""),42613.0)</f>
        <v>42613</v>
      </c>
      <c r="B258" s="140">
        <f>IFERROR(__xludf.DUMMYFUNCTION("""COMPUTED_VALUE"""),708170.0)</f>
        <v>708170</v>
      </c>
      <c r="C258" s="140" t="str">
        <f>IFERROR(__xludf.DUMMYFUNCTION("""COMPUTED_VALUE"""),"")</f>
        <v/>
      </c>
      <c r="D258" t="str">
        <f>IFERROR(__xludf.DUMMYFUNCTION("""COMPUTED_VALUE"""),"Laurence Svekis ")</f>
        <v>Laurence Svekis </v>
      </c>
      <c r="E258" t="str">
        <f>IFERROR(__xludf.DUMMYFUNCTION("""COMPUTED_VALUE"""),"Below Quality Standards")</f>
        <v>Below Quality Standards</v>
      </c>
      <c r="F258" t="str">
        <f>IFERROR(__xludf.DUMMYFUNCTION("""COMPUTED_VALUE"""),"Software and Systems")</f>
        <v>Software and Systems</v>
      </c>
      <c r="G258" s="140">
        <f>IFERROR(__xludf.DUMMYFUNCTION("""COMPUTED_VALUE"""),846270.0)</f>
        <v>846270</v>
      </c>
      <c r="H258" s="140" t="str">
        <f>IFERROR(__xludf.DUMMYFUNCTION("""COMPUTED_VALUE"""),"")</f>
        <v/>
      </c>
    </row>
    <row r="259">
      <c r="A259" s="143">
        <f>IFERROR(__xludf.DUMMYFUNCTION("""COMPUTED_VALUE"""),42613.0)</f>
        <v>42613</v>
      </c>
      <c r="B259" s="140">
        <f>IFERROR(__xludf.DUMMYFUNCTION("""COMPUTED_VALUE"""),137144.0)</f>
        <v>137144</v>
      </c>
      <c r="C259" s="140" t="str">
        <f>IFERROR(__xludf.DUMMYFUNCTION("""COMPUTED_VALUE"""),"")</f>
        <v/>
      </c>
      <c r="D259" t="str">
        <f>IFERROR(__xludf.DUMMYFUNCTION("""COMPUTED_VALUE"""),"Jason Teteak")</f>
        <v>Jason Teteak</v>
      </c>
      <c r="E259" t="str">
        <f>IFERROR(__xludf.DUMMYFUNCTION("""COMPUTED_VALUE"""),"Instructor Request")</f>
        <v>Instructor Request</v>
      </c>
      <c r="F259" t="str">
        <f>IFERROR(__xludf.DUMMYFUNCTION("""COMPUTED_VALUE"""),"Soft Skills")</f>
        <v>Soft Skills</v>
      </c>
      <c r="G259" s="140">
        <f>IFERROR(__xludf.DUMMYFUNCTION("""COMPUTED_VALUE"""),852192.0)</f>
        <v>852192</v>
      </c>
      <c r="H259" s="140" t="str">
        <f>IFERROR(__xludf.DUMMYFUNCTION("""COMPUTED_VALUE"""),"")</f>
        <v/>
      </c>
    </row>
    <row r="260">
      <c r="A260" s="143">
        <f>IFERROR(__xludf.DUMMYFUNCTION("""COMPUTED_VALUE"""),42613.0)</f>
        <v>42613</v>
      </c>
      <c r="B260" s="140">
        <f>IFERROR(__xludf.DUMMYFUNCTION("""COMPUTED_VALUE"""),338480.0)</f>
        <v>338480</v>
      </c>
      <c r="C260" s="140" t="str">
        <f>IFERROR(__xludf.DUMMYFUNCTION("""COMPUTED_VALUE"""),"")</f>
        <v/>
      </c>
      <c r="D260" t="str">
        <f>IFERROR(__xludf.DUMMYFUNCTION("""COMPUTED_VALUE"""),"TJ Walker")</f>
        <v>TJ Walker</v>
      </c>
      <c r="E260" t="str">
        <f>IFERROR(__xludf.DUMMYFUNCTION("""COMPUTED_VALUE"""),"Redundant")</f>
        <v>Redundant</v>
      </c>
      <c r="F260" t="str">
        <f>IFERROR(__xludf.DUMMYFUNCTION("""COMPUTED_VALUE"""),"Soft Skills")</f>
        <v>Soft Skills</v>
      </c>
      <c r="G260" s="140">
        <f>IFERROR(__xludf.DUMMYFUNCTION("""COMPUTED_VALUE"""),852192.0)</f>
        <v>852192</v>
      </c>
      <c r="H260" s="140" t="str">
        <f>IFERROR(__xludf.DUMMYFUNCTION("""COMPUTED_VALUE"""),"")</f>
        <v/>
      </c>
    </row>
    <row r="261">
      <c r="A261" s="143">
        <f>IFERROR(__xludf.DUMMYFUNCTION("""COMPUTED_VALUE"""),42613.0)</f>
        <v>42613</v>
      </c>
      <c r="B261" s="140">
        <f>IFERROR(__xludf.DUMMYFUNCTION("""COMPUTED_VALUE"""),362602.0)</f>
        <v>362602</v>
      </c>
      <c r="C261" s="140" t="str">
        <f>IFERROR(__xludf.DUMMYFUNCTION("""COMPUTED_VALUE"""),"")</f>
        <v/>
      </c>
      <c r="D261" t="str">
        <f>IFERROR(__xludf.DUMMYFUNCTION("""COMPUTED_VALUE"""),"TJ Walker")</f>
        <v>TJ Walker</v>
      </c>
      <c r="E261" t="str">
        <f>IFERROR(__xludf.DUMMYFUNCTION("""COMPUTED_VALUE"""),"Redundant")</f>
        <v>Redundant</v>
      </c>
      <c r="F261" t="str">
        <f>IFERROR(__xludf.DUMMYFUNCTION("""COMPUTED_VALUE"""),"Soft Skills")</f>
        <v>Soft Skills</v>
      </c>
      <c r="G261" s="140">
        <f>IFERROR(__xludf.DUMMYFUNCTION("""COMPUTED_VALUE"""),852192.0)</f>
        <v>852192</v>
      </c>
      <c r="H261" s="140" t="str">
        <f>IFERROR(__xludf.DUMMYFUNCTION("""COMPUTED_VALUE"""),"")</f>
        <v/>
      </c>
    </row>
    <row r="262">
      <c r="A262" s="143">
        <f>IFERROR(__xludf.DUMMYFUNCTION("""COMPUTED_VALUE"""),42613.0)</f>
        <v>42613</v>
      </c>
      <c r="B262" s="140">
        <f>IFERROR(__xludf.DUMMYFUNCTION("""COMPUTED_VALUE"""),363240.0)</f>
        <v>363240</v>
      </c>
      <c r="C262" s="140" t="str">
        <f>IFERROR(__xludf.DUMMYFUNCTION("""COMPUTED_VALUE"""),"")</f>
        <v/>
      </c>
      <c r="D262" t="str">
        <f>IFERROR(__xludf.DUMMYFUNCTION("""COMPUTED_VALUE"""),"TJ Walker")</f>
        <v>TJ Walker</v>
      </c>
      <c r="E262" t="str">
        <f>IFERROR(__xludf.DUMMYFUNCTION("""COMPUTED_VALUE"""),"Redundant")</f>
        <v>Redundant</v>
      </c>
      <c r="F262" t="str">
        <f>IFERROR(__xludf.DUMMYFUNCTION("""COMPUTED_VALUE"""),"Soft Skills")</f>
        <v>Soft Skills</v>
      </c>
      <c r="G262" s="140">
        <f>IFERROR(__xludf.DUMMYFUNCTION("""COMPUTED_VALUE"""),852192.0)</f>
        <v>852192</v>
      </c>
      <c r="H262" s="140" t="str">
        <f>IFERROR(__xludf.DUMMYFUNCTION("""COMPUTED_VALUE"""),"")</f>
        <v/>
      </c>
    </row>
    <row r="263">
      <c r="A263" s="143">
        <f>IFERROR(__xludf.DUMMYFUNCTION("""COMPUTED_VALUE"""),42613.0)</f>
        <v>42613</v>
      </c>
      <c r="B263" s="140">
        <f>IFERROR(__xludf.DUMMYFUNCTION("""COMPUTED_VALUE"""),363280.0)</f>
        <v>363280</v>
      </c>
      <c r="C263" s="140" t="str">
        <f>IFERROR(__xludf.DUMMYFUNCTION("""COMPUTED_VALUE"""),"")</f>
        <v/>
      </c>
      <c r="D263" t="str">
        <f>IFERROR(__xludf.DUMMYFUNCTION("""COMPUTED_VALUE"""),"TJ Walker")</f>
        <v>TJ Walker</v>
      </c>
      <c r="E263" t="str">
        <f>IFERROR(__xludf.DUMMYFUNCTION("""COMPUTED_VALUE"""),"Redundant")</f>
        <v>Redundant</v>
      </c>
      <c r="F263" t="str">
        <f>IFERROR(__xludf.DUMMYFUNCTION("""COMPUTED_VALUE"""),"Soft Skills")</f>
        <v>Soft Skills</v>
      </c>
      <c r="G263" s="140">
        <f>IFERROR(__xludf.DUMMYFUNCTION("""COMPUTED_VALUE"""),852192.0)</f>
        <v>852192</v>
      </c>
      <c r="H263" s="140" t="str">
        <f>IFERROR(__xludf.DUMMYFUNCTION("""COMPUTED_VALUE"""),"")</f>
        <v/>
      </c>
    </row>
    <row r="264">
      <c r="A264" s="143">
        <f>IFERROR(__xludf.DUMMYFUNCTION("""COMPUTED_VALUE"""),42613.0)</f>
        <v>42613</v>
      </c>
      <c r="B264" s="140">
        <f>IFERROR(__xludf.DUMMYFUNCTION("""COMPUTED_VALUE"""),364188.0)</f>
        <v>364188</v>
      </c>
      <c r="C264" s="140" t="str">
        <f>IFERROR(__xludf.DUMMYFUNCTION("""COMPUTED_VALUE"""),"")</f>
        <v/>
      </c>
      <c r="D264" t="str">
        <f>IFERROR(__xludf.DUMMYFUNCTION("""COMPUTED_VALUE"""),"TJ Walker")</f>
        <v>TJ Walker</v>
      </c>
      <c r="E264" t="str">
        <f>IFERROR(__xludf.DUMMYFUNCTION("""COMPUTED_VALUE"""),"Redundant")</f>
        <v>Redundant</v>
      </c>
      <c r="F264" t="str">
        <f>IFERROR(__xludf.DUMMYFUNCTION("""COMPUTED_VALUE"""),"Soft Skills")</f>
        <v>Soft Skills</v>
      </c>
      <c r="G264" s="140">
        <f>IFERROR(__xludf.DUMMYFUNCTION("""COMPUTED_VALUE"""),852192.0)</f>
        <v>852192</v>
      </c>
      <c r="H264" s="140" t="str">
        <f>IFERROR(__xludf.DUMMYFUNCTION("""COMPUTED_VALUE"""),"")</f>
        <v/>
      </c>
    </row>
    <row r="265">
      <c r="A265" s="143">
        <f>IFERROR(__xludf.DUMMYFUNCTION("""COMPUTED_VALUE"""),42613.0)</f>
        <v>42613</v>
      </c>
      <c r="B265" s="140">
        <f>IFERROR(__xludf.DUMMYFUNCTION("""COMPUTED_VALUE"""),432514.0)</f>
        <v>432514</v>
      </c>
      <c r="C265" s="140" t="str">
        <f>IFERROR(__xludf.DUMMYFUNCTION("""COMPUTED_VALUE"""),"")</f>
        <v/>
      </c>
      <c r="D265" t="str">
        <f>IFERROR(__xludf.DUMMYFUNCTION("""COMPUTED_VALUE"""),"LearnSmart LLC")</f>
        <v>LearnSmart LLC</v>
      </c>
      <c r="E265" t="str">
        <f>IFERROR(__xludf.DUMMYFUNCTION("""COMPUTED_VALUE"""),"Below Quality Standards")</f>
        <v>Below Quality Standards</v>
      </c>
      <c r="F265" t="str">
        <f>IFERROR(__xludf.DUMMYFUNCTION("""COMPUTED_VALUE"""),"Software and Systems")</f>
        <v>Software and Systems</v>
      </c>
      <c r="G265" s="140">
        <f>IFERROR(__xludf.DUMMYFUNCTION("""COMPUTED_VALUE"""),857010.0)</f>
        <v>857010</v>
      </c>
      <c r="H265" s="140" t="str">
        <f>IFERROR(__xludf.DUMMYFUNCTION("""COMPUTED_VALUE"""),"")</f>
        <v/>
      </c>
    </row>
    <row r="266">
      <c r="A266" s="143">
        <f>IFERROR(__xludf.DUMMYFUNCTION("""COMPUTED_VALUE"""),42613.0)</f>
        <v>42613</v>
      </c>
      <c r="B266" s="140">
        <f>IFERROR(__xludf.DUMMYFUNCTION("""COMPUTED_VALUE"""),56255.0)</f>
        <v>56255</v>
      </c>
      <c r="C266" s="140" t="str">
        <f>IFERROR(__xludf.DUMMYFUNCTION("""COMPUTED_VALUE"""),"")</f>
        <v/>
      </c>
      <c r="D266" t="str">
        <f>IFERROR(__xludf.DUMMYFUNCTION("""COMPUTED_VALUE"""),"Learn iT! Anytime")</f>
        <v>Learn iT! Anytime</v>
      </c>
      <c r="E266" t="str">
        <f>IFERROR(__xludf.DUMMYFUNCTION("""COMPUTED_VALUE"""),"Redundant")</f>
        <v>Redundant</v>
      </c>
      <c r="F266" t="str">
        <f>IFERROR(__xludf.DUMMYFUNCTION("""COMPUTED_VALUE"""),"Front-End Programming")</f>
        <v>Front-End Programming</v>
      </c>
      <c r="G266" s="140">
        <f>IFERROR(__xludf.DUMMYFUNCTION("""COMPUTED_VALUE"""),860812.0)</f>
        <v>860812</v>
      </c>
      <c r="H266" s="140" t="str">
        <f>IFERROR(__xludf.DUMMYFUNCTION("""COMPUTED_VALUE"""),"")</f>
        <v/>
      </c>
      <c r="I266" s="142" t="str">
        <f>IFERROR(__xludf.DUMMYFUNCTION("""COMPUTED_VALUE"""),"851712")</f>
        <v>851712</v>
      </c>
      <c r="J266" s="142" t="str">
        <f>IFERROR(__xludf.DUMMYFUNCTION("""COMPUTED_VALUE"""),"The Complete JavaScript Course: Build a Real-World Project")</f>
        <v>The Complete JavaScript Course: Build a Real-World Project</v>
      </c>
    </row>
    <row r="267">
      <c r="A267" s="143">
        <f>IFERROR(__xludf.DUMMYFUNCTION("""COMPUTED_VALUE"""),42613.0)</f>
        <v>42613</v>
      </c>
      <c r="B267" s="140">
        <f>IFERROR(__xludf.DUMMYFUNCTION("""COMPUTED_VALUE"""),94774.0)</f>
        <v>94774</v>
      </c>
      <c r="C267" s="140" t="str">
        <f>IFERROR(__xludf.DUMMYFUNCTION("""COMPUTED_VALUE"""),"")</f>
        <v/>
      </c>
      <c r="D267" t="str">
        <f>IFERROR(__xludf.DUMMYFUNCTION("""COMPUTED_VALUE"""),"Jesse Boyer")</f>
        <v>Jesse Boyer</v>
      </c>
      <c r="E267" t="str">
        <f>IFERROR(__xludf.DUMMYFUNCTION("""COMPUTED_VALUE"""),"Redundant")</f>
        <v>Redundant</v>
      </c>
      <c r="F267" t="str">
        <f>IFERROR(__xludf.DUMMYFUNCTION("""COMPUTED_VALUE"""),"Front-End Programming")</f>
        <v>Front-End Programming</v>
      </c>
      <c r="G267" s="140">
        <f>IFERROR(__xludf.DUMMYFUNCTION("""COMPUTED_VALUE"""),860812.0)</f>
        <v>860812</v>
      </c>
      <c r="H267" s="140" t="str">
        <f>IFERROR(__xludf.DUMMYFUNCTION("""COMPUTED_VALUE"""),"")</f>
        <v/>
      </c>
      <c r="I267" s="142" t="str">
        <f>IFERROR(__xludf.DUMMYFUNCTION("""COMPUTED_VALUE"""),"851712")</f>
        <v>851712</v>
      </c>
      <c r="J267" s="142" t="str">
        <f>IFERROR(__xludf.DUMMYFUNCTION("""COMPUTED_VALUE"""),"The Complete JavaScript Course: Build a Real-World Project")</f>
        <v>The Complete JavaScript Course: Build a Real-World Project</v>
      </c>
    </row>
    <row r="268">
      <c r="A268" s="143">
        <f>IFERROR(__xludf.DUMMYFUNCTION("""COMPUTED_VALUE"""),42613.0)</f>
        <v>42613</v>
      </c>
      <c r="B268" s="140">
        <f>IFERROR(__xludf.DUMMYFUNCTION("""COMPUTED_VALUE"""),120924.0)</f>
        <v>120924</v>
      </c>
      <c r="C268" s="140" t="str">
        <f>IFERROR(__xludf.DUMMYFUNCTION("""COMPUTED_VALUE"""),"")</f>
        <v/>
      </c>
      <c r="D268" t="str">
        <f>IFERROR(__xludf.DUMMYFUNCTION("""COMPUTED_VALUE"""),"Edwin Ang")</f>
        <v>Edwin Ang</v>
      </c>
      <c r="E268" t="str">
        <f>IFERROR(__xludf.DUMMYFUNCTION("""COMPUTED_VALUE"""),"Redundant")</f>
        <v>Redundant</v>
      </c>
      <c r="F268" t="str">
        <f>IFERROR(__xludf.DUMMYFUNCTION("""COMPUTED_VALUE"""),"Front-End Programming")</f>
        <v>Front-End Programming</v>
      </c>
      <c r="G268" s="140">
        <f>IFERROR(__xludf.DUMMYFUNCTION("""COMPUTED_VALUE"""),860812.0)</f>
        <v>860812</v>
      </c>
      <c r="H268" s="140" t="str">
        <f>IFERROR(__xludf.DUMMYFUNCTION("""COMPUTED_VALUE"""),"")</f>
        <v/>
      </c>
      <c r="I268" s="142" t="str">
        <f>IFERROR(__xludf.DUMMYFUNCTION("""COMPUTED_VALUE"""),"851712")</f>
        <v>851712</v>
      </c>
      <c r="J268" s="142" t="str">
        <f>IFERROR(__xludf.DUMMYFUNCTION("""COMPUTED_VALUE"""),"The Complete JavaScript Course: Build a Real-World Project")</f>
        <v>The Complete JavaScript Course: Build a Real-World Project</v>
      </c>
    </row>
    <row r="269">
      <c r="A269" s="143">
        <f>IFERROR(__xludf.DUMMYFUNCTION("""COMPUTED_VALUE"""),42613.0)</f>
        <v>42613</v>
      </c>
      <c r="B269" s="140">
        <f>IFERROR(__xludf.DUMMYFUNCTION("""COMPUTED_VALUE"""),125806.0)</f>
        <v>125806</v>
      </c>
      <c r="C269" s="140" t="str">
        <f>IFERROR(__xludf.DUMMYFUNCTION("""COMPUTED_VALUE"""),"")</f>
        <v/>
      </c>
      <c r="D269" t="str">
        <f>IFERROR(__xludf.DUMMYFUNCTION("""COMPUTED_VALUE"""),"Jordan Hudgens")</f>
        <v>Jordan Hudgens</v>
      </c>
      <c r="E269" t="str">
        <f>IFERROR(__xludf.DUMMYFUNCTION("""COMPUTED_VALUE"""),"Redundant")</f>
        <v>Redundant</v>
      </c>
      <c r="F269" t="str">
        <f>IFERROR(__xludf.DUMMYFUNCTION("""COMPUTED_VALUE"""),"Front-End Programming")</f>
        <v>Front-End Programming</v>
      </c>
      <c r="G269" s="140">
        <f>IFERROR(__xludf.DUMMYFUNCTION("""COMPUTED_VALUE"""),860812.0)</f>
        <v>860812</v>
      </c>
      <c r="H269" s="140" t="str">
        <f>IFERROR(__xludf.DUMMYFUNCTION("""COMPUTED_VALUE"""),"")</f>
        <v/>
      </c>
      <c r="I269" s="142" t="str">
        <f>IFERROR(__xludf.DUMMYFUNCTION("""COMPUTED_VALUE"""),"851712")</f>
        <v>851712</v>
      </c>
      <c r="J269" s="142" t="str">
        <f>IFERROR(__xludf.DUMMYFUNCTION("""COMPUTED_VALUE"""),"The Complete JavaScript Course: Build a Real-World Project")</f>
        <v>The Complete JavaScript Course: Build a Real-World Project</v>
      </c>
    </row>
    <row r="270">
      <c r="A270" s="143">
        <f>IFERROR(__xludf.DUMMYFUNCTION("""COMPUTED_VALUE"""),42613.0)</f>
        <v>42613</v>
      </c>
      <c r="B270" s="140">
        <f>IFERROR(__xludf.DUMMYFUNCTION("""COMPUTED_VALUE"""),144566.0)</f>
        <v>144566</v>
      </c>
      <c r="C270" s="140" t="str">
        <f>IFERROR(__xludf.DUMMYFUNCTION("""COMPUTED_VALUE"""),"")</f>
        <v/>
      </c>
      <c r="D270" t="str">
        <f>IFERROR(__xludf.DUMMYFUNCTION("""COMPUTED_VALUE"""),"Simon Sez IT")</f>
        <v>Simon Sez IT</v>
      </c>
      <c r="E270" t="str">
        <f>IFERROR(__xludf.DUMMYFUNCTION("""COMPUTED_VALUE"""),"Redundant")</f>
        <v>Redundant</v>
      </c>
      <c r="F270" t="str">
        <f>IFERROR(__xludf.DUMMYFUNCTION("""COMPUTED_VALUE"""),"Front-End Programming")</f>
        <v>Front-End Programming</v>
      </c>
      <c r="G270" s="140">
        <f>IFERROR(__xludf.DUMMYFUNCTION("""COMPUTED_VALUE"""),860812.0)</f>
        <v>860812</v>
      </c>
      <c r="H270" s="140" t="str">
        <f>IFERROR(__xludf.DUMMYFUNCTION("""COMPUTED_VALUE"""),"")</f>
        <v/>
      </c>
      <c r="I270" s="142" t="str">
        <f>IFERROR(__xludf.DUMMYFUNCTION("""COMPUTED_VALUE"""),"851712")</f>
        <v>851712</v>
      </c>
      <c r="J270" s="142" t="str">
        <f>IFERROR(__xludf.DUMMYFUNCTION("""COMPUTED_VALUE"""),"The Complete JavaScript Course: Build a Real-World Project")</f>
        <v>The Complete JavaScript Course: Build a Real-World Project</v>
      </c>
    </row>
    <row r="271">
      <c r="A271" s="143">
        <f>IFERROR(__xludf.DUMMYFUNCTION("""COMPUTED_VALUE"""),42613.0)</f>
        <v>42613</v>
      </c>
      <c r="B271" s="140">
        <f>IFERROR(__xludf.DUMMYFUNCTION("""COMPUTED_VALUE"""),153728.0)</f>
        <v>153728</v>
      </c>
      <c r="C271" s="140" t="str">
        <f>IFERROR(__xludf.DUMMYFUNCTION("""COMPUTED_VALUE"""),"")</f>
        <v/>
      </c>
      <c r="D271" t="str">
        <f>IFERROR(__xludf.DUMMYFUNCTION("""COMPUTED_VALUE"""),"John Wiley &amp; Sons, Inc.")</f>
        <v>John Wiley &amp; Sons, Inc.</v>
      </c>
      <c r="E271" t="str">
        <f>IFERROR(__xludf.DUMMYFUNCTION("""COMPUTED_VALUE"""),"Redundant")</f>
        <v>Redundant</v>
      </c>
      <c r="F271" t="str">
        <f>IFERROR(__xludf.DUMMYFUNCTION("""COMPUTED_VALUE"""),"Front-End Programming")</f>
        <v>Front-End Programming</v>
      </c>
      <c r="G271" s="140">
        <f>IFERROR(__xludf.DUMMYFUNCTION("""COMPUTED_VALUE"""),860812.0)</f>
        <v>860812</v>
      </c>
      <c r="H271" s="140" t="str">
        <f>IFERROR(__xludf.DUMMYFUNCTION("""COMPUTED_VALUE"""),"")</f>
        <v/>
      </c>
      <c r="I271" s="142" t="str">
        <f>IFERROR(__xludf.DUMMYFUNCTION("""COMPUTED_VALUE"""),"851712")</f>
        <v>851712</v>
      </c>
      <c r="J271" s="142" t="str">
        <f>IFERROR(__xludf.DUMMYFUNCTION("""COMPUTED_VALUE"""),"The Complete JavaScript Course: Build a Real-World Project")</f>
        <v>The Complete JavaScript Course: Build a Real-World Project</v>
      </c>
    </row>
    <row r="272">
      <c r="A272" s="143">
        <f>IFERROR(__xludf.DUMMYFUNCTION("""COMPUTED_VALUE"""),42613.0)</f>
        <v>42613</v>
      </c>
      <c r="B272" s="140">
        <f>IFERROR(__xludf.DUMMYFUNCTION("""COMPUTED_VALUE"""),82332.0)</f>
        <v>82332</v>
      </c>
      <c r="C272" s="140" t="str">
        <f>IFERROR(__xludf.DUMMYFUNCTION("""COMPUTED_VALUE"""),"")</f>
        <v/>
      </c>
      <c r="D272" t="str">
        <f>IFERROR(__xludf.DUMMYFUNCTION("""COMPUTED_VALUE"""),"Tom Owsiak")</f>
        <v>Tom Owsiak</v>
      </c>
      <c r="E272" t="str">
        <f>IFERROR(__xludf.DUMMYFUNCTION("""COMPUTED_VALUE"""),"Redundant")</f>
        <v>Redundant</v>
      </c>
      <c r="F272" t="str">
        <f>IFERROR(__xludf.DUMMYFUNCTION("""COMPUTED_VALUE"""),"Software and Systems")</f>
        <v>Software and Systems</v>
      </c>
      <c r="G272" s="140">
        <f>IFERROR(__xludf.DUMMYFUNCTION("""COMPUTED_VALUE"""),860812.0)</f>
        <v>860812</v>
      </c>
      <c r="H272" s="140" t="str">
        <f>IFERROR(__xludf.DUMMYFUNCTION("""COMPUTED_VALUE"""),"")</f>
        <v/>
      </c>
      <c r="I272" s="142" t="str">
        <f>IFERROR(__xludf.DUMMYFUNCTION("""COMPUTED_VALUE"""),"851712")</f>
        <v>851712</v>
      </c>
      <c r="J272" s="142" t="str">
        <f>IFERROR(__xludf.DUMMYFUNCTION("""COMPUTED_VALUE"""),"The Complete JavaScript Course: Build a Real-World Project")</f>
        <v>The Complete JavaScript Course: Build a Real-World Project</v>
      </c>
    </row>
    <row r="273">
      <c r="A273" s="143">
        <f>IFERROR(__xludf.DUMMYFUNCTION("""COMPUTED_VALUE"""),42613.0)</f>
        <v>42613</v>
      </c>
      <c r="B273" s="140">
        <f>IFERROR(__xludf.DUMMYFUNCTION("""COMPUTED_VALUE"""),77642.0)</f>
        <v>77642</v>
      </c>
      <c r="C273" s="140" t="str">
        <f>IFERROR(__xludf.DUMMYFUNCTION("""COMPUTED_VALUE"""),"")</f>
        <v/>
      </c>
      <c r="D273" t="str">
        <f>IFERROR(__xludf.DUMMYFUNCTION("""COMPUTED_VALUE"""),"John Bura")</f>
        <v>John Bura</v>
      </c>
      <c r="E273" t="str">
        <f>IFERROR(__xludf.DUMMYFUNCTION("""COMPUTED_VALUE"""),"Redundant")</f>
        <v>Redundant</v>
      </c>
      <c r="F273" t="str">
        <f>IFERROR(__xludf.DUMMYFUNCTION("""COMPUTED_VALUE"""),"Front-End Programming")</f>
        <v>Front-End Programming</v>
      </c>
      <c r="G273" s="140">
        <f>IFERROR(__xludf.DUMMYFUNCTION("""COMPUTED_VALUE"""),876850.0)</f>
        <v>876850</v>
      </c>
      <c r="H273" s="140" t="str">
        <f>IFERROR(__xludf.DUMMYFUNCTION("""COMPUTED_VALUE"""),"")</f>
        <v/>
      </c>
    </row>
    <row r="274">
      <c r="A274" s="143">
        <f>IFERROR(__xludf.DUMMYFUNCTION("""COMPUTED_VALUE"""),42613.0)</f>
        <v>42613</v>
      </c>
      <c r="B274" s="140">
        <f>IFERROR(__xludf.DUMMYFUNCTION("""COMPUTED_VALUE"""),176432.0)</f>
        <v>176432</v>
      </c>
      <c r="C274" s="140" t="str">
        <f>IFERROR(__xludf.DUMMYFUNCTION("""COMPUTED_VALUE"""),"")</f>
        <v/>
      </c>
      <c r="D274" t="str">
        <f>IFERROR(__xludf.DUMMYFUNCTION("""COMPUTED_VALUE"""),"Simon Sez IT")</f>
        <v>Simon Sez IT</v>
      </c>
      <c r="E274" t="str">
        <f>IFERROR(__xludf.DUMMYFUNCTION("""COMPUTED_VALUE"""),"Below Quality Standards")</f>
        <v>Below Quality Standards</v>
      </c>
      <c r="F274" t="str">
        <f>IFERROR(__xludf.DUMMYFUNCTION("""COMPUTED_VALUE"""),"Front-End Programming")</f>
        <v>Front-End Programming</v>
      </c>
      <c r="G274" s="140">
        <f>IFERROR(__xludf.DUMMYFUNCTION("""COMPUTED_VALUE"""),876850.0)</f>
        <v>876850</v>
      </c>
      <c r="H274" s="140" t="str">
        <f>IFERROR(__xludf.DUMMYFUNCTION("""COMPUTED_VALUE"""),"")</f>
        <v/>
      </c>
    </row>
    <row r="275">
      <c r="A275" s="143">
        <f>IFERROR(__xludf.DUMMYFUNCTION("""COMPUTED_VALUE"""),42613.0)</f>
        <v>42613</v>
      </c>
      <c r="B275" s="140">
        <f>IFERROR(__xludf.DUMMYFUNCTION("""COMPUTED_VALUE"""),501218.0)</f>
        <v>501218</v>
      </c>
      <c r="C275" s="140" t="str">
        <f>IFERROR(__xludf.DUMMYFUNCTION("""COMPUTED_VALUE"""),"")</f>
        <v/>
      </c>
      <c r="D275" t="str">
        <f>IFERROR(__xludf.DUMMYFUNCTION("""COMPUTED_VALUE"""),"Medallion Learning")</f>
        <v>Medallion Learning</v>
      </c>
      <c r="E275" t="str">
        <f>IFERROR(__xludf.DUMMYFUNCTION("""COMPUTED_VALUE"""),"Redundant")</f>
        <v>Redundant</v>
      </c>
      <c r="F275" t="str">
        <f>IFERROR(__xludf.DUMMYFUNCTION("""COMPUTED_VALUE"""),"Software and Systems")</f>
        <v>Software and Systems</v>
      </c>
      <c r="G275" s="140">
        <f>IFERROR(__xludf.DUMMYFUNCTION("""COMPUTED_VALUE"""),877160.0)</f>
        <v>877160</v>
      </c>
      <c r="H275" s="140" t="str">
        <f>IFERROR(__xludf.DUMMYFUNCTION("""COMPUTED_VALUE"""),"")</f>
        <v/>
      </c>
      <c r="I275" s="142" t="str">
        <f>IFERROR(__xludf.DUMMYFUNCTION("""COMPUTED_VALUE"""),"878110")</f>
        <v>878110</v>
      </c>
      <c r="J275" t="str">
        <f>IFERROR(__xludf.DUMMYFUNCTION("""COMPUTED_VALUE"""),"CompTIA A+ Certification 902. The Total Course")</f>
        <v>CompTIA A+ Certification 902. The Total Course</v>
      </c>
    </row>
    <row r="276">
      <c r="A276" s="143">
        <f>IFERROR(__xludf.DUMMYFUNCTION("""COMPUTED_VALUE"""),42613.0)</f>
        <v>42613</v>
      </c>
      <c r="B276" s="140">
        <f>IFERROR(__xludf.DUMMYFUNCTION("""COMPUTED_VALUE"""),508244.0)</f>
        <v>508244</v>
      </c>
      <c r="C276" s="140" t="str">
        <f>IFERROR(__xludf.DUMMYFUNCTION("""COMPUTED_VALUE"""),"")</f>
        <v/>
      </c>
      <c r="D276" t="str">
        <f>IFERROR(__xludf.DUMMYFUNCTION("""COMPUTED_VALUE"""),"Medallion Learning")</f>
        <v>Medallion Learning</v>
      </c>
      <c r="E276" t="str">
        <f>IFERROR(__xludf.DUMMYFUNCTION("""COMPUTED_VALUE"""),"Below Quality Standards, Obsolete")</f>
        <v>Below Quality Standards, Obsolete</v>
      </c>
      <c r="F276" t="str">
        <f>IFERROR(__xludf.DUMMYFUNCTION("""COMPUTED_VALUE"""),"Software and Systems")</f>
        <v>Software and Systems</v>
      </c>
      <c r="G276" s="140">
        <f>IFERROR(__xludf.DUMMYFUNCTION("""COMPUTED_VALUE"""),877160.0)</f>
        <v>877160</v>
      </c>
      <c r="H276" s="140" t="str">
        <f>IFERROR(__xludf.DUMMYFUNCTION("""COMPUTED_VALUE"""),"")</f>
        <v/>
      </c>
      <c r="I276" s="142" t="str">
        <f>IFERROR(__xludf.DUMMYFUNCTION("""COMPUTED_VALUE"""),"878110")</f>
        <v>878110</v>
      </c>
      <c r="J276" t="str">
        <f>IFERROR(__xludf.DUMMYFUNCTION("""COMPUTED_VALUE"""),"CompTIA A+ Certification 902. The Total Course")</f>
        <v>CompTIA A+ Certification 902. The Total Course</v>
      </c>
    </row>
    <row r="277">
      <c r="A277" s="143">
        <f>IFERROR(__xludf.DUMMYFUNCTION("""COMPUTED_VALUE"""),42613.0)</f>
        <v>42613</v>
      </c>
      <c r="B277" s="140">
        <f>IFERROR(__xludf.DUMMYFUNCTION("""COMPUTED_VALUE"""),442714.0)</f>
        <v>442714</v>
      </c>
      <c r="C277" s="140" t="str">
        <f>IFERROR(__xludf.DUMMYFUNCTION("""COMPUTED_VALUE"""),"")</f>
        <v/>
      </c>
      <c r="D277" t="str">
        <f>IFERROR(__xludf.DUMMYFUNCTION("""COMPUTED_VALUE"""),"Louise Croft")</f>
        <v>Louise Croft</v>
      </c>
      <c r="E277" t="str">
        <f>IFERROR(__xludf.DUMMYFUNCTION("""COMPUTED_VALUE"""),"Not Relevant")</f>
        <v>Not Relevant</v>
      </c>
      <c r="F277" t="str">
        <f>IFERROR(__xludf.DUMMYFUNCTION("""COMPUTED_VALUE"""),"Marketing")</f>
        <v>Marketing</v>
      </c>
      <c r="G277" s="140">
        <f>IFERROR(__xludf.DUMMYFUNCTION("""COMPUTED_VALUE"""),881228.0)</f>
        <v>881228</v>
      </c>
      <c r="H277" s="140" t="str">
        <f>IFERROR(__xludf.DUMMYFUNCTION("""COMPUTED_VALUE"""),"")</f>
        <v/>
      </c>
    </row>
    <row r="278">
      <c r="A278" s="143">
        <f>IFERROR(__xludf.DUMMYFUNCTION("""COMPUTED_VALUE"""),42613.0)</f>
        <v>42613</v>
      </c>
      <c r="B278" s="140">
        <f>IFERROR(__xludf.DUMMYFUNCTION("""COMPUTED_VALUE"""),164228.0)</f>
        <v>164228</v>
      </c>
      <c r="C278" s="140" t="str">
        <f>IFERROR(__xludf.DUMMYFUNCTION("""COMPUTED_VALUE"""),"")</f>
        <v/>
      </c>
      <c r="D278" s="142" t="str">
        <f>IFERROR(__xludf.DUMMYFUNCTION("""COMPUTED_VALUE"""),"Chad Tennant")</f>
        <v>Chad Tennant</v>
      </c>
      <c r="E278" t="str">
        <f>IFERROR(__xludf.DUMMYFUNCTION("""COMPUTED_VALUE"""),"Instructor Request")</f>
        <v>Instructor Request</v>
      </c>
      <c r="F278" s="142" t="str">
        <f>IFERROR(__xludf.DUMMYFUNCTION("""COMPUTED_VALUE"""),"Marketing")</f>
        <v>Marketing</v>
      </c>
      <c r="G278" s="140">
        <f>IFERROR(__xludf.DUMMYFUNCTION("""COMPUTED_VALUE"""),884690.0)</f>
        <v>884690</v>
      </c>
      <c r="H278" s="140" t="str">
        <f>IFERROR(__xludf.DUMMYFUNCTION("""COMPUTED_VALUE"""),"")</f>
        <v/>
      </c>
      <c r="I278" s="142" t="str">
        <f>IFERROR(__xludf.DUMMYFUNCTION("""COMPUTED_VALUE"""),"496924")</f>
        <v>496924</v>
      </c>
      <c r="J278" s="145" t="str">
        <f>IFERROR(__xludf.DUMMYFUNCTION("""COMPUTED_VALUE"""),"[2018] Growth Hacking with Digital Marketing (version 5.1)")</f>
        <v>[2018] Growth Hacking with Digital Marketing (version 5.1)</v>
      </c>
    </row>
    <row r="279">
      <c r="A279" s="143">
        <f>IFERROR(__xludf.DUMMYFUNCTION("""COMPUTED_VALUE"""),42613.0)</f>
        <v>42613</v>
      </c>
      <c r="B279" s="140">
        <f>IFERROR(__xludf.DUMMYFUNCTION("""COMPUTED_VALUE"""),25584.0)</f>
        <v>25584</v>
      </c>
      <c r="C279" s="140" t="str">
        <f>IFERROR(__xludf.DUMMYFUNCTION("""COMPUTED_VALUE"""),"")</f>
        <v/>
      </c>
      <c r="D279" t="str">
        <f>IFERROR(__xludf.DUMMYFUNCTION("""COMPUTED_VALUE"""),"John Purcell")</f>
        <v>John Purcell</v>
      </c>
      <c r="E279" t="str">
        <f>IFERROR(__xludf.DUMMYFUNCTION("""COMPUTED_VALUE"""),"Obsolete")</f>
        <v>Obsolete</v>
      </c>
      <c r="F279" t="str">
        <f>IFERROR(__xludf.DUMMYFUNCTION("""COMPUTED_VALUE"""),"Mobile Development")</f>
        <v>Mobile Development</v>
      </c>
      <c r="G279" s="140">
        <f>IFERROR(__xludf.DUMMYFUNCTION("""COMPUTED_VALUE"""),919872.0)</f>
        <v>919872</v>
      </c>
      <c r="H279" s="140" t="str">
        <f>IFERROR(__xludf.DUMMYFUNCTION("""COMPUTED_VALUE"""),"")</f>
        <v/>
      </c>
    </row>
    <row r="280">
      <c r="A280" s="143">
        <f>IFERROR(__xludf.DUMMYFUNCTION("""COMPUTED_VALUE"""),42608.0)</f>
        <v>42608</v>
      </c>
      <c r="B280" s="140">
        <f>IFERROR(__xludf.DUMMYFUNCTION("""COMPUTED_VALUE"""),594194.0)</f>
        <v>594194</v>
      </c>
      <c r="C280" s="140" t="str">
        <f>IFERROR(__xludf.DUMMYFUNCTION("""COMPUTED_VALUE"""),"")</f>
        <v/>
      </c>
      <c r="D280" t="str">
        <f>IFERROR(__xludf.DUMMYFUNCTION("""COMPUTED_VALUE"""),"Frank Kane")</f>
        <v>Frank Kane</v>
      </c>
      <c r="E280" t="str">
        <f>IFERROR(__xludf.DUMMYFUNCTION("""COMPUTED_VALUE"""),"Instructor Request")</f>
        <v>Instructor Request</v>
      </c>
      <c r="F280" t="str">
        <f>IFERROR(__xludf.DUMMYFUNCTION("""COMPUTED_VALUE"""),"Data Science")</f>
        <v>Data Science</v>
      </c>
      <c r="G280" s="140">
        <f>IFERROR(__xludf.DUMMYFUNCTION("""COMPUTED_VALUE"""),540270.0)</f>
        <v>540270</v>
      </c>
      <c r="H280" s="140" t="str">
        <f>IFERROR(__xludf.DUMMYFUNCTION("""COMPUTED_VALUE"""),"")</f>
        <v/>
      </c>
      <c r="I280" s="142" t="str">
        <f>IFERROR(__xludf.DUMMYFUNCTION("""COMPUTED_VALUE"""),"831458")</f>
        <v>831458</v>
      </c>
      <c r="J280" t="str">
        <f>IFERROR(__xludf.DUMMYFUNCTION("""COMPUTED_VALUE"""),"Taming Big Data with Spark Streaming and Scala - Hands On!")</f>
        <v>Taming Big Data with Spark Streaming and Scala - Hands On!</v>
      </c>
    </row>
    <row r="281">
      <c r="A281" s="143">
        <f>IFERROR(__xludf.DUMMYFUNCTION("""COMPUTED_VALUE"""),42593.0)</f>
        <v>42593</v>
      </c>
      <c r="B281" s="140">
        <f>IFERROR(__xludf.DUMMYFUNCTION("""COMPUTED_VALUE"""),65542.0)</f>
        <v>65542</v>
      </c>
      <c r="C281" s="140" t="str">
        <f>IFERROR(__xludf.DUMMYFUNCTION("""COMPUTED_VALUE"""),"")</f>
        <v/>
      </c>
      <c r="D281" t="str">
        <f>IFERROR(__xludf.DUMMYFUNCTION("""COMPUTED_VALUE"""),"David Travis")</f>
        <v>David Travis</v>
      </c>
      <c r="E281" t="str">
        <f>IFERROR(__xludf.DUMMYFUNCTION("""COMPUTED_VALUE"""),"Instructor Request")</f>
        <v>Instructor Request</v>
      </c>
      <c r="F281" t="str">
        <f>IFERROR(__xludf.DUMMYFUNCTION("""COMPUTED_VALUE"""),"Design")</f>
        <v>Design</v>
      </c>
      <c r="H281" s="140" t="str">
        <f>IFERROR(__xludf.DUMMYFUNCTION("""COMPUTED_VALUE"""),"")</f>
        <v/>
      </c>
    </row>
    <row r="282">
      <c r="A282" s="143">
        <f>IFERROR(__xludf.DUMMYFUNCTION("""COMPUTED_VALUE"""),42593.0)</f>
        <v>42593</v>
      </c>
      <c r="B282" s="140">
        <f>IFERROR(__xludf.DUMMYFUNCTION("""COMPUTED_VALUE"""),83884.0)</f>
        <v>83884</v>
      </c>
      <c r="C282" s="140" t="str">
        <f>IFERROR(__xludf.DUMMYFUNCTION("""COMPUTED_VALUE"""),"")</f>
        <v/>
      </c>
      <c r="D282" t="str">
        <f>IFERROR(__xludf.DUMMYFUNCTION("""COMPUTED_VALUE"""),"David Travis")</f>
        <v>David Travis</v>
      </c>
      <c r="E282" t="str">
        <f>IFERROR(__xludf.DUMMYFUNCTION("""COMPUTED_VALUE"""),"Instructor Request")</f>
        <v>Instructor Request</v>
      </c>
      <c r="F282" t="str">
        <f>IFERROR(__xludf.DUMMYFUNCTION("""COMPUTED_VALUE"""),"Design")</f>
        <v>Design</v>
      </c>
      <c r="H282" s="140" t="str">
        <f>IFERROR(__xludf.DUMMYFUNCTION("""COMPUTED_VALUE"""),"")</f>
        <v/>
      </c>
    </row>
    <row r="283">
      <c r="A283" s="143">
        <f>IFERROR(__xludf.DUMMYFUNCTION("""COMPUTED_VALUE"""),42593.0)</f>
        <v>42593</v>
      </c>
      <c r="B283" s="140">
        <f>IFERROR(__xludf.DUMMYFUNCTION("""COMPUTED_VALUE"""),28258.0)</f>
        <v>28258</v>
      </c>
      <c r="C283" s="140" t="str">
        <f>IFERROR(__xludf.DUMMYFUNCTION("""COMPUTED_VALUE"""),"")</f>
        <v/>
      </c>
      <c r="D283" t="str">
        <f>IFERROR(__xludf.DUMMYFUNCTION("""COMPUTED_VALUE"""),"David Travis")</f>
        <v>David Travis</v>
      </c>
      <c r="E283" t="str">
        <f>IFERROR(__xludf.DUMMYFUNCTION("""COMPUTED_VALUE"""),"Instructor Request")</f>
        <v>Instructor Request</v>
      </c>
      <c r="F283" t="str">
        <f>IFERROR(__xludf.DUMMYFUNCTION("""COMPUTED_VALUE"""),"Design")</f>
        <v>Design</v>
      </c>
      <c r="G283" s="140">
        <f>IFERROR(__xludf.DUMMYFUNCTION("""COMPUTED_VALUE"""),412738.0)</f>
        <v>412738</v>
      </c>
      <c r="H283" s="140" t="str">
        <f>IFERROR(__xludf.DUMMYFUNCTION("""COMPUTED_VALUE"""),"")</f>
        <v/>
      </c>
      <c r="I283" s="142" t="str">
        <f>IFERROR(__xludf.DUMMYFUNCTION("""COMPUTED_VALUE"""),"52512")</f>
        <v>52512</v>
      </c>
      <c r="J283" t="str">
        <f>IFERROR(__xludf.DUMMYFUNCTION("""COMPUTED_VALUE"""),"Become a UX Designer | Learn the Skills &amp; Get the Job")</f>
        <v>Become a UX Designer | Learn the Skills &amp; Get the Job</v>
      </c>
    </row>
    <row r="284">
      <c r="A284" s="143">
        <f>IFERROR(__xludf.DUMMYFUNCTION("""COMPUTED_VALUE"""),42593.0)</f>
        <v>42593</v>
      </c>
      <c r="B284" s="140">
        <f>IFERROR(__xludf.DUMMYFUNCTION("""COMPUTED_VALUE"""),663850.0)</f>
        <v>663850</v>
      </c>
      <c r="C284" s="140" t="str">
        <f>IFERROR(__xludf.DUMMYFUNCTION("""COMPUTED_VALUE"""),"")</f>
        <v/>
      </c>
      <c r="D284" t="str">
        <f>IFERROR(__xludf.DUMMYFUNCTION("""COMPUTED_VALUE"""),"David Travis")</f>
        <v>David Travis</v>
      </c>
      <c r="E284" t="str">
        <f>IFERROR(__xludf.DUMMYFUNCTION("""COMPUTED_VALUE"""),"Instructor Request")</f>
        <v>Instructor Request</v>
      </c>
      <c r="F284" t="str">
        <f>IFERROR(__xludf.DUMMYFUNCTION("""COMPUTED_VALUE"""),"Design")</f>
        <v>Design</v>
      </c>
      <c r="G284" s="140">
        <f>IFERROR(__xludf.DUMMYFUNCTION("""COMPUTED_VALUE"""),412738.0)</f>
        <v>412738</v>
      </c>
      <c r="H284" s="140" t="str">
        <f>IFERROR(__xludf.DUMMYFUNCTION("""COMPUTED_VALUE"""),"")</f>
        <v/>
      </c>
      <c r="I284" s="142" t="str">
        <f>IFERROR(__xludf.DUMMYFUNCTION("""COMPUTED_VALUE"""),"52512")</f>
        <v>52512</v>
      </c>
      <c r="J284" t="str">
        <f>IFERROR(__xludf.DUMMYFUNCTION("""COMPUTED_VALUE"""),"Become a UX Designer | Learn the Skills &amp; Get the Job")</f>
        <v>Become a UX Designer | Learn the Skills &amp; Get the Job</v>
      </c>
    </row>
    <row r="285">
      <c r="A285" s="143">
        <f>IFERROR(__xludf.DUMMYFUNCTION("""COMPUTED_VALUE"""),42592.0)</f>
        <v>42592</v>
      </c>
      <c r="B285" s="140">
        <f>IFERROR(__xludf.DUMMYFUNCTION("""COMPUTED_VALUE"""),632864.0)</f>
        <v>632864</v>
      </c>
      <c r="C285" s="140" t="str">
        <f>IFERROR(__xludf.DUMMYFUNCTION("""COMPUTED_VALUE"""),"")</f>
        <v/>
      </c>
      <c r="D285" s="142" t="str">
        <f>IFERROR(__xludf.DUMMYFUNCTION("""COMPUTED_VALUE"""),"Chad Tennant")</f>
        <v>Chad Tennant</v>
      </c>
      <c r="E285" t="str">
        <f>IFERROR(__xludf.DUMMYFUNCTION("""COMPUTED_VALUE"""),"Instructor Request")</f>
        <v>Instructor Request</v>
      </c>
      <c r="F285" s="142" t="str">
        <f>IFERROR(__xludf.DUMMYFUNCTION("""COMPUTED_VALUE"""),"Marketing")</f>
        <v>Marketing</v>
      </c>
      <c r="G285" s="140">
        <f>IFERROR(__xludf.DUMMYFUNCTION("""COMPUTED_VALUE"""),884690.0)</f>
        <v>884690</v>
      </c>
      <c r="H285" s="140" t="str">
        <f>IFERROR(__xludf.DUMMYFUNCTION("""COMPUTED_VALUE"""),"")</f>
        <v/>
      </c>
      <c r="I285" s="142" t="str">
        <f>IFERROR(__xludf.DUMMYFUNCTION("""COMPUTED_VALUE"""),"496924")</f>
        <v>496924</v>
      </c>
      <c r="J285" s="145" t="str">
        <f>IFERROR(__xludf.DUMMYFUNCTION("""COMPUTED_VALUE"""),"[2018] Growth Hacking with Digital Marketing (version 5.1)")</f>
        <v>[2018] Growth Hacking with Digital Marketing (version 5.1)</v>
      </c>
    </row>
    <row r="286">
      <c r="A286" s="143">
        <f>IFERROR(__xludf.DUMMYFUNCTION("""COMPUTED_VALUE"""),42587.0)</f>
        <v>42587</v>
      </c>
      <c r="B286" s="140">
        <f>IFERROR(__xludf.DUMMYFUNCTION("""COMPUTED_VALUE"""),384548.0)</f>
        <v>384548</v>
      </c>
      <c r="C286" s="140" t="str">
        <f>IFERROR(__xludf.DUMMYFUNCTION("""COMPUTED_VALUE"""),"")</f>
        <v/>
      </c>
      <c r="D286" t="str">
        <f>IFERROR(__xludf.DUMMYFUNCTION("""COMPUTED_VALUE"""),"Sandeep Kumar ­")</f>
        <v>Sandeep Kumar ­</v>
      </c>
      <c r="E286" t="str">
        <f>IFERROR(__xludf.DUMMYFUNCTION("""COMPUTED_VALUE"""),"Course is Private/Obsolete")</f>
        <v>Course is Private/Obsolete</v>
      </c>
      <c r="F286" t="str">
        <f>IFERROR(__xludf.DUMMYFUNCTION("""COMPUTED_VALUE"""),"Operations")</f>
        <v>Operations</v>
      </c>
      <c r="G286" s="140">
        <f>IFERROR(__xludf.DUMMYFUNCTION("""COMPUTED_VALUE"""),708134.0)</f>
        <v>708134</v>
      </c>
      <c r="H286" s="140" t="str">
        <f>IFERROR(__xludf.DUMMYFUNCTION("""COMPUTED_VALUE"""),"")</f>
        <v/>
      </c>
    </row>
    <row r="287">
      <c r="A287" s="143">
        <f>IFERROR(__xludf.DUMMYFUNCTION("""COMPUTED_VALUE"""),42587.0)</f>
        <v>42587</v>
      </c>
      <c r="B287" s="140">
        <f>IFERROR(__xludf.DUMMYFUNCTION("""COMPUTED_VALUE"""),434318.0)</f>
        <v>434318</v>
      </c>
      <c r="C287" s="140" t="str">
        <f>IFERROR(__xludf.DUMMYFUNCTION("""COMPUTED_VALUE"""),"")</f>
        <v/>
      </c>
      <c r="D287" t="str">
        <f>IFERROR(__xludf.DUMMYFUNCTION("""COMPUTED_VALUE"""),"Smarter Trades Group")</f>
        <v>Smarter Trades Group</v>
      </c>
      <c r="E287" t="str">
        <f>IFERROR(__xludf.DUMMYFUNCTION("""COMPUTED_VALUE"""),"Instructor Ban")</f>
        <v>Instructor Ban</v>
      </c>
      <c r="F287" t="str">
        <f>IFERROR(__xludf.DUMMYFUNCTION("""COMPUTED_VALUE"""),"Finance and Accounting")</f>
        <v>Finance and Accounting</v>
      </c>
      <c r="G287" s="140">
        <f>IFERROR(__xludf.DUMMYFUNCTION("""COMPUTED_VALUE"""),765562.0)</f>
        <v>765562</v>
      </c>
      <c r="H287" s="140" t="str">
        <f>IFERROR(__xludf.DUMMYFUNCTION("""COMPUTED_VALUE"""),"")</f>
        <v/>
      </c>
    </row>
    <row r="288">
      <c r="A288" s="143">
        <f>IFERROR(__xludf.DUMMYFUNCTION("""COMPUTED_VALUE"""),42584.0)</f>
        <v>42584</v>
      </c>
      <c r="B288" s="140">
        <f>IFERROR(__xludf.DUMMYFUNCTION("""COMPUTED_VALUE"""),128786.0)</f>
        <v>128786</v>
      </c>
      <c r="C288" s="140" t="str">
        <f>IFERROR(__xludf.DUMMYFUNCTION("""COMPUTED_VALUE"""),"")</f>
        <v/>
      </c>
      <c r="D288" t="str">
        <f>IFERROR(__xludf.DUMMYFUNCTION("""COMPUTED_VALUE"""),"CompuWorks Trainers")</f>
        <v>CompuWorks Trainers</v>
      </c>
      <c r="E288" t="str">
        <f>IFERROR(__xludf.DUMMYFUNCTION("""COMPUTED_VALUE"""),"Instructor Request")</f>
        <v>Instructor Request</v>
      </c>
      <c r="F288" t="str">
        <f>IFERROR(__xludf.DUMMYFUNCTION("""COMPUTED_VALUE"""),"Software and Systems")</f>
        <v>Software and Systems</v>
      </c>
      <c r="G288" s="140">
        <f>IFERROR(__xludf.DUMMYFUNCTION("""COMPUTED_VALUE"""),54557.0)</f>
        <v>54557</v>
      </c>
      <c r="H288" s="140" t="str">
        <f>IFERROR(__xludf.DUMMYFUNCTION("""COMPUTED_VALUE"""),"")</f>
        <v/>
      </c>
      <c r="I288" s="142" t="str">
        <f>IFERROR(__xludf.DUMMYFUNCTION("""COMPUTED_VALUE"""),"126134")</f>
        <v>126134</v>
      </c>
      <c r="J288" t="str">
        <f>IFERROR(__xludf.DUMMYFUNCTION("""COMPUTED_VALUE"""),"Oracle 11g PL/SQL Fundamentals II")</f>
        <v>Oracle 11g PL/SQL Fundamentals II</v>
      </c>
    </row>
    <row r="289">
      <c r="A289" s="143">
        <f>IFERROR(__xludf.DUMMYFUNCTION("""COMPUTED_VALUE"""),42584.0)</f>
        <v>42584</v>
      </c>
      <c r="B289" s="140">
        <f>IFERROR(__xludf.DUMMYFUNCTION("""COMPUTED_VALUE"""),642602.0)</f>
        <v>642602</v>
      </c>
      <c r="C289" s="140" t="str">
        <f>IFERROR(__xludf.DUMMYFUNCTION("""COMPUTED_VALUE"""),"")</f>
        <v/>
      </c>
      <c r="D289" t="str">
        <f>IFERROR(__xludf.DUMMYFUNCTION("""COMPUTED_VALUE"""),"Mike Meyers")</f>
        <v>Mike Meyers</v>
      </c>
      <c r="E289" t="str">
        <f>IFERROR(__xludf.DUMMYFUNCTION("""COMPUTED_VALUE"""),"Instructor Request (Obsolete)")</f>
        <v>Instructor Request (Obsolete)</v>
      </c>
      <c r="F289" t="str">
        <f>IFERROR(__xludf.DUMMYFUNCTION("""COMPUTED_VALUE"""),"Software and Systems")</f>
        <v>Software and Systems</v>
      </c>
      <c r="G289" s="140">
        <f>IFERROR(__xludf.DUMMYFUNCTION("""COMPUTED_VALUE"""),877160.0)</f>
        <v>877160</v>
      </c>
      <c r="H289" s="140" t="str">
        <f>IFERROR(__xludf.DUMMYFUNCTION("""COMPUTED_VALUE"""),"")</f>
        <v/>
      </c>
      <c r="I289" s="142" t="str">
        <f>IFERROR(__xludf.DUMMYFUNCTION("""COMPUTED_VALUE"""),"878110")</f>
        <v>878110</v>
      </c>
      <c r="J289" t="str">
        <f>IFERROR(__xludf.DUMMYFUNCTION("""COMPUTED_VALUE"""),"CompTIA A+ Certification 902. The Total Course")</f>
        <v>CompTIA A+ Certification 902. The Total Course</v>
      </c>
    </row>
    <row r="290">
      <c r="A290" s="143">
        <f>IFERROR(__xludf.DUMMYFUNCTION("""COMPUTED_VALUE"""),42579.0)</f>
        <v>42579</v>
      </c>
      <c r="B290" s="140">
        <f>IFERROR(__xludf.DUMMYFUNCTION("""COMPUTED_VALUE"""),322608.0)</f>
        <v>322608</v>
      </c>
      <c r="C290" s="140" t="str">
        <f>IFERROR(__xludf.DUMMYFUNCTION("""COMPUTED_VALUE"""),"")</f>
        <v/>
      </c>
      <c r="D290" t="str">
        <f>IFERROR(__xludf.DUMMYFUNCTION("""COMPUTED_VALUE"""),"LearnToProgram, Inc.")</f>
        <v>LearnToProgram, Inc.</v>
      </c>
      <c r="E290" t="str">
        <f>IFERROR(__xludf.DUMMYFUNCTION("""COMPUTED_VALUE"""),"Instructor Request")</f>
        <v>Instructor Request</v>
      </c>
      <c r="F290" t="str">
        <f>IFERROR(__xludf.DUMMYFUNCTION("""COMPUTED_VALUE"""),"Operations")</f>
        <v>Operations</v>
      </c>
      <c r="G290" s="140">
        <f>IFERROR(__xludf.DUMMYFUNCTION("""COMPUTED_VALUE"""),432638.0)</f>
        <v>432638</v>
      </c>
      <c r="H290" s="140" t="str">
        <f>IFERROR(__xludf.DUMMYFUNCTION("""COMPUTED_VALUE"""),"")</f>
        <v/>
      </c>
    </row>
    <row r="291">
      <c r="A291" s="143">
        <f>IFERROR(__xludf.DUMMYFUNCTION("""COMPUTED_VALUE"""),42579.0)</f>
        <v>42579</v>
      </c>
      <c r="B291" s="140">
        <f>IFERROR(__xludf.DUMMYFUNCTION("""COMPUTED_VALUE"""),355550.0)</f>
        <v>355550</v>
      </c>
      <c r="C291" s="140" t="str">
        <f>IFERROR(__xludf.DUMMYFUNCTION("""COMPUTED_VALUE"""),"")</f>
        <v/>
      </c>
      <c r="D291" t="str">
        <f>IFERROR(__xludf.DUMMYFUNCTION("""COMPUTED_VALUE"""),"LearnToProgram, Inc.")</f>
        <v>LearnToProgram, Inc.</v>
      </c>
      <c r="E291" t="str">
        <f>IFERROR(__xludf.DUMMYFUNCTION("""COMPUTED_VALUE"""),"Instructor Request")</f>
        <v>Instructor Request</v>
      </c>
      <c r="F291" t="str">
        <f>IFERROR(__xludf.DUMMYFUNCTION("""COMPUTED_VALUE"""),"Back-End Programming")</f>
        <v>Back-End Programming</v>
      </c>
      <c r="H291" s="140" t="str">
        <f>IFERROR(__xludf.DUMMYFUNCTION("""COMPUTED_VALUE"""),"")</f>
        <v/>
      </c>
    </row>
    <row r="292">
      <c r="A292" s="143">
        <f>IFERROR(__xludf.DUMMYFUNCTION("""COMPUTED_VALUE"""),42579.0)</f>
        <v>42579</v>
      </c>
      <c r="B292" s="140">
        <f>IFERROR(__xludf.DUMMYFUNCTION("""COMPUTED_VALUE"""),634676.0)</f>
        <v>634676</v>
      </c>
      <c r="C292" s="140" t="str">
        <f>IFERROR(__xludf.DUMMYFUNCTION("""COMPUTED_VALUE"""),"")</f>
        <v/>
      </c>
      <c r="D292" t="str">
        <f>IFERROR(__xludf.DUMMYFUNCTION("""COMPUTED_VALUE"""),"Dragos Stefanescu")</f>
        <v>Dragos Stefanescu</v>
      </c>
      <c r="E292" t="str">
        <f>IFERROR(__xludf.DUMMYFUNCTION("""COMPUTED_VALUE"""),"Instructor Request")</f>
        <v>Instructor Request</v>
      </c>
      <c r="F292" t="str">
        <f>IFERROR(__xludf.DUMMYFUNCTION("""COMPUTED_VALUE"""),"Marketing")</f>
        <v>Marketing</v>
      </c>
      <c r="G292" s="140">
        <f>IFERROR(__xludf.DUMMYFUNCTION("""COMPUTED_VALUE"""),189086.0)</f>
        <v>189086</v>
      </c>
      <c r="H292" s="140" t="str">
        <f>IFERROR(__xludf.DUMMYFUNCTION("""COMPUTED_VALUE"""),"")</f>
        <v/>
      </c>
    </row>
    <row r="293">
      <c r="A293" s="143">
        <f>IFERROR(__xludf.DUMMYFUNCTION("""COMPUTED_VALUE"""),42579.0)</f>
        <v>42579</v>
      </c>
      <c r="B293" s="140">
        <f>IFERROR(__xludf.DUMMYFUNCTION("""COMPUTED_VALUE"""),366844.0)</f>
        <v>366844</v>
      </c>
      <c r="C293" s="140" t="str">
        <f>IFERROR(__xludf.DUMMYFUNCTION("""COMPUTED_VALUE"""),"")</f>
        <v/>
      </c>
      <c r="D293" t="str">
        <f>IFERROR(__xludf.DUMMYFUNCTION("""COMPUTED_VALUE"""),"LearnToProgram, Inc.")</f>
        <v>LearnToProgram, Inc.</v>
      </c>
      <c r="E293" t="str">
        <f>IFERROR(__xludf.DUMMYFUNCTION("""COMPUTED_VALUE"""),"Instructor Request")</f>
        <v>Instructor Request</v>
      </c>
      <c r="F293" t="str">
        <f>IFERROR(__xludf.DUMMYFUNCTION("""COMPUTED_VALUE"""),"Software and Systems")</f>
        <v>Software and Systems</v>
      </c>
      <c r="G293" s="140">
        <f>IFERROR(__xludf.DUMMYFUNCTION("""COMPUTED_VALUE"""),196304.0)</f>
        <v>196304</v>
      </c>
      <c r="H293" s="140" t="str">
        <f>IFERROR(__xludf.DUMMYFUNCTION("""COMPUTED_VALUE"""),"")</f>
        <v/>
      </c>
    </row>
    <row r="294">
      <c r="A294" s="143">
        <f>IFERROR(__xludf.DUMMYFUNCTION("""COMPUTED_VALUE"""),42579.0)</f>
        <v>42579</v>
      </c>
      <c r="B294" s="140">
        <f>IFERROR(__xludf.DUMMYFUNCTION("""COMPUTED_VALUE"""),241444.0)</f>
        <v>241444</v>
      </c>
      <c r="C294" s="140" t="str">
        <f>IFERROR(__xludf.DUMMYFUNCTION("""COMPUTED_VALUE"""),"")</f>
        <v/>
      </c>
      <c r="D294" t="str">
        <f>IFERROR(__xludf.DUMMYFUNCTION("""COMPUTED_VALUE"""),"LearnToProgram, Inc.")</f>
        <v>LearnToProgram, Inc.</v>
      </c>
      <c r="E294" t="str">
        <f>IFERROR(__xludf.DUMMYFUNCTION("""COMPUTED_VALUE"""),"Instructor Request")</f>
        <v>Instructor Request</v>
      </c>
      <c r="F294" t="str">
        <f>IFERROR(__xludf.DUMMYFUNCTION("""COMPUTED_VALUE"""),"Back-End Programming")</f>
        <v>Back-End Programming</v>
      </c>
      <c r="G294" s="140">
        <f>IFERROR(__xludf.DUMMYFUNCTION("""COMPUTED_VALUE"""),43718.0)</f>
        <v>43718</v>
      </c>
      <c r="H294" s="140" t="str">
        <f>IFERROR(__xludf.DUMMYFUNCTION("""COMPUTED_VALUE"""),"")</f>
        <v/>
      </c>
    </row>
    <row r="295">
      <c r="A295" s="143">
        <f>IFERROR(__xludf.DUMMYFUNCTION("""COMPUTED_VALUE"""),42579.0)</f>
        <v>42579</v>
      </c>
      <c r="B295" s="140">
        <f>IFERROR(__xludf.DUMMYFUNCTION("""COMPUTED_VALUE"""),404338.0)</f>
        <v>404338</v>
      </c>
      <c r="C295" s="140" t="str">
        <f>IFERROR(__xludf.DUMMYFUNCTION("""COMPUTED_VALUE"""),"")</f>
        <v/>
      </c>
      <c r="D295" t="str">
        <f>IFERROR(__xludf.DUMMYFUNCTION("""COMPUTED_VALUE"""),"LearnToProgram, Inc.")</f>
        <v>LearnToProgram, Inc.</v>
      </c>
      <c r="E295" t="str">
        <f>IFERROR(__xludf.DUMMYFUNCTION("""COMPUTED_VALUE"""),"Instructor Request")</f>
        <v>Instructor Request</v>
      </c>
      <c r="F295" t="str">
        <f>IFERROR(__xludf.DUMMYFUNCTION("""COMPUTED_VALUE"""),"Mobile Development")</f>
        <v>Mobile Development</v>
      </c>
      <c r="G295" s="140">
        <f>IFERROR(__xludf.DUMMYFUNCTION("""COMPUTED_VALUE"""),636120.0)</f>
        <v>636120</v>
      </c>
      <c r="H295" s="140" t="str">
        <f>IFERROR(__xludf.DUMMYFUNCTION("""COMPUTED_VALUE"""),"")</f>
        <v/>
      </c>
    </row>
    <row r="296">
      <c r="A296" s="143">
        <f>IFERROR(__xludf.DUMMYFUNCTION("""COMPUTED_VALUE"""),42579.0)</f>
        <v>42579</v>
      </c>
      <c r="B296" s="140">
        <f>IFERROR(__xludf.DUMMYFUNCTION("""COMPUTED_VALUE"""),627174.0)</f>
        <v>627174</v>
      </c>
      <c r="C296" s="140" t="str">
        <f>IFERROR(__xludf.DUMMYFUNCTION("""COMPUTED_VALUE"""),"")</f>
        <v/>
      </c>
      <c r="D296" t="str">
        <f>IFERROR(__xludf.DUMMYFUNCTION("""COMPUTED_VALUE"""),"Chuck Cobb")</f>
        <v>Chuck Cobb</v>
      </c>
      <c r="E296" t="str">
        <f>IFERROR(__xludf.DUMMYFUNCTION("""COMPUTED_VALUE"""),"Below Quality Standards")</f>
        <v>Below Quality Standards</v>
      </c>
      <c r="F296" t="str">
        <f>IFERROR(__xludf.DUMMYFUNCTION("""COMPUTED_VALUE"""),"Operations")</f>
        <v>Operations</v>
      </c>
      <c r="G296" s="140">
        <f>IFERROR(__xludf.DUMMYFUNCTION("""COMPUTED_VALUE"""),856992.0)</f>
        <v>856992</v>
      </c>
      <c r="H296" s="140" t="str">
        <f>IFERROR(__xludf.DUMMYFUNCTION("""COMPUTED_VALUE"""),"")</f>
        <v/>
      </c>
    </row>
    <row r="297">
      <c r="A297" s="143">
        <f>IFERROR(__xludf.DUMMYFUNCTION("""COMPUTED_VALUE"""),42577.0)</f>
        <v>42577</v>
      </c>
      <c r="B297" s="140">
        <f>IFERROR(__xludf.DUMMYFUNCTION("""COMPUTED_VALUE"""),519400.0)</f>
        <v>519400</v>
      </c>
      <c r="C297" s="140" t="str">
        <f>IFERROR(__xludf.DUMMYFUNCTION("""COMPUTED_VALUE"""),"")</f>
        <v/>
      </c>
      <c r="D297" t="str">
        <f>IFERROR(__xludf.DUMMYFUNCTION("""COMPUTED_VALUE"""),"3D BUZZ Programming and Digital Art training")</f>
        <v>3D BUZZ Programming and Digital Art training</v>
      </c>
      <c r="E297" t="str">
        <f>IFERROR(__xludf.DUMMYFUNCTION("""COMPUTED_VALUE"""),"Below Quality Standards")</f>
        <v>Below Quality Standards</v>
      </c>
      <c r="F297" t="str">
        <f>IFERROR(__xludf.DUMMYFUNCTION("""COMPUTED_VALUE"""),"Mobile Development")</f>
        <v>Mobile Development</v>
      </c>
      <c r="G297" s="140">
        <f>IFERROR(__xludf.DUMMYFUNCTION("""COMPUTED_VALUE"""),951618.0)</f>
        <v>951618</v>
      </c>
      <c r="H297" s="140" t="str">
        <f>IFERROR(__xludf.DUMMYFUNCTION("""COMPUTED_VALUE"""),"")</f>
        <v/>
      </c>
    </row>
    <row r="298">
      <c r="A298" s="143">
        <f>IFERROR(__xludf.DUMMYFUNCTION("""COMPUTED_VALUE"""),42577.0)</f>
        <v>42577</v>
      </c>
      <c r="B298" s="140">
        <f>IFERROR(__xludf.DUMMYFUNCTION("""COMPUTED_VALUE"""),695836.0)</f>
        <v>695836</v>
      </c>
      <c r="C298" s="140" t="str">
        <f>IFERROR(__xludf.DUMMYFUNCTION("""COMPUTED_VALUE"""),"")</f>
        <v/>
      </c>
      <c r="D298" t="str">
        <f>IFERROR(__xludf.DUMMYFUNCTION("""COMPUTED_VALUE"""),"Mr Grant Klimaytys")</f>
        <v>Mr Grant Klimaytys</v>
      </c>
      <c r="E298" t="str">
        <f>IFERROR(__xludf.DUMMYFUNCTION("""COMPUTED_VALUE"""),"Below Quality Standards")</f>
        <v>Below Quality Standards</v>
      </c>
      <c r="F298" t="str">
        <f>IFERROR(__xludf.DUMMYFUNCTION("""COMPUTED_VALUE"""),"Mobile Development")</f>
        <v>Mobile Development</v>
      </c>
      <c r="G298" s="140">
        <f>IFERROR(__xludf.DUMMYFUNCTION("""COMPUTED_VALUE"""),951618.0)</f>
        <v>951618</v>
      </c>
      <c r="H298" s="140" t="str">
        <f>IFERROR(__xludf.DUMMYFUNCTION("""COMPUTED_VALUE"""),"")</f>
        <v/>
      </c>
    </row>
    <row r="299">
      <c r="A299" s="143">
        <f>IFERROR(__xludf.DUMMYFUNCTION("""COMPUTED_VALUE"""),42577.0)</f>
        <v>42577</v>
      </c>
      <c r="B299" s="140">
        <f>IFERROR(__xludf.DUMMYFUNCTION("""COMPUTED_VALUE"""),328266.0)</f>
        <v>328266</v>
      </c>
      <c r="C299" s="140" t="str">
        <f>IFERROR(__xludf.DUMMYFUNCTION("""COMPUTED_VALUE"""),"")</f>
        <v/>
      </c>
      <c r="D299" t="str">
        <f>IFERROR(__xludf.DUMMYFUNCTION("""COMPUTED_VALUE"""),"LearnSmart LLC")</f>
        <v>LearnSmart LLC</v>
      </c>
      <c r="E299" t="str">
        <f>IFERROR(__xludf.DUMMYFUNCTION("""COMPUTED_VALUE"""),"Below Quality Standards")</f>
        <v>Below Quality Standards</v>
      </c>
      <c r="F299" t="str">
        <f>IFERROR(__xludf.DUMMYFUNCTION("""COMPUTED_VALUE"""),"Operations")</f>
        <v>Operations</v>
      </c>
      <c r="G299" s="140">
        <f>IFERROR(__xludf.DUMMYFUNCTION("""COMPUTED_VALUE"""),1361790.0)</f>
        <v>1361790</v>
      </c>
      <c r="H299" s="140" t="str">
        <f>IFERROR(__xludf.DUMMYFUNCTION("""COMPUTED_VALUE"""),"")</f>
        <v/>
      </c>
    </row>
    <row r="300">
      <c r="A300" s="143">
        <f>IFERROR(__xludf.DUMMYFUNCTION("""COMPUTED_VALUE"""),42577.0)</f>
        <v>42577</v>
      </c>
      <c r="B300" s="140">
        <f>IFERROR(__xludf.DUMMYFUNCTION("""COMPUTED_VALUE"""),9913.0)</f>
        <v>9913</v>
      </c>
      <c r="C300" s="140" t="str">
        <f>IFERROR(__xludf.DUMMYFUNCTION("""COMPUTED_VALUE"""),"")</f>
        <v/>
      </c>
      <c r="D300" t="str">
        <f>IFERROR(__xludf.DUMMYFUNCTION("""COMPUTED_VALUE"""),"Train Simple")</f>
        <v>Train Simple</v>
      </c>
      <c r="E300" t="str">
        <f>IFERROR(__xludf.DUMMYFUNCTION("""COMPUTED_VALUE"""),"Course is Unpublished")</f>
        <v>Course is Unpublished</v>
      </c>
      <c r="F300" t="str">
        <f>IFERROR(__xludf.DUMMYFUNCTION("""COMPUTED_VALUE"""),"Design")</f>
        <v>Design</v>
      </c>
      <c r="H300" s="140" t="str">
        <f>IFERROR(__xludf.DUMMYFUNCTION("""COMPUTED_VALUE"""),"")</f>
        <v/>
      </c>
    </row>
    <row r="301">
      <c r="A301" s="143">
        <f>IFERROR(__xludf.DUMMYFUNCTION("""COMPUTED_VALUE"""),42577.0)</f>
        <v>42577</v>
      </c>
      <c r="B301" s="140">
        <f>IFERROR(__xludf.DUMMYFUNCTION("""COMPUTED_VALUE"""),28142.0)</f>
        <v>28142</v>
      </c>
      <c r="C301" s="140" t="str">
        <f>IFERROR(__xludf.DUMMYFUNCTION("""COMPUTED_VALUE"""),"")</f>
        <v/>
      </c>
      <c r="D301" t="str">
        <f>IFERROR(__xludf.DUMMYFUNCTION("""COMPUTED_VALUE"""),"Train Simple")</f>
        <v>Train Simple</v>
      </c>
      <c r="E301" t="str">
        <f>IFERROR(__xludf.DUMMYFUNCTION("""COMPUTED_VALUE"""),"Course is Unpublished")</f>
        <v>Course is Unpublished</v>
      </c>
      <c r="F301" t="str">
        <f>IFERROR(__xludf.DUMMYFUNCTION("""COMPUTED_VALUE"""),"Design")</f>
        <v>Design</v>
      </c>
      <c r="H301" s="140" t="str">
        <f>IFERROR(__xludf.DUMMYFUNCTION("""COMPUTED_VALUE"""),"")</f>
        <v/>
      </c>
    </row>
    <row r="302">
      <c r="A302" s="143">
        <f>IFERROR(__xludf.DUMMYFUNCTION("""COMPUTED_VALUE"""),42577.0)</f>
        <v>42577</v>
      </c>
      <c r="B302" s="140">
        <f>IFERROR(__xludf.DUMMYFUNCTION("""COMPUTED_VALUE"""),717212.0)</f>
        <v>717212</v>
      </c>
      <c r="C302" s="140" t="str">
        <f>IFERROR(__xludf.DUMMYFUNCTION("""COMPUTED_VALUE"""),"")</f>
        <v/>
      </c>
      <c r="D302" t="str">
        <f>IFERROR(__xludf.DUMMYFUNCTION("""COMPUTED_VALUE"""),"Train Simple")</f>
        <v>Train Simple</v>
      </c>
      <c r="E302" t="str">
        <f>IFERROR(__xludf.DUMMYFUNCTION("""COMPUTED_VALUE"""),"Course is Unpublished")</f>
        <v>Course is Unpublished</v>
      </c>
      <c r="F302" t="str">
        <f>IFERROR(__xludf.DUMMYFUNCTION("""COMPUTED_VALUE"""),"Design")</f>
        <v>Design</v>
      </c>
      <c r="H302" s="140" t="str">
        <f>IFERROR(__xludf.DUMMYFUNCTION("""COMPUTED_VALUE"""),"")</f>
        <v/>
      </c>
    </row>
    <row r="303">
      <c r="A303" s="143">
        <f>IFERROR(__xludf.DUMMYFUNCTION("""COMPUTED_VALUE"""),42577.0)</f>
        <v>42577</v>
      </c>
      <c r="B303" s="140">
        <f>IFERROR(__xludf.DUMMYFUNCTION("""COMPUTED_VALUE"""),179422.0)</f>
        <v>179422</v>
      </c>
      <c r="C303" s="140" t="str">
        <f>IFERROR(__xludf.DUMMYFUNCTION("""COMPUTED_VALUE"""),"")</f>
        <v/>
      </c>
      <c r="D303" t="str">
        <f>IFERROR(__xludf.DUMMYFUNCTION("""COMPUTED_VALUE"""),"Paul Siegel")</f>
        <v>Paul Siegel</v>
      </c>
      <c r="E303" t="str">
        <f>IFERROR(__xludf.DUMMYFUNCTION("""COMPUTED_VALUE"""),"Course is Unpublished")</f>
        <v>Course is Unpublished</v>
      </c>
      <c r="F303" t="str">
        <f>IFERROR(__xludf.DUMMYFUNCTION("""COMPUTED_VALUE"""),"Finance and Accounting")</f>
        <v>Finance and Accounting</v>
      </c>
      <c r="H303" s="140" t="str">
        <f>IFERROR(__xludf.DUMMYFUNCTION("""COMPUTED_VALUE"""),"")</f>
        <v/>
      </c>
    </row>
    <row r="304">
      <c r="A304" s="143">
        <f>IFERROR(__xludf.DUMMYFUNCTION("""COMPUTED_VALUE"""),42577.0)</f>
        <v>42577</v>
      </c>
      <c r="B304" s="140">
        <f>IFERROR(__xludf.DUMMYFUNCTION("""COMPUTED_VALUE"""),449608.0)</f>
        <v>449608</v>
      </c>
      <c r="C304" s="140" t="str">
        <f>IFERROR(__xludf.DUMMYFUNCTION("""COMPUTED_VALUE"""),"")</f>
        <v/>
      </c>
      <c r="D304" t="str">
        <f>IFERROR(__xludf.DUMMYFUNCTION("""COMPUTED_VALUE"""),"Frontend Masters")</f>
        <v>Frontend Masters</v>
      </c>
      <c r="E304" t="str">
        <f>IFERROR(__xludf.DUMMYFUNCTION("""COMPUTED_VALUE"""),"Course is Unpublished")</f>
        <v>Course is Unpublished</v>
      </c>
      <c r="F304" t="str">
        <f>IFERROR(__xludf.DUMMYFUNCTION("""COMPUTED_VALUE"""),"Front-End Programming")</f>
        <v>Front-End Programming</v>
      </c>
      <c r="H304" s="140" t="str">
        <f>IFERROR(__xludf.DUMMYFUNCTION("""COMPUTED_VALUE"""),"")</f>
        <v/>
      </c>
    </row>
    <row r="305">
      <c r="A305" s="143">
        <f>IFERROR(__xludf.DUMMYFUNCTION("""COMPUTED_VALUE"""),42577.0)</f>
        <v>42577</v>
      </c>
      <c r="B305" s="140">
        <f>IFERROR(__xludf.DUMMYFUNCTION("""COMPUTED_VALUE"""),30539.0)</f>
        <v>30539</v>
      </c>
      <c r="C305" s="140" t="str">
        <f>IFERROR(__xludf.DUMMYFUNCTION("""COMPUTED_VALUE"""),"")</f>
        <v/>
      </c>
      <c r="D305" t="str">
        <f>IFERROR(__xludf.DUMMYFUNCTION("""COMPUTED_VALUE"""),"Linux Academy")</f>
        <v>Linux Academy</v>
      </c>
      <c r="E305" t="str">
        <f>IFERROR(__xludf.DUMMYFUNCTION("""COMPUTED_VALUE"""),"Course is Unpublished")</f>
        <v>Course is Unpublished</v>
      </c>
      <c r="F305" t="str">
        <f>IFERROR(__xludf.DUMMYFUNCTION("""COMPUTED_VALUE"""),"Front-End Programming")</f>
        <v>Front-End Programming</v>
      </c>
      <c r="H305" s="140" t="str">
        <f>IFERROR(__xludf.DUMMYFUNCTION("""COMPUTED_VALUE"""),"")</f>
        <v/>
      </c>
    </row>
    <row r="306">
      <c r="A306" s="143">
        <f>IFERROR(__xludf.DUMMYFUNCTION("""COMPUTED_VALUE"""),42577.0)</f>
        <v>42577</v>
      </c>
      <c r="B306" s="140">
        <f>IFERROR(__xludf.DUMMYFUNCTION("""COMPUTED_VALUE"""),421206.0)</f>
        <v>421206</v>
      </c>
      <c r="C306" s="140" t="str">
        <f>IFERROR(__xludf.DUMMYFUNCTION("""COMPUTED_VALUE"""),"")</f>
        <v/>
      </c>
      <c r="D306" t="str">
        <f>IFERROR(__xludf.DUMMYFUNCTION("""COMPUTED_VALUE"""),"Frontend Masters")</f>
        <v>Frontend Masters</v>
      </c>
      <c r="E306" t="str">
        <f>IFERROR(__xludf.DUMMYFUNCTION("""COMPUTED_VALUE"""),"Course is Unpublished")</f>
        <v>Course is Unpublished</v>
      </c>
      <c r="F306" t="str">
        <f>IFERROR(__xludf.DUMMYFUNCTION("""COMPUTED_VALUE"""),"Front-End Programming")</f>
        <v>Front-End Programming</v>
      </c>
      <c r="H306" s="140" t="str">
        <f>IFERROR(__xludf.DUMMYFUNCTION("""COMPUTED_VALUE"""),"")</f>
        <v/>
      </c>
    </row>
    <row r="307">
      <c r="A307" s="143">
        <f>IFERROR(__xludf.DUMMYFUNCTION("""COMPUTED_VALUE"""),42577.0)</f>
        <v>42577</v>
      </c>
      <c r="B307" s="140">
        <f>IFERROR(__xludf.DUMMYFUNCTION("""COMPUTED_VALUE"""),439064.0)</f>
        <v>439064</v>
      </c>
      <c r="C307" s="140" t="str">
        <f>IFERROR(__xludf.DUMMYFUNCTION("""COMPUTED_VALUE"""),"")</f>
        <v/>
      </c>
      <c r="D307" t="str">
        <f>IFERROR(__xludf.DUMMYFUNCTION("""COMPUTED_VALUE"""),"LearnSmart LLC")</f>
        <v>LearnSmart LLC</v>
      </c>
      <c r="E307" t="str">
        <f>IFERROR(__xludf.DUMMYFUNCTION("""COMPUTED_VALUE"""),"Course is Private")</f>
        <v>Course is Private</v>
      </c>
      <c r="F307" t="str">
        <f>IFERROR(__xludf.DUMMYFUNCTION("""COMPUTED_VALUE"""),"Software and Systems")</f>
        <v>Software and Systems</v>
      </c>
      <c r="H307" s="140" t="str">
        <f>IFERROR(__xludf.DUMMYFUNCTION("""COMPUTED_VALUE"""),"")</f>
        <v/>
      </c>
    </row>
    <row r="308">
      <c r="A308" s="143">
        <f>IFERROR(__xludf.DUMMYFUNCTION("""COMPUTED_VALUE"""),42577.0)</f>
        <v>42577</v>
      </c>
      <c r="B308" s="140">
        <f>IFERROR(__xludf.DUMMYFUNCTION("""COMPUTED_VALUE"""),326614.0)</f>
        <v>326614</v>
      </c>
      <c r="C308" s="140" t="str">
        <f>IFERROR(__xludf.DUMMYFUNCTION("""COMPUTED_VALUE"""),"")</f>
        <v/>
      </c>
      <c r="D308" t="str">
        <f>IFERROR(__xludf.DUMMYFUNCTION("""COMPUTED_VALUE"""),"Matt Keener")</f>
        <v>Matt Keener</v>
      </c>
      <c r="E308" t="str">
        <f>IFERROR(__xludf.DUMMYFUNCTION("""COMPUTED_VALUE"""),"Course is Unpublished")</f>
        <v>Course is Unpublished</v>
      </c>
      <c r="F308" t="str">
        <f>IFERROR(__xludf.DUMMYFUNCTION("""COMPUTED_VALUE"""),"Operations")</f>
        <v>Operations</v>
      </c>
      <c r="H308" s="140" t="str">
        <f>IFERROR(__xludf.DUMMYFUNCTION("""COMPUTED_VALUE"""),"")</f>
        <v/>
      </c>
    </row>
    <row r="309">
      <c r="A309" s="143">
        <f>IFERROR(__xludf.DUMMYFUNCTION("""COMPUTED_VALUE"""),42577.0)</f>
        <v>42577</v>
      </c>
      <c r="B309" s="140">
        <f>IFERROR(__xludf.DUMMYFUNCTION("""COMPUTED_VALUE"""),381906.0)</f>
        <v>381906</v>
      </c>
      <c r="C309" s="140" t="str">
        <f>IFERROR(__xludf.DUMMYFUNCTION("""COMPUTED_VALUE"""),"")</f>
        <v/>
      </c>
      <c r="D309" t="str">
        <f>IFERROR(__xludf.DUMMYFUNCTION("""COMPUTED_VALUE"""),"Joseph Phillips")</f>
        <v>Joseph Phillips</v>
      </c>
      <c r="E309" t="str">
        <f>IFERROR(__xludf.DUMMYFUNCTION("""COMPUTED_VALUE"""),"Course is Unpublished")</f>
        <v>Course is Unpublished</v>
      </c>
      <c r="F309" t="str">
        <f>IFERROR(__xludf.DUMMYFUNCTION("""COMPUTED_VALUE"""),"Operations")</f>
        <v>Operations</v>
      </c>
      <c r="H309" s="140" t="str">
        <f>IFERROR(__xludf.DUMMYFUNCTION("""COMPUTED_VALUE"""),"")</f>
        <v/>
      </c>
    </row>
    <row r="310">
      <c r="A310" s="143">
        <f>IFERROR(__xludf.DUMMYFUNCTION("""COMPUTED_VALUE"""),42577.0)</f>
        <v>42577</v>
      </c>
      <c r="B310" s="140">
        <f>IFERROR(__xludf.DUMMYFUNCTION("""COMPUTED_VALUE"""),402526.0)</f>
        <v>402526</v>
      </c>
      <c r="C310" s="140" t="str">
        <f>IFERROR(__xludf.DUMMYFUNCTION("""COMPUTED_VALUE"""),"")</f>
        <v/>
      </c>
      <c r="D310" t="str">
        <f>IFERROR(__xludf.DUMMYFUNCTION("""COMPUTED_VALUE"""),"Matt Keener")</f>
        <v>Matt Keener</v>
      </c>
      <c r="E310" t="str">
        <f>IFERROR(__xludf.DUMMYFUNCTION("""COMPUTED_VALUE"""),"Course is Unpublished")</f>
        <v>Course is Unpublished</v>
      </c>
      <c r="F310" t="str">
        <f>IFERROR(__xludf.DUMMYFUNCTION("""COMPUTED_VALUE"""),"Operations")</f>
        <v>Operations</v>
      </c>
      <c r="H310" s="140" t="str">
        <f>IFERROR(__xludf.DUMMYFUNCTION("""COMPUTED_VALUE"""),"")</f>
        <v/>
      </c>
    </row>
    <row r="311">
      <c r="A311" s="143">
        <f>IFERROR(__xludf.DUMMYFUNCTION("""COMPUTED_VALUE"""),42577.0)</f>
        <v>42577</v>
      </c>
      <c r="B311" s="140">
        <f>IFERROR(__xludf.DUMMYFUNCTION("""COMPUTED_VALUE"""),70644.0)</f>
        <v>70644</v>
      </c>
      <c r="C311" s="140" t="str">
        <f>IFERROR(__xludf.DUMMYFUNCTION("""COMPUTED_VALUE"""),"")</f>
        <v/>
      </c>
      <c r="D311" t="str">
        <f>IFERROR(__xludf.DUMMYFUNCTION("""COMPUTED_VALUE"""),"Justin Mitchel")</f>
        <v>Justin Mitchel</v>
      </c>
      <c r="E311" t="str">
        <f>IFERROR(__xludf.DUMMYFUNCTION("""COMPUTED_VALUE"""),"Course is Private")</f>
        <v>Course is Private</v>
      </c>
      <c r="F311" t="str">
        <f>IFERROR(__xludf.DUMMYFUNCTION("""COMPUTED_VALUE"""),"Mobile Development")</f>
        <v>Mobile Development</v>
      </c>
      <c r="G311" s="140">
        <f>IFERROR(__xludf.DUMMYFUNCTION("""COMPUTED_VALUE"""),1019276.0)</f>
        <v>1019276</v>
      </c>
      <c r="H311" s="140" t="str">
        <f>IFERROR(__xludf.DUMMYFUNCTION("""COMPUTED_VALUE"""),"")</f>
        <v/>
      </c>
      <c r="I311" s="142" t="str">
        <f>IFERROR(__xludf.DUMMYFUNCTION("""COMPUTED_VALUE"""),"442690")</f>
        <v>442690</v>
      </c>
      <c r="J311" t="str">
        <f>IFERROR(__xludf.DUMMYFUNCTION("""COMPUTED_VALUE"""),"Phonegap &amp; Ludei - Build HTML5 CSS &amp; JS Apps")</f>
        <v>Phonegap &amp; Ludei - Build HTML5 CSS &amp; JS Apps</v>
      </c>
    </row>
    <row r="312">
      <c r="A312" s="143">
        <f>IFERROR(__xludf.DUMMYFUNCTION("""COMPUTED_VALUE"""),42577.0)</f>
        <v>42577</v>
      </c>
      <c r="B312" s="140">
        <f>IFERROR(__xludf.DUMMYFUNCTION("""COMPUTED_VALUE"""),630982.0)</f>
        <v>630982</v>
      </c>
      <c r="C312" s="140" t="str">
        <f>IFERROR(__xludf.DUMMYFUNCTION("""COMPUTED_VALUE"""),"")</f>
        <v/>
      </c>
      <c r="D312" t="str">
        <f>IFERROR(__xludf.DUMMYFUNCTION("""COMPUTED_VALUE"""),"Eduonix Learning Solutions")</f>
        <v>Eduonix Learning Solutions</v>
      </c>
      <c r="E312" t="str">
        <f>IFERROR(__xludf.DUMMYFUNCTION("""COMPUTED_VALUE"""),"Below Quality Standards")</f>
        <v>Below Quality Standards</v>
      </c>
      <c r="F312" t="str">
        <f>IFERROR(__xludf.DUMMYFUNCTION("""COMPUTED_VALUE"""),"Software and Systems")</f>
        <v>Software and Systems</v>
      </c>
      <c r="G312" s="140">
        <f>IFERROR(__xludf.DUMMYFUNCTION("""COMPUTED_VALUE"""),10812.0)</f>
        <v>10812</v>
      </c>
      <c r="H312" s="140" t="str">
        <f>IFERROR(__xludf.DUMMYFUNCTION("""COMPUTED_VALUE"""),"")</f>
        <v/>
      </c>
    </row>
    <row r="313">
      <c r="A313" s="143">
        <f>IFERROR(__xludf.DUMMYFUNCTION("""COMPUTED_VALUE"""),42577.0)</f>
        <v>42577</v>
      </c>
      <c r="B313" s="140">
        <f>IFERROR(__xludf.DUMMYFUNCTION("""COMPUTED_VALUE"""),33855.0)</f>
        <v>33855</v>
      </c>
      <c r="C313" s="140" t="str">
        <f>IFERROR(__xludf.DUMMYFUNCTION("""COMPUTED_VALUE"""),"")</f>
        <v/>
      </c>
      <c r="D313" t="str">
        <f>IFERROR(__xludf.DUMMYFUNCTION("""COMPUTED_VALUE"""),"Train Simple")</f>
        <v>Train Simple</v>
      </c>
      <c r="E313" t="str">
        <f>IFERROR(__xludf.DUMMYFUNCTION("""COMPUTED_VALUE"""),"Course is Unpublished")</f>
        <v>Course is Unpublished</v>
      </c>
      <c r="F313" t="str">
        <f>IFERROR(__xludf.DUMMYFUNCTION("""COMPUTED_VALUE"""),"Design")</f>
        <v>Design</v>
      </c>
      <c r="G313" s="140">
        <f>IFERROR(__xludf.DUMMYFUNCTION("""COMPUTED_VALUE"""),115758.0)</f>
        <v>115758</v>
      </c>
      <c r="H313" s="140" t="str">
        <f>IFERROR(__xludf.DUMMYFUNCTION("""COMPUTED_VALUE"""),"")</f>
        <v/>
      </c>
    </row>
    <row r="314">
      <c r="A314" s="143">
        <f>IFERROR(__xludf.DUMMYFUNCTION("""COMPUTED_VALUE"""),42577.0)</f>
        <v>42577</v>
      </c>
      <c r="B314" s="140">
        <f>IFERROR(__xludf.DUMMYFUNCTION("""COMPUTED_VALUE"""),391708.0)</f>
        <v>391708</v>
      </c>
      <c r="C314" s="140" t="str">
        <f>IFERROR(__xludf.DUMMYFUNCTION("""COMPUTED_VALUE"""),"")</f>
        <v/>
      </c>
      <c r="D314" t="str">
        <f>IFERROR(__xludf.DUMMYFUNCTION("""COMPUTED_VALUE"""),"Sandeep Kumar ­")</f>
        <v>Sandeep Kumar ­</v>
      </c>
      <c r="E314" t="str">
        <f>IFERROR(__xludf.DUMMYFUNCTION("""COMPUTED_VALUE"""),"Below Quality Standards")</f>
        <v>Below Quality Standards</v>
      </c>
      <c r="F314" t="str">
        <f>IFERROR(__xludf.DUMMYFUNCTION("""COMPUTED_VALUE"""),"Data Science")</f>
        <v>Data Science</v>
      </c>
      <c r="G314" s="140">
        <f>IFERROR(__xludf.DUMMYFUNCTION("""COMPUTED_VALUE"""),116286.0)</f>
        <v>116286</v>
      </c>
      <c r="H314" s="140" t="str">
        <f>IFERROR(__xludf.DUMMYFUNCTION("""COMPUTED_VALUE"""),"")</f>
        <v/>
      </c>
    </row>
    <row r="315">
      <c r="A315" s="143">
        <f>IFERROR(__xludf.DUMMYFUNCTION("""COMPUTED_VALUE"""),42577.0)</f>
        <v>42577</v>
      </c>
      <c r="B315" s="140">
        <f>IFERROR(__xludf.DUMMYFUNCTION("""COMPUTED_VALUE"""),27986.0)</f>
        <v>27986</v>
      </c>
      <c r="C315" s="140" t="str">
        <f>IFERROR(__xludf.DUMMYFUNCTION("""COMPUTED_VALUE"""),"")</f>
        <v/>
      </c>
      <c r="D315" t="str">
        <f>IFERROR(__xludf.DUMMYFUNCTION("""COMPUTED_VALUE"""),"IT Intelligence Group for SAP")</f>
        <v>IT Intelligence Group for SAP</v>
      </c>
      <c r="E315" t="str">
        <f>IFERROR(__xludf.DUMMYFUNCTION("""COMPUTED_VALUE"""),"Course is Unpublished")</f>
        <v>Course is Unpublished</v>
      </c>
      <c r="F315" t="str">
        <f>IFERROR(__xludf.DUMMYFUNCTION("""COMPUTED_VALUE"""),"Software and Systems")</f>
        <v>Software and Systems</v>
      </c>
      <c r="G315" s="140">
        <f>IFERROR(__xludf.DUMMYFUNCTION("""COMPUTED_VALUE"""),1187016.0)</f>
        <v>1187016</v>
      </c>
      <c r="H315" s="140" t="str">
        <f>IFERROR(__xludf.DUMMYFUNCTION("""COMPUTED_VALUE"""),"")</f>
        <v/>
      </c>
    </row>
    <row r="316">
      <c r="A316" s="143">
        <f>IFERROR(__xludf.DUMMYFUNCTION("""COMPUTED_VALUE"""),42577.0)</f>
        <v>42577</v>
      </c>
      <c r="B316" s="140">
        <f>IFERROR(__xludf.DUMMYFUNCTION("""COMPUTED_VALUE"""),466702.0)</f>
        <v>466702</v>
      </c>
      <c r="C316" s="140" t="str">
        <f>IFERROR(__xludf.DUMMYFUNCTION("""COMPUTED_VALUE"""),"")</f>
        <v/>
      </c>
      <c r="D316" t="str">
        <f>IFERROR(__xludf.DUMMYFUNCTION("""COMPUTED_VALUE"""),"Rico Rodriguez")</f>
        <v>Rico Rodriguez</v>
      </c>
      <c r="E316" t="str">
        <f>IFERROR(__xludf.DUMMYFUNCTION("""COMPUTED_VALUE"""),"Below Quality Standards")</f>
        <v>Below Quality Standards</v>
      </c>
      <c r="F316" t="str">
        <f>IFERROR(__xludf.DUMMYFUNCTION("""COMPUTED_VALUE"""),"Software and Systems")</f>
        <v>Software and Systems</v>
      </c>
      <c r="G316" s="140">
        <f>IFERROR(__xludf.DUMMYFUNCTION("""COMPUTED_VALUE"""),1187016.0)</f>
        <v>1187016</v>
      </c>
      <c r="H316" s="140" t="str">
        <f>IFERROR(__xludf.DUMMYFUNCTION("""COMPUTED_VALUE"""),"")</f>
        <v/>
      </c>
    </row>
    <row r="317">
      <c r="A317" s="143">
        <f>IFERROR(__xludf.DUMMYFUNCTION("""COMPUTED_VALUE"""),42577.0)</f>
        <v>42577</v>
      </c>
      <c r="B317" s="140">
        <f>IFERROR(__xludf.DUMMYFUNCTION("""COMPUTED_VALUE"""),249746.0)</f>
        <v>249746</v>
      </c>
      <c r="C317" s="140" t="str">
        <f>IFERROR(__xludf.DUMMYFUNCTION("""COMPUTED_VALUE"""),"")</f>
        <v/>
      </c>
      <c r="D317" t="str">
        <f>IFERROR(__xludf.DUMMYFUNCTION("""COMPUTED_VALUE"""),"Laura Dewey M.A.")</f>
        <v>Laura Dewey M.A.</v>
      </c>
      <c r="E317" t="str">
        <f>IFERROR(__xludf.DUMMYFUNCTION("""COMPUTED_VALUE"""),"Below Quality Standards")</f>
        <v>Below Quality Standards</v>
      </c>
      <c r="F317" t="str">
        <f>IFERROR(__xludf.DUMMYFUNCTION("""COMPUTED_VALUE"""),"Soft Skills")</f>
        <v>Soft Skills</v>
      </c>
      <c r="G317" s="140">
        <f>IFERROR(__xludf.DUMMYFUNCTION("""COMPUTED_VALUE"""),139166.0)</f>
        <v>139166</v>
      </c>
      <c r="H317" s="140" t="str">
        <f>IFERROR(__xludf.DUMMYFUNCTION("""COMPUTED_VALUE"""),"")</f>
        <v/>
      </c>
    </row>
    <row r="318">
      <c r="A318" s="143">
        <f>IFERROR(__xludf.DUMMYFUNCTION("""COMPUTED_VALUE"""),42577.0)</f>
        <v>42577</v>
      </c>
      <c r="B318" s="140">
        <f>IFERROR(__xludf.DUMMYFUNCTION("""COMPUTED_VALUE"""),379276.0)</f>
        <v>379276</v>
      </c>
      <c r="C318" s="140" t="str">
        <f>IFERROR(__xludf.DUMMYFUNCTION("""COMPUTED_VALUE"""),"")</f>
        <v/>
      </c>
      <c r="D318" t="str">
        <f>IFERROR(__xludf.DUMMYFUNCTION("""COMPUTED_VALUE"""),"Debbie Levitt")</f>
        <v>Debbie Levitt</v>
      </c>
      <c r="E318" t="str">
        <f>IFERROR(__xludf.DUMMYFUNCTION("""COMPUTED_VALUE"""),"Course is Unpublished")</f>
        <v>Course is Unpublished</v>
      </c>
      <c r="F318" t="str">
        <f>IFERROR(__xludf.DUMMYFUNCTION("""COMPUTED_VALUE"""),"Design")</f>
        <v>Design</v>
      </c>
      <c r="G318" s="140">
        <f>IFERROR(__xludf.DUMMYFUNCTION("""COMPUTED_VALUE"""),927870.0)</f>
        <v>927870</v>
      </c>
      <c r="H318" s="140" t="str">
        <f>IFERROR(__xludf.DUMMYFUNCTION("""COMPUTED_VALUE"""),"")</f>
        <v/>
      </c>
    </row>
    <row r="319">
      <c r="A319" s="143">
        <f>IFERROR(__xludf.DUMMYFUNCTION("""COMPUTED_VALUE"""),42577.0)</f>
        <v>42577</v>
      </c>
      <c r="B319" s="140">
        <f>IFERROR(__xludf.DUMMYFUNCTION("""COMPUTED_VALUE"""),89908.0)</f>
        <v>89908</v>
      </c>
      <c r="C319" s="140" t="str">
        <f>IFERROR(__xludf.DUMMYFUNCTION("""COMPUTED_VALUE"""),"")</f>
        <v/>
      </c>
      <c r="D319" t="str">
        <f>IFERROR(__xludf.DUMMYFUNCTION("""COMPUTED_VALUE"""),"Linux Academy")</f>
        <v>Linux Academy</v>
      </c>
      <c r="E319" t="str">
        <f>IFERROR(__xludf.DUMMYFUNCTION("""COMPUTED_VALUE"""),"Course is Unpublished")</f>
        <v>Course is Unpublished</v>
      </c>
      <c r="F319" t="str">
        <f>IFERROR(__xludf.DUMMYFUNCTION("""COMPUTED_VALUE"""),"Software and Systems")</f>
        <v>Software and Systems</v>
      </c>
      <c r="G319" s="140">
        <f>IFERROR(__xludf.DUMMYFUNCTION("""COMPUTED_VALUE"""),149910.0)</f>
        <v>149910</v>
      </c>
      <c r="H319" s="140" t="str">
        <f>IFERROR(__xludf.DUMMYFUNCTION("""COMPUTED_VALUE"""),"")</f>
        <v/>
      </c>
    </row>
    <row r="320">
      <c r="A320" s="143">
        <f>IFERROR(__xludf.DUMMYFUNCTION("""COMPUTED_VALUE"""),42577.0)</f>
        <v>42577</v>
      </c>
      <c r="B320" s="140">
        <f>IFERROR(__xludf.DUMMYFUNCTION("""COMPUTED_VALUE"""),101484.0)</f>
        <v>101484</v>
      </c>
      <c r="C320" s="140" t="str">
        <f>IFERROR(__xludf.DUMMYFUNCTION("""COMPUTED_VALUE"""),"")</f>
        <v/>
      </c>
      <c r="D320" t="str">
        <f>IFERROR(__xludf.DUMMYFUNCTION("""COMPUTED_VALUE"""),"Linux Academy")</f>
        <v>Linux Academy</v>
      </c>
      <c r="E320" t="str">
        <f>IFERROR(__xludf.DUMMYFUNCTION("""COMPUTED_VALUE"""),"Course is Unpublished")</f>
        <v>Course is Unpublished</v>
      </c>
      <c r="F320" t="str">
        <f>IFERROR(__xludf.DUMMYFUNCTION("""COMPUTED_VALUE"""),"Software and Systems")</f>
        <v>Software and Systems</v>
      </c>
      <c r="G320" s="140">
        <f>IFERROR(__xludf.DUMMYFUNCTION("""COMPUTED_VALUE"""),149910.0)</f>
        <v>149910</v>
      </c>
      <c r="H320" s="140" t="str">
        <f>IFERROR(__xludf.DUMMYFUNCTION("""COMPUTED_VALUE"""),"")</f>
        <v/>
      </c>
    </row>
    <row r="321">
      <c r="A321" s="143">
        <f>IFERROR(__xludf.DUMMYFUNCTION("""COMPUTED_VALUE"""),42577.0)</f>
        <v>42577</v>
      </c>
      <c r="B321" s="140">
        <f>IFERROR(__xludf.DUMMYFUNCTION("""COMPUTED_VALUE"""),33861.0)</f>
        <v>33861</v>
      </c>
      <c r="C321" s="140" t="str">
        <f>IFERROR(__xludf.DUMMYFUNCTION("""COMPUTED_VALUE"""),"")</f>
        <v/>
      </c>
      <c r="D321" t="str">
        <f>IFERROR(__xludf.DUMMYFUNCTION("""COMPUTED_VALUE"""),"Train Simple")</f>
        <v>Train Simple</v>
      </c>
      <c r="E321" t="str">
        <f>IFERROR(__xludf.DUMMYFUNCTION("""COMPUTED_VALUE"""),"Course is Unpublished")</f>
        <v>Course is Unpublished</v>
      </c>
      <c r="F321" t="str">
        <f>IFERROR(__xludf.DUMMYFUNCTION("""COMPUTED_VALUE"""),"Design")</f>
        <v>Design</v>
      </c>
      <c r="G321" s="140">
        <f>IFERROR(__xludf.DUMMYFUNCTION("""COMPUTED_VALUE"""),15620.0)</f>
        <v>15620</v>
      </c>
      <c r="H321" s="140" t="str">
        <f>IFERROR(__xludf.DUMMYFUNCTION("""COMPUTED_VALUE"""),"")</f>
        <v/>
      </c>
    </row>
    <row r="322">
      <c r="A322" s="143">
        <f>IFERROR(__xludf.DUMMYFUNCTION("""COMPUTED_VALUE"""),42577.0)</f>
        <v>42577</v>
      </c>
      <c r="B322" s="140">
        <f>IFERROR(__xludf.DUMMYFUNCTION("""COMPUTED_VALUE"""),494830.0)</f>
        <v>494830</v>
      </c>
      <c r="C322" s="140" t="str">
        <f>IFERROR(__xludf.DUMMYFUNCTION("""COMPUTED_VALUE"""),"")</f>
        <v/>
      </c>
      <c r="D322" t="str">
        <f>IFERROR(__xludf.DUMMYFUNCTION("""COMPUTED_VALUE"""),"Vladimir Raykov")</f>
        <v>Vladimir Raykov</v>
      </c>
      <c r="E322" t="str">
        <f>IFERROR(__xludf.DUMMYFUNCTION("""COMPUTED_VALUE"""),"Course is Unpublished")</f>
        <v>Course is Unpublished</v>
      </c>
      <c r="F322" t="str">
        <f>IFERROR(__xludf.DUMMYFUNCTION("""COMPUTED_VALUE"""),"Marketing")</f>
        <v>Marketing</v>
      </c>
      <c r="G322" s="140">
        <f>IFERROR(__xludf.DUMMYFUNCTION("""COMPUTED_VALUE"""),416874.0)</f>
        <v>416874</v>
      </c>
      <c r="H322" s="140" t="str">
        <f>IFERROR(__xludf.DUMMYFUNCTION("""COMPUTED_VALUE"""),"")</f>
        <v/>
      </c>
    </row>
    <row r="323">
      <c r="A323" s="143">
        <f>IFERROR(__xludf.DUMMYFUNCTION("""COMPUTED_VALUE"""),42577.0)</f>
        <v>42577</v>
      </c>
      <c r="B323" s="140">
        <f>IFERROR(__xludf.DUMMYFUNCTION("""COMPUTED_VALUE"""),422930.0)</f>
        <v>422930</v>
      </c>
      <c r="C323" s="140" t="str">
        <f>IFERROR(__xludf.DUMMYFUNCTION("""COMPUTED_VALUE"""),"")</f>
        <v/>
      </c>
      <c r="D323" t="str">
        <f>IFERROR(__xludf.DUMMYFUNCTION("""COMPUTED_VALUE"""),"Shayna Oliveira")</f>
        <v>Shayna Oliveira</v>
      </c>
      <c r="E323" t="str">
        <f>IFERROR(__xludf.DUMMYFUNCTION("""COMPUTED_VALUE"""),"Course is Unpublished")</f>
        <v>Course is Unpublished</v>
      </c>
      <c r="F323" t="str">
        <f>IFERROR(__xludf.DUMMYFUNCTION("""COMPUTED_VALUE"""),"Soft Skills")</f>
        <v>Soft Skills</v>
      </c>
      <c r="G323" s="140">
        <f>IFERROR(__xludf.DUMMYFUNCTION("""COMPUTED_VALUE"""),173978.0)</f>
        <v>173978</v>
      </c>
      <c r="H323" s="140" t="str">
        <f>IFERROR(__xludf.DUMMYFUNCTION("""COMPUTED_VALUE"""),"")</f>
        <v/>
      </c>
      <c r="I323" s="142" t="str">
        <f>IFERROR(__xludf.DUMMYFUNCTION("""COMPUTED_VALUE"""),"662038")</f>
        <v>662038</v>
      </c>
      <c r="J323" t="str">
        <f>IFERROR(__xludf.DUMMYFUNCTION("""COMPUTED_VALUE"""),"English Grammar: Apostrophe Beginner to Apostrophe Expert")</f>
        <v>English Grammar: Apostrophe Beginner to Apostrophe Expert</v>
      </c>
    </row>
    <row r="324">
      <c r="A324" s="143">
        <f>IFERROR(__xludf.DUMMYFUNCTION("""COMPUTED_VALUE"""),42577.0)</f>
        <v>42577</v>
      </c>
      <c r="B324" s="140">
        <f>IFERROR(__xludf.DUMMYFUNCTION("""COMPUTED_VALUE"""),85374.0)</f>
        <v>85374</v>
      </c>
      <c r="C324" s="140" t="str">
        <f>IFERROR(__xludf.DUMMYFUNCTION("""COMPUTED_VALUE"""),"")</f>
        <v/>
      </c>
      <c r="D324" t="str">
        <f>IFERROR(__xludf.DUMMYFUNCTION("""COMPUTED_VALUE"""),"John Jonas")</f>
        <v>John Jonas</v>
      </c>
      <c r="E324" t="str">
        <f>IFERROR(__xludf.DUMMYFUNCTION("""COMPUTED_VALUE"""),"Course is Unpublished")</f>
        <v>Course is Unpublished</v>
      </c>
      <c r="F324" t="str">
        <f>IFERROR(__xludf.DUMMYFUNCTION("""COMPUTED_VALUE"""),"Management")</f>
        <v>Management</v>
      </c>
      <c r="G324" s="140">
        <f>IFERROR(__xludf.DUMMYFUNCTION("""COMPUTED_VALUE"""),184756.0)</f>
        <v>184756</v>
      </c>
      <c r="H324" s="140" t="str">
        <f>IFERROR(__xludf.DUMMYFUNCTION("""COMPUTED_VALUE"""),"")</f>
        <v/>
      </c>
    </row>
    <row r="325">
      <c r="A325" s="143">
        <f>IFERROR(__xludf.DUMMYFUNCTION("""COMPUTED_VALUE"""),42577.0)</f>
        <v>42577</v>
      </c>
      <c r="B325" s="140">
        <f>IFERROR(__xludf.DUMMYFUNCTION("""COMPUTED_VALUE"""),455206.0)</f>
        <v>455206</v>
      </c>
      <c r="C325" s="140" t="str">
        <f>IFERROR(__xludf.DUMMYFUNCTION("""COMPUTED_VALUE"""),"")</f>
        <v/>
      </c>
      <c r="D325" t="str">
        <f>IFERROR(__xludf.DUMMYFUNCTION("""COMPUTED_VALUE"""),"Frontend Masters")</f>
        <v>Frontend Masters</v>
      </c>
      <c r="E325" t="str">
        <f>IFERROR(__xludf.DUMMYFUNCTION("""COMPUTED_VALUE"""),"Course is Unpublished")</f>
        <v>Course is Unpublished</v>
      </c>
      <c r="F325" t="str">
        <f>IFERROR(__xludf.DUMMYFUNCTION("""COMPUTED_VALUE"""),"Front-End Programming")</f>
        <v>Front-End Programming</v>
      </c>
      <c r="G325" s="140">
        <f>IFERROR(__xludf.DUMMYFUNCTION("""COMPUTED_VALUE"""),189116.0)</f>
        <v>189116</v>
      </c>
      <c r="H325" s="140" t="str">
        <f>IFERROR(__xludf.DUMMYFUNCTION("""COMPUTED_VALUE"""),"")</f>
        <v/>
      </c>
    </row>
    <row r="326">
      <c r="A326" s="143">
        <f>IFERROR(__xludf.DUMMYFUNCTION("""COMPUTED_VALUE"""),42577.0)</f>
        <v>42577</v>
      </c>
      <c r="B326" s="140">
        <f>IFERROR(__xludf.DUMMYFUNCTION("""COMPUTED_VALUE"""),455106.0)</f>
        <v>455106</v>
      </c>
      <c r="C326" s="140" t="str">
        <f>IFERROR(__xludf.DUMMYFUNCTION("""COMPUTED_VALUE"""),"")</f>
        <v/>
      </c>
      <c r="D326" t="str">
        <f>IFERROR(__xludf.DUMMYFUNCTION("""COMPUTED_VALUE"""),"Desmond Byram")</f>
        <v>Desmond Byram</v>
      </c>
      <c r="E326" t="str">
        <f>IFERROR(__xludf.DUMMYFUNCTION("""COMPUTED_VALUE"""),"Course is Unpublished")</f>
        <v>Course is Unpublished</v>
      </c>
      <c r="F326" t="str">
        <f>IFERROR(__xludf.DUMMYFUNCTION("""COMPUTED_VALUE"""),"Soft Skills")</f>
        <v>Soft Skills</v>
      </c>
      <c r="G326" s="140">
        <f>IFERROR(__xludf.DUMMYFUNCTION("""COMPUTED_VALUE"""),206886.0)</f>
        <v>206886</v>
      </c>
      <c r="H326" s="140" t="str">
        <f>IFERROR(__xludf.DUMMYFUNCTION("""COMPUTED_VALUE"""),"")</f>
        <v/>
      </c>
    </row>
    <row r="327">
      <c r="A327" s="143">
        <f>IFERROR(__xludf.DUMMYFUNCTION("""COMPUTED_VALUE"""),42577.0)</f>
        <v>42577</v>
      </c>
      <c r="B327" s="140">
        <f>IFERROR(__xludf.DUMMYFUNCTION("""COMPUTED_VALUE"""),455168.0)</f>
        <v>455168</v>
      </c>
      <c r="C327" s="140" t="str">
        <f>IFERROR(__xludf.DUMMYFUNCTION("""COMPUTED_VALUE"""),"")</f>
        <v/>
      </c>
      <c r="D327" t="str">
        <f>IFERROR(__xludf.DUMMYFUNCTION("""COMPUTED_VALUE"""),"Desmond Byram")</f>
        <v>Desmond Byram</v>
      </c>
      <c r="E327" t="str">
        <f>IFERROR(__xludf.DUMMYFUNCTION("""COMPUTED_VALUE"""),"Course is Unpublished")</f>
        <v>Course is Unpublished</v>
      </c>
      <c r="F327" t="str">
        <f>IFERROR(__xludf.DUMMYFUNCTION("""COMPUTED_VALUE"""),"Soft Skills")</f>
        <v>Soft Skills</v>
      </c>
      <c r="G327" s="140">
        <f>IFERROR(__xludf.DUMMYFUNCTION("""COMPUTED_VALUE"""),206886.0)</f>
        <v>206886</v>
      </c>
      <c r="H327" s="140" t="str">
        <f>IFERROR(__xludf.DUMMYFUNCTION("""COMPUTED_VALUE"""),"")</f>
        <v/>
      </c>
      <c r="I327" s="142" t="str">
        <f>IFERROR(__xludf.DUMMYFUNCTION("""COMPUTED_VALUE"""),"363092")</f>
        <v>363092</v>
      </c>
      <c r="J327" t="str">
        <f>IFERROR(__xludf.DUMMYFUNCTION("""COMPUTED_VALUE"""),"Public Speaking Skills:  Give a Great Informational Speech")</f>
        <v>Public Speaking Skills:  Give a Great Informational Speech</v>
      </c>
    </row>
    <row r="328">
      <c r="A328" s="143">
        <f>IFERROR(__xludf.DUMMYFUNCTION("""COMPUTED_VALUE"""),42577.0)</f>
        <v>42577</v>
      </c>
      <c r="B328" s="140">
        <f>IFERROR(__xludf.DUMMYFUNCTION("""COMPUTED_VALUE"""),475796.0)</f>
        <v>475796</v>
      </c>
      <c r="C328" s="140" t="str">
        <f>IFERROR(__xludf.DUMMYFUNCTION("""COMPUTED_VALUE"""),"")</f>
        <v/>
      </c>
      <c r="D328" t="str">
        <f>IFERROR(__xludf.DUMMYFUNCTION("""COMPUTED_VALUE"""),"The Learning Monk")</f>
        <v>The Learning Monk</v>
      </c>
      <c r="E328" t="str">
        <f>IFERROR(__xludf.DUMMYFUNCTION("""COMPUTED_VALUE"""),"Course is Unpublished")</f>
        <v>Course is Unpublished</v>
      </c>
      <c r="F328" t="str">
        <f>IFERROR(__xludf.DUMMYFUNCTION("""COMPUTED_VALUE"""),"Soft Skills")</f>
        <v>Soft Skills</v>
      </c>
      <c r="G328" s="140">
        <f>IFERROR(__xludf.DUMMYFUNCTION("""COMPUTED_VALUE"""),206886.0)</f>
        <v>206886</v>
      </c>
      <c r="H328" s="140" t="str">
        <f>IFERROR(__xludf.DUMMYFUNCTION("""COMPUTED_VALUE"""),"")</f>
        <v/>
      </c>
    </row>
    <row r="329">
      <c r="A329" s="143">
        <f>IFERROR(__xludf.DUMMYFUNCTION("""COMPUTED_VALUE"""),42577.0)</f>
        <v>42577</v>
      </c>
      <c r="B329" s="140">
        <f>IFERROR(__xludf.DUMMYFUNCTION("""COMPUTED_VALUE"""),425576.0)</f>
        <v>425576</v>
      </c>
      <c r="C329" s="140" t="str">
        <f>IFERROR(__xludf.DUMMYFUNCTION("""COMPUTED_VALUE"""),"")</f>
        <v/>
      </c>
      <c r="D329" t="str">
        <f>IFERROR(__xludf.DUMMYFUNCTION("""COMPUTED_VALUE"""),"Jason Taylor")</f>
        <v>Jason Taylor</v>
      </c>
      <c r="E329" t="str">
        <f>IFERROR(__xludf.DUMMYFUNCTION("""COMPUTED_VALUE"""),"Below Quality Standards")</f>
        <v>Below Quality Standards</v>
      </c>
      <c r="F329" t="str">
        <f>IFERROR(__xludf.DUMMYFUNCTION("""COMPUTED_VALUE"""),"Software and Systems")</f>
        <v>Software and Systems</v>
      </c>
      <c r="G329" s="140">
        <f>IFERROR(__xludf.DUMMYFUNCTION("""COMPUTED_VALUE"""),222628.0)</f>
        <v>222628</v>
      </c>
      <c r="H329" s="140" t="str">
        <f>IFERROR(__xludf.DUMMYFUNCTION("""COMPUTED_VALUE"""),"")</f>
        <v/>
      </c>
    </row>
    <row r="330">
      <c r="A330" s="143">
        <f>IFERROR(__xludf.DUMMYFUNCTION("""COMPUTED_VALUE"""),42577.0)</f>
        <v>42577</v>
      </c>
      <c r="B330" s="140">
        <f>IFERROR(__xludf.DUMMYFUNCTION("""COMPUTED_VALUE"""),467258.0)</f>
        <v>467258</v>
      </c>
      <c r="C330" s="140" t="str">
        <f>IFERROR(__xludf.DUMMYFUNCTION("""COMPUTED_VALUE"""),"")</f>
        <v/>
      </c>
      <c r="D330" t="str">
        <f>IFERROR(__xludf.DUMMYFUNCTION("""COMPUTED_VALUE"""),"Joachim Guenster (J.T. Story)")</f>
        <v>Joachim Guenster (J.T. Story)</v>
      </c>
      <c r="E330" t="str">
        <f>IFERROR(__xludf.DUMMYFUNCTION("""COMPUTED_VALUE"""),"Below Quality Standards")</f>
        <v>Below Quality Standards</v>
      </c>
      <c r="F330" t="str">
        <f>IFERROR(__xludf.DUMMYFUNCTION("""COMPUTED_VALUE"""),"Sales")</f>
        <v>Sales</v>
      </c>
      <c r="G330" s="140">
        <f>IFERROR(__xludf.DUMMYFUNCTION("""COMPUTED_VALUE"""),23881.0)</f>
        <v>23881</v>
      </c>
      <c r="H330" s="140" t="str">
        <f>IFERROR(__xludf.DUMMYFUNCTION("""COMPUTED_VALUE"""),"")</f>
        <v/>
      </c>
    </row>
    <row r="331">
      <c r="A331" s="143">
        <f>IFERROR(__xludf.DUMMYFUNCTION("""COMPUTED_VALUE"""),42577.0)</f>
        <v>42577</v>
      </c>
      <c r="B331" s="140">
        <f>IFERROR(__xludf.DUMMYFUNCTION("""COMPUTED_VALUE"""),183340.0)</f>
        <v>183340</v>
      </c>
      <c r="C331" s="140" t="str">
        <f>IFERROR(__xludf.DUMMYFUNCTION("""COMPUTED_VALUE"""),"")</f>
        <v/>
      </c>
      <c r="D331" t="str">
        <f>IFERROR(__xludf.DUMMYFUNCTION("""COMPUTED_VALUE"""),"Raman Arora")</f>
        <v>Raman Arora</v>
      </c>
      <c r="E331" t="str">
        <f>IFERROR(__xludf.DUMMYFUNCTION("""COMPUTED_VALUE"""),"Below Quality Standards")</f>
        <v>Below Quality Standards</v>
      </c>
      <c r="F331" t="str">
        <f>IFERROR(__xludf.DUMMYFUNCTION("""COMPUTED_VALUE"""),"Software and Systems")</f>
        <v>Software and Systems</v>
      </c>
      <c r="G331" s="140">
        <f>IFERROR(__xludf.DUMMYFUNCTION("""COMPUTED_VALUE"""),53670.0)</f>
        <v>53670</v>
      </c>
      <c r="H331" s="140" t="str">
        <f>IFERROR(__xludf.DUMMYFUNCTION("""COMPUTED_VALUE"""),"")</f>
        <v/>
      </c>
    </row>
    <row r="332">
      <c r="A332" s="143">
        <f>IFERROR(__xludf.DUMMYFUNCTION("""COMPUTED_VALUE"""),42577.0)</f>
        <v>42577</v>
      </c>
      <c r="B332" s="140">
        <f>IFERROR(__xludf.DUMMYFUNCTION("""COMPUTED_VALUE"""),169486.0)</f>
        <v>169486</v>
      </c>
      <c r="C332" s="140" t="str">
        <f>IFERROR(__xludf.DUMMYFUNCTION("""COMPUTED_VALUE"""),"")</f>
        <v/>
      </c>
      <c r="D332" t="str">
        <f>IFERROR(__xludf.DUMMYFUNCTION("""COMPUTED_VALUE"""),"Eduonix Learning Solutions")</f>
        <v>Eduonix Learning Solutions</v>
      </c>
      <c r="E332" t="str">
        <f>IFERROR(__xludf.DUMMYFUNCTION("""COMPUTED_VALUE"""),"Below Quality Standards")</f>
        <v>Below Quality Standards</v>
      </c>
      <c r="F332" t="str">
        <f>IFERROR(__xludf.DUMMYFUNCTION("""COMPUTED_VALUE"""),"Mobile Development")</f>
        <v>Mobile Development</v>
      </c>
      <c r="G332" s="140">
        <f>IFERROR(__xludf.DUMMYFUNCTION("""COMPUTED_VALUE"""),1178124.0)</f>
        <v>1178124</v>
      </c>
      <c r="H332" s="140" t="str">
        <f>IFERROR(__xludf.DUMMYFUNCTION("""COMPUTED_VALUE"""),"")</f>
        <v/>
      </c>
    </row>
    <row r="333">
      <c r="A333" s="143">
        <f>IFERROR(__xludf.DUMMYFUNCTION("""COMPUTED_VALUE"""),42577.0)</f>
        <v>42577</v>
      </c>
      <c r="B333" s="140">
        <f>IFERROR(__xludf.DUMMYFUNCTION("""COMPUTED_VALUE"""),26590.0)</f>
        <v>26590</v>
      </c>
      <c r="C333" s="140" t="str">
        <f>IFERROR(__xludf.DUMMYFUNCTION("""COMPUTED_VALUE"""),"")</f>
        <v/>
      </c>
      <c r="D333" t="str">
        <f>IFERROR(__xludf.DUMMYFUNCTION("""COMPUTED_VALUE"""),"Learn iT! Anytime")</f>
        <v>Learn iT! Anytime</v>
      </c>
      <c r="E333" t="str">
        <f>IFERROR(__xludf.DUMMYFUNCTION("""COMPUTED_VALUE"""),"Course is Unpublished")</f>
        <v>Course is Unpublished</v>
      </c>
      <c r="F333" t="str">
        <f>IFERROR(__xludf.DUMMYFUNCTION("""COMPUTED_VALUE"""),"Office Productivity")</f>
        <v>Office Productivity</v>
      </c>
      <c r="G333" s="140">
        <f>IFERROR(__xludf.DUMMYFUNCTION("""COMPUTED_VALUE"""),26021.0)</f>
        <v>26021</v>
      </c>
      <c r="H333" s="140" t="str">
        <f>IFERROR(__xludf.DUMMYFUNCTION("""COMPUTED_VALUE"""),"")</f>
        <v/>
      </c>
    </row>
    <row r="334">
      <c r="A334" s="143">
        <f>IFERROR(__xludf.DUMMYFUNCTION("""COMPUTED_VALUE"""),42577.0)</f>
        <v>42577</v>
      </c>
      <c r="B334" s="140">
        <f>IFERROR(__xludf.DUMMYFUNCTION("""COMPUTED_VALUE"""),15036.0)</f>
        <v>15036</v>
      </c>
      <c r="C334" s="140" t="str">
        <f>IFERROR(__xludf.DUMMYFUNCTION("""COMPUTED_VALUE"""),"")</f>
        <v/>
      </c>
      <c r="D334" t="str">
        <f>IFERROR(__xludf.DUMMYFUNCTION("""COMPUTED_VALUE"""),"Chris Bryant")</f>
        <v>Chris Bryant</v>
      </c>
      <c r="E334" t="str">
        <f>IFERROR(__xludf.DUMMYFUNCTION("""COMPUTED_VALUE"""),"Below Quality Standards")</f>
        <v>Below Quality Standards</v>
      </c>
      <c r="F334" t="str">
        <f>IFERROR(__xludf.DUMMYFUNCTION("""COMPUTED_VALUE"""),"Software and Systems")</f>
        <v>Software and Systems</v>
      </c>
      <c r="G334" s="140">
        <f>IFERROR(__xludf.DUMMYFUNCTION("""COMPUTED_VALUE"""),27970.0)</f>
        <v>27970</v>
      </c>
      <c r="H334" s="140" t="str">
        <f>IFERROR(__xludf.DUMMYFUNCTION("""COMPUTED_VALUE"""),"")</f>
        <v/>
      </c>
    </row>
    <row r="335">
      <c r="A335" s="143">
        <f>IFERROR(__xludf.DUMMYFUNCTION("""COMPUTED_VALUE"""),42577.0)</f>
        <v>42577</v>
      </c>
      <c r="B335" s="140">
        <f>IFERROR(__xludf.DUMMYFUNCTION("""COMPUTED_VALUE"""),362632.0)</f>
        <v>362632</v>
      </c>
      <c r="C335" s="140" t="str">
        <f>IFERROR(__xludf.DUMMYFUNCTION("""COMPUTED_VALUE"""),"")</f>
        <v/>
      </c>
      <c r="D335" t="str">
        <f>IFERROR(__xludf.DUMMYFUNCTION("""COMPUTED_VALUE"""),"Paul Ashun")</f>
        <v>Paul Ashun</v>
      </c>
      <c r="E335" t="str">
        <f>IFERROR(__xludf.DUMMYFUNCTION("""COMPUTED_VALUE"""),"Below Quality Standards")</f>
        <v>Below Quality Standards</v>
      </c>
      <c r="F335" t="str">
        <f>IFERROR(__xludf.DUMMYFUNCTION("""COMPUTED_VALUE"""),"Operations")</f>
        <v>Operations</v>
      </c>
      <c r="G335" s="140">
        <f>IFERROR(__xludf.DUMMYFUNCTION("""COMPUTED_VALUE"""),281672.0)</f>
        <v>281672</v>
      </c>
      <c r="H335" s="140" t="str">
        <f>IFERROR(__xludf.DUMMYFUNCTION("""COMPUTED_VALUE"""),"")</f>
        <v/>
      </c>
    </row>
    <row r="336">
      <c r="A336" s="143">
        <f>IFERROR(__xludf.DUMMYFUNCTION("""COMPUTED_VALUE"""),42577.0)</f>
        <v>42577</v>
      </c>
      <c r="B336" s="140">
        <f>IFERROR(__xludf.DUMMYFUNCTION("""COMPUTED_VALUE"""),646076.0)</f>
        <v>646076</v>
      </c>
      <c r="C336" s="140" t="str">
        <f>IFERROR(__xludf.DUMMYFUNCTION("""COMPUTED_VALUE"""),"")</f>
        <v/>
      </c>
      <c r="D336" t="str">
        <f>IFERROR(__xludf.DUMMYFUNCTION("""COMPUTED_VALUE"""),"Paul Ashun")</f>
        <v>Paul Ashun</v>
      </c>
      <c r="E336" t="str">
        <f>IFERROR(__xludf.DUMMYFUNCTION("""COMPUTED_VALUE"""),"Below Quality Standards")</f>
        <v>Below Quality Standards</v>
      </c>
      <c r="F336" t="str">
        <f>IFERROR(__xludf.DUMMYFUNCTION("""COMPUTED_VALUE"""),"Operations")</f>
        <v>Operations</v>
      </c>
      <c r="G336" s="140">
        <f>IFERROR(__xludf.DUMMYFUNCTION("""COMPUTED_VALUE"""),281672.0)</f>
        <v>281672</v>
      </c>
      <c r="H336" s="140" t="str">
        <f>IFERROR(__xludf.DUMMYFUNCTION("""COMPUTED_VALUE"""),"")</f>
        <v/>
      </c>
    </row>
    <row r="337">
      <c r="A337" s="143">
        <f>IFERROR(__xludf.DUMMYFUNCTION("""COMPUTED_VALUE"""),42577.0)</f>
        <v>42577</v>
      </c>
      <c r="B337" s="140">
        <f>IFERROR(__xludf.DUMMYFUNCTION("""COMPUTED_VALUE"""),665152.0)</f>
        <v>665152</v>
      </c>
      <c r="C337" s="140" t="str">
        <f>IFERROR(__xludf.DUMMYFUNCTION("""COMPUTED_VALUE"""),"")</f>
        <v/>
      </c>
      <c r="D337" t="str">
        <f>IFERROR(__xludf.DUMMYFUNCTION("""COMPUTED_VALUE"""),"LearnSmart LLC")</f>
        <v>LearnSmart LLC</v>
      </c>
      <c r="E337" t="str">
        <f>IFERROR(__xludf.DUMMYFUNCTION("""COMPUTED_VALUE"""),"Below Quality Standards")</f>
        <v>Below Quality Standards</v>
      </c>
      <c r="F337" t="str">
        <f>IFERROR(__xludf.DUMMYFUNCTION("""COMPUTED_VALUE"""),"Operations")</f>
        <v>Operations</v>
      </c>
      <c r="G337" s="140">
        <f>IFERROR(__xludf.DUMMYFUNCTION("""COMPUTED_VALUE"""),281672.0)</f>
        <v>281672</v>
      </c>
      <c r="H337" s="140" t="str">
        <f>IFERROR(__xludf.DUMMYFUNCTION("""COMPUTED_VALUE"""),"")</f>
        <v/>
      </c>
    </row>
    <row r="338">
      <c r="A338" s="143">
        <f>IFERROR(__xludf.DUMMYFUNCTION("""COMPUTED_VALUE"""),42577.0)</f>
        <v>42577</v>
      </c>
      <c r="B338" s="140">
        <f>IFERROR(__xludf.DUMMYFUNCTION("""COMPUTED_VALUE"""),33930.0)</f>
        <v>33930</v>
      </c>
      <c r="C338" s="140" t="str">
        <f>IFERROR(__xludf.DUMMYFUNCTION("""COMPUTED_VALUE"""),"")</f>
        <v/>
      </c>
      <c r="D338" t="str">
        <f>IFERROR(__xludf.DUMMYFUNCTION("""COMPUTED_VALUE"""),"Train Simple")</f>
        <v>Train Simple</v>
      </c>
      <c r="E338" t="str">
        <f>IFERROR(__xludf.DUMMYFUNCTION("""COMPUTED_VALUE"""),"Course is Unpublished")</f>
        <v>Course is Unpublished</v>
      </c>
      <c r="F338" t="str">
        <f>IFERROR(__xludf.DUMMYFUNCTION("""COMPUTED_VALUE"""),"Front-End Programming")</f>
        <v>Front-End Programming</v>
      </c>
      <c r="G338" s="140">
        <f>IFERROR(__xludf.DUMMYFUNCTION("""COMPUTED_VALUE"""),28295.0)</f>
        <v>28295</v>
      </c>
      <c r="H338" s="140" t="str">
        <f>IFERROR(__xludf.DUMMYFUNCTION("""COMPUTED_VALUE"""),"")</f>
        <v/>
      </c>
    </row>
    <row r="339">
      <c r="A339" s="143">
        <f>IFERROR(__xludf.DUMMYFUNCTION("""COMPUTED_VALUE"""),42577.0)</f>
        <v>42577</v>
      </c>
      <c r="B339" s="140">
        <f>IFERROR(__xludf.DUMMYFUNCTION("""COMPUTED_VALUE"""),272090.0)</f>
        <v>272090</v>
      </c>
      <c r="C339" s="140" t="str">
        <f>IFERROR(__xludf.DUMMYFUNCTION("""COMPUTED_VALUE"""),"")</f>
        <v/>
      </c>
      <c r="D339" t="str">
        <f>IFERROR(__xludf.DUMMYFUNCTION("""COMPUTED_VALUE"""),"Tom Owsiak")</f>
        <v>Tom Owsiak</v>
      </c>
      <c r="E339" t="str">
        <f>IFERROR(__xludf.DUMMYFUNCTION("""COMPUTED_VALUE"""),"Course is Unpublished")</f>
        <v>Course is Unpublished</v>
      </c>
      <c r="F339" t="str">
        <f>IFERROR(__xludf.DUMMYFUNCTION("""COMPUTED_VALUE"""),"Front-End Programming")</f>
        <v>Front-End Programming</v>
      </c>
      <c r="G339" s="140">
        <f>IFERROR(__xludf.DUMMYFUNCTION("""COMPUTED_VALUE"""),28295.0)</f>
        <v>28295</v>
      </c>
      <c r="H339" s="140" t="str">
        <f>IFERROR(__xludf.DUMMYFUNCTION("""COMPUTED_VALUE"""),"")</f>
        <v/>
      </c>
    </row>
    <row r="340">
      <c r="A340" s="143">
        <f>IFERROR(__xludf.DUMMYFUNCTION("""COMPUTED_VALUE"""),42577.0)</f>
        <v>42577</v>
      </c>
      <c r="B340" s="140">
        <f>IFERROR(__xludf.DUMMYFUNCTION("""COMPUTED_VALUE"""),420496.0)</f>
        <v>420496</v>
      </c>
      <c r="C340" s="140" t="str">
        <f>IFERROR(__xludf.DUMMYFUNCTION("""COMPUTED_VALUE"""),"")</f>
        <v/>
      </c>
      <c r="D340" t="str">
        <f>IFERROR(__xludf.DUMMYFUNCTION("""COMPUTED_VALUE"""),"Frontend Masters")</f>
        <v>Frontend Masters</v>
      </c>
      <c r="E340" t="str">
        <f>IFERROR(__xludf.DUMMYFUNCTION("""COMPUTED_VALUE"""),"Course is Unpublished")</f>
        <v>Course is Unpublished</v>
      </c>
      <c r="F340" t="str">
        <f>IFERROR(__xludf.DUMMYFUNCTION("""COMPUTED_VALUE"""),"Front-End Programming")</f>
        <v>Front-End Programming</v>
      </c>
      <c r="G340" s="140">
        <f>IFERROR(__xludf.DUMMYFUNCTION("""COMPUTED_VALUE"""),28295.0)</f>
        <v>28295</v>
      </c>
      <c r="H340" s="140" t="str">
        <f>IFERROR(__xludf.DUMMYFUNCTION("""COMPUTED_VALUE"""),"")</f>
        <v/>
      </c>
    </row>
    <row r="341">
      <c r="A341" s="143">
        <f>IFERROR(__xludf.DUMMYFUNCTION("""COMPUTED_VALUE"""),42577.0)</f>
        <v>42577</v>
      </c>
      <c r="B341" s="140">
        <f>IFERROR(__xludf.DUMMYFUNCTION("""COMPUTED_VALUE"""),437928.0)</f>
        <v>437928</v>
      </c>
      <c r="C341" s="140" t="str">
        <f>IFERROR(__xludf.DUMMYFUNCTION("""COMPUTED_VALUE"""),"")</f>
        <v/>
      </c>
      <c r="D341" t="str">
        <f>IFERROR(__xludf.DUMMYFUNCTION("""COMPUTED_VALUE"""),"Frontend Masters")</f>
        <v>Frontend Masters</v>
      </c>
      <c r="E341" t="str">
        <f>IFERROR(__xludf.DUMMYFUNCTION("""COMPUTED_VALUE"""),"Course is Unpublished")</f>
        <v>Course is Unpublished</v>
      </c>
      <c r="F341" t="str">
        <f>IFERROR(__xludf.DUMMYFUNCTION("""COMPUTED_VALUE"""),"Front-End Programming")</f>
        <v>Front-End Programming</v>
      </c>
      <c r="G341" s="140">
        <f>IFERROR(__xludf.DUMMYFUNCTION("""COMPUTED_VALUE"""),28295.0)</f>
        <v>28295</v>
      </c>
      <c r="H341" s="140" t="str">
        <f>IFERROR(__xludf.DUMMYFUNCTION("""COMPUTED_VALUE"""),"")</f>
        <v/>
      </c>
    </row>
    <row r="342">
      <c r="A342" s="143">
        <f>IFERROR(__xludf.DUMMYFUNCTION("""COMPUTED_VALUE"""),42577.0)</f>
        <v>42577</v>
      </c>
      <c r="B342" s="140">
        <f>IFERROR(__xludf.DUMMYFUNCTION("""COMPUTED_VALUE"""),237022.0)</f>
        <v>237022</v>
      </c>
      <c r="C342" s="140" t="str">
        <f>IFERROR(__xludf.DUMMYFUNCTION("""COMPUTED_VALUE"""),"")</f>
        <v/>
      </c>
      <c r="D342" t="str">
        <f>IFERROR(__xludf.DUMMYFUNCTION("""COMPUTED_VALUE"""),"Paul Krause")</f>
        <v>Paul Krause</v>
      </c>
      <c r="E342" t="str">
        <f>IFERROR(__xludf.DUMMYFUNCTION("""COMPUTED_VALUE"""),"Course is Unpublished")</f>
        <v>Course is Unpublished</v>
      </c>
      <c r="F342" t="str">
        <f>IFERROR(__xludf.DUMMYFUNCTION("""COMPUTED_VALUE"""),"Mobile Development")</f>
        <v>Mobile Development</v>
      </c>
      <c r="G342" s="140">
        <f>IFERROR(__xludf.DUMMYFUNCTION("""COMPUTED_VALUE"""),28295.0)</f>
        <v>28295</v>
      </c>
      <c r="H342" s="140" t="str">
        <f>IFERROR(__xludf.DUMMYFUNCTION("""COMPUTED_VALUE"""),"")</f>
        <v/>
      </c>
      <c r="I342" s="142" t="str">
        <f>IFERROR(__xludf.DUMMYFUNCTION("""COMPUTED_VALUE"""),"505208")</f>
        <v>505208</v>
      </c>
      <c r="J342" t="str">
        <f>IFERROR(__xludf.DUMMYFUNCTION("""COMPUTED_VALUE"""),"Programming Foundations: HTML5 + CSS3 for Entrepreneurs 2015")</f>
        <v>Programming Foundations: HTML5 + CSS3 for Entrepreneurs 2015</v>
      </c>
    </row>
    <row r="343">
      <c r="A343" s="143">
        <f>IFERROR(__xludf.DUMMYFUNCTION("""COMPUTED_VALUE"""),42577.0)</f>
        <v>42577</v>
      </c>
      <c r="B343" s="140">
        <f>IFERROR(__xludf.DUMMYFUNCTION("""COMPUTED_VALUE"""),120476.0)</f>
        <v>120476</v>
      </c>
      <c r="C343" s="140" t="str">
        <f>IFERROR(__xludf.DUMMYFUNCTION("""COMPUTED_VALUE"""),"")</f>
        <v/>
      </c>
      <c r="D343" t="str">
        <f>IFERROR(__xludf.DUMMYFUNCTION("""COMPUTED_VALUE"""),"Train Simple")</f>
        <v>Train Simple</v>
      </c>
      <c r="E343" t="str">
        <f>IFERROR(__xludf.DUMMYFUNCTION("""COMPUTED_VALUE"""),"Course is Unpublished")</f>
        <v>Course is Unpublished</v>
      </c>
      <c r="F343" t="str">
        <f>IFERROR(__xludf.DUMMYFUNCTION("""COMPUTED_VALUE"""),"Design")</f>
        <v>Design</v>
      </c>
      <c r="G343" s="140">
        <f>IFERROR(__xludf.DUMMYFUNCTION("""COMPUTED_VALUE"""),29942.0)</f>
        <v>29942</v>
      </c>
      <c r="H343" s="140" t="str">
        <f>IFERROR(__xludf.DUMMYFUNCTION("""COMPUTED_VALUE"""),"")</f>
        <v/>
      </c>
      <c r="I343" s="142" t="str">
        <f>IFERROR(__xludf.DUMMYFUNCTION("""COMPUTED_VALUE"""),"29942")</f>
        <v>29942</v>
      </c>
      <c r="J343" t="str">
        <f>IFERROR(__xludf.DUMMYFUNCTION("""COMPUTED_VALUE"""),"Learn Adobe Dreamweaver CS6 - For Absolute Beginners")</f>
        <v>Learn Adobe Dreamweaver CS6 - For Absolute Beginners</v>
      </c>
    </row>
    <row r="344">
      <c r="A344" s="143">
        <f>IFERROR(__xludf.DUMMYFUNCTION("""COMPUTED_VALUE"""),42577.0)</f>
        <v>42577</v>
      </c>
      <c r="B344" s="140">
        <f>IFERROR(__xludf.DUMMYFUNCTION("""COMPUTED_VALUE"""),129512.0)</f>
        <v>129512</v>
      </c>
      <c r="C344" s="140" t="str">
        <f>IFERROR(__xludf.DUMMYFUNCTION("""COMPUTED_VALUE"""),"")</f>
        <v/>
      </c>
      <c r="D344" t="str">
        <f>IFERROR(__xludf.DUMMYFUNCTION("""COMPUTED_VALUE"""),"Train Simple")</f>
        <v>Train Simple</v>
      </c>
      <c r="E344" t="str">
        <f>IFERROR(__xludf.DUMMYFUNCTION("""COMPUTED_VALUE"""),"Course is Unpublished")</f>
        <v>Course is Unpublished</v>
      </c>
      <c r="F344" t="str">
        <f>IFERROR(__xludf.DUMMYFUNCTION("""COMPUTED_VALUE"""),"Design")</f>
        <v>Design</v>
      </c>
      <c r="G344" s="140">
        <f>IFERROR(__xludf.DUMMYFUNCTION("""COMPUTED_VALUE"""),29942.0)</f>
        <v>29942</v>
      </c>
      <c r="H344" s="140" t="str">
        <f>IFERROR(__xludf.DUMMYFUNCTION("""COMPUTED_VALUE"""),"")</f>
        <v/>
      </c>
      <c r="I344" s="142" t="str">
        <f>IFERROR(__xludf.DUMMYFUNCTION("""COMPUTED_VALUE"""),"29942")</f>
        <v>29942</v>
      </c>
      <c r="J344" t="str">
        <f>IFERROR(__xludf.DUMMYFUNCTION("""COMPUTED_VALUE"""),"Learn Adobe Dreamweaver CS6 - For Absolute Beginners")</f>
        <v>Learn Adobe Dreamweaver CS6 - For Absolute Beginners</v>
      </c>
    </row>
    <row r="345">
      <c r="A345" s="143">
        <f>IFERROR(__xludf.DUMMYFUNCTION("""COMPUTED_VALUE"""),42577.0)</f>
        <v>42577</v>
      </c>
      <c r="B345" s="140">
        <f>IFERROR(__xludf.DUMMYFUNCTION("""COMPUTED_VALUE"""),99422.0)</f>
        <v>99422</v>
      </c>
      <c r="C345" s="140" t="str">
        <f>IFERROR(__xludf.DUMMYFUNCTION("""COMPUTED_VALUE"""),"")</f>
        <v/>
      </c>
      <c r="D345" t="str">
        <f>IFERROR(__xludf.DUMMYFUNCTION("""COMPUTED_VALUE"""),"Microsoft Certified Trainer Mohammed Manzoor Ahmed")</f>
        <v>Microsoft Certified Trainer Mohammed Manzoor Ahmed</v>
      </c>
      <c r="E345" t="str">
        <f>IFERROR(__xludf.DUMMYFUNCTION("""COMPUTED_VALUE"""),"Below Quality Standards")</f>
        <v>Below Quality Standards</v>
      </c>
      <c r="F345" t="str">
        <f>IFERROR(__xludf.DUMMYFUNCTION("""COMPUTED_VALUE"""),"Software and Systems")</f>
        <v>Software and Systems</v>
      </c>
      <c r="G345" s="140">
        <f>IFERROR(__xludf.DUMMYFUNCTION("""COMPUTED_VALUE"""),304490.0)</f>
        <v>304490</v>
      </c>
      <c r="H345" s="140" t="str">
        <f>IFERROR(__xludf.DUMMYFUNCTION("""COMPUTED_VALUE"""),"")</f>
        <v/>
      </c>
    </row>
    <row r="346">
      <c r="A346" s="143">
        <f>IFERROR(__xludf.DUMMYFUNCTION("""COMPUTED_VALUE"""),42577.0)</f>
        <v>42577</v>
      </c>
      <c r="B346" s="140">
        <f>IFERROR(__xludf.DUMMYFUNCTION("""COMPUTED_VALUE"""),203450.0)</f>
        <v>203450</v>
      </c>
      <c r="C346" s="140" t="str">
        <f>IFERROR(__xludf.DUMMYFUNCTION("""COMPUTED_VALUE"""),"")</f>
        <v/>
      </c>
      <c r="D346" t="str">
        <f>IFERROR(__xludf.DUMMYFUNCTION("""COMPUTED_VALUE"""),"Paul Siegel")</f>
        <v>Paul Siegel</v>
      </c>
      <c r="E346" t="str">
        <f>IFERROR(__xludf.DUMMYFUNCTION("""COMPUTED_VALUE"""),"Course is Unpublished")</f>
        <v>Course is Unpublished</v>
      </c>
      <c r="F346" t="str">
        <f>IFERROR(__xludf.DUMMYFUNCTION("""COMPUTED_VALUE"""),"Finance and Accounting")</f>
        <v>Finance and Accounting</v>
      </c>
      <c r="G346" s="140">
        <f>IFERROR(__xludf.DUMMYFUNCTION("""COMPUTED_VALUE"""),321410.0)</f>
        <v>321410</v>
      </c>
      <c r="H346" s="140" t="str">
        <f>IFERROR(__xludf.DUMMYFUNCTION("""COMPUTED_VALUE"""),"")</f>
        <v/>
      </c>
    </row>
    <row r="347">
      <c r="A347" s="143">
        <f>IFERROR(__xludf.DUMMYFUNCTION("""COMPUTED_VALUE"""),42577.0)</f>
        <v>42577</v>
      </c>
      <c r="B347" s="140">
        <f>IFERROR(__xludf.DUMMYFUNCTION("""COMPUTED_VALUE"""),669722.0)</f>
        <v>669722</v>
      </c>
      <c r="C347" s="140" t="str">
        <f>IFERROR(__xludf.DUMMYFUNCTION("""COMPUTED_VALUE"""),"")</f>
        <v/>
      </c>
      <c r="D347" t="str">
        <f>IFERROR(__xludf.DUMMYFUNCTION("""COMPUTED_VALUE"""),"Matt Keener")</f>
        <v>Matt Keener</v>
      </c>
      <c r="E347" t="str">
        <f>IFERROR(__xludf.DUMMYFUNCTION("""COMPUTED_VALUE"""),"Course is Unpublished")</f>
        <v>Course is Unpublished</v>
      </c>
      <c r="F347" t="str">
        <f>IFERROR(__xludf.DUMMYFUNCTION("""COMPUTED_VALUE"""),"Operations")</f>
        <v>Operations</v>
      </c>
      <c r="G347" s="140">
        <f>IFERROR(__xludf.DUMMYFUNCTION("""COMPUTED_VALUE"""),321770.0)</f>
        <v>321770</v>
      </c>
      <c r="H347" s="140" t="str">
        <f>IFERROR(__xludf.DUMMYFUNCTION("""COMPUTED_VALUE"""),"")</f>
        <v/>
      </c>
    </row>
    <row r="348">
      <c r="A348" s="143">
        <f>IFERROR(__xludf.DUMMYFUNCTION("""COMPUTED_VALUE"""),42577.0)</f>
        <v>42577</v>
      </c>
      <c r="B348" s="140">
        <f>IFERROR(__xludf.DUMMYFUNCTION("""COMPUTED_VALUE"""),446846.0)</f>
        <v>446846</v>
      </c>
      <c r="C348" s="140" t="str">
        <f>IFERROR(__xludf.DUMMYFUNCTION("""COMPUTED_VALUE"""),"")</f>
        <v/>
      </c>
      <c r="D348" t="str">
        <f>IFERROR(__xludf.DUMMYFUNCTION("""COMPUTED_VALUE"""),"Derek Franklin")</f>
        <v>Derek Franklin</v>
      </c>
      <c r="E348" t="str">
        <f>IFERROR(__xludf.DUMMYFUNCTION("""COMPUTED_VALUE"""),"Below Quality Standards")</f>
        <v>Below Quality Standards</v>
      </c>
      <c r="F348" t="str">
        <f>IFERROR(__xludf.DUMMYFUNCTION("""COMPUTED_VALUE"""),"Marketing")</f>
        <v>Marketing</v>
      </c>
      <c r="G348" s="140">
        <f>IFERROR(__xludf.DUMMYFUNCTION("""COMPUTED_VALUE"""),325666.0)</f>
        <v>325666</v>
      </c>
      <c r="H348" s="140" t="str">
        <f>IFERROR(__xludf.DUMMYFUNCTION("""COMPUTED_VALUE"""),"")</f>
        <v/>
      </c>
    </row>
    <row r="349">
      <c r="A349" s="143">
        <f>IFERROR(__xludf.DUMMYFUNCTION("""COMPUTED_VALUE"""),42577.0)</f>
        <v>42577</v>
      </c>
      <c r="B349" s="140">
        <f>IFERROR(__xludf.DUMMYFUNCTION("""COMPUTED_VALUE"""),672930.0)</f>
        <v>672930</v>
      </c>
      <c r="C349" s="140" t="str">
        <f>IFERROR(__xludf.DUMMYFUNCTION("""COMPUTED_VALUE"""),"")</f>
        <v/>
      </c>
      <c r="D349" t="str">
        <f>IFERROR(__xludf.DUMMYFUNCTION("""COMPUTED_VALUE"""),"Eduonix Learning Solutions")</f>
        <v>Eduonix Learning Solutions</v>
      </c>
      <c r="E349" t="str">
        <f>IFERROR(__xludf.DUMMYFUNCTION("""COMPUTED_VALUE"""),"Below Quality Standards")</f>
        <v>Below Quality Standards</v>
      </c>
      <c r="F349" t="str">
        <f>IFERROR(__xludf.DUMMYFUNCTION("""COMPUTED_VALUE"""),"Marketing")</f>
        <v>Marketing</v>
      </c>
      <c r="G349" s="140">
        <f>IFERROR(__xludf.DUMMYFUNCTION("""COMPUTED_VALUE"""),325666.0)</f>
        <v>325666</v>
      </c>
      <c r="H349" s="140" t="str">
        <f>IFERROR(__xludf.DUMMYFUNCTION("""COMPUTED_VALUE"""),"")</f>
        <v/>
      </c>
    </row>
    <row r="350">
      <c r="A350" s="143">
        <f>IFERROR(__xludf.DUMMYFUNCTION("""COMPUTED_VALUE"""),42577.0)</f>
        <v>42577</v>
      </c>
      <c r="B350" s="140">
        <f>IFERROR(__xludf.DUMMYFUNCTION("""COMPUTED_VALUE"""),418812.0)</f>
        <v>418812</v>
      </c>
      <c r="C350" s="140" t="str">
        <f>IFERROR(__xludf.DUMMYFUNCTION("""COMPUTED_VALUE"""),"")</f>
        <v/>
      </c>
      <c r="D350" t="str">
        <f>IFERROR(__xludf.DUMMYFUNCTION("""COMPUTED_VALUE"""),"Frontend Masters")</f>
        <v>Frontend Masters</v>
      </c>
      <c r="E350" t="str">
        <f>IFERROR(__xludf.DUMMYFUNCTION("""COMPUTED_VALUE"""),"Course is Unpublished")</f>
        <v>Course is Unpublished</v>
      </c>
      <c r="F350" t="str">
        <f>IFERROR(__xludf.DUMMYFUNCTION("""COMPUTED_VALUE"""),"Front-End Programming")</f>
        <v>Front-End Programming</v>
      </c>
      <c r="G350" s="140">
        <f>IFERROR(__xludf.DUMMYFUNCTION("""COMPUTED_VALUE"""),330900.0)</f>
        <v>330900</v>
      </c>
      <c r="H350" s="140" t="str">
        <f>IFERROR(__xludf.DUMMYFUNCTION("""COMPUTED_VALUE"""),"")</f>
        <v/>
      </c>
    </row>
    <row r="351">
      <c r="A351" s="143">
        <f>IFERROR(__xludf.DUMMYFUNCTION("""COMPUTED_VALUE"""),42577.0)</f>
        <v>42577</v>
      </c>
      <c r="B351" s="140">
        <f>IFERROR(__xludf.DUMMYFUNCTION("""COMPUTED_VALUE"""),199462.0)</f>
        <v>199462</v>
      </c>
      <c r="C351" s="140" t="str">
        <f>IFERROR(__xludf.DUMMYFUNCTION("""COMPUTED_VALUE"""),"")</f>
        <v/>
      </c>
      <c r="D351" t="str">
        <f>IFERROR(__xludf.DUMMYFUNCTION("""COMPUTED_VALUE"""),"Ben Tristem")</f>
        <v>Ben Tristem</v>
      </c>
      <c r="E351" t="str">
        <f>IFERROR(__xludf.DUMMYFUNCTION("""COMPUTED_VALUE"""),"Instructor Request")</f>
        <v>Instructor Request</v>
      </c>
      <c r="F351" t="str">
        <f>IFERROR(__xludf.DUMMYFUNCTION("""COMPUTED_VALUE"""),"Marketing")</f>
        <v>Marketing</v>
      </c>
      <c r="G351" s="140">
        <f>IFERROR(__xludf.DUMMYFUNCTION("""COMPUTED_VALUE"""),959128.0)</f>
        <v>959128</v>
      </c>
      <c r="H351" s="140" t="str">
        <f>IFERROR(__xludf.DUMMYFUNCTION("""COMPUTED_VALUE"""),"")</f>
        <v/>
      </c>
      <c r="I351" s="142" t="str">
        <f>IFERROR(__xludf.DUMMYFUNCTION("""COMPUTED_VALUE"""),"573984")</f>
        <v>573984</v>
      </c>
      <c r="J351" s="145" t="str">
        <f>IFERROR(__xludf.DUMMYFUNCTION("""COMPUTED_VALUE"""),"Social Media Marketing 2017 - Learn PPC on 10+ Platforms")</f>
        <v>Social Media Marketing 2017 - Learn PPC on 10+ Platforms</v>
      </c>
    </row>
    <row r="352">
      <c r="A352" s="143">
        <f>IFERROR(__xludf.DUMMYFUNCTION("""COMPUTED_VALUE"""),42577.0)</f>
        <v>42577</v>
      </c>
      <c r="B352" s="140">
        <f>IFERROR(__xludf.DUMMYFUNCTION("""COMPUTED_VALUE"""),129830.0)</f>
        <v>129830</v>
      </c>
      <c r="C352" s="140" t="str">
        <f>IFERROR(__xludf.DUMMYFUNCTION("""COMPUTED_VALUE"""),"")</f>
        <v/>
      </c>
      <c r="D352" t="str">
        <f>IFERROR(__xludf.DUMMYFUNCTION("""COMPUTED_VALUE"""),"Rob Cubbon")</f>
        <v>Rob Cubbon</v>
      </c>
      <c r="E352" t="str">
        <f>IFERROR(__xludf.DUMMYFUNCTION("""COMPUTED_VALUE"""),"Below Quality Standards")</f>
        <v>Below Quality Standards</v>
      </c>
      <c r="F352" t="str">
        <f>IFERROR(__xludf.DUMMYFUNCTION("""COMPUTED_VALUE"""),"Content Management")</f>
        <v>Content Management</v>
      </c>
      <c r="G352" s="140">
        <f>IFERROR(__xludf.DUMMYFUNCTION("""COMPUTED_VALUE"""),355212.0)</f>
        <v>355212</v>
      </c>
      <c r="H352" s="140" t="str">
        <f>IFERROR(__xludf.DUMMYFUNCTION("""COMPUTED_VALUE"""),"")</f>
        <v/>
      </c>
    </row>
    <row r="353">
      <c r="A353" s="143">
        <f>IFERROR(__xludf.DUMMYFUNCTION("""COMPUTED_VALUE"""),42577.0)</f>
        <v>42577</v>
      </c>
      <c r="B353" s="140">
        <f>IFERROR(__xludf.DUMMYFUNCTION("""COMPUTED_VALUE"""),155854.0)</f>
        <v>155854</v>
      </c>
      <c r="C353" s="140" t="str">
        <f>IFERROR(__xludf.DUMMYFUNCTION("""COMPUTED_VALUE"""),"")</f>
        <v/>
      </c>
      <c r="D353" t="str">
        <f>IFERROR(__xludf.DUMMYFUNCTION("""COMPUTED_VALUE"""),"Rob Cubbon")</f>
        <v>Rob Cubbon</v>
      </c>
      <c r="E353" t="str">
        <f>IFERROR(__xludf.DUMMYFUNCTION("""COMPUTED_VALUE"""),"Below Quality Standards")</f>
        <v>Below Quality Standards</v>
      </c>
      <c r="F353" t="str">
        <f>IFERROR(__xludf.DUMMYFUNCTION("""COMPUTED_VALUE"""),"Content Management")</f>
        <v>Content Management</v>
      </c>
      <c r="G353" s="140">
        <f>IFERROR(__xludf.DUMMYFUNCTION("""COMPUTED_VALUE"""),355212.0)</f>
        <v>355212</v>
      </c>
      <c r="H353" s="140" t="str">
        <f>IFERROR(__xludf.DUMMYFUNCTION("""COMPUTED_VALUE"""),"")</f>
        <v/>
      </c>
    </row>
    <row r="354">
      <c r="A354" s="143">
        <f>IFERROR(__xludf.DUMMYFUNCTION("""COMPUTED_VALUE"""),42577.0)</f>
        <v>42577</v>
      </c>
      <c r="B354" s="140">
        <f>IFERROR(__xludf.DUMMYFUNCTION("""COMPUTED_VALUE"""),360538.0)</f>
        <v>360538</v>
      </c>
      <c r="C354" s="140" t="str">
        <f>IFERROR(__xludf.DUMMYFUNCTION("""COMPUTED_VALUE"""),"")</f>
        <v/>
      </c>
      <c r="D354" t="str">
        <f>IFERROR(__xludf.DUMMYFUNCTION("""COMPUTED_VALUE"""),"Andrew Eddy")</f>
        <v>Andrew Eddy</v>
      </c>
      <c r="E354" t="str">
        <f>IFERROR(__xludf.DUMMYFUNCTION("""COMPUTED_VALUE"""),"Below Quality Standards")</f>
        <v>Below Quality Standards</v>
      </c>
      <c r="F354" t="str">
        <f>IFERROR(__xludf.DUMMYFUNCTION("""COMPUTED_VALUE"""),"Content Management")</f>
        <v>Content Management</v>
      </c>
      <c r="G354" s="140">
        <f>IFERROR(__xludf.DUMMYFUNCTION("""COMPUTED_VALUE"""),355212.0)</f>
        <v>355212</v>
      </c>
      <c r="H354" s="140" t="str">
        <f>IFERROR(__xludf.DUMMYFUNCTION("""COMPUTED_VALUE"""),"")</f>
        <v/>
      </c>
    </row>
    <row r="355">
      <c r="A355" s="143">
        <f>IFERROR(__xludf.DUMMYFUNCTION("""COMPUTED_VALUE"""),42577.0)</f>
        <v>42577</v>
      </c>
      <c r="B355" s="140">
        <f>IFERROR(__xludf.DUMMYFUNCTION("""COMPUTED_VALUE"""),417468.0)</f>
        <v>417468</v>
      </c>
      <c r="C355" s="140" t="str">
        <f>IFERROR(__xludf.DUMMYFUNCTION("""COMPUTED_VALUE"""),"")</f>
        <v/>
      </c>
      <c r="D355" t="str">
        <f>IFERROR(__xludf.DUMMYFUNCTION("""COMPUTED_VALUE"""),"Frontend Masters")</f>
        <v>Frontend Masters</v>
      </c>
      <c r="E355" t="str">
        <f>IFERROR(__xludf.DUMMYFUNCTION("""COMPUTED_VALUE"""),"Course is Unpublished")</f>
        <v>Course is Unpublished</v>
      </c>
      <c r="F355" t="str">
        <f>IFERROR(__xludf.DUMMYFUNCTION("""COMPUTED_VALUE"""),"Front-End Programming")</f>
        <v>Front-End Programming</v>
      </c>
      <c r="G355" s="140">
        <f>IFERROR(__xludf.DUMMYFUNCTION("""COMPUTED_VALUE"""),364426.0)</f>
        <v>364426</v>
      </c>
      <c r="H355" s="140" t="str">
        <f>IFERROR(__xludf.DUMMYFUNCTION("""COMPUTED_VALUE"""),"")</f>
        <v/>
      </c>
    </row>
    <row r="356">
      <c r="A356" s="143">
        <f>IFERROR(__xludf.DUMMYFUNCTION("""COMPUTED_VALUE"""),42577.0)</f>
        <v>42577</v>
      </c>
      <c r="B356" s="140">
        <f>IFERROR(__xludf.DUMMYFUNCTION("""COMPUTED_VALUE"""),417542.0)</f>
        <v>417542</v>
      </c>
      <c r="C356" s="140" t="str">
        <f>IFERROR(__xludf.DUMMYFUNCTION("""COMPUTED_VALUE"""),"")</f>
        <v/>
      </c>
      <c r="D356" t="str">
        <f>IFERROR(__xludf.DUMMYFUNCTION("""COMPUTED_VALUE"""),"Frontend Masters")</f>
        <v>Frontend Masters</v>
      </c>
      <c r="E356" t="str">
        <f>IFERROR(__xludf.DUMMYFUNCTION("""COMPUTED_VALUE"""),"Course is Unpublished")</f>
        <v>Course is Unpublished</v>
      </c>
      <c r="F356" t="str">
        <f>IFERROR(__xludf.DUMMYFUNCTION("""COMPUTED_VALUE"""),"Front-End Programming")</f>
        <v>Front-End Programming</v>
      </c>
      <c r="G356" s="140">
        <f>IFERROR(__xludf.DUMMYFUNCTION("""COMPUTED_VALUE"""),364426.0)</f>
        <v>364426</v>
      </c>
      <c r="H356" s="140" t="str">
        <f>IFERROR(__xludf.DUMMYFUNCTION("""COMPUTED_VALUE"""),"")</f>
        <v/>
      </c>
    </row>
    <row r="357">
      <c r="A357" s="143">
        <f>IFERROR(__xludf.DUMMYFUNCTION("""COMPUTED_VALUE"""),42577.0)</f>
        <v>42577</v>
      </c>
      <c r="B357" s="140">
        <f>IFERROR(__xludf.DUMMYFUNCTION("""COMPUTED_VALUE"""),219838.0)</f>
        <v>219838</v>
      </c>
      <c r="C357" s="140" t="str">
        <f>IFERROR(__xludf.DUMMYFUNCTION("""COMPUTED_VALUE"""),"")</f>
        <v/>
      </c>
      <c r="D357" t="str">
        <f>IFERROR(__xludf.DUMMYFUNCTION("""COMPUTED_VALUE"""),"Simon Sez IT")</f>
        <v>Simon Sez IT</v>
      </c>
      <c r="E357" t="str">
        <f>IFERROR(__xludf.DUMMYFUNCTION("""COMPUTED_VALUE"""),"Below Quality Standards")</f>
        <v>Below Quality Standards</v>
      </c>
      <c r="F357" t="str">
        <f>IFERROR(__xludf.DUMMYFUNCTION("""COMPUTED_VALUE"""),"Back-End Programming")</f>
        <v>Back-End Programming</v>
      </c>
      <c r="G357" s="140">
        <f>IFERROR(__xludf.DUMMYFUNCTION("""COMPUTED_VALUE"""),374222.0)</f>
        <v>374222</v>
      </c>
      <c r="H357" s="140" t="str">
        <f>IFERROR(__xludf.DUMMYFUNCTION("""COMPUTED_VALUE"""),"")</f>
        <v/>
      </c>
      <c r="I357" s="142" t="str">
        <f>IFERROR(__xludf.DUMMYFUNCTION("""COMPUTED_VALUE"""),"548078")</f>
        <v>548078</v>
      </c>
      <c r="J357" t="str">
        <f>IFERROR(__xludf.DUMMYFUNCTION("""COMPUTED_VALUE"""),"XML and XML Schema Definition in Easy Steps")</f>
        <v>XML and XML Schema Definition in Easy Steps</v>
      </c>
    </row>
    <row r="358">
      <c r="A358" s="143">
        <f>IFERROR(__xludf.DUMMYFUNCTION("""COMPUTED_VALUE"""),42577.0)</f>
        <v>42577</v>
      </c>
      <c r="B358" s="140">
        <f>IFERROR(__xludf.DUMMYFUNCTION("""COMPUTED_VALUE"""),370162.0)</f>
        <v>370162</v>
      </c>
      <c r="C358" s="140" t="str">
        <f>IFERROR(__xludf.DUMMYFUNCTION("""COMPUTED_VALUE"""),"")</f>
        <v/>
      </c>
      <c r="D358" t="str">
        <f>IFERROR(__xludf.DUMMYFUNCTION("""COMPUTED_VALUE"""),"Tom Owsiak")</f>
        <v>Tom Owsiak</v>
      </c>
      <c r="E358" t="str">
        <f>IFERROR(__xludf.DUMMYFUNCTION("""COMPUTED_VALUE"""),"Course is Unpublished")</f>
        <v>Course is Unpublished</v>
      </c>
      <c r="F358" t="str">
        <f>IFERROR(__xludf.DUMMYFUNCTION("""COMPUTED_VALUE"""),"Back-End Programming")</f>
        <v>Back-End Programming</v>
      </c>
      <c r="G358" s="140">
        <f>IFERROR(__xludf.DUMMYFUNCTION("""COMPUTED_VALUE"""),382002.0)</f>
        <v>382002</v>
      </c>
      <c r="H358" s="140" t="str">
        <f>IFERROR(__xludf.DUMMYFUNCTION("""COMPUTED_VALUE"""),"")</f>
        <v/>
      </c>
    </row>
    <row r="359">
      <c r="A359" s="143">
        <f>IFERROR(__xludf.DUMMYFUNCTION("""COMPUTED_VALUE"""),42577.0)</f>
        <v>42577</v>
      </c>
      <c r="B359" s="140">
        <f>IFERROR(__xludf.DUMMYFUNCTION("""COMPUTED_VALUE"""),39952.0)</f>
        <v>39952</v>
      </c>
      <c r="C359" s="140" t="str">
        <f>IFERROR(__xludf.DUMMYFUNCTION("""COMPUTED_VALUE"""),"")</f>
        <v/>
      </c>
      <c r="D359" t="str">
        <f>IFERROR(__xludf.DUMMYFUNCTION("""COMPUTED_VALUE"""),"Simon Sez IT")</f>
        <v>Simon Sez IT</v>
      </c>
      <c r="E359" t="str">
        <f>IFERROR(__xludf.DUMMYFUNCTION("""COMPUTED_VALUE"""),"Below Quality Standards")</f>
        <v>Below Quality Standards</v>
      </c>
      <c r="F359" t="str">
        <f>IFERROR(__xludf.DUMMYFUNCTION("""COMPUTED_VALUE"""),"Office Productivity")</f>
        <v>Office Productivity</v>
      </c>
      <c r="G359" s="140">
        <f>IFERROR(__xludf.DUMMYFUNCTION("""COMPUTED_VALUE"""),395700.0)</f>
        <v>395700</v>
      </c>
      <c r="H359" s="140" t="str">
        <f>IFERROR(__xludf.DUMMYFUNCTION("""COMPUTED_VALUE"""),"")</f>
        <v/>
      </c>
    </row>
    <row r="360">
      <c r="A360" s="143">
        <f>IFERROR(__xludf.DUMMYFUNCTION("""COMPUTED_VALUE"""),42577.0)</f>
        <v>42577</v>
      </c>
      <c r="B360" s="140">
        <f>IFERROR(__xludf.DUMMYFUNCTION("""COMPUTED_VALUE"""),52546.0)</f>
        <v>52546</v>
      </c>
      <c r="C360" s="140" t="str">
        <f>IFERROR(__xludf.DUMMYFUNCTION("""COMPUTED_VALUE"""),"")</f>
        <v/>
      </c>
      <c r="D360" t="str">
        <f>IFERROR(__xludf.DUMMYFUNCTION("""COMPUTED_VALUE"""),"Train Simple")</f>
        <v>Train Simple</v>
      </c>
      <c r="E360" t="str">
        <f>IFERROR(__xludf.DUMMYFUNCTION("""COMPUTED_VALUE"""),"Course is Unpublished")</f>
        <v>Course is Unpublished</v>
      </c>
      <c r="F360" t="str">
        <f>IFERROR(__xludf.DUMMYFUNCTION("""COMPUTED_VALUE"""),"Design")</f>
        <v>Design</v>
      </c>
      <c r="G360" s="140">
        <f>IFERROR(__xludf.DUMMYFUNCTION("""COMPUTED_VALUE"""),1038568.0)</f>
        <v>1038568</v>
      </c>
      <c r="H360" s="140" t="str">
        <f>IFERROR(__xludf.DUMMYFUNCTION("""COMPUTED_VALUE"""),"")</f>
        <v/>
      </c>
    </row>
    <row r="361">
      <c r="A361" s="143">
        <f>IFERROR(__xludf.DUMMYFUNCTION("""COMPUTED_VALUE"""),42577.0)</f>
        <v>42577</v>
      </c>
      <c r="B361" s="140">
        <f>IFERROR(__xludf.DUMMYFUNCTION("""COMPUTED_VALUE"""),132846.0)</f>
        <v>132846</v>
      </c>
      <c r="C361" s="140" t="str">
        <f>IFERROR(__xludf.DUMMYFUNCTION("""COMPUTED_VALUE"""),"")</f>
        <v/>
      </c>
      <c r="D361" t="str">
        <f>IFERROR(__xludf.DUMMYFUNCTION("""COMPUTED_VALUE"""),"Train Simple")</f>
        <v>Train Simple</v>
      </c>
      <c r="E361" t="str">
        <f>IFERROR(__xludf.DUMMYFUNCTION("""COMPUTED_VALUE"""),"Course is Unpublished")</f>
        <v>Course is Unpublished</v>
      </c>
      <c r="F361" t="str">
        <f>IFERROR(__xludf.DUMMYFUNCTION("""COMPUTED_VALUE"""),"Design")</f>
        <v>Design</v>
      </c>
      <c r="G361" s="140">
        <f>IFERROR(__xludf.DUMMYFUNCTION("""COMPUTED_VALUE"""),1038568.0)</f>
        <v>1038568</v>
      </c>
      <c r="H361" s="140" t="str">
        <f>IFERROR(__xludf.DUMMYFUNCTION("""COMPUTED_VALUE"""),"")</f>
        <v/>
      </c>
    </row>
    <row r="362">
      <c r="A362" s="143">
        <f>IFERROR(__xludf.DUMMYFUNCTION("""COMPUTED_VALUE"""),42577.0)</f>
        <v>42577</v>
      </c>
      <c r="B362" s="140">
        <f>IFERROR(__xludf.DUMMYFUNCTION("""COMPUTED_VALUE"""),482464.0)</f>
        <v>482464</v>
      </c>
      <c r="C362" s="140" t="str">
        <f>IFERROR(__xludf.DUMMYFUNCTION("""COMPUTED_VALUE"""),"")</f>
        <v/>
      </c>
      <c r="D362" t="str">
        <f>IFERROR(__xludf.DUMMYFUNCTION("""COMPUTED_VALUE"""),"Chad Tennant")</f>
        <v>Chad Tennant</v>
      </c>
      <c r="E362" t="str">
        <f>IFERROR(__xludf.DUMMYFUNCTION("""COMPUTED_VALUE"""),"Below Quality Standards")</f>
        <v>Below Quality Standards</v>
      </c>
      <c r="F362" t="str">
        <f>IFERROR(__xludf.DUMMYFUNCTION("""COMPUTED_VALUE"""),"Marketing")</f>
        <v>Marketing</v>
      </c>
      <c r="G362" s="140">
        <f>IFERROR(__xludf.DUMMYFUNCTION("""COMPUTED_VALUE"""),403314.0)</f>
        <v>403314</v>
      </c>
      <c r="H362" s="140" t="str">
        <f>IFERROR(__xludf.DUMMYFUNCTION("""COMPUTED_VALUE"""),"")</f>
        <v/>
      </c>
    </row>
    <row r="363">
      <c r="A363" s="143">
        <f>IFERROR(__xludf.DUMMYFUNCTION("""COMPUTED_VALUE"""),42577.0)</f>
        <v>42577</v>
      </c>
      <c r="B363" s="140">
        <f>IFERROR(__xludf.DUMMYFUNCTION("""COMPUTED_VALUE"""),34037.0)</f>
        <v>34037</v>
      </c>
      <c r="C363" s="140" t="str">
        <f>IFERROR(__xludf.DUMMYFUNCTION("""COMPUTED_VALUE"""),"")</f>
        <v/>
      </c>
      <c r="D363" t="str">
        <f>IFERROR(__xludf.DUMMYFUNCTION("""COMPUTED_VALUE"""),"Train Simple")</f>
        <v>Train Simple</v>
      </c>
      <c r="E363" t="str">
        <f>IFERROR(__xludf.DUMMYFUNCTION("""COMPUTED_VALUE"""),"Course is Unpublished")</f>
        <v>Course is Unpublished</v>
      </c>
      <c r="F363" t="str">
        <f>IFERROR(__xludf.DUMMYFUNCTION("""COMPUTED_VALUE"""),"Front-End Programming")</f>
        <v>Front-End Programming</v>
      </c>
      <c r="G363" s="140">
        <f>IFERROR(__xludf.DUMMYFUNCTION("""COMPUTED_VALUE"""),405818.0)</f>
        <v>405818</v>
      </c>
      <c r="H363" s="140" t="str">
        <f>IFERROR(__xludf.DUMMYFUNCTION("""COMPUTED_VALUE"""),"")</f>
        <v/>
      </c>
      <c r="I363" s="142" t="str">
        <f>IFERROR(__xludf.DUMMYFUNCTION("""COMPUTED_VALUE"""),"426196")</f>
        <v>426196</v>
      </c>
      <c r="J363" t="str">
        <f>IFERROR(__xludf.DUMMYFUNCTION("""COMPUTED_VALUE"""),"JavaScript from Beginner to Expert")</f>
        <v>JavaScript from Beginner to Expert</v>
      </c>
    </row>
    <row r="364">
      <c r="A364" s="143">
        <f>IFERROR(__xludf.DUMMYFUNCTION("""COMPUTED_VALUE"""),42577.0)</f>
        <v>42577</v>
      </c>
      <c r="B364" s="140">
        <f>IFERROR(__xludf.DUMMYFUNCTION("""COMPUTED_VALUE"""),94430.0)</f>
        <v>94430</v>
      </c>
      <c r="C364" s="140" t="str">
        <f>IFERROR(__xludf.DUMMYFUNCTION("""COMPUTED_VALUE"""),"")</f>
        <v/>
      </c>
      <c r="D364" t="str">
        <f>IFERROR(__xludf.DUMMYFUNCTION("""COMPUTED_VALUE"""),"Eduonix Learning Solutions")</f>
        <v>Eduonix Learning Solutions</v>
      </c>
      <c r="E364" t="str">
        <f>IFERROR(__xludf.DUMMYFUNCTION("""COMPUTED_VALUE"""),"Below Quality Standards")</f>
        <v>Below Quality Standards</v>
      </c>
      <c r="F364" t="str">
        <f>IFERROR(__xludf.DUMMYFUNCTION("""COMPUTED_VALUE"""),"Front-End Programming")</f>
        <v>Front-End Programming</v>
      </c>
      <c r="G364" s="140">
        <f>IFERROR(__xludf.DUMMYFUNCTION("""COMPUTED_VALUE"""),405818.0)</f>
        <v>405818</v>
      </c>
      <c r="H364" s="140" t="str">
        <f>IFERROR(__xludf.DUMMYFUNCTION("""COMPUTED_VALUE"""),"")</f>
        <v/>
      </c>
      <c r="I364" s="142" t="str">
        <f>IFERROR(__xludf.DUMMYFUNCTION("""COMPUTED_VALUE"""),"405818")</f>
        <v>405818</v>
      </c>
      <c r="J364" t="str">
        <f>IFERROR(__xludf.DUMMYFUNCTION("""COMPUTED_VALUE"""),"Javascript for Beginners Learn by Doing Practical Exercises")</f>
        <v>Javascript for Beginners Learn by Doing Practical Exercises</v>
      </c>
      <c r="K364" s="142" t="str">
        <f>IFERROR(__xludf.DUMMYFUNCTION("""COMPUTED_VALUE"""),"379722")</f>
        <v>379722</v>
      </c>
      <c r="L364" s="145" t="str">
        <f>IFERROR(__xludf.DUMMYFUNCTION("""COMPUTED_VALUE"""),"jQuery Crash Course: Learn the Essentials of jQuery Fast")</f>
        <v>jQuery Crash Course: Learn the Essentials of jQuery Fast</v>
      </c>
    </row>
    <row r="365">
      <c r="A365" s="143">
        <f>IFERROR(__xludf.DUMMYFUNCTION("""COMPUTED_VALUE"""),42577.0)</f>
        <v>42577</v>
      </c>
      <c r="B365" s="140">
        <f>IFERROR(__xludf.DUMMYFUNCTION("""COMPUTED_VALUE"""),405666.0)</f>
        <v>405666</v>
      </c>
      <c r="C365" s="140" t="str">
        <f>IFERROR(__xludf.DUMMYFUNCTION("""COMPUTED_VALUE"""),"")</f>
        <v/>
      </c>
      <c r="D365" t="str">
        <f>IFERROR(__xludf.DUMMYFUNCTION("""COMPUTED_VALUE"""),"Frontend Masters")</f>
        <v>Frontend Masters</v>
      </c>
      <c r="E365" t="str">
        <f>IFERROR(__xludf.DUMMYFUNCTION("""COMPUTED_VALUE"""),"Course is Unpublished")</f>
        <v>Course is Unpublished</v>
      </c>
      <c r="F365" t="str">
        <f>IFERROR(__xludf.DUMMYFUNCTION("""COMPUTED_VALUE"""),"Front-End Programming")</f>
        <v>Front-End Programming</v>
      </c>
      <c r="G365" s="140">
        <f>IFERROR(__xludf.DUMMYFUNCTION("""COMPUTED_VALUE"""),405818.0)</f>
        <v>405818</v>
      </c>
      <c r="H365" s="140" t="str">
        <f>IFERROR(__xludf.DUMMYFUNCTION("""COMPUTED_VALUE"""),"")</f>
        <v/>
      </c>
    </row>
    <row r="366">
      <c r="A366" s="143">
        <f>IFERROR(__xludf.DUMMYFUNCTION("""COMPUTED_VALUE"""),42577.0)</f>
        <v>42577</v>
      </c>
      <c r="B366" s="140">
        <f>IFERROR(__xludf.DUMMYFUNCTION("""COMPUTED_VALUE"""),421454.0)</f>
        <v>421454</v>
      </c>
      <c r="C366" s="140" t="str">
        <f>IFERROR(__xludf.DUMMYFUNCTION("""COMPUTED_VALUE"""),"")</f>
        <v/>
      </c>
      <c r="D366" t="str">
        <f>IFERROR(__xludf.DUMMYFUNCTION("""COMPUTED_VALUE"""),"Frontend Masters")</f>
        <v>Frontend Masters</v>
      </c>
      <c r="E366" t="str">
        <f>IFERROR(__xludf.DUMMYFUNCTION("""COMPUTED_VALUE"""),"Course is Unpublished")</f>
        <v>Course is Unpublished</v>
      </c>
      <c r="F366" t="str">
        <f>IFERROR(__xludf.DUMMYFUNCTION("""COMPUTED_VALUE"""),"Front-End Programming")</f>
        <v>Front-End Programming</v>
      </c>
      <c r="G366" s="140">
        <f>IFERROR(__xludf.DUMMYFUNCTION("""COMPUTED_VALUE"""),405818.0)</f>
        <v>405818</v>
      </c>
      <c r="H366" s="140" t="str">
        <f>IFERROR(__xludf.DUMMYFUNCTION("""COMPUTED_VALUE"""),"")</f>
        <v/>
      </c>
      <c r="I366" s="142" t="str">
        <f>IFERROR(__xludf.DUMMYFUNCTION("""COMPUTED_VALUE"""),"426196")</f>
        <v>426196</v>
      </c>
      <c r="J366" t="str">
        <f>IFERROR(__xludf.DUMMYFUNCTION("""COMPUTED_VALUE"""),"JavaScript from Beginner to Expert")</f>
        <v>JavaScript from Beginner to Expert</v>
      </c>
    </row>
    <row r="367">
      <c r="A367" s="143">
        <f>IFERROR(__xludf.DUMMYFUNCTION("""COMPUTED_VALUE"""),42577.0)</f>
        <v>42577</v>
      </c>
      <c r="B367" s="140">
        <f>IFERROR(__xludf.DUMMYFUNCTION("""COMPUTED_VALUE"""),531290.0)</f>
        <v>531290</v>
      </c>
      <c r="C367" s="140" t="str">
        <f>IFERROR(__xludf.DUMMYFUNCTION("""COMPUTED_VALUE"""),"")</f>
        <v/>
      </c>
      <c r="D367" t="str">
        <f>IFERROR(__xludf.DUMMYFUNCTION("""COMPUTED_VALUE"""),"Simon Sez IT")</f>
        <v>Simon Sez IT</v>
      </c>
      <c r="E367" t="str">
        <f>IFERROR(__xludf.DUMMYFUNCTION("""COMPUTED_VALUE"""),"Below Quality Standards")</f>
        <v>Below Quality Standards</v>
      </c>
      <c r="F367" t="str">
        <f>IFERROR(__xludf.DUMMYFUNCTION("""COMPUTED_VALUE"""),"Front-End Programming")</f>
        <v>Front-End Programming</v>
      </c>
      <c r="G367" s="140">
        <f>IFERROR(__xludf.DUMMYFUNCTION("""COMPUTED_VALUE"""),405818.0)</f>
        <v>405818</v>
      </c>
      <c r="H367" s="140" t="str">
        <f>IFERROR(__xludf.DUMMYFUNCTION("""COMPUTED_VALUE"""),"")</f>
        <v/>
      </c>
      <c r="I367" s="142" t="str">
        <f>IFERROR(__xludf.DUMMYFUNCTION("""COMPUTED_VALUE"""),"719002")</f>
        <v>719002</v>
      </c>
      <c r="J367" s="145" t="str">
        <f>IFERROR(__xludf.DUMMYFUNCTION("""COMPUTED_VALUE"""),"Angular Crash Course for Busy Developers")</f>
        <v>Angular Crash Course for Busy Developers</v>
      </c>
    </row>
    <row r="368">
      <c r="A368" s="143">
        <f>IFERROR(__xludf.DUMMYFUNCTION("""COMPUTED_VALUE"""),42577.0)</f>
        <v>42577</v>
      </c>
      <c r="B368" s="140">
        <f>IFERROR(__xludf.DUMMYFUNCTION("""COMPUTED_VALUE"""),315150.0)</f>
        <v>315150</v>
      </c>
      <c r="C368" s="140" t="str">
        <f>IFERROR(__xludf.DUMMYFUNCTION("""COMPUTED_VALUE"""),"")</f>
        <v/>
      </c>
      <c r="D368" t="str">
        <f>IFERROR(__xludf.DUMMYFUNCTION("""COMPUTED_VALUE"""),"Pablo Stanley")</f>
        <v>Pablo Stanley</v>
      </c>
      <c r="E368" t="str">
        <f>IFERROR(__xludf.DUMMYFUNCTION("""COMPUTED_VALUE"""),"Below Quality Standards")</f>
        <v>Below Quality Standards</v>
      </c>
      <c r="F368" t="str">
        <f>IFERROR(__xludf.DUMMYFUNCTION("""COMPUTED_VALUE"""),"Design")</f>
        <v>Design</v>
      </c>
      <c r="G368" s="140">
        <f>IFERROR(__xludf.DUMMYFUNCTION("""COMPUTED_VALUE"""),412738.0)</f>
        <v>412738</v>
      </c>
      <c r="H368" s="140" t="str">
        <f>IFERROR(__xludf.DUMMYFUNCTION("""COMPUTED_VALUE"""),"")</f>
        <v/>
      </c>
    </row>
    <row r="369">
      <c r="A369" s="143">
        <f>IFERROR(__xludf.DUMMYFUNCTION("""COMPUTED_VALUE"""),42577.0)</f>
        <v>42577</v>
      </c>
      <c r="B369" s="140">
        <f>IFERROR(__xludf.DUMMYFUNCTION("""COMPUTED_VALUE"""),542510.0)</f>
        <v>542510</v>
      </c>
      <c r="C369" s="140" t="str">
        <f>IFERROR(__xludf.DUMMYFUNCTION("""COMPUTED_VALUE"""),"")</f>
        <v/>
      </c>
      <c r="D369" t="str">
        <f>IFERROR(__xludf.DUMMYFUNCTION("""COMPUTED_VALUE"""),"Bob Marx")</f>
        <v>Bob Marx</v>
      </c>
      <c r="E369" t="str">
        <f>IFERROR(__xludf.DUMMYFUNCTION("""COMPUTED_VALUE"""),"Below Quality Standards")</f>
        <v>Below Quality Standards</v>
      </c>
      <c r="F369" t="str">
        <f>IFERROR(__xludf.DUMMYFUNCTION("""COMPUTED_VALUE"""),"Sales")</f>
        <v>Sales</v>
      </c>
      <c r="G369" s="140">
        <f>IFERROR(__xludf.DUMMYFUNCTION("""COMPUTED_VALUE"""),415758.0)</f>
        <v>415758</v>
      </c>
      <c r="H369" s="140" t="str">
        <f>IFERROR(__xludf.DUMMYFUNCTION("""COMPUTED_VALUE"""),"")</f>
        <v/>
      </c>
    </row>
    <row r="370">
      <c r="A370" s="143">
        <f>IFERROR(__xludf.DUMMYFUNCTION("""COMPUTED_VALUE"""),42577.0)</f>
        <v>42577</v>
      </c>
      <c r="B370" s="140">
        <f>IFERROR(__xludf.DUMMYFUNCTION("""COMPUTED_VALUE"""),14226.0)</f>
        <v>14226</v>
      </c>
      <c r="C370" s="140" t="str">
        <f>IFERROR(__xludf.DUMMYFUNCTION("""COMPUTED_VALUE"""),"")</f>
        <v/>
      </c>
      <c r="D370" t="str">
        <f>IFERROR(__xludf.DUMMYFUNCTION("""COMPUTED_VALUE"""),"Train Simple")</f>
        <v>Train Simple</v>
      </c>
      <c r="E370" t="str">
        <f>IFERROR(__xludf.DUMMYFUNCTION("""COMPUTED_VALUE"""),"Course is Unpublished")</f>
        <v>Course is Unpublished</v>
      </c>
      <c r="F370" t="str">
        <f>IFERROR(__xludf.DUMMYFUNCTION("""COMPUTED_VALUE"""),"Design")</f>
        <v>Design</v>
      </c>
      <c r="G370" s="140">
        <f>IFERROR(__xludf.DUMMYFUNCTION("""COMPUTED_VALUE"""),416542.0)</f>
        <v>416542</v>
      </c>
      <c r="H370" s="140" t="str">
        <f>IFERROR(__xludf.DUMMYFUNCTION("""COMPUTED_VALUE"""),"")</f>
        <v/>
      </c>
      <c r="I370" s="142" t="str">
        <f>IFERROR(__xludf.DUMMYFUNCTION("""COMPUTED_VALUE"""),"416542")</f>
        <v>416542</v>
      </c>
      <c r="J370" t="str">
        <f>IFERROR(__xludf.DUMMYFUNCTION("""COMPUTED_VALUE"""),"Learn InDesign : Design Magazines and More in InDesign")</f>
        <v>Learn InDesign : Design Magazines and More in InDesign</v>
      </c>
    </row>
    <row r="371">
      <c r="A371" s="143">
        <f>IFERROR(__xludf.DUMMYFUNCTION("""COMPUTED_VALUE"""),42577.0)</f>
        <v>42577</v>
      </c>
      <c r="B371" s="140">
        <f>IFERROR(__xludf.DUMMYFUNCTION("""COMPUTED_VALUE"""),130194.0)</f>
        <v>130194</v>
      </c>
      <c r="C371" s="140" t="str">
        <f>IFERROR(__xludf.DUMMYFUNCTION("""COMPUTED_VALUE"""),"")</f>
        <v/>
      </c>
      <c r="D371" t="str">
        <f>IFERROR(__xludf.DUMMYFUNCTION("""COMPUTED_VALUE"""),"Train Simple")</f>
        <v>Train Simple</v>
      </c>
      <c r="E371" t="str">
        <f>IFERROR(__xludf.DUMMYFUNCTION("""COMPUTED_VALUE"""),"Course is Unpublished")</f>
        <v>Course is Unpublished</v>
      </c>
      <c r="F371" t="str">
        <f>IFERROR(__xludf.DUMMYFUNCTION("""COMPUTED_VALUE"""),"Design")</f>
        <v>Design</v>
      </c>
      <c r="G371" s="140">
        <f>IFERROR(__xludf.DUMMYFUNCTION("""COMPUTED_VALUE"""),416542.0)</f>
        <v>416542</v>
      </c>
      <c r="H371" s="140" t="str">
        <f>IFERROR(__xludf.DUMMYFUNCTION("""COMPUTED_VALUE"""),"")</f>
        <v/>
      </c>
    </row>
    <row r="372">
      <c r="A372" s="143">
        <f>IFERROR(__xludf.DUMMYFUNCTION("""COMPUTED_VALUE"""),42577.0)</f>
        <v>42577</v>
      </c>
      <c r="B372" s="140">
        <f>IFERROR(__xludf.DUMMYFUNCTION("""COMPUTED_VALUE"""),217000.0)</f>
        <v>217000</v>
      </c>
      <c r="C372" s="140" t="str">
        <f>IFERROR(__xludf.DUMMYFUNCTION("""COMPUTED_VALUE"""),"")</f>
        <v/>
      </c>
      <c r="D372" t="str">
        <f>IFERROR(__xludf.DUMMYFUNCTION("""COMPUTED_VALUE"""),"Raghavendra Dixit")</f>
        <v>Raghavendra Dixit</v>
      </c>
      <c r="E372" t="str">
        <f>IFERROR(__xludf.DUMMYFUNCTION("""COMPUTED_VALUE"""),"Below Quality Standards")</f>
        <v>Below Quality Standards</v>
      </c>
      <c r="F372" t="str">
        <f>IFERROR(__xludf.DUMMYFUNCTION("""COMPUTED_VALUE"""),"Back-End Programming")</f>
        <v>Back-End Programming</v>
      </c>
      <c r="G372" s="140">
        <f>IFERROR(__xludf.DUMMYFUNCTION("""COMPUTED_VALUE"""),426196.0)</f>
        <v>426196</v>
      </c>
      <c r="H372" s="140" t="str">
        <f>IFERROR(__xludf.DUMMYFUNCTION("""COMPUTED_VALUE"""),"")</f>
        <v/>
      </c>
    </row>
    <row r="373">
      <c r="A373" s="143">
        <f>IFERROR(__xludf.DUMMYFUNCTION("""COMPUTED_VALUE"""),42577.0)</f>
        <v>42577</v>
      </c>
      <c r="B373" s="140">
        <f>IFERROR(__xludf.DUMMYFUNCTION("""COMPUTED_VALUE"""),357898.0)</f>
        <v>357898</v>
      </c>
      <c r="C373" s="140" t="str">
        <f>IFERROR(__xludf.DUMMYFUNCTION("""COMPUTED_VALUE"""),"")</f>
        <v/>
      </c>
      <c r="D373" t="str">
        <f>IFERROR(__xludf.DUMMYFUNCTION("""COMPUTED_VALUE"""),"LearnSmart LLC")</f>
        <v>LearnSmart LLC</v>
      </c>
      <c r="E373" t="str">
        <f>IFERROR(__xludf.DUMMYFUNCTION("""COMPUTED_VALUE"""),"Below Quality Standards")</f>
        <v>Below Quality Standards</v>
      </c>
      <c r="F373" t="str">
        <f>IFERROR(__xludf.DUMMYFUNCTION("""COMPUTED_VALUE"""),"Management")</f>
        <v>Management</v>
      </c>
      <c r="G373" s="140">
        <f>IFERROR(__xludf.DUMMYFUNCTION("""COMPUTED_VALUE"""),429062.0)</f>
        <v>429062</v>
      </c>
      <c r="H373" s="140" t="str">
        <f>IFERROR(__xludf.DUMMYFUNCTION("""COMPUTED_VALUE"""),"")</f>
        <v/>
      </c>
      <c r="I373" s="142" t="str">
        <f>IFERROR(__xludf.DUMMYFUNCTION("""COMPUTED_VALUE"""),"361272")</f>
        <v>361272</v>
      </c>
      <c r="J373" t="str">
        <f>IFERROR(__xludf.DUMMYFUNCTION("""COMPUTED_VALUE"""),"The Science of Leadership")</f>
        <v>The Science of Leadership</v>
      </c>
      <c r="K373" s="142" t="str">
        <f>IFERROR(__xludf.DUMMYFUNCTION("""COMPUTED_VALUE"""),"189116")</f>
        <v>189116</v>
      </c>
      <c r="L373" s="145" t="str">
        <f>IFERROR(__xludf.DUMMYFUNCTION("""COMPUTED_VALUE"""),"Leadership Skills - Leading Teams to High Performance")</f>
        <v>Leadership Skills - Leading Teams to High Performance</v>
      </c>
    </row>
    <row r="374">
      <c r="A374" s="143">
        <f>IFERROR(__xludf.DUMMYFUNCTION("""COMPUTED_VALUE"""),42577.0)</f>
        <v>42577</v>
      </c>
      <c r="B374" s="140">
        <f>IFERROR(__xludf.DUMMYFUNCTION("""COMPUTED_VALUE"""),50132.0)</f>
        <v>50132</v>
      </c>
      <c r="C374" s="140" t="str">
        <f>IFERROR(__xludf.DUMMYFUNCTION("""COMPUTED_VALUE"""),"")</f>
        <v/>
      </c>
      <c r="D374" t="str">
        <f>IFERROR(__xludf.DUMMYFUNCTION("""COMPUTED_VALUE"""),"Martin V., PSM, PMP, CSSBB")</f>
        <v>Martin V., PSM, PMP, CSSBB</v>
      </c>
      <c r="E374" t="str">
        <f>IFERROR(__xludf.DUMMYFUNCTION("""COMPUTED_VALUE"""),"Below Quality Standards")</f>
        <v>Below Quality Standards</v>
      </c>
      <c r="F374" t="str">
        <f>IFERROR(__xludf.DUMMYFUNCTION("""COMPUTED_VALUE"""),"Operations")</f>
        <v>Operations</v>
      </c>
      <c r="G374" s="140">
        <f>IFERROR(__xludf.DUMMYFUNCTION("""COMPUTED_VALUE"""),430236.0)</f>
        <v>430236</v>
      </c>
      <c r="H374" s="140" t="str">
        <f>IFERROR(__xludf.DUMMYFUNCTION("""COMPUTED_VALUE"""),"")</f>
        <v/>
      </c>
    </row>
    <row r="375">
      <c r="A375" s="143">
        <f>IFERROR(__xludf.DUMMYFUNCTION("""COMPUTED_VALUE"""),42577.0)</f>
        <v>42577</v>
      </c>
      <c r="B375" s="140">
        <f>IFERROR(__xludf.DUMMYFUNCTION("""COMPUTED_VALUE"""),42318.0)</f>
        <v>42318</v>
      </c>
      <c r="C375" s="140" t="str">
        <f>IFERROR(__xludf.DUMMYFUNCTION("""COMPUTED_VALUE"""),"")</f>
        <v/>
      </c>
      <c r="D375" t="str">
        <f>IFERROR(__xludf.DUMMYFUNCTION("""COMPUTED_VALUE"""),"Miguel Hernandez")</f>
        <v>Miguel Hernandez</v>
      </c>
      <c r="E375" t="str">
        <f>IFERROR(__xludf.DUMMYFUNCTION("""COMPUTED_VALUE"""),"Course is Unpublished")</f>
        <v>Course is Unpublished</v>
      </c>
      <c r="F375" t="str">
        <f>IFERROR(__xludf.DUMMYFUNCTION("""COMPUTED_VALUE"""),"Marketing")</f>
        <v>Marketing</v>
      </c>
      <c r="G375" s="140">
        <f>IFERROR(__xludf.DUMMYFUNCTION("""COMPUTED_VALUE"""),43256.0)</f>
        <v>43256</v>
      </c>
      <c r="H375" s="140" t="str">
        <f>IFERROR(__xludf.DUMMYFUNCTION("""COMPUTED_VALUE"""),"")</f>
        <v/>
      </c>
    </row>
    <row r="376">
      <c r="A376" s="143">
        <f>IFERROR(__xludf.DUMMYFUNCTION("""COMPUTED_VALUE"""),42577.0)</f>
        <v>42577</v>
      </c>
      <c r="B376" s="140">
        <f>IFERROR(__xludf.DUMMYFUNCTION("""COMPUTED_VALUE"""),523870.0)</f>
        <v>523870</v>
      </c>
      <c r="C376" s="140" t="str">
        <f>IFERROR(__xludf.DUMMYFUNCTION("""COMPUTED_VALUE"""),"")</f>
        <v/>
      </c>
      <c r="D376" t="str">
        <f>IFERROR(__xludf.DUMMYFUNCTION("""COMPUTED_VALUE"""),"Eduonix Learning Solutions")</f>
        <v>Eduonix Learning Solutions</v>
      </c>
      <c r="E376" t="str">
        <f>IFERROR(__xludf.DUMMYFUNCTION("""COMPUTED_VALUE"""),"Below Quality Standards")</f>
        <v>Below Quality Standards</v>
      </c>
      <c r="F376" t="str">
        <f>IFERROR(__xludf.DUMMYFUNCTION("""COMPUTED_VALUE"""),"Mobile Development")</f>
        <v>Mobile Development</v>
      </c>
      <c r="G376" s="140">
        <f>IFERROR(__xludf.DUMMYFUNCTION("""COMPUTED_VALUE"""),442690.0)</f>
        <v>442690</v>
      </c>
      <c r="H376" s="140" t="str">
        <f>IFERROR(__xludf.DUMMYFUNCTION("""COMPUTED_VALUE"""),"")</f>
        <v/>
      </c>
    </row>
    <row r="377">
      <c r="A377" s="143">
        <f>IFERROR(__xludf.DUMMYFUNCTION("""COMPUTED_VALUE"""),42577.0)</f>
        <v>42577</v>
      </c>
      <c r="B377" s="140">
        <f>IFERROR(__xludf.DUMMYFUNCTION("""COMPUTED_VALUE"""),129532.0)</f>
        <v>129532</v>
      </c>
      <c r="C377" s="140" t="str">
        <f>IFERROR(__xludf.DUMMYFUNCTION("""COMPUTED_VALUE"""),"")</f>
        <v/>
      </c>
      <c r="D377" t="str">
        <f>IFERROR(__xludf.DUMMYFUNCTION("""COMPUTED_VALUE"""),"Train Simple")</f>
        <v>Train Simple</v>
      </c>
      <c r="E377" t="str">
        <f>IFERROR(__xludf.DUMMYFUNCTION("""COMPUTED_VALUE"""),"Below Quality Standards")</f>
        <v>Below Quality Standards</v>
      </c>
      <c r="F377" t="str">
        <f>IFERROR(__xludf.DUMMYFUNCTION("""COMPUTED_VALUE"""),"Design")</f>
        <v>Design</v>
      </c>
      <c r="G377" s="140">
        <f>IFERROR(__xludf.DUMMYFUNCTION("""COMPUTED_VALUE"""),448878.0)</f>
        <v>448878</v>
      </c>
      <c r="H377" s="140" t="str">
        <f>IFERROR(__xludf.DUMMYFUNCTION("""COMPUTED_VALUE"""),"")</f>
        <v/>
      </c>
    </row>
    <row r="378">
      <c r="A378" s="143">
        <f>IFERROR(__xludf.DUMMYFUNCTION("""COMPUTED_VALUE"""),42577.0)</f>
        <v>42577</v>
      </c>
      <c r="B378" s="140">
        <f>IFERROR(__xludf.DUMMYFUNCTION("""COMPUTED_VALUE"""),309676.0)</f>
        <v>309676</v>
      </c>
      <c r="C378" s="140" t="str">
        <f>IFERROR(__xludf.DUMMYFUNCTION("""COMPUTED_VALUE"""),"")</f>
        <v/>
      </c>
      <c r="D378" t="str">
        <f>IFERROR(__xludf.DUMMYFUNCTION("""COMPUTED_VALUE"""),"The Learning Monk")</f>
        <v>The Learning Monk</v>
      </c>
      <c r="E378" t="str">
        <f>IFERROR(__xludf.DUMMYFUNCTION("""COMPUTED_VALUE"""),"Course is Unpublished")</f>
        <v>Course is Unpublished</v>
      </c>
      <c r="F378" t="str">
        <f>IFERROR(__xludf.DUMMYFUNCTION("""COMPUTED_VALUE"""),"Soft Skills")</f>
        <v>Soft Skills</v>
      </c>
      <c r="G378" s="140">
        <f>IFERROR(__xludf.DUMMYFUNCTION("""COMPUTED_VALUE"""),477888.0)</f>
        <v>477888</v>
      </c>
      <c r="H378" s="140" t="str">
        <f>IFERROR(__xludf.DUMMYFUNCTION("""COMPUTED_VALUE"""),"")</f>
        <v/>
      </c>
    </row>
    <row r="379">
      <c r="A379" s="143">
        <f>IFERROR(__xludf.DUMMYFUNCTION("""COMPUTED_VALUE"""),42577.0)</f>
        <v>42577</v>
      </c>
      <c r="B379" s="140">
        <f>IFERROR(__xludf.DUMMYFUNCTION("""COMPUTED_VALUE"""),466736.0)</f>
        <v>466736</v>
      </c>
      <c r="C379" s="140" t="str">
        <f>IFERROR(__xludf.DUMMYFUNCTION("""COMPUTED_VALUE"""),"")</f>
        <v/>
      </c>
      <c r="D379" t="str">
        <f>IFERROR(__xludf.DUMMYFUNCTION("""COMPUTED_VALUE"""),"Gregory Caremans")</f>
        <v>Gregory Caremans</v>
      </c>
      <c r="E379" t="str">
        <f>IFERROR(__xludf.DUMMYFUNCTION("""COMPUTED_VALUE"""),"Below Quality Standards")</f>
        <v>Below Quality Standards</v>
      </c>
      <c r="F379" t="str">
        <f>IFERROR(__xludf.DUMMYFUNCTION("""COMPUTED_VALUE"""),"Health and Wellness")</f>
        <v>Health and Wellness</v>
      </c>
      <c r="G379" s="140">
        <f>IFERROR(__xludf.DUMMYFUNCTION("""COMPUTED_VALUE"""),484366.0)</f>
        <v>484366</v>
      </c>
      <c r="H379" s="140" t="str">
        <f>IFERROR(__xludf.DUMMYFUNCTION("""COMPUTED_VALUE"""),"")</f>
        <v/>
      </c>
    </row>
    <row r="380">
      <c r="A380" s="143">
        <f>IFERROR(__xludf.DUMMYFUNCTION("""COMPUTED_VALUE"""),42577.0)</f>
        <v>42577</v>
      </c>
      <c r="B380" s="140">
        <f>IFERROR(__xludf.DUMMYFUNCTION("""COMPUTED_VALUE"""),10693.0)</f>
        <v>10693</v>
      </c>
      <c r="C380" s="140" t="str">
        <f>IFERROR(__xludf.DUMMYFUNCTION("""COMPUTED_VALUE"""),"")</f>
        <v/>
      </c>
      <c r="D380" t="str">
        <f>IFERROR(__xludf.DUMMYFUNCTION("""COMPUTED_VALUE"""),"Train Simple")</f>
        <v>Train Simple</v>
      </c>
      <c r="E380" t="str">
        <f>IFERROR(__xludf.DUMMYFUNCTION("""COMPUTED_VALUE"""),"Course is Unpublished")</f>
        <v>Course is Unpublished</v>
      </c>
      <c r="F380" t="str">
        <f>IFERROR(__xludf.DUMMYFUNCTION("""COMPUTED_VALUE"""),"Design")</f>
        <v>Design</v>
      </c>
      <c r="G380" s="140">
        <f>IFERROR(__xludf.DUMMYFUNCTION("""COMPUTED_VALUE"""),502138.0)</f>
        <v>502138</v>
      </c>
      <c r="H380" s="140" t="str">
        <f>IFERROR(__xludf.DUMMYFUNCTION("""COMPUTED_VALUE"""),"")</f>
        <v/>
      </c>
    </row>
    <row r="381">
      <c r="A381" s="143">
        <f>IFERROR(__xludf.DUMMYFUNCTION("""COMPUTED_VALUE"""),42577.0)</f>
        <v>42577</v>
      </c>
      <c r="B381" s="140">
        <f>IFERROR(__xludf.DUMMYFUNCTION("""COMPUTED_VALUE"""),47963.0)</f>
        <v>47963</v>
      </c>
      <c r="C381" s="140" t="str">
        <f>IFERROR(__xludf.DUMMYFUNCTION("""COMPUTED_VALUE"""),"")</f>
        <v/>
      </c>
      <c r="D381" t="str">
        <f>IFERROR(__xludf.DUMMYFUNCTION("""COMPUTED_VALUE"""),"Justin Mitchel")</f>
        <v>Justin Mitchel</v>
      </c>
      <c r="E381" t="str">
        <f>IFERROR(__xludf.DUMMYFUNCTION("""COMPUTED_VALUE"""),"Below Quality Standards")</f>
        <v>Below Quality Standards</v>
      </c>
      <c r="F381" t="str">
        <f>IFERROR(__xludf.DUMMYFUNCTION("""COMPUTED_VALUE"""),"Back-End Programming")</f>
        <v>Back-End Programming</v>
      </c>
      <c r="G381" s="140">
        <f>IFERROR(__xludf.DUMMYFUNCTION("""COMPUTED_VALUE"""),505208.0)</f>
        <v>505208</v>
      </c>
      <c r="H381" s="140" t="str">
        <f>IFERROR(__xludf.DUMMYFUNCTION("""COMPUTED_VALUE"""),"")</f>
        <v/>
      </c>
      <c r="I381" s="142" t="str">
        <f>IFERROR(__xludf.DUMMYFUNCTION("""COMPUTED_VALUE"""),"764164")</f>
        <v>764164</v>
      </c>
      <c r="J381" t="str">
        <f>IFERROR(__xludf.DUMMYFUNCTION("""COMPUTED_VALUE"""),"The Complete Web Developer Course 2.0")</f>
        <v>The Complete Web Developer Course 2.0</v>
      </c>
    </row>
    <row r="382">
      <c r="A382" s="143">
        <f>IFERROR(__xludf.DUMMYFUNCTION("""COMPUTED_VALUE"""),42577.0)</f>
        <v>42577</v>
      </c>
      <c r="B382" s="140">
        <f>IFERROR(__xludf.DUMMYFUNCTION("""COMPUTED_VALUE"""),23491.0)</f>
        <v>23491</v>
      </c>
      <c r="C382" s="140" t="str">
        <f>IFERROR(__xludf.DUMMYFUNCTION("""COMPUTED_VALUE"""),"")</f>
        <v/>
      </c>
      <c r="D382" t="str">
        <f>IFERROR(__xludf.DUMMYFUNCTION("""COMPUTED_VALUE"""),"Paul Krause")</f>
        <v>Paul Krause</v>
      </c>
      <c r="E382" t="str">
        <f>IFERROR(__xludf.DUMMYFUNCTION("""COMPUTED_VALUE"""),"Course is Unpublished")</f>
        <v>Course is Unpublished</v>
      </c>
      <c r="F382" t="str">
        <f>IFERROR(__xludf.DUMMYFUNCTION("""COMPUTED_VALUE"""),"Front-End Programming")</f>
        <v>Front-End Programming</v>
      </c>
      <c r="G382" s="140">
        <f>IFERROR(__xludf.DUMMYFUNCTION("""COMPUTED_VALUE"""),505208.0)</f>
        <v>505208</v>
      </c>
      <c r="H382" s="140" t="str">
        <f>IFERROR(__xludf.DUMMYFUNCTION("""COMPUTED_VALUE"""),"")</f>
        <v/>
      </c>
      <c r="I382" s="142" t="str">
        <f>IFERROR(__xludf.DUMMYFUNCTION("""COMPUTED_VALUE"""),"80940")</f>
        <v>80940</v>
      </c>
      <c r="J382" t="str">
        <f>IFERROR(__xludf.DUMMYFUNCTION("""COMPUTED_VALUE"""),"Build Websites from Scratch with HTML &amp; CSS")</f>
        <v>Build Websites from Scratch with HTML &amp; CSS</v>
      </c>
    </row>
    <row r="383">
      <c r="A383" s="143">
        <f>IFERROR(__xludf.DUMMYFUNCTION("""COMPUTED_VALUE"""),42577.0)</f>
        <v>42577</v>
      </c>
      <c r="B383" s="140">
        <f>IFERROR(__xludf.DUMMYFUNCTION("""COMPUTED_VALUE"""),33867.0)</f>
        <v>33867</v>
      </c>
      <c r="C383" s="140" t="str">
        <f>IFERROR(__xludf.DUMMYFUNCTION("""COMPUTED_VALUE"""),"")</f>
        <v/>
      </c>
      <c r="D383" t="str">
        <f>IFERROR(__xludf.DUMMYFUNCTION("""COMPUTED_VALUE"""),"Train Simple")</f>
        <v>Train Simple</v>
      </c>
      <c r="E383" t="str">
        <f>IFERROR(__xludf.DUMMYFUNCTION("""COMPUTED_VALUE"""),"Course is Unpublished")</f>
        <v>Course is Unpublished</v>
      </c>
      <c r="F383" t="str">
        <f>IFERROR(__xludf.DUMMYFUNCTION("""COMPUTED_VALUE"""),"Front-End Programming")</f>
        <v>Front-End Programming</v>
      </c>
      <c r="G383" s="140">
        <f>IFERROR(__xludf.DUMMYFUNCTION("""COMPUTED_VALUE"""),505208.0)</f>
        <v>505208</v>
      </c>
      <c r="H383" s="140" t="str">
        <f>IFERROR(__xludf.DUMMYFUNCTION("""COMPUTED_VALUE"""),"")</f>
        <v/>
      </c>
    </row>
    <row r="384">
      <c r="A384" s="143">
        <f>IFERROR(__xludf.DUMMYFUNCTION("""COMPUTED_VALUE"""),42577.0)</f>
        <v>42577</v>
      </c>
      <c r="B384" s="140">
        <f>IFERROR(__xludf.DUMMYFUNCTION("""COMPUTED_VALUE"""),125432.0)</f>
        <v>125432</v>
      </c>
      <c r="C384" s="140" t="str">
        <f>IFERROR(__xludf.DUMMYFUNCTION("""COMPUTED_VALUE"""),"")</f>
        <v/>
      </c>
      <c r="D384" t="str">
        <f>IFERROR(__xludf.DUMMYFUNCTION("""COMPUTED_VALUE"""),"Tom Owsiak")</f>
        <v>Tom Owsiak</v>
      </c>
      <c r="E384" t="str">
        <f>IFERROR(__xludf.DUMMYFUNCTION("""COMPUTED_VALUE"""),"Course is Unpublished")</f>
        <v>Course is Unpublished</v>
      </c>
      <c r="F384" t="str">
        <f>IFERROR(__xludf.DUMMYFUNCTION("""COMPUTED_VALUE"""),"Front-End Programming")</f>
        <v>Front-End Programming</v>
      </c>
      <c r="G384" s="140">
        <f>IFERROR(__xludf.DUMMYFUNCTION("""COMPUTED_VALUE"""),505208.0)</f>
        <v>505208</v>
      </c>
      <c r="H384" s="140" t="str">
        <f>IFERROR(__xludf.DUMMYFUNCTION("""COMPUTED_VALUE"""),"")</f>
        <v/>
      </c>
    </row>
    <row r="385">
      <c r="A385" s="143">
        <f>IFERROR(__xludf.DUMMYFUNCTION("""COMPUTED_VALUE"""),42577.0)</f>
        <v>42577</v>
      </c>
      <c r="B385" s="140">
        <f>IFERROR(__xludf.DUMMYFUNCTION("""COMPUTED_VALUE"""),699618.0)</f>
        <v>699618</v>
      </c>
      <c r="C385" s="140" t="str">
        <f>IFERROR(__xludf.DUMMYFUNCTION("""COMPUTED_VALUE"""),"")</f>
        <v/>
      </c>
      <c r="D385" t="str">
        <f>IFERROR(__xludf.DUMMYFUNCTION("""COMPUTED_VALUE"""),"Microsoft Certified Trainer Mohammed Manzoor Ahmed")</f>
        <v>Microsoft Certified Trainer Mohammed Manzoor Ahmed</v>
      </c>
      <c r="E385" t="str">
        <f>IFERROR(__xludf.DUMMYFUNCTION("""COMPUTED_VALUE"""),"Below Quality Standards")</f>
        <v>Below Quality Standards</v>
      </c>
      <c r="F385" t="str">
        <f>IFERROR(__xludf.DUMMYFUNCTION("""COMPUTED_VALUE"""),"Front-End Programming")</f>
        <v>Front-End Programming</v>
      </c>
      <c r="G385" s="140">
        <f>IFERROR(__xludf.DUMMYFUNCTION("""COMPUTED_VALUE"""),505208.0)</f>
        <v>505208</v>
      </c>
      <c r="H385" s="140" t="str">
        <f>IFERROR(__xludf.DUMMYFUNCTION("""COMPUTED_VALUE"""),"")</f>
        <v/>
      </c>
      <c r="I385" s="142" t="str">
        <f>IFERROR(__xludf.DUMMYFUNCTION("""COMPUTED_VALUE"""),"80940")</f>
        <v>80940</v>
      </c>
      <c r="J385" t="str">
        <f>IFERROR(__xludf.DUMMYFUNCTION("""COMPUTED_VALUE"""),"Build Websites from Scratch with HTML &amp; CSS")</f>
        <v>Build Websites from Scratch with HTML &amp; CSS</v>
      </c>
    </row>
    <row r="386">
      <c r="A386" s="143">
        <f>IFERROR(__xludf.DUMMYFUNCTION("""COMPUTED_VALUE"""),42577.0)</f>
        <v>42577</v>
      </c>
      <c r="B386" s="140">
        <f>IFERROR(__xludf.DUMMYFUNCTION("""COMPUTED_VALUE"""),104974.0)</f>
        <v>104974</v>
      </c>
      <c r="C386" s="140" t="str">
        <f>IFERROR(__xludf.DUMMYFUNCTION("""COMPUTED_VALUE"""),"")</f>
        <v/>
      </c>
      <c r="D386" t="str">
        <f>IFERROR(__xludf.DUMMYFUNCTION("""COMPUTED_VALUE"""),"IT Intelligence Group for SAP")</f>
        <v>IT Intelligence Group for SAP</v>
      </c>
      <c r="E386" t="str">
        <f>IFERROR(__xludf.DUMMYFUNCTION("""COMPUTED_VALUE"""),"Course is Unpublished")</f>
        <v>Course is Unpublished</v>
      </c>
      <c r="F386" t="str">
        <f>IFERROR(__xludf.DUMMYFUNCTION("""COMPUTED_VALUE"""),"Software and Systems")</f>
        <v>Software and Systems</v>
      </c>
      <c r="G386" s="140">
        <f>IFERROR(__xludf.DUMMYFUNCTION("""COMPUTED_VALUE"""),866196.0)</f>
        <v>866196</v>
      </c>
      <c r="H386" s="140" t="str">
        <f>IFERROR(__xludf.DUMMYFUNCTION("""COMPUTED_VALUE"""),"")</f>
        <v/>
      </c>
    </row>
    <row r="387">
      <c r="A387" s="143">
        <f>IFERROR(__xludf.DUMMYFUNCTION("""COMPUTED_VALUE"""),42577.0)</f>
        <v>42577</v>
      </c>
      <c r="B387" s="140">
        <f>IFERROR(__xludf.DUMMYFUNCTION("""COMPUTED_VALUE"""),134144.0)</f>
        <v>134144</v>
      </c>
      <c r="C387" s="140" t="str">
        <f>IFERROR(__xludf.DUMMYFUNCTION("""COMPUTED_VALUE"""),"")</f>
        <v/>
      </c>
      <c r="D387" t="str">
        <f>IFERROR(__xludf.DUMMYFUNCTION("""COMPUTED_VALUE"""),"Alex Yang")</f>
        <v>Alex Yang</v>
      </c>
      <c r="E387" t="str">
        <f>IFERROR(__xludf.DUMMYFUNCTION("""COMPUTED_VALUE"""),"Below Quality Standards")</f>
        <v>Below Quality Standards</v>
      </c>
      <c r="F387" t="str">
        <f>IFERROR(__xludf.DUMMYFUNCTION("""COMPUTED_VALUE"""),"Back-End Programming")</f>
        <v>Back-End Programming</v>
      </c>
      <c r="G387" s="140">
        <f>IFERROR(__xludf.DUMMYFUNCTION("""COMPUTED_VALUE"""),519442.0)</f>
        <v>519442</v>
      </c>
      <c r="H387" s="140" t="str">
        <f>IFERROR(__xludf.DUMMYFUNCTION("""COMPUTED_VALUE"""),"")</f>
        <v/>
      </c>
    </row>
    <row r="388">
      <c r="A388" s="143">
        <f>IFERROR(__xludf.DUMMYFUNCTION("""COMPUTED_VALUE"""),42577.0)</f>
        <v>42577</v>
      </c>
      <c r="B388" s="140">
        <f>IFERROR(__xludf.DUMMYFUNCTION("""COMPUTED_VALUE"""),721888.0)</f>
        <v>721888</v>
      </c>
      <c r="C388" s="140" t="str">
        <f>IFERROR(__xludf.DUMMYFUNCTION("""COMPUTED_VALUE"""),"")</f>
        <v/>
      </c>
      <c r="D388" t="str">
        <f>IFERROR(__xludf.DUMMYFUNCTION("""COMPUTED_VALUE"""),"Phillip Burton")</f>
        <v>Phillip Burton</v>
      </c>
      <c r="E388" t="str">
        <f>IFERROR(__xludf.DUMMYFUNCTION("""COMPUTED_VALUE"""),"Below Quality Standards")</f>
        <v>Below Quality Standards</v>
      </c>
      <c r="F388" t="str">
        <f>IFERROR(__xludf.DUMMYFUNCTION("""COMPUTED_VALUE"""),"Data Science")</f>
        <v>Data Science</v>
      </c>
      <c r="G388" s="140">
        <f>IFERROR(__xludf.DUMMYFUNCTION("""COMPUTED_VALUE"""),937678.0)</f>
        <v>937678</v>
      </c>
      <c r="H388" s="140" t="str">
        <f>IFERROR(__xludf.DUMMYFUNCTION("""COMPUTED_VALUE"""),"")</f>
        <v/>
      </c>
      <c r="I388" s="142" t="str">
        <f>IFERROR(__xludf.DUMMYFUNCTION("""COMPUTED_VALUE"""),"946194")</f>
        <v>946194</v>
      </c>
      <c r="J388" s="145" t="str">
        <f>IFERROR(__xludf.DUMMYFUNCTION("""COMPUTED_VALUE"""),"Tableau 10 Advanced Training: Master Tableau in Data Science")</f>
        <v>Tableau 10 Advanced Training: Master Tableau in Data Science</v>
      </c>
    </row>
    <row r="389">
      <c r="A389" s="143">
        <f>IFERROR(__xludf.DUMMYFUNCTION("""COMPUTED_VALUE"""),42577.0)</f>
        <v>42577</v>
      </c>
      <c r="B389" s="140">
        <f>IFERROR(__xludf.DUMMYFUNCTION("""COMPUTED_VALUE"""),237308.0)</f>
        <v>237308</v>
      </c>
      <c r="C389" s="140" t="str">
        <f>IFERROR(__xludf.DUMMYFUNCTION("""COMPUTED_VALUE"""),"")</f>
        <v/>
      </c>
      <c r="D389" t="str">
        <f>IFERROR(__xludf.DUMMYFUNCTION("""COMPUTED_VALUE"""),"Simon Sez IT")</f>
        <v>Simon Sez IT</v>
      </c>
      <c r="E389" t="str">
        <f>IFERROR(__xludf.DUMMYFUNCTION("""COMPUTED_VALUE"""),"Below Quality Standards")</f>
        <v>Below Quality Standards</v>
      </c>
      <c r="F389" t="str">
        <f>IFERROR(__xludf.DUMMYFUNCTION("""COMPUTED_VALUE"""),"Back-End Programming")</f>
        <v>Back-End Programming</v>
      </c>
      <c r="G389" s="140">
        <f>IFERROR(__xludf.DUMMYFUNCTION("""COMPUTED_VALUE"""),533682.0)</f>
        <v>533682</v>
      </c>
      <c r="H389" s="140" t="str">
        <f>IFERROR(__xludf.DUMMYFUNCTION("""COMPUTED_VALUE"""),"")</f>
        <v/>
      </c>
      <c r="I389" s="142" t="str">
        <f>IFERROR(__xludf.DUMMYFUNCTION("""COMPUTED_VALUE"""),"24823")</f>
        <v>24823</v>
      </c>
      <c r="J389" t="str">
        <f>IFERROR(__xludf.DUMMYFUNCTION("""COMPUTED_VALUE"""),"Java Tutorial for Complete Beginners")</f>
        <v>Java Tutorial for Complete Beginners</v>
      </c>
    </row>
    <row r="390">
      <c r="A390" s="143">
        <f>IFERROR(__xludf.DUMMYFUNCTION("""COMPUTED_VALUE"""),42577.0)</f>
        <v>42577</v>
      </c>
      <c r="B390" s="140">
        <f>IFERROR(__xludf.DUMMYFUNCTION("""COMPUTED_VALUE"""),512546.0)</f>
        <v>512546</v>
      </c>
      <c r="C390" s="140" t="str">
        <f>IFERROR(__xludf.DUMMYFUNCTION("""COMPUTED_VALUE"""),"")</f>
        <v/>
      </c>
      <c r="D390" t="str">
        <f>IFERROR(__xludf.DUMMYFUNCTION("""COMPUTED_VALUE"""),"Eduonix Learning Solutions")</f>
        <v>Eduonix Learning Solutions</v>
      </c>
      <c r="E390" t="str">
        <f>IFERROR(__xludf.DUMMYFUNCTION("""COMPUTED_VALUE"""),"Below Quality Standards")</f>
        <v>Below Quality Standards</v>
      </c>
      <c r="F390" t="str">
        <f>IFERROR(__xludf.DUMMYFUNCTION("""COMPUTED_VALUE"""),"Back-End Programming")</f>
        <v>Back-End Programming</v>
      </c>
      <c r="G390" s="140">
        <f>IFERROR(__xludf.DUMMYFUNCTION("""COMPUTED_VALUE"""),533682.0)</f>
        <v>533682</v>
      </c>
      <c r="H390" s="140" t="str">
        <f>IFERROR(__xludf.DUMMYFUNCTION("""COMPUTED_VALUE"""),"")</f>
        <v/>
      </c>
    </row>
    <row r="391">
      <c r="A391" s="143">
        <f>IFERROR(__xludf.DUMMYFUNCTION("""COMPUTED_VALUE"""),42577.0)</f>
        <v>42577</v>
      </c>
      <c r="B391" s="140">
        <f>IFERROR(__xludf.DUMMYFUNCTION("""COMPUTED_VALUE"""),413250.0)</f>
        <v>413250</v>
      </c>
      <c r="C391" s="140" t="str">
        <f>IFERROR(__xludf.DUMMYFUNCTION("""COMPUTED_VALUE"""),"")</f>
        <v/>
      </c>
      <c r="D391" t="str">
        <f>IFERROR(__xludf.DUMMYFUNCTION("""COMPUTED_VALUE"""),"Compaq learning")</f>
        <v>Compaq learning</v>
      </c>
      <c r="E391" t="str">
        <f>IFERROR(__xludf.DUMMYFUNCTION("""COMPUTED_VALUE"""),"Below Quality Standards")</f>
        <v>Below Quality Standards</v>
      </c>
      <c r="F391" t="str">
        <f>IFERROR(__xludf.DUMMYFUNCTION("""COMPUTED_VALUE"""),"Data Science")</f>
        <v>Data Science</v>
      </c>
      <c r="G391" s="140">
        <f>IFERROR(__xludf.DUMMYFUNCTION("""COMPUTED_VALUE"""),540270.0)</f>
        <v>540270</v>
      </c>
      <c r="H391" s="140" t="str">
        <f>IFERROR(__xludf.DUMMYFUNCTION("""COMPUTED_VALUE"""),"")</f>
        <v/>
      </c>
    </row>
    <row r="392">
      <c r="A392" s="143">
        <f>IFERROR(__xludf.DUMMYFUNCTION("""COMPUTED_VALUE"""),42577.0)</f>
        <v>42577</v>
      </c>
      <c r="B392" s="140">
        <f>IFERROR(__xludf.DUMMYFUNCTION("""COMPUTED_VALUE"""),581034.0)</f>
        <v>581034</v>
      </c>
      <c r="C392" s="140" t="str">
        <f>IFERROR(__xludf.DUMMYFUNCTION("""COMPUTED_VALUE"""),"")</f>
        <v/>
      </c>
      <c r="D392" t="str">
        <f>IFERROR(__xludf.DUMMYFUNCTION("""COMPUTED_VALUE"""),"Eduonix Learning Solutions")</f>
        <v>Eduonix Learning Solutions</v>
      </c>
      <c r="E392" t="str">
        <f>IFERROR(__xludf.DUMMYFUNCTION("""COMPUTED_VALUE"""),"Below Quality Standards")</f>
        <v>Below Quality Standards</v>
      </c>
      <c r="F392" t="str">
        <f>IFERROR(__xludf.DUMMYFUNCTION("""COMPUTED_VALUE"""),"Data Science")</f>
        <v>Data Science</v>
      </c>
      <c r="G392" s="140">
        <f>IFERROR(__xludf.DUMMYFUNCTION("""COMPUTED_VALUE"""),540270.0)</f>
        <v>540270</v>
      </c>
      <c r="H392" s="140" t="str">
        <f>IFERROR(__xludf.DUMMYFUNCTION("""COMPUTED_VALUE"""),"")</f>
        <v/>
      </c>
    </row>
    <row r="393">
      <c r="A393" s="143">
        <f>IFERROR(__xludf.DUMMYFUNCTION("""COMPUTED_VALUE"""),42577.0)</f>
        <v>42577</v>
      </c>
      <c r="B393" s="140">
        <f>IFERROR(__xludf.DUMMYFUNCTION("""COMPUTED_VALUE"""),556434.0)</f>
        <v>556434</v>
      </c>
      <c r="C393" s="140" t="str">
        <f>IFERROR(__xludf.DUMMYFUNCTION("""COMPUTED_VALUE"""),"")</f>
        <v/>
      </c>
      <c r="D393" t="str">
        <f>IFERROR(__xludf.DUMMYFUNCTION("""COMPUTED_VALUE"""),"Bob Marx")</f>
        <v>Bob Marx</v>
      </c>
      <c r="E393" t="str">
        <f>IFERROR(__xludf.DUMMYFUNCTION("""COMPUTED_VALUE"""),"Below Quality Standards")</f>
        <v>Below Quality Standards</v>
      </c>
      <c r="F393" t="str">
        <f>IFERROR(__xludf.DUMMYFUNCTION("""COMPUTED_VALUE"""),"Sales")</f>
        <v>Sales</v>
      </c>
      <c r="G393" s="140">
        <f>IFERROR(__xludf.DUMMYFUNCTION("""COMPUTED_VALUE"""),545206.0)</f>
        <v>545206</v>
      </c>
      <c r="H393" s="140" t="str">
        <f>IFERROR(__xludf.DUMMYFUNCTION("""COMPUTED_VALUE"""),"")</f>
        <v/>
      </c>
    </row>
    <row r="394">
      <c r="A394" s="143">
        <f>IFERROR(__xludf.DUMMYFUNCTION("""COMPUTED_VALUE"""),42577.0)</f>
        <v>42577</v>
      </c>
      <c r="B394" s="140">
        <f>IFERROR(__xludf.DUMMYFUNCTION("""COMPUTED_VALUE"""),107342.0)</f>
        <v>107342</v>
      </c>
      <c r="C394" s="140" t="str">
        <f>IFERROR(__xludf.DUMMYFUNCTION("""COMPUTED_VALUE"""),"")</f>
        <v/>
      </c>
      <c r="D394" t="str">
        <f>IFERROR(__xludf.DUMMYFUNCTION("""COMPUTED_VALUE"""),"Simon Sez IT")</f>
        <v>Simon Sez IT</v>
      </c>
      <c r="E394" t="str">
        <f>IFERROR(__xludf.DUMMYFUNCTION("""COMPUTED_VALUE"""),"Below Quality Standards")</f>
        <v>Below Quality Standards</v>
      </c>
      <c r="F394" t="str">
        <f>IFERROR(__xludf.DUMMYFUNCTION("""COMPUTED_VALUE"""),"Office Productivity")</f>
        <v>Office Productivity</v>
      </c>
      <c r="G394" s="140">
        <f>IFERROR(__xludf.DUMMYFUNCTION("""COMPUTED_VALUE"""),565120.0)</f>
        <v>565120</v>
      </c>
      <c r="H394" s="140" t="str">
        <f>IFERROR(__xludf.DUMMYFUNCTION("""COMPUTED_VALUE"""),"")</f>
        <v/>
      </c>
    </row>
    <row r="395">
      <c r="A395" s="143">
        <f>IFERROR(__xludf.DUMMYFUNCTION("""COMPUTED_VALUE"""),42577.0)</f>
        <v>42577</v>
      </c>
      <c r="B395" s="140">
        <f>IFERROR(__xludf.DUMMYFUNCTION("""COMPUTED_VALUE"""),582648.0)</f>
        <v>582648</v>
      </c>
      <c r="C395" s="140" t="str">
        <f>IFERROR(__xludf.DUMMYFUNCTION("""COMPUTED_VALUE"""),"")</f>
        <v/>
      </c>
      <c r="D395" t="str">
        <f>IFERROR(__xludf.DUMMYFUNCTION("""COMPUTED_VALUE"""),"Learoy Tonight")</f>
        <v>Learoy Tonight</v>
      </c>
      <c r="E395" t="str">
        <f>IFERROR(__xludf.DUMMYFUNCTION("""COMPUTED_VALUE"""),"Below Quality Standards")</f>
        <v>Below Quality Standards</v>
      </c>
      <c r="F395" t="str">
        <f>IFERROR(__xludf.DUMMYFUNCTION("""COMPUTED_VALUE"""),"Management")</f>
        <v>Management</v>
      </c>
      <c r="G395" s="140">
        <f>IFERROR(__xludf.DUMMYFUNCTION("""COMPUTED_VALUE"""),579102.0)</f>
        <v>579102</v>
      </c>
      <c r="H395" s="140" t="str">
        <f>IFERROR(__xludf.DUMMYFUNCTION("""COMPUTED_VALUE"""),"")</f>
        <v/>
      </c>
    </row>
    <row r="396">
      <c r="A396" s="143">
        <f>IFERROR(__xludf.DUMMYFUNCTION("""COMPUTED_VALUE"""),42577.0)</f>
        <v>42577</v>
      </c>
      <c r="B396" s="140">
        <f>IFERROR(__xludf.DUMMYFUNCTION("""COMPUTED_VALUE"""),468866.0)</f>
        <v>468866</v>
      </c>
      <c r="C396" s="140" t="str">
        <f>IFERROR(__xludf.DUMMYFUNCTION("""COMPUTED_VALUE"""),"")</f>
        <v/>
      </c>
      <c r="D396" t="str">
        <f>IFERROR(__xludf.DUMMYFUNCTION("""COMPUTED_VALUE"""),"The Learning Monk")</f>
        <v>The Learning Monk</v>
      </c>
      <c r="E396" t="str">
        <f>IFERROR(__xludf.DUMMYFUNCTION("""COMPUTED_VALUE"""),"Course is Unpublished")</f>
        <v>Course is Unpublished</v>
      </c>
      <c r="F396" t="str">
        <f>IFERROR(__xludf.DUMMYFUNCTION("""COMPUTED_VALUE"""),"Soft Skills")</f>
        <v>Soft Skills</v>
      </c>
      <c r="G396" s="140">
        <f>IFERROR(__xludf.DUMMYFUNCTION("""COMPUTED_VALUE"""),580110.0)</f>
        <v>580110</v>
      </c>
      <c r="H396" s="140" t="str">
        <f>IFERROR(__xludf.DUMMYFUNCTION("""COMPUTED_VALUE"""),"")</f>
        <v/>
      </c>
      <c r="I396" s="142" t="str">
        <f>IFERROR(__xludf.DUMMYFUNCTION("""COMPUTED_VALUE"""),"373312")</f>
        <v>373312</v>
      </c>
      <c r="J396" t="str">
        <f>IFERROR(__xludf.DUMMYFUNCTION("""COMPUTED_VALUE"""),"21 Day Crash Course in Emotional Intelligence")</f>
        <v>21 Day Crash Course in Emotional Intelligence</v>
      </c>
    </row>
    <row r="397">
      <c r="A397" s="143">
        <f>IFERROR(__xludf.DUMMYFUNCTION("""COMPUTED_VALUE"""),42577.0)</f>
        <v>42577</v>
      </c>
      <c r="B397" s="140">
        <f>IFERROR(__xludf.DUMMYFUNCTION("""COMPUTED_VALUE"""),531954.0)</f>
        <v>531954</v>
      </c>
      <c r="C397" s="140" t="str">
        <f>IFERROR(__xludf.DUMMYFUNCTION("""COMPUTED_VALUE"""),"")</f>
        <v/>
      </c>
      <c r="D397" t="str">
        <f>IFERROR(__xludf.DUMMYFUNCTION("""COMPUTED_VALUE"""),"Eduonix Learning Solutions")</f>
        <v>Eduonix Learning Solutions</v>
      </c>
      <c r="E397" t="str">
        <f>IFERROR(__xludf.DUMMYFUNCTION("""COMPUTED_VALUE"""),"Below Quality Standards")</f>
        <v>Below Quality Standards</v>
      </c>
      <c r="F397" t="str">
        <f>IFERROR(__xludf.DUMMYFUNCTION("""COMPUTED_VALUE"""),"Front-End Programming")</f>
        <v>Front-End Programming</v>
      </c>
      <c r="G397" s="140">
        <f>IFERROR(__xludf.DUMMYFUNCTION("""COMPUTED_VALUE"""),585496.0)</f>
        <v>585496</v>
      </c>
      <c r="H397" s="140" t="str">
        <f>IFERROR(__xludf.DUMMYFUNCTION("""COMPUTED_VALUE"""),"")</f>
        <v/>
      </c>
    </row>
    <row r="398">
      <c r="A398" s="143">
        <f>IFERROR(__xludf.DUMMYFUNCTION("""COMPUTED_VALUE"""),42577.0)</f>
        <v>42577</v>
      </c>
      <c r="B398" s="140">
        <f>IFERROR(__xludf.DUMMYFUNCTION("""COMPUTED_VALUE"""),384834.0)</f>
        <v>384834</v>
      </c>
      <c r="C398" s="140" t="str">
        <f>IFERROR(__xludf.DUMMYFUNCTION("""COMPUTED_VALUE"""),"")</f>
        <v/>
      </c>
      <c r="D398" t="str">
        <f>IFERROR(__xludf.DUMMYFUNCTION("""COMPUTED_VALUE"""),"The Learning Monk")</f>
        <v>The Learning Monk</v>
      </c>
      <c r="E398" t="str">
        <f>IFERROR(__xludf.DUMMYFUNCTION("""COMPUTED_VALUE"""),"Course is Unpublished")</f>
        <v>Course is Unpublished</v>
      </c>
      <c r="F398" t="str">
        <f>IFERROR(__xludf.DUMMYFUNCTION("""COMPUTED_VALUE"""),"Soft Skills")</f>
        <v>Soft Skills</v>
      </c>
      <c r="G398" s="140">
        <f>IFERROR(__xludf.DUMMYFUNCTION("""COMPUTED_VALUE"""),591930.0)</f>
        <v>591930</v>
      </c>
      <c r="H398" s="140" t="str">
        <f>IFERROR(__xludf.DUMMYFUNCTION("""COMPUTED_VALUE"""),"")</f>
        <v/>
      </c>
    </row>
    <row r="399">
      <c r="A399" s="143">
        <f>IFERROR(__xludf.DUMMYFUNCTION("""COMPUTED_VALUE"""),42577.0)</f>
        <v>42577</v>
      </c>
      <c r="B399" s="140">
        <f>IFERROR(__xludf.DUMMYFUNCTION("""COMPUTED_VALUE"""),187502.0)</f>
        <v>187502</v>
      </c>
      <c r="C399" s="140" t="str">
        <f>IFERROR(__xludf.DUMMYFUNCTION("""COMPUTED_VALUE"""),"")</f>
        <v/>
      </c>
      <c r="D399" t="str">
        <f>IFERROR(__xludf.DUMMYFUNCTION("""COMPUTED_VALUE"""),"Linux Academy")</f>
        <v>Linux Academy</v>
      </c>
      <c r="E399" t="str">
        <f>IFERROR(__xludf.DUMMYFUNCTION("""COMPUTED_VALUE"""),"Course is Unpublished")</f>
        <v>Course is Unpublished</v>
      </c>
      <c r="F399" t="str">
        <f>IFERROR(__xludf.DUMMYFUNCTION("""COMPUTED_VALUE"""),"Software and Systems")</f>
        <v>Software and Systems</v>
      </c>
      <c r="G399" s="140">
        <f>IFERROR(__xludf.DUMMYFUNCTION("""COMPUTED_VALUE"""),675244.0)</f>
        <v>675244</v>
      </c>
      <c r="H399" s="140" t="str">
        <f>IFERROR(__xludf.DUMMYFUNCTION("""COMPUTED_VALUE"""),"")</f>
        <v/>
      </c>
    </row>
    <row r="400">
      <c r="A400" s="143">
        <f>IFERROR(__xludf.DUMMYFUNCTION("""COMPUTED_VALUE"""),42577.0)</f>
        <v>42577</v>
      </c>
      <c r="B400" s="140">
        <f>IFERROR(__xludf.DUMMYFUNCTION("""COMPUTED_VALUE"""),718260.0)</f>
        <v>718260</v>
      </c>
      <c r="C400" s="140" t="str">
        <f>IFERROR(__xludf.DUMMYFUNCTION("""COMPUTED_VALUE"""),"")</f>
        <v/>
      </c>
      <c r="D400" t="str">
        <f>IFERROR(__xludf.DUMMYFUNCTION("""COMPUTED_VALUE"""),"Jacqueline Seidel")</f>
        <v>Jacqueline Seidel</v>
      </c>
      <c r="E400" t="str">
        <f>IFERROR(__xludf.DUMMYFUNCTION("""COMPUTED_VALUE"""),"Course is Private")</f>
        <v>Course is Private</v>
      </c>
      <c r="F400" t="str">
        <f>IFERROR(__xludf.DUMMYFUNCTION("""COMPUTED_VALUE"""),"Soft Skills")</f>
        <v>Soft Skills</v>
      </c>
      <c r="G400" s="140">
        <f>IFERROR(__xludf.DUMMYFUNCTION("""COMPUTED_VALUE"""),612914.0)</f>
        <v>612914</v>
      </c>
      <c r="H400" s="140" t="str">
        <f>IFERROR(__xludf.DUMMYFUNCTION("""COMPUTED_VALUE"""),"")</f>
        <v/>
      </c>
    </row>
    <row r="401">
      <c r="A401" s="143">
        <f>IFERROR(__xludf.DUMMYFUNCTION("""COMPUTED_VALUE"""),42577.0)</f>
        <v>42577</v>
      </c>
      <c r="B401" s="140">
        <f>IFERROR(__xludf.DUMMYFUNCTION("""COMPUTED_VALUE"""),475806.0)</f>
        <v>475806</v>
      </c>
      <c r="C401" s="140" t="str">
        <f>IFERROR(__xludf.DUMMYFUNCTION("""COMPUTED_VALUE"""),"")</f>
        <v/>
      </c>
      <c r="D401" t="str">
        <f>IFERROR(__xludf.DUMMYFUNCTION("""COMPUTED_VALUE"""),"Eduonix Learning Solutions")</f>
        <v>Eduonix Learning Solutions</v>
      </c>
      <c r="E401" t="str">
        <f>IFERROR(__xludf.DUMMYFUNCTION("""COMPUTED_VALUE"""),"Below Quality Standards")</f>
        <v>Below Quality Standards</v>
      </c>
      <c r="F401" t="str">
        <f>IFERROR(__xludf.DUMMYFUNCTION("""COMPUTED_VALUE"""),"Data Science")</f>
        <v>Data Science</v>
      </c>
      <c r="G401" s="140">
        <f>IFERROR(__xludf.DUMMYFUNCTION("""COMPUTED_VALUE"""),622414.0)</f>
        <v>622414</v>
      </c>
      <c r="H401" s="140" t="str">
        <f>IFERROR(__xludf.DUMMYFUNCTION("""COMPUTED_VALUE"""),"")</f>
        <v/>
      </c>
      <c r="I401" s="142" t="str">
        <f>IFERROR(__xludf.DUMMYFUNCTION("""COMPUTED_VALUE"""),"831458")</f>
        <v>831458</v>
      </c>
      <c r="J401" t="str">
        <f>IFERROR(__xludf.DUMMYFUNCTION("""COMPUTED_VALUE"""),"Taming Big Data with Spark Streaming and Scala - Hands On!")</f>
        <v>Taming Big Data with Spark Streaming and Scala - Hands On!</v>
      </c>
    </row>
    <row r="402">
      <c r="A402" s="143">
        <f>IFERROR(__xludf.DUMMYFUNCTION("""COMPUTED_VALUE"""),42577.0)</f>
        <v>42577</v>
      </c>
      <c r="B402" s="140">
        <f>IFERROR(__xludf.DUMMYFUNCTION("""COMPUTED_VALUE"""),407138.0)</f>
        <v>407138</v>
      </c>
      <c r="C402" s="140" t="str">
        <f>IFERROR(__xludf.DUMMYFUNCTION("""COMPUTED_VALUE"""),"")</f>
        <v/>
      </c>
      <c r="D402" t="str">
        <f>IFERROR(__xludf.DUMMYFUNCTION("""COMPUTED_VALUE"""),"Frontend Masters")</f>
        <v>Frontend Masters</v>
      </c>
      <c r="E402" t="str">
        <f>IFERROR(__xludf.DUMMYFUNCTION("""COMPUTED_VALUE"""),"Course is Unpublished")</f>
        <v>Course is Unpublished</v>
      </c>
      <c r="F402" t="str">
        <f>IFERROR(__xludf.DUMMYFUNCTION("""COMPUTED_VALUE"""),"Front-End Programming")</f>
        <v>Front-End Programming</v>
      </c>
      <c r="G402" s="140">
        <f>IFERROR(__xludf.DUMMYFUNCTION("""COMPUTED_VALUE"""),642528.0)</f>
        <v>642528</v>
      </c>
      <c r="H402" s="140" t="str">
        <f>IFERROR(__xludf.DUMMYFUNCTION("""COMPUTED_VALUE"""),"")</f>
        <v/>
      </c>
    </row>
    <row r="403">
      <c r="A403" s="143">
        <f>IFERROR(__xludf.DUMMYFUNCTION("""COMPUTED_VALUE"""),42577.0)</f>
        <v>42577</v>
      </c>
      <c r="B403" s="140">
        <f>IFERROR(__xludf.DUMMYFUNCTION("""COMPUTED_VALUE"""),450630.0)</f>
        <v>450630</v>
      </c>
      <c r="C403" s="140" t="str">
        <f>IFERROR(__xludf.DUMMYFUNCTION("""COMPUTED_VALUE"""),"")</f>
        <v/>
      </c>
      <c r="D403" t="str">
        <f>IFERROR(__xludf.DUMMYFUNCTION("""COMPUTED_VALUE"""),"Frontend Masters")</f>
        <v>Frontend Masters</v>
      </c>
      <c r="E403" t="str">
        <f>IFERROR(__xludf.DUMMYFUNCTION("""COMPUTED_VALUE"""),"Course is Unpublished")</f>
        <v>Course is Unpublished</v>
      </c>
      <c r="F403" t="str">
        <f>IFERROR(__xludf.DUMMYFUNCTION("""COMPUTED_VALUE"""),"Front-End Programming")</f>
        <v>Front-End Programming</v>
      </c>
      <c r="G403" s="140">
        <f>IFERROR(__xludf.DUMMYFUNCTION("""COMPUTED_VALUE"""),642528.0)</f>
        <v>642528</v>
      </c>
      <c r="H403" s="140" t="str">
        <f>IFERROR(__xludf.DUMMYFUNCTION("""COMPUTED_VALUE"""),"")</f>
        <v/>
      </c>
    </row>
    <row r="404">
      <c r="A404" s="143">
        <f>IFERROR(__xludf.DUMMYFUNCTION("""COMPUTED_VALUE"""),42577.0)</f>
        <v>42577</v>
      </c>
      <c r="B404" s="140">
        <f>IFERROR(__xludf.DUMMYFUNCTION("""COMPUTED_VALUE"""),523610.0)</f>
        <v>523610</v>
      </c>
      <c r="C404" s="140" t="str">
        <f>IFERROR(__xludf.DUMMYFUNCTION("""COMPUTED_VALUE"""),"")</f>
        <v/>
      </c>
      <c r="D404" t="str">
        <f>IFERROR(__xludf.DUMMYFUNCTION("""COMPUTED_VALUE"""),"LearnSmart LLC")</f>
        <v>LearnSmart LLC</v>
      </c>
      <c r="E404" t="str">
        <f>IFERROR(__xludf.DUMMYFUNCTION("""COMPUTED_VALUE"""),"Below Quality Standards")</f>
        <v>Below Quality Standards</v>
      </c>
      <c r="F404" t="str">
        <f>IFERROR(__xludf.DUMMYFUNCTION("""COMPUTED_VALUE"""),"Software and Systems")</f>
        <v>Software and Systems</v>
      </c>
      <c r="G404" s="140">
        <f>IFERROR(__xludf.DUMMYFUNCTION("""COMPUTED_VALUE"""),642612.0)</f>
        <v>642612</v>
      </c>
      <c r="H404" s="140" t="str">
        <f>IFERROR(__xludf.DUMMYFUNCTION("""COMPUTED_VALUE"""),"")</f>
        <v/>
      </c>
    </row>
    <row r="405">
      <c r="A405" s="143">
        <f>IFERROR(__xludf.DUMMYFUNCTION("""COMPUTED_VALUE"""),42577.0)</f>
        <v>42577</v>
      </c>
      <c r="B405" s="140">
        <f>IFERROR(__xludf.DUMMYFUNCTION("""COMPUTED_VALUE"""),276794.0)</f>
        <v>276794</v>
      </c>
      <c r="C405" s="140" t="str">
        <f>IFERROR(__xludf.DUMMYFUNCTION("""COMPUTED_VALUE"""),"")</f>
        <v/>
      </c>
      <c r="D405" t="str">
        <f>IFERROR(__xludf.DUMMYFUNCTION("""COMPUTED_VALUE"""),"The Learning Monk")</f>
        <v>The Learning Monk</v>
      </c>
      <c r="E405" t="str">
        <f>IFERROR(__xludf.DUMMYFUNCTION("""COMPUTED_VALUE"""),"Course is Unpublished")</f>
        <v>Course is Unpublished</v>
      </c>
      <c r="F405" t="str">
        <f>IFERROR(__xludf.DUMMYFUNCTION("""COMPUTED_VALUE"""),"Soft Skills")</f>
        <v>Soft Skills</v>
      </c>
      <c r="G405" s="140">
        <f>IFERROR(__xludf.DUMMYFUNCTION("""COMPUTED_VALUE"""),946654.0)</f>
        <v>946654</v>
      </c>
      <c r="H405" s="140" t="str">
        <f>IFERROR(__xludf.DUMMYFUNCTION("""COMPUTED_VALUE"""),"")</f>
        <v/>
      </c>
    </row>
    <row r="406">
      <c r="A406" s="143">
        <f>IFERROR(__xludf.DUMMYFUNCTION("""COMPUTED_VALUE"""),42577.0)</f>
        <v>42577</v>
      </c>
      <c r="B406" s="140">
        <f>IFERROR(__xludf.DUMMYFUNCTION("""COMPUTED_VALUE"""),544594.0)</f>
        <v>544594</v>
      </c>
      <c r="C406" s="140" t="str">
        <f>IFERROR(__xludf.DUMMYFUNCTION("""COMPUTED_VALUE"""),"")</f>
        <v/>
      </c>
      <c r="D406" t="str">
        <f>IFERROR(__xludf.DUMMYFUNCTION("""COMPUTED_VALUE"""),"Learoy Tonight")</f>
        <v>Learoy Tonight</v>
      </c>
      <c r="E406" t="str">
        <f>IFERROR(__xludf.DUMMYFUNCTION("""COMPUTED_VALUE"""),"Below Quality Standards")</f>
        <v>Below Quality Standards</v>
      </c>
      <c r="F406" t="str">
        <f>IFERROR(__xludf.DUMMYFUNCTION("""COMPUTED_VALUE"""),"Management")</f>
        <v>Management</v>
      </c>
      <c r="G406" s="140">
        <f>IFERROR(__xludf.DUMMYFUNCTION("""COMPUTED_VALUE"""),653310.0)</f>
        <v>653310</v>
      </c>
      <c r="H406" s="140" t="str">
        <f>IFERROR(__xludf.DUMMYFUNCTION("""COMPUTED_VALUE"""),"")</f>
        <v/>
      </c>
      <c r="I406" s="142" t="str">
        <f>IFERROR(__xludf.DUMMYFUNCTION("""COMPUTED_VALUE"""),"372624")</f>
        <v>372624</v>
      </c>
      <c r="J406" s="145" t="str">
        <f>IFERROR(__xludf.DUMMYFUNCTION("""COMPUTED_VALUE"""),"Managing Generational Conflict")</f>
        <v>Managing Generational Conflict</v>
      </c>
    </row>
    <row r="407">
      <c r="A407" s="143">
        <f>IFERROR(__xludf.DUMMYFUNCTION("""COMPUTED_VALUE"""),42577.0)</f>
        <v>42577</v>
      </c>
      <c r="B407" s="140">
        <f>IFERROR(__xludf.DUMMYFUNCTION("""COMPUTED_VALUE"""),646068.0)</f>
        <v>646068</v>
      </c>
      <c r="C407" s="140" t="str">
        <f>IFERROR(__xludf.DUMMYFUNCTION("""COMPUTED_VALUE"""),"")</f>
        <v/>
      </c>
      <c r="D407" t="str">
        <f>IFERROR(__xludf.DUMMYFUNCTION("""COMPUTED_VALUE"""),"Paul Ashun")</f>
        <v>Paul Ashun</v>
      </c>
      <c r="E407" t="str">
        <f>IFERROR(__xludf.DUMMYFUNCTION("""COMPUTED_VALUE"""),"Below Quality Standards")</f>
        <v>Below Quality Standards</v>
      </c>
      <c r="F407" t="str">
        <f>IFERROR(__xludf.DUMMYFUNCTION("""COMPUTED_VALUE"""),"Operations")</f>
        <v>Operations</v>
      </c>
      <c r="G407" s="140">
        <f>IFERROR(__xludf.DUMMYFUNCTION("""COMPUTED_VALUE"""),281672.0)</f>
        <v>281672</v>
      </c>
      <c r="H407" s="140" t="str">
        <f>IFERROR(__xludf.DUMMYFUNCTION("""COMPUTED_VALUE"""),"")</f>
        <v/>
      </c>
      <c r="I407" s="142" t="str">
        <f>IFERROR(__xludf.DUMMYFUNCTION("""COMPUTED_VALUE"""),"131816")</f>
        <v>131816</v>
      </c>
      <c r="J407" t="str">
        <f>IFERROR(__xludf.DUMMYFUNCTION("""COMPUTED_VALUE"""),"The Agile Samurai Bootcamp")</f>
        <v>The Agile Samurai Bootcamp</v>
      </c>
    </row>
    <row r="408">
      <c r="A408" s="143">
        <f>IFERROR(__xludf.DUMMYFUNCTION("""COMPUTED_VALUE"""),42577.0)</f>
        <v>42577</v>
      </c>
      <c r="B408" s="140">
        <f>IFERROR(__xludf.DUMMYFUNCTION("""COMPUTED_VALUE"""),491640.0)</f>
        <v>491640</v>
      </c>
      <c r="C408" s="140" t="str">
        <f>IFERROR(__xludf.DUMMYFUNCTION("""COMPUTED_VALUE"""),"")</f>
        <v/>
      </c>
      <c r="D408" t="str">
        <f>IFERROR(__xludf.DUMMYFUNCTION("""COMPUTED_VALUE"""),"R-Tutorials Training")</f>
        <v>R-Tutorials Training</v>
      </c>
      <c r="E408" t="str">
        <f>IFERROR(__xludf.DUMMYFUNCTION("""COMPUTED_VALUE"""),"Below Quality Standards")</f>
        <v>Below Quality Standards</v>
      </c>
      <c r="F408" t="str">
        <f>IFERROR(__xludf.DUMMYFUNCTION("""COMPUTED_VALUE"""),"Data Science")</f>
        <v>Data Science</v>
      </c>
      <c r="G408" s="140">
        <f>IFERROR(__xludf.DUMMYFUNCTION("""COMPUTED_VALUE"""),671576.0)</f>
        <v>671576</v>
      </c>
      <c r="H408" s="140" t="str">
        <f>IFERROR(__xludf.DUMMYFUNCTION("""COMPUTED_VALUE"""),"")</f>
        <v/>
      </c>
      <c r="I408" s="142" t="str">
        <f>IFERROR(__xludf.DUMMYFUNCTION("""COMPUTED_VALUE"""),"765242")</f>
        <v>765242</v>
      </c>
      <c r="J408" t="str">
        <f>IFERROR(__xludf.DUMMYFUNCTION("""COMPUTED_VALUE"""),"R Programming A-Z™: R For Data Science With Real Exercises!")</f>
        <v>R Programming A-Z™: R For Data Science With Real Exercises!</v>
      </c>
      <c r="K408" s="142" t="str">
        <f>IFERROR(__xludf.DUMMYFUNCTION("""COMPUTED_VALUE"""),"487490")</f>
        <v>487490</v>
      </c>
      <c r="L408" t="str">
        <f>IFERROR(__xludf.DUMMYFUNCTION("""COMPUTED_VALUE"""),"R, ggplot, and Simple Linear Regression")</f>
        <v>R, ggplot, and Simple Linear Regression</v>
      </c>
    </row>
    <row r="409">
      <c r="A409" s="143">
        <f>IFERROR(__xludf.DUMMYFUNCTION("""COMPUTED_VALUE"""),42577.0)</f>
        <v>42577</v>
      </c>
      <c r="B409" s="140">
        <f>IFERROR(__xludf.DUMMYFUNCTION("""COMPUTED_VALUE"""),559414.0)</f>
        <v>559414</v>
      </c>
      <c r="C409" s="140" t="str">
        <f>IFERROR(__xludf.DUMMYFUNCTION("""COMPUTED_VALUE"""),"")</f>
        <v/>
      </c>
      <c r="D409" t="str">
        <f>IFERROR(__xludf.DUMMYFUNCTION("""COMPUTED_VALUE"""),"Aaron Caines")</f>
        <v>Aaron Caines</v>
      </c>
      <c r="E409" t="str">
        <f>IFERROR(__xludf.DUMMYFUNCTION("""COMPUTED_VALUE"""),"Below Quality Standards")</f>
        <v>Below Quality Standards</v>
      </c>
      <c r="F409" t="str">
        <f>IFERROR(__xludf.DUMMYFUNCTION("""COMPUTED_VALUE"""),"Mobile Development")</f>
        <v>Mobile Development</v>
      </c>
      <c r="G409" s="140">
        <f>IFERROR(__xludf.DUMMYFUNCTION("""COMPUTED_VALUE"""),706020.0)</f>
        <v>706020</v>
      </c>
      <c r="H409" s="140" t="str">
        <f>IFERROR(__xludf.DUMMYFUNCTION("""COMPUTED_VALUE"""),"")</f>
        <v/>
      </c>
    </row>
    <row r="410">
      <c r="A410" s="143">
        <f>IFERROR(__xludf.DUMMYFUNCTION("""COMPUTED_VALUE"""),42577.0)</f>
        <v>42577</v>
      </c>
      <c r="B410" s="140">
        <f>IFERROR(__xludf.DUMMYFUNCTION("""COMPUTED_VALUE"""),414660.0)</f>
        <v>414660</v>
      </c>
      <c r="C410" s="140" t="str">
        <f>IFERROR(__xludf.DUMMYFUNCTION("""COMPUTED_VALUE"""),"")</f>
        <v/>
      </c>
      <c r="D410" t="str">
        <f>IFERROR(__xludf.DUMMYFUNCTION("""COMPUTED_VALUE"""),"Frontend Masters")</f>
        <v>Frontend Masters</v>
      </c>
      <c r="E410" t="str">
        <f>IFERROR(__xludf.DUMMYFUNCTION("""COMPUTED_VALUE"""),"Course is Unpublished")</f>
        <v>Course is Unpublished</v>
      </c>
      <c r="F410" t="str">
        <f>IFERROR(__xludf.DUMMYFUNCTION("""COMPUTED_VALUE"""),"Front-End Programming")</f>
        <v>Front-End Programming</v>
      </c>
      <c r="G410" s="140">
        <f>IFERROR(__xludf.DUMMYFUNCTION("""COMPUTED_VALUE"""),719002.0)</f>
        <v>719002</v>
      </c>
      <c r="H410" s="140" t="str">
        <f>IFERROR(__xludf.DUMMYFUNCTION("""COMPUTED_VALUE"""),"")</f>
        <v/>
      </c>
      <c r="I410" s="142" t="str">
        <f>IFERROR(__xludf.DUMMYFUNCTION("""COMPUTED_VALUE"""),"306556")</f>
        <v>306556</v>
      </c>
      <c r="J410" t="str">
        <f>IFERROR(__xludf.DUMMYFUNCTION("""COMPUTED_VALUE"""),"Backbone Tutorial: Learn Backbonejs from Scratch")</f>
        <v>Backbone Tutorial: Learn Backbonejs from Scratch</v>
      </c>
      <c r="K410" s="142" t="str">
        <f>IFERROR(__xludf.DUMMYFUNCTION("""COMPUTED_VALUE"""),"1286908")</f>
        <v>1286908</v>
      </c>
      <c r="L410" s="145" t="str">
        <f>IFERROR(__xludf.DUMMYFUNCTION("""COMPUTED_VALUE"""),"The Complete React Web Developer Course (with Redux)")</f>
        <v>The Complete React Web Developer Course (with Redux)</v>
      </c>
    </row>
    <row r="411">
      <c r="A411" s="143">
        <f>IFERROR(__xludf.DUMMYFUNCTION("""COMPUTED_VALUE"""),42577.0)</f>
        <v>42577</v>
      </c>
      <c r="B411" s="140">
        <f>IFERROR(__xludf.DUMMYFUNCTION("""COMPUTED_VALUE"""),420344.0)</f>
        <v>420344</v>
      </c>
      <c r="C411" s="140" t="str">
        <f>IFERROR(__xludf.DUMMYFUNCTION("""COMPUTED_VALUE"""),"")</f>
        <v/>
      </c>
      <c r="D411" t="str">
        <f>IFERROR(__xludf.DUMMYFUNCTION("""COMPUTED_VALUE"""),"Frontend Masters")</f>
        <v>Frontend Masters</v>
      </c>
      <c r="E411" t="str">
        <f>IFERROR(__xludf.DUMMYFUNCTION("""COMPUTED_VALUE"""),"Course is Unpublished")</f>
        <v>Course is Unpublished</v>
      </c>
      <c r="F411" t="str">
        <f>IFERROR(__xludf.DUMMYFUNCTION("""COMPUTED_VALUE"""),"Front-End Programming")</f>
        <v>Front-End Programming</v>
      </c>
      <c r="G411" s="140">
        <f>IFERROR(__xludf.DUMMYFUNCTION("""COMPUTED_VALUE"""),719002.0)</f>
        <v>719002</v>
      </c>
      <c r="H411" s="140" t="str">
        <f>IFERROR(__xludf.DUMMYFUNCTION("""COMPUTED_VALUE"""),"")</f>
        <v/>
      </c>
      <c r="I411" s="142" t="str">
        <f>IFERROR(__xludf.DUMMYFUNCTION("""COMPUTED_VALUE"""),"289230")</f>
        <v>289230</v>
      </c>
      <c r="J411" t="str">
        <f>IFERROR(__xludf.DUMMYFUNCTION("""COMPUTED_VALUE"""),"Learn and Understand AngularJS")</f>
        <v>Learn and Understand AngularJS</v>
      </c>
    </row>
    <row r="412">
      <c r="A412" s="143">
        <f>IFERROR(__xludf.DUMMYFUNCTION("""COMPUTED_VALUE"""),42577.0)</f>
        <v>42577</v>
      </c>
      <c r="B412" s="140">
        <f>IFERROR(__xludf.DUMMYFUNCTION("""COMPUTED_VALUE"""),478138.0)</f>
        <v>478138</v>
      </c>
      <c r="C412" s="140" t="str">
        <f>IFERROR(__xludf.DUMMYFUNCTION("""COMPUTED_VALUE"""),"")</f>
        <v/>
      </c>
      <c r="D412" t="str">
        <f>IFERROR(__xludf.DUMMYFUNCTION("""COMPUTED_VALUE"""),"Eleventure Team")</f>
        <v>Eleventure Team</v>
      </c>
      <c r="E412" t="str">
        <f>IFERROR(__xludf.DUMMYFUNCTION("""COMPUTED_VALUE"""),"Below Quality Standards")</f>
        <v>Below Quality Standards</v>
      </c>
      <c r="F412" t="str">
        <f>IFERROR(__xludf.DUMMYFUNCTION("""COMPUTED_VALUE"""),"Management")</f>
        <v>Management</v>
      </c>
      <c r="G412" s="140">
        <f>IFERROR(__xludf.DUMMYFUNCTION("""COMPUTED_VALUE"""),720044.0)</f>
        <v>720044</v>
      </c>
      <c r="H412" s="140" t="str">
        <f>IFERROR(__xludf.DUMMYFUNCTION("""COMPUTED_VALUE"""),"")</f>
        <v/>
      </c>
    </row>
    <row r="413">
      <c r="A413" s="143">
        <f>IFERROR(__xludf.DUMMYFUNCTION("""COMPUTED_VALUE"""),42577.0)</f>
        <v>42577</v>
      </c>
      <c r="B413" s="140">
        <f>IFERROR(__xludf.DUMMYFUNCTION("""COMPUTED_VALUE"""),73068.0)</f>
        <v>73068</v>
      </c>
      <c r="C413" s="140" t="str">
        <f>IFERROR(__xludf.DUMMYFUNCTION("""COMPUTED_VALUE"""),"")</f>
        <v/>
      </c>
      <c r="D413" t="str">
        <f>IFERROR(__xludf.DUMMYFUNCTION("""COMPUTED_VALUE"""),"Fitch Learning")</f>
        <v>Fitch Learning</v>
      </c>
      <c r="E413" t="str">
        <f>IFERROR(__xludf.DUMMYFUNCTION("""COMPUTED_VALUE"""),"Below Quality Standards")</f>
        <v>Below Quality Standards</v>
      </c>
      <c r="F413" t="str">
        <f>IFERROR(__xludf.DUMMYFUNCTION("""COMPUTED_VALUE"""),"Finance and Accounting")</f>
        <v>Finance and Accounting</v>
      </c>
      <c r="G413" s="140">
        <f>IFERROR(__xludf.DUMMYFUNCTION("""COMPUTED_VALUE"""),72014.0)</f>
        <v>72014</v>
      </c>
      <c r="H413" s="140" t="str">
        <f>IFERROR(__xludf.DUMMYFUNCTION("""COMPUTED_VALUE"""),"")</f>
        <v/>
      </c>
    </row>
    <row r="414">
      <c r="A414" s="143">
        <f>IFERROR(__xludf.DUMMYFUNCTION("""COMPUTED_VALUE"""),42577.0)</f>
        <v>42577</v>
      </c>
      <c r="B414" s="140">
        <f>IFERROR(__xludf.DUMMYFUNCTION("""COMPUTED_VALUE"""),477958.0)</f>
        <v>477958</v>
      </c>
      <c r="C414" s="140" t="str">
        <f>IFERROR(__xludf.DUMMYFUNCTION("""COMPUTED_VALUE"""),"")</f>
        <v/>
      </c>
      <c r="D414" t="str">
        <f>IFERROR(__xludf.DUMMYFUNCTION("""COMPUTED_VALUE"""),"Paul Ashun")</f>
        <v>Paul Ashun</v>
      </c>
      <c r="E414" t="str">
        <f>IFERROR(__xludf.DUMMYFUNCTION("""COMPUTED_VALUE"""),"Below Quality Standards")</f>
        <v>Below Quality Standards</v>
      </c>
      <c r="F414" t="str">
        <f>IFERROR(__xludf.DUMMYFUNCTION("""COMPUTED_VALUE"""),"Operations")</f>
        <v>Operations</v>
      </c>
      <c r="G414" s="140">
        <f>IFERROR(__xludf.DUMMYFUNCTION("""COMPUTED_VALUE"""),733542.0)</f>
        <v>733542</v>
      </c>
      <c r="H414" s="140" t="str">
        <f>IFERROR(__xludf.DUMMYFUNCTION("""COMPUTED_VALUE"""),"")</f>
        <v/>
      </c>
    </row>
    <row r="415">
      <c r="A415" s="143">
        <f>IFERROR(__xludf.DUMMYFUNCTION("""COMPUTED_VALUE"""),42577.0)</f>
        <v>42577</v>
      </c>
      <c r="B415" s="140">
        <f>IFERROR(__xludf.DUMMYFUNCTION("""COMPUTED_VALUE"""),270820.0)</f>
        <v>270820</v>
      </c>
      <c r="C415" s="140" t="str">
        <f>IFERROR(__xludf.DUMMYFUNCTION("""COMPUTED_VALUE"""),"")</f>
        <v/>
      </c>
      <c r="D415" t="str">
        <f>IFERROR(__xludf.DUMMYFUNCTION("""COMPUTED_VALUE"""),"Eduonix Learning Solutions")</f>
        <v>Eduonix Learning Solutions</v>
      </c>
      <c r="E415" t="str">
        <f>IFERROR(__xludf.DUMMYFUNCTION("""COMPUTED_VALUE"""),"Below Quality Standards")</f>
        <v>Below Quality Standards</v>
      </c>
      <c r="F415" t="str">
        <f>IFERROR(__xludf.DUMMYFUNCTION("""COMPUTED_VALUE"""),"Software and Systems")</f>
        <v>Software and Systems</v>
      </c>
      <c r="G415" s="140">
        <f>IFERROR(__xludf.DUMMYFUNCTION("""COMPUTED_VALUE"""),742114.0)</f>
        <v>742114</v>
      </c>
      <c r="H415" s="140" t="str">
        <f>IFERROR(__xludf.DUMMYFUNCTION("""COMPUTED_VALUE"""),"")</f>
        <v/>
      </c>
    </row>
    <row r="416">
      <c r="A416" s="143">
        <f>IFERROR(__xludf.DUMMYFUNCTION("""COMPUTED_VALUE"""),42577.0)</f>
        <v>42577</v>
      </c>
      <c r="B416" s="140">
        <f>IFERROR(__xludf.DUMMYFUNCTION("""COMPUTED_VALUE"""),747784.0)</f>
        <v>747784</v>
      </c>
      <c r="C416" s="140" t="str">
        <f>IFERROR(__xludf.DUMMYFUNCTION("""COMPUTED_VALUE"""),"")</f>
        <v/>
      </c>
      <c r="D416" t="str">
        <f>IFERROR(__xludf.DUMMYFUNCTION("""COMPUTED_VALUE"""),"SAP BRIEF")</f>
        <v>SAP BRIEF</v>
      </c>
      <c r="E416" t="str">
        <f>IFERROR(__xludf.DUMMYFUNCTION("""COMPUTED_VALUE"""),"Below Quality Standards")</f>
        <v>Below Quality Standards</v>
      </c>
      <c r="F416" t="str">
        <f>IFERROR(__xludf.DUMMYFUNCTION("""COMPUTED_VALUE"""),"Strategy")</f>
        <v>Strategy</v>
      </c>
      <c r="H416" s="140" t="str">
        <f>IFERROR(__xludf.DUMMYFUNCTION("""COMPUTED_VALUE"""),"")</f>
        <v/>
      </c>
    </row>
    <row r="417">
      <c r="A417" s="143">
        <f>IFERROR(__xludf.DUMMYFUNCTION("""COMPUTED_VALUE"""),42577.0)</f>
        <v>42577</v>
      </c>
      <c r="B417" s="140">
        <f>IFERROR(__xludf.DUMMYFUNCTION("""COMPUTED_VALUE"""),524686.0)</f>
        <v>524686</v>
      </c>
      <c r="C417" s="140" t="str">
        <f>IFERROR(__xludf.DUMMYFUNCTION("""COMPUTED_VALUE"""),"")</f>
        <v/>
      </c>
      <c r="D417" t="str">
        <f>IFERROR(__xludf.DUMMYFUNCTION("""COMPUTED_VALUE"""),"Learoy Tonight")</f>
        <v>Learoy Tonight</v>
      </c>
      <c r="E417" t="str">
        <f>IFERROR(__xludf.DUMMYFUNCTION("""COMPUTED_VALUE"""),"Below Quality Standards")</f>
        <v>Below Quality Standards</v>
      </c>
      <c r="F417" t="str">
        <f>IFERROR(__xludf.DUMMYFUNCTION("""COMPUTED_VALUE"""),"Management")</f>
        <v>Management</v>
      </c>
      <c r="G417" s="140">
        <f>IFERROR(__xludf.DUMMYFUNCTION("""COMPUTED_VALUE"""),751602.0)</f>
        <v>751602</v>
      </c>
      <c r="H417" s="140" t="str">
        <f>IFERROR(__xludf.DUMMYFUNCTION("""COMPUTED_VALUE"""),"")</f>
        <v/>
      </c>
    </row>
    <row r="418">
      <c r="A418" s="143">
        <f>IFERROR(__xludf.DUMMYFUNCTION("""COMPUTED_VALUE"""),42577.0)</f>
        <v>42577</v>
      </c>
      <c r="B418" s="140">
        <f>IFERROR(__xludf.DUMMYFUNCTION("""COMPUTED_VALUE"""),214008.0)</f>
        <v>214008</v>
      </c>
      <c r="C418" s="140" t="str">
        <f>IFERROR(__xludf.DUMMYFUNCTION("""COMPUTED_VALUE"""),"")</f>
        <v/>
      </c>
      <c r="D418" t="str">
        <f>IFERROR(__xludf.DUMMYFUNCTION("""COMPUTED_VALUE"""),"Don Hussey")</f>
        <v>Don Hussey</v>
      </c>
      <c r="E418" t="str">
        <f>IFERROR(__xludf.DUMMYFUNCTION("""COMPUTED_VALUE"""),"Below Quality Standards")</f>
        <v>Below Quality Standards</v>
      </c>
      <c r="F418" t="str">
        <f>IFERROR(__xludf.DUMMYFUNCTION("""COMPUTED_VALUE"""),"Strategy")</f>
        <v>Strategy</v>
      </c>
      <c r="G418" s="140">
        <f>IFERROR(__xludf.DUMMYFUNCTION("""COMPUTED_VALUE"""),751792.0)</f>
        <v>751792</v>
      </c>
      <c r="H418" s="140" t="str">
        <f>IFERROR(__xludf.DUMMYFUNCTION("""COMPUTED_VALUE"""),"")</f>
        <v/>
      </c>
    </row>
    <row r="419">
      <c r="A419" s="143">
        <f>IFERROR(__xludf.DUMMYFUNCTION("""COMPUTED_VALUE"""),42577.0)</f>
        <v>42577</v>
      </c>
      <c r="B419" s="140">
        <f>IFERROR(__xludf.DUMMYFUNCTION("""COMPUTED_VALUE"""),49886.0)</f>
        <v>49886</v>
      </c>
      <c r="C419" s="140" t="str">
        <f>IFERROR(__xludf.DUMMYFUNCTION("""COMPUTED_VALUE"""),"")</f>
        <v/>
      </c>
      <c r="D419" t="str">
        <f>IFERROR(__xludf.DUMMYFUNCTION("""COMPUTED_VALUE"""),"Don Hussey")</f>
        <v>Don Hussey</v>
      </c>
      <c r="E419" t="str">
        <f>IFERROR(__xludf.DUMMYFUNCTION("""COMPUTED_VALUE"""),"Below Quality Standards")</f>
        <v>Below Quality Standards</v>
      </c>
      <c r="F419" t="str">
        <f>IFERROR(__xludf.DUMMYFUNCTION("""COMPUTED_VALUE"""),"Strategy")</f>
        <v>Strategy</v>
      </c>
      <c r="G419" s="140">
        <f>IFERROR(__xludf.DUMMYFUNCTION("""COMPUTED_VALUE"""),751792.0)</f>
        <v>751792</v>
      </c>
      <c r="H419" s="140" t="str">
        <f>IFERROR(__xludf.DUMMYFUNCTION("""COMPUTED_VALUE"""),"")</f>
        <v/>
      </c>
    </row>
    <row r="420">
      <c r="A420" s="143">
        <f>IFERROR(__xludf.DUMMYFUNCTION("""COMPUTED_VALUE"""),42577.0)</f>
        <v>42577</v>
      </c>
      <c r="B420" s="140">
        <f>IFERROR(__xludf.DUMMYFUNCTION("""COMPUTED_VALUE"""),645714.0)</f>
        <v>645714</v>
      </c>
      <c r="C420" s="140" t="str">
        <f>IFERROR(__xludf.DUMMYFUNCTION("""COMPUTED_VALUE"""),"")</f>
        <v/>
      </c>
      <c r="D420" t="str">
        <f>IFERROR(__xludf.DUMMYFUNCTION("""COMPUTED_VALUE"""),"Eduonix Learning Solutions")</f>
        <v>Eduonix Learning Solutions</v>
      </c>
      <c r="E420" t="str">
        <f>IFERROR(__xludf.DUMMYFUNCTION("""COMPUTED_VALUE"""),"Below Quality Standards")</f>
        <v>Below Quality Standards</v>
      </c>
      <c r="F420" t="str">
        <f>IFERROR(__xludf.DUMMYFUNCTION("""COMPUTED_VALUE"""),"Front-End Programming")</f>
        <v>Front-End Programming</v>
      </c>
      <c r="G420" s="140">
        <f>IFERROR(__xludf.DUMMYFUNCTION("""COMPUTED_VALUE"""),1286908.0)</f>
        <v>1286908</v>
      </c>
      <c r="H420" s="140" t="str">
        <f>IFERROR(__xludf.DUMMYFUNCTION("""COMPUTED_VALUE"""),"")</f>
        <v/>
      </c>
    </row>
    <row r="421">
      <c r="A421" s="143">
        <f>IFERROR(__xludf.DUMMYFUNCTION("""COMPUTED_VALUE"""),42577.0)</f>
        <v>42577</v>
      </c>
      <c r="B421" s="140">
        <f>IFERROR(__xludf.DUMMYFUNCTION("""COMPUTED_VALUE"""),414570.0)</f>
        <v>414570</v>
      </c>
      <c r="C421" s="140" t="str">
        <f>IFERROR(__xludf.DUMMYFUNCTION("""COMPUTED_VALUE"""),"")</f>
        <v/>
      </c>
      <c r="D421" t="str">
        <f>IFERROR(__xludf.DUMMYFUNCTION("""COMPUTED_VALUE"""),"Frontend Masters")</f>
        <v>Frontend Masters</v>
      </c>
      <c r="E421" t="str">
        <f>IFERROR(__xludf.DUMMYFUNCTION("""COMPUTED_VALUE"""),"Course is Unpublished")</f>
        <v>Course is Unpublished</v>
      </c>
      <c r="F421" t="str">
        <f>IFERROR(__xludf.DUMMYFUNCTION("""COMPUTED_VALUE"""),"Front-End Programming")</f>
        <v>Front-End Programming</v>
      </c>
      <c r="G421" s="140">
        <f>IFERROR(__xludf.DUMMYFUNCTION("""COMPUTED_VALUE"""),764164.0)</f>
        <v>764164</v>
      </c>
      <c r="H421" s="140" t="str">
        <f>IFERROR(__xludf.DUMMYFUNCTION("""COMPUTED_VALUE"""),"")</f>
        <v/>
      </c>
    </row>
    <row r="422">
      <c r="A422" s="143">
        <f>IFERROR(__xludf.DUMMYFUNCTION("""COMPUTED_VALUE"""),42577.0)</f>
        <v>42577</v>
      </c>
      <c r="B422" s="140">
        <f>IFERROR(__xludf.DUMMYFUNCTION("""COMPUTED_VALUE"""),421216.0)</f>
        <v>421216</v>
      </c>
      <c r="C422" s="140" t="str">
        <f>IFERROR(__xludf.DUMMYFUNCTION("""COMPUTED_VALUE"""),"")</f>
        <v/>
      </c>
      <c r="D422" t="str">
        <f>IFERROR(__xludf.DUMMYFUNCTION("""COMPUTED_VALUE"""),"R-Tutorials Training")</f>
        <v>R-Tutorials Training</v>
      </c>
      <c r="E422" t="str">
        <f>IFERROR(__xludf.DUMMYFUNCTION("""COMPUTED_VALUE"""),"Below Quality Standards")</f>
        <v>Below Quality Standards</v>
      </c>
      <c r="F422" t="str">
        <f>IFERROR(__xludf.DUMMYFUNCTION("""COMPUTED_VALUE"""),"Data Science")</f>
        <v>Data Science</v>
      </c>
      <c r="G422" s="140">
        <f>IFERROR(__xludf.DUMMYFUNCTION("""COMPUTED_VALUE"""),765242.0)</f>
        <v>765242</v>
      </c>
      <c r="H422" s="140" t="str">
        <f>IFERROR(__xludf.DUMMYFUNCTION("""COMPUTED_VALUE"""),"")</f>
        <v/>
      </c>
      <c r="I422" s="142" t="str">
        <f>IFERROR(__xludf.DUMMYFUNCTION("""COMPUTED_VALUE"""),"487490")</f>
        <v>487490</v>
      </c>
      <c r="J422" t="str">
        <f>IFERROR(__xludf.DUMMYFUNCTION("""COMPUTED_VALUE"""),"R, ggplot, and Simple Linear Regression")</f>
        <v>R, ggplot, and Simple Linear Regression</v>
      </c>
    </row>
    <row r="423">
      <c r="A423" s="143">
        <f>IFERROR(__xludf.DUMMYFUNCTION("""COMPUTED_VALUE"""),42577.0)</f>
        <v>42577</v>
      </c>
      <c r="B423" s="140">
        <f>IFERROR(__xludf.DUMMYFUNCTION("""COMPUTED_VALUE"""),690058.0)</f>
        <v>690058</v>
      </c>
      <c r="C423" s="140" t="str">
        <f>IFERROR(__xludf.DUMMYFUNCTION("""COMPUTED_VALUE"""),"")</f>
        <v/>
      </c>
      <c r="D423" t="str">
        <f>IFERROR(__xludf.DUMMYFUNCTION("""COMPUTED_VALUE"""),"R-Tutorials Training")</f>
        <v>R-Tutorials Training</v>
      </c>
      <c r="E423" t="str">
        <f>IFERROR(__xludf.DUMMYFUNCTION("""COMPUTED_VALUE"""),"Below Quality Standards")</f>
        <v>Below Quality Standards</v>
      </c>
      <c r="F423" t="str">
        <f>IFERROR(__xludf.DUMMYFUNCTION("""COMPUTED_VALUE"""),"Data Science")</f>
        <v>Data Science</v>
      </c>
      <c r="G423" s="140">
        <f>IFERROR(__xludf.DUMMYFUNCTION("""COMPUTED_VALUE"""),765242.0)</f>
        <v>765242</v>
      </c>
      <c r="H423" s="140" t="str">
        <f>IFERROR(__xludf.DUMMYFUNCTION("""COMPUTED_VALUE"""),"")</f>
        <v/>
      </c>
      <c r="I423" s="142" t="str">
        <f>IFERROR(__xludf.DUMMYFUNCTION("""COMPUTED_VALUE"""),"487490")</f>
        <v>487490</v>
      </c>
      <c r="J423" t="str">
        <f>IFERROR(__xludf.DUMMYFUNCTION("""COMPUTED_VALUE"""),"R, ggplot, and Simple Linear Regression")</f>
        <v>R, ggplot, and Simple Linear Regression</v>
      </c>
    </row>
    <row r="424">
      <c r="A424" s="143">
        <f>IFERROR(__xludf.DUMMYFUNCTION("""COMPUTED_VALUE"""),42577.0)</f>
        <v>42577</v>
      </c>
      <c r="B424" s="140">
        <f>IFERROR(__xludf.DUMMYFUNCTION("""COMPUTED_VALUE"""),702038.0)</f>
        <v>702038</v>
      </c>
      <c r="C424" s="140" t="str">
        <f>IFERROR(__xludf.DUMMYFUNCTION("""COMPUTED_VALUE"""),"")</f>
        <v/>
      </c>
      <c r="D424" t="str">
        <f>IFERROR(__xludf.DUMMYFUNCTION("""COMPUTED_VALUE"""),"SAP BRIEF")</f>
        <v>SAP BRIEF</v>
      </c>
      <c r="E424" t="str">
        <f>IFERROR(__xludf.DUMMYFUNCTION("""COMPUTED_VALUE"""),"Below Quality Standards")</f>
        <v>Below Quality Standards</v>
      </c>
      <c r="F424" t="str">
        <f>IFERROR(__xludf.DUMMYFUNCTION("""COMPUTED_VALUE"""),"Strategy")</f>
        <v>Strategy</v>
      </c>
      <c r="H424" s="140" t="str">
        <f>IFERROR(__xludf.DUMMYFUNCTION("""COMPUTED_VALUE"""),"")</f>
        <v/>
      </c>
    </row>
    <row r="425">
      <c r="A425" s="143">
        <f>IFERROR(__xludf.DUMMYFUNCTION("""COMPUTED_VALUE"""),42577.0)</f>
        <v>42577</v>
      </c>
      <c r="B425" s="140">
        <f>IFERROR(__xludf.DUMMYFUNCTION("""COMPUTED_VALUE"""),702040.0)</f>
        <v>702040</v>
      </c>
      <c r="C425" s="140" t="str">
        <f>IFERROR(__xludf.DUMMYFUNCTION("""COMPUTED_VALUE"""),"")</f>
        <v/>
      </c>
      <c r="D425" t="str">
        <f>IFERROR(__xludf.DUMMYFUNCTION("""COMPUTED_VALUE"""),"SAP BRIEF")</f>
        <v>SAP BRIEF</v>
      </c>
      <c r="E425" t="str">
        <f>IFERROR(__xludf.DUMMYFUNCTION("""COMPUTED_VALUE"""),"Below Quality Standards")</f>
        <v>Below Quality Standards</v>
      </c>
      <c r="F425" t="str">
        <f>IFERROR(__xludf.DUMMYFUNCTION("""COMPUTED_VALUE"""),"Strategy")</f>
        <v>Strategy</v>
      </c>
      <c r="H425" s="140" t="str">
        <f>IFERROR(__xludf.DUMMYFUNCTION("""COMPUTED_VALUE"""),"")</f>
        <v/>
      </c>
    </row>
    <row r="426">
      <c r="A426" s="143">
        <f>IFERROR(__xludf.DUMMYFUNCTION("""COMPUTED_VALUE"""),42577.0)</f>
        <v>42577</v>
      </c>
      <c r="B426" s="140">
        <f>IFERROR(__xludf.DUMMYFUNCTION("""COMPUTED_VALUE"""),175090.0)</f>
        <v>175090</v>
      </c>
      <c r="C426" s="140" t="str">
        <f>IFERROR(__xludf.DUMMYFUNCTION("""COMPUTED_VALUE"""),"")</f>
        <v/>
      </c>
      <c r="D426" t="str">
        <f>IFERROR(__xludf.DUMMYFUNCTION("""COMPUTED_VALUE"""),"Tom Owsiak")</f>
        <v>Tom Owsiak</v>
      </c>
      <c r="E426" t="str">
        <f>IFERROR(__xludf.DUMMYFUNCTION("""COMPUTED_VALUE"""),"Course is Unpublished")</f>
        <v>Course is Unpublished</v>
      </c>
      <c r="F426" t="str">
        <f>IFERROR(__xludf.DUMMYFUNCTION("""COMPUTED_VALUE"""),"Back-End Programming")</f>
        <v>Back-End Programming</v>
      </c>
      <c r="H426" s="140" t="str">
        <f>IFERROR(__xludf.DUMMYFUNCTION("""COMPUTED_VALUE"""),"")</f>
        <v/>
      </c>
    </row>
    <row r="427">
      <c r="A427" s="143">
        <f>IFERROR(__xludf.DUMMYFUNCTION("""COMPUTED_VALUE"""),42577.0)</f>
        <v>42577</v>
      </c>
      <c r="B427" s="140">
        <f>IFERROR(__xludf.DUMMYFUNCTION("""COMPUTED_VALUE"""),237128.0)</f>
        <v>237128</v>
      </c>
      <c r="C427" s="140" t="str">
        <f>IFERROR(__xludf.DUMMYFUNCTION("""COMPUTED_VALUE"""),"")</f>
        <v/>
      </c>
      <c r="D427" t="str">
        <f>IFERROR(__xludf.DUMMYFUNCTION("""COMPUTED_VALUE"""),"Microsoft Certified Trainer Mohammed Manzoor Ahmed")</f>
        <v>Microsoft Certified Trainer Mohammed Manzoor Ahmed</v>
      </c>
      <c r="E427" t="str">
        <f>IFERROR(__xludf.DUMMYFUNCTION("""COMPUTED_VALUE"""),"Below Quality Standards")</f>
        <v>Below Quality Standards</v>
      </c>
      <c r="F427" t="str">
        <f>IFERROR(__xludf.DUMMYFUNCTION("""COMPUTED_VALUE"""),"Software and Systems")</f>
        <v>Software and Systems</v>
      </c>
      <c r="G427" s="140">
        <f>IFERROR(__xludf.DUMMYFUNCTION("""COMPUTED_VALUE"""),806922.0)</f>
        <v>806922</v>
      </c>
      <c r="H427" s="140" t="str">
        <f>IFERROR(__xludf.DUMMYFUNCTION("""COMPUTED_VALUE"""),"")</f>
        <v/>
      </c>
    </row>
    <row r="428">
      <c r="A428" s="143">
        <f>IFERROR(__xludf.DUMMYFUNCTION("""COMPUTED_VALUE"""),42577.0)</f>
        <v>42577</v>
      </c>
      <c r="B428" s="140">
        <f>IFERROR(__xludf.DUMMYFUNCTION("""COMPUTED_VALUE"""),24334.0)</f>
        <v>24334</v>
      </c>
      <c r="C428" s="140" t="str">
        <f>IFERROR(__xludf.DUMMYFUNCTION("""COMPUTED_VALUE"""),"")</f>
        <v/>
      </c>
      <c r="D428" t="str">
        <f>IFERROR(__xludf.DUMMYFUNCTION("""COMPUTED_VALUE"""),"LearnToProgram, Inc.")</f>
        <v>LearnToProgram, Inc.</v>
      </c>
      <c r="E428" t="str">
        <f>IFERROR(__xludf.DUMMYFUNCTION("""COMPUTED_VALUE"""),"Below Quality Standards")</f>
        <v>Below Quality Standards</v>
      </c>
      <c r="F428" t="str">
        <f>IFERROR(__xludf.DUMMYFUNCTION("""COMPUTED_VALUE"""),"Front-End Programming")</f>
        <v>Front-End Programming</v>
      </c>
      <c r="G428" s="140">
        <f>IFERROR(__xludf.DUMMYFUNCTION("""COMPUTED_VALUE"""),80940.0)</f>
        <v>80940</v>
      </c>
      <c r="H428" s="140" t="str">
        <f>IFERROR(__xludf.DUMMYFUNCTION("""COMPUTED_VALUE"""),"")</f>
        <v/>
      </c>
      <c r="I428" s="142" t="str">
        <f>IFERROR(__xludf.DUMMYFUNCTION("""COMPUTED_VALUE"""),"405926")</f>
        <v>405926</v>
      </c>
      <c r="J428" t="str">
        <f>IFERROR(__xludf.DUMMYFUNCTION("""COMPUTED_VALUE"""),"HTML and CSS for Beginners - Build a Website &amp; Launch ONLINE")</f>
        <v>HTML and CSS for Beginners - Build a Website &amp; Launch ONLINE</v>
      </c>
    </row>
    <row r="429">
      <c r="A429" s="143">
        <f>IFERROR(__xludf.DUMMYFUNCTION("""COMPUTED_VALUE"""),42577.0)</f>
        <v>42577</v>
      </c>
      <c r="B429" s="140">
        <f>IFERROR(__xludf.DUMMYFUNCTION("""COMPUTED_VALUE"""),417510.0)</f>
        <v>417510</v>
      </c>
      <c r="C429" s="140" t="str">
        <f>IFERROR(__xludf.DUMMYFUNCTION("""COMPUTED_VALUE"""),"")</f>
        <v/>
      </c>
      <c r="D429" t="str">
        <f>IFERROR(__xludf.DUMMYFUNCTION("""COMPUTED_VALUE"""),"Frontend Masters")</f>
        <v>Frontend Masters</v>
      </c>
      <c r="E429" t="str">
        <f>IFERROR(__xludf.DUMMYFUNCTION("""COMPUTED_VALUE"""),"Course is Unpublished")</f>
        <v>Course is Unpublished</v>
      </c>
      <c r="F429" t="str">
        <f>IFERROR(__xludf.DUMMYFUNCTION("""COMPUTED_VALUE"""),"Front-End Programming")</f>
        <v>Front-End Programming</v>
      </c>
      <c r="G429" s="140">
        <f>IFERROR(__xludf.DUMMYFUNCTION("""COMPUTED_VALUE"""),82778.0)</f>
        <v>82778</v>
      </c>
      <c r="H429" s="140" t="str">
        <f>IFERROR(__xludf.DUMMYFUNCTION("""COMPUTED_VALUE"""),"")</f>
        <v/>
      </c>
    </row>
    <row r="430">
      <c r="A430" s="143">
        <f>IFERROR(__xludf.DUMMYFUNCTION("""COMPUTED_VALUE"""),42577.0)</f>
        <v>42577</v>
      </c>
      <c r="B430" s="140">
        <f>IFERROR(__xludf.DUMMYFUNCTION("""COMPUTED_VALUE"""),418460.0)</f>
        <v>418460</v>
      </c>
      <c r="C430" s="140" t="str">
        <f>IFERROR(__xludf.DUMMYFUNCTION("""COMPUTED_VALUE"""),"")</f>
        <v/>
      </c>
      <c r="D430" t="str">
        <f>IFERROR(__xludf.DUMMYFUNCTION("""COMPUTED_VALUE"""),"Frontend Masters")</f>
        <v>Frontend Masters</v>
      </c>
      <c r="E430" t="str">
        <f>IFERROR(__xludf.DUMMYFUNCTION("""COMPUTED_VALUE"""),"Course is Unpublished")</f>
        <v>Course is Unpublished</v>
      </c>
      <c r="F430" t="str">
        <f>IFERROR(__xludf.DUMMYFUNCTION("""COMPUTED_VALUE"""),"Front-End Programming")</f>
        <v>Front-End Programming</v>
      </c>
      <c r="G430" s="140">
        <f>IFERROR(__xludf.DUMMYFUNCTION("""COMPUTED_VALUE"""),82778.0)</f>
        <v>82778</v>
      </c>
      <c r="H430" s="140" t="str">
        <f>IFERROR(__xludf.DUMMYFUNCTION("""COMPUTED_VALUE"""),"")</f>
        <v/>
      </c>
    </row>
    <row r="431">
      <c r="A431" s="143">
        <f>IFERROR(__xludf.DUMMYFUNCTION("""COMPUTED_VALUE"""),42577.0)</f>
        <v>42577</v>
      </c>
      <c r="B431" s="140">
        <f>IFERROR(__xludf.DUMMYFUNCTION("""COMPUTED_VALUE"""),565000.0)</f>
        <v>565000</v>
      </c>
      <c r="C431" s="140" t="str">
        <f>IFERROR(__xludf.DUMMYFUNCTION("""COMPUTED_VALUE"""),"")</f>
        <v/>
      </c>
      <c r="D431" t="str">
        <f>IFERROR(__xludf.DUMMYFUNCTION("""COMPUTED_VALUE"""),"Eduonix Learning Solutions")</f>
        <v>Eduonix Learning Solutions</v>
      </c>
      <c r="E431" t="str">
        <f>IFERROR(__xludf.DUMMYFUNCTION("""COMPUTED_VALUE"""),"Below Quality Standards")</f>
        <v>Below Quality Standards</v>
      </c>
      <c r="F431" t="str">
        <f>IFERROR(__xludf.DUMMYFUNCTION("""COMPUTED_VALUE"""),"Front-End Programming")</f>
        <v>Front-End Programming</v>
      </c>
      <c r="G431" s="140">
        <f>IFERROR(__xludf.DUMMYFUNCTION("""COMPUTED_VALUE"""),832862.0)</f>
        <v>832862</v>
      </c>
      <c r="H431" s="140" t="str">
        <f>IFERROR(__xludf.DUMMYFUNCTION("""COMPUTED_VALUE"""),"")</f>
        <v/>
      </c>
    </row>
    <row r="432">
      <c r="A432" s="143">
        <f>IFERROR(__xludf.DUMMYFUNCTION("""COMPUTED_VALUE"""),42577.0)</f>
        <v>42577</v>
      </c>
      <c r="B432" s="140">
        <f>IFERROR(__xludf.DUMMYFUNCTION("""COMPUTED_VALUE"""),422286.0)</f>
        <v>422286</v>
      </c>
      <c r="C432" s="140" t="str">
        <f>IFERROR(__xludf.DUMMYFUNCTION("""COMPUTED_VALUE"""),"")</f>
        <v/>
      </c>
      <c r="D432" t="str">
        <f>IFERROR(__xludf.DUMMYFUNCTION("""COMPUTED_VALUE"""),"Alicia Cuello")</f>
        <v>Alicia Cuello</v>
      </c>
      <c r="E432" t="str">
        <f>IFERROR(__xludf.DUMMYFUNCTION("""COMPUTED_VALUE"""),"Course is Private")</f>
        <v>Course is Private</v>
      </c>
      <c r="F432" t="str">
        <f>IFERROR(__xludf.DUMMYFUNCTION("""COMPUTED_VALUE"""),"Soft Skills")</f>
        <v>Soft Skills</v>
      </c>
      <c r="G432" s="140">
        <f>IFERROR(__xludf.DUMMYFUNCTION("""COMPUTED_VALUE"""),84792.0)</f>
        <v>84792</v>
      </c>
      <c r="H432" s="140" t="str">
        <f>IFERROR(__xludf.DUMMYFUNCTION("""COMPUTED_VALUE"""),"")</f>
        <v/>
      </c>
      <c r="I432" s="142" t="str">
        <f>IFERROR(__xludf.DUMMYFUNCTION("""COMPUTED_VALUE"""),"662362")</f>
        <v>662362</v>
      </c>
      <c r="J432" t="str">
        <f>IFERROR(__xludf.DUMMYFUNCTION("""COMPUTED_VALUE"""),"Body Language for Business People")</f>
        <v>Body Language for Business People</v>
      </c>
    </row>
    <row r="433">
      <c r="A433" s="143">
        <f>IFERROR(__xludf.DUMMYFUNCTION("""COMPUTED_VALUE"""),42577.0)</f>
        <v>42577</v>
      </c>
      <c r="B433" s="140">
        <f>IFERROR(__xludf.DUMMYFUNCTION("""COMPUTED_VALUE"""),294408.0)</f>
        <v>294408</v>
      </c>
      <c r="C433" s="140" t="str">
        <f>IFERROR(__xludf.DUMMYFUNCTION("""COMPUTED_VALUE"""),"")</f>
        <v/>
      </c>
      <c r="D433" t="str">
        <f>IFERROR(__xludf.DUMMYFUNCTION("""COMPUTED_VALUE"""),"Eduonix Learning Solutions")</f>
        <v>Eduonix Learning Solutions</v>
      </c>
      <c r="E433" t="str">
        <f>IFERROR(__xludf.DUMMYFUNCTION("""COMPUTED_VALUE"""),"Below Quality Standards")</f>
        <v>Below Quality Standards</v>
      </c>
      <c r="F433" t="str">
        <f>IFERROR(__xludf.DUMMYFUNCTION("""COMPUTED_VALUE"""),"Front-End Programming")</f>
        <v>Front-End Programming</v>
      </c>
      <c r="G433" s="140">
        <f>IFERROR(__xludf.DUMMYFUNCTION("""COMPUTED_VALUE"""),876850.0)</f>
        <v>876850</v>
      </c>
      <c r="H433" s="140" t="str">
        <f>IFERROR(__xludf.DUMMYFUNCTION("""COMPUTED_VALUE"""),"")</f>
        <v/>
      </c>
    </row>
    <row r="434">
      <c r="A434" s="143">
        <f>IFERROR(__xludf.DUMMYFUNCTION("""COMPUTED_VALUE"""),42577.0)</f>
        <v>42577</v>
      </c>
      <c r="B434" s="140">
        <f>IFERROR(__xludf.DUMMYFUNCTION("""COMPUTED_VALUE"""),449672.0)</f>
        <v>449672</v>
      </c>
      <c r="C434" s="140" t="str">
        <f>IFERROR(__xludf.DUMMYFUNCTION("""COMPUTED_VALUE"""),"")</f>
        <v/>
      </c>
      <c r="D434" t="str">
        <f>IFERROR(__xludf.DUMMYFUNCTION("""COMPUTED_VALUE"""),"Frontend Masters")</f>
        <v>Frontend Masters</v>
      </c>
      <c r="E434" t="str">
        <f>IFERROR(__xludf.DUMMYFUNCTION("""COMPUTED_VALUE"""),"Course is Unpublished")</f>
        <v>Course is Unpublished</v>
      </c>
      <c r="F434" t="str">
        <f>IFERROR(__xludf.DUMMYFUNCTION("""COMPUTED_VALUE"""),"Front-End Programming")</f>
        <v>Front-End Programming</v>
      </c>
      <c r="G434" s="140">
        <f>IFERROR(__xludf.DUMMYFUNCTION("""COMPUTED_VALUE"""),876850.0)</f>
        <v>876850</v>
      </c>
      <c r="H434" s="140" t="str">
        <f>IFERROR(__xludf.DUMMYFUNCTION("""COMPUTED_VALUE"""),"")</f>
        <v/>
      </c>
    </row>
    <row r="435">
      <c r="A435" s="143">
        <f>IFERROR(__xludf.DUMMYFUNCTION("""COMPUTED_VALUE"""),42573.0)</f>
        <v>42573</v>
      </c>
      <c r="B435" s="140">
        <f>IFERROR(__xludf.DUMMYFUNCTION("""COMPUTED_VALUE"""),787672.0)</f>
        <v>787672</v>
      </c>
      <c r="C435" s="140" t="str">
        <f>IFERROR(__xludf.DUMMYFUNCTION("""COMPUTED_VALUE"""),"")</f>
        <v/>
      </c>
      <c r="D435" t="str">
        <f>IFERROR(__xludf.DUMMYFUNCTION("""COMPUTED_VALUE"""),"Sounds True")</f>
        <v>Sounds True</v>
      </c>
      <c r="E435" t="str">
        <f>IFERROR(__xludf.DUMMYFUNCTION("""COMPUTED_VALUE"""),"Opted Out")</f>
        <v>Opted Out</v>
      </c>
      <c r="F435" t="str">
        <f>IFERROR(__xludf.DUMMYFUNCTION("""COMPUTED_VALUE"""),"Health and Wellness")</f>
        <v>Health and Wellness</v>
      </c>
      <c r="G435" s="140">
        <f>IFERROR(__xludf.DUMMYFUNCTION("""COMPUTED_VALUE"""),273758.0)</f>
        <v>273758</v>
      </c>
      <c r="H435" s="140" t="str">
        <f>IFERROR(__xludf.DUMMYFUNCTION("""COMPUTED_VALUE"""),"")</f>
        <v/>
      </c>
      <c r="I435" s="142" t="str">
        <f>IFERROR(__xludf.DUMMYFUNCTION("""COMPUTED_VALUE"""),"625274")</f>
        <v>625274</v>
      </c>
      <c r="J435" t="str">
        <f>IFERROR(__xludf.DUMMYFUNCTION("""COMPUTED_VALUE"""),"8-Hour Yoga Alignment Course with Lesley Fightmaster")</f>
        <v>8-Hour Yoga Alignment Course with Lesley Fightmaster</v>
      </c>
    </row>
    <row r="436">
      <c r="A436" s="143">
        <f>IFERROR(__xludf.DUMMYFUNCTION("""COMPUTED_VALUE"""),42573.0)</f>
        <v>42573</v>
      </c>
      <c r="B436" s="140">
        <f>IFERROR(__xludf.DUMMYFUNCTION("""COMPUTED_VALUE"""),757544.0)</f>
        <v>757544</v>
      </c>
      <c r="C436" s="140" t="str">
        <f>IFERROR(__xludf.DUMMYFUNCTION("""COMPUTED_VALUE"""),"")</f>
        <v/>
      </c>
      <c r="D436" t="str">
        <f>IFERROR(__xludf.DUMMYFUNCTION("""COMPUTED_VALUE"""),"Sounds True")</f>
        <v>Sounds True</v>
      </c>
      <c r="E436" t="str">
        <f>IFERROR(__xludf.DUMMYFUNCTION("""COMPUTED_VALUE"""),"Opted Out")</f>
        <v>Opted Out</v>
      </c>
      <c r="F436" t="str">
        <f>IFERROR(__xludf.DUMMYFUNCTION("""COMPUTED_VALUE"""),"Health and Wellness")</f>
        <v>Health and Wellness</v>
      </c>
      <c r="G436" s="140">
        <f>IFERROR(__xludf.DUMMYFUNCTION("""COMPUTED_VALUE"""),277654.0)</f>
        <v>277654</v>
      </c>
      <c r="H436" s="140" t="str">
        <f>IFERROR(__xludf.DUMMYFUNCTION("""COMPUTED_VALUE"""),"")</f>
        <v/>
      </c>
    </row>
    <row r="437">
      <c r="A437" s="143">
        <f>IFERROR(__xludf.DUMMYFUNCTION("""COMPUTED_VALUE"""),42573.0)</f>
        <v>42573</v>
      </c>
      <c r="B437" s="140">
        <f>IFERROR(__xludf.DUMMYFUNCTION("""COMPUTED_VALUE"""),757550.0)</f>
        <v>757550</v>
      </c>
      <c r="C437" s="140" t="str">
        <f>IFERROR(__xludf.DUMMYFUNCTION("""COMPUTED_VALUE"""),"")</f>
        <v/>
      </c>
      <c r="D437" t="str">
        <f>IFERROR(__xludf.DUMMYFUNCTION("""COMPUTED_VALUE"""),"Sounds True")</f>
        <v>Sounds True</v>
      </c>
      <c r="E437" t="str">
        <f>IFERROR(__xludf.DUMMYFUNCTION("""COMPUTED_VALUE"""),"Opted Out")</f>
        <v>Opted Out</v>
      </c>
      <c r="F437" t="str">
        <f>IFERROR(__xludf.DUMMYFUNCTION("""COMPUTED_VALUE"""),"Health and Wellness")</f>
        <v>Health and Wellness</v>
      </c>
      <c r="G437" s="140">
        <f>IFERROR(__xludf.DUMMYFUNCTION("""COMPUTED_VALUE"""),517102.0)</f>
        <v>517102</v>
      </c>
      <c r="H437" s="140" t="str">
        <f>IFERROR(__xludf.DUMMYFUNCTION("""COMPUTED_VALUE"""),"")</f>
        <v/>
      </c>
    </row>
    <row r="438">
      <c r="A438" s="143">
        <f>IFERROR(__xludf.DUMMYFUNCTION("""COMPUTED_VALUE"""),42572.0)</f>
        <v>42572</v>
      </c>
      <c r="B438" s="140">
        <f>IFERROR(__xludf.DUMMYFUNCTION("""COMPUTED_VALUE"""),30763.0)</f>
        <v>30763</v>
      </c>
      <c r="C438" s="140" t="str">
        <f>IFERROR(__xludf.DUMMYFUNCTION("""COMPUTED_VALUE"""),"")</f>
        <v/>
      </c>
      <c r="D438" t="str">
        <f>IFERROR(__xludf.DUMMYFUNCTION("""COMPUTED_VALUE"""),"Bogdan Milanovich")</f>
        <v>Bogdan Milanovich</v>
      </c>
      <c r="E438" t="str">
        <f>IFERROR(__xludf.DUMMYFUNCTION("""COMPUTED_VALUE"""),"Instructor Request")</f>
        <v>Instructor Request</v>
      </c>
      <c r="F438" t="str">
        <f>IFERROR(__xludf.DUMMYFUNCTION("""COMPUTED_VALUE"""),"Back-End Programming")</f>
        <v>Back-End Programming</v>
      </c>
      <c r="H438" s="140" t="str">
        <f>IFERROR(__xludf.DUMMYFUNCTION("""COMPUTED_VALUE"""),"")</f>
        <v/>
      </c>
      <c r="M438" t="str">
        <f>IFERROR(__xludf.DUMMYFUNCTION("""COMPUTED_VALUE"""),"This is a gap. Added to Trello: https://trello.com/c/BbwcUB1i/70-python-gui")</f>
        <v>This is a gap. Added to Trello: https://trello.com/c/BbwcUB1i/70-python-gui</v>
      </c>
    </row>
    <row r="439">
      <c r="A439" s="143">
        <f>IFERROR(__xludf.DUMMYFUNCTION("""COMPUTED_VALUE"""),42572.0)</f>
        <v>42572</v>
      </c>
      <c r="B439" s="140">
        <f>IFERROR(__xludf.DUMMYFUNCTION("""COMPUTED_VALUE"""),626596.0)</f>
        <v>626596</v>
      </c>
      <c r="C439" s="140" t="str">
        <f>IFERROR(__xludf.DUMMYFUNCTION("""COMPUTED_VALUE"""),"")</f>
        <v/>
      </c>
      <c r="D439" t="str">
        <f>IFERROR(__xludf.DUMMYFUNCTION("""COMPUTED_VALUE"""),"Scott Duffy")</f>
        <v>Scott Duffy</v>
      </c>
      <c r="E439" t="str">
        <f>IFERROR(__xludf.DUMMYFUNCTION("""COMPUTED_VALUE"""),"Below Quality Standards")</f>
        <v>Below Quality Standards</v>
      </c>
      <c r="F439" t="str">
        <f>IFERROR(__xludf.DUMMYFUNCTION("""COMPUTED_VALUE"""),"Software and Systems")</f>
        <v>Software and Systems</v>
      </c>
      <c r="G439" s="140">
        <f>IFERROR(__xludf.DUMMYFUNCTION("""COMPUTED_VALUE"""),1127784.0)</f>
        <v>1127784</v>
      </c>
      <c r="H439" s="140" t="str">
        <f>IFERROR(__xludf.DUMMYFUNCTION("""COMPUTED_VALUE"""),"")</f>
        <v/>
      </c>
      <c r="M439" t="str">
        <f>IFERROR(__xludf.DUMMYFUNCTION("""COMPUTED_VALUE"""),"This one has a very low rating :(")</f>
        <v>This one has a very low rating :(</v>
      </c>
    </row>
    <row r="440">
      <c r="A440" s="143">
        <f>IFERROR(__xludf.DUMMYFUNCTION("""COMPUTED_VALUE"""),42564.0)</f>
        <v>42564</v>
      </c>
      <c r="B440" s="140">
        <f>IFERROR(__xludf.DUMMYFUNCTION("""COMPUTED_VALUE"""),695006.0)</f>
        <v>695006</v>
      </c>
      <c r="C440" s="140" t="str">
        <f>IFERROR(__xludf.DUMMYFUNCTION("""COMPUTED_VALUE"""),"")</f>
        <v/>
      </c>
      <c r="D440" t="str">
        <f>IFERROR(__xludf.DUMMYFUNCTION("""COMPUTED_VALUE"""),"Baidhurya Mani")</f>
        <v>Baidhurya Mani</v>
      </c>
      <c r="E440" t="str">
        <f>IFERROR(__xludf.DUMMYFUNCTION("""COMPUTED_VALUE"""),"Opted Out")</f>
        <v>Opted Out</v>
      </c>
      <c r="F440" t="str">
        <f>IFERROR(__xludf.DUMMYFUNCTION("""COMPUTED_VALUE"""),"Operations")</f>
        <v>Operations</v>
      </c>
      <c r="G440" s="140">
        <f>IFERROR(__xludf.DUMMYFUNCTION("""COMPUTED_VALUE"""),677348.0)</f>
        <v>677348</v>
      </c>
      <c r="H440" s="140" t="str">
        <f>IFERROR(__xludf.DUMMYFUNCTION("""COMPUTED_VALUE"""),"")</f>
        <v/>
      </c>
    </row>
    <row r="441">
      <c r="A441" s="143">
        <f>IFERROR(__xludf.DUMMYFUNCTION("""COMPUTED_VALUE"""),42559.0)</f>
        <v>42559</v>
      </c>
      <c r="B441" s="140">
        <f>IFERROR(__xludf.DUMMYFUNCTION("""COMPUTED_VALUE"""),462436.0)</f>
        <v>462436</v>
      </c>
      <c r="C441" s="140" t="str">
        <f>IFERROR(__xludf.DUMMYFUNCTION("""COMPUTED_VALUE"""),"")</f>
        <v/>
      </c>
      <c r="D441" t="str">
        <f>IFERROR(__xludf.DUMMYFUNCTION("""COMPUTED_VALUE"""),"Jason Jenkins")</f>
        <v>Jason Jenkins</v>
      </c>
      <c r="E441" t="str">
        <f>IFERROR(__xludf.DUMMYFUNCTION("""COMPUTED_VALUE"""),"Instructor Request (Copyright Issue)")</f>
        <v>Instructor Request (Copyright Issue)</v>
      </c>
      <c r="F441" t="str">
        <f>IFERROR(__xludf.DUMMYFUNCTION("""COMPUTED_VALUE"""),"Software and Systems")</f>
        <v>Software and Systems</v>
      </c>
      <c r="H441" s="140" t="str">
        <f>IFERROR(__xludf.DUMMYFUNCTION("""COMPUTED_VALUE"""),"")</f>
        <v/>
      </c>
    </row>
    <row r="442">
      <c r="A442" s="143">
        <f>IFERROR(__xludf.DUMMYFUNCTION("""COMPUTED_VALUE"""),42558.0)</f>
        <v>42558</v>
      </c>
      <c r="B442" s="140">
        <f>IFERROR(__xludf.DUMMYFUNCTION("""COMPUTED_VALUE"""),8723.0)</f>
        <v>8723</v>
      </c>
      <c r="C442" s="140" t="str">
        <f>IFERROR(__xludf.DUMMYFUNCTION("""COMPUTED_VALUE"""),"")</f>
        <v/>
      </c>
      <c r="D442" t="str">
        <f>IFERROR(__xludf.DUMMYFUNCTION("""COMPUTED_VALUE""")," LearnToProgram, Inc.")</f>
        <v> LearnToProgram, Inc.</v>
      </c>
      <c r="E442" t="str">
        <f>IFERROR(__xludf.DUMMYFUNCTION("""COMPUTED_VALUE"""),"Instructor Request")</f>
        <v>Instructor Request</v>
      </c>
      <c r="F442" t="str">
        <f>IFERROR(__xludf.DUMMYFUNCTION("""COMPUTED_VALUE"""),"Mobile Development")</f>
        <v>Mobile Development</v>
      </c>
      <c r="G442" s="140">
        <f>IFERROR(__xludf.DUMMYFUNCTION("""COMPUTED_VALUE"""),706020.0)</f>
        <v>706020</v>
      </c>
      <c r="H442" s="140" t="str">
        <f>IFERROR(__xludf.DUMMYFUNCTION("""COMPUTED_VALUE"""),"")</f>
        <v/>
      </c>
    </row>
    <row r="443">
      <c r="A443" s="143">
        <f>IFERROR(__xludf.DUMMYFUNCTION("""COMPUTED_VALUE"""),42557.0)</f>
        <v>42557</v>
      </c>
      <c r="B443" s="140">
        <f>IFERROR(__xludf.DUMMYFUNCTION("""COMPUTED_VALUE"""),267476.0)</f>
        <v>267476</v>
      </c>
      <c r="C443" s="140" t="str">
        <f>IFERROR(__xludf.DUMMYFUNCTION("""COMPUTED_VALUE"""),"")</f>
        <v/>
      </c>
      <c r="D443" t="str">
        <f>IFERROR(__xludf.DUMMYFUNCTION("""COMPUTED_VALUE"""),"Infinite Skills")</f>
        <v>Infinite Skills</v>
      </c>
      <c r="E443" t="str">
        <f>IFERROR(__xludf.DUMMYFUNCTION("""COMPUTED_VALUE"""),"Opted Out")</f>
        <v>Opted Out</v>
      </c>
      <c r="F443" t="str">
        <f>IFERROR(__xludf.DUMMYFUNCTION("""COMPUTED_VALUE"""),"Back-End Programming")</f>
        <v>Back-End Programming</v>
      </c>
      <c r="G443" s="140">
        <f>IFERROR(__xludf.DUMMYFUNCTION("""COMPUTED_VALUE"""),533682.0)</f>
        <v>533682</v>
      </c>
      <c r="H443" s="140" t="str">
        <f>IFERROR(__xludf.DUMMYFUNCTION("""COMPUTED_VALUE"""),"")</f>
        <v/>
      </c>
    </row>
    <row r="444">
      <c r="A444" s="143">
        <f>IFERROR(__xludf.DUMMYFUNCTION("""COMPUTED_VALUE"""),42552.0)</f>
        <v>42552</v>
      </c>
      <c r="B444" s="140">
        <f>IFERROR(__xludf.DUMMYFUNCTION("""COMPUTED_VALUE"""),114650.0)</f>
        <v>114650</v>
      </c>
      <c r="C444" s="140" t="str">
        <f>IFERROR(__xludf.DUMMYFUNCTION("""COMPUTED_VALUE"""),"")</f>
        <v/>
      </c>
      <c r="D444" t="str">
        <f>IFERROR(__xludf.DUMMYFUNCTION("""COMPUTED_VALUE"""),"Jonathan Levi")</f>
        <v>Jonathan Levi</v>
      </c>
      <c r="E444" t="str">
        <f>IFERROR(__xludf.DUMMYFUNCTION("""COMPUTED_VALUE"""),"Instructor Request")</f>
        <v>Instructor Request</v>
      </c>
      <c r="F444" t="str">
        <f>IFERROR(__xludf.DUMMYFUNCTION("""COMPUTED_VALUE"""),"Soft Skills")</f>
        <v>Soft Skills</v>
      </c>
      <c r="G444" s="140">
        <f>IFERROR(__xludf.DUMMYFUNCTION("""COMPUTED_VALUE"""),591930.0)</f>
        <v>591930</v>
      </c>
      <c r="H444" s="140" t="str">
        <f>IFERROR(__xludf.DUMMYFUNCTION("""COMPUTED_VALUE"""),"")</f>
        <v/>
      </c>
    </row>
    <row r="445">
      <c r="A445" s="143">
        <f>IFERROR(__xludf.DUMMYFUNCTION("""COMPUTED_VALUE"""),42551.0)</f>
        <v>42551</v>
      </c>
      <c r="B445" s="140">
        <f>IFERROR(__xludf.DUMMYFUNCTION("""COMPUTED_VALUE"""),376300.0)</f>
        <v>376300</v>
      </c>
      <c r="C445" s="140" t="str">
        <f>IFERROR(__xludf.DUMMYFUNCTION("""COMPUTED_VALUE"""),"")</f>
        <v/>
      </c>
      <c r="D445" t="str">
        <f>IFERROR(__xludf.DUMMYFUNCTION("""COMPUTED_VALUE"""),"The Brevit Group")</f>
        <v>The Brevit Group</v>
      </c>
      <c r="E445" t="str">
        <f>IFERROR(__xludf.DUMMYFUNCTION("""COMPUTED_VALUE"""),"Instructor Request")</f>
        <v>Instructor Request</v>
      </c>
      <c r="F445" t="str">
        <f>IFERROR(__xludf.DUMMYFUNCTION("""COMPUTED_VALUE"""),"Sales")</f>
        <v>Sales</v>
      </c>
      <c r="G445" s="140">
        <f>IFERROR(__xludf.DUMMYFUNCTION("""COMPUTED_VALUE"""),619692.0)</f>
        <v>619692</v>
      </c>
      <c r="H445" s="140" t="str">
        <f>IFERROR(__xludf.DUMMYFUNCTION("""COMPUTED_VALUE"""),"")</f>
        <v/>
      </c>
      <c r="I445" s="142" t="str">
        <f>IFERROR(__xludf.DUMMYFUNCTION("""COMPUTED_VALUE"""),"1347836")</f>
        <v>1347836</v>
      </c>
      <c r="J445" t="str">
        <f>IFERROR(__xludf.DUMMYFUNCTION("""COMPUTED_VALUE"""),"Acumen Presents: Daniel Pink on the Art of Selling")</f>
        <v>Acumen Presents: Daniel Pink on the Art of Selling</v>
      </c>
      <c r="K445" s="142" t="str">
        <f>IFERROR(__xludf.DUMMYFUNCTION("""COMPUTED_VALUE"""),"563478")</f>
        <v>563478</v>
      </c>
      <c r="L445" t="str">
        <f>IFERROR(__xludf.DUMMYFUNCTION("""COMPUTED_VALUE"""),"Sales Training: Practical Sales Techniques")</f>
        <v>Sales Training: Practical Sales Techniques</v>
      </c>
    </row>
    <row r="446">
      <c r="A446" s="143">
        <f>IFERROR(__xludf.DUMMYFUNCTION("""COMPUTED_VALUE"""),42548.01526620371)</f>
        <v>42548.01527</v>
      </c>
      <c r="B446" s="140">
        <f>IFERROR(__xludf.DUMMYFUNCTION("""COMPUTED_VALUE"""),60670.0)</f>
        <v>60670</v>
      </c>
      <c r="C446" s="140" t="str">
        <f>IFERROR(__xludf.DUMMYFUNCTION("""COMPUTED_VALUE"""),"")</f>
        <v/>
      </c>
      <c r="D446" t="str">
        <f>IFERROR(__xludf.DUMMYFUNCTION("""COMPUTED_VALUE"""),"Eduonix Learning Solutions")</f>
        <v>Eduonix Learning Solutions</v>
      </c>
      <c r="E446" t="str">
        <f>IFERROR(__xludf.DUMMYFUNCTION("""COMPUTED_VALUE"""),"Below Quality Standards")</f>
        <v>Below Quality Standards</v>
      </c>
      <c r="F446" t="str">
        <f>IFERROR(__xludf.DUMMYFUNCTION("""COMPUTED_VALUE"""),"Back-End Programming")</f>
        <v>Back-End Programming</v>
      </c>
      <c r="G446" s="140">
        <f>IFERROR(__xludf.DUMMYFUNCTION("""COMPUTED_VALUE"""),764164.0)</f>
        <v>764164</v>
      </c>
      <c r="H446" s="140" t="str">
        <f>IFERROR(__xludf.DUMMYFUNCTION("""COMPUTED_VALUE"""),"")</f>
        <v/>
      </c>
      <c r="M446" t="str">
        <f>IFERROR(__xludf.DUMMYFUNCTION("""COMPUTED_VALUE"""),"Erin joined the team")</f>
        <v>Erin joined the team</v>
      </c>
    </row>
    <row r="447">
      <c r="A447" s="143">
        <f>IFERROR(__xludf.DUMMYFUNCTION("""COMPUTED_VALUE"""),42545.930810185186)</f>
        <v>42545.93081</v>
      </c>
      <c r="B447" s="140">
        <f>IFERROR(__xludf.DUMMYFUNCTION("""COMPUTED_VALUE"""),54259.0)</f>
        <v>54259</v>
      </c>
      <c r="C447" s="140" t="str">
        <f>IFERROR(__xludf.DUMMYFUNCTION("""COMPUTED_VALUE"""),"")</f>
        <v/>
      </c>
      <c r="D447" t="str">
        <f>IFERROR(__xludf.DUMMYFUNCTION("""COMPUTED_VALUE"""),"Eduonix Learning Solutions")</f>
        <v>Eduonix Learning Solutions</v>
      </c>
      <c r="E447" t="str">
        <f>IFERROR(__xludf.DUMMYFUNCTION("""COMPUTED_VALUE"""),"Below Quality Standards")</f>
        <v>Below Quality Standards</v>
      </c>
      <c r="F447" t="str">
        <f>IFERROR(__xludf.DUMMYFUNCTION("""COMPUTED_VALUE"""),"Mobile Development")</f>
        <v>Mobile Development</v>
      </c>
      <c r="G447" s="140">
        <f>IFERROR(__xludf.DUMMYFUNCTION("""COMPUTED_VALUE"""),1253188.0)</f>
        <v>1253188</v>
      </c>
      <c r="H447" s="140" t="str">
        <f>IFERROR(__xludf.DUMMYFUNCTION("""COMPUTED_VALUE"""),"")</f>
        <v/>
      </c>
    </row>
    <row r="448">
      <c r="A448" s="143">
        <f>IFERROR(__xludf.DUMMYFUNCTION("""COMPUTED_VALUE"""),42544.0)</f>
        <v>42544</v>
      </c>
      <c r="B448" s="140">
        <f>IFERROR(__xludf.DUMMYFUNCTION("""COMPUTED_VALUE"""),520300.0)</f>
        <v>520300</v>
      </c>
      <c r="C448" s="140" t="str">
        <f>IFERROR(__xludf.DUMMYFUNCTION("""COMPUTED_VALUE"""),"")</f>
        <v/>
      </c>
      <c r="D448" t="str">
        <f>IFERROR(__xludf.DUMMYFUNCTION("""COMPUTED_VALUE"""),"John Bura")</f>
        <v>John Bura</v>
      </c>
      <c r="E448" t="str">
        <f>IFERROR(__xludf.DUMMYFUNCTION("""COMPUTED_VALUE"""),"Outdated Content")</f>
        <v>Outdated Content</v>
      </c>
      <c r="F448" t="str">
        <f>IFERROR(__xludf.DUMMYFUNCTION("""COMPUTED_VALUE"""),"Back-End Programming")</f>
        <v>Back-End Programming</v>
      </c>
      <c r="G448" s="140">
        <f>IFERROR(__xludf.DUMMYFUNCTION("""COMPUTED_VALUE"""),764164.0)</f>
        <v>764164</v>
      </c>
      <c r="H448" s="140" t="str">
        <f>IFERROR(__xludf.DUMMYFUNCTION("""COMPUTED_VALUE"""),"")</f>
        <v/>
      </c>
    </row>
    <row r="449">
      <c r="A449" s="143">
        <f>IFERROR(__xludf.DUMMYFUNCTION("""COMPUTED_VALUE"""),42544.0)</f>
        <v>42544</v>
      </c>
      <c r="B449" s="140">
        <f>IFERROR(__xludf.DUMMYFUNCTION("""COMPUTED_VALUE"""),531666.0)</f>
        <v>531666</v>
      </c>
      <c r="C449" s="140" t="str">
        <f>IFERROR(__xludf.DUMMYFUNCTION("""COMPUTED_VALUE"""),"")</f>
        <v/>
      </c>
      <c r="D449" t="str">
        <f>IFERROR(__xludf.DUMMYFUNCTION("""COMPUTED_VALUE"""),"Bailey Richert")</f>
        <v>Bailey Richert</v>
      </c>
      <c r="E449" t="str">
        <f>IFERROR(__xludf.DUMMYFUNCTION("""COMPUTED_VALUE"""),"Instructor Request")</f>
        <v>Instructor Request</v>
      </c>
      <c r="F449" t="str">
        <f>IFERROR(__xludf.DUMMYFUNCTION("""COMPUTED_VALUE"""),"Marketing")</f>
        <v>Marketing</v>
      </c>
      <c r="H449" s="140" t="str">
        <f>IFERROR(__xludf.DUMMYFUNCTION("""COMPUTED_VALUE"""),"")</f>
        <v/>
      </c>
    </row>
    <row r="450">
      <c r="A450" s="143">
        <f>IFERROR(__xludf.DUMMYFUNCTION("""COMPUTED_VALUE"""),42544.0)</f>
        <v>42544</v>
      </c>
      <c r="B450" s="140">
        <f>IFERROR(__xludf.DUMMYFUNCTION("""COMPUTED_VALUE"""),339744.0)</f>
        <v>339744</v>
      </c>
      <c r="C450" s="140" t="str">
        <f>IFERROR(__xludf.DUMMYFUNCTION("""COMPUTED_VALUE"""),"")</f>
        <v/>
      </c>
      <c r="D450" t="str">
        <f>IFERROR(__xludf.DUMMYFUNCTION("""COMPUTED_VALUE"""),"Bailey Richert")</f>
        <v>Bailey Richert</v>
      </c>
      <c r="E450" t="str">
        <f>IFERROR(__xludf.DUMMYFUNCTION("""COMPUTED_VALUE"""),"Instructor Request")</f>
        <v>Instructor Request</v>
      </c>
      <c r="F450" t="str">
        <f>IFERROR(__xludf.DUMMYFUNCTION("""COMPUTED_VALUE"""),"Health and Wellness")</f>
        <v>Health and Wellness</v>
      </c>
      <c r="H450" s="140" t="str">
        <f>IFERROR(__xludf.DUMMYFUNCTION("""COMPUTED_VALUE"""),"")</f>
        <v/>
      </c>
    </row>
    <row r="451">
      <c r="A451" s="143">
        <f>IFERROR(__xludf.DUMMYFUNCTION("""COMPUTED_VALUE"""),42544.0)</f>
        <v>42544</v>
      </c>
      <c r="B451" s="140">
        <f>IFERROR(__xludf.DUMMYFUNCTION("""COMPUTED_VALUE"""),438270.0)</f>
        <v>438270</v>
      </c>
      <c r="C451" s="140" t="str">
        <f>IFERROR(__xludf.DUMMYFUNCTION("""COMPUTED_VALUE"""),"")</f>
        <v/>
      </c>
      <c r="D451" t="str">
        <f>IFERROR(__xludf.DUMMYFUNCTION("""COMPUTED_VALUE"""),"Bailey Richert")</f>
        <v>Bailey Richert</v>
      </c>
      <c r="E451" t="str">
        <f>IFERROR(__xludf.DUMMYFUNCTION("""COMPUTED_VALUE"""),"Instructor Request")</f>
        <v>Instructor Request</v>
      </c>
      <c r="F451" t="str">
        <f>IFERROR(__xludf.DUMMYFUNCTION("""COMPUTED_VALUE"""),"Health and Wellness")</f>
        <v>Health and Wellness</v>
      </c>
      <c r="H451" s="140" t="str">
        <f>IFERROR(__xludf.DUMMYFUNCTION("""COMPUTED_VALUE"""),"")</f>
        <v/>
      </c>
    </row>
    <row r="452">
      <c r="A452" s="143">
        <f>IFERROR(__xludf.DUMMYFUNCTION("""COMPUTED_VALUE"""),42544.0)</f>
        <v>42544</v>
      </c>
      <c r="B452" s="140">
        <f>IFERROR(__xludf.DUMMYFUNCTION("""COMPUTED_VALUE"""),438272.0)</f>
        <v>438272</v>
      </c>
      <c r="C452" s="140" t="str">
        <f>IFERROR(__xludf.DUMMYFUNCTION("""COMPUTED_VALUE"""),"")</f>
        <v/>
      </c>
      <c r="D452" t="str">
        <f>IFERROR(__xludf.DUMMYFUNCTION("""COMPUTED_VALUE"""),"Bailey Richert")</f>
        <v>Bailey Richert</v>
      </c>
      <c r="E452" t="str">
        <f>IFERROR(__xludf.DUMMYFUNCTION("""COMPUTED_VALUE"""),"Instructor Request")</f>
        <v>Instructor Request</v>
      </c>
      <c r="F452" t="str">
        <f>IFERROR(__xludf.DUMMYFUNCTION("""COMPUTED_VALUE"""),"Health and Wellness")</f>
        <v>Health and Wellness</v>
      </c>
      <c r="H452" s="140" t="str">
        <f>IFERROR(__xludf.DUMMYFUNCTION("""COMPUTED_VALUE"""),"")</f>
        <v/>
      </c>
    </row>
    <row r="453">
      <c r="A453" s="143">
        <f>IFERROR(__xludf.DUMMYFUNCTION("""COMPUTED_VALUE"""),42544.0)</f>
        <v>42544</v>
      </c>
      <c r="B453" s="140">
        <f>IFERROR(__xludf.DUMMYFUNCTION("""COMPUTED_VALUE"""),438284.0)</f>
        <v>438284</v>
      </c>
      <c r="C453" s="140" t="str">
        <f>IFERROR(__xludf.DUMMYFUNCTION("""COMPUTED_VALUE"""),"")</f>
        <v/>
      </c>
      <c r="D453" t="str">
        <f>IFERROR(__xludf.DUMMYFUNCTION("""COMPUTED_VALUE"""),"Bailey Richert")</f>
        <v>Bailey Richert</v>
      </c>
      <c r="E453" t="str">
        <f>IFERROR(__xludf.DUMMYFUNCTION("""COMPUTED_VALUE"""),"Instructor Request")</f>
        <v>Instructor Request</v>
      </c>
      <c r="F453" t="str">
        <f>IFERROR(__xludf.DUMMYFUNCTION("""COMPUTED_VALUE"""),"Health and Wellness")</f>
        <v>Health and Wellness</v>
      </c>
      <c r="H453" s="140" t="str">
        <f>IFERROR(__xludf.DUMMYFUNCTION("""COMPUTED_VALUE"""),"")</f>
        <v/>
      </c>
    </row>
    <row r="454">
      <c r="A454" s="143">
        <f>IFERROR(__xludf.DUMMYFUNCTION("""COMPUTED_VALUE"""),42544.0)</f>
        <v>42544</v>
      </c>
      <c r="B454" s="140">
        <f>IFERROR(__xludf.DUMMYFUNCTION("""COMPUTED_VALUE"""),438286.0)</f>
        <v>438286</v>
      </c>
      <c r="C454" s="140" t="str">
        <f>IFERROR(__xludf.DUMMYFUNCTION("""COMPUTED_VALUE"""),"")</f>
        <v/>
      </c>
      <c r="D454" t="str">
        <f>IFERROR(__xludf.DUMMYFUNCTION("""COMPUTED_VALUE"""),"Bailey Richert")</f>
        <v>Bailey Richert</v>
      </c>
      <c r="E454" t="str">
        <f>IFERROR(__xludf.DUMMYFUNCTION("""COMPUTED_VALUE"""),"Instructor Request")</f>
        <v>Instructor Request</v>
      </c>
      <c r="F454" t="str">
        <f>IFERROR(__xludf.DUMMYFUNCTION("""COMPUTED_VALUE"""),"Health and Wellness")</f>
        <v>Health and Wellness</v>
      </c>
      <c r="H454" s="140" t="str">
        <f>IFERROR(__xludf.DUMMYFUNCTION("""COMPUTED_VALUE"""),"")</f>
        <v/>
      </c>
    </row>
    <row r="455">
      <c r="A455" s="143">
        <f>IFERROR(__xludf.DUMMYFUNCTION("""COMPUTED_VALUE"""),42544.0)</f>
        <v>42544</v>
      </c>
      <c r="B455" s="140">
        <f>IFERROR(__xludf.DUMMYFUNCTION("""COMPUTED_VALUE"""),438290.0)</f>
        <v>438290</v>
      </c>
      <c r="C455" s="140" t="str">
        <f>IFERROR(__xludf.DUMMYFUNCTION("""COMPUTED_VALUE"""),"")</f>
        <v/>
      </c>
      <c r="D455" t="str">
        <f>IFERROR(__xludf.DUMMYFUNCTION("""COMPUTED_VALUE"""),"Bailey Richert")</f>
        <v>Bailey Richert</v>
      </c>
      <c r="E455" t="str">
        <f>IFERROR(__xludf.DUMMYFUNCTION("""COMPUTED_VALUE"""),"Instructor Request")</f>
        <v>Instructor Request</v>
      </c>
      <c r="F455" t="str">
        <f>IFERROR(__xludf.DUMMYFUNCTION("""COMPUTED_VALUE"""),"Health and Wellness")</f>
        <v>Health and Wellness</v>
      </c>
      <c r="H455" s="140" t="str">
        <f>IFERROR(__xludf.DUMMYFUNCTION("""COMPUTED_VALUE"""),"")</f>
        <v/>
      </c>
    </row>
    <row r="456">
      <c r="A456" s="143">
        <f>IFERROR(__xludf.DUMMYFUNCTION("""COMPUTED_VALUE"""),42544.0)</f>
        <v>42544</v>
      </c>
      <c r="B456" s="140">
        <f>IFERROR(__xludf.DUMMYFUNCTION("""COMPUTED_VALUE"""),445068.0)</f>
        <v>445068</v>
      </c>
      <c r="C456" s="140" t="str">
        <f>IFERROR(__xludf.DUMMYFUNCTION("""COMPUTED_VALUE"""),"")</f>
        <v/>
      </c>
      <c r="D456" t="str">
        <f>IFERROR(__xludf.DUMMYFUNCTION("""COMPUTED_VALUE"""),"Bailey Richert")</f>
        <v>Bailey Richert</v>
      </c>
      <c r="E456" t="str">
        <f>IFERROR(__xludf.DUMMYFUNCTION("""COMPUTED_VALUE"""),"Instructor Request")</f>
        <v>Instructor Request</v>
      </c>
      <c r="F456" t="str">
        <f>IFERROR(__xludf.DUMMYFUNCTION("""COMPUTED_VALUE"""),"Health and Wellness")</f>
        <v>Health and Wellness</v>
      </c>
      <c r="H456" s="140" t="str">
        <f>IFERROR(__xludf.DUMMYFUNCTION("""COMPUTED_VALUE"""),"")</f>
        <v/>
      </c>
    </row>
    <row r="457">
      <c r="A457" s="143">
        <f>IFERROR(__xludf.DUMMYFUNCTION("""COMPUTED_VALUE"""),42544.0)</f>
        <v>42544</v>
      </c>
      <c r="B457" s="140">
        <f>IFERROR(__xludf.DUMMYFUNCTION("""COMPUTED_VALUE"""),37376.0)</f>
        <v>37376</v>
      </c>
      <c r="C457" s="140" t="str">
        <f>IFERROR(__xludf.DUMMYFUNCTION("""COMPUTED_VALUE"""),"")</f>
        <v/>
      </c>
      <c r="D457" t="str">
        <f>IFERROR(__xludf.DUMMYFUNCTION("""COMPUTED_VALUE"""),"John Bura")</f>
        <v>John Bura</v>
      </c>
      <c r="E457" t="str">
        <f>IFERROR(__xludf.DUMMYFUNCTION("""COMPUTED_VALUE"""),"Outdated Content")</f>
        <v>Outdated Content</v>
      </c>
      <c r="F457" t="str">
        <f>IFERROR(__xludf.DUMMYFUNCTION("""COMPUTED_VALUE"""),"Mobile Development")</f>
        <v>Mobile Development</v>
      </c>
      <c r="G457" s="140">
        <f>IFERROR(__xludf.DUMMYFUNCTION("""COMPUTED_VALUE"""),1253188.0)</f>
        <v>1253188</v>
      </c>
      <c r="H457" s="140" t="str">
        <f>IFERROR(__xludf.DUMMYFUNCTION("""COMPUTED_VALUE"""),"")</f>
        <v/>
      </c>
    </row>
    <row r="458">
      <c r="A458" s="143">
        <f>IFERROR(__xludf.DUMMYFUNCTION("""COMPUTED_VALUE"""),42544.0)</f>
        <v>42544</v>
      </c>
      <c r="B458" s="140">
        <f>IFERROR(__xludf.DUMMYFUNCTION("""COMPUTED_VALUE"""),49980.0)</f>
        <v>49980</v>
      </c>
      <c r="C458" s="140" t="str">
        <f>IFERROR(__xludf.DUMMYFUNCTION("""COMPUTED_VALUE"""),"")</f>
        <v/>
      </c>
      <c r="D458" t="str">
        <f>IFERROR(__xludf.DUMMYFUNCTION("""COMPUTED_VALUE"""),"John Bura")</f>
        <v>John Bura</v>
      </c>
      <c r="E458" t="str">
        <f>IFERROR(__xludf.DUMMYFUNCTION("""COMPUTED_VALUE"""),"Outdated Content")</f>
        <v>Outdated Content</v>
      </c>
      <c r="F458" t="str">
        <f>IFERROR(__xludf.DUMMYFUNCTION("""COMPUTED_VALUE"""),"Mobile Development")</f>
        <v>Mobile Development</v>
      </c>
      <c r="G458" s="140">
        <f>IFERROR(__xludf.DUMMYFUNCTION("""COMPUTED_VALUE"""),1253188.0)</f>
        <v>1253188</v>
      </c>
      <c r="H458" s="140" t="str">
        <f>IFERROR(__xludf.DUMMYFUNCTION("""COMPUTED_VALUE"""),"")</f>
        <v/>
      </c>
    </row>
    <row r="459">
      <c r="A459" s="143">
        <f>IFERROR(__xludf.DUMMYFUNCTION("""COMPUTED_VALUE"""),42544.0)</f>
        <v>42544</v>
      </c>
      <c r="B459" s="140">
        <f>IFERROR(__xludf.DUMMYFUNCTION("""COMPUTED_VALUE"""),50854.0)</f>
        <v>50854</v>
      </c>
      <c r="C459" s="140" t="str">
        <f>IFERROR(__xludf.DUMMYFUNCTION("""COMPUTED_VALUE"""),"")</f>
        <v/>
      </c>
      <c r="D459" t="str">
        <f>IFERROR(__xludf.DUMMYFUNCTION("""COMPUTED_VALUE"""),"John Bura")</f>
        <v>John Bura</v>
      </c>
      <c r="E459" t="str">
        <f>IFERROR(__xludf.DUMMYFUNCTION("""COMPUTED_VALUE"""),"Outdated Content")</f>
        <v>Outdated Content</v>
      </c>
      <c r="F459" t="str">
        <f>IFERROR(__xludf.DUMMYFUNCTION("""COMPUTED_VALUE"""),"Mobile Development")</f>
        <v>Mobile Development</v>
      </c>
      <c r="G459" s="140">
        <f>IFERROR(__xludf.DUMMYFUNCTION("""COMPUTED_VALUE"""),1253188.0)</f>
        <v>1253188</v>
      </c>
      <c r="H459" s="140" t="str">
        <f>IFERROR(__xludf.DUMMYFUNCTION("""COMPUTED_VALUE"""),"")</f>
        <v/>
      </c>
    </row>
    <row r="460">
      <c r="A460" s="143">
        <f>IFERROR(__xludf.DUMMYFUNCTION("""COMPUTED_VALUE"""),42544.0)</f>
        <v>42544</v>
      </c>
      <c r="B460" s="140">
        <f>IFERROR(__xludf.DUMMYFUNCTION("""COMPUTED_VALUE"""),549214.0)</f>
        <v>549214</v>
      </c>
      <c r="C460" s="140" t="str">
        <f>IFERROR(__xludf.DUMMYFUNCTION("""COMPUTED_VALUE"""),"")</f>
        <v/>
      </c>
      <c r="D460" t="str">
        <f>IFERROR(__xludf.DUMMYFUNCTION("""COMPUTED_VALUE"""),"John Bura")</f>
        <v>John Bura</v>
      </c>
      <c r="E460" t="str">
        <f>IFERROR(__xludf.DUMMYFUNCTION("""COMPUTED_VALUE"""),"Outdated Content")</f>
        <v>Outdated Content</v>
      </c>
      <c r="F460" t="str">
        <f>IFERROR(__xludf.DUMMYFUNCTION("""COMPUTED_VALUE"""),"Mobile Development")</f>
        <v>Mobile Development</v>
      </c>
      <c r="H460" s="140" t="str">
        <f>IFERROR(__xludf.DUMMYFUNCTION("""COMPUTED_VALUE"""),"")</f>
        <v/>
      </c>
    </row>
    <row r="461">
      <c r="A461" s="143">
        <f>IFERROR(__xludf.DUMMYFUNCTION("""COMPUTED_VALUE"""),42544.0)</f>
        <v>42544</v>
      </c>
      <c r="B461" s="140">
        <f>IFERROR(__xludf.DUMMYFUNCTION("""COMPUTED_VALUE"""),60936.0)</f>
        <v>60936</v>
      </c>
      <c r="C461" s="140" t="str">
        <f>IFERROR(__xludf.DUMMYFUNCTION("""COMPUTED_VALUE"""),"")</f>
        <v/>
      </c>
      <c r="D461" t="str">
        <f>IFERROR(__xludf.DUMMYFUNCTION("""COMPUTED_VALUE"""),"John Bura")</f>
        <v>John Bura</v>
      </c>
      <c r="E461" t="str">
        <f>IFERROR(__xludf.DUMMYFUNCTION("""COMPUTED_VALUE"""),"Outdated Content")</f>
        <v>Outdated Content</v>
      </c>
      <c r="F461" t="str">
        <f>IFERROR(__xludf.DUMMYFUNCTION("""COMPUTED_VALUE"""),"Mobile Development")</f>
        <v>Mobile Development</v>
      </c>
      <c r="G461" s="140">
        <f>IFERROR(__xludf.DUMMYFUNCTION("""COMPUTED_VALUE"""),1253188.0)</f>
        <v>1253188</v>
      </c>
      <c r="H461" s="140" t="str">
        <f>IFERROR(__xludf.DUMMYFUNCTION("""COMPUTED_VALUE"""),"")</f>
        <v/>
      </c>
    </row>
    <row r="462">
      <c r="A462" s="143">
        <f>IFERROR(__xludf.DUMMYFUNCTION("""COMPUTED_VALUE"""),42544.0)</f>
        <v>42544</v>
      </c>
      <c r="B462" s="140">
        <f>IFERROR(__xludf.DUMMYFUNCTION("""COMPUTED_VALUE"""),71624.0)</f>
        <v>71624</v>
      </c>
      <c r="C462" s="140" t="str">
        <f>IFERROR(__xludf.DUMMYFUNCTION("""COMPUTED_VALUE"""),"")</f>
        <v/>
      </c>
      <c r="D462" t="str">
        <f>IFERROR(__xludf.DUMMYFUNCTION("""COMPUTED_VALUE"""),"John Bura")</f>
        <v>John Bura</v>
      </c>
      <c r="E462" t="str">
        <f>IFERROR(__xludf.DUMMYFUNCTION("""COMPUTED_VALUE"""),"Outdated Content")</f>
        <v>Outdated Content</v>
      </c>
      <c r="F462" t="str">
        <f>IFERROR(__xludf.DUMMYFUNCTION("""COMPUTED_VALUE"""),"Mobile Development")</f>
        <v>Mobile Development</v>
      </c>
      <c r="G462" s="140">
        <f>IFERROR(__xludf.DUMMYFUNCTION("""COMPUTED_VALUE"""),1253188.0)</f>
        <v>1253188</v>
      </c>
      <c r="H462" s="140" t="str">
        <f>IFERROR(__xludf.DUMMYFUNCTION("""COMPUTED_VALUE"""),"")</f>
        <v/>
      </c>
    </row>
    <row r="463">
      <c r="A463" s="143">
        <f>IFERROR(__xludf.DUMMYFUNCTION("""COMPUTED_VALUE"""),42526.0)</f>
        <v>42526</v>
      </c>
      <c r="B463" s="140">
        <f>IFERROR(__xludf.DUMMYFUNCTION("""COMPUTED_VALUE"""),545570.0)</f>
        <v>545570</v>
      </c>
      <c r="C463" s="140" t="str">
        <f>IFERROR(__xludf.DUMMYFUNCTION("""COMPUTED_VALUE"""),"")</f>
        <v/>
      </c>
      <c r="D463" t="str">
        <f>IFERROR(__xludf.DUMMYFUNCTION("""COMPUTED_VALUE"""),"Jim Hlad")</f>
        <v>Jim Hlad</v>
      </c>
      <c r="E463" t="str">
        <f>IFERROR(__xludf.DUMMYFUNCTION("""COMPUTED_VALUE"""),"Outdated Content")</f>
        <v>Outdated Content</v>
      </c>
      <c r="F463" t="str">
        <f>IFERROR(__xludf.DUMMYFUNCTION("""COMPUTED_VALUE"""),"Back-End Programming")</f>
        <v>Back-End Programming</v>
      </c>
      <c r="G463" s="140">
        <f>IFERROR(__xludf.DUMMYFUNCTION("""COMPUTED_VALUE"""),593544.0)</f>
        <v>593544</v>
      </c>
      <c r="H463" s="140" t="str">
        <f>IFERROR(__xludf.DUMMYFUNCTION("""COMPUTED_VALUE"""),"")</f>
        <v/>
      </c>
    </row>
    <row r="464">
      <c r="A464" s="143">
        <f>IFERROR(__xludf.DUMMYFUNCTION("""COMPUTED_VALUE"""),42526.0)</f>
        <v>42526</v>
      </c>
      <c r="B464" s="140">
        <f>IFERROR(__xludf.DUMMYFUNCTION("""COMPUTED_VALUE"""),511852.0)</f>
        <v>511852</v>
      </c>
      <c r="C464" s="140" t="str">
        <f>IFERROR(__xludf.DUMMYFUNCTION("""COMPUTED_VALUE"""),"")</f>
        <v/>
      </c>
      <c r="D464" t="str">
        <f>IFERROR(__xludf.DUMMYFUNCTION("""COMPUTED_VALUE"""),"Davis Jones, MBA")</f>
        <v>Davis Jones, MBA</v>
      </c>
      <c r="E464" t="str">
        <f>IFERROR(__xludf.DUMMYFUNCTION("""COMPUTED_VALUE"""),"Instructor Request")</f>
        <v>Instructor Request</v>
      </c>
      <c r="F464" t="str">
        <f>IFERROR(__xludf.DUMMYFUNCTION("""COMPUTED_VALUE"""),"Management")</f>
        <v>Management</v>
      </c>
      <c r="G464" s="140">
        <f>IFERROR(__xludf.DUMMYFUNCTION("""COMPUTED_VALUE"""),482564.0)</f>
        <v>482564</v>
      </c>
      <c r="H464" s="140" t="str">
        <f>IFERROR(__xludf.DUMMYFUNCTION("""COMPUTED_VALUE"""),"")</f>
        <v/>
      </c>
    </row>
    <row r="465">
      <c r="A465" s="143">
        <f>IFERROR(__xludf.DUMMYFUNCTION("""COMPUTED_VALUE"""),42526.0)</f>
        <v>42526</v>
      </c>
      <c r="B465" s="140">
        <f>IFERROR(__xludf.DUMMYFUNCTION("""COMPUTED_VALUE"""),463266.0)</f>
        <v>463266</v>
      </c>
      <c r="C465" s="140" t="str">
        <f>IFERROR(__xludf.DUMMYFUNCTION("""COMPUTED_VALUE"""),"")</f>
        <v/>
      </c>
      <c r="D465" t="str">
        <f>IFERROR(__xludf.DUMMYFUNCTION("""COMPUTED_VALUE"""),"Len Smith")</f>
        <v>Len Smith</v>
      </c>
      <c r="E465" t="str">
        <f>IFERROR(__xludf.DUMMYFUNCTION("""COMPUTED_VALUE"""),"Clone Course Replacement")</f>
        <v>Clone Course Replacement</v>
      </c>
      <c r="F465" t="str">
        <f>IFERROR(__xludf.DUMMYFUNCTION("""COMPUTED_VALUE"""),"Marketing")</f>
        <v>Marketing</v>
      </c>
      <c r="G465" s="140">
        <f>IFERROR(__xludf.DUMMYFUNCTION("""COMPUTED_VALUE"""),325666.0)</f>
        <v>325666</v>
      </c>
      <c r="H465" s="140" t="str">
        <f>IFERROR(__xludf.DUMMYFUNCTION("""COMPUTED_VALUE"""),"")</f>
        <v/>
      </c>
    </row>
    <row r="466">
      <c r="A466" s="143">
        <f>IFERROR(__xludf.DUMMYFUNCTION("""COMPUTED_VALUE"""),42526.0)</f>
        <v>42526</v>
      </c>
      <c r="B466" s="140">
        <f>IFERROR(__xludf.DUMMYFUNCTION("""COMPUTED_VALUE"""),463268.0)</f>
        <v>463268</v>
      </c>
      <c r="C466" s="140" t="str">
        <f>IFERROR(__xludf.DUMMYFUNCTION("""COMPUTED_VALUE"""),"")</f>
        <v/>
      </c>
      <c r="D466" t="str">
        <f>IFERROR(__xludf.DUMMYFUNCTION("""COMPUTED_VALUE"""),"Len Smith")</f>
        <v>Len Smith</v>
      </c>
      <c r="E466" t="str">
        <f>IFERROR(__xludf.DUMMYFUNCTION("""COMPUTED_VALUE"""),"Clone Course Replacement")</f>
        <v>Clone Course Replacement</v>
      </c>
      <c r="F466" t="str">
        <f>IFERROR(__xludf.DUMMYFUNCTION("""COMPUTED_VALUE"""),"Marketing")</f>
        <v>Marketing</v>
      </c>
      <c r="H466" s="140" t="str">
        <f>IFERROR(__xludf.DUMMYFUNCTION("""COMPUTED_VALUE"""),"")</f>
        <v/>
      </c>
    </row>
    <row r="467">
      <c r="A467" s="143">
        <f>IFERROR(__xludf.DUMMYFUNCTION("""COMPUTED_VALUE"""),42526.0)</f>
        <v>42526</v>
      </c>
      <c r="B467" s="140">
        <f>IFERROR(__xludf.DUMMYFUNCTION("""COMPUTED_VALUE"""),463272.0)</f>
        <v>463272</v>
      </c>
      <c r="C467" s="140" t="str">
        <f>IFERROR(__xludf.DUMMYFUNCTION("""COMPUTED_VALUE"""),"")</f>
        <v/>
      </c>
      <c r="D467" t="str">
        <f>IFERROR(__xludf.DUMMYFUNCTION("""COMPUTED_VALUE"""),"Len Smith")</f>
        <v>Len Smith</v>
      </c>
      <c r="E467" t="str">
        <f>IFERROR(__xludf.DUMMYFUNCTION("""COMPUTED_VALUE"""),"Clone Course Replacement")</f>
        <v>Clone Course Replacement</v>
      </c>
      <c r="F467" t="str">
        <f>IFERROR(__xludf.DUMMYFUNCTION("""COMPUTED_VALUE"""),"Marketing")</f>
        <v>Marketing</v>
      </c>
      <c r="G467" s="140">
        <f>IFERROR(__xludf.DUMMYFUNCTION("""COMPUTED_VALUE"""),365176.0)</f>
        <v>365176</v>
      </c>
      <c r="H467" s="140" t="str">
        <f>IFERROR(__xludf.DUMMYFUNCTION("""COMPUTED_VALUE"""),"")</f>
        <v/>
      </c>
    </row>
    <row r="468">
      <c r="A468" s="143">
        <f>IFERROR(__xludf.DUMMYFUNCTION("""COMPUTED_VALUE"""),42526.0)</f>
        <v>42526</v>
      </c>
      <c r="B468" s="140">
        <f>IFERROR(__xludf.DUMMYFUNCTION("""COMPUTED_VALUE"""),463264.0)</f>
        <v>463264</v>
      </c>
      <c r="C468" s="140" t="str">
        <f>IFERROR(__xludf.DUMMYFUNCTION("""COMPUTED_VALUE"""),"")</f>
        <v/>
      </c>
      <c r="D468" t="str">
        <f>IFERROR(__xludf.DUMMYFUNCTION("""COMPUTED_VALUE"""),"Len Smith")</f>
        <v>Len Smith</v>
      </c>
      <c r="E468" t="str">
        <f>IFERROR(__xludf.DUMMYFUNCTION("""COMPUTED_VALUE"""),"Clone Course Replacement")</f>
        <v>Clone Course Replacement</v>
      </c>
      <c r="F468" t="str">
        <f>IFERROR(__xludf.DUMMYFUNCTION("""COMPUTED_VALUE"""),"Sales")</f>
        <v>Sales</v>
      </c>
      <c r="G468" s="140">
        <f>IFERROR(__xludf.DUMMYFUNCTION("""COMPUTED_VALUE"""),619692.0)</f>
        <v>619692</v>
      </c>
      <c r="H468" s="140" t="str">
        <f>IFERROR(__xludf.DUMMYFUNCTION("""COMPUTED_VALUE"""),"")</f>
        <v/>
      </c>
      <c r="I468" s="142" t="str">
        <f>IFERROR(__xludf.DUMMYFUNCTION("""COMPUTED_VALUE"""),"1347836")</f>
        <v>1347836</v>
      </c>
      <c r="J468" t="str">
        <f>IFERROR(__xludf.DUMMYFUNCTION("""COMPUTED_VALUE"""),"Acumen Presents: Daniel Pink on the Art of Selling")</f>
        <v>Acumen Presents: Daniel Pink on the Art of Selling</v>
      </c>
      <c r="K468" s="142" t="str">
        <f>IFERROR(__xludf.DUMMYFUNCTION("""COMPUTED_VALUE"""),"563478")</f>
        <v>563478</v>
      </c>
      <c r="L468" t="str">
        <f>IFERROR(__xludf.DUMMYFUNCTION("""COMPUTED_VALUE"""),"Sales Training: Practical Sales Techniques")</f>
        <v>Sales Training: Practical Sales Techniques</v>
      </c>
    </row>
    <row r="469">
      <c r="A469" s="143">
        <f>IFERROR(__xludf.DUMMYFUNCTION("""COMPUTED_VALUE"""),42526.0)</f>
        <v>42526</v>
      </c>
      <c r="B469" s="140">
        <f>IFERROR(__xludf.DUMMYFUNCTION("""COMPUTED_VALUE"""),463262.0)</f>
        <v>463262</v>
      </c>
      <c r="C469" s="140" t="str">
        <f>IFERROR(__xludf.DUMMYFUNCTION("""COMPUTED_VALUE"""),"")</f>
        <v/>
      </c>
      <c r="D469" t="str">
        <f>IFERROR(__xludf.DUMMYFUNCTION("""COMPUTED_VALUE"""),"Len Smith")</f>
        <v>Len Smith</v>
      </c>
      <c r="E469" t="str">
        <f>IFERROR(__xludf.DUMMYFUNCTION("""COMPUTED_VALUE"""),"Clone Course Replacement")</f>
        <v>Clone Course Replacement</v>
      </c>
      <c r="F469" t="str">
        <f>IFERROR(__xludf.DUMMYFUNCTION("""COMPUTED_VALUE"""),"Soft Skills")</f>
        <v>Soft Skills</v>
      </c>
      <c r="G469" s="140">
        <f>IFERROR(__xludf.DUMMYFUNCTION("""COMPUTED_VALUE"""),852192.0)</f>
        <v>852192</v>
      </c>
      <c r="H469" s="140" t="str">
        <f>IFERROR(__xludf.DUMMYFUNCTION("""COMPUTED_VALUE"""),"")</f>
        <v/>
      </c>
    </row>
    <row r="470">
      <c r="A470" s="143">
        <f>IFERROR(__xludf.DUMMYFUNCTION("""COMPUTED_VALUE"""),42526.0)</f>
        <v>42526</v>
      </c>
      <c r="B470" s="140">
        <f>IFERROR(__xludf.DUMMYFUNCTION("""COMPUTED_VALUE"""),463270.0)</f>
        <v>463270</v>
      </c>
      <c r="C470" s="140" t="str">
        <f>IFERROR(__xludf.DUMMYFUNCTION("""COMPUTED_VALUE"""),"")</f>
        <v/>
      </c>
      <c r="D470" t="str">
        <f>IFERROR(__xludf.DUMMYFUNCTION("""COMPUTED_VALUE"""),"Len Smith")</f>
        <v>Len Smith</v>
      </c>
      <c r="E470" t="str">
        <f>IFERROR(__xludf.DUMMYFUNCTION("""COMPUTED_VALUE"""),"Clone Course Replacement")</f>
        <v>Clone Course Replacement</v>
      </c>
      <c r="F470" t="str">
        <f>IFERROR(__xludf.DUMMYFUNCTION("""COMPUTED_VALUE"""),"Soft Skills")</f>
        <v>Soft Skills</v>
      </c>
      <c r="G470" s="140">
        <f>IFERROR(__xludf.DUMMYFUNCTION("""COMPUTED_VALUE"""),484114.0)</f>
        <v>484114</v>
      </c>
      <c r="H470" s="140" t="str">
        <f>IFERROR(__xludf.DUMMYFUNCTION("""COMPUTED_VALUE"""),"")</f>
        <v/>
      </c>
    </row>
    <row r="471">
      <c r="A471" s="143">
        <f>IFERROR(__xludf.DUMMYFUNCTION("""COMPUTED_VALUE"""),42501.169652777775)</f>
        <v>42501.16965</v>
      </c>
      <c r="B471" s="140">
        <f>IFERROR(__xludf.DUMMYFUNCTION("""COMPUTED_VALUE"""),404796.0)</f>
        <v>404796</v>
      </c>
      <c r="C471" s="140" t="str">
        <f>IFERROR(__xludf.DUMMYFUNCTION("""COMPUTED_VALUE"""),"")</f>
        <v/>
      </c>
      <c r="D471" t="str">
        <f>IFERROR(__xludf.DUMMYFUNCTION("""COMPUTED_VALUE"""),"Frontend Masters")</f>
        <v>Frontend Masters</v>
      </c>
      <c r="E471" t="str">
        <f>IFERROR(__xludf.DUMMYFUNCTION("""COMPUTED_VALUE"""),"Instructor Request")</f>
        <v>Instructor Request</v>
      </c>
      <c r="F471" t="str">
        <f>IFERROR(__xludf.DUMMYFUNCTION("""COMPUTED_VALUE"""),"Back-End Programming")</f>
        <v>Back-End Programming</v>
      </c>
      <c r="G471" s="140">
        <f>IFERROR(__xludf.DUMMYFUNCTION("""COMPUTED_VALUE"""),851712.0)</f>
        <v>851712</v>
      </c>
      <c r="H471" s="140" t="str">
        <f>IFERROR(__xludf.DUMMYFUNCTION("""COMPUTED_VALUE"""),"")</f>
        <v/>
      </c>
    </row>
    <row r="472">
      <c r="A472" s="143">
        <f>IFERROR(__xludf.DUMMYFUNCTION("""COMPUTED_VALUE"""),42487.38333333333)</f>
        <v>42487.38333</v>
      </c>
      <c r="B472" s="140">
        <f>IFERROR(__xludf.DUMMYFUNCTION("""COMPUTED_VALUE"""),185774.0)</f>
        <v>185774</v>
      </c>
      <c r="C472" s="140" t="str">
        <f>IFERROR(__xludf.DUMMYFUNCTION("""COMPUTED_VALUE"""),"")</f>
        <v/>
      </c>
      <c r="D472" t="str">
        <f>IFERROR(__xludf.DUMMYFUNCTION("""COMPUTED_VALUE"""),"Rob Percival")</f>
        <v>Rob Percival</v>
      </c>
      <c r="E472" t="str">
        <f>IFERROR(__xludf.DUMMYFUNCTION("""COMPUTED_VALUE"""),"Replacement Course")</f>
        <v>Replacement Course</v>
      </c>
      <c r="F472" t="str">
        <f>IFERROR(__xludf.DUMMYFUNCTION("""COMPUTED_VALUE"""),"Back-End Programming")</f>
        <v>Back-End Programming</v>
      </c>
      <c r="G472" s="140">
        <f>IFERROR(__xludf.DUMMYFUNCTION("""COMPUTED_VALUE"""),764164.0)</f>
        <v>764164</v>
      </c>
      <c r="H472" s="140" t="str">
        <f>IFERROR(__xludf.DUMMYFUNCTION("""COMPUTED_VALUE"""),"")</f>
        <v/>
      </c>
    </row>
    <row r="473">
      <c r="A473" s="143">
        <f>IFERROR(__xludf.DUMMYFUNCTION("""COMPUTED_VALUE"""),42482.146099537036)</f>
        <v>42482.1461</v>
      </c>
      <c r="B473" s="140">
        <f>IFERROR(__xludf.DUMMYFUNCTION("""COMPUTED_VALUE"""),39415.0)</f>
        <v>39415</v>
      </c>
      <c r="C473" s="140" t="str">
        <f>IFERROR(__xludf.DUMMYFUNCTION("""COMPUTED_VALUE"""),"")</f>
        <v/>
      </c>
      <c r="D473" t="str">
        <f>IFERROR(__xludf.DUMMYFUNCTION("""COMPUTED_VALUE"""),"PRINCE2 Foundation Course - Management Plaza")</f>
        <v>PRINCE2 Foundation Course - Management Plaza</v>
      </c>
      <c r="E473" t="str">
        <f>IFERROR(__xludf.DUMMYFUNCTION("""COMPUTED_VALUE"""),"Outdated Content")</f>
        <v>Outdated Content</v>
      </c>
      <c r="F473" t="str">
        <f>IFERROR(__xludf.DUMMYFUNCTION("""COMPUTED_VALUE"""),"Operations")</f>
        <v>Operations</v>
      </c>
      <c r="G473" s="140">
        <f>IFERROR(__xludf.DUMMYFUNCTION("""COMPUTED_VALUE"""),324736.0)</f>
        <v>324736</v>
      </c>
      <c r="H473" s="140" t="str">
        <f>IFERROR(__xludf.DUMMYFUNCTION("""COMPUTED_VALUE"""),"")</f>
        <v/>
      </c>
    </row>
    <row r="474">
      <c r="A474" s="143">
        <f>IFERROR(__xludf.DUMMYFUNCTION("""COMPUTED_VALUE"""),42457.08818287037)</f>
        <v>42457.08818</v>
      </c>
      <c r="B474" s="140">
        <f>IFERROR(__xludf.DUMMYFUNCTION("""COMPUTED_VALUE"""),195816.0)</f>
        <v>195816</v>
      </c>
      <c r="C474" s="140" t="str">
        <f>IFERROR(__xludf.DUMMYFUNCTION("""COMPUTED_VALUE"""),"")</f>
        <v/>
      </c>
      <c r="D474" t="str">
        <f>IFERROR(__xludf.DUMMYFUNCTION("""COMPUTED_VALUE"""),"Hootsuite")</f>
        <v>Hootsuite</v>
      </c>
      <c r="E474" t="str">
        <f>IFERROR(__xludf.DUMMYFUNCTION("""COMPUTED_VALUE"""),"Instructor Request")</f>
        <v>Instructor Request</v>
      </c>
      <c r="F474" t="str">
        <f>IFERROR(__xludf.DUMMYFUNCTION("""COMPUTED_VALUE"""),"Marketing")</f>
        <v>Marketing</v>
      </c>
      <c r="G474" s="140">
        <f>IFERROR(__xludf.DUMMYFUNCTION("""COMPUTED_VALUE"""),959128.0)</f>
        <v>959128</v>
      </c>
      <c r="H474" s="140" t="str">
        <f>IFERROR(__xludf.DUMMYFUNCTION("""COMPUTED_VALUE"""),"")</f>
        <v/>
      </c>
      <c r="M474" t="str">
        <f>IFERROR(__xludf.DUMMYFUNCTION("""COMPUTED_VALUE"""),"Want to manage content in their own ecosystem")</f>
        <v>Want to manage content in their own ecosystem</v>
      </c>
    </row>
    <row r="475">
      <c r="A475" s="143">
        <f>IFERROR(__xludf.DUMMYFUNCTION("""COMPUTED_VALUE"""),42452.50670138889)</f>
        <v>42452.5067</v>
      </c>
      <c r="B475" s="140">
        <f>IFERROR(__xludf.DUMMYFUNCTION("""COMPUTED_VALUE"""),435890.0)</f>
        <v>435890</v>
      </c>
      <c r="C475" s="140" t="str">
        <f>IFERROR(__xludf.DUMMYFUNCTION("""COMPUTED_VALUE"""),"")</f>
        <v/>
      </c>
      <c r="D475" t="str">
        <f>IFERROR(__xludf.DUMMYFUNCTION("""COMPUTED_VALUE"""),"Tim Buchalka")</f>
        <v>Tim Buchalka</v>
      </c>
      <c r="E475" t="str">
        <f>IFERROR(__xludf.DUMMYFUNCTION("""COMPUTED_VALUE"""),"Low Usage")</f>
        <v>Low Usage</v>
      </c>
      <c r="F475" t="str">
        <f>IFERROR(__xludf.DUMMYFUNCTION("""COMPUTED_VALUE"""),"Mobile Development")</f>
        <v>Mobile Development</v>
      </c>
      <c r="G475" s="140">
        <f>IFERROR(__xludf.DUMMYFUNCTION("""COMPUTED_VALUE"""),951618.0)</f>
        <v>951618</v>
      </c>
      <c r="H475" s="140" t="str">
        <f>IFERROR(__xludf.DUMMYFUNCTION("""COMPUTED_VALUE"""),"")</f>
        <v/>
      </c>
    </row>
    <row r="476">
      <c r="A476" s="143">
        <f>IFERROR(__xludf.DUMMYFUNCTION("""COMPUTED_VALUE"""),42445.50465277778)</f>
        <v>42445.50465</v>
      </c>
      <c r="B476" s="140">
        <f>IFERROR(__xludf.DUMMYFUNCTION("""COMPUTED_VALUE"""),498608.0)</f>
        <v>498608</v>
      </c>
      <c r="C476" s="140" t="str">
        <f>IFERROR(__xludf.DUMMYFUNCTION("""COMPUTED_VALUE"""),"")</f>
        <v/>
      </c>
      <c r="D476" t="str">
        <f>IFERROR(__xludf.DUMMYFUNCTION("""COMPUTED_VALUE"""),"Tim Buchalka")</f>
        <v>Tim Buchalka</v>
      </c>
      <c r="E476" t="str">
        <f>IFERROR(__xludf.DUMMYFUNCTION("""COMPUTED_VALUE"""),"Outdated Content")</f>
        <v>Outdated Content</v>
      </c>
      <c r="F476" t="str">
        <f>IFERROR(__xludf.DUMMYFUNCTION("""COMPUTED_VALUE"""),"Mobile Development")</f>
        <v>Mobile Development</v>
      </c>
      <c r="G476" s="140">
        <f>IFERROR(__xludf.DUMMYFUNCTION("""COMPUTED_VALUE"""),345340.0)</f>
        <v>345340</v>
      </c>
      <c r="H476" s="140" t="str">
        <f>IFERROR(__xludf.DUMMYFUNCTION("""COMPUTED_VALUE"""),"")</f>
        <v/>
      </c>
    </row>
    <row r="477">
      <c r="A477" s="143">
        <f>IFERROR(__xludf.DUMMYFUNCTION("""COMPUTED_VALUE"""),42445.413125)</f>
        <v>42445.41313</v>
      </c>
      <c r="B477" s="140">
        <f>IFERROR(__xludf.DUMMYFUNCTION("""COMPUTED_VALUE"""),71520.0)</f>
        <v>71520</v>
      </c>
      <c r="C477" s="140" t="str">
        <f>IFERROR(__xludf.DUMMYFUNCTION("""COMPUTED_VALUE"""),"")</f>
        <v/>
      </c>
      <c r="D477" t="str">
        <f>IFERROR(__xludf.DUMMYFUNCTION("""COMPUTED_VALUE"""),"ITSM Zone")</f>
        <v>ITSM Zone</v>
      </c>
      <c r="E477" t="str">
        <f>IFERROR(__xludf.DUMMYFUNCTION("""COMPUTED_VALUE"""),"Pricing Change")</f>
        <v>Pricing Change</v>
      </c>
      <c r="F477" t="str">
        <f>IFERROR(__xludf.DUMMYFUNCTION("""COMPUTED_VALUE"""),"Software and Systems")</f>
        <v>Software and Systems</v>
      </c>
      <c r="G477" s="140">
        <f>IFERROR(__xludf.DUMMYFUNCTION("""COMPUTED_VALUE"""),1127784.0)</f>
        <v>1127784</v>
      </c>
      <c r="H477" s="140" t="str">
        <f>IFERROR(__xludf.DUMMYFUNCTION("""COMPUTED_VALUE"""),"")</f>
        <v/>
      </c>
    </row>
    <row r="478">
      <c r="A478" s="143">
        <f>IFERROR(__xludf.DUMMYFUNCTION("""COMPUTED_VALUE"""),42444.632789351854)</f>
        <v>42444.63279</v>
      </c>
      <c r="B478" s="140">
        <f>IFERROR(__xludf.DUMMYFUNCTION("""COMPUTED_VALUE"""),405326.0)</f>
        <v>405326</v>
      </c>
      <c r="C478" s="140" t="str">
        <f>IFERROR(__xludf.DUMMYFUNCTION("""COMPUTED_VALUE"""),"")</f>
        <v/>
      </c>
      <c r="D478" t="str">
        <f>IFERROR(__xludf.DUMMYFUNCTION("""COMPUTED_VALUE"""),"The Main Street Entrepreneur")</f>
        <v>The Main Street Entrepreneur</v>
      </c>
      <c r="E478" t="str">
        <f>IFERROR(__xludf.DUMMYFUNCTION("""COMPUTED_VALUE"""),"Pricing Change")</f>
        <v>Pricing Change</v>
      </c>
      <c r="F478" t="str">
        <f>IFERROR(__xludf.DUMMYFUNCTION("""COMPUTED_VALUE"""),"Finance and Accounting")</f>
        <v>Finance and Accounting</v>
      </c>
      <c r="G478" s="140">
        <f>IFERROR(__xludf.DUMMYFUNCTION("""COMPUTED_VALUE"""),172898.0)</f>
        <v>172898</v>
      </c>
      <c r="H478" s="140" t="str">
        <f>IFERROR(__xludf.DUMMYFUNCTION("""COMPUTED_VALUE"""),"")</f>
        <v/>
      </c>
    </row>
    <row r="479">
      <c r="A479" s="143">
        <f>IFERROR(__xludf.DUMMYFUNCTION("""COMPUTED_VALUE"""),42444.501539351855)</f>
        <v>42444.50154</v>
      </c>
      <c r="B479" s="140">
        <f>IFERROR(__xludf.DUMMYFUNCTION("""COMPUTED_VALUE"""),138058.0)</f>
        <v>138058</v>
      </c>
      <c r="C479" s="140" t="str">
        <f>IFERROR(__xludf.DUMMYFUNCTION("""COMPUTED_VALUE"""),"")</f>
        <v/>
      </c>
      <c r="D479" t="str">
        <f>IFERROR(__xludf.DUMMYFUNCTION("""COMPUTED_VALUE"""),"Fred Pelard")</f>
        <v>Fred Pelard</v>
      </c>
      <c r="E479" t="str">
        <f>IFERROR(__xludf.DUMMYFUNCTION("""COMPUTED_VALUE"""),"Pricing Change")</f>
        <v>Pricing Change</v>
      </c>
      <c r="F479" t="str">
        <f>IFERROR(__xludf.DUMMYFUNCTION("""COMPUTED_VALUE"""),"Strategy")</f>
        <v>Strategy</v>
      </c>
      <c r="G479" s="140">
        <f>IFERROR(__xludf.DUMMYFUNCTION("""COMPUTED_VALUE"""),240450.0)</f>
        <v>240450</v>
      </c>
      <c r="H479" s="140" t="str">
        <f>IFERROR(__xludf.DUMMYFUNCTION("""COMPUTED_VALUE"""),"")</f>
        <v/>
      </c>
    </row>
    <row r="480">
      <c r="A480" s="143">
        <f>IFERROR(__xludf.DUMMYFUNCTION("""COMPUTED_VALUE"""),42444.1609837963)</f>
        <v>42444.16098</v>
      </c>
      <c r="B480" s="140">
        <f>IFERROR(__xludf.DUMMYFUNCTION("""COMPUTED_VALUE"""),94038.0)</f>
        <v>94038</v>
      </c>
      <c r="C480" s="140" t="str">
        <f>IFERROR(__xludf.DUMMYFUNCTION("""COMPUTED_VALUE"""),"")</f>
        <v/>
      </c>
      <c r="D480" t="str">
        <f>IFERROR(__xludf.DUMMYFUNCTION("""COMPUTED_VALUE"""),"ITSM Zone")</f>
        <v>ITSM Zone</v>
      </c>
      <c r="E480" t="str">
        <f>IFERROR(__xludf.DUMMYFUNCTION("""COMPUTED_VALUE"""),"Pricing Change")</f>
        <v>Pricing Change</v>
      </c>
      <c r="F480" t="str">
        <f>IFERROR(__xludf.DUMMYFUNCTION("""COMPUTED_VALUE"""),"Software and Systems")</f>
        <v>Software and Systems</v>
      </c>
      <c r="G480" s="140">
        <f>IFERROR(__xludf.DUMMYFUNCTION("""COMPUTED_VALUE"""),1127784.0)</f>
        <v>1127784</v>
      </c>
      <c r="H480" s="140" t="str">
        <f>IFERROR(__xludf.DUMMYFUNCTION("""COMPUTED_VALUE"""),"")</f>
        <v/>
      </c>
    </row>
    <row r="481">
      <c r="A481" s="143">
        <f>IFERROR(__xludf.DUMMYFUNCTION("""COMPUTED_VALUE"""),42443.77553240741)</f>
        <v>42443.77553</v>
      </c>
      <c r="B481" s="140">
        <f>IFERROR(__xludf.DUMMYFUNCTION("""COMPUTED_VALUE"""),63640.0)</f>
        <v>63640</v>
      </c>
      <c r="C481" s="140" t="str">
        <f>IFERROR(__xludf.DUMMYFUNCTION("""COMPUTED_VALUE"""),"")</f>
        <v/>
      </c>
      <c r="D481" t="str">
        <f>IFERROR(__xludf.DUMMYFUNCTION("""COMPUTED_VALUE"""),"Fred Pelard")</f>
        <v>Fred Pelard</v>
      </c>
      <c r="E481" t="str">
        <f>IFERROR(__xludf.DUMMYFUNCTION("""COMPUTED_VALUE"""),"Pricing Change")</f>
        <v>Pricing Change</v>
      </c>
      <c r="F481" t="str">
        <f>IFERROR(__xludf.DUMMYFUNCTION("""COMPUTED_VALUE"""),"Strategy")</f>
        <v>Strategy</v>
      </c>
      <c r="G481" s="140">
        <f>IFERROR(__xludf.DUMMYFUNCTION("""COMPUTED_VALUE"""),240450.0)</f>
        <v>240450</v>
      </c>
      <c r="H481" s="140" t="str">
        <f>IFERROR(__xludf.DUMMYFUNCTION("""COMPUTED_VALUE"""),"")</f>
        <v/>
      </c>
    </row>
    <row r="482">
      <c r="A482" s="143">
        <f>IFERROR(__xludf.DUMMYFUNCTION("""COMPUTED_VALUE"""),42443.55813657407)</f>
        <v>42443.55814</v>
      </c>
      <c r="B482" s="140">
        <f>IFERROR(__xludf.DUMMYFUNCTION("""COMPUTED_VALUE"""),150724.0)</f>
        <v>150724</v>
      </c>
      <c r="C482" s="140" t="str">
        <f>IFERROR(__xludf.DUMMYFUNCTION("""COMPUTED_VALUE"""),"")</f>
        <v/>
      </c>
      <c r="D482" t="str">
        <f>IFERROR(__xludf.DUMMYFUNCTION("""COMPUTED_VALUE"""),"Fred Pelard")</f>
        <v>Fred Pelard</v>
      </c>
      <c r="E482" t="str">
        <f>IFERROR(__xludf.DUMMYFUNCTION("""COMPUTED_VALUE"""),"Pricing Change")</f>
        <v>Pricing Change</v>
      </c>
      <c r="F482" t="str">
        <f>IFERROR(__xludf.DUMMYFUNCTION("""COMPUTED_VALUE"""),"Strategy")</f>
        <v>Strategy</v>
      </c>
      <c r="G482" s="140">
        <f>IFERROR(__xludf.DUMMYFUNCTION("""COMPUTED_VALUE"""),240450.0)</f>
        <v>240450</v>
      </c>
      <c r="H482" s="140" t="str">
        <f>IFERROR(__xludf.DUMMYFUNCTION("""COMPUTED_VALUE"""),"")</f>
        <v/>
      </c>
    </row>
    <row r="483">
      <c r="A483" s="143">
        <f>IFERROR(__xludf.DUMMYFUNCTION("""COMPUTED_VALUE"""),42443.35488425926)</f>
        <v>42443.35488</v>
      </c>
      <c r="B483" s="140">
        <f>IFERROR(__xludf.DUMMYFUNCTION("""COMPUTED_VALUE"""),136752.0)</f>
        <v>136752</v>
      </c>
      <c r="C483" s="140" t="str">
        <f>IFERROR(__xludf.DUMMYFUNCTION("""COMPUTED_VALUE"""),"")</f>
        <v/>
      </c>
      <c r="D483" t="str">
        <f>IFERROR(__xludf.DUMMYFUNCTION("""COMPUTED_VALUE"""),"Fred Pelard")</f>
        <v>Fred Pelard</v>
      </c>
      <c r="E483" t="str">
        <f>IFERROR(__xludf.DUMMYFUNCTION("""COMPUTED_VALUE"""),"Pricing Change")</f>
        <v>Pricing Change</v>
      </c>
      <c r="F483" t="str">
        <f>IFERROR(__xludf.DUMMYFUNCTION("""COMPUTED_VALUE"""),"Strategy")</f>
        <v>Strategy</v>
      </c>
      <c r="G483" s="140">
        <f>IFERROR(__xludf.DUMMYFUNCTION("""COMPUTED_VALUE"""),240450.0)</f>
        <v>240450</v>
      </c>
      <c r="H483" s="140" t="str">
        <f>IFERROR(__xludf.DUMMYFUNCTION("""COMPUTED_VALUE"""),"")</f>
        <v/>
      </c>
    </row>
    <row r="484">
      <c r="A484" s="143">
        <f>IFERROR(__xludf.DUMMYFUNCTION("""COMPUTED_VALUE"""),42441.28381944444)</f>
        <v>42441.28382</v>
      </c>
      <c r="B484" s="140">
        <f>IFERROR(__xludf.DUMMYFUNCTION("""COMPUTED_VALUE"""),73322.0)</f>
        <v>73322</v>
      </c>
      <c r="C484" s="140" t="str">
        <f>IFERROR(__xludf.DUMMYFUNCTION("""COMPUTED_VALUE"""),"")</f>
        <v/>
      </c>
      <c r="D484" t="str">
        <f>IFERROR(__xludf.DUMMYFUNCTION("""COMPUTED_VALUE"""),"Fred Pelard")</f>
        <v>Fred Pelard</v>
      </c>
      <c r="E484" t="str">
        <f>IFERROR(__xludf.DUMMYFUNCTION("""COMPUTED_VALUE"""),"Pricing Change")</f>
        <v>Pricing Change</v>
      </c>
      <c r="F484" t="str">
        <f>IFERROR(__xludf.DUMMYFUNCTION("""COMPUTED_VALUE"""),"Strategy")</f>
        <v>Strategy</v>
      </c>
      <c r="G484" s="140">
        <f>IFERROR(__xludf.DUMMYFUNCTION("""COMPUTED_VALUE"""),240450.0)</f>
        <v>240450</v>
      </c>
      <c r="H484" s="140" t="str">
        <f>IFERROR(__xludf.DUMMYFUNCTION("""COMPUTED_VALUE"""),"")</f>
        <v/>
      </c>
    </row>
    <row r="485">
      <c r="A485" s="143">
        <f>IFERROR(__xludf.DUMMYFUNCTION("""COMPUTED_VALUE"""),42439.67962962963)</f>
        <v>42439.67963</v>
      </c>
      <c r="B485" s="140">
        <f>IFERROR(__xludf.DUMMYFUNCTION("""COMPUTED_VALUE"""),306570.0)</f>
        <v>306570</v>
      </c>
      <c r="C485" s="140" t="str">
        <f>IFERROR(__xludf.DUMMYFUNCTION("""COMPUTED_VALUE"""),"")</f>
        <v/>
      </c>
      <c r="D485" t="str">
        <f>IFERROR(__xludf.DUMMYFUNCTION("""COMPUTED_VALUE"""),"Tim Buchalka")</f>
        <v>Tim Buchalka</v>
      </c>
      <c r="E485" t="str">
        <f>IFERROR(__xludf.DUMMYFUNCTION("""COMPUTED_VALUE"""),"Low Usage")</f>
        <v>Low Usage</v>
      </c>
      <c r="F485" t="str">
        <f>IFERROR(__xludf.DUMMYFUNCTION("""COMPUTED_VALUE"""),"Mobile Development")</f>
        <v>Mobile Development</v>
      </c>
      <c r="G485" s="140">
        <f>IFERROR(__xludf.DUMMYFUNCTION("""COMPUTED_VALUE"""),1178124.0)</f>
        <v>1178124</v>
      </c>
      <c r="H485" s="140" t="str">
        <f>IFERROR(__xludf.DUMMYFUNCTION("""COMPUTED_VALUE"""),"")</f>
        <v/>
      </c>
    </row>
    <row r="486">
      <c r="A486" s="143">
        <f>IFERROR(__xludf.DUMMYFUNCTION("""COMPUTED_VALUE"""),42438.37149305556)</f>
        <v>42438.37149</v>
      </c>
      <c r="B486" s="140">
        <f>IFERROR(__xludf.DUMMYFUNCTION("""COMPUTED_VALUE"""),155978.0)</f>
        <v>155978</v>
      </c>
      <c r="C486" s="140" t="str">
        <f>IFERROR(__xludf.DUMMYFUNCTION("""COMPUTED_VALUE"""),"")</f>
        <v/>
      </c>
      <c r="D486" t="str">
        <f>IFERROR(__xludf.DUMMYFUNCTION("""COMPUTED_VALUE"""),"Fred Pelard")</f>
        <v>Fred Pelard</v>
      </c>
      <c r="E486" t="str">
        <f>IFERROR(__xludf.DUMMYFUNCTION("""COMPUTED_VALUE"""),"Pricing Change")</f>
        <v>Pricing Change</v>
      </c>
      <c r="F486" t="str">
        <f>IFERROR(__xludf.DUMMYFUNCTION("""COMPUTED_VALUE"""),"Strategy")</f>
        <v>Strategy</v>
      </c>
      <c r="G486" s="140">
        <f>IFERROR(__xludf.DUMMYFUNCTION("""COMPUTED_VALUE"""),240450.0)</f>
        <v>240450</v>
      </c>
      <c r="H486" s="140" t="str">
        <f>IFERROR(__xludf.DUMMYFUNCTION("""COMPUTED_VALUE"""),"")</f>
        <v/>
      </c>
    </row>
    <row r="487">
      <c r="A487" s="143">
        <f>IFERROR(__xludf.DUMMYFUNCTION("""COMPUTED_VALUE"""),42436.34552083333)</f>
        <v>42436.34552</v>
      </c>
      <c r="B487" s="140">
        <f>IFERROR(__xludf.DUMMYFUNCTION("""COMPUTED_VALUE"""),47806.0)</f>
        <v>47806</v>
      </c>
      <c r="C487" s="140" t="str">
        <f>IFERROR(__xludf.DUMMYFUNCTION("""COMPUTED_VALUE"""),"")</f>
        <v/>
      </c>
      <c r="D487" t="str">
        <f>IFERROR(__xludf.DUMMYFUNCTION("""COMPUTED_VALUE"""),"Eduonix Learning Solutions")</f>
        <v>Eduonix Learning Solutions</v>
      </c>
      <c r="E487" t="str">
        <f>IFERROR(__xludf.DUMMYFUNCTION("""COMPUTED_VALUE"""),"Below Quality Standards")</f>
        <v>Below Quality Standards</v>
      </c>
      <c r="F487" t="str">
        <f>IFERROR(__xludf.DUMMYFUNCTION("""COMPUTED_VALUE"""),"Mobile Development")</f>
        <v>Mobile Development</v>
      </c>
      <c r="G487" s="140">
        <f>IFERROR(__xludf.DUMMYFUNCTION("""COMPUTED_VALUE"""),951618.0)</f>
        <v>951618</v>
      </c>
      <c r="H487" s="140" t="str">
        <f>IFERROR(__xludf.DUMMYFUNCTION("""COMPUTED_VALUE"""),"")</f>
        <v/>
      </c>
    </row>
    <row r="488">
      <c r="A488" s="143">
        <f>IFERROR(__xludf.DUMMYFUNCTION("""COMPUTED_VALUE"""),42435.47545138889)</f>
        <v>42435.47545</v>
      </c>
      <c r="B488" s="140">
        <f>IFERROR(__xludf.DUMMYFUNCTION("""COMPUTED_VALUE"""),53767.0)</f>
        <v>53767</v>
      </c>
      <c r="C488" s="140" t="str">
        <f>IFERROR(__xludf.DUMMYFUNCTION("""COMPUTED_VALUE"""),"")</f>
        <v/>
      </c>
      <c r="D488" t="str">
        <f>IFERROR(__xludf.DUMMYFUNCTION("""COMPUTED_VALUE"""),"Eduonix Learning Solutions")</f>
        <v>Eduonix Learning Solutions</v>
      </c>
      <c r="E488" t="str">
        <f>IFERROR(__xludf.DUMMYFUNCTION("""COMPUTED_VALUE"""),"Below Quality Standards")</f>
        <v>Below Quality Standards</v>
      </c>
      <c r="F488" t="str">
        <f>IFERROR(__xludf.DUMMYFUNCTION("""COMPUTED_VALUE"""),"Mobile Development")</f>
        <v>Mobile Development</v>
      </c>
      <c r="G488" s="140">
        <f>IFERROR(__xludf.DUMMYFUNCTION("""COMPUTED_VALUE"""),951618.0)</f>
        <v>951618</v>
      </c>
      <c r="H488" s="140" t="str">
        <f>IFERROR(__xludf.DUMMYFUNCTION("""COMPUTED_VALUE"""),"")</f>
        <v/>
      </c>
    </row>
    <row r="489">
      <c r="A489" s="143">
        <f>IFERROR(__xludf.DUMMYFUNCTION("""COMPUTED_VALUE"""),42431.19725694445)</f>
        <v>42431.19726</v>
      </c>
      <c r="B489" s="140">
        <f>IFERROR(__xludf.DUMMYFUNCTION("""COMPUTED_VALUE"""),405520.0)</f>
        <v>405520</v>
      </c>
      <c r="C489" s="140" t="str">
        <f>IFERROR(__xludf.DUMMYFUNCTION("""COMPUTED_VALUE"""),"")</f>
        <v/>
      </c>
      <c r="D489" t="str">
        <f>IFERROR(__xludf.DUMMYFUNCTION("""COMPUTED_VALUE"""),"Nina Zumel")</f>
        <v>Nina Zumel</v>
      </c>
      <c r="E489" t="str">
        <f>IFERROR(__xludf.DUMMYFUNCTION("""COMPUTED_VALUE"""),"Instructor Request")</f>
        <v>Instructor Request</v>
      </c>
      <c r="F489" t="str">
        <f>IFERROR(__xludf.DUMMYFUNCTION("""COMPUTED_VALUE"""),"Data Science")</f>
        <v>Data Science</v>
      </c>
      <c r="G489" s="140">
        <f>IFERROR(__xludf.DUMMYFUNCTION("""COMPUTED_VALUE"""),513244.0)</f>
        <v>513244</v>
      </c>
      <c r="H489" s="140" t="str">
        <f>IFERROR(__xludf.DUMMYFUNCTION("""COMPUTED_VALUE"""),"")</f>
        <v/>
      </c>
    </row>
    <row r="490">
      <c r="A490" s="143">
        <f>IFERROR(__xludf.DUMMYFUNCTION("""COMPUTED_VALUE"""),42379.750868055555)</f>
        <v>42379.75087</v>
      </c>
      <c r="B490" s="140">
        <f>IFERROR(__xludf.DUMMYFUNCTION("""COMPUTED_VALUE"""),516868.0)</f>
        <v>516868</v>
      </c>
      <c r="C490" s="140" t="str">
        <f>IFERROR(__xludf.DUMMYFUNCTION("""COMPUTED_VALUE"""),"")</f>
        <v/>
      </c>
      <c r="D490" t="str">
        <f>IFERROR(__xludf.DUMMYFUNCTION("""COMPUTED_VALUE"""),"Eduonix Learning Solutions")</f>
        <v>Eduonix Learning Solutions</v>
      </c>
      <c r="E490" t="str">
        <f>IFERROR(__xludf.DUMMYFUNCTION("""COMPUTED_VALUE"""),"Below Quality Standards")</f>
        <v>Below Quality Standards</v>
      </c>
      <c r="F490" t="str">
        <f>IFERROR(__xludf.DUMMYFUNCTION("""COMPUTED_VALUE"""),"Marketing")</f>
        <v>Marketing</v>
      </c>
      <c r="G490" s="140">
        <f>IFERROR(__xludf.DUMMYFUNCTION("""COMPUTED_VALUE"""),496924.0)</f>
        <v>496924</v>
      </c>
      <c r="H490" s="140" t="str">
        <f>IFERROR(__xludf.DUMMYFUNCTION("""COMPUTED_VALUE"""),"")</f>
        <v/>
      </c>
      <c r="I490" s="142" t="str">
        <f>IFERROR(__xludf.DUMMYFUNCTION("""COMPUTED_VALUE"""),"914296")</f>
        <v>914296</v>
      </c>
      <c r="J490" t="str">
        <f>IFERROR(__xludf.DUMMYFUNCTION("""COMPUTED_VALUE"""),"The Complete Digital Marketing Course - 12 Courses in 1")</f>
        <v>The Complete Digital Marketing Course - 12 Courses in 1</v>
      </c>
    </row>
    <row r="491">
      <c r="A491" s="143">
        <f>IFERROR(__xludf.DUMMYFUNCTION("""COMPUTED_VALUE"""),42377.32896990741)</f>
        <v>42377.32897</v>
      </c>
      <c r="B491" s="140">
        <f>IFERROR(__xludf.DUMMYFUNCTION("""COMPUTED_VALUE"""),113306.0)</f>
        <v>113306</v>
      </c>
      <c r="C491" s="140" t="str">
        <f>IFERROR(__xludf.DUMMYFUNCTION("""COMPUTED_VALUE"""),"")</f>
        <v/>
      </c>
      <c r="D491" t="str">
        <f>IFERROR(__xludf.DUMMYFUNCTION("""COMPUTED_VALUE"""),"Simon Sez IT")</f>
        <v>Simon Sez IT</v>
      </c>
      <c r="E491" t="str">
        <f>IFERROR(__xludf.DUMMYFUNCTION("""COMPUTED_VALUE"""),"Below Quality Standards")</f>
        <v>Below Quality Standards</v>
      </c>
      <c r="F491" t="str">
        <f>IFERROR(__xludf.DUMMYFUNCTION("""COMPUTED_VALUE"""),"Office Productivity")</f>
        <v>Office Productivity</v>
      </c>
      <c r="G491" s="140">
        <f>IFERROR(__xludf.DUMMYFUNCTION("""COMPUTED_VALUE"""),43677.0)</f>
        <v>43677</v>
      </c>
      <c r="H491" s="140" t="str">
        <f>IFERROR(__xludf.DUMMYFUNCTION("""COMPUTED_VALUE"""),"")</f>
        <v/>
      </c>
    </row>
    <row r="492">
      <c r="A492" s="143">
        <f>IFERROR(__xludf.DUMMYFUNCTION("""COMPUTED_VALUE"""),42377.323530092595)</f>
        <v>42377.32353</v>
      </c>
      <c r="B492" s="140">
        <f>IFERROR(__xludf.DUMMYFUNCTION("""COMPUTED_VALUE"""),36099.0)</f>
        <v>36099</v>
      </c>
      <c r="C492" s="140" t="str">
        <f>IFERROR(__xludf.DUMMYFUNCTION("""COMPUTED_VALUE"""),"")</f>
        <v/>
      </c>
      <c r="D492" t="str">
        <f>IFERROR(__xludf.DUMMYFUNCTION("""COMPUTED_VALUE"""),"Jane Watson")</f>
        <v>Jane Watson</v>
      </c>
      <c r="E492" t="str">
        <f>IFERROR(__xludf.DUMMYFUNCTION("""COMPUTED_VALUE"""),"Below Quality Standards")</f>
        <v>Below Quality Standards</v>
      </c>
      <c r="F492" t="str">
        <f>IFERROR(__xludf.DUMMYFUNCTION("""COMPUTED_VALUE"""),"Soft Skills")</f>
        <v>Soft Skills</v>
      </c>
      <c r="G492" s="140">
        <f>IFERROR(__xludf.DUMMYFUNCTION("""COMPUTED_VALUE"""),946654.0)</f>
        <v>946654</v>
      </c>
      <c r="H492" s="140" t="str">
        <f>IFERROR(__xludf.DUMMYFUNCTION("""COMPUTED_VALUE"""),"")</f>
        <v/>
      </c>
    </row>
    <row r="493">
      <c r="A493" s="143">
        <f>IFERROR(__xludf.DUMMYFUNCTION("""COMPUTED_VALUE"""),42377.11609953704)</f>
        <v>42377.1161</v>
      </c>
      <c r="B493" s="140">
        <f>IFERROR(__xludf.DUMMYFUNCTION("""COMPUTED_VALUE"""),79152.0)</f>
        <v>79152</v>
      </c>
      <c r="C493" s="140" t="str">
        <f>IFERROR(__xludf.DUMMYFUNCTION("""COMPUTED_VALUE"""),"")</f>
        <v/>
      </c>
      <c r="D493" t="str">
        <f>IFERROR(__xludf.DUMMYFUNCTION("""COMPUTED_VALUE"""),"John Bura")</f>
        <v>John Bura</v>
      </c>
      <c r="E493" t="str">
        <f>IFERROR(__xludf.DUMMYFUNCTION("""COMPUTED_VALUE"""),"Below Quality Standards")</f>
        <v>Below Quality Standards</v>
      </c>
      <c r="F493" t="str">
        <f>IFERROR(__xludf.DUMMYFUNCTION("""COMPUTED_VALUE"""),"Back-End Programming")</f>
        <v>Back-End Programming</v>
      </c>
      <c r="G493" s="140">
        <f>IFERROR(__xludf.DUMMYFUNCTION("""COMPUTED_VALUE"""),43718.0)</f>
        <v>43718</v>
      </c>
      <c r="H493" s="140" t="str">
        <f>IFERROR(__xludf.DUMMYFUNCTION("""COMPUTED_VALUE"""),"")</f>
        <v/>
      </c>
    </row>
    <row r="494">
      <c r="A494" s="143">
        <f>IFERROR(__xludf.DUMMYFUNCTION("""COMPUTED_VALUE"""),42376.59674768519)</f>
        <v>42376.59675</v>
      </c>
      <c r="B494" s="140">
        <f>IFERROR(__xludf.DUMMYFUNCTION("""COMPUTED_VALUE"""),408892.0)</f>
        <v>408892</v>
      </c>
      <c r="C494" s="140" t="str">
        <f>IFERROR(__xludf.DUMMYFUNCTION("""COMPUTED_VALUE"""),"")</f>
        <v/>
      </c>
      <c r="D494" t="str">
        <f>IFERROR(__xludf.DUMMYFUNCTION("""COMPUTED_VALUE"""),"Compaq learning")</f>
        <v>Compaq learning</v>
      </c>
      <c r="E494" t="str">
        <f>IFERROR(__xludf.DUMMYFUNCTION("""COMPUTED_VALUE"""),"Below Quality Standards")</f>
        <v>Below Quality Standards</v>
      </c>
      <c r="F494" t="str">
        <f>IFERROR(__xludf.DUMMYFUNCTION("""COMPUTED_VALUE"""),"Data Science")</f>
        <v>Data Science</v>
      </c>
      <c r="G494" s="140">
        <f>IFERROR(__xludf.DUMMYFUNCTION("""COMPUTED_VALUE"""),540270.0)</f>
        <v>540270</v>
      </c>
      <c r="H494" s="140" t="str">
        <f>IFERROR(__xludf.DUMMYFUNCTION("""COMPUTED_VALUE"""),"")</f>
        <v/>
      </c>
    </row>
    <row r="495">
      <c r="A495" s="143">
        <f>IFERROR(__xludf.DUMMYFUNCTION("""COMPUTED_VALUE"""),42376.468310185184)</f>
        <v>42376.46831</v>
      </c>
      <c r="B495" s="140">
        <f>IFERROR(__xludf.DUMMYFUNCTION("""COMPUTED_VALUE"""),38545.0)</f>
        <v>38545</v>
      </c>
      <c r="C495" s="140" t="str">
        <f>IFERROR(__xludf.DUMMYFUNCTION("""COMPUTED_VALUE"""),"")</f>
        <v/>
      </c>
      <c r="D495" t="str">
        <f>IFERROR(__xludf.DUMMYFUNCTION("""COMPUTED_VALUE"""),"Jane Watson")</f>
        <v>Jane Watson</v>
      </c>
      <c r="E495" t="str">
        <f>IFERROR(__xludf.DUMMYFUNCTION("""COMPUTED_VALUE"""),"Below Quality Standards")</f>
        <v>Below Quality Standards</v>
      </c>
      <c r="F495" t="str">
        <f>IFERROR(__xludf.DUMMYFUNCTION("""COMPUTED_VALUE"""),"Soft Skills")</f>
        <v>Soft Skills</v>
      </c>
      <c r="G495" s="140">
        <f>IFERROR(__xludf.DUMMYFUNCTION("""COMPUTED_VALUE"""),1379786.0)</f>
        <v>1379786</v>
      </c>
      <c r="H495" s="140" t="str">
        <f>IFERROR(__xludf.DUMMYFUNCTION("""COMPUTED_VALUE"""),"")</f>
        <v/>
      </c>
      <c r="I495" s="142" t="str">
        <f>IFERROR(__xludf.DUMMYFUNCTION("""COMPUTED_VALUE"""),"1204360")</f>
        <v>1204360</v>
      </c>
      <c r="J495" t="str">
        <f>IFERROR(__xludf.DUMMYFUNCTION("""COMPUTED_VALUE"""),"Six steps to leading productive meetings")</f>
        <v>Six steps to leading productive meetings</v>
      </c>
    </row>
    <row r="496">
      <c r="A496" s="143">
        <f>IFERROR(__xludf.DUMMYFUNCTION("""COMPUTED_VALUE"""),42376.429606481484)</f>
        <v>42376.42961</v>
      </c>
      <c r="B496" s="140">
        <f>IFERROR(__xludf.DUMMYFUNCTION("""COMPUTED_VALUE"""),51715.0)</f>
        <v>51715</v>
      </c>
      <c r="C496" s="140" t="str">
        <f>IFERROR(__xludf.DUMMYFUNCTION("""COMPUTED_VALUE"""),"")</f>
        <v/>
      </c>
      <c r="D496" t="str">
        <f>IFERROR(__xludf.DUMMYFUNCTION("""COMPUTED_VALUE"""),"Rob Cubbon")</f>
        <v>Rob Cubbon</v>
      </c>
      <c r="E496" t="str">
        <f>IFERROR(__xludf.DUMMYFUNCTION("""COMPUTED_VALUE"""),"Below Quality Standards")</f>
        <v>Below Quality Standards</v>
      </c>
      <c r="F496" t="str">
        <f>IFERROR(__xludf.DUMMYFUNCTION("""COMPUTED_VALUE"""),"Design")</f>
        <v>Design</v>
      </c>
      <c r="G496" s="140">
        <f>IFERROR(__xludf.DUMMYFUNCTION("""COMPUTED_VALUE"""),749542.0)</f>
        <v>749542</v>
      </c>
      <c r="H496" s="140" t="str">
        <f>IFERROR(__xludf.DUMMYFUNCTION("""COMPUTED_VALUE"""),"")</f>
        <v/>
      </c>
    </row>
    <row r="497">
      <c r="A497" s="143">
        <f>IFERROR(__xludf.DUMMYFUNCTION("""COMPUTED_VALUE"""),42375.28472222222)</f>
        <v>42375.28472</v>
      </c>
      <c r="B497" s="140">
        <f>IFERROR(__xludf.DUMMYFUNCTION("""COMPUTED_VALUE"""),383414.0)</f>
        <v>383414</v>
      </c>
      <c r="C497" s="140" t="str">
        <f>IFERROR(__xludf.DUMMYFUNCTION("""COMPUTED_VALUE"""),"")</f>
        <v/>
      </c>
      <c r="D497" t="str">
        <f>IFERROR(__xludf.DUMMYFUNCTION("""COMPUTED_VALUE"""),"365 Careers")</f>
        <v>365 Careers</v>
      </c>
      <c r="E497" t="str">
        <f>IFERROR(__xludf.DUMMYFUNCTION("""COMPUTED_VALUE"""),"Below Quality Standards")</f>
        <v>Below Quality Standards</v>
      </c>
      <c r="F497" t="str">
        <f>IFERROR(__xludf.DUMMYFUNCTION("""COMPUTED_VALUE"""),"Office Productivity")</f>
        <v>Office Productivity</v>
      </c>
      <c r="G497" s="140">
        <f>IFERROR(__xludf.DUMMYFUNCTION("""COMPUTED_VALUE"""),799638.0)</f>
        <v>799638</v>
      </c>
      <c r="H497" s="140" t="str">
        <f>IFERROR(__xludf.DUMMYFUNCTION("""COMPUTED_VALUE"""),"")</f>
        <v/>
      </c>
    </row>
    <row r="498">
      <c r="A498" s="143">
        <f>IFERROR(__xludf.DUMMYFUNCTION("""COMPUTED_VALUE"""),42373.52306712963)</f>
        <v>42373.52307</v>
      </c>
      <c r="B498" s="140">
        <f>IFERROR(__xludf.DUMMYFUNCTION("""COMPUTED_VALUE"""),461584.0)</f>
        <v>461584</v>
      </c>
      <c r="C498" s="140" t="str">
        <f>IFERROR(__xludf.DUMMYFUNCTION("""COMPUTED_VALUE"""),"")</f>
        <v/>
      </c>
      <c r="D498" t="str">
        <f>IFERROR(__xludf.DUMMYFUNCTION("""COMPUTED_VALUE"""),"Gopal Prasad Malakar")</f>
        <v>Gopal Prasad Malakar</v>
      </c>
      <c r="E498" t="str">
        <f>IFERROR(__xludf.DUMMYFUNCTION("""COMPUTED_VALUE"""),"Below Quality Standards")</f>
        <v>Below Quality Standards</v>
      </c>
      <c r="F498" t="str">
        <f>IFERROR(__xludf.DUMMYFUNCTION("""COMPUTED_VALUE"""),"Data Science")</f>
        <v>Data Science</v>
      </c>
      <c r="G498" s="140">
        <f>IFERROR(__xludf.DUMMYFUNCTION("""COMPUTED_VALUE"""),513244.0)</f>
        <v>513244</v>
      </c>
      <c r="H498" s="140" t="str">
        <f>IFERROR(__xludf.DUMMYFUNCTION("""COMPUTED_VALUE"""),"")</f>
        <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tr">
        <f>IFERROR(__xludf.DUMMYFUNCTION("IMPORTRANGE(""https://docs.google.com/spreadsheets/d/1-PGtQfbeuiWnM5yK4JbSPcN2oBJ9Xk5oQx_g5stVnf0/edit#gid=424435508"",""Removed 2018!A:Q"")"),"Date")</f>
        <v>Date</v>
      </c>
      <c r="B1" s="140" t="str">
        <f>IFERROR(__xludf.DUMMYFUNCTION("""COMPUTED_VALUE"""),"Course ID")</f>
        <v>Course ID</v>
      </c>
      <c r="C1" t="str">
        <f>IFERROR(__xludf.DUMMYFUNCTION("""COMPUTED_VALUE"""),"Course Title")</f>
        <v>Course Title</v>
      </c>
      <c r="D1" t="str">
        <f>IFERROR(__xludf.DUMMYFUNCTION("""COMPUTED_VALUE"""),"Instructor")</f>
        <v>Instructor</v>
      </c>
      <c r="E1" t="str">
        <f>IFERROR(__xludf.DUMMYFUNCTION("""COMPUTED_VALUE"""),"Reason")</f>
        <v>Reason</v>
      </c>
      <c r="F1" t="str">
        <f>IFERROR(__xludf.DUMMYFUNCTION("""COMPUTED_VALUE"""),"Category")</f>
        <v>Category</v>
      </c>
      <c r="G1" t="str">
        <f>IFERROR(__xludf.DUMMYFUNCTION("""COMPUTED_VALUE"""),"Subcategory")</f>
        <v>Subcategory</v>
      </c>
      <c r="H1" t="str">
        <f>IFERROR(__xludf.DUMMYFUNCTION("""COMPUTED_VALUE"""),"Replacement CourseID 1")</f>
        <v>Replacement CourseID 1</v>
      </c>
      <c r="I1" t="str">
        <f>IFERROR(__xludf.DUMMYFUNCTION("""COMPUTED_VALUE"""),"Replacement Course Title 1")</f>
        <v>Replacement Course Title 1</v>
      </c>
      <c r="J1" t="str">
        <f>IFERROR(__xludf.DUMMYFUNCTION("""COMPUTED_VALUE"""),"Replacement CourseID 2")</f>
        <v>Replacement CourseID 2</v>
      </c>
      <c r="K1" t="str">
        <f>IFERROR(__xludf.DUMMYFUNCTION("""COMPUTED_VALUE"""),"Replacement Course Title 2")</f>
        <v>Replacement Course Title 2</v>
      </c>
      <c r="M1" t="str">
        <f>IFERROR(__xludf.DUMMYFUNCTION("""COMPUTED_VALUE"""),"Category 2")</f>
        <v>Category 2</v>
      </c>
      <c r="N1" t="str">
        <f>IFERROR(__xludf.DUMMYFUNCTION("""COMPUTED_VALUE"""),"Subcategory 2")</f>
        <v>Subcategory 2</v>
      </c>
      <c r="O1" t="str">
        <f>IFERROR(__xludf.DUMMYFUNCTION("""COMPUTED_VALUE"""),"Category 3")</f>
        <v>Category 3</v>
      </c>
      <c r="P1" t="str">
        <f>IFERROR(__xludf.DUMMYFUNCTION("""COMPUTED_VALUE"""),"Subcategory 3")</f>
        <v>Subcategory 3</v>
      </c>
      <c r="Q1" t="str">
        <f>IFERROR(__xludf.DUMMYFUNCTION("""COMPUTED_VALUE"""),"Notes")</f>
        <v>Notes</v>
      </c>
    </row>
    <row r="2">
      <c r="A2" s="143">
        <f>IFERROR(__xludf.DUMMYFUNCTION("""COMPUTED_VALUE"""),43463.0)</f>
        <v>43463</v>
      </c>
      <c r="B2">
        <f>IFERROR(__xludf.DUMMYFUNCTION("""COMPUTED_VALUE"""),1331472.0)</f>
        <v>1331472</v>
      </c>
      <c r="C2" t="str">
        <f>IFERROR(__xludf.DUMMYFUNCTION("""COMPUTED_VALUE"""),"Web Application Security for Absolute Beginners (no coding!)")</f>
        <v>Web Application Security for Absolute Beginners (no coding!)</v>
      </c>
      <c r="D2" t="str">
        <f>IFERROR(__xludf.DUMMYFUNCTION("""COMPUTED_VALUE"""),"Soerin Bipat")</f>
        <v>Soerin Bipat</v>
      </c>
      <c r="E2" t="str">
        <f>IFERROR(__xludf.DUMMYFUNCTION("""COMPUTED_VALUE"""),"Below Quality Standards- Low Rating")</f>
        <v>Below Quality Standards- Low Rating</v>
      </c>
      <c r="F2" t="str">
        <f>IFERROR(__xludf.DUMMYFUNCTION("""COMPUTED_VALUE"""),"IT Operations")</f>
        <v>IT Operations</v>
      </c>
      <c r="G2" t="str">
        <f>IFERROR(__xludf.DUMMYFUNCTION("""COMPUTED_VALUE"""),"Network &amp; Security")</f>
        <v>Network &amp; Security</v>
      </c>
    </row>
    <row r="3">
      <c r="A3" s="143">
        <f>IFERROR(__xludf.DUMMYFUNCTION("""COMPUTED_VALUE"""),43463.0)</f>
        <v>43463</v>
      </c>
      <c r="B3">
        <f>IFERROR(__xludf.DUMMYFUNCTION("""COMPUTED_VALUE"""),1362834.0)</f>
        <v>1362834</v>
      </c>
      <c r="C3" t="str">
        <f>IFERROR(__xludf.DUMMYFUNCTION("""COMPUTED_VALUE"""),"Competition Analysis course for new digital marketers")</f>
        <v>Competition Analysis course for new digital marketers</v>
      </c>
      <c r="D3" t="str">
        <f>IFERROR(__xludf.DUMMYFUNCTION("""COMPUTED_VALUE"""),"Ali Chaus")</f>
        <v>Ali Chaus</v>
      </c>
      <c r="E3" t="str">
        <f>IFERROR(__xludf.DUMMYFUNCTION("""COMPUTED_VALUE"""),"Below Quality Standards- Low Rating")</f>
        <v>Below Quality Standards- Low Rating</v>
      </c>
      <c r="F3" t="str">
        <f>IFERROR(__xludf.DUMMYFUNCTION("""COMPUTED_VALUE"""),"Marketing")</f>
        <v>Marketing</v>
      </c>
      <c r="G3" t="str">
        <f>IFERROR(__xludf.DUMMYFUNCTION("""COMPUTED_VALUE"""),"Digital Marketing")</f>
        <v>Digital Marketing</v>
      </c>
    </row>
    <row r="4">
      <c r="A4" s="143">
        <f>IFERROR(__xludf.DUMMYFUNCTION("""COMPUTED_VALUE"""),43463.0)</f>
        <v>43463</v>
      </c>
      <c r="B4">
        <f>IFERROR(__xludf.DUMMYFUNCTION("""COMPUTED_VALUE"""),1333668.0)</f>
        <v>1333668</v>
      </c>
      <c r="C4" t="str">
        <f>IFERROR(__xludf.DUMMYFUNCTION("""COMPUTED_VALUE"""),"IBM Qradar SIEM Fundamentals for Incident Response")</f>
        <v>IBM Qradar SIEM Fundamentals for Incident Response</v>
      </c>
      <c r="D4" t="str">
        <f>IFERROR(__xludf.DUMMYFUNCTION("""COMPUTED_VALUE"""),"Roland Costea")</f>
        <v>Roland Costea</v>
      </c>
      <c r="E4" t="str">
        <f>IFERROR(__xludf.DUMMYFUNCTION("""COMPUTED_VALUE"""),"Below Quality Standards- Low Rating")</f>
        <v>Below Quality Standards- Low Rating</v>
      </c>
      <c r="F4" t="str">
        <f>IFERROR(__xludf.DUMMYFUNCTION("""COMPUTED_VALUE"""),"IT Operations")</f>
        <v>IT Operations</v>
      </c>
      <c r="G4" t="str">
        <f>IFERROR(__xludf.DUMMYFUNCTION("""COMPUTED_VALUE"""),"Network &amp; Security")</f>
        <v>Network &amp; Security</v>
      </c>
    </row>
    <row r="5">
      <c r="A5" s="143">
        <f>IFERROR(__xludf.DUMMYFUNCTION("""COMPUTED_VALUE"""),43463.0)</f>
        <v>43463</v>
      </c>
      <c r="B5">
        <f>IFERROR(__xludf.DUMMYFUNCTION("""COMPUTED_VALUE"""),296403.0)</f>
        <v>296403</v>
      </c>
      <c r="C5" t="str">
        <f>IFERROR(__xludf.DUMMYFUNCTION("""COMPUTED_VALUE"""),"The Complete Public Speaking Course: Become a Great Speaker")</f>
        <v>The Complete Public Speaking Course: Become a Great Speaker</v>
      </c>
      <c r="D5" t="str">
        <f>IFERROR(__xludf.DUMMYFUNCTION("""COMPUTED_VALUE"""),"TJ Walker")</f>
        <v>TJ Walker</v>
      </c>
      <c r="E5" t="str">
        <f>IFERROR(__xludf.DUMMYFUNCTION("""COMPUTED_VALUE"""),"Below Quality Standards- Outdated")</f>
        <v>Below Quality Standards- Outdated</v>
      </c>
      <c r="F5" t="str">
        <f>IFERROR(__xludf.DUMMYFUNCTION("""COMPUTED_VALUE"""),"Leadership &amp; Management")</f>
        <v>Leadership &amp; Management</v>
      </c>
      <c r="G5" t="str">
        <f>IFERROR(__xludf.DUMMYFUNCTION("""COMPUTED_VALUE"""),"Communication")</f>
        <v>Communication</v>
      </c>
      <c r="H5">
        <f>IFERROR(__xludf.DUMMYFUNCTION("""COMPUTED_VALUE"""),1576710.0)</f>
        <v>1576710</v>
      </c>
      <c r="I5" s="140" t="str">
        <f>IFERROR(__xludf.DUMMYFUNCTION("""COMPUTED_VALUE"""),"")</f>
        <v/>
      </c>
      <c r="K5" s="140" t="str">
        <f>IFERROR(__xludf.DUMMYFUNCTION("""COMPUTED_VALUE"""),"")</f>
        <v/>
      </c>
    </row>
    <row r="6">
      <c r="A6" s="143">
        <f>IFERROR(__xludf.DUMMYFUNCTION("""COMPUTED_VALUE"""),43463.0)</f>
        <v>43463</v>
      </c>
      <c r="B6">
        <f>IFERROR(__xludf.DUMMYFUNCTION("""COMPUTED_VALUE"""),363064.0)</f>
        <v>363064</v>
      </c>
      <c r="C6" t="str">
        <f>IFERROR(__xludf.DUMMYFUNCTION("""COMPUTED_VALUE"""),"Investing Presentations-Deliver an IPO Roadshow Presentation")</f>
        <v>Investing Presentations-Deliver an IPO Roadshow Presentation</v>
      </c>
      <c r="D6" t="str">
        <f>IFERROR(__xludf.DUMMYFUNCTION("""COMPUTED_VALUE"""),"TJ Walker")</f>
        <v>TJ Walker</v>
      </c>
      <c r="E6" t="str">
        <f>IFERROR(__xludf.DUMMYFUNCTION("""COMPUTED_VALUE"""),"Below Quality Standards- Outdated")</f>
        <v>Below Quality Standards- Outdated</v>
      </c>
      <c r="F6" t="str">
        <f>IFERROR(__xludf.DUMMYFUNCTION("""COMPUTED_VALUE"""),"Leadership &amp; Management")</f>
        <v>Leadership &amp; Management</v>
      </c>
      <c r="G6" t="str">
        <f>IFERROR(__xludf.DUMMYFUNCTION("""COMPUTED_VALUE"""),"Communication")</f>
        <v>Communication</v>
      </c>
      <c r="H6">
        <f>IFERROR(__xludf.DUMMYFUNCTION("""COMPUTED_VALUE"""),1576710.0)</f>
        <v>1576710</v>
      </c>
      <c r="I6" s="140" t="str">
        <f>IFERROR(__xludf.DUMMYFUNCTION("""COMPUTED_VALUE"""),"")</f>
        <v/>
      </c>
      <c r="K6" s="140" t="str">
        <f>IFERROR(__xludf.DUMMYFUNCTION("""COMPUTED_VALUE"""),"")</f>
        <v/>
      </c>
    </row>
    <row r="7">
      <c r="A7" s="143">
        <f>IFERROR(__xludf.DUMMYFUNCTION("""COMPUTED_VALUE"""),43463.0)</f>
        <v>43463</v>
      </c>
      <c r="B7">
        <f>IFERROR(__xludf.DUMMYFUNCTION("""COMPUTED_VALUE"""),362474.0)</f>
        <v>362474</v>
      </c>
      <c r="C7" t="str">
        <f>IFERROR(__xludf.DUMMYFUNCTION("""COMPUTED_VALUE"""),"Public Speaking for Women")</f>
        <v>Public Speaking for Women</v>
      </c>
      <c r="D7" t="str">
        <f>IFERROR(__xludf.DUMMYFUNCTION("""COMPUTED_VALUE"""),"TJ Walker")</f>
        <v>TJ Walker</v>
      </c>
      <c r="E7" t="str">
        <f>IFERROR(__xludf.DUMMYFUNCTION("""COMPUTED_VALUE"""),"Below Quality Standards- Outdated")</f>
        <v>Below Quality Standards- Outdated</v>
      </c>
      <c r="F7" t="str">
        <f>IFERROR(__xludf.DUMMYFUNCTION("""COMPUTED_VALUE"""),"Leadership &amp; Management")</f>
        <v>Leadership &amp; Management</v>
      </c>
      <c r="G7" t="str">
        <f>IFERROR(__xludf.DUMMYFUNCTION("""COMPUTED_VALUE"""),"Communication")</f>
        <v>Communication</v>
      </c>
      <c r="H7">
        <f>IFERROR(__xludf.DUMMYFUNCTION("""COMPUTED_VALUE"""),1576710.0)</f>
        <v>1576710</v>
      </c>
      <c r="I7" s="140" t="str">
        <f>IFERROR(__xludf.DUMMYFUNCTION("""COMPUTED_VALUE"""),"")</f>
        <v/>
      </c>
      <c r="K7" s="140" t="str">
        <f>IFERROR(__xludf.DUMMYFUNCTION("""COMPUTED_VALUE"""),"")</f>
        <v/>
      </c>
    </row>
    <row r="8">
      <c r="A8" s="143">
        <f>IFERROR(__xludf.DUMMYFUNCTION("""COMPUTED_VALUE"""),43463.0)</f>
        <v>43463</v>
      </c>
      <c r="B8">
        <f>IFERROR(__xludf.DUMMYFUNCTION("""COMPUTED_VALUE"""),298568.0)</f>
        <v>298568</v>
      </c>
      <c r="C8" t="str">
        <f>IFERROR(__xludf.DUMMYFUNCTION("""COMPUTED_VALUE"""),"Fundraising: Ask and Raise Contributions for Your Charity")</f>
        <v>Fundraising: Ask and Raise Contributions for Your Charity</v>
      </c>
      <c r="D8" t="str">
        <f>IFERROR(__xludf.DUMMYFUNCTION("""COMPUTED_VALUE"""),"TJ Walker")</f>
        <v>TJ Walker</v>
      </c>
      <c r="E8" t="str">
        <f>IFERROR(__xludf.DUMMYFUNCTION("""COMPUTED_VALUE"""),"Below Quality Standards- Outdated")</f>
        <v>Below Quality Standards- Outdated</v>
      </c>
      <c r="F8" t="str">
        <f>IFERROR(__xludf.DUMMYFUNCTION("""COMPUTED_VALUE"""),"Leadership &amp; Management")</f>
        <v>Leadership &amp; Management</v>
      </c>
      <c r="G8" t="str">
        <f>IFERROR(__xludf.DUMMYFUNCTION("""COMPUTED_VALUE"""),"Strategy")</f>
        <v>Strategy</v>
      </c>
      <c r="H8">
        <f>IFERROR(__xludf.DUMMYFUNCTION("""COMPUTED_VALUE"""),1576710.0)</f>
        <v>1576710</v>
      </c>
      <c r="I8" s="140" t="str">
        <f>IFERROR(__xludf.DUMMYFUNCTION("""COMPUTED_VALUE"""),"")</f>
        <v/>
      </c>
      <c r="K8" s="140" t="str">
        <f>IFERROR(__xludf.DUMMYFUNCTION("""COMPUTED_VALUE"""),"")</f>
        <v/>
      </c>
    </row>
    <row r="9">
      <c r="A9" s="143">
        <f>IFERROR(__xludf.DUMMYFUNCTION("""COMPUTED_VALUE"""),43463.0)</f>
        <v>43463</v>
      </c>
      <c r="B9">
        <f>IFERROR(__xludf.DUMMYFUNCTION("""COMPUTED_VALUE"""),342806.0)</f>
        <v>342806</v>
      </c>
      <c r="C9" t="str">
        <f>IFERROR(__xludf.DUMMYFUNCTION("""COMPUTED_VALUE"""),"Investor Pitching: Presentations for Startup Capital")</f>
        <v>Investor Pitching: Presentations for Startup Capital</v>
      </c>
      <c r="D9" t="str">
        <f>IFERROR(__xludf.DUMMYFUNCTION("""COMPUTED_VALUE"""),"TJ Walker")</f>
        <v>TJ Walker</v>
      </c>
      <c r="E9" t="str">
        <f>IFERROR(__xludf.DUMMYFUNCTION("""COMPUTED_VALUE"""),"Below Quality Standards- Outdated")</f>
        <v>Below Quality Standards- Outdated</v>
      </c>
      <c r="F9" t="str">
        <f>IFERROR(__xludf.DUMMYFUNCTION("""COMPUTED_VALUE"""),"Finance &amp; Accounting")</f>
        <v>Finance &amp; Accounting</v>
      </c>
      <c r="G9" t="str">
        <f>IFERROR(__xludf.DUMMYFUNCTION("""COMPUTED_VALUE"""),"Investing &amp; Trading")</f>
        <v>Investing &amp; Trading</v>
      </c>
      <c r="H9">
        <f>IFERROR(__xludf.DUMMYFUNCTION("""COMPUTED_VALUE"""),1576710.0)</f>
        <v>1576710</v>
      </c>
      <c r="I9" s="140" t="str">
        <f>IFERROR(__xludf.DUMMYFUNCTION("""COMPUTED_VALUE"""),"")</f>
        <v/>
      </c>
      <c r="K9" s="140" t="str">
        <f>IFERROR(__xludf.DUMMYFUNCTION("""COMPUTED_VALUE"""),"")</f>
        <v/>
      </c>
    </row>
    <row r="10">
      <c r="A10" s="143">
        <f>IFERROR(__xludf.DUMMYFUNCTION("""COMPUTED_VALUE"""),43463.0)</f>
        <v>43463</v>
      </c>
      <c r="B10">
        <f>IFERROR(__xludf.DUMMYFUNCTION("""COMPUTED_VALUE"""),281634.0)</f>
        <v>281634</v>
      </c>
      <c r="C10" t="str">
        <f>IFERROR(__xludf.DUMMYFUNCTION("""COMPUTED_VALUE"""),"Fear of Public Speaking: Never Fear Public Speaking Again")</f>
        <v>Fear of Public Speaking: Never Fear Public Speaking Again</v>
      </c>
      <c r="D10" t="str">
        <f>IFERROR(__xludf.DUMMYFUNCTION("""COMPUTED_VALUE"""),"TJ Walker")</f>
        <v>TJ Walker</v>
      </c>
      <c r="E10" t="str">
        <f>IFERROR(__xludf.DUMMYFUNCTION("""COMPUTED_VALUE"""),"Below Quality Standards- Outdated")</f>
        <v>Below Quality Standards- Outdated</v>
      </c>
      <c r="F10" t="str">
        <f>IFERROR(__xludf.DUMMYFUNCTION("""COMPUTED_VALUE"""),"Leadership &amp; Management")</f>
        <v>Leadership &amp; Management</v>
      </c>
      <c r="G10" t="str">
        <f>IFERROR(__xludf.DUMMYFUNCTION("""COMPUTED_VALUE"""),"Communication")</f>
        <v>Communication</v>
      </c>
      <c r="H10">
        <f>IFERROR(__xludf.DUMMYFUNCTION("""COMPUTED_VALUE"""),1576710.0)</f>
        <v>1576710</v>
      </c>
      <c r="I10" s="140" t="str">
        <f>IFERROR(__xludf.DUMMYFUNCTION("""COMPUTED_VALUE"""),"")</f>
        <v/>
      </c>
      <c r="K10" s="140" t="str">
        <f>IFERROR(__xludf.DUMMYFUNCTION("""COMPUTED_VALUE"""),"")</f>
        <v/>
      </c>
    </row>
    <row r="11">
      <c r="A11" s="143">
        <f>IFERROR(__xludf.DUMMYFUNCTION("""COMPUTED_VALUE"""),43463.0)</f>
        <v>43463</v>
      </c>
      <c r="B11">
        <f>IFERROR(__xludf.DUMMYFUNCTION("""COMPUTED_VALUE"""),294638.0)</f>
        <v>294638</v>
      </c>
      <c r="C11" t="str">
        <f>IFERROR(__xludf.DUMMYFUNCTION("""COMPUTED_VALUE"""),"Body Language: Appear Confident and Poised When You Speak")</f>
        <v>Body Language: Appear Confident and Poised When You Speak</v>
      </c>
      <c r="D11" t="str">
        <f>IFERROR(__xludf.DUMMYFUNCTION("""COMPUTED_VALUE"""),"TJ Walker")</f>
        <v>TJ Walker</v>
      </c>
      <c r="E11" t="str">
        <f>IFERROR(__xludf.DUMMYFUNCTION("""COMPUTED_VALUE"""),"Below Quality Standards- Outdated")</f>
        <v>Below Quality Standards- Outdated</v>
      </c>
      <c r="F11" t="str">
        <f>IFERROR(__xludf.DUMMYFUNCTION("""COMPUTED_VALUE"""),"Leadership &amp; Management")</f>
        <v>Leadership &amp; Management</v>
      </c>
      <c r="G11" t="str">
        <f>IFERROR(__xludf.DUMMYFUNCTION("""COMPUTED_VALUE"""),"Communication")</f>
        <v>Communication</v>
      </c>
      <c r="H11">
        <f>IFERROR(__xludf.DUMMYFUNCTION("""COMPUTED_VALUE"""),1576710.0)</f>
        <v>1576710</v>
      </c>
      <c r="I11" s="140" t="str">
        <f>IFERROR(__xludf.DUMMYFUNCTION("""COMPUTED_VALUE"""),"")</f>
        <v/>
      </c>
      <c r="K11" s="140" t="str">
        <f>IFERROR(__xludf.DUMMYFUNCTION("""COMPUTED_VALUE"""),"")</f>
        <v/>
      </c>
    </row>
    <row r="12">
      <c r="A12" s="143">
        <f>IFERROR(__xludf.DUMMYFUNCTION("""COMPUTED_VALUE"""),43463.0)</f>
        <v>43463</v>
      </c>
      <c r="B12">
        <f>IFERROR(__xludf.DUMMYFUNCTION("""COMPUTED_VALUE"""),1326998.0)</f>
        <v>1326998</v>
      </c>
      <c r="C12" t="str">
        <f>IFERROR(__xludf.DUMMYFUNCTION("""COMPUTED_VALUE"""),"Social Skills: How To Make A Great First Impression")</f>
        <v>Social Skills: How To Make A Great First Impression</v>
      </c>
      <c r="D12" t="str">
        <f>IFERROR(__xludf.DUMMYFUNCTION("""COMPUTED_VALUE"""),"Alain Wolf")</f>
        <v>Alain Wolf</v>
      </c>
      <c r="E12" t="str">
        <f>IFERROR(__xludf.DUMMYFUNCTION("""COMPUTED_VALUE"""),"Below Quality Standards- Low Rating")</f>
        <v>Below Quality Standards- Low Rating</v>
      </c>
      <c r="F12" t="str">
        <f>IFERROR(__xludf.DUMMYFUNCTION("""COMPUTED_VALUE"""),"Personal Development")</f>
        <v>Personal Development</v>
      </c>
      <c r="G12" t="str">
        <f>IFERROR(__xludf.DUMMYFUNCTION("""COMPUTED_VALUE"""),"Personal Growth")</f>
        <v>Personal Growth</v>
      </c>
      <c r="H12">
        <f>IFERROR(__xludf.DUMMYFUNCTION("""COMPUTED_VALUE"""),1610900.0)</f>
        <v>1610900</v>
      </c>
      <c r="I12" s="140" t="str">
        <f>IFERROR(__xludf.DUMMYFUNCTION("""COMPUTED_VALUE"""),"")</f>
        <v/>
      </c>
      <c r="J12" s="140">
        <f>IFERROR(__xludf.DUMMYFUNCTION("""COMPUTED_VALUE"""),802818.0)</f>
        <v>802818</v>
      </c>
      <c r="K12" s="140" t="str">
        <f>IFERROR(__xludf.DUMMYFUNCTION("""COMPUTED_VALUE"""),"")</f>
        <v/>
      </c>
    </row>
    <row r="13">
      <c r="A13" s="143">
        <f>IFERROR(__xludf.DUMMYFUNCTION("""COMPUTED_VALUE"""),43463.0)</f>
        <v>43463</v>
      </c>
      <c r="B13">
        <f>IFERROR(__xludf.DUMMYFUNCTION("""COMPUTED_VALUE"""),1377164.0)</f>
        <v>1377164</v>
      </c>
      <c r="C13" t="str">
        <f>IFERROR(__xludf.DUMMYFUNCTION("""COMPUTED_VALUE"""),"Learn Design Thinking Hands-On With Project CORE")</f>
        <v>Learn Design Thinking Hands-On With Project CORE</v>
      </c>
      <c r="D13" t="str">
        <f>IFERROR(__xludf.DUMMYFUNCTION("""COMPUTED_VALUE"""),"UI5 Community Network")</f>
        <v>UI5 Community Network</v>
      </c>
      <c r="E13" t="str">
        <f>IFERROR(__xludf.DUMMYFUNCTION("""COMPUTED_VALUE"""),"Below Quality Standards- Low Rating")</f>
        <v>Below Quality Standards- Low Rating</v>
      </c>
      <c r="F13" t="str">
        <f>IFERROR(__xludf.DUMMYFUNCTION("""COMPUTED_VALUE"""),"Design")</f>
        <v>Design</v>
      </c>
      <c r="G13" t="str">
        <f>IFERROR(__xludf.DUMMYFUNCTION("""COMPUTED_VALUE"""),"User Experience Design")</f>
        <v>User Experience Design</v>
      </c>
      <c r="H13">
        <f>IFERROR(__xludf.DUMMYFUNCTION("""COMPUTED_VALUE"""),1065056.0)</f>
        <v>1065056</v>
      </c>
      <c r="I13" s="140" t="str">
        <f>IFERROR(__xludf.DUMMYFUNCTION("""COMPUTED_VALUE"""),"")</f>
        <v/>
      </c>
      <c r="K13" s="140" t="str">
        <f>IFERROR(__xludf.DUMMYFUNCTION("""COMPUTED_VALUE"""),"")</f>
        <v/>
      </c>
    </row>
    <row r="14">
      <c r="A14" s="143">
        <f>IFERROR(__xludf.DUMMYFUNCTION("""COMPUTED_VALUE"""),43463.0)</f>
        <v>43463</v>
      </c>
      <c r="B14">
        <f>IFERROR(__xludf.DUMMYFUNCTION("""COMPUTED_VALUE"""),868436.0)</f>
        <v>868436</v>
      </c>
      <c r="C14" t="str">
        <f>IFERROR(__xludf.DUMMYFUNCTION("""COMPUTED_VALUE"""),"OpenStack: Public &amp; Hybrid IaaS Cloud with OpenStack")</f>
        <v>OpenStack: Public &amp; Hybrid IaaS Cloud with OpenStack</v>
      </c>
      <c r="D14" t="str">
        <f>IFERROR(__xludf.DUMMYFUNCTION("""COMPUTED_VALUE"""),"TetraNoodle Team")</f>
        <v>TetraNoodle Team</v>
      </c>
      <c r="E14" t="str">
        <f>IFERROR(__xludf.DUMMYFUNCTION("""COMPUTED_VALUE"""),"Below Quality Standards- Low Rating")</f>
        <v>Below Quality Standards- Low Rating</v>
      </c>
      <c r="F14" t="str">
        <f>IFERROR(__xludf.DUMMYFUNCTION("""COMPUTED_VALUE"""),"Cloud Computing")</f>
        <v>Cloud Computing</v>
      </c>
      <c r="G14" t="str">
        <f>IFERROR(__xludf.DUMMYFUNCTION("""COMPUTED_VALUE"""),"Cloud Development")</f>
        <v>Cloud Development</v>
      </c>
      <c r="H14">
        <f>IFERROR(__xludf.DUMMYFUNCTION("""COMPUTED_VALUE"""),1076804.0)</f>
        <v>1076804</v>
      </c>
      <c r="I14" s="140" t="str">
        <f>IFERROR(__xludf.DUMMYFUNCTION("""COMPUTED_VALUE"""),"")</f>
        <v/>
      </c>
      <c r="K14" s="140" t="str">
        <f>IFERROR(__xludf.DUMMYFUNCTION("""COMPUTED_VALUE"""),"")</f>
        <v/>
      </c>
    </row>
    <row r="15">
      <c r="A15" s="143">
        <f>IFERROR(__xludf.DUMMYFUNCTION("""COMPUTED_VALUE"""),43463.0)</f>
        <v>43463</v>
      </c>
      <c r="B15">
        <f>IFERROR(__xludf.DUMMYFUNCTION("""COMPUTED_VALUE"""),1232382.0)</f>
        <v>1232382</v>
      </c>
      <c r="C15" t="str">
        <f>IFERROR(__xludf.DUMMYFUNCTION("""COMPUTED_VALUE"""),"Intro to Financial Statement Audits")</f>
        <v>Intro to Financial Statement Audits</v>
      </c>
      <c r="D15" t="str">
        <f>IFERROR(__xludf.DUMMYFUNCTION("""COMPUTED_VALUE"""),"Illumeo Learning")</f>
        <v>Illumeo Learning</v>
      </c>
      <c r="E15" t="str">
        <f>IFERROR(__xludf.DUMMYFUNCTION("""COMPUTED_VALUE"""),"Below Quality Standards- Low Rating")</f>
        <v>Below Quality Standards- Low Rating</v>
      </c>
      <c r="F15" t="str">
        <f>IFERROR(__xludf.DUMMYFUNCTION("""COMPUTED_VALUE"""),"Finance &amp; Accounting")</f>
        <v>Finance &amp; Accounting</v>
      </c>
      <c r="G15" t="str">
        <f>IFERROR(__xludf.DUMMYFUNCTION("""COMPUTED_VALUE"""),"Accounting")</f>
        <v>Accounting</v>
      </c>
      <c r="H15">
        <f>IFERROR(__xludf.DUMMYFUNCTION("""COMPUTED_VALUE"""),1249146.0)</f>
        <v>1249146</v>
      </c>
      <c r="I15" s="140" t="str">
        <f>IFERROR(__xludf.DUMMYFUNCTION("""COMPUTED_VALUE"""),"")</f>
        <v/>
      </c>
      <c r="J15" s="140">
        <f>IFERROR(__xludf.DUMMYFUNCTION("""COMPUTED_VALUE"""),1232282.0)</f>
        <v>1232282</v>
      </c>
      <c r="K15" s="140" t="str">
        <f>IFERROR(__xludf.DUMMYFUNCTION("""COMPUTED_VALUE"""),"")</f>
        <v/>
      </c>
    </row>
    <row r="16">
      <c r="A16" s="143">
        <f>IFERROR(__xludf.DUMMYFUNCTION("""COMPUTED_VALUE"""),43463.0)</f>
        <v>43463</v>
      </c>
      <c r="B16">
        <f>IFERROR(__xludf.DUMMYFUNCTION("""COMPUTED_VALUE"""),582750.0)</f>
        <v>582750</v>
      </c>
      <c r="C16" t="str">
        <f>IFERROR(__xludf.DUMMYFUNCTION("""COMPUTED_VALUE"""),"Culture | How to Motivate your Team")</f>
        <v>Culture | How to Motivate your Team</v>
      </c>
      <c r="D16" t="str">
        <f>IFERROR(__xludf.DUMMYFUNCTION("""COMPUTED_VALUE"""),"Learoy Tonight")</f>
        <v>Learoy Tonight</v>
      </c>
      <c r="E16" t="str">
        <f>IFERROR(__xludf.DUMMYFUNCTION("""COMPUTED_VALUE"""),"Below Quality Standards- Low Rating")</f>
        <v>Below Quality Standards- Low Rating</v>
      </c>
      <c r="F16" t="str">
        <f>IFERROR(__xludf.DUMMYFUNCTION("""COMPUTED_VALUE"""),"Leadership &amp; Management")</f>
        <v>Leadership &amp; Management</v>
      </c>
      <c r="G16" t="str">
        <f>IFERROR(__xludf.DUMMYFUNCTION("""COMPUTED_VALUE"""),"Leadership")</f>
        <v>Leadership</v>
      </c>
      <c r="H16">
        <f>IFERROR(__xludf.DUMMYFUNCTION("""COMPUTED_VALUE"""),593074.0)</f>
        <v>593074</v>
      </c>
      <c r="I16" s="140" t="str">
        <f>IFERROR(__xludf.DUMMYFUNCTION("""COMPUTED_VALUE"""),"")</f>
        <v/>
      </c>
      <c r="K16" s="140" t="str">
        <f>IFERROR(__xludf.DUMMYFUNCTION("""COMPUTED_VALUE"""),"")</f>
        <v/>
      </c>
    </row>
    <row r="17">
      <c r="A17" s="143">
        <f>IFERROR(__xludf.DUMMYFUNCTION("""COMPUTED_VALUE"""),43463.0)</f>
        <v>43463</v>
      </c>
      <c r="B17">
        <f>IFERROR(__xludf.DUMMYFUNCTION("""COMPUTED_VALUE"""),1313542.0)</f>
        <v>1313542</v>
      </c>
      <c r="C17" t="str">
        <f>IFERROR(__xludf.DUMMYFUNCTION("""COMPUTED_VALUE"""),"Angular CLI - Mastering the Basics")</f>
        <v>Angular CLI - Mastering the Basics</v>
      </c>
      <c r="D17" t="str">
        <f>IFERROR(__xludf.DUMMYFUNCTION("""COMPUTED_VALUE"""),"Vishwas Gopinath")</f>
        <v>Vishwas Gopinath</v>
      </c>
      <c r="E17" t="str">
        <f>IFERROR(__xludf.DUMMYFUNCTION("""COMPUTED_VALUE"""),"Instructor Request- Outdated")</f>
        <v>Instructor Request- Outdated</v>
      </c>
      <c r="F17" t="str">
        <f>IFERROR(__xludf.DUMMYFUNCTION("""COMPUTED_VALUE"""),"Development")</f>
        <v>Development</v>
      </c>
      <c r="G17" t="str">
        <f>IFERROR(__xludf.DUMMYFUNCTION("""COMPUTED_VALUE"""),"Web Development")</f>
        <v>Web Development</v>
      </c>
      <c r="H17">
        <f>IFERROR(__xludf.DUMMYFUNCTION("""COMPUTED_VALUE"""),756150.0)</f>
        <v>756150</v>
      </c>
      <c r="I17" s="140" t="str">
        <f>IFERROR(__xludf.DUMMYFUNCTION("""COMPUTED_VALUE"""),"")</f>
        <v/>
      </c>
      <c r="K17" s="140" t="str">
        <f>IFERROR(__xludf.DUMMYFUNCTION("""COMPUTED_VALUE"""),"")</f>
        <v/>
      </c>
    </row>
    <row r="18">
      <c r="A18" s="143">
        <f>IFERROR(__xludf.DUMMYFUNCTION("""COMPUTED_VALUE"""),43463.0)</f>
        <v>43463</v>
      </c>
      <c r="B18">
        <f>IFERROR(__xludf.DUMMYFUNCTION("""COMPUTED_VALUE"""),822660.0)</f>
        <v>822660</v>
      </c>
      <c r="C18" t="str">
        <f>IFERROR(__xludf.DUMMYFUNCTION("""COMPUTED_VALUE"""),"Pass the Unity Certified Developer Exam - Lifetime Access")</f>
        <v>Pass the Unity Certified Developer Exam - Lifetime Access</v>
      </c>
      <c r="D18" t="str">
        <f>IFERROR(__xludf.DUMMYFUNCTION("""COMPUTED_VALUE"""),"Ben Tristem")</f>
        <v>Ben Tristem</v>
      </c>
      <c r="E18" t="str">
        <f>IFERROR(__xludf.DUMMYFUNCTION("""COMPUTED_VALUE"""),"Instructor Request- Outdated")</f>
        <v>Instructor Request- Outdated</v>
      </c>
      <c r="F18" t="str">
        <f>IFERROR(__xludf.DUMMYFUNCTION("""COMPUTED_VALUE"""),"Development")</f>
        <v>Development</v>
      </c>
      <c r="G18" t="str">
        <f>IFERROR(__xludf.DUMMYFUNCTION("""COMPUTED_VALUE"""),"Mobile Development")</f>
        <v>Mobile Development</v>
      </c>
      <c r="H18">
        <f>IFERROR(__xludf.DUMMYFUNCTION("""COMPUTED_VALUE"""),1178124.0)</f>
        <v>1178124</v>
      </c>
      <c r="I18" s="140" t="str">
        <f>IFERROR(__xludf.DUMMYFUNCTION("""COMPUTED_VALUE"""),"")</f>
        <v/>
      </c>
      <c r="J18">
        <f>IFERROR(__xludf.DUMMYFUNCTION("""COMPUTED_VALUE"""),1328572.0)</f>
        <v>1328572</v>
      </c>
      <c r="K18" s="140" t="str">
        <f>IFERROR(__xludf.DUMMYFUNCTION("""COMPUTED_VALUE"""),"")</f>
        <v/>
      </c>
      <c r="L18" s="145">
        <f>IFERROR(__xludf.DUMMYFUNCTION("""COMPUTED_VALUE"""),1328572.0)</f>
        <v>1328572</v>
      </c>
      <c r="M18" s="145" t="str">
        <f>IFERROR(__xludf.DUMMYFUNCTION("""COMPUTED_VALUE"""),"The Ultimate Guide to Game Development with Unity (2018.2.x)")</f>
        <v>The Ultimate Guide to Game Development with Unity (2018.2.x)</v>
      </c>
    </row>
    <row r="19">
      <c r="A19" s="143">
        <f>IFERROR(__xludf.DUMMYFUNCTION("""COMPUTED_VALUE"""),43454.0)</f>
        <v>43454</v>
      </c>
      <c r="B19">
        <f>IFERROR(__xludf.DUMMYFUNCTION("""COMPUTED_VALUE"""),540090.0)</f>
        <v>540090</v>
      </c>
      <c r="C19" t="str">
        <f>IFERROR(__xludf.DUMMYFUNCTION("""COMPUTED_VALUE"""),"Record Voice Over Like A Pro - The Complete Guide")</f>
        <v>Record Voice Over Like A Pro - The Complete Guide</v>
      </c>
      <c r="D19" t="str">
        <f>IFERROR(__xludf.DUMMYFUNCTION("""COMPUTED_VALUE"""),"Make Pro Music")</f>
        <v>Make Pro Music</v>
      </c>
      <c r="E19" t="str">
        <f>IFERROR(__xludf.DUMMYFUNCTION("""COMPUTED_VALUE"""),"Instructor Request- Opted Out")</f>
        <v>Instructor Request- Opted Out</v>
      </c>
      <c r="F19" t="str">
        <f>IFERROR(__xludf.DUMMYFUNCTION("""COMPUTED_VALUE"""),"Design")</f>
        <v>Design</v>
      </c>
      <c r="G19" t="str">
        <f>IFERROR(__xludf.DUMMYFUNCTION("""COMPUTED_VALUE"""),"Design Tools")</f>
        <v>Design Tools</v>
      </c>
      <c r="H19">
        <f>IFERROR(__xludf.DUMMYFUNCTION("""COMPUTED_VALUE"""),613626.0)</f>
        <v>613626</v>
      </c>
      <c r="I19" s="140" t="str">
        <f>IFERROR(__xludf.DUMMYFUNCTION("""COMPUTED_VALUE"""),"")</f>
        <v/>
      </c>
      <c r="K19" s="140" t="str">
        <f>IFERROR(__xludf.DUMMYFUNCTION("""COMPUTED_VALUE"""),"")</f>
        <v/>
      </c>
    </row>
    <row r="20">
      <c r="A20" s="143">
        <f>IFERROR(__xludf.DUMMYFUNCTION("""COMPUTED_VALUE"""),43454.0)</f>
        <v>43454</v>
      </c>
      <c r="B20">
        <f>IFERROR(__xludf.DUMMYFUNCTION("""COMPUTED_VALUE"""),600264.0)</f>
        <v>600264</v>
      </c>
      <c r="C20" t="str">
        <f>IFERROR(__xludf.DUMMYFUNCTION("""COMPUTED_VALUE"""),"Creative Training Techniques To Drive High Impact Learning!")</f>
        <v>Creative Training Techniques To Drive High Impact Learning!</v>
      </c>
      <c r="D20" t="str">
        <f>IFERROR(__xludf.DUMMYFUNCTION("""COMPUTED_VALUE"""),"Katy Caselli")</f>
        <v>Katy Caselli</v>
      </c>
      <c r="E20" t="str">
        <f>IFERROR(__xludf.DUMMYFUNCTION("""COMPUTED_VALUE"""),"Instructor Request- Opted Out")</f>
        <v>Instructor Request- Opted Out</v>
      </c>
      <c r="F20" t="str">
        <f>IFERROR(__xludf.DUMMYFUNCTION("""COMPUTED_VALUE"""),"Human Resources")</f>
        <v>Human Resources</v>
      </c>
      <c r="G20" t="str">
        <f>IFERROR(__xludf.DUMMYFUNCTION("""COMPUTED_VALUE"""),"Learning &amp; Development")</f>
        <v>Learning &amp; Development</v>
      </c>
      <c r="H20">
        <f>IFERROR(__xludf.DUMMYFUNCTION("""COMPUTED_VALUE"""),176878.0)</f>
        <v>176878</v>
      </c>
      <c r="I20" s="140" t="str">
        <f>IFERROR(__xludf.DUMMYFUNCTION("""COMPUTED_VALUE"""),"")</f>
        <v/>
      </c>
      <c r="K20" s="140" t="str">
        <f>IFERROR(__xludf.DUMMYFUNCTION("""COMPUTED_VALUE"""),"")</f>
        <v/>
      </c>
    </row>
    <row r="21">
      <c r="A21" s="143">
        <f>IFERROR(__xludf.DUMMYFUNCTION("""COMPUTED_VALUE"""),43454.0)</f>
        <v>43454</v>
      </c>
      <c r="B21">
        <f>IFERROR(__xludf.DUMMYFUNCTION("""COMPUTED_VALUE"""),607006.0)</f>
        <v>607006</v>
      </c>
      <c r="C21" t="str">
        <f>IFERROR(__xludf.DUMMYFUNCTION("""COMPUTED_VALUE"""),"Grow Excellent Performance By Building A Learning Culture")</f>
        <v>Grow Excellent Performance By Building A Learning Culture</v>
      </c>
      <c r="D21" t="str">
        <f>IFERROR(__xludf.DUMMYFUNCTION("""COMPUTED_VALUE"""),"Katy Caselli")</f>
        <v>Katy Caselli</v>
      </c>
      <c r="E21" t="str">
        <f>IFERROR(__xludf.DUMMYFUNCTION("""COMPUTED_VALUE"""),"Instructor Request- Opted Out")</f>
        <v>Instructor Request- Opted Out</v>
      </c>
      <c r="F21" t="str">
        <f>IFERROR(__xludf.DUMMYFUNCTION("""COMPUTED_VALUE"""),"Human Resources")</f>
        <v>Human Resources</v>
      </c>
      <c r="G21" t="str">
        <f>IFERROR(__xludf.DUMMYFUNCTION("""COMPUTED_VALUE"""),"Learning &amp; Development")</f>
        <v>Learning &amp; Development</v>
      </c>
      <c r="H21">
        <f>IFERROR(__xludf.DUMMYFUNCTION("""COMPUTED_VALUE"""),1597956.0)</f>
        <v>1597956</v>
      </c>
      <c r="I21" s="140" t="str">
        <f>IFERROR(__xludf.DUMMYFUNCTION("""COMPUTED_VALUE"""),"")</f>
        <v/>
      </c>
      <c r="K21" s="140" t="str">
        <f>IFERROR(__xludf.DUMMYFUNCTION("""COMPUTED_VALUE"""),"")</f>
        <v/>
      </c>
    </row>
    <row r="22">
      <c r="A22" s="143">
        <f>IFERROR(__xludf.DUMMYFUNCTION("""COMPUTED_VALUE"""),43454.0)</f>
        <v>43454</v>
      </c>
      <c r="B22">
        <f>IFERROR(__xludf.DUMMYFUNCTION("""COMPUTED_VALUE"""),585432.0)</f>
        <v>585432</v>
      </c>
      <c r="C22" t="str">
        <f>IFERROR(__xludf.DUMMYFUNCTION("""COMPUTED_VALUE"""),"Create an Effective &amp; Engaging New Hire Orientation Program")</f>
        <v>Create an Effective &amp; Engaging New Hire Orientation Program</v>
      </c>
      <c r="D22" t="str">
        <f>IFERROR(__xludf.DUMMYFUNCTION("""COMPUTED_VALUE"""),"Katy Caselli")</f>
        <v>Katy Caselli</v>
      </c>
      <c r="E22" t="str">
        <f>IFERROR(__xludf.DUMMYFUNCTION("""COMPUTED_VALUE"""),"Instructor Request- Opted Out")</f>
        <v>Instructor Request- Opted Out</v>
      </c>
      <c r="F22" t="str">
        <f>IFERROR(__xludf.DUMMYFUNCTION("""COMPUTED_VALUE"""),"Human Resources")</f>
        <v>Human Resources</v>
      </c>
      <c r="G22" t="str">
        <f>IFERROR(__xludf.DUMMYFUNCTION("""COMPUTED_VALUE"""),"Talent Management")</f>
        <v>Talent Management</v>
      </c>
      <c r="H22">
        <f>IFERROR(__xludf.DUMMYFUNCTION("""COMPUTED_VALUE"""),1426968.0)</f>
        <v>1426968</v>
      </c>
      <c r="I22" s="140" t="str">
        <f>IFERROR(__xludf.DUMMYFUNCTION("""COMPUTED_VALUE"""),"")</f>
        <v/>
      </c>
      <c r="K22" s="140" t="str">
        <f>IFERROR(__xludf.DUMMYFUNCTION("""COMPUTED_VALUE"""),"")</f>
        <v/>
      </c>
    </row>
    <row r="23">
      <c r="A23" s="143">
        <f>IFERROR(__xludf.DUMMYFUNCTION("""COMPUTED_VALUE"""),43454.0)</f>
        <v>43454</v>
      </c>
      <c r="B23">
        <f>IFERROR(__xludf.DUMMYFUNCTION("""COMPUTED_VALUE"""),591940.0)</f>
        <v>591940</v>
      </c>
      <c r="C23" t="str">
        <f>IFERROR(__xludf.DUMMYFUNCTION("""COMPUTED_VALUE"""),"Facilitate Energetic and Effective Team Building Sessions")</f>
        <v>Facilitate Energetic and Effective Team Building Sessions</v>
      </c>
      <c r="D23" t="str">
        <f>IFERROR(__xludf.DUMMYFUNCTION("""COMPUTED_VALUE"""),"Katy Caselli")</f>
        <v>Katy Caselli</v>
      </c>
      <c r="E23" t="str">
        <f>IFERROR(__xludf.DUMMYFUNCTION("""COMPUTED_VALUE"""),"Instructor Request- Opted Out")</f>
        <v>Instructor Request- Opted Out</v>
      </c>
      <c r="F23" t="str">
        <f>IFERROR(__xludf.DUMMYFUNCTION("""COMPUTED_VALUE"""),"Human Resources")</f>
        <v>Human Resources</v>
      </c>
      <c r="G23" t="str">
        <f>IFERROR(__xludf.DUMMYFUNCTION("""COMPUTED_VALUE"""),"Talent Management")</f>
        <v>Talent Management</v>
      </c>
      <c r="H23">
        <f>IFERROR(__xludf.DUMMYFUNCTION("""COMPUTED_VALUE"""),673574.0)</f>
        <v>673574</v>
      </c>
      <c r="I23" s="140" t="str">
        <f>IFERROR(__xludf.DUMMYFUNCTION("""COMPUTED_VALUE"""),"")</f>
        <v/>
      </c>
      <c r="K23" s="140" t="str">
        <f>IFERROR(__xludf.DUMMYFUNCTION("""COMPUTED_VALUE"""),"")</f>
        <v/>
      </c>
    </row>
    <row r="24">
      <c r="A24" s="143">
        <f>IFERROR(__xludf.DUMMYFUNCTION("""COMPUTED_VALUE"""),43454.0)</f>
        <v>43454</v>
      </c>
      <c r="B24">
        <f>IFERROR(__xludf.DUMMYFUNCTION("""COMPUTED_VALUE"""),628254.0)</f>
        <v>628254</v>
      </c>
      <c r="C24" t="str">
        <f>IFERROR(__xludf.DUMMYFUNCTION("""COMPUTED_VALUE"""),"Make It Count! -Show a Return on Investment with Training")</f>
        <v>Make It Count! -Show a Return on Investment with Training</v>
      </c>
      <c r="D24" t="str">
        <f>IFERROR(__xludf.DUMMYFUNCTION("""COMPUTED_VALUE"""),"Katy Caselli")</f>
        <v>Katy Caselli</v>
      </c>
      <c r="E24" t="str">
        <f>IFERROR(__xludf.DUMMYFUNCTION("""COMPUTED_VALUE"""),"Instructor Request- Opted Out")</f>
        <v>Instructor Request- Opted Out</v>
      </c>
      <c r="F24" t="str">
        <f>IFERROR(__xludf.DUMMYFUNCTION("""COMPUTED_VALUE"""),"Human Resources")</f>
        <v>Human Resources</v>
      </c>
      <c r="G24" t="str">
        <f>IFERROR(__xludf.DUMMYFUNCTION("""COMPUTED_VALUE"""),"Learning &amp; Development")</f>
        <v>Learning &amp; Development</v>
      </c>
      <c r="I24" s="140" t="str">
        <f>IFERROR(__xludf.DUMMYFUNCTION("""COMPUTED_VALUE"""),"")</f>
        <v/>
      </c>
      <c r="K24" s="140" t="str">
        <f>IFERROR(__xludf.DUMMYFUNCTION("""COMPUTED_VALUE"""),"")</f>
        <v/>
      </c>
      <c r="Q24" s="145" t="str">
        <f>IFERROR(__xludf.DUMMYFUNCTION("""COMPUTED_VALUE"""),"Low Demand")</f>
        <v>Low Demand</v>
      </c>
    </row>
    <row r="25">
      <c r="A25" s="143">
        <f>IFERROR(__xludf.DUMMYFUNCTION("""COMPUTED_VALUE"""),43452.0)</f>
        <v>43452</v>
      </c>
      <c r="B25">
        <f>IFERROR(__xludf.DUMMYFUNCTION("""COMPUTED_VALUE"""),1907464.0)</f>
        <v>1907464</v>
      </c>
      <c r="C25" t="str">
        <f>IFERROR(__xludf.DUMMYFUNCTION("""COMPUTED_VALUE"""),"Goal Crushing: Write strong, metric-driven OKRs")</f>
        <v>Goal Crushing: Write strong, metric-driven OKRs</v>
      </c>
      <c r="D25" t="str">
        <f>IFERROR(__xludf.DUMMYFUNCTION("""COMPUTED_VALUE"""),"Shelley Osbourne")</f>
        <v>Shelley Osbourne</v>
      </c>
      <c r="E25" t="str">
        <f>IFERROR(__xludf.DUMMYFUNCTION("""COMPUTED_VALUE"""),"Below Quality Standards- Low Rating")</f>
        <v>Below Quality Standards- Low Rating</v>
      </c>
      <c r="F25" t="str">
        <f>IFERROR(__xludf.DUMMYFUNCTION("""COMPUTED_VALUE"""),"Leadership &amp; Management")</f>
        <v>Leadership &amp; Management</v>
      </c>
      <c r="G25" t="str">
        <f>IFERROR(__xludf.DUMMYFUNCTION("""COMPUTED_VALUE"""),"Management")</f>
        <v>Management</v>
      </c>
      <c r="H25" s="140">
        <f>IFERROR(__xludf.DUMMYFUNCTION("""COMPUTED_VALUE"""),698200.0)</f>
        <v>698200</v>
      </c>
      <c r="I25" s="140" t="str">
        <f>IFERROR(__xludf.DUMMYFUNCTION("""COMPUTED_VALUE"""),"")</f>
        <v/>
      </c>
      <c r="J25" s="140">
        <f>IFERROR(__xludf.DUMMYFUNCTION("""COMPUTED_VALUE"""),1260426.0)</f>
        <v>1260426</v>
      </c>
      <c r="K25" s="140" t="str">
        <f>IFERROR(__xludf.DUMMYFUNCTION("""COMPUTED_VALUE"""),"")</f>
        <v/>
      </c>
    </row>
    <row r="26">
      <c r="A26" s="143">
        <f>IFERROR(__xludf.DUMMYFUNCTION("""COMPUTED_VALUE"""),43438.0)</f>
        <v>43438</v>
      </c>
      <c r="B26">
        <f>IFERROR(__xludf.DUMMYFUNCTION("""COMPUTED_VALUE"""),634546.0)</f>
        <v>634546</v>
      </c>
      <c r="C26" t="str">
        <f>IFERROR(__xludf.DUMMYFUNCTION("""COMPUTED_VALUE"""),"Protractor: End to End testing framework for AngularJS Apps")</f>
        <v>Protractor: End to End testing framework for AngularJS Apps</v>
      </c>
      <c r="D26" t="str">
        <f>IFERROR(__xludf.DUMMYFUNCTION("""COMPUTED_VALUE"""),"Rahul Arora (Raman)")</f>
        <v>Rahul Arora (Raman)</v>
      </c>
      <c r="E26" t="str">
        <f>IFERROR(__xludf.DUMMYFUNCTION("""COMPUTED_VALUE"""),"Temporarily Removed due to Malware. Re-added 12/4.")</f>
        <v>Temporarily Removed due to Malware. Re-added 12/4.</v>
      </c>
      <c r="F26" t="str">
        <f>IFERROR(__xludf.DUMMYFUNCTION("""COMPUTED_VALUE"""),"Development")</f>
        <v>Development</v>
      </c>
      <c r="G26" t="str">
        <f>IFERROR(__xludf.DUMMYFUNCTION("""COMPUTED_VALUE"""),"Software Testing")</f>
        <v>Software Testing</v>
      </c>
      <c r="H26">
        <f>IFERROR(__xludf.DUMMYFUNCTION("""COMPUTED_VALUE"""),1269108.0)</f>
        <v>1269108</v>
      </c>
      <c r="I26" s="140" t="str">
        <f>IFERROR(__xludf.DUMMYFUNCTION("""COMPUTED_VALUE"""),"")</f>
        <v/>
      </c>
      <c r="J26">
        <f>IFERROR(__xludf.DUMMYFUNCTION("""COMPUTED_VALUE"""),1699476.0)</f>
        <v>1699476</v>
      </c>
      <c r="K26" s="140" t="str">
        <f>IFERROR(__xludf.DUMMYFUNCTION("""COMPUTED_VALUE"""),"")</f>
        <v/>
      </c>
      <c r="Q26" s="200" t="str">
        <f>IFERROR(__xludf.DUMMYFUNCTION("""COMPUTED_VALUE"""),"https://udemy.slack.com/archives/C1KDU77AM/p1543857743005400")</f>
        <v>https://udemy.slack.com/archives/C1KDU77AM/p1543857743005400</v>
      </c>
    </row>
    <row r="27">
      <c r="A27" s="143">
        <f>IFERROR(__xludf.DUMMYFUNCTION("""COMPUTED_VALUE"""),43437.0)</f>
        <v>43437</v>
      </c>
      <c r="B27">
        <f>IFERROR(__xludf.DUMMYFUNCTION("""COMPUTED_VALUE"""),351142.0)</f>
        <v>351142</v>
      </c>
      <c r="C27" t="str">
        <f>IFERROR(__xludf.DUMMYFUNCTION("""COMPUTED_VALUE"""),"Personal Communication-Introduce Yourself With Confidence")</f>
        <v>Personal Communication-Introduce Yourself With Confidence</v>
      </c>
      <c r="D27" t="str">
        <f>IFERROR(__xludf.DUMMYFUNCTION("""COMPUTED_VALUE"""),"TJ Walker")</f>
        <v>TJ Walker</v>
      </c>
      <c r="E27" t="str">
        <f>IFERROR(__xludf.DUMMYFUNCTION("""COMPUTED_VALUE"""),"Below Quality Standards- Outdated")</f>
        <v>Below Quality Standards- Outdated</v>
      </c>
      <c r="F27" t="str">
        <f>IFERROR(__xludf.DUMMYFUNCTION("""COMPUTED_VALUE"""),"Leadership &amp; Management")</f>
        <v>Leadership &amp; Management</v>
      </c>
      <c r="G27" t="str">
        <f>IFERROR(__xludf.DUMMYFUNCTION("""COMPUTED_VALUE"""),"Communication")</f>
        <v>Communication</v>
      </c>
      <c r="H27">
        <f>IFERROR(__xludf.DUMMYFUNCTION("""COMPUTED_VALUE"""),1689362.0)</f>
        <v>1689362</v>
      </c>
      <c r="I27" s="140" t="str">
        <f>IFERROR(__xludf.DUMMYFUNCTION("""COMPUTED_VALUE"""),"")</f>
        <v/>
      </c>
      <c r="K27" s="140" t="str">
        <f>IFERROR(__xludf.DUMMYFUNCTION("""COMPUTED_VALUE"""),"")</f>
        <v/>
      </c>
    </row>
    <row r="28">
      <c r="A28" s="143">
        <f>IFERROR(__xludf.DUMMYFUNCTION("""COMPUTED_VALUE"""),43437.0)</f>
        <v>43437</v>
      </c>
      <c r="B28">
        <f>IFERROR(__xludf.DUMMYFUNCTION("""COMPUTED_VALUE"""),322302.0)</f>
        <v>322302</v>
      </c>
      <c r="C28" t="str">
        <f>IFERROR(__xludf.DUMMYFUNCTION("""COMPUTED_VALUE"""),"Interviewing Skills: Conducting Job Interviews")</f>
        <v>Interviewing Skills: Conducting Job Interviews</v>
      </c>
      <c r="D28" t="str">
        <f>IFERROR(__xludf.DUMMYFUNCTION("""COMPUTED_VALUE"""),"TJ Walker")</f>
        <v>TJ Walker</v>
      </c>
      <c r="E28" t="str">
        <f>IFERROR(__xludf.DUMMYFUNCTION("""COMPUTED_VALUE"""),"Below Quality Standards- Outdated")</f>
        <v>Below Quality Standards- Outdated</v>
      </c>
      <c r="F28" t="str">
        <f>IFERROR(__xludf.DUMMYFUNCTION("""COMPUTED_VALUE"""),"Human Resources")</f>
        <v>Human Resources</v>
      </c>
      <c r="G28" t="str">
        <f>IFERROR(__xludf.DUMMYFUNCTION("""COMPUTED_VALUE"""),"Talent Management")</f>
        <v>Talent Management</v>
      </c>
      <c r="H28">
        <f>IFERROR(__xludf.DUMMYFUNCTION("""COMPUTED_VALUE"""),1689362.0)</f>
        <v>1689362</v>
      </c>
      <c r="I28" s="140" t="str">
        <f>IFERROR(__xludf.DUMMYFUNCTION("""COMPUTED_VALUE"""),"")</f>
        <v/>
      </c>
      <c r="K28" s="140" t="str">
        <f>IFERROR(__xludf.DUMMYFUNCTION("""COMPUTED_VALUE"""),"")</f>
        <v/>
      </c>
    </row>
    <row r="29">
      <c r="A29" s="143">
        <f>IFERROR(__xludf.DUMMYFUNCTION("""COMPUTED_VALUE"""),43437.0)</f>
        <v>43437</v>
      </c>
      <c r="B29">
        <f>IFERROR(__xludf.DUMMYFUNCTION("""COMPUTED_VALUE"""),363894.0)</f>
        <v>363894</v>
      </c>
      <c r="C29" t="str">
        <f>IFERROR(__xludf.DUMMYFUNCTION("""COMPUTED_VALUE"""),"PowerPoint Presentations: Deliver a Non-Boring Presentation")</f>
        <v>PowerPoint Presentations: Deliver a Non-Boring Presentation</v>
      </c>
      <c r="D29" t="str">
        <f>IFERROR(__xludf.DUMMYFUNCTION("""COMPUTED_VALUE"""),"TJ Walker")</f>
        <v>TJ Walker</v>
      </c>
      <c r="E29" t="str">
        <f>IFERROR(__xludf.DUMMYFUNCTION("""COMPUTED_VALUE"""),"Below Quality Standards- Outdated")</f>
        <v>Below Quality Standards- Outdated</v>
      </c>
      <c r="F29" t="str">
        <f>IFERROR(__xludf.DUMMYFUNCTION("""COMPUTED_VALUE"""),"Office Productivity")</f>
        <v>Office Productivity</v>
      </c>
      <c r="G29" t="str">
        <f>IFERROR(__xludf.DUMMYFUNCTION("""COMPUTED_VALUE"""),"Presentations")</f>
        <v>Presentations</v>
      </c>
      <c r="H29">
        <f>IFERROR(__xludf.DUMMYFUNCTION("""COMPUTED_VALUE"""),1689362.0)</f>
        <v>1689362</v>
      </c>
      <c r="I29" s="140" t="str">
        <f>IFERROR(__xludf.DUMMYFUNCTION("""COMPUTED_VALUE"""),"")</f>
        <v/>
      </c>
      <c r="K29" s="140" t="str">
        <f>IFERROR(__xludf.DUMMYFUNCTION("""COMPUTED_VALUE"""),"")</f>
        <v/>
      </c>
    </row>
    <row r="30">
      <c r="A30" s="143">
        <f>IFERROR(__xludf.DUMMYFUNCTION("""COMPUTED_VALUE"""),43437.0)</f>
        <v>43437</v>
      </c>
      <c r="B30">
        <f>IFERROR(__xludf.DUMMYFUNCTION("""COMPUTED_VALUE"""),864886.0)</f>
        <v>864886</v>
      </c>
      <c r="C30" t="str">
        <f>IFERROR(__xludf.DUMMYFUNCTION("""COMPUTED_VALUE"""),"Agile Retrospective: Continuous Improvement+Kaizen wth Scrum")</f>
        <v>Agile Retrospective: Continuous Improvement+Kaizen wth Scrum</v>
      </c>
      <c r="D30" t="str">
        <f>IFERROR(__xludf.DUMMYFUNCTION("""COMPUTED_VALUE"""),"Paul Ashun")</f>
        <v>Paul Ashun</v>
      </c>
      <c r="E30" t="str">
        <f>IFERROR(__xludf.DUMMYFUNCTION("""COMPUTED_VALUE"""),"Below Quality Standards- Low Rating")</f>
        <v>Below Quality Standards- Low Rating</v>
      </c>
      <c r="F30" t="str">
        <f>IFERROR(__xludf.DUMMYFUNCTION("""COMPUTED_VALUE"""),"Development")</f>
        <v>Development</v>
      </c>
      <c r="G30" t="str">
        <f>IFERROR(__xludf.DUMMYFUNCTION("""COMPUTED_VALUE"""),"Development Tools")</f>
        <v>Development Tools</v>
      </c>
      <c r="I30" s="140" t="str">
        <f>IFERROR(__xludf.DUMMYFUNCTION("""COMPUTED_VALUE"""),"")</f>
        <v/>
      </c>
      <c r="K30" s="140" t="str">
        <f>IFERROR(__xludf.DUMMYFUNCTION("""COMPUTED_VALUE"""),"")</f>
        <v/>
      </c>
      <c r="Q30" s="145" t="str">
        <f>IFERROR(__xludf.DUMMYFUNCTION("""COMPUTED_VALUE"""),"Topic on Priority List- 1881107")</f>
        <v>Topic on Priority List- 1881107</v>
      </c>
    </row>
    <row r="31">
      <c r="A31" s="143">
        <f>IFERROR(__xludf.DUMMYFUNCTION("""COMPUTED_VALUE"""),43437.0)</f>
        <v>43437</v>
      </c>
      <c r="B31">
        <f>IFERROR(__xludf.DUMMYFUNCTION("""COMPUTED_VALUE"""),630762.0)</f>
        <v>630762</v>
      </c>
      <c r="C31" t="str">
        <f>IFERROR(__xludf.DUMMYFUNCTION("""COMPUTED_VALUE"""),"Powershell For Beginners")</f>
        <v>Powershell For Beginners</v>
      </c>
      <c r="D31" t="str">
        <f>IFERROR(__xludf.DUMMYFUNCTION("""COMPUTED_VALUE"""),"Fettah Ben")</f>
        <v>Fettah Ben</v>
      </c>
      <c r="E31" t="str">
        <f>IFERROR(__xludf.DUMMYFUNCTION("""COMPUTED_VALUE"""),"Below Quality Standards- Low Rating")</f>
        <v>Below Quality Standards- Low Rating</v>
      </c>
      <c r="F31" t="str">
        <f>IFERROR(__xludf.DUMMYFUNCTION("""COMPUTED_VALUE"""),"IT Operations")</f>
        <v>IT Operations</v>
      </c>
      <c r="G31" t="str">
        <f>IFERROR(__xludf.DUMMYFUNCTION("""COMPUTED_VALUE"""),"Operating Systems &amp; Servers")</f>
        <v>Operating Systems &amp; Servers</v>
      </c>
      <c r="H31">
        <f>IFERROR(__xludf.DUMMYFUNCTION("""COMPUTED_VALUE"""),915782.0)</f>
        <v>915782</v>
      </c>
      <c r="I31" s="140" t="str">
        <f>IFERROR(__xludf.DUMMYFUNCTION("""COMPUTED_VALUE"""),"")</f>
        <v/>
      </c>
      <c r="J31" s="140">
        <f>IFERROR(__xludf.DUMMYFUNCTION("""COMPUTED_VALUE"""),1656672.0)</f>
        <v>1656672</v>
      </c>
      <c r="K31" s="140" t="str">
        <f>IFERROR(__xludf.DUMMYFUNCTION("""COMPUTED_VALUE"""),"")</f>
        <v/>
      </c>
    </row>
    <row r="32">
      <c r="A32" s="143">
        <f>IFERROR(__xludf.DUMMYFUNCTION("""COMPUTED_VALUE"""),43437.0)</f>
        <v>43437</v>
      </c>
      <c r="B32">
        <f>IFERROR(__xludf.DUMMYFUNCTION("""COMPUTED_VALUE"""),1020162.0)</f>
        <v>1020162</v>
      </c>
      <c r="C32" t="str">
        <f>IFERROR(__xludf.DUMMYFUNCTION("""COMPUTED_VALUE"""),"Selenium Webdriver Automation(Basics to Advanced +Interview)")</f>
        <v>Selenium Webdriver Automation(Basics to Advanced +Interview)</v>
      </c>
      <c r="D32" t="str">
        <f>IFERROR(__xludf.DUMMYFUNCTION("""COMPUTED_VALUE"""),"Qatestingtraining.com QA expert")</f>
        <v>Qatestingtraining.com QA expert</v>
      </c>
      <c r="E32" t="str">
        <f>IFERROR(__xludf.DUMMYFUNCTION("""COMPUTED_VALUE"""),"Below Quality Standards- Low Rating")</f>
        <v>Below Quality Standards- Low Rating</v>
      </c>
      <c r="F32" t="str">
        <f>IFERROR(__xludf.DUMMYFUNCTION("""COMPUTED_VALUE"""),"Development")</f>
        <v>Development</v>
      </c>
      <c r="G32" t="str">
        <f>IFERROR(__xludf.DUMMYFUNCTION("""COMPUTED_VALUE"""),"Software Testing")</f>
        <v>Software Testing</v>
      </c>
      <c r="H32">
        <f>IFERROR(__xludf.DUMMYFUNCTION("""COMPUTED_VALUE"""),385922.0)</f>
        <v>385922</v>
      </c>
      <c r="I32" s="140" t="str">
        <f>IFERROR(__xludf.DUMMYFUNCTION("""COMPUTED_VALUE"""),"")</f>
        <v/>
      </c>
      <c r="J32" s="140">
        <f>IFERROR(__xludf.DUMMYFUNCTION("""COMPUTED_VALUE"""),541692.0)</f>
        <v>541692</v>
      </c>
      <c r="K32" s="140" t="str">
        <f>IFERROR(__xludf.DUMMYFUNCTION("""COMPUTED_VALUE"""),"")</f>
        <v/>
      </c>
    </row>
    <row r="33">
      <c r="A33" s="143">
        <f>IFERROR(__xludf.DUMMYFUNCTION("""COMPUTED_VALUE"""),43437.0)</f>
        <v>43437</v>
      </c>
      <c r="B33">
        <f>IFERROR(__xludf.DUMMYFUNCTION("""COMPUTED_VALUE"""),1518052.0)</f>
        <v>1518052</v>
      </c>
      <c r="C33" t="str">
        <f>IFERROR(__xludf.DUMMYFUNCTION("""COMPUTED_VALUE"""),"Analytics for Human Resources")</f>
        <v>Analytics for Human Resources</v>
      </c>
      <c r="D33" t="str">
        <f>IFERROR(__xludf.DUMMYFUNCTION("""COMPUTED_VALUE"""),"HR Jetpack")</f>
        <v>HR Jetpack</v>
      </c>
      <c r="E33" t="str">
        <f>IFERROR(__xludf.DUMMYFUNCTION("""COMPUTED_VALUE"""),"Below Quality Standards- Low Rating")</f>
        <v>Below Quality Standards- Low Rating</v>
      </c>
      <c r="F33" t="str">
        <f>IFERROR(__xludf.DUMMYFUNCTION("""COMPUTED_VALUE"""),"Data Science")</f>
        <v>Data Science</v>
      </c>
      <c r="G33" t="str">
        <f>IFERROR(__xludf.DUMMYFUNCTION("""COMPUTED_VALUE"""),"Analytics")</f>
        <v>Analytics</v>
      </c>
      <c r="I33" s="140" t="str">
        <f>IFERROR(__xludf.DUMMYFUNCTION("""COMPUTED_VALUE"""),"")</f>
        <v/>
      </c>
      <c r="K33" s="140" t="str">
        <f>IFERROR(__xludf.DUMMYFUNCTION("""COMPUTED_VALUE"""),"")</f>
        <v/>
      </c>
      <c r="Q33" s="145" t="str">
        <f>IFERROR(__xludf.DUMMYFUNCTION("""COMPUTED_VALUE"""),"Low Demand")</f>
        <v>Low Demand</v>
      </c>
    </row>
    <row r="34">
      <c r="A34" s="143">
        <f>IFERROR(__xludf.DUMMYFUNCTION("""COMPUTED_VALUE"""),43434.0)</f>
        <v>43434</v>
      </c>
      <c r="B34">
        <f>IFERROR(__xludf.DUMMYFUNCTION("""COMPUTED_VALUE"""),1305097.0)</f>
        <v>1305097</v>
      </c>
      <c r="C34" t="str">
        <f>IFERROR(__xludf.DUMMYFUNCTION("""COMPUTED_VALUE"""),"Taming the E-mail Etiquette Beast")</f>
        <v>Taming the E-mail Etiquette Beast</v>
      </c>
      <c r="D34" t="str">
        <f>IFERROR(__xludf.DUMMYFUNCTION("""COMPUTED_VALUE"""),"Illumeo Learning")</f>
        <v>Illumeo Learning</v>
      </c>
      <c r="E34" t="str">
        <f>IFERROR(__xludf.DUMMYFUNCTION("""COMPUTED_VALUE"""),"Below Quality Standards- Deep Dive")</f>
        <v>Below Quality Standards- Deep Dive</v>
      </c>
      <c r="F34" t="str">
        <f>IFERROR(__xludf.DUMMYFUNCTION("""COMPUTED_VALUE"""),"Leadership &amp; Management")</f>
        <v>Leadership &amp; Management</v>
      </c>
      <c r="G34" t="str">
        <f>IFERROR(__xludf.DUMMYFUNCTION("""COMPUTED_VALUE"""),"Communication")</f>
        <v>Communication</v>
      </c>
      <c r="H34">
        <f>IFERROR(__xludf.DUMMYFUNCTION("""COMPUTED_VALUE"""),946654.0)</f>
        <v>946654</v>
      </c>
      <c r="I34" s="140" t="str">
        <f>IFERROR(__xludf.DUMMYFUNCTION("""COMPUTED_VALUE"""),"")</f>
        <v/>
      </c>
      <c r="J34" s="140">
        <f>IFERROR(__xludf.DUMMYFUNCTION("""COMPUTED_VALUE"""),1059196.0)</f>
        <v>1059196</v>
      </c>
      <c r="K34" s="140" t="str">
        <f>IFERROR(__xludf.DUMMYFUNCTION("""COMPUTED_VALUE"""),"")</f>
        <v/>
      </c>
    </row>
    <row r="35">
      <c r="A35" s="143">
        <f>IFERROR(__xludf.DUMMYFUNCTION("""COMPUTED_VALUE"""),43434.0)</f>
        <v>43434</v>
      </c>
      <c r="B35">
        <f>IFERROR(__xludf.DUMMYFUNCTION("""COMPUTED_VALUE"""),1231362.0)</f>
        <v>1231362</v>
      </c>
      <c r="C35" t="str">
        <f>IFERROR(__xludf.DUMMYFUNCTION("""COMPUTED_VALUE"""),"Effectively Dealing with Difficult People")</f>
        <v>Effectively Dealing with Difficult People</v>
      </c>
      <c r="D35" t="str">
        <f>IFERROR(__xludf.DUMMYFUNCTION("""COMPUTED_VALUE"""),"Illumeo Learning")</f>
        <v>Illumeo Learning</v>
      </c>
      <c r="E35" t="str">
        <f>IFERROR(__xludf.DUMMYFUNCTION("""COMPUTED_VALUE"""),"Below Quality Standards- Deep Dive")</f>
        <v>Below Quality Standards- Deep Dive</v>
      </c>
      <c r="F35" t="str">
        <f>IFERROR(__xludf.DUMMYFUNCTION("""COMPUTED_VALUE"""),"Leadership &amp; Management")</f>
        <v>Leadership &amp; Management</v>
      </c>
      <c r="G35" t="str">
        <f>IFERROR(__xludf.DUMMYFUNCTION("""COMPUTED_VALUE"""),"Communication")</f>
        <v>Communication</v>
      </c>
      <c r="H35">
        <f>IFERROR(__xludf.DUMMYFUNCTION("""COMPUTED_VALUE"""),1428724.0)</f>
        <v>1428724</v>
      </c>
      <c r="I35" s="140" t="str">
        <f>IFERROR(__xludf.DUMMYFUNCTION("""COMPUTED_VALUE"""),"")</f>
        <v/>
      </c>
      <c r="J35" s="140">
        <f>IFERROR(__xludf.DUMMYFUNCTION("""COMPUTED_VALUE"""),526000.0)</f>
        <v>526000</v>
      </c>
      <c r="K35" s="140" t="str">
        <f>IFERROR(__xludf.DUMMYFUNCTION("""COMPUTED_VALUE"""),"")</f>
        <v/>
      </c>
    </row>
    <row r="36">
      <c r="A36" s="143">
        <f>IFERROR(__xludf.DUMMYFUNCTION("""COMPUTED_VALUE"""),43434.0)</f>
        <v>43434</v>
      </c>
      <c r="B36">
        <f>IFERROR(__xludf.DUMMYFUNCTION("""COMPUTED_VALUE"""),362738.0)</f>
        <v>362738</v>
      </c>
      <c r="C36" t="str">
        <f>IFERROR(__xludf.DUMMYFUNCTION("""COMPUTED_VALUE"""),"Business Networking  for Introverts and Extroverts - Part 1")</f>
        <v>Business Networking  for Introverts and Extroverts - Part 1</v>
      </c>
      <c r="D36" t="str">
        <f>IFERROR(__xludf.DUMMYFUNCTION("""COMPUTED_VALUE"""),"Will Caraway")</f>
        <v>Will Caraway</v>
      </c>
      <c r="E36" t="str">
        <f>IFERROR(__xludf.DUMMYFUNCTION("""COMPUTED_VALUE"""),"Below Quality Standards- Deep Dive")</f>
        <v>Below Quality Standards- Deep Dive</v>
      </c>
      <c r="F36" t="str">
        <f>IFERROR(__xludf.DUMMYFUNCTION("""COMPUTED_VALUE"""),"Leadership &amp; Management")</f>
        <v>Leadership &amp; Management</v>
      </c>
      <c r="G36" t="str">
        <f>IFERROR(__xludf.DUMMYFUNCTION("""COMPUTED_VALUE"""),"Communication")</f>
        <v>Communication</v>
      </c>
      <c r="H36">
        <f>IFERROR(__xludf.DUMMYFUNCTION("""COMPUTED_VALUE"""),192004.0)</f>
        <v>192004</v>
      </c>
      <c r="I36" s="140" t="str">
        <f>IFERROR(__xludf.DUMMYFUNCTION("""COMPUTED_VALUE"""),"")</f>
        <v/>
      </c>
      <c r="J36" s="140">
        <f>IFERROR(__xludf.DUMMYFUNCTION("""COMPUTED_VALUE"""),1361836.0)</f>
        <v>1361836</v>
      </c>
      <c r="K36" s="140" t="str">
        <f>IFERROR(__xludf.DUMMYFUNCTION("""COMPUTED_VALUE"""),"")</f>
        <v/>
      </c>
    </row>
    <row r="37">
      <c r="A37" s="143">
        <f>IFERROR(__xludf.DUMMYFUNCTION("""COMPUTED_VALUE"""),43434.0)</f>
        <v>43434</v>
      </c>
      <c r="B37">
        <f>IFERROR(__xludf.DUMMYFUNCTION("""COMPUTED_VALUE"""),379578.0)</f>
        <v>379578</v>
      </c>
      <c r="C37" t="str">
        <f>IFERROR(__xludf.DUMMYFUNCTION("""COMPUTED_VALUE"""),"Maximize Your Earning Potential through Business Networking!")</f>
        <v>Maximize Your Earning Potential through Business Networking!</v>
      </c>
      <c r="D37" t="str">
        <f>IFERROR(__xludf.DUMMYFUNCTION("""COMPUTED_VALUE"""),"Stevie Dawn Blakely")</f>
        <v>Stevie Dawn Blakely</v>
      </c>
      <c r="E37" t="str">
        <f>IFERROR(__xludf.DUMMYFUNCTION("""COMPUTED_VALUE"""),"Below Quality Standards- Deep Dive")</f>
        <v>Below Quality Standards- Deep Dive</v>
      </c>
      <c r="F37" t="str">
        <f>IFERROR(__xludf.DUMMYFUNCTION("""COMPUTED_VALUE"""),"Leadership &amp; Management")</f>
        <v>Leadership &amp; Management</v>
      </c>
      <c r="G37" t="str">
        <f>IFERROR(__xludf.DUMMYFUNCTION("""COMPUTED_VALUE"""),"Communication")</f>
        <v>Communication</v>
      </c>
      <c r="H37">
        <f>IFERROR(__xludf.DUMMYFUNCTION("""COMPUTED_VALUE"""),192004.0)</f>
        <v>192004</v>
      </c>
      <c r="I37" s="140" t="str">
        <f>IFERROR(__xludf.DUMMYFUNCTION("""COMPUTED_VALUE"""),"")</f>
        <v/>
      </c>
      <c r="J37" s="140">
        <f>IFERROR(__xludf.DUMMYFUNCTION("""COMPUTED_VALUE"""),1361836.0)</f>
        <v>1361836</v>
      </c>
      <c r="K37" s="140" t="str">
        <f>IFERROR(__xludf.DUMMYFUNCTION("""COMPUTED_VALUE"""),"")</f>
        <v/>
      </c>
    </row>
    <row r="38">
      <c r="A38" s="143">
        <f>IFERROR(__xludf.DUMMYFUNCTION("""COMPUTED_VALUE"""),43434.0)</f>
        <v>43434</v>
      </c>
      <c r="B38">
        <f>IFERROR(__xludf.DUMMYFUNCTION("""COMPUTED_VALUE"""),1247610.0)</f>
        <v>1247610</v>
      </c>
      <c r="C38" t="str">
        <f>IFERROR(__xludf.DUMMYFUNCTION("""COMPUTED_VALUE"""),"Effective Workplace Conflict Resolution")</f>
        <v>Effective Workplace Conflict Resolution</v>
      </c>
      <c r="D38" t="str">
        <f>IFERROR(__xludf.DUMMYFUNCTION("""COMPUTED_VALUE"""),"Illumeo Learning")</f>
        <v>Illumeo Learning</v>
      </c>
      <c r="E38" t="str">
        <f>IFERROR(__xludf.DUMMYFUNCTION("""COMPUTED_VALUE"""),"Below Quality Standards- Deep Dive")</f>
        <v>Below Quality Standards- Deep Dive</v>
      </c>
      <c r="F38" t="str">
        <f>IFERROR(__xludf.DUMMYFUNCTION("""COMPUTED_VALUE"""),"Leadership &amp; Management")</f>
        <v>Leadership &amp; Management</v>
      </c>
      <c r="G38" t="str">
        <f>IFERROR(__xludf.DUMMYFUNCTION("""COMPUTED_VALUE"""),"Communication")</f>
        <v>Communication</v>
      </c>
      <c r="H38">
        <f>IFERROR(__xludf.DUMMYFUNCTION("""COMPUTED_VALUE"""),1428724.0)</f>
        <v>1428724</v>
      </c>
      <c r="I38" s="140" t="str">
        <f>IFERROR(__xludf.DUMMYFUNCTION("""COMPUTED_VALUE"""),"")</f>
        <v/>
      </c>
      <c r="J38" s="140">
        <f>IFERROR(__xludf.DUMMYFUNCTION("""COMPUTED_VALUE"""),526000.0)</f>
        <v>526000</v>
      </c>
      <c r="K38" s="140" t="str">
        <f>IFERROR(__xludf.DUMMYFUNCTION("""COMPUTED_VALUE"""),"")</f>
        <v/>
      </c>
    </row>
    <row r="39">
      <c r="A39" s="143">
        <f>IFERROR(__xludf.DUMMYFUNCTION("""COMPUTED_VALUE"""),43434.0)</f>
        <v>43434</v>
      </c>
      <c r="B39">
        <f>IFERROR(__xludf.DUMMYFUNCTION("""COMPUTED_VALUE"""),545168.0)</f>
        <v>545168</v>
      </c>
      <c r="C39" t="str">
        <f>IFERROR(__xludf.DUMMYFUNCTION("""COMPUTED_VALUE"""),"Leadership | How to Understand your Brand")</f>
        <v>Leadership | How to Understand your Brand</v>
      </c>
      <c r="D39" t="str">
        <f>IFERROR(__xludf.DUMMYFUNCTION("""COMPUTED_VALUE"""),"Learoy Tonight")</f>
        <v>Learoy Tonight</v>
      </c>
      <c r="E39" t="str">
        <f>IFERROR(__xludf.DUMMYFUNCTION("""COMPUTED_VALUE"""),"Below Quality Standards- Deep Dive")</f>
        <v>Below Quality Standards- Deep Dive</v>
      </c>
      <c r="F39" t="str">
        <f>IFERROR(__xludf.DUMMYFUNCTION("""COMPUTED_VALUE"""),"Leadership &amp; Management")</f>
        <v>Leadership &amp; Management</v>
      </c>
      <c r="G39" t="str">
        <f>IFERROR(__xludf.DUMMYFUNCTION("""COMPUTED_VALUE"""),"Leadership")</f>
        <v>Leadership</v>
      </c>
      <c r="H39">
        <f>IFERROR(__xludf.DUMMYFUNCTION("""COMPUTED_VALUE"""),777754.0)</f>
        <v>777754</v>
      </c>
      <c r="I39" s="140" t="str">
        <f>IFERROR(__xludf.DUMMYFUNCTION("""COMPUTED_VALUE"""),"")</f>
        <v/>
      </c>
      <c r="J39" s="140">
        <f>IFERROR(__xludf.DUMMYFUNCTION("""COMPUTED_VALUE"""),563556.0)</f>
        <v>563556</v>
      </c>
      <c r="K39" s="140" t="str">
        <f>IFERROR(__xludf.DUMMYFUNCTION("""COMPUTED_VALUE"""),"")</f>
        <v/>
      </c>
    </row>
    <row r="40">
      <c r="A40" s="143">
        <f>IFERROR(__xludf.DUMMYFUNCTION("""COMPUTED_VALUE"""),43434.0)</f>
        <v>43434</v>
      </c>
      <c r="B40">
        <f>IFERROR(__xludf.DUMMYFUNCTION("""COMPUTED_VALUE"""),1321070.0)</f>
        <v>1321070</v>
      </c>
      <c r="C40" t="str">
        <f>IFERROR(__xludf.DUMMYFUNCTION("""COMPUTED_VALUE"""),"Traits and Skills of the Ethical Leader")</f>
        <v>Traits and Skills of the Ethical Leader</v>
      </c>
      <c r="D40" t="str">
        <f>IFERROR(__xludf.DUMMYFUNCTION("""COMPUTED_VALUE"""),"Illumeo Learning")</f>
        <v>Illumeo Learning</v>
      </c>
      <c r="E40" t="str">
        <f>IFERROR(__xludf.DUMMYFUNCTION("""COMPUTED_VALUE"""),"Below Quality Standards- Deep Dive")</f>
        <v>Below Quality Standards- Deep Dive</v>
      </c>
      <c r="F40" t="str">
        <f>IFERROR(__xludf.DUMMYFUNCTION("""COMPUTED_VALUE"""),"Leadership &amp; Management")</f>
        <v>Leadership &amp; Management</v>
      </c>
      <c r="G40" t="str">
        <f>IFERROR(__xludf.DUMMYFUNCTION("""COMPUTED_VALUE"""),"Leadership")</f>
        <v>Leadership</v>
      </c>
      <c r="H40">
        <f>IFERROR(__xludf.DUMMYFUNCTION("""COMPUTED_VALUE"""),751602.0)</f>
        <v>751602</v>
      </c>
      <c r="I40" s="140" t="str">
        <f>IFERROR(__xludf.DUMMYFUNCTION("""COMPUTED_VALUE"""),"")</f>
        <v/>
      </c>
      <c r="J40" s="140">
        <f>IFERROR(__xludf.DUMMYFUNCTION("""COMPUTED_VALUE"""),613808.0)</f>
        <v>613808</v>
      </c>
      <c r="K40" s="140" t="str">
        <f>IFERROR(__xludf.DUMMYFUNCTION("""COMPUTED_VALUE"""),"")</f>
        <v/>
      </c>
    </row>
    <row r="41">
      <c r="A41" s="143">
        <f>IFERROR(__xludf.DUMMYFUNCTION("""COMPUTED_VALUE"""),43434.0)</f>
        <v>43434</v>
      </c>
      <c r="B41">
        <f>IFERROR(__xludf.DUMMYFUNCTION("""COMPUTED_VALUE"""),1321126.0)</f>
        <v>1321126</v>
      </c>
      <c r="C41" t="str">
        <f>IFERROR(__xludf.DUMMYFUNCTION("""COMPUTED_VALUE"""),"Generational and Cultural Considerations Of A Good Manager")</f>
        <v>Generational and Cultural Considerations Of A Good Manager</v>
      </c>
      <c r="D41" t="str">
        <f>IFERROR(__xludf.DUMMYFUNCTION("""COMPUTED_VALUE"""),"Illumeo Learning")</f>
        <v>Illumeo Learning</v>
      </c>
      <c r="E41" t="str">
        <f>IFERROR(__xludf.DUMMYFUNCTION("""COMPUTED_VALUE"""),"Below Quality Standards- Deep Dive")</f>
        <v>Below Quality Standards- Deep Dive</v>
      </c>
      <c r="F41" t="str">
        <f>IFERROR(__xludf.DUMMYFUNCTION("""COMPUTED_VALUE"""),"Leadership &amp; Management")</f>
        <v>Leadership &amp; Management</v>
      </c>
      <c r="G41" t="str">
        <f>IFERROR(__xludf.DUMMYFUNCTION("""COMPUTED_VALUE"""),"Leadership")</f>
        <v>Leadership</v>
      </c>
      <c r="H41">
        <f>IFERROR(__xludf.DUMMYFUNCTION("""COMPUTED_VALUE"""),909996.0)</f>
        <v>909996</v>
      </c>
      <c r="I41" s="140" t="str">
        <f>IFERROR(__xludf.DUMMYFUNCTION("""COMPUTED_VALUE"""),"")</f>
        <v/>
      </c>
      <c r="J41" s="140">
        <f>IFERROR(__xludf.DUMMYFUNCTION("""COMPUTED_VALUE"""),1210442.0)</f>
        <v>1210442</v>
      </c>
      <c r="K41" s="140" t="str">
        <f>IFERROR(__xludf.DUMMYFUNCTION("""COMPUTED_VALUE"""),"")</f>
        <v/>
      </c>
    </row>
    <row r="42">
      <c r="A42" s="143">
        <f>IFERROR(__xludf.DUMMYFUNCTION("""COMPUTED_VALUE"""),43434.0)</f>
        <v>43434</v>
      </c>
      <c r="B42">
        <f>IFERROR(__xludf.DUMMYFUNCTION("""COMPUTED_VALUE"""),1315856.0)</f>
        <v>1315856</v>
      </c>
      <c r="C42" t="str">
        <f>IFERROR(__xludf.DUMMYFUNCTION("""COMPUTED_VALUE"""),"Traits and Skills Of A Good Manager")</f>
        <v>Traits and Skills Of A Good Manager</v>
      </c>
      <c r="D42" t="str">
        <f>IFERROR(__xludf.DUMMYFUNCTION("""COMPUTED_VALUE"""),"Illumeo Learning")</f>
        <v>Illumeo Learning</v>
      </c>
      <c r="E42" t="str">
        <f>IFERROR(__xludf.DUMMYFUNCTION("""COMPUTED_VALUE"""),"Below Quality Standards- Deep Dive")</f>
        <v>Below Quality Standards- Deep Dive</v>
      </c>
      <c r="F42" t="str">
        <f>IFERROR(__xludf.DUMMYFUNCTION("""COMPUTED_VALUE"""),"Leadership &amp; Management")</f>
        <v>Leadership &amp; Management</v>
      </c>
      <c r="G42" t="str">
        <f>IFERROR(__xludf.DUMMYFUNCTION("""COMPUTED_VALUE"""),"Leadership")</f>
        <v>Leadership</v>
      </c>
      <c r="H42">
        <f>IFERROR(__xludf.DUMMYFUNCTION("""COMPUTED_VALUE"""),988524.0)</f>
        <v>988524</v>
      </c>
      <c r="I42" s="140" t="str">
        <f>IFERROR(__xludf.DUMMYFUNCTION("""COMPUTED_VALUE"""),"")</f>
        <v/>
      </c>
      <c r="J42" s="140">
        <f>IFERROR(__xludf.DUMMYFUNCTION("""COMPUTED_VALUE"""),482564.0)</f>
        <v>482564</v>
      </c>
      <c r="K42" s="140" t="str">
        <f>IFERROR(__xludf.DUMMYFUNCTION("""COMPUTED_VALUE"""),"")</f>
        <v/>
      </c>
    </row>
    <row r="43">
      <c r="A43" s="143">
        <f>IFERROR(__xludf.DUMMYFUNCTION("""COMPUTED_VALUE"""),43434.0)</f>
        <v>43434</v>
      </c>
      <c r="B43">
        <f>IFERROR(__xludf.DUMMYFUNCTION("""COMPUTED_VALUE"""),528282.0)</f>
        <v>528282</v>
      </c>
      <c r="C43" t="str">
        <f>IFERROR(__xludf.DUMMYFUNCTION("""COMPUTED_VALUE"""),"Leadership | How to Create their ‘Walk in the Door’ Moments")</f>
        <v>Leadership | How to Create their ‘Walk in the Door’ Moments</v>
      </c>
      <c r="D43" t="str">
        <f>IFERROR(__xludf.DUMMYFUNCTION("""COMPUTED_VALUE"""),"Learoy Tonight")</f>
        <v>Learoy Tonight</v>
      </c>
      <c r="E43" t="str">
        <f>IFERROR(__xludf.DUMMYFUNCTION("""COMPUTED_VALUE"""),"Below Quality Standards- Deep Dive")</f>
        <v>Below Quality Standards- Deep Dive</v>
      </c>
      <c r="F43" t="str">
        <f>IFERROR(__xludf.DUMMYFUNCTION("""COMPUTED_VALUE"""),"Leadership &amp; Management")</f>
        <v>Leadership &amp; Management</v>
      </c>
      <c r="G43" t="str">
        <f>IFERROR(__xludf.DUMMYFUNCTION("""COMPUTED_VALUE"""),"Leadership")</f>
        <v>Leadership</v>
      </c>
      <c r="H43">
        <f>IFERROR(__xludf.DUMMYFUNCTION("""COMPUTED_VALUE"""),1596336.0)</f>
        <v>1596336</v>
      </c>
      <c r="I43" s="140" t="str">
        <f>IFERROR(__xludf.DUMMYFUNCTION("""COMPUTED_VALUE"""),"")</f>
        <v/>
      </c>
      <c r="J43" s="140">
        <f>IFERROR(__xludf.DUMMYFUNCTION("""COMPUTED_VALUE"""),361272.0)</f>
        <v>361272</v>
      </c>
      <c r="K43" s="140" t="str">
        <f>IFERROR(__xludf.DUMMYFUNCTION("""COMPUTED_VALUE"""),"")</f>
        <v/>
      </c>
    </row>
    <row r="44">
      <c r="A44" s="143">
        <f>IFERROR(__xludf.DUMMYFUNCTION("""COMPUTED_VALUE"""),43434.0)</f>
        <v>43434</v>
      </c>
      <c r="B44">
        <f>IFERROR(__xludf.DUMMYFUNCTION("""COMPUTED_VALUE"""),474404.0)</f>
        <v>474404</v>
      </c>
      <c r="C44" t="str">
        <f>IFERROR(__xludf.DUMMYFUNCTION("""COMPUTED_VALUE"""),"Coaching for Managers")</f>
        <v>Coaching for Managers</v>
      </c>
      <c r="D44" t="str">
        <f>IFERROR(__xludf.DUMMYFUNCTION("""COMPUTED_VALUE"""),"Nigel Young")</f>
        <v>Nigel Young</v>
      </c>
      <c r="E44" t="str">
        <f>IFERROR(__xludf.DUMMYFUNCTION("""COMPUTED_VALUE"""),"Below Quality Standards- Deep Dive")</f>
        <v>Below Quality Standards- Deep Dive</v>
      </c>
      <c r="F44" t="str">
        <f>IFERROR(__xludf.DUMMYFUNCTION("""COMPUTED_VALUE"""),"Leadership &amp; Management")</f>
        <v>Leadership &amp; Management</v>
      </c>
      <c r="G44" t="str">
        <f>IFERROR(__xludf.DUMMYFUNCTION("""COMPUTED_VALUE"""),"Management")</f>
        <v>Management</v>
      </c>
      <c r="H44">
        <f>IFERROR(__xludf.DUMMYFUNCTION("""COMPUTED_VALUE"""),852606.0)</f>
        <v>852606</v>
      </c>
      <c r="I44" s="140" t="str">
        <f>IFERROR(__xludf.DUMMYFUNCTION("""COMPUTED_VALUE"""),"")</f>
        <v/>
      </c>
      <c r="J44" s="140">
        <f>IFERROR(__xludf.DUMMYFUNCTION("""COMPUTED_VALUE"""),1211572.0)</f>
        <v>1211572</v>
      </c>
      <c r="K44" s="140" t="str">
        <f>IFERROR(__xludf.DUMMYFUNCTION("""COMPUTED_VALUE"""),"")</f>
        <v/>
      </c>
    </row>
    <row r="45">
      <c r="A45" s="143">
        <f>IFERROR(__xludf.DUMMYFUNCTION("""COMPUTED_VALUE"""),43434.0)</f>
        <v>43434</v>
      </c>
      <c r="B45">
        <f>IFERROR(__xludf.DUMMYFUNCTION("""COMPUTED_VALUE"""),1415858.0)</f>
        <v>1415858</v>
      </c>
      <c r="C45" t="str">
        <f>IFERROR(__xludf.DUMMYFUNCTION("""COMPUTED_VALUE"""),"Leading Effective One-on-One Meetings: Practical Skills")</f>
        <v>Leading Effective One-on-One Meetings: Practical Skills</v>
      </c>
      <c r="D45" t="str">
        <f>IFERROR(__xludf.DUMMYFUNCTION("""COMPUTED_VALUE"""),"Mike Clayton")</f>
        <v>Mike Clayton</v>
      </c>
      <c r="E45" t="str">
        <f>IFERROR(__xludf.DUMMYFUNCTION("""COMPUTED_VALUE"""),"Below Quality Standards- Deep Dive")</f>
        <v>Below Quality Standards- Deep Dive</v>
      </c>
      <c r="F45" t="str">
        <f>IFERROR(__xludf.DUMMYFUNCTION("""COMPUTED_VALUE"""),"Leadership &amp; Management")</f>
        <v>Leadership &amp; Management</v>
      </c>
      <c r="G45" t="str">
        <f>IFERROR(__xludf.DUMMYFUNCTION("""COMPUTED_VALUE"""),"Leadership")</f>
        <v>Leadership</v>
      </c>
      <c r="H45">
        <f>IFERROR(__xludf.DUMMYFUNCTION("""COMPUTED_VALUE"""),1443424.0)</f>
        <v>1443424</v>
      </c>
      <c r="I45" s="140" t="str">
        <f>IFERROR(__xludf.DUMMYFUNCTION("""COMPUTED_VALUE"""),"")</f>
        <v/>
      </c>
      <c r="J45" s="140">
        <f>IFERROR(__xludf.DUMMYFUNCTION("""COMPUTED_VALUE"""),1417868.0)</f>
        <v>1417868</v>
      </c>
      <c r="K45" s="140" t="str">
        <f>IFERROR(__xludf.DUMMYFUNCTION("""COMPUTED_VALUE"""),"")</f>
        <v/>
      </c>
    </row>
    <row r="46">
      <c r="A46" s="143">
        <f>IFERROR(__xludf.DUMMYFUNCTION("""COMPUTED_VALUE"""),43434.0)</f>
        <v>43434</v>
      </c>
      <c r="B46">
        <f>IFERROR(__xludf.DUMMYFUNCTION("""COMPUTED_VALUE"""),1049496.0)</f>
        <v>1049496</v>
      </c>
      <c r="C46" t="str">
        <f>IFERROR(__xludf.DUMMYFUNCTION("""COMPUTED_VALUE"""),"Improve your Management Coaching &amp; Communication Skills")</f>
        <v>Improve your Management Coaching &amp; Communication Skills</v>
      </c>
      <c r="D46" t="str">
        <f>IFERROR(__xludf.DUMMYFUNCTION("""COMPUTED_VALUE"""),"Ramon Janssen")</f>
        <v>Ramon Janssen</v>
      </c>
      <c r="E46" t="str">
        <f>IFERROR(__xludf.DUMMYFUNCTION("""COMPUTED_VALUE"""),"Below Quality Standards- Deep Dive")</f>
        <v>Below Quality Standards- Deep Dive</v>
      </c>
      <c r="F46" t="str">
        <f>IFERROR(__xludf.DUMMYFUNCTION("""COMPUTED_VALUE"""),"Leadership &amp; Management")</f>
        <v>Leadership &amp; Management</v>
      </c>
      <c r="G46" t="str">
        <f>IFERROR(__xludf.DUMMYFUNCTION("""COMPUTED_VALUE"""),"Leadership")</f>
        <v>Leadership</v>
      </c>
      <c r="H46">
        <f>IFERROR(__xludf.DUMMYFUNCTION("""COMPUTED_VALUE"""),852606.0)</f>
        <v>852606</v>
      </c>
      <c r="I46" s="140" t="str">
        <f>IFERROR(__xludf.DUMMYFUNCTION("""COMPUTED_VALUE"""),"")</f>
        <v/>
      </c>
      <c r="J46" s="140">
        <f>IFERROR(__xludf.DUMMYFUNCTION("""COMPUTED_VALUE"""),1211572.0)</f>
        <v>1211572</v>
      </c>
      <c r="K46" s="140" t="str">
        <f>IFERROR(__xludf.DUMMYFUNCTION("""COMPUTED_VALUE"""),"")</f>
        <v/>
      </c>
    </row>
    <row r="47">
      <c r="A47" s="143">
        <f>IFERROR(__xludf.DUMMYFUNCTION("""COMPUTED_VALUE"""),43434.0)</f>
        <v>43434</v>
      </c>
      <c r="B47">
        <f>IFERROR(__xludf.DUMMYFUNCTION("""COMPUTED_VALUE"""),524862.0)</f>
        <v>524862</v>
      </c>
      <c r="C47" t="str">
        <f>IFERROR(__xludf.DUMMYFUNCTION("""COMPUTED_VALUE"""),"Leadership | How to Lead to Engagement")</f>
        <v>Leadership | How to Lead to Engagement</v>
      </c>
      <c r="D47" t="str">
        <f>IFERROR(__xludf.DUMMYFUNCTION("""COMPUTED_VALUE"""),"Learoy Tonight")</f>
        <v>Learoy Tonight</v>
      </c>
      <c r="E47" t="str">
        <f>IFERROR(__xludf.DUMMYFUNCTION("""COMPUTED_VALUE"""),"Below Quality Standards- Deep Dive")</f>
        <v>Below Quality Standards- Deep Dive</v>
      </c>
      <c r="F47" t="str">
        <f>IFERROR(__xludf.DUMMYFUNCTION("""COMPUTED_VALUE"""),"Leadership &amp; Management")</f>
        <v>Leadership &amp; Management</v>
      </c>
      <c r="G47" t="str">
        <f>IFERROR(__xludf.DUMMYFUNCTION("""COMPUTED_VALUE"""),"Leadership")</f>
        <v>Leadership</v>
      </c>
      <c r="H47">
        <f>IFERROR(__xludf.DUMMYFUNCTION("""COMPUTED_VALUE"""),751602.0)</f>
        <v>751602</v>
      </c>
      <c r="I47" s="140" t="str">
        <f>IFERROR(__xludf.DUMMYFUNCTION("""COMPUTED_VALUE"""),"")</f>
        <v/>
      </c>
      <c r="J47" s="140">
        <f>IFERROR(__xludf.DUMMYFUNCTION("""COMPUTED_VALUE"""),1596336.0)</f>
        <v>1596336</v>
      </c>
      <c r="K47" s="140" t="str">
        <f>IFERROR(__xludf.DUMMYFUNCTION("""COMPUTED_VALUE"""),"")</f>
        <v/>
      </c>
    </row>
    <row r="48">
      <c r="A48" s="143">
        <f>IFERROR(__xludf.DUMMYFUNCTION("""COMPUTED_VALUE"""),43434.0)</f>
        <v>43434</v>
      </c>
      <c r="B48">
        <f>IFERROR(__xludf.DUMMYFUNCTION("""COMPUTED_VALUE"""),1436050.0)</f>
        <v>1436050</v>
      </c>
      <c r="C48" t="str">
        <f>IFERROR(__xludf.DUMMYFUNCTION("""COMPUTED_VALUE"""),"How to Be a Goal Crusher: Attaining Success in the Workplace")</f>
        <v>How to Be a Goal Crusher: Attaining Success in the Workplace</v>
      </c>
      <c r="D48" t="str">
        <f>IFERROR(__xludf.DUMMYFUNCTION("""COMPUTED_VALUE"""),"Jenn Brimacombe")</f>
        <v>Jenn Brimacombe</v>
      </c>
      <c r="E48" t="str">
        <f>IFERROR(__xludf.DUMMYFUNCTION("""COMPUTED_VALUE"""),"Below Quality Standards- Deep Dive")</f>
        <v>Below Quality Standards- Deep Dive</v>
      </c>
      <c r="F48" t="str">
        <f>IFERROR(__xludf.DUMMYFUNCTION("""COMPUTED_VALUE"""),"Leadership &amp; Management")</f>
        <v>Leadership &amp; Management</v>
      </c>
      <c r="G48" t="str">
        <f>IFERROR(__xludf.DUMMYFUNCTION("""COMPUTED_VALUE"""),"Management")</f>
        <v>Management</v>
      </c>
      <c r="H48">
        <f>IFERROR(__xludf.DUMMYFUNCTION("""COMPUTED_VALUE"""),698200.0)</f>
        <v>698200</v>
      </c>
      <c r="I48" s="140" t="str">
        <f>IFERROR(__xludf.DUMMYFUNCTION("""COMPUTED_VALUE"""),"")</f>
        <v/>
      </c>
      <c r="J48" s="140">
        <f>IFERROR(__xludf.DUMMYFUNCTION("""COMPUTED_VALUE"""),1260426.0)</f>
        <v>1260426</v>
      </c>
      <c r="K48" s="140" t="str">
        <f>IFERROR(__xludf.DUMMYFUNCTION("""COMPUTED_VALUE"""),"")</f>
        <v/>
      </c>
    </row>
    <row r="49">
      <c r="A49" s="143">
        <f>IFERROR(__xludf.DUMMYFUNCTION("""COMPUTED_VALUE"""),43434.0)</f>
        <v>43434</v>
      </c>
      <c r="B49">
        <f>IFERROR(__xludf.DUMMYFUNCTION("""COMPUTED_VALUE"""),1258690.0)</f>
        <v>1258690</v>
      </c>
      <c r="C49" t="str">
        <f>IFERROR(__xludf.DUMMYFUNCTION("""COMPUTED_VALUE"""),"Learn How to Think Like a Visionary")</f>
        <v>Learn How to Think Like a Visionary</v>
      </c>
      <c r="D49" t="str">
        <f>IFERROR(__xludf.DUMMYFUNCTION("""COMPUTED_VALUE"""),"Illumeo Learning")</f>
        <v>Illumeo Learning</v>
      </c>
      <c r="E49" t="str">
        <f>IFERROR(__xludf.DUMMYFUNCTION("""COMPUTED_VALUE"""),"Below Quality Standards- Deep Dive")</f>
        <v>Below Quality Standards- Deep Dive</v>
      </c>
      <c r="F49" t="str">
        <f>IFERROR(__xludf.DUMMYFUNCTION("""COMPUTED_VALUE"""),"Leadership &amp; Management")</f>
        <v>Leadership &amp; Management</v>
      </c>
      <c r="G49" t="str">
        <f>IFERROR(__xludf.DUMMYFUNCTION("""COMPUTED_VALUE"""),"Strategy")</f>
        <v>Strategy</v>
      </c>
      <c r="H49">
        <f>IFERROR(__xludf.DUMMYFUNCTION("""COMPUTED_VALUE"""),1596336.0)</f>
        <v>1596336</v>
      </c>
      <c r="I49" s="140" t="str">
        <f>IFERROR(__xludf.DUMMYFUNCTION("""COMPUTED_VALUE"""),"")</f>
        <v/>
      </c>
      <c r="J49" s="140">
        <f>IFERROR(__xludf.DUMMYFUNCTION("""COMPUTED_VALUE"""),404944.0)</f>
        <v>404944</v>
      </c>
      <c r="K49" s="140" t="str">
        <f>IFERROR(__xludf.DUMMYFUNCTION("""COMPUTED_VALUE"""),"")</f>
        <v/>
      </c>
    </row>
    <row r="50">
      <c r="A50" s="143">
        <f>IFERROR(__xludf.DUMMYFUNCTION("""COMPUTED_VALUE"""),43434.0)</f>
        <v>43434</v>
      </c>
      <c r="B50">
        <f>IFERROR(__xludf.DUMMYFUNCTION("""COMPUTED_VALUE"""),1263368.0)</f>
        <v>1263368</v>
      </c>
      <c r="C50" t="str">
        <f>IFERROR(__xludf.DUMMYFUNCTION("""COMPUTED_VALUE"""),"Presentation Skills for Leaders")</f>
        <v>Presentation Skills for Leaders</v>
      </c>
      <c r="D50" t="str">
        <f>IFERROR(__xludf.DUMMYFUNCTION("""COMPUTED_VALUE"""),"Illumeo Learning")</f>
        <v>Illumeo Learning</v>
      </c>
      <c r="E50" t="str">
        <f>IFERROR(__xludf.DUMMYFUNCTION("""COMPUTED_VALUE"""),"Below Quality Standards- Deep Dive")</f>
        <v>Below Quality Standards- Deep Dive</v>
      </c>
      <c r="F50" t="str">
        <f>IFERROR(__xludf.DUMMYFUNCTION("""COMPUTED_VALUE"""),"Leadership &amp; Management")</f>
        <v>Leadership &amp; Management</v>
      </c>
      <c r="G50" t="str">
        <f>IFERROR(__xludf.DUMMYFUNCTION("""COMPUTED_VALUE"""),"Communication")</f>
        <v>Communication</v>
      </c>
      <c r="H50">
        <f>IFERROR(__xludf.DUMMYFUNCTION("""COMPUTED_VALUE"""),1361318.0)</f>
        <v>1361318</v>
      </c>
      <c r="I50" s="140" t="str">
        <f>IFERROR(__xludf.DUMMYFUNCTION("""COMPUTED_VALUE"""),"")</f>
        <v/>
      </c>
      <c r="J50" s="140">
        <f>IFERROR(__xludf.DUMMYFUNCTION("""COMPUTED_VALUE"""),1098006.0)</f>
        <v>1098006</v>
      </c>
      <c r="K50" s="140" t="str">
        <f>IFERROR(__xludf.DUMMYFUNCTION("""COMPUTED_VALUE"""),"")</f>
        <v/>
      </c>
    </row>
    <row r="51">
      <c r="A51" s="143">
        <f>IFERROR(__xludf.DUMMYFUNCTION("""COMPUTED_VALUE"""),43434.0)</f>
        <v>43434</v>
      </c>
      <c r="B51">
        <f>IFERROR(__xludf.DUMMYFUNCTION("""COMPUTED_VALUE"""),512372.0)</f>
        <v>512372</v>
      </c>
      <c r="C51" t="str">
        <f>IFERROR(__xludf.DUMMYFUNCTION("""COMPUTED_VALUE"""),"Leading Team Planning for Digital Transformation")</f>
        <v>Leading Team Planning for Digital Transformation</v>
      </c>
      <c r="D51" t="str">
        <f>IFERROR(__xludf.DUMMYFUNCTION("""COMPUTED_VALUE"""),"Mike Connor")</f>
        <v>Mike Connor</v>
      </c>
      <c r="E51" t="str">
        <f>IFERROR(__xludf.DUMMYFUNCTION("""COMPUTED_VALUE"""),"Below Quality Standards- Deep Dive")</f>
        <v>Below Quality Standards- Deep Dive</v>
      </c>
      <c r="F51" t="str">
        <f>IFERROR(__xludf.DUMMYFUNCTION("""COMPUTED_VALUE"""),"Leadership &amp; Management")</f>
        <v>Leadership &amp; Management</v>
      </c>
      <c r="G51" t="str">
        <f>IFERROR(__xludf.DUMMYFUNCTION("""COMPUTED_VALUE"""),"Strategy")</f>
        <v>Strategy</v>
      </c>
      <c r="I51" s="140" t="str">
        <f>IFERROR(__xludf.DUMMYFUNCTION("""COMPUTED_VALUE"""),"")</f>
        <v/>
      </c>
      <c r="K51" s="140" t="str">
        <f>IFERROR(__xludf.DUMMYFUNCTION("""COMPUTED_VALUE"""),"")</f>
        <v/>
      </c>
      <c r="Q51" s="145" t="str">
        <f>IFERROR(__xludf.DUMMYFUNCTION("""COMPUTED_VALUE"""),"Topic on Priority List- 1781760")</f>
        <v>Topic on Priority List- 1781760</v>
      </c>
    </row>
    <row r="52">
      <c r="A52" s="143">
        <f>IFERROR(__xludf.DUMMYFUNCTION("""COMPUTED_VALUE"""),43434.0)</f>
        <v>43434</v>
      </c>
      <c r="B52">
        <f>IFERROR(__xludf.DUMMYFUNCTION("""COMPUTED_VALUE"""),572912.0)</f>
        <v>572912</v>
      </c>
      <c r="C52" t="str">
        <f>IFERROR(__xludf.DUMMYFUNCTION("""COMPUTED_VALUE"""),"3X Confidence and Authenticity Masterclass Programme")</f>
        <v>3X Confidence and Authenticity Masterclass Programme</v>
      </c>
      <c r="D52" t="str">
        <f>IFERROR(__xludf.DUMMYFUNCTION("""COMPUTED_VALUE"""),"Daniel Munro")</f>
        <v>Daniel Munro</v>
      </c>
      <c r="E52" t="str">
        <f>IFERROR(__xludf.DUMMYFUNCTION("""COMPUTED_VALUE"""),"Instructor Practices")</f>
        <v>Instructor Practices</v>
      </c>
      <c r="F52" t="str">
        <f>IFERROR(__xludf.DUMMYFUNCTION("""COMPUTED_VALUE"""),"Personal Development")</f>
        <v>Personal Development</v>
      </c>
      <c r="G52" t="str">
        <f>IFERROR(__xludf.DUMMYFUNCTION("""COMPUTED_VALUE"""),"Personal Growth")</f>
        <v>Personal Growth</v>
      </c>
      <c r="H52">
        <f>IFERROR(__xludf.DUMMYFUNCTION("""COMPUTED_VALUE"""),1116388.0)</f>
        <v>1116388</v>
      </c>
      <c r="I52" s="140" t="str">
        <f>IFERROR(__xludf.DUMMYFUNCTION("""COMPUTED_VALUE"""),"")</f>
        <v/>
      </c>
      <c r="J52" s="140">
        <f>IFERROR(__xludf.DUMMYFUNCTION("""COMPUTED_VALUE"""),1328588.0)</f>
        <v>1328588</v>
      </c>
      <c r="K52" s="140" t="str">
        <f>IFERROR(__xludf.DUMMYFUNCTION("""COMPUTED_VALUE"""),"")</f>
        <v/>
      </c>
    </row>
    <row r="53">
      <c r="A53" s="143">
        <f>IFERROR(__xludf.DUMMYFUNCTION("""COMPUTED_VALUE"""),43434.0)</f>
        <v>43434</v>
      </c>
      <c r="B53">
        <f>IFERROR(__xludf.DUMMYFUNCTION("""COMPUTED_VALUE"""),341496.0)</f>
        <v>341496</v>
      </c>
      <c r="C53" t="str">
        <f>IFERROR(__xludf.DUMMYFUNCTION("""COMPUTED_VALUE"""),"Conference Calls-You Can Present Well On Any Conference Call")</f>
        <v>Conference Calls-You Can Present Well On Any Conference Call</v>
      </c>
      <c r="D53" t="str">
        <f>IFERROR(__xludf.DUMMYFUNCTION("""COMPUTED_VALUE"""),"TJ Walker")</f>
        <v>TJ Walker</v>
      </c>
      <c r="E53" t="str">
        <f>IFERROR(__xludf.DUMMYFUNCTION("""COMPUTED_VALUE"""),"Below Quality Standards- Outdated")</f>
        <v>Below Quality Standards- Outdated</v>
      </c>
      <c r="F53" t="str">
        <f>IFERROR(__xludf.DUMMYFUNCTION("""COMPUTED_VALUE"""),"Leadership &amp; Management")</f>
        <v>Leadership &amp; Management</v>
      </c>
      <c r="G53" t="str">
        <f>IFERROR(__xludf.DUMMYFUNCTION("""COMPUTED_VALUE"""),"Communication")</f>
        <v>Communication</v>
      </c>
      <c r="H53">
        <f>IFERROR(__xludf.DUMMYFUNCTION("""COMPUTED_VALUE"""),1564762.0)</f>
        <v>1564762</v>
      </c>
      <c r="I53" s="140" t="str">
        <f>IFERROR(__xludf.DUMMYFUNCTION("""COMPUTED_VALUE"""),"")</f>
        <v/>
      </c>
      <c r="K53" s="140" t="str">
        <f>IFERROR(__xludf.DUMMYFUNCTION("""COMPUTED_VALUE"""),"")</f>
        <v/>
      </c>
    </row>
    <row r="54">
      <c r="A54" s="143">
        <f>IFERROR(__xludf.DUMMYFUNCTION("""COMPUTED_VALUE"""),43434.0)</f>
        <v>43434</v>
      </c>
      <c r="B54">
        <f>IFERROR(__xludf.DUMMYFUNCTION("""COMPUTED_VALUE"""),363072.0)</f>
        <v>363072</v>
      </c>
      <c r="C54" t="str">
        <f>IFERROR(__xludf.DUMMYFUNCTION("""COMPUTED_VALUE"""),"Persuasion: Give a Persuasive Presentation")</f>
        <v>Persuasion: Give a Persuasive Presentation</v>
      </c>
      <c r="D54" t="str">
        <f>IFERROR(__xludf.DUMMYFUNCTION("""COMPUTED_VALUE"""),"TJ Walker")</f>
        <v>TJ Walker</v>
      </c>
      <c r="E54" t="str">
        <f>IFERROR(__xludf.DUMMYFUNCTION("""COMPUTED_VALUE"""),"Below Quality Standards- Low Rating")</f>
        <v>Below Quality Standards- Low Rating</v>
      </c>
      <c r="F54" t="str">
        <f>IFERROR(__xludf.DUMMYFUNCTION("""COMPUTED_VALUE"""),"Leadership &amp; Management")</f>
        <v>Leadership &amp; Management</v>
      </c>
      <c r="G54" t="str">
        <f>IFERROR(__xludf.DUMMYFUNCTION("""COMPUTED_VALUE"""),"Communication")</f>
        <v>Communication</v>
      </c>
      <c r="H54">
        <f>IFERROR(__xludf.DUMMYFUNCTION("""COMPUTED_VALUE"""),1689362.0)</f>
        <v>1689362</v>
      </c>
      <c r="I54" s="140" t="str">
        <f>IFERROR(__xludf.DUMMYFUNCTION("""COMPUTED_VALUE"""),"")</f>
        <v/>
      </c>
      <c r="K54" s="140" t="str">
        <f>IFERROR(__xludf.DUMMYFUNCTION("""COMPUTED_VALUE"""),"")</f>
        <v/>
      </c>
    </row>
    <row r="55">
      <c r="A55" s="143">
        <f>IFERROR(__xludf.DUMMYFUNCTION("""COMPUTED_VALUE"""),43434.0)</f>
        <v>43434</v>
      </c>
      <c r="B55">
        <f>IFERROR(__xludf.DUMMYFUNCTION("""COMPUTED_VALUE"""),1293894.0)</f>
        <v>1293894</v>
      </c>
      <c r="C55" t="str">
        <f>IFERROR(__xludf.DUMMYFUNCTION("""COMPUTED_VALUE"""),"The Cryptocurrency Bible™  | Bitcoin, Ethereum, Altcoin...")</f>
        <v>The Cryptocurrency Bible™  | Bitcoin, Ethereum, Altcoin...</v>
      </c>
      <c r="D55" t="str">
        <f>IFERROR(__xludf.DUMMYFUNCTION("""COMPUTED_VALUE"""),"Marshall H")</f>
        <v>Marshall H</v>
      </c>
      <c r="E55" t="str">
        <f>IFERROR(__xludf.DUMMYFUNCTION("""COMPUTED_VALUE"""),"Instructor Request- Opted Out")</f>
        <v>Instructor Request- Opted Out</v>
      </c>
      <c r="F55" t="str">
        <f>IFERROR(__xludf.DUMMYFUNCTION("""COMPUTED_VALUE"""),"Finance &amp; Accounting")</f>
        <v>Finance &amp; Accounting</v>
      </c>
      <c r="G55" t="str">
        <f>IFERROR(__xludf.DUMMYFUNCTION("""COMPUTED_VALUE"""),"Investing &amp; Trading")</f>
        <v>Investing &amp; Trading</v>
      </c>
      <c r="H55">
        <f>IFERROR(__xludf.DUMMYFUNCTION("""COMPUTED_VALUE"""),1329878.0)</f>
        <v>1329878</v>
      </c>
      <c r="I55" s="140" t="str">
        <f>IFERROR(__xludf.DUMMYFUNCTION("""COMPUTED_VALUE"""),"")</f>
        <v/>
      </c>
      <c r="J55" s="140">
        <f>IFERROR(__xludf.DUMMYFUNCTION("""COMPUTED_VALUE"""),1464932.0)</f>
        <v>1464932</v>
      </c>
      <c r="K55" s="140" t="str">
        <f>IFERROR(__xludf.DUMMYFUNCTION("""COMPUTED_VALUE"""),"")</f>
        <v/>
      </c>
    </row>
    <row r="56">
      <c r="A56" s="143">
        <f>IFERROR(__xludf.DUMMYFUNCTION("""COMPUTED_VALUE"""),43434.0)</f>
        <v>43434</v>
      </c>
      <c r="B56">
        <f>IFERROR(__xludf.DUMMYFUNCTION("""COMPUTED_VALUE"""),692176.0)</f>
        <v>692176</v>
      </c>
      <c r="C56" t="str">
        <f>IFERROR(__xludf.DUMMYFUNCTION("""COMPUTED_VALUE"""),"Apply finance concepts for smart project management")</f>
        <v>Apply finance concepts for smart project management</v>
      </c>
      <c r="D56" t="str">
        <f>IFERROR(__xludf.DUMMYFUNCTION("""COMPUTED_VALUE"""),"Shilpa Khire")</f>
        <v>Shilpa Khire</v>
      </c>
      <c r="E56" t="str">
        <f>IFERROR(__xludf.DUMMYFUNCTION("""COMPUTED_VALUE"""),"Instructor Request- Opted Out")</f>
        <v>Instructor Request- Opted Out</v>
      </c>
      <c r="F56" t="str">
        <f>IFERROR(__xludf.DUMMYFUNCTION("""COMPUTED_VALUE"""),"Project Management &amp; Operations")</f>
        <v>Project Management &amp; Operations</v>
      </c>
      <c r="G56" t="str">
        <f>IFERROR(__xludf.DUMMYFUNCTION("""COMPUTED_VALUE"""),"Project Management Fundamentals")</f>
        <v>Project Management Fundamentals</v>
      </c>
      <c r="H56">
        <f>IFERROR(__xludf.DUMMYFUNCTION("""COMPUTED_VALUE"""),810712.0)</f>
        <v>810712</v>
      </c>
      <c r="I56" s="140" t="str">
        <f>IFERROR(__xludf.DUMMYFUNCTION("""COMPUTED_VALUE"""),"")</f>
        <v/>
      </c>
      <c r="K56" s="140" t="str">
        <f>IFERROR(__xludf.DUMMYFUNCTION("""COMPUTED_VALUE"""),"")</f>
        <v/>
      </c>
    </row>
    <row r="57">
      <c r="A57" s="143">
        <f>IFERROR(__xludf.DUMMYFUNCTION("""COMPUTED_VALUE"""),43434.0)</f>
        <v>43434</v>
      </c>
      <c r="B57">
        <f>IFERROR(__xludf.DUMMYFUNCTION("""COMPUTED_VALUE"""),955464.0)</f>
        <v>955464</v>
      </c>
      <c r="C57" t="str">
        <f>IFERROR(__xludf.DUMMYFUNCTION("""COMPUTED_VALUE"""),"Beginners' guide to Cloud Computing and OpenStack")</f>
        <v>Beginners' guide to Cloud Computing and OpenStack</v>
      </c>
      <c r="D57" t="str">
        <f>IFERROR(__xludf.DUMMYFUNCTION("""COMPUTED_VALUE"""),"TetraNoodle Team")</f>
        <v>TetraNoodle Team</v>
      </c>
      <c r="E57" t="str">
        <f>IFERROR(__xludf.DUMMYFUNCTION("""COMPUTED_VALUE"""),"Below Quality Standards- Low Rating")</f>
        <v>Below Quality Standards- Low Rating</v>
      </c>
      <c r="F57" t="str">
        <f>IFERROR(__xludf.DUMMYFUNCTION("""COMPUTED_VALUE"""),"Cloud Computing")</f>
        <v>Cloud Computing</v>
      </c>
      <c r="G57" t="str">
        <f>IFERROR(__xludf.DUMMYFUNCTION("""COMPUTED_VALUE"""),"Cloud Fundamentals")</f>
        <v>Cloud Fundamentals</v>
      </c>
      <c r="H57">
        <f>IFERROR(__xludf.DUMMYFUNCTION("""COMPUTED_VALUE"""),1122334.0)</f>
        <v>1122334</v>
      </c>
      <c r="I57" s="140" t="str">
        <f>IFERROR(__xludf.DUMMYFUNCTION("""COMPUTED_VALUE"""),"")</f>
        <v/>
      </c>
      <c r="J57" s="140">
        <f>IFERROR(__xludf.DUMMYFUNCTION("""COMPUTED_VALUE"""),742114.0)</f>
        <v>742114</v>
      </c>
      <c r="K57" s="140" t="str">
        <f>IFERROR(__xludf.DUMMYFUNCTION("""COMPUTED_VALUE"""),"")</f>
        <v/>
      </c>
    </row>
    <row r="58">
      <c r="A58" s="143">
        <f>IFERROR(__xludf.DUMMYFUNCTION("""COMPUTED_VALUE"""),43434.0)</f>
        <v>43434</v>
      </c>
      <c r="B58">
        <f>IFERROR(__xludf.DUMMYFUNCTION("""COMPUTED_VALUE"""),1134580.0)</f>
        <v>1134580</v>
      </c>
      <c r="C58" t="str">
        <f>IFERROR(__xludf.DUMMYFUNCTION("""COMPUTED_VALUE"""),"ElasticSearch, LogStash, Kibana ELK #1 - Learn ElasticSearch")</f>
        <v>ElasticSearch, LogStash, Kibana ELK #1 - Learn ElasticSearch</v>
      </c>
      <c r="D58" t="str">
        <f>IFERROR(__xludf.DUMMYFUNCTION("""COMPUTED_VALUE"""),"TetraNoodle Team")</f>
        <v>TetraNoodle Team</v>
      </c>
      <c r="E58" t="str">
        <f>IFERROR(__xludf.DUMMYFUNCTION("""COMPUTED_VALUE"""),"Below Quality Standards- Low Rating")</f>
        <v>Below Quality Standards- Low Rating</v>
      </c>
      <c r="F58" t="str">
        <f>IFERROR(__xludf.DUMMYFUNCTION("""COMPUTED_VALUE"""),"Development")</f>
        <v>Development</v>
      </c>
      <c r="G58" t="str">
        <f>IFERROR(__xludf.DUMMYFUNCTION("""COMPUTED_VALUE"""),"Database Design &amp; Development")</f>
        <v>Database Design &amp; Development</v>
      </c>
      <c r="H58">
        <f>IFERROR(__xludf.DUMMYFUNCTION("""COMPUTED_VALUE"""),1245870.0)</f>
        <v>1245870</v>
      </c>
      <c r="I58" s="140" t="str">
        <f>IFERROR(__xludf.DUMMYFUNCTION("""COMPUTED_VALUE"""),"")</f>
        <v/>
      </c>
      <c r="J58" s="140">
        <f>IFERROR(__xludf.DUMMYFUNCTION("""COMPUTED_VALUE"""),693188.0)</f>
        <v>693188</v>
      </c>
      <c r="K58" s="140" t="str">
        <f>IFERROR(__xludf.DUMMYFUNCTION("""COMPUTED_VALUE"""),"")</f>
        <v/>
      </c>
    </row>
    <row r="59">
      <c r="A59" s="143">
        <f>IFERROR(__xludf.DUMMYFUNCTION("""COMPUTED_VALUE"""),43434.0)</f>
        <v>43434</v>
      </c>
      <c r="B59">
        <f>IFERROR(__xludf.DUMMYFUNCTION("""COMPUTED_VALUE"""),41016.0)</f>
        <v>41016</v>
      </c>
      <c r="C59" t="str">
        <f>IFERROR(__xludf.DUMMYFUNCTION("""COMPUTED_VALUE"""),"Robust Scrum Master")</f>
        <v>Robust Scrum Master</v>
      </c>
      <c r="D59" t="str">
        <f>IFERROR(__xludf.DUMMYFUNCTION("""COMPUTED_VALUE"""),"Michael de la Maza")</f>
        <v>Michael de la Maza</v>
      </c>
      <c r="E59" t="str">
        <f>IFERROR(__xludf.DUMMYFUNCTION("""COMPUTED_VALUE"""),"Below Quality Standards- Low Rating")</f>
        <v>Below Quality Standards- Low Rating</v>
      </c>
      <c r="F59" t="str">
        <f>IFERROR(__xludf.DUMMYFUNCTION("""COMPUTED_VALUE"""),"Development")</f>
        <v>Development</v>
      </c>
      <c r="G59" t="str">
        <f>IFERROR(__xludf.DUMMYFUNCTION("""COMPUTED_VALUE"""),"Development Tools")</f>
        <v>Development Tools</v>
      </c>
      <c r="H59">
        <f>IFERROR(__xludf.DUMMYFUNCTION("""COMPUTED_VALUE"""),1165412.0)</f>
        <v>1165412</v>
      </c>
      <c r="I59" s="140" t="str">
        <f>IFERROR(__xludf.DUMMYFUNCTION("""COMPUTED_VALUE"""),"")</f>
        <v/>
      </c>
      <c r="J59" s="140">
        <f>IFERROR(__xludf.DUMMYFUNCTION("""COMPUTED_VALUE"""),1043254.0)</f>
        <v>1043254</v>
      </c>
      <c r="K59" s="140" t="str">
        <f>IFERROR(__xludf.DUMMYFUNCTION("""COMPUTED_VALUE"""),"")</f>
        <v/>
      </c>
    </row>
    <row r="60">
      <c r="A60" s="143">
        <f>IFERROR(__xludf.DUMMYFUNCTION("""COMPUTED_VALUE"""),43434.0)</f>
        <v>43434</v>
      </c>
      <c r="B60">
        <f>IFERROR(__xludf.DUMMYFUNCTION("""COMPUTED_VALUE"""),939504.0)</f>
        <v>939504</v>
      </c>
      <c r="C60" t="str">
        <f>IFERROR(__xludf.DUMMYFUNCTION("""COMPUTED_VALUE"""),"Apache Cassandra Certification Training")</f>
        <v>Apache Cassandra Certification Training</v>
      </c>
      <c r="D60" t="str">
        <f>IFERROR(__xludf.DUMMYFUNCTION("""COMPUTED_VALUE"""),"Simplilearn")</f>
        <v>Simplilearn</v>
      </c>
      <c r="E60" t="str">
        <f>IFERROR(__xludf.DUMMYFUNCTION("""COMPUTED_VALUE"""),"Instructor Request- No Detail")</f>
        <v>Instructor Request- No Detail</v>
      </c>
      <c r="F60" t="str">
        <f>IFERROR(__xludf.DUMMYFUNCTION("""COMPUTED_VALUE"""),"Data Science")</f>
        <v>Data Science</v>
      </c>
      <c r="G60" t="str">
        <f>IFERROR(__xludf.DUMMYFUNCTION("""COMPUTED_VALUE"""),"Big Data")</f>
        <v>Big Data</v>
      </c>
      <c r="H60">
        <f>IFERROR(__xludf.DUMMYFUNCTION("""COMPUTED_VALUE"""),886058.0)</f>
        <v>886058</v>
      </c>
      <c r="I60" s="140" t="str">
        <f>IFERROR(__xludf.DUMMYFUNCTION("""COMPUTED_VALUE"""),"")</f>
        <v/>
      </c>
      <c r="J60" s="140">
        <f>IFERROR(__xludf.DUMMYFUNCTION("""COMPUTED_VALUE"""),996228.0)</f>
        <v>996228</v>
      </c>
      <c r="K60" s="140" t="str">
        <f>IFERROR(__xludf.DUMMYFUNCTION("""COMPUTED_VALUE"""),"")</f>
        <v/>
      </c>
    </row>
    <row r="61">
      <c r="A61" s="143">
        <f>IFERROR(__xludf.DUMMYFUNCTION("""COMPUTED_VALUE"""),43434.0)</f>
        <v>43434</v>
      </c>
      <c r="B61">
        <f>IFERROR(__xludf.DUMMYFUNCTION("""COMPUTED_VALUE"""),766052.0)</f>
        <v>766052</v>
      </c>
      <c r="C61" t="str">
        <f>IFERROR(__xludf.DUMMYFUNCTION("""COMPUTED_VALUE"""),"Talend For Big Data Integration Course : Beginner to Expert")</f>
        <v>Talend For Big Data Integration Course : Beginner to Expert</v>
      </c>
      <c r="D61" t="str">
        <f>IFERROR(__xludf.DUMMYFUNCTION("""COMPUTED_VALUE"""),"Kapil Chaitanya Kasarapu")</f>
        <v>Kapil Chaitanya Kasarapu</v>
      </c>
      <c r="E61" t="str">
        <f>IFERROR(__xludf.DUMMYFUNCTION("""COMPUTED_VALUE"""),"Below Quality Standards- Low Rating")</f>
        <v>Below Quality Standards- Low Rating</v>
      </c>
      <c r="F61" t="str">
        <f>IFERROR(__xludf.DUMMYFUNCTION("""COMPUTED_VALUE"""),"Data Science")</f>
        <v>Data Science</v>
      </c>
      <c r="G61" t="str">
        <f>IFERROR(__xludf.DUMMYFUNCTION("""COMPUTED_VALUE"""),"Big Data")</f>
        <v>Big Data</v>
      </c>
      <c r="I61" s="140" t="str">
        <f>IFERROR(__xludf.DUMMYFUNCTION("""COMPUTED_VALUE"""),"")</f>
        <v/>
      </c>
      <c r="K61" s="140" t="str">
        <f>IFERROR(__xludf.DUMMYFUNCTION("""COMPUTED_VALUE"""),"")</f>
        <v/>
      </c>
      <c r="Q61" s="145" t="str">
        <f>IFERROR(__xludf.DUMMYFUNCTION("""COMPUTED_VALUE"""),"Topic on Priority List- 931761")</f>
        <v>Topic on Priority List- 931761</v>
      </c>
    </row>
    <row r="62">
      <c r="A62" s="143">
        <f>IFERROR(__xludf.DUMMYFUNCTION("""COMPUTED_VALUE"""),43434.0)</f>
        <v>43434</v>
      </c>
      <c r="B62">
        <f>IFERROR(__xludf.DUMMYFUNCTION("""COMPUTED_VALUE"""),509344.0)</f>
        <v>509344</v>
      </c>
      <c r="C62" t="str">
        <f>IFERROR(__xludf.DUMMYFUNCTION("""COMPUTED_VALUE"""),"Building a Digital Business Strategy")</f>
        <v>Building a Digital Business Strategy</v>
      </c>
      <c r="D62" t="str">
        <f>IFERROR(__xludf.DUMMYFUNCTION("""COMPUTED_VALUE"""),"Mike Connor")</f>
        <v>Mike Connor</v>
      </c>
      <c r="E62" t="str">
        <f>IFERROR(__xludf.DUMMYFUNCTION("""COMPUTED_VALUE"""),"Below Quality Standards- Low Rating")</f>
        <v>Below Quality Standards- Low Rating</v>
      </c>
      <c r="F62" t="str">
        <f>IFERROR(__xludf.DUMMYFUNCTION("""COMPUTED_VALUE"""),"Leadership &amp; Management")</f>
        <v>Leadership &amp; Management</v>
      </c>
      <c r="G62" t="str">
        <f>IFERROR(__xludf.DUMMYFUNCTION("""COMPUTED_VALUE"""),"Strategy")</f>
        <v>Strategy</v>
      </c>
      <c r="H62">
        <f>IFERROR(__xludf.DUMMYFUNCTION("""COMPUTED_VALUE"""),240450.0)</f>
        <v>240450</v>
      </c>
      <c r="I62" s="140" t="str">
        <f>IFERROR(__xludf.DUMMYFUNCTION("""COMPUTED_VALUE"""),"")</f>
        <v/>
      </c>
      <c r="K62" s="140" t="str">
        <f>IFERROR(__xludf.DUMMYFUNCTION("""COMPUTED_VALUE"""),"")</f>
        <v/>
      </c>
    </row>
    <row r="63">
      <c r="A63" s="143">
        <f>IFERROR(__xludf.DUMMYFUNCTION("""COMPUTED_VALUE"""),43434.0)</f>
        <v>43434</v>
      </c>
      <c r="B63">
        <f>IFERROR(__xludf.DUMMYFUNCTION("""COMPUTED_VALUE"""),876096.0)</f>
        <v>876096</v>
      </c>
      <c r="C63" t="str">
        <f>IFERROR(__xludf.DUMMYFUNCTION("""COMPUTED_VALUE"""),"Docker, Apache Mesos &amp; DCOS: Run and manage cloud datacenter")</f>
        <v>Docker, Apache Mesos &amp; DCOS: Run and manage cloud datacenter</v>
      </c>
      <c r="D63" t="str">
        <f>IFERROR(__xludf.DUMMYFUNCTION("""COMPUTED_VALUE"""),"TetraNoodle Team")</f>
        <v>TetraNoodle Team</v>
      </c>
      <c r="E63" t="str">
        <f>IFERROR(__xludf.DUMMYFUNCTION("""COMPUTED_VALUE"""),"Below Quality Standards- Low Rating")</f>
        <v>Below Quality Standards- Low Rating</v>
      </c>
      <c r="F63" t="str">
        <f>IFERROR(__xludf.DUMMYFUNCTION("""COMPUTED_VALUE"""),"Development")</f>
        <v>Development</v>
      </c>
      <c r="G63" t="str">
        <f>IFERROR(__xludf.DUMMYFUNCTION("""COMPUTED_VALUE"""),"Development Tools")</f>
        <v>Development Tools</v>
      </c>
      <c r="H63">
        <f>IFERROR(__xludf.DUMMYFUNCTION("""COMPUTED_VALUE"""),1035000.0)</f>
        <v>1035000</v>
      </c>
      <c r="I63" s="140" t="str">
        <f>IFERROR(__xludf.DUMMYFUNCTION("""COMPUTED_VALUE"""),"")</f>
        <v/>
      </c>
      <c r="K63" s="140" t="str">
        <f>IFERROR(__xludf.DUMMYFUNCTION("""COMPUTED_VALUE"""),"")</f>
        <v/>
      </c>
    </row>
    <row r="64">
      <c r="A64" s="143">
        <f>IFERROR(__xludf.DUMMYFUNCTION("""COMPUTED_VALUE"""),43434.0)</f>
        <v>43434</v>
      </c>
      <c r="B64">
        <f>IFERROR(__xludf.DUMMYFUNCTION("""COMPUTED_VALUE"""),1047572.0)</f>
        <v>1047572</v>
      </c>
      <c r="C64" t="str">
        <f>IFERROR(__xludf.DUMMYFUNCTION("""COMPUTED_VALUE"""),"Forecast Anything with Excel")</f>
        <v>Forecast Anything with Excel</v>
      </c>
      <c r="D64" t="str">
        <f>IFERROR(__xludf.DUMMYFUNCTION("""COMPUTED_VALUE"""),"Mauricio Maroto")</f>
        <v>Mauricio Maroto</v>
      </c>
      <c r="E64" t="str">
        <f>IFERROR(__xludf.DUMMYFUNCTION("""COMPUTED_VALUE"""),"Below Quality Standards- Low Rating")</f>
        <v>Below Quality Standards- Low Rating</v>
      </c>
      <c r="F64" t="str">
        <f>IFERROR(__xludf.DUMMYFUNCTION("""COMPUTED_VALUE"""),"Finance &amp; Accounting")</f>
        <v>Finance &amp; Accounting</v>
      </c>
      <c r="G64" t="str">
        <f>IFERROR(__xludf.DUMMYFUNCTION("""COMPUTED_VALUE"""),"Financial Modeling &amp; Analysis")</f>
        <v>Financial Modeling &amp; Analysis</v>
      </c>
      <c r="H64">
        <f>IFERROR(__xludf.DUMMYFUNCTION("""COMPUTED_VALUE"""),1228704.0)</f>
        <v>1228704</v>
      </c>
      <c r="I64" s="140" t="str">
        <f>IFERROR(__xludf.DUMMYFUNCTION("""COMPUTED_VALUE"""),"")</f>
        <v/>
      </c>
      <c r="K64" s="140" t="str">
        <f>IFERROR(__xludf.DUMMYFUNCTION("""COMPUTED_VALUE"""),"")</f>
        <v/>
      </c>
    </row>
    <row r="65">
      <c r="A65" s="143">
        <f>IFERROR(__xludf.DUMMYFUNCTION("""COMPUTED_VALUE"""),43434.0)</f>
        <v>43434</v>
      </c>
      <c r="B65">
        <f>IFERROR(__xludf.DUMMYFUNCTION("""COMPUTED_VALUE"""),1214140.0)</f>
        <v>1214140</v>
      </c>
      <c r="C65" t="str">
        <f>IFERROR(__xludf.DUMMYFUNCTION("""COMPUTED_VALUE"""),"Mastering Thinking Skills Vol 1: The 12 Fundamental Skills")</f>
        <v>Mastering Thinking Skills Vol 1: The 12 Fundamental Skills</v>
      </c>
      <c r="D65" t="str">
        <f>IFERROR(__xludf.DUMMYFUNCTION("""COMPUTED_VALUE"""),"Timothy Kenny")</f>
        <v>Timothy Kenny</v>
      </c>
      <c r="E65" t="str">
        <f>IFERROR(__xludf.DUMMYFUNCTION("""COMPUTED_VALUE"""),"Below Quality Standards- Low Rating")</f>
        <v>Below Quality Standards- Low Rating</v>
      </c>
      <c r="F65" t="str">
        <f>IFERROR(__xludf.DUMMYFUNCTION("""COMPUTED_VALUE"""),"Leadership &amp; Management")</f>
        <v>Leadership &amp; Management</v>
      </c>
      <c r="G65" t="str">
        <f>IFERROR(__xludf.DUMMYFUNCTION("""COMPUTED_VALUE"""),"Strategy")</f>
        <v>Strategy</v>
      </c>
      <c r="H65">
        <f>IFERROR(__xludf.DUMMYFUNCTION("""COMPUTED_VALUE"""),815474.0)</f>
        <v>815474</v>
      </c>
      <c r="I65" s="140" t="str">
        <f>IFERROR(__xludf.DUMMYFUNCTION("""COMPUTED_VALUE"""),"")</f>
        <v/>
      </c>
      <c r="K65" s="140" t="str">
        <f>IFERROR(__xludf.DUMMYFUNCTION("""COMPUTED_VALUE"""),"")</f>
        <v/>
      </c>
    </row>
    <row r="66">
      <c r="A66" s="143">
        <f>IFERROR(__xludf.DUMMYFUNCTION("""COMPUTED_VALUE"""),43434.0)</f>
        <v>43434</v>
      </c>
      <c r="B66">
        <f>IFERROR(__xludf.DUMMYFUNCTION("""COMPUTED_VALUE"""),1262214.0)</f>
        <v>1262214</v>
      </c>
      <c r="C66" t="str">
        <f>IFERROR(__xludf.DUMMYFUNCTION("""COMPUTED_VALUE"""),"Ethical and Professional Human Resources (HR)")</f>
        <v>Ethical and Professional Human Resources (HR)</v>
      </c>
      <c r="D66" t="str">
        <f>IFERROR(__xludf.DUMMYFUNCTION("""COMPUTED_VALUE"""),"Illumeo Learning")</f>
        <v>Illumeo Learning</v>
      </c>
      <c r="E66" t="str">
        <f>IFERROR(__xludf.DUMMYFUNCTION("""COMPUTED_VALUE"""),"Below Quality Standards- Low Rating")</f>
        <v>Below Quality Standards- Low Rating</v>
      </c>
      <c r="F66" t="str">
        <f>IFERROR(__xludf.DUMMYFUNCTION("""COMPUTED_VALUE"""),"Human Resources")</f>
        <v>Human Resources</v>
      </c>
      <c r="G66" t="str">
        <f>IFERROR(__xludf.DUMMYFUNCTION("""COMPUTED_VALUE"""),"Human Resources Fundamentals")</f>
        <v>Human Resources Fundamentals</v>
      </c>
      <c r="H66">
        <f>IFERROR(__xludf.DUMMYFUNCTION("""COMPUTED_VALUE"""),379374.0)</f>
        <v>379374</v>
      </c>
      <c r="I66" s="140" t="str">
        <f>IFERROR(__xludf.DUMMYFUNCTION("""COMPUTED_VALUE"""),"")</f>
        <v/>
      </c>
      <c r="K66" s="140" t="str">
        <f>IFERROR(__xludf.DUMMYFUNCTION("""COMPUTED_VALUE"""),"")</f>
        <v/>
      </c>
    </row>
    <row r="67">
      <c r="A67" s="143">
        <f>IFERROR(__xludf.DUMMYFUNCTION("""COMPUTED_VALUE"""),43434.0)</f>
        <v>43434</v>
      </c>
      <c r="B67">
        <f>IFERROR(__xludf.DUMMYFUNCTION("""COMPUTED_VALUE"""),1223900.0)</f>
        <v>1223900</v>
      </c>
      <c r="C67" t="str">
        <f>IFERROR(__xludf.DUMMYFUNCTION("""COMPUTED_VALUE"""),"Cryptocurrency Investment Course 2018: Fund your Retirement!")</f>
        <v>Cryptocurrency Investment Course 2018: Fund your Retirement!</v>
      </c>
      <c r="D67" t="str">
        <f>IFERROR(__xludf.DUMMYFUNCTION("""COMPUTED_VALUE"""),"Suppoman ™")</f>
        <v>Suppoman ™</v>
      </c>
      <c r="E67" t="str">
        <f>IFERROR(__xludf.DUMMYFUNCTION("""COMPUTED_VALUE"""),"Below Quality Standards- Low Rating")</f>
        <v>Below Quality Standards- Low Rating</v>
      </c>
      <c r="F67" t="str">
        <f>IFERROR(__xludf.DUMMYFUNCTION("""COMPUTED_VALUE"""),"Finance &amp; Accounting")</f>
        <v>Finance &amp; Accounting</v>
      </c>
      <c r="G67" t="str">
        <f>IFERROR(__xludf.DUMMYFUNCTION("""COMPUTED_VALUE"""),"Investing &amp; Trading")</f>
        <v>Investing &amp; Trading</v>
      </c>
      <c r="H67">
        <f>IFERROR(__xludf.DUMMYFUNCTION("""COMPUTED_VALUE"""),1464932.0)</f>
        <v>1464932</v>
      </c>
      <c r="I67" s="140" t="str">
        <f>IFERROR(__xludf.DUMMYFUNCTION("""COMPUTED_VALUE"""),"")</f>
        <v/>
      </c>
      <c r="J67" s="140">
        <f>IFERROR(__xludf.DUMMYFUNCTION("""COMPUTED_VALUE"""),1329878.0)</f>
        <v>1329878</v>
      </c>
      <c r="K67" s="140" t="str">
        <f>IFERROR(__xludf.DUMMYFUNCTION("""COMPUTED_VALUE"""),"")</f>
        <v/>
      </c>
    </row>
    <row r="68">
      <c r="A68" s="143">
        <f>IFERROR(__xludf.DUMMYFUNCTION("""COMPUTED_VALUE"""),43434.0)</f>
        <v>43434</v>
      </c>
      <c r="B68">
        <f>IFERROR(__xludf.DUMMYFUNCTION("""COMPUTED_VALUE"""),1112282.0)</f>
        <v>1112282</v>
      </c>
      <c r="C68" t="str">
        <f>IFERROR(__xludf.DUMMYFUNCTION("""COMPUTED_VALUE"""),"Mastering Magento 2")</f>
        <v>Mastering Magento 2</v>
      </c>
      <c r="D68" t="str">
        <f>IFERROR(__xludf.DUMMYFUNCTION("""COMPUTED_VALUE"""),"Packt Publishing")</f>
        <v>Packt Publishing</v>
      </c>
      <c r="E68" t="str">
        <f>IFERROR(__xludf.DUMMYFUNCTION("""COMPUTED_VALUE"""),"Below Quality Standards- Low Rating")</f>
        <v>Below Quality Standards- Low Rating</v>
      </c>
      <c r="F68" t="str">
        <f>IFERROR(__xludf.DUMMYFUNCTION("""COMPUTED_VALUE"""),"Development")</f>
        <v>Development</v>
      </c>
      <c r="G68" t="str">
        <f>IFERROR(__xludf.DUMMYFUNCTION("""COMPUTED_VALUE"""),"Web Development")</f>
        <v>Web Development</v>
      </c>
      <c r="I68" s="140" t="str">
        <f>IFERROR(__xludf.DUMMYFUNCTION("""COMPUTED_VALUE"""),"")</f>
        <v/>
      </c>
      <c r="K68" s="140" t="str">
        <f>IFERROR(__xludf.DUMMYFUNCTION("""COMPUTED_VALUE"""),"")</f>
        <v/>
      </c>
      <c r="Q68" s="145" t="str">
        <f>IFERROR(__xludf.DUMMYFUNCTION("""COMPUTED_VALUE"""),"Topic on Priority List- 1020341")</f>
        <v>Topic on Priority List- 1020341</v>
      </c>
    </row>
    <row r="69">
      <c r="A69" s="143">
        <f>IFERROR(__xludf.DUMMYFUNCTION("""COMPUTED_VALUE"""),43434.0)</f>
        <v>43434</v>
      </c>
      <c r="B69">
        <f>IFERROR(__xludf.DUMMYFUNCTION("""COMPUTED_VALUE"""),671552.0)</f>
        <v>671552</v>
      </c>
      <c r="C69" t="str">
        <f>IFERROR(__xludf.DUMMYFUNCTION("""COMPUTED_VALUE"""),"React and Flux Web Development for Beginners")</f>
        <v>React and Flux Web Development for Beginners</v>
      </c>
      <c r="D69" t="str">
        <f>IFERROR(__xludf.DUMMYFUNCTION("""COMPUTED_VALUE"""),"Mark Price")</f>
        <v>Mark Price</v>
      </c>
      <c r="E69" t="str">
        <f>IFERROR(__xludf.DUMMYFUNCTION("""COMPUTED_VALUE"""),"Below Quality Standards- Low Rating")</f>
        <v>Below Quality Standards- Low Rating</v>
      </c>
      <c r="F69" t="str">
        <f>IFERROR(__xludf.DUMMYFUNCTION("""COMPUTED_VALUE"""),"Development")</f>
        <v>Development</v>
      </c>
      <c r="G69" t="str">
        <f>IFERROR(__xludf.DUMMYFUNCTION("""COMPUTED_VALUE"""),"Web Development")</f>
        <v>Web Development</v>
      </c>
      <c r="H69">
        <f>IFERROR(__xludf.DUMMYFUNCTION("""COMPUTED_VALUE"""),1362070.0)</f>
        <v>1362070</v>
      </c>
      <c r="I69" s="140" t="str">
        <f>IFERROR(__xludf.DUMMYFUNCTION("""COMPUTED_VALUE"""),"")</f>
        <v/>
      </c>
      <c r="J69" s="140">
        <f>IFERROR(__xludf.DUMMYFUNCTION("""COMPUTED_VALUE"""),1208638.0)</f>
        <v>1208638</v>
      </c>
      <c r="K69" s="140" t="str">
        <f>IFERROR(__xludf.DUMMYFUNCTION("""COMPUTED_VALUE"""),"")</f>
        <v/>
      </c>
    </row>
    <row r="70">
      <c r="A70" s="143">
        <f>IFERROR(__xludf.DUMMYFUNCTION("""COMPUTED_VALUE"""),43434.0)</f>
        <v>43434</v>
      </c>
      <c r="B70">
        <f>IFERROR(__xludf.DUMMYFUNCTION("""COMPUTED_VALUE"""),1397392.0)</f>
        <v>1397392</v>
      </c>
      <c r="C70" t="str">
        <f>IFERROR(__xludf.DUMMYFUNCTION("""COMPUTED_VALUE"""),"Android Advanced Guide to Create A RESTFul API Client App")</f>
        <v>Android Advanced Guide to Create A RESTFul API Client App</v>
      </c>
      <c r="D70" t="str">
        <f>IFERROR(__xludf.DUMMYFUNCTION("""COMPUTED_VALUE"""),"Zakaria Chowdhury")</f>
        <v>Zakaria Chowdhury</v>
      </c>
      <c r="E70" t="str">
        <f>IFERROR(__xludf.DUMMYFUNCTION("""COMPUTED_VALUE"""),"Below Quality Standards- Low Rating")</f>
        <v>Below Quality Standards- Low Rating</v>
      </c>
      <c r="F70" t="str">
        <f>IFERROR(__xludf.DUMMYFUNCTION("""COMPUTED_VALUE"""),"Development")</f>
        <v>Development</v>
      </c>
      <c r="G70" t="str">
        <f>IFERROR(__xludf.DUMMYFUNCTION("""COMPUTED_VALUE"""),"Web Development")</f>
        <v>Web Development</v>
      </c>
      <c r="H70">
        <f>IFERROR(__xludf.DUMMYFUNCTION("""COMPUTED_VALUE"""),966692.0)</f>
        <v>966692</v>
      </c>
      <c r="I70" s="140" t="str">
        <f>IFERROR(__xludf.DUMMYFUNCTION("""COMPUTED_VALUE"""),"")</f>
        <v/>
      </c>
      <c r="K70" s="140" t="str">
        <f>IFERROR(__xludf.DUMMYFUNCTION("""COMPUTED_VALUE"""),"")</f>
        <v/>
      </c>
    </row>
    <row r="71">
      <c r="A71" s="143">
        <f>IFERROR(__xludf.DUMMYFUNCTION("""COMPUTED_VALUE"""),43434.0)</f>
        <v>43434</v>
      </c>
      <c r="B71">
        <f>IFERROR(__xludf.DUMMYFUNCTION("""COMPUTED_VALUE"""),324736.0)</f>
        <v>324736</v>
      </c>
      <c r="C71" t="str">
        <f>IFERROR(__xludf.DUMMYFUNCTION("""COMPUTED_VALUE"""),"PRINCE2® Foundation and Practitioner Certification Training")</f>
        <v>PRINCE2® Foundation and Practitioner Certification Training</v>
      </c>
      <c r="D71" t="str">
        <f>IFERROR(__xludf.DUMMYFUNCTION("""COMPUTED_VALUE"""),"Simplilearn")</f>
        <v>Simplilearn</v>
      </c>
      <c r="E71" t="str">
        <f>IFERROR(__xludf.DUMMYFUNCTION("""COMPUTED_VALUE"""),"Instructor Request- No Detail")</f>
        <v>Instructor Request- No Detail</v>
      </c>
      <c r="F71" t="str">
        <f>IFERROR(__xludf.DUMMYFUNCTION("""COMPUTED_VALUE"""),"Project Management &amp; Operations")</f>
        <v>Project Management &amp; Operations</v>
      </c>
      <c r="G71" t="str">
        <f>IFERROR(__xludf.DUMMYFUNCTION("""COMPUTED_VALUE"""),"Project Management Certifications")</f>
        <v>Project Management Certifications</v>
      </c>
      <c r="H71">
        <f>IFERROR(__xludf.DUMMYFUNCTION("""COMPUTED_VALUE"""),1683464.0)</f>
        <v>1683464</v>
      </c>
      <c r="I71" s="140" t="str">
        <f>IFERROR(__xludf.DUMMYFUNCTION("""COMPUTED_VALUE"""),"")</f>
        <v/>
      </c>
      <c r="J71" s="140">
        <f>IFERROR(__xludf.DUMMYFUNCTION("""COMPUTED_VALUE"""),1491820.0)</f>
        <v>1491820</v>
      </c>
      <c r="K71" s="140" t="str">
        <f>IFERROR(__xludf.DUMMYFUNCTION("""COMPUTED_VALUE"""),"")</f>
        <v/>
      </c>
    </row>
    <row r="72">
      <c r="A72" s="143">
        <f>IFERROR(__xludf.DUMMYFUNCTION("""COMPUTED_VALUE"""),43420.0)</f>
        <v>43420</v>
      </c>
      <c r="B72">
        <f>IFERROR(__xludf.DUMMYFUNCTION("""COMPUTED_VALUE"""),1949970.0)</f>
        <v>1949970</v>
      </c>
      <c r="C72" t="str">
        <f>IFERROR(__xludf.DUMMYFUNCTION("""COMPUTED_VALUE"""),"Complete Penetration Testing and Ethical Hacking: Hands-On")</f>
        <v>Complete Penetration Testing and Ethical Hacking: Hands-On</v>
      </c>
      <c r="D72" t="str">
        <f>IFERROR(__xludf.DUMMYFUNCTION("""COMPUTED_VALUE"""),"Muharrem AYDIN")</f>
        <v>Muharrem AYDIN</v>
      </c>
      <c r="E72" t="str">
        <f>IFERROR(__xludf.DUMMYFUNCTION("""COMPUTED_VALUE"""),"Copyright")</f>
        <v>Copyright</v>
      </c>
      <c r="H72">
        <f>IFERROR(__xludf.DUMMYFUNCTION("""COMPUTED_VALUE"""),857010.0)</f>
        <v>857010</v>
      </c>
      <c r="I72" s="140" t="str">
        <f>IFERROR(__xludf.DUMMYFUNCTION("""COMPUTED_VALUE"""),"")</f>
        <v/>
      </c>
      <c r="J72" s="140">
        <f>IFERROR(__xludf.DUMMYFUNCTION("""COMPUTED_VALUE"""),558096.0)</f>
        <v>558096</v>
      </c>
      <c r="K72" s="140" t="str">
        <f>IFERROR(__xludf.DUMMYFUNCTION("""COMPUTED_VALUE"""),"")</f>
        <v/>
      </c>
      <c r="Q72" s="145" t="str">
        <f>IFERROR(__xludf.DUMMYFUNCTION("""COMPUTED_VALUE"""),"Cat/Subcat not yet assigned")</f>
        <v>Cat/Subcat not yet assigned</v>
      </c>
    </row>
    <row r="73">
      <c r="A73" s="143">
        <f>IFERROR(__xludf.DUMMYFUNCTION("""COMPUTED_VALUE"""),43419.0)</f>
        <v>43419</v>
      </c>
      <c r="B73">
        <f>IFERROR(__xludf.DUMMYFUNCTION("""COMPUTED_VALUE"""),1312698.0)</f>
        <v>1312698</v>
      </c>
      <c r="C73" t="str">
        <f>IFERROR(__xludf.DUMMYFUNCTION("""COMPUTED_VALUE"""),"Psychology of Real, Sustainable Happiness and Beating Stress")</f>
        <v>Psychology of Real, Sustainable Happiness and Beating Stress</v>
      </c>
      <c r="D73" t="str">
        <f>IFERROR(__xludf.DUMMYFUNCTION("""COMPUTED_VALUE"""),"Andrew PM Tse")</f>
        <v>Andrew PM Tse</v>
      </c>
      <c r="E73" t="str">
        <f>IFERROR(__xludf.DUMMYFUNCTION("""COMPUTED_VALUE"""),"Instructor Practices")</f>
        <v>Instructor Practices</v>
      </c>
      <c r="F73" t="str">
        <f>IFERROR(__xludf.DUMMYFUNCTION("""COMPUTED_VALUE"""),"Personal Development")</f>
        <v>Personal Development</v>
      </c>
      <c r="G73" t="str">
        <f>IFERROR(__xludf.DUMMYFUNCTION("""COMPUTED_VALUE"""),"Personal Growth")</f>
        <v>Personal Growth</v>
      </c>
      <c r="H73" s="140">
        <f>IFERROR(__xludf.DUMMYFUNCTION("""COMPUTED_VALUE"""),791690.0)</f>
        <v>791690</v>
      </c>
      <c r="I73" s="140" t="str">
        <f>IFERROR(__xludf.DUMMYFUNCTION("""COMPUTED_VALUE"""),"")</f>
        <v/>
      </c>
      <c r="J73">
        <f>IFERROR(__xludf.DUMMYFUNCTION("""COMPUTED_VALUE"""),802642.0)</f>
        <v>802642</v>
      </c>
      <c r="K73" s="140" t="str">
        <f>IFERROR(__xludf.DUMMYFUNCTION("""COMPUTED_VALUE"""),"")</f>
        <v/>
      </c>
    </row>
    <row r="74">
      <c r="A74" s="143">
        <f>IFERROR(__xludf.DUMMYFUNCTION("""COMPUTED_VALUE"""),43419.0)</f>
        <v>43419</v>
      </c>
      <c r="B74">
        <f>IFERROR(__xludf.DUMMYFUNCTION("""COMPUTED_VALUE"""),1347516.0)</f>
        <v>1347516</v>
      </c>
      <c r="C74" t="str">
        <f>IFERROR(__xludf.DUMMYFUNCTION("""COMPUTED_VALUE"""),"Digital Marketing- The Formula for branding and sales growth")</f>
        <v>Digital Marketing- The Formula for branding and sales growth</v>
      </c>
      <c r="D74" t="str">
        <f>IFERROR(__xludf.DUMMYFUNCTION("""COMPUTED_VALUE"""),"Andrew PM Tse")</f>
        <v>Andrew PM Tse</v>
      </c>
      <c r="E74" t="str">
        <f>IFERROR(__xludf.DUMMYFUNCTION("""COMPUTED_VALUE"""),"Instructor Practices")</f>
        <v>Instructor Practices</v>
      </c>
      <c r="F74" t="str">
        <f>IFERROR(__xludf.DUMMYFUNCTION("""COMPUTED_VALUE"""),"Marketing")</f>
        <v>Marketing</v>
      </c>
      <c r="G74" t="str">
        <f>IFERROR(__xludf.DUMMYFUNCTION("""COMPUTED_VALUE"""),"Digital Marketing")</f>
        <v>Digital Marketing</v>
      </c>
      <c r="H74" s="140">
        <f>IFERROR(__xludf.DUMMYFUNCTION("""COMPUTED_VALUE"""),745050.0)</f>
        <v>745050</v>
      </c>
      <c r="I74" s="140" t="str">
        <f>IFERROR(__xludf.DUMMYFUNCTION("""COMPUTED_VALUE"""),"")</f>
        <v/>
      </c>
      <c r="J74" s="140">
        <f>IFERROR(__xludf.DUMMYFUNCTION("""COMPUTED_VALUE"""),1270870.0)</f>
        <v>1270870</v>
      </c>
      <c r="K74" s="140" t="str">
        <f>IFERROR(__xludf.DUMMYFUNCTION("""COMPUTED_VALUE"""),"")</f>
        <v/>
      </c>
    </row>
    <row r="75">
      <c r="A75" s="143">
        <f>IFERROR(__xludf.DUMMYFUNCTION("""COMPUTED_VALUE"""),43419.0)</f>
        <v>43419</v>
      </c>
      <c r="B75">
        <f>IFERROR(__xludf.DUMMYFUNCTION("""COMPUTED_VALUE"""),1135004.0)</f>
        <v>1135004</v>
      </c>
      <c r="C75" t="str">
        <f>IFERROR(__xludf.DUMMYFUNCTION("""COMPUTED_VALUE"""),"Quick and Radical Tips on Selling - How to Sell like a Beast")</f>
        <v>Quick and Radical Tips on Selling - How to Sell like a Beast</v>
      </c>
      <c r="D75" t="str">
        <f>IFERROR(__xludf.DUMMYFUNCTION("""COMPUTED_VALUE"""),"Andrew PM Tse")</f>
        <v>Andrew PM Tse</v>
      </c>
      <c r="E75" t="str">
        <f>IFERROR(__xludf.DUMMYFUNCTION("""COMPUTED_VALUE"""),"Instructor Practices")</f>
        <v>Instructor Practices</v>
      </c>
      <c r="F75" t="str">
        <f>IFERROR(__xludf.DUMMYFUNCTION("""COMPUTED_VALUE"""),"Sales")</f>
        <v>Sales</v>
      </c>
      <c r="G75" t="str">
        <f>IFERROR(__xludf.DUMMYFUNCTION("""COMPUTED_VALUE"""),"Sales Skills &amp; Tools")</f>
        <v>Sales Skills &amp; Tools</v>
      </c>
      <c r="H75" s="140">
        <f>IFERROR(__xludf.DUMMYFUNCTION("""COMPUTED_VALUE"""),1504268.0)</f>
        <v>1504268</v>
      </c>
      <c r="I75" s="140" t="str">
        <f>IFERROR(__xludf.DUMMYFUNCTION("""COMPUTED_VALUE"""),"")</f>
        <v/>
      </c>
      <c r="J75" s="140">
        <f>IFERROR(__xludf.DUMMYFUNCTION("""COMPUTED_VALUE"""),387514.0)</f>
        <v>387514</v>
      </c>
      <c r="K75" s="140" t="str">
        <f>IFERROR(__xludf.DUMMYFUNCTION("""COMPUTED_VALUE"""),"")</f>
        <v/>
      </c>
    </row>
    <row r="76">
      <c r="A76" s="143">
        <f>IFERROR(__xludf.DUMMYFUNCTION("""COMPUTED_VALUE"""),43413.0)</f>
        <v>43413</v>
      </c>
      <c r="B76">
        <f>IFERROR(__xludf.DUMMYFUNCTION("""COMPUTED_VALUE"""),571690.0)</f>
        <v>571690</v>
      </c>
      <c r="C76" t="str">
        <f>IFERROR(__xludf.DUMMYFUNCTION("""COMPUTED_VALUE"""),"Db2 LUW - Database Administration &amp; Certification Workshop")</f>
        <v>Db2 LUW - Database Administration &amp; Certification Workshop</v>
      </c>
      <c r="D76" t="str">
        <f>IFERROR(__xludf.DUMMYFUNCTION("""COMPUTED_VALUE"""),"Mohammad Khan")</f>
        <v>Mohammad Khan</v>
      </c>
      <c r="E76" t="str">
        <f>IFERROR(__xludf.DUMMYFUNCTION("""COMPUTED_VALUE"""),"Instructor Never Opted In")</f>
        <v>Instructor Never Opted In</v>
      </c>
      <c r="F76" t="str">
        <f>IFERROR(__xludf.DUMMYFUNCTION("""COMPUTED_VALUE"""),"IT Operations")</f>
        <v>IT Operations</v>
      </c>
      <c r="G76" t="str">
        <f>IFERROR(__xludf.DUMMYFUNCTION("""COMPUTED_VALUE"""),"Database Administration")</f>
        <v>Database Administration</v>
      </c>
      <c r="H76" s="140">
        <f>IFERROR(__xludf.DUMMYFUNCTION("""COMPUTED_VALUE"""),1170864.0)</f>
        <v>1170864</v>
      </c>
      <c r="I76" s="140" t="str">
        <f>IFERROR(__xludf.DUMMYFUNCTION("""COMPUTED_VALUE"""),"")</f>
        <v/>
      </c>
      <c r="K76" s="140" t="str">
        <f>IFERROR(__xludf.DUMMYFUNCTION("""COMPUTED_VALUE"""),"")</f>
        <v/>
      </c>
    </row>
    <row r="77">
      <c r="A77" s="143">
        <f>IFERROR(__xludf.DUMMYFUNCTION("""COMPUTED_VALUE"""),43404.0)</f>
        <v>43404</v>
      </c>
      <c r="B77">
        <f>IFERROR(__xludf.DUMMYFUNCTION("""COMPUTED_VALUE"""),766614.0)</f>
        <v>766614</v>
      </c>
      <c r="C77" t="str">
        <f>IFERROR(__xludf.DUMMYFUNCTION("""COMPUTED_VALUE"""),"Slack: Less email. More productive.")</f>
        <v>Slack: Less email. More productive.</v>
      </c>
      <c r="D77" t="str">
        <f>IFERROR(__xludf.DUMMYFUNCTION("""COMPUTED_VALUE"""),"Uri Soglowek")</f>
        <v>Uri Soglowek</v>
      </c>
      <c r="E77" t="str">
        <f>IFERROR(__xludf.DUMMYFUNCTION("""COMPUTED_VALUE"""),"Below Quality Standards- Low Rating")</f>
        <v>Below Quality Standards- Low Rating</v>
      </c>
      <c r="F77" t="str">
        <f>IFERROR(__xludf.DUMMYFUNCTION("""COMPUTED_VALUE"""),"Office Productivity")</f>
        <v>Office Productivity</v>
      </c>
      <c r="G77" t="str">
        <f>IFERROR(__xludf.DUMMYFUNCTION("""COMPUTED_VALUE"""),"Collaboration")</f>
        <v>Collaboration</v>
      </c>
      <c r="I77" s="140" t="str">
        <f>IFERROR(__xludf.DUMMYFUNCTION("""COMPUTED_VALUE"""),"")</f>
        <v/>
      </c>
      <c r="K77" s="140" t="str">
        <f>IFERROR(__xludf.DUMMYFUNCTION("""COMPUTED_VALUE"""),"")</f>
        <v/>
      </c>
      <c r="Q77" s="145" t="str">
        <f>IFERROR(__xludf.DUMMYFUNCTION("""COMPUTED_VALUE"""),"Topic on Priority List- 1781772")</f>
        <v>Topic on Priority List- 1781772</v>
      </c>
    </row>
    <row r="78">
      <c r="A78" s="143">
        <f>IFERROR(__xludf.DUMMYFUNCTION("""COMPUTED_VALUE"""),43404.0)</f>
        <v>43404</v>
      </c>
      <c r="B78">
        <f>IFERROR(__xludf.DUMMYFUNCTION("""COMPUTED_VALUE"""),302536.0)</f>
        <v>302536</v>
      </c>
      <c r="C78" t="str">
        <f>IFERROR(__xludf.DUMMYFUNCTION("""COMPUTED_VALUE"""),"Web Accessibility: Learn Best Practices, Tools &amp; Techniques")</f>
        <v>Web Accessibility: Learn Best Practices, Tools &amp; Techniques</v>
      </c>
      <c r="D78" t="str">
        <f>IFERROR(__xludf.DUMMYFUNCTION("""COMPUTED_VALUE"""),"U1 Group")</f>
        <v>U1 Group</v>
      </c>
      <c r="E78" t="str">
        <f>IFERROR(__xludf.DUMMYFUNCTION("""COMPUTED_VALUE"""),"Below Quality Standards- Low Rating")</f>
        <v>Below Quality Standards- Low Rating</v>
      </c>
      <c r="F78" t="str">
        <f>IFERROR(__xludf.DUMMYFUNCTION("""COMPUTED_VALUE"""),"Design")</f>
        <v>Design</v>
      </c>
      <c r="G78" t="str">
        <f>IFERROR(__xludf.DUMMYFUNCTION("""COMPUTED_VALUE"""),"Web Design")</f>
        <v>Web Design</v>
      </c>
      <c r="I78" s="140" t="str">
        <f>IFERROR(__xludf.DUMMYFUNCTION("""COMPUTED_VALUE"""),"")</f>
        <v/>
      </c>
      <c r="K78" s="140" t="str">
        <f>IFERROR(__xludf.DUMMYFUNCTION("""COMPUTED_VALUE"""),"")</f>
        <v/>
      </c>
      <c r="L78" s="145" t="str">
        <f>IFERROR(__xludf.DUMMYFUNCTION("""COMPUTED_VALUE"""),"Topic on Priority List- 1172305")</f>
        <v>Topic on Priority List- 1172305</v>
      </c>
      <c r="Q78" s="145" t="str">
        <f>IFERROR(__xludf.DUMMYFUNCTION("""COMPUTED_VALUE"""),"Topic on Priority List- 1172305")</f>
        <v>Topic on Priority List- 1172305</v>
      </c>
    </row>
    <row r="79">
      <c r="A79" s="143">
        <f>IFERROR(__xludf.DUMMYFUNCTION("""COMPUTED_VALUE"""),43404.0)</f>
        <v>43404</v>
      </c>
      <c r="B79">
        <f>IFERROR(__xludf.DUMMYFUNCTION("""COMPUTED_VALUE"""),453646.0)</f>
        <v>453646</v>
      </c>
      <c r="C79" t="str">
        <f>IFERROR(__xludf.DUMMYFUNCTION("""COMPUTED_VALUE"""),"How to Become a World Class SQL Server Performance Tuner")</f>
        <v>How to Become a World Class SQL Server Performance Tuner</v>
      </c>
      <c r="D79" t="str">
        <f>IFERROR(__xludf.DUMMYFUNCTION("""COMPUTED_VALUE"""),"Mike West")</f>
        <v>Mike West</v>
      </c>
      <c r="E79" t="str">
        <f>IFERROR(__xludf.DUMMYFUNCTION("""COMPUTED_VALUE"""),"Below Quality Standards- Low Rating")</f>
        <v>Below Quality Standards- Low Rating</v>
      </c>
      <c r="F79" t="str">
        <f>IFERROR(__xludf.DUMMYFUNCTION("""COMPUTED_VALUE"""),"IT Operations")</f>
        <v>IT Operations</v>
      </c>
      <c r="G79" t="str">
        <f>IFERROR(__xludf.DUMMYFUNCTION("""COMPUTED_VALUE"""),"Database Administration")</f>
        <v>Database Administration</v>
      </c>
      <c r="H79" s="140">
        <f>IFERROR(__xludf.DUMMYFUNCTION("""COMPUTED_VALUE"""),543766.0)</f>
        <v>543766</v>
      </c>
      <c r="I79" s="140" t="str">
        <f>IFERROR(__xludf.DUMMYFUNCTION("""COMPUTED_VALUE"""),"")</f>
        <v/>
      </c>
      <c r="J79" s="140">
        <f>IFERROR(__xludf.DUMMYFUNCTION("""COMPUTED_VALUE"""),523546.0)</f>
        <v>523546</v>
      </c>
      <c r="K79" s="140" t="str">
        <f>IFERROR(__xludf.DUMMYFUNCTION("""COMPUTED_VALUE"""),"")</f>
        <v/>
      </c>
      <c r="L79" s="145" t="str">
        <f>IFERROR(__xludf.DUMMYFUNCTION("""COMPUTED_VALUE"""),"Topic on Priority List- 1208888")</f>
        <v>Topic on Priority List- 1208888</v>
      </c>
    </row>
    <row r="80">
      <c r="A80" s="143">
        <f>IFERROR(__xludf.DUMMYFUNCTION("""COMPUTED_VALUE"""),43404.0)</f>
        <v>43404</v>
      </c>
      <c r="B80">
        <f>IFERROR(__xludf.DUMMYFUNCTION("""COMPUTED_VALUE"""),394968.0)</f>
        <v>394968</v>
      </c>
      <c r="C80" t="str">
        <f>IFERROR(__xludf.DUMMYFUNCTION("""COMPUTED_VALUE"""),"Photography Masterclass (old version)")</f>
        <v>Photography Masterclass (old version)</v>
      </c>
      <c r="D80" t="str">
        <f>IFERROR(__xludf.DUMMYFUNCTION("""COMPUTED_VALUE"""),"Phil Ebiner")</f>
        <v>Phil Ebiner</v>
      </c>
      <c r="E80" t="str">
        <f>IFERROR(__xludf.DUMMYFUNCTION("""COMPUTED_VALUE"""),"Instructor Request- Outdated")</f>
        <v>Instructor Request- Outdated</v>
      </c>
      <c r="F80" t="str">
        <f>IFERROR(__xludf.DUMMYFUNCTION("""COMPUTED_VALUE"""),"Personal Development")</f>
        <v>Personal Development</v>
      </c>
      <c r="G80" t="str">
        <f>IFERROR(__xludf.DUMMYFUNCTION("""COMPUTED_VALUE"""),"Arts &amp; Creativity")</f>
        <v>Arts &amp; Creativity</v>
      </c>
      <c r="H80" s="140">
        <f>IFERROR(__xludf.DUMMYFUNCTION("""COMPUTED_VALUE"""),1462428.0)</f>
        <v>1462428</v>
      </c>
      <c r="I80" s="140" t="str">
        <f>IFERROR(__xludf.DUMMYFUNCTION("""COMPUTED_VALUE"""),"")</f>
        <v/>
      </c>
      <c r="K80" s="140" t="str">
        <f>IFERROR(__xludf.DUMMYFUNCTION("""COMPUTED_VALUE"""),"")</f>
        <v/>
      </c>
    </row>
    <row r="81">
      <c r="A81" s="143">
        <f>IFERROR(__xludf.DUMMYFUNCTION("""COMPUTED_VALUE"""),43404.0)</f>
        <v>43404</v>
      </c>
      <c r="B81">
        <f>IFERROR(__xludf.DUMMYFUNCTION("""COMPUTED_VALUE"""),1255318.0)</f>
        <v>1255318</v>
      </c>
      <c r="C81" t="str">
        <f>IFERROR(__xludf.DUMMYFUNCTION("""COMPUTED_VALUE"""),"Fundamentals of Data Analysis for Big Data")</f>
        <v>Fundamentals of Data Analysis for Big Data</v>
      </c>
      <c r="D81" t="str">
        <f>IFERROR(__xludf.DUMMYFUNCTION("""COMPUTED_VALUE"""),"Illumeo Learning")</f>
        <v>Illumeo Learning</v>
      </c>
      <c r="E81" t="str">
        <f>IFERROR(__xludf.DUMMYFUNCTION("""COMPUTED_VALUE"""),"Below Quality Standards- Low Rating")</f>
        <v>Below Quality Standards- Low Rating</v>
      </c>
      <c r="F81" t="str">
        <f>IFERROR(__xludf.DUMMYFUNCTION("""COMPUTED_VALUE"""),"Data Science")</f>
        <v>Data Science</v>
      </c>
      <c r="G81" t="str">
        <f>IFERROR(__xludf.DUMMYFUNCTION("""COMPUTED_VALUE"""),"Analytics")</f>
        <v>Analytics</v>
      </c>
      <c r="H81" s="140">
        <f>IFERROR(__xludf.DUMMYFUNCTION("""COMPUTED_VALUE"""),185916.0)</f>
        <v>185916</v>
      </c>
      <c r="I81" s="140" t="str">
        <f>IFERROR(__xludf.DUMMYFUNCTION("""COMPUTED_VALUE"""),"")</f>
        <v/>
      </c>
      <c r="J81" s="140">
        <f>IFERROR(__xludf.DUMMYFUNCTION("""COMPUTED_VALUE"""),1242944.0)</f>
        <v>1242944</v>
      </c>
      <c r="K81" s="140" t="str">
        <f>IFERROR(__xludf.DUMMYFUNCTION("""COMPUTED_VALUE"""),"")</f>
        <v/>
      </c>
    </row>
    <row r="82">
      <c r="A82" s="143">
        <f>IFERROR(__xludf.DUMMYFUNCTION("""COMPUTED_VALUE"""),43404.0)</f>
        <v>43404</v>
      </c>
      <c r="B82">
        <f>IFERROR(__xludf.DUMMYFUNCTION("""COMPUTED_VALUE"""),986182.0)</f>
        <v>986182</v>
      </c>
      <c r="C82" t="str">
        <f>IFERROR(__xludf.DUMMYFUNCTION("""COMPUTED_VALUE"""),"Azure - Advanced Virtual Machine Deployment")</f>
        <v>Azure - Advanced Virtual Machine Deployment</v>
      </c>
      <c r="D82" t="str">
        <f>IFERROR(__xludf.DUMMYFUNCTION("""COMPUTED_VALUE"""),"Intellezy Trainers")</f>
        <v>Intellezy Trainers</v>
      </c>
      <c r="E82" t="str">
        <f>IFERROR(__xludf.DUMMYFUNCTION("""COMPUTED_VALUE"""),"Instructor Request- Outdated")</f>
        <v>Instructor Request- Outdated</v>
      </c>
      <c r="F82" t="str">
        <f>IFERROR(__xludf.DUMMYFUNCTION("""COMPUTED_VALUE"""),"IT Operations")</f>
        <v>IT Operations</v>
      </c>
      <c r="G82" t="str">
        <f>IFERROR(__xludf.DUMMYFUNCTION("""COMPUTED_VALUE"""),"Operating Systems &amp; Servers")</f>
        <v>Operating Systems &amp; Servers</v>
      </c>
      <c r="H82" s="140">
        <f>IFERROR(__xludf.DUMMYFUNCTION("""COMPUTED_VALUE"""),1088256.0)</f>
        <v>1088256</v>
      </c>
      <c r="I82" s="140" t="str">
        <f>IFERROR(__xludf.DUMMYFUNCTION("""COMPUTED_VALUE"""),"")</f>
        <v/>
      </c>
      <c r="K82" s="140" t="str">
        <f>IFERROR(__xludf.DUMMYFUNCTION("""COMPUTED_VALUE"""),"")</f>
        <v/>
      </c>
    </row>
    <row r="83">
      <c r="A83" s="143">
        <f>IFERROR(__xludf.DUMMYFUNCTION("""COMPUTED_VALUE"""),43404.0)</f>
        <v>43404</v>
      </c>
      <c r="B83">
        <f>IFERROR(__xludf.DUMMYFUNCTION("""COMPUTED_VALUE"""),937388.0)</f>
        <v>937388</v>
      </c>
      <c r="C83" t="str">
        <f>IFERROR(__xludf.DUMMYFUNCTION("""COMPUTED_VALUE"""),"DevOps with AWS CodePipeline, Jenkins and AWS CodeDeploy")</f>
        <v>DevOps with AWS CodePipeline, Jenkins and AWS CodeDeploy</v>
      </c>
      <c r="D83" t="str">
        <f>IFERROR(__xludf.DUMMYFUNCTION("""COMPUTED_VALUE"""),"TetraNoodle Team")</f>
        <v>TetraNoodle Team</v>
      </c>
      <c r="E83" t="str">
        <f>IFERROR(__xludf.DUMMYFUNCTION("""COMPUTED_VALUE"""),"Below Quality Standards- Low Rating")</f>
        <v>Below Quality Standards- Low Rating</v>
      </c>
      <c r="F83" t="str">
        <f>IFERROR(__xludf.DUMMYFUNCTION("""COMPUTED_VALUE"""),"Development")</f>
        <v>Development</v>
      </c>
      <c r="G83" t="str">
        <f>IFERROR(__xludf.DUMMYFUNCTION("""COMPUTED_VALUE"""),"Development Tools")</f>
        <v>Development Tools</v>
      </c>
      <c r="H83" s="140">
        <f>IFERROR(__xludf.DUMMYFUNCTION("""COMPUTED_VALUE"""),975956.0)</f>
        <v>975956</v>
      </c>
      <c r="I83" s="140" t="str">
        <f>IFERROR(__xludf.DUMMYFUNCTION("""COMPUTED_VALUE"""),"")</f>
        <v/>
      </c>
      <c r="K83" s="140" t="str">
        <f>IFERROR(__xludf.DUMMYFUNCTION("""COMPUTED_VALUE"""),"")</f>
        <v/>
      </c>
    </row>
    <row r="84">
      <c r="A84" s="143">
        <f>IFERROR(__xludf.DUMMYFUNCTION("""COMPUTED_VALUE"""),43404.0)</f>
        <v>43404</v>
      </c>
      <c r="B84">
        <f>IFERROR(__xludf.DUMMYFUNCTION("""COMPUTED_VALUE"""),1304100.0)</f>
        <v>1304100</v>
      </c>
      <c r="C84" t="str">
        <f>IFERROR(__xludf.DUMMYFUNCTION("""COMPUTED_VALUE"""),"EU GDPR: Employee Awareness Training Certificate 2018")</f>
        <v>EU GDPR: Employee Awareness Training Certificate 2018</v>
      </c>
      <c r="D84" t="str">
        <f>IFERROR(__xludf.DUMMYFUNCTION("""COMPUTED_VALUE"""),"Fox Red Risk")</f>
        <v>Fox Red Risk</v>
      </c>
      <c r="E84" t="str">
        <f>IFERROR(__xludf.DUMMYFUNCTION("""COMPUTED_VALUE"""),"Below Quality Standards- Low Rating")</f>
        <v>Below Quality Standards- Low Rating</v>
      </c>
      <c r="F84" t="str">
        <f>IFERROR(__xludf.DUMMYFUNCTION("""COMPUTED_VALUE"""),"IT Operations")</f>
        <v>IT Operations</v>
      </c>
      <c r="G84" t="str">
        <f>IFERROR(__xludf.DUMMYFUNCTION("""COMPUTED_VALUE"""),"Network &amp; Security")</f>
        <v>Network &amp; Security</v>
      </c>
      <c r="H84" s="140">
        <f>IFERROR(__xludf.DUMMYFUNCTION("""COMPUTED_VALUE"""),1554504.0)</f>
        <v>1554504</v>
      </c>
      <c r="I84" s="140" t="str">
        <f>IFERROR(__xludf.DUMMYFUNCTION("""COMPUTED_VALUE"""),"")</f>
        <v/>
      </c>
      <c r="J84" s="140">
        <f>IFERROR(__xludf.DUMMYFUNCTION("""COMPUTED_VALUE"""),1416430.0)</f>
        <v>1416430</v>
      </c>
      <c r="K84" s="140" t="str">
        <f>IFERROR(__xludf.DUMMYFUNCTION("""COMPUTED_VALUE"""),"")</f>
        <v/>
      </c>
    </row>
    <row r="85">
      <c r="A85" s="143">
        <f>IFERROR(__xludf.DUMMYFUNCTION("""COMPUTED_VALUE"""),43404.0)</f>
        <v>43404</v>
      </c>
      <c r="B85">
        <f>IFERROR(__xludf.DUMMYFUNCTION("""COMPUTED_VALUE"""),943898.0)</f>
        <v>943898</v>
      </c>
      <c r="C85" t="str">
        <f>IFERROR(__xludf.DUMMYFUNCTION("""COMPUTED_VALUE"""),"Apache Spark 2.0 + Java : DO Big Data Analytics &amp; ML")</f>
        <v>Apache Spark 2.0 + Java : DO Big Data Analytics &amp; ML</v>
      </c>
      <c r="D85" t="str">
        <f>IFERROR(__xludf.DUMMYFUNCTION("""COMPUTED_VALUE"""),"V2 Maestros, LLC")</f>
        <v>V2 Maestros, LLC</v>
      </c>
      <c r="E85" t="str">
        <f>IFERROR(__xludf.DUMMYFUNCTION("""COMPUTED_VALUE"""),"Below Quality Standards- Low Rating")</f>
        <v>Below Quality Standards- Low Rating</v>
      </c>
      <c r="F85" t="str">
        <f>IFERROR(__xludf.DUMMYFUNCTION("""COMPUTED_VALUE"""),"Data Science")</f>
        <v>Data Science</v>
      </c>
      <c r="G85" t="str">
        <f>IFERROR(__xludf.DUMMYFUNCTION("""COMPUTED_VALUE"""),"Big Data")</f>
        <v>Big Data</v>
      </c>
      <c r="H85" s="140">
        <f>IFERROR(__xludf.DUMMYFUNCTION("""COMPUTED_VALUE"""),892806.0)</f>
        <v>892806</v>
      </c>
      <c r="I85" s="140" t="str">
        <f>IFERROR(__xludf.DUMMYFUNCTION("""COMPUTED_VALUE"""),"")</f>
        <v/>
      </c>
      <c r="J85" s="140">
        <f>IFERROR(__xludf.DUMMYFUNCTION("""COMPUTED_VALUE"""),1328642.0)</f>
        <v>1328642</v>
      </c>
      <c r="K85" s="140" t="str">
        <f>IFERROR(__xludf.DUMMYFUNCTION("""COMPUTED_VALUE"""),"")</f>
        <v/>
      </c>
    </row>
    <row r="86">
      <c r="A86" s="143">
        <f>IFERROR(__xludf.DUMMYFUNCTION("""COMPUTED_VALUE"""),43404.0)</f>
        <v>43404</v>
      </c>
      <c r="B86">
        <f>IFERROR(__xludf.DUMMYFUNCTION("""COMPUTED_VALUE"""),1428850.0)</f>
        <v>1428850</v>
      </c>
      <c r="C86" t="str">
        <f>IFERROR(__xludf.DUMMYFUNCTION("""COMPUTED_VALUE"""),"ITSM Processes In ServiceNow")</f>
        <v>ITSM Processes In ServiceNow</v>
      </c>
      <c r="D86" t="str">
        <f>IFERROR(__xludf.DUMMYFUNCTION("""COMPUTED_VALUE"""),"Revanth Sodavaram Muni")</f>
        <v>Revanth Sodavaram Muni</v>
      </c>
      <c r="E86" t="str">
        <f>IFERROR(__xludf.DUMMYFUNCTION("""COMPUTED_VALUE"""),"Below Quality Standards- Low Rating")</f>
        <v>Below Quality Standards- Low Rating</v>
      </c>
      <c r="F86" t="str">
        <f>IFERROR(__xludf.DUMMYFUNCTION("""COMPUTED_VALUE"""),"IT Operations")</f>
        <v>IT Operations</v>
      </c>
      <c r="G86" t="str">
        <f>IFERROR(__xludf.DUMMYFUNCTION("""COMPUTED_VALUE"""),"Operating Systems &amp; Servers")</f>
        <v>Operating Systems &amp; Servers</v>
      </c>
      <c r="I86" s="140" t="str">
        <f>IFERROR(__xludf.DUMMYFUNCTION("""COMPUTED_VALUE"""),"")</f>
        <v/>
      </c>
      <c r="K86" s="140" t="str">
        <f>IFERROR(__xludf.DUMMYFUNCTION("""COMPUTED_VALUE"""),"")</f>
        <v/>
      </c>
      <c r="L86" s="145" t="str">
        <f>IFERROR(__xludf.DUMMYFUNCTION("""COMPUTED_VALUE"""),"Topic on Priority List- 973360")</f>
        <v>Topic on Priority List- 973360</v>
      </c>
      <c r="Q86" s="145" t="str">
        <f>IFERROR(__xludf.DUMMYFUNCTION("""COMPUTED_VALUE"""),"Topic on Priority List- 973360")</f>
        <v>Topic on Priority List- 973360</v>
      </c>
    </row>
    <row r="87">
      <c r="A87" s="143">
        <f>IFERROR(__xludf.DUMMYFUNCTION("""COMPUTED_VALUE"""),43404.0)</f>
        <v>43404</v>
      </c>
      <c r="B87">
        <f>IFERROR(__xludf.DUMMYFUNCTION("""COMPUTED_VALUE"""),1145942.0)</f>
        <v>1145942</v>
      </c>
      <c r="C87" t="str">
        <f>IFERROR(__xludf.DUMMYFUNCTION("""COMPUTED_VALUE"""),"Project Management Fundamentals for Professionals")</f>
        <v>Project Management Fundamentals for Professionals</v>
      </c>
      <c r="D87" t="str">
        <f>IFERROR(__xludf.DUMMYFUNCTION("""COMPUTED_VALUE"""),"Jamal Moustafaev, BBA, MBA, PMP")</f>
        <v>Jamal Moustafaev, BBA, MBA, PMP</v>
      </c>
      <c r="E87" t="str">
        <f>IFERROR(__xludf.DUMMYFUNCTION("""COMPUTED_VALUE"""),"Below Quality Standards- Low Rating")</f>
        <v>Below Quality Standards- Low Rating</v>
      </c>
      <c r="F87" t="str">
        <f>IFERROR(__xludf.DUMMYFUNCTION("""COMPUTED_VALUE"""),"Project Management &amp; Operations")</f>
        <v>Project Management &amp; Operations</v>
      </c>
      <c r="G87" t="str">
        <f>IFERROR(__xludf.DUMMYFUNCTION("""COMPUTED_VALUE"""),"Project Management Fundamentals")</f>
        <v>Project Management Fundamentals</v>
      </c>
      <c r="H87" s="140">
        <f>IFERROR(__xludf.DUMMYFUNCTION("""COMPUTED_VALUE"""),946742.0)</f>
        <v>946742</v>
      </c>
      <c r="I87" s="140" t="str">
        <f>IFERROR(__xludf.DUMMYFUNCTION("""COMPUTED_VALUE"""),"")</f>
        <v/>
      </c>
      <c r="J87" s="140">
        <f>IFERROR(__xludf.DUMMYFUNCTION("""COMPUTED_VALUE"""),1358224.0)</f>
        <v>1358224</v>
      </c>
      <c r="K87" s="140" t="str">
        <f>IFERROR(__xludf.DUMMYFUNCTION("""COMPUTED_VALUE"""),"")</f>
        <v/>
      </c>
    </row>
    <row r="88">
      <c r="A88" s="143">
        <f>IFERROR(__xludf.DUMMYFUNCTION("""COMPUTED_VALUE"""),43404.0)</f>
        <v>43404</v>
      </c>
      <c r="B88">
        <f>IFERROR(__xludf.DUMMYFUNCTION("""COMPUTED_VALUE"""),476622.0)</f>
        <v>476622</v>
      </c>
      <c r="C88" t="str">
        <f>IFERROR(__xludf.DUMMYFUNCTION("""COMPUTED_VALUE"""),"Basel Norms (Basel 1/ Basel 2/ Basel 3) Simplified")</f>
        <v>Basel Norms (Basel 1/ Basel 2/ Basel 3) Simplified</v>
      </c>
      <c r="D88" t="str">
        <f>IFERROR(__xludf.DUMMYFUNCTION("""COMPUTED_VALUE"""),"Gopal Prasad Malakar")</f>
        <v>Gopal Prasad Malakar</v>
      </c>
      <c r="E88" t="str">
        <f>IFERROR(__xludf.DUMMYFUNCTION("""COMPUTED_VALUE"""),"Below Quality Standards- Low Rating")</f>
        <v>Below Quality Standards- Low Rating</v>
      </c>
      <c r="F88" t="str">
        <f>IFERROR(__xludf.DUMMYFUNCTION("""COMPUTED_VALUE"""),"Finance &amp; Accounting")</f>
        <v>Finance &amp; Accounting</v>
      </c>
      <c r="G88" t="str">
        <f>IFERROR(__xludf.DUMMYFUNCTION("""COMPUTED_VALUE"""),"Accounting")</f>
        <v>Accounting</v>
      </c>
      <c r="I88" s="140" t="str">
        <f>IFERROR(__xludf.DUMMYFUNCTION("""COMPUTED_VALUE"""),"")</f>
        <v/>
      </c>
      <c r="K88" s="140" t="str">
        <f>IFERROR(__xludf.DUMMYFUNCTION("""COMPUTED_VALUE"""),"")</f>
        <v/>
      </c>
      <c r="L88" s="145" t="str">
        <f>IFERROR(__xludf.DUMMYFUNCTION("""COMPUTED_VALUE"""),"Topic on Priority List- 1781709")</f>
        <v>Topic on Priority List- 1781709</v>
      </c>
      <c r="Q88" s="145" t="str">
        <f>IFERROR(__xludf.DUMMYFUNCTION("""COMPUTED_VALUE"""),"Topic on Priority List- 1781709")</f>
        <v>Topic on Priority List- 1781709</v>
      </c>
    </row>
    <row r="89">
      <c r="A89" s="143">
        <f>IFERROR(__xludf.DUMMYFUNCTION("""COMPUTED_VALUE"""),43404.0)</f>
        <v>43404</v>
      </c>
      <c r="B89">
        <f>IFERROR(__xludf.DUMMYFUNCTION("""COMPUTED_VALUE"""),529278.0)</f>
        <v>529278</v>
      </c>
      <c r="C89" t="str">
        <f>IFERROR(__xludf.DUMMYFUNCTION("""COMPUTED_VALUE"""),"Google Apps for Beginners")</f>
        <v>Google Apps for Beginners</v>
      </c>
      <c r="D89" t="str">
        <f>IFERROR(__xludf.DUMMYFUNCTION("""COMPUTED_VALUE"""),"Andreas Ruehlow")</f>
        <v>Andreas Ruehlow</v>
      </c>
      <c r="E89" t="str">
        <f>IFERROR(__xludf.DUMMYFUNCTION("""COMPUTED_VALUE"""),"Below Quality Standards- Low Rating")</f>
        <v>Below Quality Standards- Low Rating</v>
      </c>
      <c r="F89" t="str">
        <f>IFERROR(__xludf.DUMMYFUNCTION("""COMPUTED_VALUE"""),"Office Productivity")</f>
        <v>Office Productivity</v>
      </c>
      <c r="G89" t="str">
        <f>IFERROR(__xludf.DUMMYFUNCTION("""COMPUTED_VALUE"""),"Email &amp; Productivity")</f>
        <v>Email &amp; Productivity</v>
      </c>
      <c r="H89" s="140">
        <f>IFERROR(__xludf.DUMMYFUNCTION("""COMPUTED_VALUE"""),726230.0)</f>
        <v>726230</v>
      </c>
      <c r="I89" s="140" t="str">
        <f>IFERROR(__xludf.DUMMYFUNCTION("""COMPUTED_VALUE"""),"")</f>
        <v/>
      </c>
      <c r="J89" s="140">
        <f>IFERROR(__xludf.DUMMYFUNCTION("""COMPUTED_VALUE"""),1668266.0)</f>
        <v>1668266</v>
      </c>
      <c r="K89" s="140" t="str">
        <f>IFERROR(__xludf.DUMMYFUNCTION("""COMPUTED_VALUE"""),"")</f>
        <v/>
      </c>
    </row>
    <row r="90">
      <c r="A90" s="143">
        <f>IFERROR(__xludf.DUMMYFUNCTION("""COMPUTED_VALUE"""),43404.0)</f>
        <v>43404</v>
      </c>
      <c r="B90">
        <f>IFERROR(__xludf.DUMMYFUNCTION("""COMPUTED_VALUE"""),367468.0)</f>
        <v>367468</v>
      </c>
      <c r="C90" t="str">
        <f>IFERROR(__xludf.DUMMYFUNCTION("""COMPUTED_VALUE"""),"Decision Tree - Theory, Application and Modeling using R")</f>
        <v>Decision Tree - Theory, Application and Modeling using R</v>
      </c>
      <c r="D90" t="str">
        <f>IFERROR(__xludf.DUMMYFUNCTION("""COMPUTED_VALUE"""),"Gopal Prasad Malakar")</f>
        <v>Gopal Prasad Malakar</v>
      </c>
      <c r="E90" t="str">
        <f>IFERROR(__xludf.DUMMYFUNCTION("""COMPUTED_VALUE"""),"Below Quality Standards- Low Rating")</f>
        <v>Below Quality Standards- Low Rating</v>
      </c>
      <c r="F90" t="str">
        <f>IFERROR(__xludf.DUMMYFUNCTION("""COMPUTED_VALUE"""),"Data Science")</f>
        <v>Data Science</v>
      </c>
      <c r="G90" t="str">
        <f>IFERROR(__xludf.DUMMYFUNCTION("""COMPUTED_VALUE"""),"Machine Learning")</f>
        <v>Machine Learning</v>
      </c>
      <c r="H90" s="140">
        <f>IFERROR(__xludf.DUMMYFUNCTION("""COMPUTED_VALUE"""),1644472.0)</f>
        <v>1644472</v>
      </c>
      <c r="I90" s="140" t="str">
        <f>IFERROR(__xludf.DUMMYFUNCTION("""COMPUTED_VALUE"""),"")</f>
        <v/>
      </c>
      <c r="K90" s="140" t="str">
        <f>IFERROR(__xludf.DUMMYFUNCTION("""COMPUTED_VALUE"""),"")</f>
        <v/>
      </c>
    </row>
    <row r="91">
      <c r="A91" s="143">
        <f>IFERROR(__xludf.DUMMYFUNCTION("""COMPUTED_VALUE"""),43404.0)</f>
        <v>43404</v>
      </c>
      <c r="B91">
        <f>IFERROR(__xludf.DUMMYFUNCTION("""COMPUTED_VALUE"""),247314.0)</f>
        <v>247314</v>
      </c>
      <c r="C91" t="str">
        <f>IFERROR(__xludf.DUMMYFUNCTION("""COMPUTED_VALUE"""),"Networking for Introverts: Understanding Basic Body Language")</f>
        <v>Networking for Introverts: Understanding Basic Body Language</v>
      </c>
      <c r="D91" t="str">
        <f>IFERROR(__xludf.DUMMYFUNCTION("""COMPUTED_VALUE"""),"Eric Byrd")</f>
        <v>Eric Byrd</v>
      </c>
      <c r="E91" t="str">
        <f>IFERROR(__xludf.DUMMYFUNCTION("""COMPUTED_VALUE"""),"Below Quality Standards- Deep Dive")</f>
        <v>Below Quality Standards- Deep Dive</v>
      </c>
      <c r="F91" t="str">
        <f>IFERROR(__xludf.DUMMYFUNCTION("""COMPUTED_VALUE"""),"Leadership &amp; Management")</f>
        <v>Leadership &amp; Management</v>
      </c>
      <c r="G91" t="str">
        <f>IFERROR(__xludf.DUMMYFUNCTION("""COMPUTED_VALUE"""),"Communication")</f>
        <v>Communication</v>
      </c>
      <c r="H91" s="140">
        <f>IFERROR(__xludf.DUMMYFUNCTION("""COMPUTED_VALUE"""),38266.0)</f>
        <v>38266</v>
      </c>
      <c r="I91" s="140" t="str">
        <f>IFERROR(__xludf.DUMMYFUNCTION("""COMPUTED_VALUE"""),"")</f>
        <v/>
      </c>
      <c r="J91" s="140">
        <f>IFERROR(__xludf.DUMMYFUNCTION("""COMPUTED_VALUE"""),1361836.0)</f>
        <v>1361836</v>
      </c>
      <c r="K91" s="140" t="str">
        <f>IFERROR(__xludf.DUMMYFUNCTION("""COMPUTED_VALUE"""),"")</f>
        <v/>
      </c>
    </row>
    <row r="92">
      <c r="A92" s="143">
        <f>IFERROR(__xludf.DUMMYFUNCTION("""COMPUTED_VALUE"""),43404.0)</f>
        <v>43404</v>
      </c>
      <c r="B92">
        <f>IFERROR(__xludf.DUMMYFUNCTION("""COMPUTED_VALUE"""),247320.0)</f>
        <v>247320</v>
      </c>
      <c r="C92" t="str">
        <f>IFERROR(__xludf.DUMMYFUNCTION("""COMPUTED_VALUE"""),"Networking for Introverts: Extending the Conversation")</f>
        <v>Networking for Introverts: Extending the Conversation</v>
      </c>
      <c r="D92" t="str">
        <f>IFERROR(__xludf.DUMMYFUNCTION("""COMPUTED_VALUE"""),"Eric Byrd")</f>
        <v>Eric Byrd</v>
      </c>
      <c r="E92" t="str">
        <f>IFERROR(__xludf.DUMMYFUNCTION("""COMPUTED_VALUE"""),"Below Quality Standards- Deep Dive")</f>
        <v>Below Quality Standards- Deep Dive</v>
      </c>
      <c r="F92" t="str">
        <f>IFERROR(__xludf.DUMMYFUNCTION("""COMPUTED_VALUE"""),"Leadership &amp; Management")</f>
        <v>Leadership &amp; Management</v>
      </c>
      <c r="G92" t="str">
        <f>IFERROR(__xludf.DUMMYFUNCTION("""COMPUTED_VALUE"""),"Communication")</f>
        <v>Communication</v>
      </c>
      <c r="H92" s="140">
        <f>IFERROR(__xludf.DUMMYFUNCTION("""COMPUTED_VALUE"""),247306.0)</f>
        <v>247306</v>
      </c>
      <c r="I92" s="140" t="str">
        <f>IFERROR(__xludf.DUMMYFUNCTION("""COMPUTED_VALUE"""),"")</f>
        <v/>
      </c>
      <c r="J92" s="140">
        <f>IFERROR(__xludf.DUMMYFUNCTION("""COMPUTED_VALUE"""),1415562.0)</f>
        <v>1415562</v>
      </c>
      <c r="K92" s="140" t="str">
        <f>IFERROR(__xludf.DUMMYFUNCTION("""COMPUTED_VALUE"""),"")</f>
        <v/>
      </c>
    </row>
    <row r="93">
      <c r="A93" s="143">
        <f>IFERROR(__xludf.DUMMYFUNCTION("""COMPUTED_VALUE"""),43404.0)</f>
        <v>43404</v>
      </c>
      <c r="B93">
        <f>IFERROR(__xludf.DUMMYFUNCTION("""COMPUTED_VALUE"""),247324.0)</f>
        <v>247324</v>
      </c>
      <c r="C93" t="str">
        <f>IFERROR(__xludf.DUMMYFUNCTION("""COMPUTED_VALUE"""),"Networking for Introverts: Creating an Engaging Introduction")</f>
        <v>Networking for Introverts: Creating an Engaging Introduction</v>
      </c>
      <c r="D93" t="str">
        <f>IFERROR(__xludf.DUMMYFUNCTION("""COMPUTED_VALUE"""),"Eric Byrd")</f>
        <v>Eric Byrd</v>
      </c>
      <c r="E93" t="str">
        <f>IFERROR(__xludf.DUMMYFUNCTION("""COMPUTED_VALUE"""),"Below Quality Standards- Deep Dive")</f>
        <v>Below Quality Standards- Deep Dive</v>
      </c>
      <c r="F93" t="str">
        <f>IFERROR(__xludf.DUMMYFUNCTION("""COMPUTED_VALUE"""),"Leadership &amp; Management")</f>
        <v>Leadership &amp; Management</v>
      </c>
      <c r="G93" t="str">
        <f>IFERROR(__xludf.DUMMYFUNCTION("""COMPUTED_VALUE"""),"Communication")</f>
        <v>Communication</v>
      </c>
      <c r="H93" s="140">
        <f>IFERROR(__xludf.DUMMYFUNCTION("""COMPUTED_VALUE"""),247306.0)</f>
        <v>247306</v>
      </c>
      <c r="I93" s="140" t="str">
        <f>IFERROR(__xludf.DUMMYFUNCTION("""COMPUTED_VALUE"""),"")</f>
        <v/>
      </c>
      <c r="J93" s="140">
        <f>IFERROR(__xludf.DUMMYFUNCTION("""COMPUTED_VALUE"""),1415562.0)</f>
        <v>1415562</v>
      </c>
      <c r="K93" s="140" t="str">
        <f>IFERROR(__xludf.DUMMYFUNCTION("""COMPUTED_VALUE"""),"")</f>
        <v/>
      </c>
    </row>
    <row r="94">
      <c r="A94" s="143">
        <f>IFERROR(__xludf.DUMMYFUNCTION("""COMPUTED_VALUE"""),43404.0)</f>
        <v>43404</v>
      </c>
      <c r="B94">
        <f>IFERROR(__xludf.DUMMYFUNCTION("""COMPUTED_VALUE"""),247316.0)</f>
        <v>247316</v>
      </c>
      <c r="C94" t="str">
        <f>IFERROR(__xludf.DUMMYFUNCTION("""COMPUTED_VALUE"""),"Networking for Introverts: Translating Industry Jargon")</f>
        <v>Networking for Introverts: Translating Industry Jargon</v>
      </c>
      <c r="D94" t="str">
        <f>IFERROR(__xludf.DUMMYFUNCTION("""COMPUTED_VALUE"""),"Eric Byrd")</f>
        <v>Eric Byrd</v>
      </c>
      <c r="E94" t="str">
        <f>IFERROR(__xludf.DUMMYFUNCTION("""COMPUTED_VALUE"""),"Below Quality Standards- Deep Dive")</f>
        <v>Below Quality Standards- Deep Dive</v>
      </c>
      <c r="F94" t="str">
        <f>IFERROR(__xludf.DUMMYFUNCTION("""COMPUTED_VALUE"""),"Leadership &amp; Management")</f>
        <v>Leadership &amp; Management</v>
      </c>
      <c r="G94" t="str">
        <f>IFERROR(__xludf.DUMMYFUNCTION("""COMPUTED_VALUE"""),"Communication")</f>
        <v>Communication</v>
      </c>
      <c r="H94" s="140">
        <f>IFERROR(__xludf.DUMMYFUNCTION("""COMPUTED_VALUE"""),247306.0)</f>
        <v>247306</v>
      </c>
      <c r="I94" s="140" t="str">
        <f>IFERROR(__xludf.DUMMYFUNCTION("""COMPUTED_VALUE"""),"")</f>
        <v/>
      </c>
      <c r="J94" s="140">
        <f>IFERROR(__xludf.DUMMYFUNCTION("""COMPUTED_VALUE"""),1415562.0)</f>
        <v>1415562</v>
      </c>
      <c r="K94" s="140" t="str">
        <f>IFERROR(__xludf.DUMMYFUNCTION("""COMPUTED_VALUE"""),"")</f>
        <v/>
      </c>
    </row>
    <row r="95">
      <c r="A95" s="143">
        <f>IFERROR(__xludf.DUMMYFUNCTION("""COMPUTED_VALUE"""),43404.0)</f>
        <v>43404</v>
      </c>
      <c r="B95">
        <f>IFERROR(__xludf.DUMMYFUNCTION("""COMPUTED_VALUE"""),226664.0)</f>
        <v>226664</v>
      </c>
      <c r="C95" t="str">
        <f>IFERROR(__xludf.DUMMYFUNCTION("""COMPUTED_VALUE"""),"Connect with Anyone Simply and Easily When Networking")</f>
        <v>Connect with Anyone Simply and Easily When Networking</v>
      </c>
      <c r="D95" t="str">
        <f>IFERROR(__xludf.DUMMYFUNCTION("""COMPUTED_VALUE"""),"Eric Byrd")</f>
        <v>Eric Byrd</v>
      </c>
      <c r="E95" t="str">
        <f>IFERROR(__xludf.DUMMYFUNCTION("""COMPUTED_VALUE"""),"Below Quality Standards- Deep Dive")</f>
        <v>Below Quality Standards- Deep Dive</v>
      </c>
      <c r="F95" t="str">
        <f>IFERROR(__xludf.DUMMYFUNCTION("""COMPUTED_VALUE"""),"Leadership &amp; Management")</f>
        <v>Leadership &amp; Management</v>
      </c>
      <c r="G95" t="str">
        <f>IFERROR(__xludf.DUMMYFUNCTION("""COMPUTED_VALUE"""),"Communication")</f>
        <v>Communication</v>
      </c>
      <c r="H95" s="140">
        <f>IFERROR(__xludf.DUMMYFUNCTION("""COMPUTED_VALUE"""),247306.0)</f>
        <v>247306</v>
      </c>
      <c r="I95" s="140" t="str">
        <f>IFERROR(__xludf.DUMMYFUNCTION("""COMPUTED_VALUE"""),"")</f>
        <v/>
      </c>
      <c r="J95" s="140">
        <f>IFERROR(__xludf.DUMMYFUNCTION("""COMPUTED_VALUE"""),1415562.0)</f>
        <v>1415562</v>
      </c>
      <c r="K95" s="140" t="str">
        <f>IFERROR(__xludf.DUMMYFUNCTION("""COMPUTED_VALUE"""),"")</f>
        <v/>
      </c>
    </row>
    <row r="96">
      <c r="A96" s="143">
        <f>IFERROR(__xludf.DUMMYFUNCTION("""COMPUTED_VALUE"""),43404.0)</f>
        <v>43404</v>
      </c>
      <c r="B96">
        <f>IFERROR(__xludf.DUMMYFUNCTION("""COMPUTED_VALUE"""),247326.0)</f>
        <v>247326</v>
      </c>
      <c r="C96" t="str">
        <f>IFERROR(__xludf.DUMMYFUNCTION("""COMPUTED_VALUE"""),"Networking for Introverts: Perfecting Your Delivery")</f>
        <v>Networking for Introverts: Perfecting Your Delivery</v>
      </c>
      <c r="D96" t="str">
        <f>IFERROR(__xludf.DUMMYFUNCTION("""COMPUTED_VALUE"""),"Eric Byrd")</f>
        <v>Eric Byrd</v>
      </c>
      <c r="E96" t="str">
        <f>IFERROR(__xludf.DUMMYFUNCTION("""COMPUTED_VALUE"""),"Below Quality Standards- Deep Dive")</f>
        <v>Below Quality Standards- Deep Dive</v>
      </c>
      <c r="F96" t="str">
        <f>IFERROR(__xludf.DUMMYFUNCTION("""COMPUTED_VALUE"""),"Leadership &amp; Management")</f>
        <v>Leadership &amp; Management</v>
      </c>
      <c r="G96" t="str">
        <f>IFERROR(__xludf.DUMMYFUNCTION("""COMPUTED_VALUE"""),"Communication")</f>
        <v>Communication</v>
      </c>
      <c r="H96" s="140">
        <f>IFERROR(__xludf.DUMMYFUNCTION("""COMPUTED_VALUE"""),192004.0)</f>
        <v>192004</v>
      </c>
      <c r="I96" s="140" t="str">
        <f>IFERROR(__xludf.DUMMYFUNCTION("""COMPUTED_VALUE"""),"")</f>
        <v/>
      </c>
      <c r="J96" s="140">
        <f>IFERROR(__xludf.DUMMYFUNCTION("""COMPUTED_VALUE"""),1361836.0)</f>
        <v>1361836</v>
      </c>
      <c r="K96" s="140" t="str">
        <f>IFERROR(__xludf.DUMMYFUNCTION("""COMPUTED_VALUE"""),"")</f>
        <v/>
      </c>
    </row>
    <row r="97">
      <c r="A97" s="143">
        <f>IFERROR(__xludf.DUMMYFUNCTION("""COMPUTED_VALUE"""),43404.0)</f>
        <v>43404</v>
      </c>
      <c r="B97">
        <f>IFERROR(__xludf.DUMMYFUNCTION("""COMPUTED_VALUE"""),247322.0)</f>
        <v>247322</v>
      </c>
      <c r="C97" t="str">
        <f>IFERROR(__xludf.DUMMYFUNCTION("""COMPUTED_VALUE"""),"Networking for Introverts: Understand How Connection Works")</f>
        <v>Networking for Introverts: Understand How Connection Works</v>
      </c>
      <c r="D97" t="str">
        <f>IFERROR(__xludf.DUMMYFUNCTION("""COMPUTED_VALUE"""),"Eric Byrd")</f>
        <v>Eric Byrd</v>
      </c>
      <c r="E97" t="str">
        <f>IFERROR(__xludf.DUMMYFUNCTION("""COMPUTED_VALUE"""),"Below Quality Standards- Deep Dive")</f>
        <v>Below Quality Standards- Deep Dive</v>
      </c>
      <c r="F97" t="str">
        <f>IFERROR(__xludf.DUMMYFUNCTION("""COMPUTED_VALUE"""),"Leadership &amp; Management")</f>
        <v>Leadership &amp; Management</v>
      </c>
      <c r="G97" t="str">
        <f>IFERROR(__xludf.DUMMYFUNCTION("""COMPUTED_VALUE"""),"Communication")</f>
        <v>Communication</v>
      </c>
      <c r="H97" s="140">
        <f>IFERROR(__xludf.DUMMYFUNCTION("""COMPUTED_VALUE"""),192004.0)</f>
        <v>192004</v>
      </c>
      <c r="I97" s="140" t="str">
        <f>IFERROR(__xludf.DUMMYFUNCTION("""COMPUTED_VALUE"""),"")</f>
        <v/>
      </c>
      <c r="J97" s="140">
        <f>IFERROR(__xludf.DUMMYFUNCTION("""COMPUTED_VALUE"""),1361836.0)</f>
        <v>1361836</v>
      </c>
      <c r="K97" s="140" t="str">
        <f>IFERROR(__xludf.DUMMYFUNCTION("""COMPUTED_VALUE"""),"")</f>
        <v/>
      </c>
    </row>
    <row r="98">
      <c r="A98" s="143">
        <f>IFERROR(__xludf.DUMMYFUNCTION("""COMPUTED_VALUE"""),43403.0)</f>
        <v>43403</v>
      </c>
      <c r="B98">
        <f>IFERROR(__xludf.DUMMYFUNCTION("""COMPUTED_VALUE"""),1918768.0)</f>
        <v>1918768</v>
      </c>
      <c r="C98" t="str">
        <f>IFERROR(__xludf.DUMMYFUNCTION("""COMPUTED_VALUE"""),"Artificial Intelligence Blueprint™: Neural Networks")</f>
        <v>Artificial Intelligence Blueprint™: Neural Networks</v>
      </c>
      <c r="D98" t="str">
        <f>IFERROR(__xludf.DUMMYFUNCTION("""COMPUTED_VALUE"""),"Ema Mandachi")</f>
        <v>Ema Mandachi</v>
      </c>
      <c r="E98" t="str">
        <f>IFERROR(__xludf.DUMMYFUNCTION("""COMPUTED_VALUE"""),"Copyright")</f>
        <v>Copyright</v>
      </c>
      <c r="F98" t="str">
        <f>IFERROR(__xludf.DUMMYFUNCTION("""COMPUTED_VALUE"""),"Data Science")</f>
        <v>Data Science</v>
      </c>
      <c r="G98" t="str">
        <f>IFERROR(__xludf.DUMMYFUNCTION("""COMPUTED_VALUE"""),"Machine Learning")</f>
        <v>Machine Learning</v>
      </c>
      <c r="I98" s="140" t="str">
        <f>IFERROR(__xludf.DUMMYFUNCTION("""COMPUTED_VALUE"""),"")</f>
        <v/>
      </c>
      <c r="K98" s="140" t="str">
        <f>IFERROR(__xludf.DUMMYFUNCTION("""COMPUTED_VALUE"""),"")</f>
        <v/>
      </c>
    </row>
    <row r="99">
      <c r="A99" s="143">
        <f>IFERROR(__xludf.DUMMYFUNCTION("""COMPUTED_VALUE"""),43398.0)</f>
        <v>43398</v>
      </c>
      <c r="B99">
        <f>IFERROR(__xludf.DUMMYFUNCTION("""COMPUTED_VALUE"""),362328.0)</f>
        <v>362328</v>
      </c>
      <c r="C99" t="str">
        <f>IFERROR(__xludf.DUMMYFUNCTION("""COMPUTED_VALUE"""),"AWS Certified Solutions Architect - Associate 2018")</f>
        <v>AWS Certified Solutions Architect - Associate 2018</v>
      </c>
      <c r="D99" t="str">
        <f>IFERROR(__xludf.DUMMYFUNCTION("""COMPUTED_VALUE"""),"Ryan Kroonenburg")</f>
        <v>Ryan Kroonenburg</v>
      </c>
      <c r="E99" t="str">
        <f>IFERROR(__xludf.DUMMYFUNCTION("""COMPUTED_VALUE"""),"Instructor Request- Opted Out")</f>
        <v>Instructor Request- Opted Out</v>
      </c>
      <c r="F99" t="str">
        <f>IFERROR(__xludf.DUMMYFUNCTION("""COMPUTED_VALUE"""),"IT Operations")</f>
        <v>IT Operations</v>
      </c>
      <c r="G99" t="str">
        <f>IFERROR(__xludf.DUMMYFUNCTION("""COMPUTED_VALUE"""),"IT Certifications")</f>
        <v>IT Certifications</v>
      </c>
      <c r="H99" s="140">
        <f>IFERROR(__xludf.DUMMYFUNCTION("""COMPUTED_VALUE"""),1845824.0)</f>
        <v>1845824</v>
      </c>
      <c r="I99" s="140" t="str">
        <f>IFERROR(__xludf.DUMMYFUNCTION("""COMPUTED_VALUE"""),"")</f>
        <v/>
      </c>
      <c r="J99" s="140">
        <f>IFERROR(__xludf.DUMMYFUNCTION("""COMPUTED_VALUE"""),1461592.0)</f>
        <v>1461592</v>
      </c>
      <c r="K99" s="140" t="str">
        <f>IFERROR(__xludf.DUMMYFUNCTION("""COMPUTED_VALUE"""),"")</f>
        <v/>
      </c>
    </row>
    <row r="100">
      <c r="A100" s="143">
        <f>IFERROR(__xludf.DUMMYFUNCTION("""COMPUTED_VALUE"""),43398.0)</f>
        <v>43398</v>
      </c>
      <c r="B100">
        <f>IFERROR(__xludf.DUMMYFUNCTION("""COMPUTED_VALUE"""),393306.0)</f>
        <v>393306</v>
      </c>
      <c r="C100" t="str">
        <f>IFERROR(__xludf.DUMMYFUNCTION("""COMPUTED_VALUE"""),"AWS Certified Developer - Associate 2018")</f>
        <v>AWS Certified Developer - Associate 2018</v>
      </c>
      <c r="D100" t="str">
        <f>IFERROR(__xludf.DUMMYFUNCTION("""COMPUTED_VALUE"""),"Ryan Kroonenburg")</f>
        <v>Ryan Kroonenburg</v>
      </c>
      <c r="E100" t="str">
        <f>IFERROR(__xludf.DUMMYFUNCTION("""COMPUTED_VALUE"""),"Instructor Request- Opted Out")</f>
        <v>Instructor Request- Opted Out</v>
      </c>
      <c r="F100" t="str">
        <f>IFERROR(__xludf.DUMMYFUNCTION("""COMPUTED_VALUE"""),"IT Operations")</f>
        <v>IT Operations</v>
      </c>
      <c r="G100" t="str">
        <f>IFERROR(__xludf.DUMMYFUNCTION("""COMPUTED_VALUE"""),"IT Certifications")</f>
        <v>IT Certifications</v>
      </c>
      <c r="H100" s="140">
        <f>IFERROR(__xludf.DUMMYFUNCTION("""COMPUTED_VALUE"""),1824298.0)</f>
        <v>1824298</v>
      </c>
      <c r="I100" s="140" t="str">
        <f>IFERROR(__xludf.DUMMYFUNCTION("""COMPUTED_VALUE"""),"")</f>
        <v/>
      </c>
      <c r="J100" s="140">
        <f>IFERROR(__xludf.DUMMYFUNCTION("""COMPUTED_VALUE"""),1921420.0)</f>
        <v>1921420</v>
      </c>
      <c r="K100" s="140" t="str">
        <f>IFERROR(__xludf.DUMMYFUNCTION("""COMPUTED_VALUE"""),"")</f>
        <v/>
      </c>
    </row>
    <row r="101">
      <c r="A101" s="143">
        <f>IFERROR(__xludf.DUMMYFUNCTION("""COMPUTED_VALUE"""),43398.0)</f>
        <v>43398</v>
      </c>
      <c r="B101">
        <f>IFERROR(__xludf.DUMMYFUNCTION("""COMPUTED_VALUE"""),1105102.0)</f>
        <v>1105102</v>
      </c>
      <c r="C101" t="str">
        <f>IFERROR(__xludf.DUMMYFUNCTION("""COMPUTED_VALUE"""),"AWS Certified Solutions Architect - Associate Practice Tests")</f>
        <v>AWS Certified Solutions Architect - Associate Practice Tests</v>
      </c>
      <c r="D101" t="str">
        <f>IFERROR(__xludf.DUMMYFUNCTION("""COMPUTED_VALUE"""),"Ryan Kroonenburg")</f>
        <v>Ryan Kroonenburg</v>
      </c>
      <c r="E101" t="str">
        <f>IFERROR(__xludf.DUMMYFUNCTION("""COMPUTED_VALUE"""),"Instructor Request- Opted Out")</f>
        <v>Instructor Request- Opted Out</v>
      </c>
      <c r="F101" t="str">
        <f>IFERROR(__xludf.DUMMYFUNCTION("""COMPUTED_VALUE"""),"IT Operations")</f>
        <v>IT Operations</v>
      </c>
      <c r="G101" t="str">
        <f>IFERROR(__xludf.DUMMYFUNCTION("""COMPUTED_VALUE"""),"IT Certifications")</f>
        <v>IT Certifications</v>
      </c>
      <c r="H101" s="140">
        <f>IFERROR(__xludf.DUMMYFUNCTION("""COMPUTED_VALUE"""),1343886.0)</f>
        <v>1343886</v>
      </c>
      <c r="I101" s="140" t="str">
        <f>IFERROR(__xludf.DUMMYFUNCTION("""COMPUTED_VALUE"""),"")</f>
        <v/>
      </c>
      <c r="J101" s="140">
        <f>IFERROR(__xludf.DUMMYFUNCTION("""COMPUTED_VALUE"""),1172114.0)</f>
        <v>1172114</v>
      </c>
      <c r="K101" s="140" t="str">
        <f>IFERROR(__xludf.DUMMYFUNCTION("""COMPUTED_VALUE"""),"")</f>
        <v/>
      </c>
    </row>
    <row r="102">
      <c r="A102" s="143">
        <f>IFERROR(__xludf.DUMMYFUNCTION("""COMPUTED_VALUE"""),43398.0)</f>
        <v>43398</v>
      </c>
      <c r="B102">
        <f>IFERROR(__xludf.DUMMYFUNCTION("""COMPUTED_VALUE"""),422702.0)</f>
        <v>422702</v>
      </c>
      <c r="C102" t="str">
        <f>IFERROR(__xludf.DUMMYFUNCTION("""COMPUTED_VALUE"""),"AWS Certified SysOps Administrator - Associate 2019")</f>
        <v>AWS Certified SysOps Administrator - Associate 2019</v>
      </c>
      <c r="D102" t="str">
        <f>IFERROR(__xludf.DUMMYFUNCTION("""COMPUTED_VALUE"""),"Ryan Kroonenburg")</f>
        <v>Ryan Kroonenburg</v>
      </c>
      <c r="E102" t="str">
        <f>IFERROR(__xludf.DUMMYFUNCTION("""COMPUTED_VALUE"""),"Instructor Request- Opted Out")</f>
        <v>Instructor Request- Opted Out</v>
      </c>
      <c r="F102" t="str">
        <f>IFERROR(__xludf.DUMMYFUNCTION("""COMPUTED_VALUE"""),"IT Operations")</f>
        <v>IT Operations</v>
      </c>
      <c r="G102" t="str">
        <f>IFERROR(__xludf.DUMMYFUNCTION("""COMPUTED_VALUE"""),"IT Certifications")</f>
        <v>IT Certifications</v>
      </c>
      <c r="H102" s="140">
        <f>IFERROR(__xludf.DUMMYFUNCTION("""COMPUTED_VALUE"""),1905402.0)</f>
        <v>1905402</v>
      </c>
      <c r="I102" s="140" t="str">
        <f>IFERROR(__xludf.DUMMYFUNCTION("""COMPUTED_VALUE"""),"")</f>
        <v/>
      </c>
      <c r="K102" s="140" t="str">
        <f>IFERROR(__xludf.DUMMYFUNCTION("""COMPUTED_VALUE"""),"")</f>
        <v/>
      </c>
    </row>
    <row r="103">
      <c r="A103" s="143">
        <f>IFERROR(__xludf.DUMMYFUNCTION("""COMPUTED_VALUE"""),43398.0)</f>
        <v>43398</v>
      </c>
      <c r="B103">
        <f>IFERROR(__xludf.DUMMYFUNCTION("""COMPUTED_VALUE"""),962334.0)</f>
        <v>962334</v>
      </c>
      <c r="C103" t="str">
        <f>IFERROR(__xludf.DUMMYFUNCTION("""COMPUTED_VALUE"""),"Alexa Development For Absolute Beginners")</f>
        <v>Alexa Development For Absolute Beginners</v>
      </c>
      <c r="D103" t="str">
        <f>IFERROR(__xludf.DUMMYFUNCTION("""COMPUTED_VALUE"""),"Ryan Kroonenburg")</f>
        <v>Ryan Kroonenburg</v>
      </c>
      <c r="E103" t="str">
        <f>IFERROR(__xludf.DUMMYFUNCTION("""COMPUTED_VALUE"""),"Instructor Request- Opted Out")</f>
        <v>Instructor Request- Opted Out</v>
      </c>
      <c r="F103" t="str">
        <f>IFERROR(__xludf.DUMMYFUNCTION("""COMPUTED_VALUE"""),"IT Operations")</f>
        <v>IT Operations</v>
      </c>
      <c r="G103" t="str">
        <f>IFERROR(__xludf.DUMMYFUNCTION("""COMPUTED_VALUE"""),"Hardware")</f>
        <v>Hardware</v>
      </c>
      <c r="H103" s="140">
        <f>IFERROR(__xludf.DUMMYFUNCTION("""COMPUTED_VALUE"""),1347834.0)</f>
        <v>1347834</v>
      </c>
      <c r="I103" s="140" t="str">
        <f>IFERROR(__xludf.DUMMYFUNCTION("""COMPUTED_VALUE"""),"")</f>
        <v/>
      </c>
      <c r="K103" s="140" t="str">
        <f>IFERROR(__xludf.DUMMYFUNCTION("""COMPUTED_VALUE"""),"")</f>
        <v/>
      </c>
    </row>
    <row r="104">
      <c r="A104" s="143">
        <f>IFERROR(__xludf.DUMMYFUNCTION("""COMPUTED_VALUE"""),43398.0)</f>
        <v>43398</v>
      </c>
      <c r="B104">
        <f>IFERROR(__xludf.DUMMYFUNCTION("""COMPUTED_VALUE"""),1105302.0)</f>
        <v>1105302</v>
      </c>
      <c r="C104" t="str">
        <f>IFERROR(__xludf.DUMMYFUNCTION("""COMPUTED_VALUE"""),"AWS Certified Developer - Associate 2017 (Practice Tests)")</f>
        <v>AWS Certified Developer - Associate 2017 (Practice Tests)</v>
      </c>
      <c r="D104" t="str">
        <f>IFERROR(__xludf.DUMMYFUNCTION("""COMPUTED_VALUE"""),"Ryan Kroonenburg")</f>
        <v>Ryan Kroonenburg</v>
      </c>
      <c r="E104" t="str">
        <f>IFERROR(__xludf.DUMMYFUNCTION("""COMPUTED_VALUE"""),"Instructor Request- Opted Out")</f>
        <v>Instructor Request- Opted Out</v>
      </c>
      <c r="F104" t="str">
        <f>IFERROR(__xludf.DUMMYFUNCTION("""COMPUTED_VALUE"""),"IT Operations")</f>
        <v>IT Operations</v>
      </c>
      <c r="G104" t="str">
        <f>IFERROR(__xludf.DUMMYFUNCTION("""COMPUTED_VALUE"""),"IT Certifications")</f>
        <v>IT Certifications</v>
      </c>
      <c r="H104" s="140">
        <f>IFERROR(__xludf.DUMMYFUNCTION("""COMPUTED_VALUE"""),1921420.0)</f>
        <v>1921420</v>
      </c>
      <c r="I104" s="140" t="str">
        <f>IFERROR(__xludf.DUMMYFUNCTION("""COMPUTED_VALUE"""),"")</f>
        <v/>
      </c>
      <c r="K104" s="140" t="str">
        <f>IFERROR(__xludf.DUMMYFUNCTION("""COMPUTED_VALUE"""),"")</f>
        <v/>
      </c>
    </row>
    <row r="105">
      <c r="A105" s="143">
        <f>IFERROR(__xludf.DUMMYFUNCTION("""COMPUTED_VALUE"""),43395.0)</f>
        <v>43395</v>
      </c>
      <c r="B105">
        <f>IFERROR(__xludf.DUMMYFUNCTION("""COMPUTED_VALUE"""),1542254.0)</f>
        <v>1542254</v>
      </c>
      <c r="C105" t="str">
        <f>IFERROR(__xludf.DUMMYFUNCTION("""COMPUTED_VALUE"""),"Become a Certified Web Developer 2018 Edition")</f>
        <v>Become a Certified Web Developer 2018 Edition</v>
      </c>
      <c r="D105" t="str">
        <f>IFERROR(__xludf.DUMMYFUNCTION("""COMPUTED_VALUE"""),"Framework Television Inc.")</f>
        <v>Framework Television Inc.</v>
      </c>
      <c r="E105" t="str">
        <f>IFERROR(__xludf.DUMMYFUNCTION("""COMPUTED_VALUE"""),"Course Set to Private")</f>
        <v>Course Set to Private</v>
      </c>
      <c r="F105" t="str">
        <f>IFERROR(__xludf.DUMMYFUNCTION("""COMPUTED_VALUE"""),"Development")</f>
        <v>Development</v>
      </c>
      <c r="G105" t="str">
        <f>IFERROR(__xludf.DUMMYFUNCTION("""COMPUTED_VALUE"""),"Web Development")</f>
        <v>Web Development</v>
      </c>
      <c r="H105" s="140">
        <f>IFERROR(__xludf.DUMMYFUNCTION("""COMPUTED_VALUE"""),625204.0)</f>
        <v>625204</v>
      </c>
      <c r="I105" s="140" t="str">
        <f>IFERROR(__xludf.DUMMYFUNCTION("""COMPUTED_VALUE"""),"")</f>
        <v/>
      </c>
      <c r="J105" s="140">
        <f>IFERROR(__xludf.DUMMYFUNCTION("""COMPUTED_VALUE"""),764164.0)</f>
        <v>764164</v>
      </c>
      <c r="K105" s="140" t="str">
        <f>IFERROR(__xludf.DUMMYFUNCTION("""COMPUTED_VALUE"""),"")</f>
        <v/>
      </c>
      <c r="Q105" s="145" t="str">
        <f>IFERROR(__xludf.DUMMYFUNCTION("""COMPUTED_VALUE"""),"Course set to Private before eing removed from collection")</f>
        <v>Course set to Private before eing removed from collection</v>
      </c>
    </row>
    <row r="106">
      <c r="A106" s="143">
        <f>IFERROR(__xludf.DUMMYFUNCTION("""COMPUTED_VALUE"""),43390.0)</f>
        <v>43390</v>
      </c>
      <c r="B106">
        <f>IFERROR(__xludf.DUMMYFUNCTION("""COMPUTED_VALUE"""),640600.0)</f>
        <v>640600</v>
      </c>
      <c r="C106" t="str">
        <f>IFERROR(__xludf.DUMMYFUNCTION("""COMPUTED_VALUE"""),"Gradle Foundations: A Crash Course to Gradle")</f>
        <v>Gradle Foundations: A Crash Course to Gradle</v>
      </c>
      <c r="D106" t="str">
        <f>IFERROR(__xludf.DUMMYFUNCTION("""COMPUTED_VALUE"""),"Keith Johnson")</f>
        <v>Keith Johnson</v>
      </c>
      <c r="E106" t="str">
        <f>IFERROR(__xludf.DUMMYFUNCTION("""COMPUTED_VALUE"""),"Copyright")</f>
        <v>Copyright</v>
      </c>
      <c r="F106" t="str">
        <f>IFERROR(__xludf.DUMMYFUNCTION("""COMPUTED_VALUE"""),"Development")</f>
        <v>Development</v>
      </c>
      <c r="G106" t="str">
        <f>IFERROR(__xludf.DUMMYFUNCTION("""COMPUTED_VALUE"""),"Programming")</f>
        <v>Programming</v>
      </c>
      <c r="I106" s="140" t="str">
        <f>IFERROR(__xludf.DUMMYFUNCTION("""COMPUTED_VALUE"""),"")</f>
        <v/>
      </c>
      <c r="K106" s="140" t="str">
        <f>IFERROR(__xludf.DUMMYFUNCTION("""COMPUTED_VALUE"""),"")</f>
        <v/>
      </c>
      <c r="Q106" s="145" t="str">
        <f>IFERROR(__xludf.DUMMYFUNCTION("""COMPUTED_VALUE"""),"Topic Not On Priority List")</f>
        <v>Topic Not On Priority List</v>
      </c>
    </row>
    <row r="107">
      <c r="A107" s="143">
        <f>IFERROR(__xludf.DUMMYFUNCTION("""COMPUTED_VALUE"""),43389.0)</f>
        <v>43389</v>
      </c>
      <c r="B107">
        <f>IFERROR(__xludf.DUMMYFUNCTION("""COMPUTED_VALUE"""),1543248.0)</f>
        <v>1543248</v>
      </c>
      <c r="C107" t="str">
        <f>IFERROR(__xludf.DUMMYFUNCTION("""COMPUTED_VALUE"""),"Become AWS Certified - SysOps Administrator Associate")</f>
        <v>Become AWS Certified - SysOps Administrator Associate</v>
      </c>
      <c r="D107" t="str">
        <f>IFERROR(__xludf.DUMMYFUNCTION("""COMPUTED_VALUE"""),"Codestars by Rob Percival")</f>
        <v>Codestars by Rob Percival</v>
      </c>
      <c r="E107" t="str">
        <f>IFERROR(__xludf.DUMMYFUNCTION("""COMPUTED_VALUE"""),"Instructor Practices")</f>
        <v>Instructor Practices</v>
      </c>
      <c r="F107" t="str">
        <f>IFERROR(__xludf.DUMMYFUNCTION("""COMPUTED_VALUE"""),"IT and Software")</f>
        <v>IT and Software</v>
      </c>
      <c r="G107" t="str">
        <f>IFERROR(__xludf.DUMMYFUNCTION("""COMPUTED_VALUE"""),"IT Certifications")</f>
        <v>IT Certifications</v>
      </c>
      <c r="H107" s="140">
        <f>IFERROR(__xludf.DUMMYFUNCTION("""COMPUTED_VALUE"""),1905402.0)</f>
        <v>1905402</v>
      </c>
      <c r="I107" s="140" t="str">
        <f>IFERROR(__xludf.DUMMYFUNCTION("""COMPUTED_VALUE"""),"")</f>
        <v/>
      </c>
      <c r="K107" s="140" t="str">
        <f>IFERROR(__xludf.DUMMYFUNCTION("""COMPUTED_VALUE"""),"")</f>
        <v/>
      </c>
    </row>
    <row r="108">
      <c r="A108" s="143">
        <f>IFERROR(__xludf.DUMMYFUNCTION("""COMPUTED_VALUE"""),43381.0)</f>
        <v>43381</v>
      </c>
      <c r="B108">
        <f>IFERROR(__xludf.DUMMYFUNCTION("""COMPUTED_VALUE"""),675244.0)</f>
        <v>675244</v>
      </c>
      <c r="C108" t="str">
        <f>IFERROR(__xludf.DUMMYFUNCTION("""COMPUTED_VALUE"""),"Fundamentals of Unix and Linux System Administration")</f>
        <v>Fundamentals of Unix and Linux System Administration</v>
      </c>
      <c r="D108" t="str">
        <f>IFERROR(__xludf.DUMMYFUNCTION("""COMPUTED_VALUE"""),"Eduonix Learning Solutions")</f>
        <v>Eduonix Learning Solutions</v>
      </c>
      <c r="E108" t="str">
        <f>IFERROR(__xludf.DUMMYFUNCTION("""COMPUTED_VALUE"""),"Instructor Practices")</f>
        <v>Instructor Practices</v>
      </c>
      <c r="F108" t="str">
        <f>IFERROR(__xludf.DUMMYFUNCTION("""COMPUTED_VALUE"""),"IT and Software")</f>
        <v>IT and Software</v>
      </c>
      <c r="G108" t="str">
        <f>IFERROR(__xludf.DUMMYFUNCTION("""COMPUTED_VALUE"""),"Operating Systems and Servers")</f>
        <v>Operating Systems and Servers</v>
      </c>
      <c r="H108" s="140">
        <f>IFERROR(__xludf.DUMMYFUNCTION("""COMPUTED_VALUE"""),924090.0)</f>
        <v>924090</v>
      </c>
      <c r="I108" s="140" t="str">
        <f>IFERROR(__xludf.DUMMYFUNCTION("""COMPUTED_VALUE"""),"")</f>
        <v/>
      </c>
      <c r="K108" s="140" t="str">
        <f>IFERROR(__xludf.DUMMYFUNCTION("""COMPUTED_VALUE"""),"")</f>
        <v/>
      </c>
    </row>
    <row r="109">
      <c r="A109" s="143">
        <f>IFERROR(__xludf.DUMMYFUNCTION("""COMPUTED_VALUE"""),43381.0)</f>
        <v>43381</v>
      </c>
      <c r="B109">
        <f>IFERROR(__xludf.DUMMYFUNCTION("""COMPUTED_VALUE"""),390962.0)</f>
        <v>390962</v>
      </c>
      <c r="C109" t="str">
        <f>IFERROR(__xludf.DUMMYFUNCTION("""COMPUTED_VALUE"""),"Learn Apache Cassandra from Scratch")</f>
        <v>Learn Apache Cassandra from Scratch</v>
      </c>
      <c r="D109" t="str">
        <f>IFERROR(__xludf.DUMMYFUNCTION("""COMPUTED_VALUE"""),"Eduonix Learning Solutions")</f>
        <v>Eduonix Learning Solutions</v>
      </c>
      <c r="E109" t="str">
        <f>IFERROR(__xludf.DUMMYFUNCTION("""COMPUTED_VALUE"""),"Instructor Practices")</f>
        <v>Instructor Practices</v>
      </c>
      <c r="F109" t="str">
        <f>IFERROR(__xludf.DUMMYFUNCTION("""COMPUTED_VALUE"""),"Development")</f>
        <v>Development</v>
      </c>
      <c r="G109" t="str">
        <f>IFERROR(__xludf.DUMMYFUNCTION("""COMPUTED_VALUE"""),"Databases")</f>
        <v>Databases</v>
      </c>
      <c r="H109" s="140">
        <f>IFERROR(__xludf.DUMMYFUNCTION("""COMPUTED_VALUE"""),886058.0)</f>
        <v>886058</v>
      </c>
      <c r="I109" s="140" t="str">
        <f>IFERROR(__xludf.DUMMYFUNCTION("""COMPUTED_VALUE"""),"")</f>
        <v/>
      </c>
      <c r="K109" s="140" t="str">
        <f>IFERROR(__xludf.DUMMYFUNCTION("""COMPUTED_VALUE"""),"")</f>
        <v/>
      </c>
    </row>
    <row r="110">
      <c r="A110" s="143">
        <f>IFERROR(__xludf.DUMMYFUNCTION("""COMPUTED_VALUE"""),43381.0)</f>
        <v>43381</v>
      </c>
      <c r="B110">
        <f>IFERROR(__xludf.DUMMYFUNCTION("""COMPUTED_VALUE"""),41295.0)</f>
        <v>41295</v>
      </c>
      <c r="C110" t="str">
        <f>IFERROR(__xludf.DUMMYFUNCTION("""COMPUTED_VALUE"""),"Learn HTML5 Programming From Scratch")</f>
        <v>Learn HTML5 Programming From Scratch</v>
      </c>
      <c r="D110" t="str">
        <f>IFERROR(__xludf.DUMMYFUNCTION("""COMPUTED_VALUE"""),"Eduonix Learning Solutions")</f>
        <v>Eduonix Learning Solutions</v>
      </c>
      <c r="E110" t="str">
        <f>IFERROR(__xludf.DUMMYFUNCTION("""COMPUTED_VALUE"""),"Instructor Practices")</f>
        <v>Instructor Practices</v>
      </c>
      <c r="F110" t="str">
        <f>IFERROR(__xludf.DUMMYFUNCTION("""COMPUTED_VALUE"""),"Development")</f>
        <v>Development</v>
      </c>
      <c r="G110" t="str">
        <f>IFERROR(__xludf.DUMMYFUNCTION("""COMPUTED_VALUE"""),"Web Development")</f>
        <v>Web Development</v>
      </c>
      <c r="H110" s="140">
        <f>IFERROR(__xludf.DUMMYFUNCTION("""COMPUTED_VALUE"""),437398.0)</f>
        <v>437398</v>
      </c>
      <c r="I110" s="140" t="str">
        <f>IFERROR(__xludf.DUMMYFUNCTION("""COMPUTED_VALUE"""),"")</f>
        <v/>
      </c>
      <c r="K110" s="140" t="str">
        <f>IFERROR(__xludf.DUMMYFUNCTION("""COMPUTED_VALUE"""),"")</f>
        <v/>
      </c>
    </row>
    <row r="111">
      <c r="A111" s="143">
        <f>IFERROR(__xludf.DUMMYFUNCTION("""COMPUTED_VALUE"""),43381.0)</f>
        <v>43381</v>
      </c>
      <c r="B111">
        <f>IFERROR(__xludf.DUMMYFUNCTION("""COMPUTED_VALUE"""),796654.0)</f>
        <v>796654</v>
      </c>
      <c r="C111" t="str">
        <f>IFERROR(__xludf.DUMMYFUNCTION("""COMPUTED_VALUE"""),"Linux Shell Programming for Beginners")</f>
        <v>Linux Shell Programming for Beginners</v>
      </c>
      <c r="D111" t="str">
        <f>IFERROR(__xludf.DUMMYFUNCTION("""COMPUTED_VALUE"""),"Eduonix Learning Solutions")</f>
        <v>Eduonix Learning Solutions</v>
      </c>
      <c r="E111" t="str">
        <f>IFERROR(__xludf.DUMMYFUNCTION("""COMPUTED_VALUE"""),"Instructor Practices")</f>
        <v>Instructor Practices</v>
      </c>
      <c r="F111" t="str">
        <f>IFERROR(__xludf.DUMMYFUNCTION("""COMPUTED_VALUE"""),"IT and Software")</f>
        <v>IT and Software</v>
      </c>
      <c r="G111" t="str">
        <f>IFERROR(__xludf.DUMMYFUNCTION("""COMPUTED_VALUE"""),"Operating Systems and Servers")</f>
        <v>Operating Systems and Servers</v>
      </c>
      <c r="H111" s="140">
        <f>IFERROR(__xludf.DUMMYFUNCTION("""COMPUTED_VALUE"""),1349660.0)</f>
        <v>1349660</v>
      </c>
      <c r="I111" s="140" t="str">
        <f>IFERROR(__xludf.DUMMYFUNCTION("""COMPUTED_VALUE"""),"")</f>
        <v/>
      </c>
      <c r="K111" s="140" t="str">
        <f>IFERROR(__xludf.DUMMYFUNCTION("""COMPUTED_VALUE"""),"")</f>
        <v/>
      </c>
    </row>
    <row r="112">
      <c r="A112" s="143">
        <f>IFERROR(__xludf.DUMMYFUNCTION("""COMPUTED_VALUE"""),43381.0)</f>
        <v>43381</v>
      </c>
      <c r="B112">
        <f>IFERROR(__xludf.DUMMYFUNCTION("""COMPUTED_VALUE"""),899534.0)</f>
        <v>899534</v>
      </c>
      <c r="C112" t="str">
        <f>IFERROR(__xludf.DUMMYFUNCTION("""COMPUTED_VALUE"""),"Learn Redis from Scratch")</f>
        <v>Learn Redis from Scratch</v>
      </c>
      <c r="D112" t="str">
        <f>IFERROR(__xludf.DUMMYFUNCTION("""COMPUTED_VALUE"""),"Eduonix Learning Solutions")</f>
        <v>Eduonix Learning Solutions</v>
      </c>
      <c r="E112" t="str">
        <f>IFERROR(__xludf.DUMMYFUNCTION("""COMPUTED_VALUE"""),"Instructor Practices")</f>
        <v>Instructor Practices</v>
      </c>
      <c r="F112" t="str">
        <f>IFERROR(__xludf.DUMMYFUNCTION("""COMPUTED_VALUE"""),"Development")</f>
        <v>Development</v>
      </c>
      <c r="G112" t="str">
        <f>IFERROR(__xludf.DUMMYFUNCTION("""COMPUTED_VALUE"""),"Databases")</f>
        <v>Databases</v>
      </c>
      <c r="H112" s="140">
        <f>IFERROR(__xludf.DUMMYFUNCTION("""COMPUTED_VALUE"""),1701332.0)</f>
        <v>1701332</v>
      </c>
      <c r="I112" s="140" t="str">
        <f>IFERROR(__xludf.DUMMYFUNCTION("""COMPUTED_VALUE"""),"")</f>
        <v/>
      </c>
      <c r="K112" s="140" t="str">
        <f>IFERROR(__xludf.DUMMYFUNCTION("""COMPUTED_VALUE"""),"")</f>
        <v/>
      </c>
    </row>
    <row r="113">
      <c r="A113" s="143">
        <f>IFERROR(__xludf.DUMMYFUNCTION("""COMPUTED_VALUE"""),43381.0)</f>
        <v>43381</v>
      </c>
      <c r="B113">
        <f>IFERROR(__xludf.DUMMYFUNCTION("""COMPUTED_VALUE"""),673222.0)</f>
        <v>673222</v>
      </c>
      <c r="C113" t="str">
        <f>IFERROR(__xludf.DUMMYFUNCTION("""COMPUTED_VALUE"""),"Learn Socket Programming in C from Scratch")</f>
        <v>Learn Socket Programming in C from Scratch</v>
      </c>
      <c r="D113" t="str">
        <f>IFERROR(__xludf.DUMMYFUNCTION("""COMPUTED_VALUE"""),"Eduonix Learning Solutions")</f>
        <v>Eduonix Learning Solutions</v>
      </c>
      <c r="E113" t="str">
        <f>IFERROR(__xludf.DUMMYFUNCTION("""COMPUTED_VALUE"""),"Instructor Practices")</f>
        <v>Instructor Practices</v>
      </c>
      <c r="F113" t="str">
        <f>IFERROR(__xludf.DUMMYFUNCTION("""COMPUTED_VALUE"""),"Development")</f>
        <v>Development</v>
      </c>
      <c r="G113" t="str">
        <f>IFERROR(__xludf.DUMMYFUNCTION("""COMPUTED_VALUE"""),"Programming")</f>
        <v>Programming</v>
      </c>
      <c r="H113" s="140">
        <f>IFERROR(__xludf.DUMMYFUNCTION("""COMPUTED_VALUE"""),306024.0)</f>
        <v>306024</v>
      </c>
      <c r="I113" s="140" t="str">
        <f>IFERROR(__xludf.DUMMYFUNCTION("""COMPUTED_VALUE"""),"")</f>
        <v/>
      </c>
      <c r="K113" s="140" t="str">
        <f>IFERROR(__xludf.DUMMYFUNCTION("""COMPUTED_VALUE"""),"")</f>
        <v/>
      </c>
    </row>
    <row r="114">
      <c r="A114" s="143">
        <f>IFERROR(__xludf.DUMMYFUNCTION("""COMPUTED_VALUE"""),43381.0)</f>
        <v>43381</v>
      </c>
      <c r="B114">
        <f>IFERROR(__xludf.DUMMYFUNCTION("""COMPUTED_VALUE"""),1002676.0)</f>
        <v>1002676</v>
      </c>
      <c r="C114" t="str">
        <f>IFERROR(__xludf.DUMMYFUNCTION("""COMPUTED_VALUE"""),"The Full Stack Web Development")</f>
        <v>The Full Stack Web Development</v>
      </c>
      <c r="D114" t="str">
        <f>IFERROR(__xludf.DUMMYFUNCTION("""COMPUTED_VALUE"""),"Eduonix Learning Solutions")</f>
        <v>Eduonix Learning Solutions</v>
      </c>
      <c r="E114" t="str">
        <f>IFERROR(__xludf.DUMMYFUNCTION("""COMPUTED_VALUE"""),"Instructor Practices")</f>
        <v>Instructor Practices</v>
      </c>
      <c r="F114" t="str">
        <f>IFERROR(__xludf.DUMMYFUNCTION("""COMPUTED_VALUE"""),"Development")</f>
        <v>Development</v>
      </c>
      <c r="G114" t="str">
        <f>IFERROR(__xludf.DUMMYFUNCTION("""COMPUTED_VALUE"""),"Web Development")</f>
        <v>Web Development</v>
      </c>
      <c r="H114" s="140">
        <f>IFERROR(__xludf.DUMMYFUNCTION("""COMPUTED_VALUE"""),625204.0)</f>
        <v>625204</v>
      </c>
      <c r="I114" s="140" t="str">
        <f>IFERROR(__xludf.DUMMYFUNCTION("""COMPUTED_VALUE"""),"")</f>
        <v/>
      </c>
      <c r="K114" s="140" t="str">
        <f>IFERROR(__xludf.DUMMYFUNCTION("""COMPUTED_VALUE"""),"")</f>
        <v/>
      </c>
    </row>
    <row r="115">
      <c r="A115" s="143">
        <f>IFERROR(__xludf.DUMMYFUNCTION("""COMPUTED_VALUE"""),43381.0)</f>
        <v>43381</v>
      </c>
      <c r="B115">
        <f>IFERROR(__xludf.DUMMYFUNCTION("""COMPUTED_VALUE"""),365696.0)</f>
        <v>365696</v>
      </c>
      <c r="C115" t="str">
        <f>IFERROR(__xludf.DUMMYFUNCTION("""COMPUTED_VALUE"""),"Learn NoSQL Database Design With CouchDB")</f>
        <v>Learn NoSQL Database Design With CouchDB</v>
      </c>
      <c r="D115" t="str">
        <f>IFERROR(__xludf.DUMMYFUNCTION("""COMPUTED_VALUE"""),"Eduonix Learning Solutions")</f>
        <v>Eduonix Learning Solutions</v>
      </c>
      <c r="E115" t="str">
        <f>IFERROR(__xludf.DUMMYFUNCTION("""COMPUTED_VALUE"""),"Instructor Practices")</f>
        <v>Instructor Practices</v>
      </c>
      <c r="F115" t="str">
        <f>IFERROR(__xludf.DUMMYFUNCTION("""COMPUTED_VALUE"""),"Development")</f>
        <v>Development</v>
      </c>
      <c r="G115" t="str">
        <f>IFERROR(__xludf.DUMMYFUNCTION("""COMPUTED_VALUE"""),"Databases")</f>
        <v>Databases</v>
      </c>
      <c r="I115" s="140" t="str">
        <f>IFERROR(__xludf.DUMMYFUNCTION("""COMPUTED_VALUE"""),"")</f>
        <v/>
      </c>
      <c r="J115">
        <f>IFERROR(__xludf.DUMMYFUNCTION("""COMPUTED_VALUE"""),1125992.0)</f>
        <v>1125992</v>
      </c>
      <c r="K115" s="140" t="str">
        <f>IFERROR(__xludf.DUMMYFUNCTION("""COMPUTED_VALUE"""),"")</f>
        <v/>
      </c>
    </row>
    <row r="116">
      <c r="A116" s="143">
        <f>IFERROR(__xludf.DUMMYFUNCTION("""COMPUTED_VALUE"""),43381.0)</f>
        <v>43381</v>
      </c>
      <c r="B116">
        <f>IFERROR(__xludf.DUMMYFUNCTION("""COMPUTED_VALUE"""),303514.0)</f>
        <v>303514</v>
      </c>
      <c r="C116" t="str">
        <f>IFERROR(__xludf.DUMMYFUNCTION("""COMPUTED_VALUE"""),"Projects in CSS")</f>
        <v>Projects in CSS</v>
      </c>
      <c r="D116" t="str">
        <f>IFERROR(__xludf.DUMMYFUNCTION("""COMPUTED_VALUE"""),"Eduonix Learning Solutions")</f>
        <v>Eduonix Learning Solutions</v>
      </c>
      <c r="E116" t="str">
        <f>IFERROR(__xludf.DUMMYFUNCTION("""COMPUTED_VALUE"""),"Instructor Practices")</f>
        <v>Instructor Practices</v>
      </c>
      <c r="F116" t="str">
        <f>IFERROR(__xludf.DUMMYFUNCTION("""COMPUTED_VALUE"""),"Development")</f>
        <v>Development</v>
      </c>
      <c r="G116" t="str">
        <f>IFERROR(__xludf.DUMMYFUNCTION("""COMPUTED_VALUE"""),"Web Development")</f>
        <v>Web Development</v>
      </c>
      <c r="H116" s="140">
        <f>IFERROR(__xludf.DUMMYFUNCTION("""COMPUTED_VALUE"""),1561458.0)</f>
        <v>1561458</v>
      </c>
      <c r="I116" s="140" t="str">
        <f>IFERROR(__xludf.DUMMYFUNCTION("""COMPUTED_VALUE"""),"")</f>
        <v/>
      </c>
      <c r="K116" s="140" t="str">
        <f>IFERROR(__xludf.DUMMYFUNCTION("""COMPUTED_VALUE"""),"")</f>
        <v/>
      </c>
    </row>
    <row r="117">
      <c r="A117" s="143">
        <f>IFERROR(__xludf.DUMMYFUNCTION("""COMPUTED_VALUE"""),43381.0)</f>
        <v>43381</v>
      </c>
      <c r="B117">
        <f>IFERROR(__xludf.DUMMYFUNCTION("""COMPUTED_VALUE"""),266252.0)</f>
        <v>266252</v>
      </c>
      <c r="C117" t="str">
        <f>IFERROR(__xludf.DUMMYFUNCTION("""COMPUTED_VALUE"""),"Projects in PHP and MySQL")</f>
        <v>Projects in PHP and MySQL</v>
      </c>
      <c r="D117" t="str">
        <f>IFERROR(__xludf.DUMMYFUNCTION("""COMPUTED_VALUE"""),"Eduonix Learning Solutions")</f>
        <v>Eduonix Learning Solutions</v>
      </c>
      <c r="E117" t="str">
        <f>IFERROR(__xludf.DUMMYFUNCTION("""COMPUTED_VALUE"""),"Instructor Practices")</f>
        <v>Instructor Practices</v>
      </c>
      <c r="F117" t="str">
        <f>IFERROR(__xludf.DUMMYFUNCTION("""COMPUTED_VALUE"""),"Development")</f>
        <v>Development</v>
      </c>
      <c r="G117" t="str">
        <f>IFERROR(__xludf.DUMMYFUNCTION("""COMPUTED_VALUE"""),"Web Development")</f>
        <v>Web Development</v>
      </c>
      <c r="H117" s="140">
        <f>IFERROR(__xludf.DUMMYFUNCTION("""COMPUTED_VALUE"""),405282.0)</f>
        <v>405282</v>
      </c>
      <c r="I117" s="140" t="str">
        <f>IFERROR(__xludf.DUMMYFUNCTION("""COMPUTED_VALUE"""),"")</f>
        <v/>
      </c>
      <c r="K117" s="140" t="str">
        <f>IFERROR(__xludf.DUMMYFUNCTION("""COMPUTED_VALUE"""),"")</f>
        <v/>
      </c>
    </row>
    <row r="118">
      <c r="A118" s="143">
        <f>IFERROR(__xludf.DUMMYFUNCTION("""COMPUTED_VALUE"""),43381.0)</f>
        <v>43381</v>
      </c>
      <c r="B118">
        <f>IFERROR(__xludf.DUMMYFUNCTION("""COMPUTED_VALUE"""),684794.0)</f>
        <v>684794</v>
      </c>
      <c r="C118" t="str">
        <f>IFERROR(__xludf.DUMMYFUNCTION("""COMPUTED_VALUE"""),"Build Web Apps Using EmberJS: The Complete Course")</f>
        <v>Build Web Apps Using EmberJS: The Complete Course</v>
      </c>
      <c r="D118" t="str">
        <f>IFERROR(__xludf.DUMMYFUNCTION("""COMPUTED_VALUE"""),"Eduonix Learning Solutions")</f>
        <v>Eduonix Learning Solutions</v>
      </c>
      <c r="E118" t="str">
        <f>IFERROR(__xludf.DUMMYFUNCTION("""COMPUTED_VALUE"""),"Instructor Practices")</f>
        <v>Instructor Practices</v>
      </c>
      <c r="F118" t="str">
        <f>IFERROR(__xludf.DUMMYFUNCTION("""COMPUTED_VALUE"""),"Development")</f>
        <v>Development</v>
      </c>
      <c r="G118" t="str">
        <f>IFERROR(__xludf.DUMMYFUNCTION("""COMPUTED_VALUE"""),"Web Development")</f>
        <v>Web Development</v>
      </c>
      <c r="I118" s="140" t="str">
        <f>IFERROR(__xludf.DUMMYFUNCTION("""COMPUTED_VALUE"""),"")</f>
        <v/>
      </c>
      <c r="K118" s="140" t="str">
        <f>IFERROR(__xludf.DUMMYFUNCTION("""COMPUTED_VALUE"""),"")</f>
        <v/>
      </c>
    </row>
    <row r="119">
      <c r="A119" s="143">
        <f>IFERROR(__xludf.DUMMYFUNCTION("""COMPUTED_VALUE"""),43381.0)</f>
        <v>43381</v>
      </c>
      <c r="B119">
        <f>IFERROR(__xludf.DUMMYFUNCTION("""COMPUTED_VALUE"""),637840.0)</f>
        <v>637840</v>
      </c>
      <c r="C119" t="str">
        <f>IFERROR(__xludf.DUMMYFUNCTION("""COMPUTED_VALUE"""),"Learn Knockout JS Framework from GroundUp")</f>
        <v>Learn Knockout JS Framework from GroundUp</v>
      </c>
      <c r="D119" t="str">
        <f>IFERROR(__xludf.DUMMYFUNCTION("""COMPUTED_VALUE"""),"Eduonix Learning Solutions")</f>
        <v>Eduonix Learning Solutions</v>
      </c>
      <c r="E119" t="str">
        <f>IFERROR(__xludf.DUMMYFUNCTION("""COMPUTED_VALUE"""),"Instructor Practices")</f>
        <v>Instructor Practices</v>
      </c>
      <c r="F119" t="str">
        <f>IFERROR(__xludf.DUMMYFUNCTION("""COMPUTED_VALUE"""),"Development")</f>
        <v>Development</v>
      </c>
      <c r="G119" t="str">
        <f>IFERROR(__xludf.DUMMYFUNCTION("""COMPUTED_VALUE"""),"Web Development")</f>
        <v>Web Development</v>
      </c>
      <c r="I119" s="140" t="str">
        <f>IFERROR(__xludf.DUMMYFUNCTION("""COMPUTED_VALUE"""),"")</f>
        <v/>
      </c>
      <c r="K119" s="140" t="str">
        <f>IFERROR(__xludf.DUMMYFUNCTION("""COMPUTED_VALUE"""),"")</f>
        <v/>
      </c>
    </row>
    <row r="120">
      <c r="A120" s="143">
        <f>IFERROR(__xludf.DUMMYFUNCTION("""COMPUTED_VALUE"""),43381.0)</f>
        <v>43381</v>
      </c>
      <c r="B120">
        <f>IFERROR(__xludf.DUMMYFUNCTION("""COMPUTED_VALUE"""),606756.0)</f>
        <v>606756</v>
      </c>
      <c r="C120" t="str">
        <f>IFERROR(__xludf.DUMMYFUNCTION("""COMPUTED_VALUE"""),"Projects in ExpressJS - Learn ExpressJs building 10 projects")</f>
        <v>Projects in ExpressJS - Learn ExpressJs building 10 projects</v>
      </c>
      <c r="D120" t="str">
        <f>IFERROR(__xludf.DUMMYFUNCTION("""COMPUTED_VALUE"""),"Eduonix Learning Solutions")</f>
        <v>Eduonix Learning Solutions</v>
      </c>
      <c r="E120" t="str">
        <f>IFERROR(__xludf.DUMMYFUNCTION("""COMPUTED_VALUE"""),"Instructor Practices")</f>
        <v>Instructor Practices</v>
      </c>
      <c r="F120" t="str">
        <f>IFERROR(__xludf.DUMMYFUNCTION("""COMPUTED_VALUE"""),"Development")</f>
        <v>Development</v>
      </c>
      <c r="G120" t="str">
        <f>IFERROR(__xludf.DUMMYFUNCTION("""COMPUTED_VALUE"""),"Web Development")</f>
        <v>Web Development</v>
      </c>
      <c r="I120" s="140" t="str">
        <f>IFERROR(__xludf.DUMMYFUNCTION("""COMPUTED_VALUE"""),"")</f>
        <v/>
      </c>
      <c r="K120" s="140" t="str">
        <f>IFERROR(__xludf.DUMMYFUNCTION("""COMPUTED_VALUE"""),"")</f>
        <v/>
      </c>
    </row>
    <row r="121">
      <c r="A121" s="143">
        <f>IFERROR(__xludf.DUMMYFUNCTION("""COMPUTED_VALUE"""),43381.0)</f>
        <v>43381</v>
      </c>
      <c r="B121">
        <f>IFERROR(__xludf.DUMMYFUNCTION("""COMPUTED_VALUE"""),744696.0)</f>
        <v>744696</v>
      </c>
      <c r="C121" t="str">
        <f>IFERROR(__xludf.DUMMYFUNCTION("""COMPUTED_VALUE"""),"Logo Design for Everybody")</f>
        <v>Logo Design for Everybody</v>
      </c>
      <c r="D121" t="str">
        <f>IFERROR(__xludf.DUMMYFUNCTION("""COMPUTED_VALUE"""),"Eduonix Learning Solutions")</f>
        <v>Eduonix Learning Solutions</v>
      </c>
      <c r="E121" t="str">
        <f>IFERROR(__xludf.DUMMYFUNCTION("""COMPUTED_VALUE"""),"Instructor Practices")</f>
        <v>Instructor Practices</v>
      </c>
      <c r="F121" t="str">
        <f>IFERROR(__xludf.DUMMYFUNCTION("""COMPUTED_VALUE"""),"Design")</f>
        <v>Design</v>
      </c>
      <c r="G121" t="str">
        <f>IFERROR(__xludf.DUMMYFUNCTION("""COMPUTED_VALUE"""),"Graphic Design")</f>
        <v>Graphic Design</v>
      </c>
      <c r="H121" s="140">
        <f>IFERROR(__xludf.DUMMYFUNCTION("""COMPUTED_VALUE"""),416548.0)</f>
        <v>416548</v>
      </c>
      <c r="I121" s="140" t="str">
        <f>IFERROR(__xludf.DUMMYFUNCTION("""COMPUTED_VALUE"""),"")</f>
        <v/>
      </c>
      <c r="K121" s="140" t="str">
        <f>IFERROR(__xludf.DUMMYFUNCTION("""COMPUTED_VALUE"""),"")</f>
        <v/>
      </c>
    </row>
    <row r="122">
      <c r="A122" s="143">
        <f>IFERROR(__xludf.DUMMYFUNCTION("""COMPUTED_VALUE"""),43381.0)</f>
        <v>43381</v>
      </c>
      <c r="B122">
        <f>IFERROR(__xludf.DUMMYFUNCTION("""COMPUTED_VALUE"""),740762.0)</f>
        <v>740762</v>
      </c>
      <c r="C122" t="str">
        <f>IFERROR(__xludf.DUMMYFUNCTION("""COMPUTED_VALUE"""),"Learn Top Ten PHP FrameWorks By Building Projects")</f>
        <v>Learn Top Ten PHP FrameWorks By Building Projects</v>
      </c>
      <c r="D122" t="str">
        <f>IFERROR(__xludf.DUMMYFUNCTION("""COMPUTED_VALUE"""),"Eduonix Learning Solutions")</f>
        <v>Eduonix Learning Solutions</v>
      </c>
      <c r="E122" t="str">
        <f>IFERROR(__xludf.DUMMYFUNCTION("""COMPUTED_VALUE"""),"Instructor Practices")</f>
        <v>Instructor Practices</v>
      </c>
      <c r="F122" t="str">
        <f>IFERROR(__xludf.DUMMYFUNCTION("""COMPUTED_VALUE"""),"Development")</f>
        <v>Development</v>
      </c>
      <c r="G122" t="str">
        <f>IFERROR(__xludf.DUMMYFUNCTION("""COMPUTED_VALUE"""),"Web Development")</f>
        <v>Web Development</v>
      </c>
      <c r="H122" s="140">
        <f>IFERROR(__xludf.DUMMYFUNCTION("""COMPUTED_VALUE"""),758582.0)</f>
        <v>758582</v>
      </c>
      <c r="I122" s="140" t="str">
        <f>IFERROR(__xludf.DUMMYFUNCTION("""COMPUTED_VALUE"""),"")</f>
        <v/>
      </c>
      <c r="J122" s="140">
        <f>IFERROR(__xludf.DUMMYFUNCTION("""COMPUTED_VALUE"""),1666930.0)</f>
        <v>1666930</v>
      </c>
      <c r="K122" s="140" t="str">
        <f>IFERROR(__xludf.DUMMYFUNCTION("""COMPUTED_VALUE"""),"")</f>
        <v/>
      </c>
    </row>
    <row r="123">
      <c r="A123" s="143">
        <f>IFERROR(__xludf.DUMMYFUNCTION("""COMPUTED_VALUE"""),43381.0)</f>
        <v>43381</v>
      </c>
      <c r="B123">
        <f>IFERROR(__xludf.DUMMYFUNCTION("""COMPUTED_VALUE"""),756984.0)</f>
        <v>756984</v>
      </c>
      <c r="C123" t="str">
        <f>IFERROR(__xludf.DUMMYFUNCTION("""COMPUTED_VALUE"""),"Projects in CSharp : Learn By Building Projects")</f>
        <v>Projects in CSharp : Learn By Building Projects</v>
      </c>
      <c r="D123" t="str">
        <f>IFERROR(__xludf.DUMMYFUNCTION("""COMPUTED_VALUE"""),"Eduonix Learning Solutions")</f>
        <v>Eduonix Learning Solutions</v>
      </c>
      <c r="E123" t="str">
        <f>IFERROR(__xludf.DUMMYFUNCTION("""COMPUTED_VALUE"""),"Instructor Practices")</f>
        <v>Instructor Practices</v>
      </c>
      <c r="F123" t="str">
        <f>IFERROR(__xludf.DUMMYFUNCTION("""COMPUTED_VALUE"""),"Development")</f>
        <v>Development</v>
      </c>
      <c r="G123" t="str">
        <f>IFERROR(__xludf.DUMMYFUNCTION("""COMPUTED_VALUE"""),"Programming")</f>
        <v>Programming</v>
      </c>
      <c r="H123" s="140">
        <f>IFERROR(__xludf.DUMMYFUNCTION("""COMPUTED_VALUE"""),382002.0)</f>
        <v>382002</v>
      </c>
      <c r="I123" s="140" t="str">
        <f>IFERROR(__xludf.DUMMYFUNCTION("""COMPUTED_VALUE"""),"")</f>
        <v/>
      </c>
      <c r="J123" s="145">
        <f>IFERROR(__xludf.DUMMYFUNCTION("""COMPUTED_VALUE"""),466296.0)</f>
        <v>466296</v>
      </c>
      <c r="K123" s="140" t="str">
        <f>IFERROR(__xludf.DUMMYFUNCTION("""COMPUTED_VALUE"""),"")</f>
        <v/>
      </c>
    </row>
    <row r="124">
      <c r="A124" s="143">
        <f>IFERROR(__xludf.DUMMYFUNCTION("""COMPUTED_VALUE"""),43381.0)</f>
        <v>43381</v>
      </c>
      <c r="B124">
        <f>IFERROR(__xludf.DUMMYFUNCTION("""COMPUTED_VALUE"""),672090.0)</f>
        <v>672090</v>
      </c>
      <c r="C124" t="str">
        <f>IFERROR(__xludf.DUMMYFUNCTION("""COMPUTED_VALUE"""),"Learn to Build Web Apps using UnderscoreJS : Code Like a Pro")</f>
        <v>Learn to Build Web Apps using UnderscoreJS : Code Like a Pro</v>
      </c>
      <c r="D124" t="str">
        <f>IFERROR(__xludf.DUMMYFUNCTION("""COMPUTED_VALUE"""),"Eduonix Learning Solutions")</f>
        <v>Eduonix Learning Solutions</v>
      </c>
      <c r="E124" t="str">
        <f>IFERROR(__xludf.DUMMYFUNCTION("""COMPUTED_VALUE"""),"Instructor Practices")</f>
        <v>Instructor Practices</v>
      </c>
      <c r="F124" t="str">
        <f>IFERROR(__xludf.DUMMYFUNCTION("""COMPUTED_VALUE"""),"Development")</f>
        <v>Development</v>
      </c>
      <c r="G124" t="str">
        <f>IFERROR(__xludf.DUMMYFUNCTION("""COMPUTED_VALUE"""),"Web Development")</f>
        <v>Web Development</v>
      </c>
      <c r="I124" s="140" t="str">
        <f>IFERROR(__xludf.DUMMYFUNCTION("""COMPUTED_VALUE"""),"")</f>
        <v/>
      </c>
      <c r="K124" s="140" t="str">
        <f>IFERROR(__xludf.DUMMYFUNCTION("""COMPUTED_VALUE"""),"")</f>
        <v/>
      </c>
    </row>
    <row r="125">
      <c r="A125" s="143">
        <f>IFERROR(__xludf.DUMMYFUNCTION("""COMPUTED_VALUE"""),43381.0)</f>
        <v>43381</v>
      </c>
      <c r="B125">
        <f>IFERROR(__xludf.DUMMYFUNCTION("""COMPUTED_VALUE"""),1575564.0)</f>
        <v>1575564</v>
      </c>
      <c r="C125" t="str">
        <f>IFERROR(__xludf.DUMMYFUNCTION("""COMPUTED_VALUE"""),"Leaflet for Beginners")</f>
        <v>Leaflet for Beginners</v>
      </c>
      <c r="D125" t="str">
        <f>IFERROR(__xludf.DUMMYFUNCTION("""COMPUTED_VALUE"""),"Eduonix Learning Solutions")</f>
        <v>Eduonix Learning Solutions</v>
      </c>
      <c r="E125" t="str">
        <f>IFERROR(__xludf.DUMMYFUNCTION("""COMPUTED_VALUE"""),"Instructor Practices")</f>
        <v>Instructor Practices</v>
      </c>
      <c r="F125" t="str">
        <f>IFERROR(__xludf.DUMMYFUNCTION("""COMPUTED_VALUE"""),"Development")</f>
        <v>Development</v>
      </c>
      <c r="G125" t="str">
        <f>IFERROR(__xludf.DUMMYFUNCTION("""COMPUTED_VALUE"""),"Web Development")</f>
        <v>Web Development</v>
      </c>
      <c r="I125" s="140" t="str">
        <f>IFERROR(__xludf.DUMMYFUNCTION("""COMPUTED_VALUE"""),"")</f>
        <v/>
      </c>
      <c r="K125" s="140" t="str">
        <f>IFERROR(__xludf.DUMMYFUNCTION("""COMPUTED_VALUE"""),"")</f>
        <v/>
      </c>
    </row>
    <row r="126">
      <c r="A126" s="143">
        <f>IFERROR(__xludf.DUMMYFUNCTION("""COMPUTED_VALUE"""),43377.0)</f>
        <v>43377</v>
      </c>
      <c r="B126">
        <f>IFERROR(__xludf.DUMMYFUNCTION("""COMPUTED_VALUE"""),1530288.0)</f>
        <v>1530288</v>
      </c>
      <c r="C126" t="str">
        <f>IFERROR(__xludf.DUMMYFUNCTION("""COMPUTED_VALUE"""),"3 Minute French - Course 4")</f>
        <v>3 Minute French - Course 4</v>
      </c>
      <c r="D126" t="str">
        <f>IFERROR(__xludf.DUMMYFUNCTION("""COMPUTED_VALUE"""),"Kieran Ball")</f>
        <v>Kieran Ball</v>
      </c>
      <c r="E126" t="str">
        <f>IFERROR(__xludf.DUMMYFUNCTION("""COMPUTED_VALUE"""),"Instructor Never Opted In")</f>
        <v>Instructor Never Opted In</v>
      </c>
      <c r="F126" t="str">
        <f>IFERROR(__xludf.DUMMYFUNCTION("""COMPUTED_VALUE"""),"Personal Development")</f>
        <v>Personal Development</v>
      </c>
      <c r="G126" t="str">
        <f>IFERROR(__xludf.DUMMYFUNCTION("""COMPUTED_VALUE"""),"Language Learning")</f>
        <v>Language Learning</v>
      </c>
      <c r="I126" s="140" t="str">
        <f>IFERROR(__xludf.DUMMYFUNCTION("""COMPUTED_VALUE"""),"")</f>
        <v/>
      </c>
      <c r="K126" s="140" t="str">
        <f>IFERROR(__xludf.DUMMYFUNCTION("""COMPUTED_VALUE"""),"")</f>
        <v/>
      </c>
      <c r="Q126" s="145" t="str">
        <f>IFERROR(__xludf.DUMMYFUNCTION("""COMPUTED_VALUE"""),"Opt In Status was not verifyed before courses were added to the collection.")</f>
        <v>Opt In Status was not verifyed before courses were added to the collection.</v>
      </c>
    </row>
    <row r="127">
      <c r="A127" s="143">
        <f>IFERROR(__xludf.DUMMYFUNCTION("""COMPUTED_VALUE"""),43377.0)</f>
        <v>43377</v>
      </c>
      <c r="B127">
        <f>IFERROR(__xludf.DUMMYFUNCTION("""COMPUTED_VALUE"""),1201004.0)</f>
        <v>1201004</v>
      </c>
      <c r="C127" t="str">
        <f>IFERROR(__xludf.DUMMYFUNCTION("""COMPUTED_VALUE"""),"3 Minute French - Course 3")</f>
        <v>3 Minute French - Course 3</v>
      </c>
      <c r="D127" t="str">
        <f>IFERROR(__xludf.DUMMYFUNCTION("""COMPUTED_VALUE"""),"Kieran Ball")</f>
        <v>Kieran Ball</v>
      </c>
      <c r="E127" t="str">
        <f>IFERROR(__xludf.DUMMYFUNCTION("""COMPUTED_VALUE"""),"Instructor Never Opted In")</f>
        <v>Instructor Never Opted In</v>
      </c>
      <c r="F127" t="str">
        <f>IFERROR(__xludf.DUMMYFUNCTION("""COMPUTED_VALUE"""),"Personal Development")</f>
        <v>Personal Development</v>
      </c>
      <c r="G127" t="str">
        <f>IFERROR(__xludf.DUMMYFUNCTION("""COMPUTED_VALUE"""),"Language Learning")</f>
        <v>Language Learning</v>
      </c>
      <c r="I127" s="140" t="str">
        <f>IFERROR(__xludf.DUMMYFUNCTION("""COMPUTED_VALUE"""),"")</f>
        <v/>
      </c>
      <c r="K127" s="140" t="str">
        <f>IFERROR(__xludf.DUMMYFUNCTION("""COMPUTED_VALUE"""),"")</f>
        <v/>
      </c>
      <c r="Q127" s="145" t="str">
        <f>IFERROR(__xludf.DUMMYFUNCTION("""COMPUTED_VALUE"""),"Opt In Status was not verifyed before courses were added to the collection.")</f>
        <v>Opt In Status was not verifyed before courses were added to the collection.</v>
      </c>
    </row>
    <row r="128">
      <c r="A128" s="143">
        <f>IFERROR(__xludf.DUMMYFUNCTION("""COMPUTED_VALUE"""),43377.0)</f>
        <v>43377</v>
      </c>
      <c r="B128">
        <f>IFERROR(__xludf.DUMMYFUNCTION("""COMPUTED_VALUE"""),1093956.0)</f>
        <v>1093956</v>
      </c>
      <c r="C128" t="str">
        <f>IFERROR(__xludf.DUMMYFUNCTION("""COMPUTED_VALUE"""),"3 Minute French - Course 2")</f>
        <v>3 Minute French - Course 2</v>
      </c>
      <c r="D128" t="str">
        <f>IFERROR(__xludf.DUMMYFUNCTION("""COMPUTED_VALUE"""),"Kieran Ball")</f>
        <v>Kieran Ball</v>
      </c>
      <c r="E128" t="str">
        <f>IFERROR(__xludf.DUMMYFUNCTION("""COMPUTED_VALUE"""),"Instructor Never Opted In")</f>
        <v>Instructor Never Opted In</v>
      </c>
      <c r="F128" t="str">
        <f>IFERROR(__xludf.DUMMYFUNCTION("""COMPUTED_VALUE"""),"Personal Development")</f>
        <v>Personal Development</v>
      </c>
      <c r="G128" t="str">
        <f>IFERROR(__xludf.DUMMYFUNCTION("""COMPUTED_VALUE"""),"Language Learning")</f>
        <v>Language Learning</v>
      </c>
      <c r="H128" s="140">
        <f>IFERROR(__xludf.DUMMYFUNCTION("""COMPUTED_VALUE"""),293814.0)</f>
        <v>293814</v>
      </c>
      <c r="I128" s="140" t="str">
        <f>IFERROR(__xludf.DUMMYFUNCTION("""COMPUTED_VALUE"""),"")</f>
        <v/>
      </c>
      <c r="K128" s="140" t="str">
        <f>IFERROR(__xludf.DUMMYFUNCTION("""COMPUTED_VALUE"""),"")</f>
        <v/>
      </c>
      <c r="Q128" s="145" t="str">
        <f>IFERROR(__xludf.DUMMYFUNCTION("""COMPUTED_VALUE"""),"Opt In Status was not verifyed before courses were added to the collection.")</f>
        <v>Opt In Status was not verifyed before courses were added to the collection.</v>
      </c>
    </row>
    <row r="129">
      <c r="A129" s="143">
        <f>IFERROR(__xludf.DUMMYFUNCTION("""COMPUTED_VALUE"""),43377.0)</f>
        <v>43377</v>
      </c>
      <c r="B129">
        <f>IFERROR(__xludf.DUMMYFUNCTION("""COMPUTED_VALUE"""),949846.0)</f>
        <v>949846</v>
      </c>
      <c r="C129" t="str">
        <f>IFERROR(__xludf.DUMMYFUNCTION("""COMPUTED_VALUE"""),"3 Minute French - Course 1")</f>
        <v>3 Minute French - Course 1</v>
      </c>
      <c r="D129" t="str">
        <f>IFERROR(__xludf.DUMMYFUNCTION("""COMPUTED_VALUE"""),"Kieran Ball")</f>
        <v>Kieran Ball</v>
      </c>
      <c r="E129" t="str">
        <f>IFERROR(__xludf.DUMMYFUNCTION("""COMPUTED_VALUE"""),"Instructor Never Opted In")</f>
        <v>Instructor Never Opted In</v>
      </c>
      <c r="F129" t="str">
        <f>IFERROR(__xludf.DUMMYFUNCTION("""COMPUTED_VALUE"""),"Personal Development")</f>
        <v>Personal Development</v>
      </c>
      <c r="G129" t="str">
        <f>IFERROR(__xludf.DUMMYFUNCTION("""COMPUTED_VALUE"""),"Language Learning")</f>
        <v>Language Learning</v>
      </c>
      <c r="H129" s="140">
        <f>IFERROR(__xludf.DUMMYFUNCTION("""COMPUTED_VALUE"""),293814.0)</f>
        <v>293814</v>
      </c>
      <c r="I129" s="140" t="str">
        <f>IFERROR(__xludf.DUMMYFUNCTION("""COMPUTED_VALUE"""),"")</f>
        <v/>
      </c>
      <c r="K129" s="140" t="str">
        <f>IFERROR(__xludf.DUMMYFUNCTION("""COMPUTED_VALUE"""),"")</f>
        <v/>
      </c>
      <c r="Q129" s="145" t="str">
        <f>IFERROR(__xludf.DUMMYFUNCTION("""COMPUTED_VALUE"""),"Opt In Status was not verifyed before courses were added to the collection.")</f>
        <v>Opt In Status was not verifyed before courses were added to the collection.</v>
      </c>
    </row>
    <row r="130">
      <c r="A130" s="143">
        <f>IFERROR(__xludf.DUMMYFUNCTION("""COMPUTED_VALUE"""),43377.0)</f>
        <v>43377</v>
      </c>
      <c r="B130">
        <f>IFERROR(__xludf.DUMMYFUNCTION("""COMPUTED_VALUE"""),1127784.0)</f>
        <v>1127784</v>
      </c>
      <c r="C130" t="str">
        <f>IFERROR(__xludf.DUMMYFUNCTION("""COMPUTED_VALUE"""),"Pass the ITIL Foundations Exam")</f>
        <v>Pass the ITIL Foundations Exam</v>
      </c>
      <c r="D130" t="str">
        <f>IFERROR(__xludf.DUMMYFUNCTION("""COMPUTED_VALUE"""),"Joseph Phillips")</f>
        <v>Joseph Phillips</v>
      </c>
      <c r="E130" t="str">
        <f>IFERROR(__xludf.DUMMYFUNCTION("""COMPUTED_VALUE"""),"Instructor Practices")</f>
        <v>Instructor Practices</v>
      </c>
      <c r="F130" t="str">
        <f>IFERROR(__xludf.DUMMYFUNCTION("""COMPUTED_VALUE"""),"IT and Software")</f>
        <v>IT and Software</v>
      </c>
      <c r="G130" t="str">
        <f>IFERROR(__xludf.DUMMYFUNCTION("""COMPUTED_VALUE"""),"IT Certifications")</f>
        <v>IT Certifications</v>
      </c>
      <c r="H130" s="140">
        <f>IFERROR(__xludf.DUMMYFUNCTION("""COMPUTED_VALUE"""),1076296.0)</f>
        <v>1076296</v>
      </c>
      <c r="I130" s="140" t="str">
        <f>IFERROR(__xludf.DUMMYFUNCTION("""COMPUTED_VALUE"""),"")</f>
        <v/>
      </c>
      <c r="J130" s="140">
        <f>IFERROR(__xludf.DUMMYFUNCTION("""COMPUTED_VALUE"""),1253974.0)</f>
        <v>1253974</v>
      </c>
      <c r="K130" s="140" t="str">
        <f>IFERROR(__xludf.DUMMYFUNCTION("""COMPUTED_VALUE"""),"")</f>
        <v/>
      </c>
    </row>
    <row r="131">
      <c r="A131" s="143">
        <f>IFERROR(__xludf.DUMMYFUNCTION("""COMPUTED_VALUE"""),43375.0)</f>
        <v>43375</v>
      </c>
      <c r="B131">
        <f>IFERROR(__xludf.DUMMYFUNCTION("""COMPUTED_VALUE"""),1292440.0)</f>
        <v>1292440</v>
      </c>
      <c r="C131" t="str">
        <f>IFERROR(__xludf.DUMMYFUNCTION("""COMPUTED_VALUE"""),"Learn Oracle Performance Tuning &amp; Optimization from Scratch")</f>
        <v>Learn Oracle Performance Tuning &amp; Optimization from Scratch</v>
      </c>
      <c r="D131" t="str">
        <f>IFERROR(__xludf.DUMMYFUNCTION("""COMPUTED_VALUE"""),"Easy Learning")</f>
        <v>Easy Learning</v>
      </c>
      <c r="E131" t="str">
        <f>IFERROR(__xludf.DUMMYFUNCTION("""COMPUTED_VALUE"""),"Instructor Practices")</f>
        <v>Instructor Practices</v>
      </c>
      <c r="F131" t="str">
        <f>IFERROR(__xludf.DUMMYFUNCTION("""COMPUTED_VALUE"""),"IT and Software")</f>
        <v>IT and Software</v>
      </c>
      <c r="G131" t="str">
        <f>IFERROR(__xludf.DUMMYFUNCTION("""COMPUTED_VALUE"""),"Operating Systems and Servers")</f>
        <v>Operating Systems and Servers</v>
      </c>
      <c r="I131" s="140" t="str">
        <f>IFERROR(__xludf.DUMMYFUNCTION("""COMPUTED_VALUE"""),"")</f>
        <v/>
      </c>
      <c r="K131" s="140" t="str">
        <f>IFERROR(__xludf.DUMMYFUNCTION("""COMPUTED_VALUE"""),"")</f>
        <v/>
      </c>
      <c r="Q131" s="145" t="str">
        <f>IFERROR(__xludf.DUMMYFUNCTION("""COMPUTED_VALUE"""),"Topic on Priority List- 1208886")</f>
        <v>Topic on Priority List- 1208886</v>
      </c>
    </row>
    <row r="132">
      <c r="A132" s="143">
        <f>IFERROR(__xludf.DUMMYFUNCTION("""COMPUTED_VALUE"""),43374.0)</f>
        <v>43374</v>
      </c>
      <c r="B132">
        <f>IFERROR(__xludf.DUMMYFUNCTION("""COMPUTED_VALUE"""),968482.0)</f>
        <v>968482</v>
      </c>
      <c r="C132" t="str">
        <f>IFERROR(__xludf.DUMMYFUNCTION("""COMPUTED_VALUE"""),"AWS Certified SysOps Administrator - Associate Level 2016")</f>
        <v>AWS Certified SysOps Administrator - Associate Level 2016</v>
      </c>
      <c r="D132" t="str">
        <f>IFERROR(__xludf.DUMMYFUNCTION("""COMPUTED_VALUE"""),"Linux Academy")</f>
        <v>Linux Academy</v>
      </c>
      <c r="E132" t="str">
        <f>IFERROR(__xludf.DUMMYFUNCTION("""COMPUTED_VALUE"""),"Instructor Request- Outdated")</f>
        <v>Instructor Request- Outdated</v>
      </c>
      <c r="F132" t="str">
        <f>IFERROR(__xludf.DUMMYFUNCTION("""COMPUTED_VALUE"""),"IT and Software")</f>
        <v>IT and Software</v>
      </c>
      <c r="G132" t="str">
        <f>IFERROR(__xludf.DUMMYFUNCTION("""COMPUTED_VALUE"""),"IT Certifications")</f>
        <v>IT Certifications</v>
      </c>
      <c r="H132">
        <f>IFERROR(__xludf.DUMMYFUNCTION("""COMPUTED_VALUE"""),1905402.0)</f>
        <v>1905402</v>
      </c>
      <c r="I132" s="140" t="str">
        <f>IFERROR(__xludf.DUMMYFUNCTION("""COMPUTED_VALUE"""),"")</f>
        <v/>
      </c>
      <c r="K132" s="140" t="str">
        <f>IFERROR(__xludf.DUMMYFUNCTION("""COMPUTED_VALUE"""),"")</f>
        <v/>
      </c>
    </row>
    <row r="133">
      <c r="A133" s="143">
        <f>IFERROR(__xludf.DUMMYFUNCTION("""COMPUTED_VALUE"""),43371.0)</f>
        <v>43371</v>
      </c>
      <c r="B133">
        <f>IFERROR(__xludf.DUMMYFUNCTION("""COMPUTED_VALUE"""),644938.0)</f>
        <v>644938</v>
      </c>
      <c r="C133" t="str">
        <f>IFERROR(__xludf.DUMMYFUNCTION("""COMPUTED_VALUE"""),"Master Google Drive")</f>
        <v>Master Google Drive</v>
      </c>
      <c r="D133" t="str">
        <f>IFERROR(__xludf.DUMMYFUNCTION("""COMPUTED_VALUE"""),"John Meixner")</f>
        <v>John Meixner</v>
      </c>
      <c r="E133" t="str">
        <f>IFERROR(__xludf.DUMMYFUNCTION("""COMPUTED_VALUE"""),"Instructor Request- Outdated")</f>
        <v>Instructor Request- Outdated</v>
      </c>
      <c r="F133" t="str">
        <f>IFERROR(__xludf.DUMMYFUNCTION("""COMPUTED_VALUE"""),"Office Productivity")</f>
        <v>Office Productivity</v>
      </c>
      <c r="G133" t="str">
        <f>IFERROR(__xludf.DUMMYFUNCTION("""COMPUTED_VALUE"""),"Collaboration")</f>
        <v>Collaboration</v>
      </c>
      <c r="H133">
        <f>IFERROR(__xludf.DUMMYFUNCTION("""COMPUTED_VALUE"""),175802.0)</f>
        <v>175802</v>
      </c>
      <c r="I133" s="140" t="str">
        <f>IFERROR(__xludf.DUMMYFUNCTION("""COMPUTED_VALUE"""),"")</f>
        <v/>
      </c>
      <c r="J133" s="140">
        <f>IFERROR(__xludf.DUMMYFUNCTION("""COMPUTED_VALUE"""),317408.0)</f>
        <v>317408</v>
      </c>
      <c r="K133" s="140" t="str">
        <f>IFERROR(__xludf.DUMMYFUNCTION("""COMPUTED_VALUE"""),"")</f>
        <v/>
      </c>
    </row>
    <row r="134">
      <c r="A134" s="143">
        <f>IFERROR(__xludf.DUMMYFUNCTION("""COMPUTED_VALUE"""),43371.0)</f>
        <v>43371</v>
      </c>
      <c r="B134">
        <f>IFERROR(__xludf.DUMMYFUNCTION("""COMPUTED_VALUE"""),622586.0)</f>
        <v>622586</v>
      </c>
      <c r="C134" t="str">
        <f>IFERROR(__xludf.DUMMYFUNCTION("""COMPUTED_VALUE"""),"Master Gmail")</f>
        <v>Master Gmail</v>
      </c>
      <c r="D134" t="str">
        <f>IFERROR(__xludf.DUMMYFUNCTION("""COMPUTED_VALUE"""),"John Meixner")</f>
        <v>John Meixner</v>
      </c>
      <c r="E134" t="str">
        <f>IFERROR(__xludf.DUMMYFUNCTION("""COMPUTED_VALUE"""),"Instructor Request- Outdated")</f>
        <v>Instructor Request- Outdated</v>
      </c>
      <c r="F134" t="str">
        <f>IFERROR(__xludf.DUMMYFUNCTION("""COMPUTED_VALUE"""),"Office Productivity")</f>
        <v>Office Productivity</v>
      </c>
      <c r="G134" t="str">
        <f>IFERROR(__xludf.DUMMYFUNCTION("""COMPUTED_VALUE"""),"Email and Productivity")</f>
        <v>Email and Productivity</v>
      </c>
      <c r="H134">
        <f>IFERROR(__xludf.DUMMYFUNCTION("""COMPUTED_VALUE"""),33524.0)</f>
        <v>33524</v>
      </c>
      <c r="I134" s="140" t="str">
        <f>IFERROR(__xludf.DUMMYFUNCTION("""COMPUTED_VALUE"""),"")</f>
        <v/>
      </c>
      <c r="K134" s="140" t="str">
        <f>IFERROR(__xludf.DUMMYFUNCTION("""COMPUTED_VALUE"""),"")</f>
        <v/>
      </c>
    </row>
    <row r="135">
      <c r="A135" s="143">
        <f>IFERROR(__xludf.DUMMYFUNCTION("""COMPUTED_VALUE"""),43371.0)</f>
        <v>43371</v>
      </c>
      <c r="B135">
        <f>IFERROR(__xludf.DUMMYFUNCTION("""COMPUTED_VALUE"""),639230.0)</f>
        <v>639230</v>
      </c>
      <c r="C135" t="str">
        <f>IFERROR(__xludf.DUMMYFUNCTION("""COMPUTED_VALUE"""),"Master Google Classroom")</f>
        <v>Master Google Classroom</v>
      </c>
      <c r="D135" t="str">
        <f>IFERROR(__xludf.DUMMYFUNCTION("""COMPUTED_VALUE"""),"John Meixner")</f>
        <v>John Meixner</v>
      </c>
      <c r="E135" t="str">
        <f>IFERROR(__xludf.DUMMYFUNCTION("""COMPUTED_VALUE"""),"Instructor Request- Outdated")</f>
        <v>Instructor Request- Outdated</v>
      </c>
      <c r="F135" t="str">
        <f>IFERROR(__xludf.DUMMYFUNCTION("""COMPUTED_VALUE"""),"Office Productivity")</f>
        <v>Office Productivity</v>
      </c>
      <c r="G135" t="str">
        <f>IFERROR(__xludf.DUMMYFUNCTION("""COMPUTED_VALUE"""),"Collaboration")</f>
        <v>Collaboration</v>
      </c>
      <c r="I135" s="140" t="str">
        <f>IFERROR(__xludf.DUMMYFUNCTION("""COMPUTED_VALUE"""),"")</f>
        <v/>
      </c>
      <c r="K135" s="140" t="str">
        <f>IFERROR(__xludf.DUMMYFUNCTION("""COMPUTED_VALUE"""),"")</f>
        <v/>
      </c>
      <c r="L135" s="145" t="str">
        <f>IFERROR(__xludf.DUMMYFUNCTION("""COMPUTED_VALUE"""),"Low Demand")</f>
        <v>Low Demand</v>
      </c>
      <c r="Q135" t="str">
        <f>IFERROR(__xludf.DUMMYFUNCTION("""COMPUTED_VALUE"""),"Low Demand")</f>
        <v>Low Demand</v>
      </c>
    </row>
    <row r="136">
      <c r="A136" s="143">
        <f>IFERROR(__xludf.DUMMYFUNCTION("""COMPUTED_VALUE"""),43369.0)</f>
        <v>43369</v>
      </c>
      <c r="B136" s="140">
        <f>IFERROR(__xludf.DUMMYFUNCTION("""COMPUTED_VALUE"""),260016.0)</f>
        <v>260016</v>
      </c>
      <c r="C136" s="142" t="str">
        <f>IFERROR(__xludf.DUMMYFUNCTION("""COMPUTED_VALUE"""),"Server 2012 R2 - Hands-on Training Part I")</f>
        <v>Server 2012 R2 - Hands-on Training Part I</v>
      </c>
      <c r="D136" s="142" t="str">
        <f>IFERROR(__xludf.DUMMYFUNCTION("""COMPUTED_VALUE"""),"Professor K")</f>
        <v>Professor K</v>
      </c>
      <c r="E136" t="str">
        <f>IFERROR(__xludf.DUMMYFUNCTION("""COMPUTED_VALUE"""),"Instructor Practices")</f>
        <v>Instructor Practices</v>
      </c>
      <c r="F136" t="str">
        <f>IFERROR(__xludf.DUMMYFUNCTION("""COMPUTED_VALUE"""),"IT and Software")</f>
        <v>IT and Software</v>
      </c>
      <c r="G136" t="str">
        <f>IFERROR(__xludf.DUMMYFUNCTION("""COMPUTED_VALUE"""),"Operating Systems and Servers")</f>
        <v>Operating Systems and Servers</v>
      </c>
      <c r="H136">
        <f>IFERROR(__xludf.DUMMYFUNCTION("""COMPUTED_VALUE"""),687586.0)</f>
        <v>687586</v>
      </c>
      <c r="I136" s="140" t="str">
        <f>IFERROR(__xludf.DUMMYFUNCTION("""COMPUTED_VALUE"""),"")</f>
        <v/>
      </c>
      <c r="J136">
        <f>IFERROR(__xludf.DUMMYFUNCTION("""COMPUTED_VALUE"""),631827.0)</f>
        <v>631827</v>
      </c>
      <c r="K136" s="140" t="str">
        <f>IFERROR(__xludf.DUMMYFUNCTION("""COMPUTED_VALUE"""),"")</f>
        <v/>
      </c>
    </row>
    <row r="137">
      <c r="A137" s="143">
        <f>IFERROR(__xludf.DUMMYFUNCTION("""COMPUTED_VALUE"""),43367.0)</f>
        <v>43367</v>
      </c>
      <c r="B137" s="140">
        <f>IFERROR(__xludf.DUMMYFUNCTION("""COMPUTED_VALUE"""),1518164.0)</f>
        <v>1518164</v>
      </c>
      <c r="C137" s="142" t="str">
        <f>IFERROR(__xludf.DUMMYFUNCTION("""COMPUTED_VALUE"""),"Web Scraping Without a Single Line of Code!")</f>
        <v>Web Scraping Without a Single Line of Code!</v>
      </c>
      <c r="D137" t="str">
        <f>IFERROR(__xludf.DUMMYFUNCTION("""COMPUTED_VALUE"""),"Daniel Leeman")</f>
        <v>Daniel Leeman</v>
      </c>
      <c r="E137" t="str">
        <f>IFERROR(__xludf.DUMMYFUNCTION("""COMPUTED_VALUE"""),"Instructor Request- Outdated")</f>
        <v>Instructor Request- Outdated</v>
      </c>
      <c r="F137" t="str">
        <f>IFERROR(__xludf.DUMMYFUNCTION("""COMPUTED_VALUE"""),"Development")</f>
        <v>Development</v>
      </c>
      <c r="G137" t="str">
        <f>IFERROR(__xludf.DUMMYFUNCTION("""COMPUTED_VALUE"""),"Programming")</f>
        <v>Programming</v>
      </c>
      <c r="I137" s="140" t="str">
        <f>IFERROR(__xludf.DUMMYFUNCTION("""COMPUTED_VALUE"""),"")</f>
        <v/>
      </c>
      <c r="K137" s="140" t="str">
        <f>IFERROR(__xludf.DUMMYFUNCTION("""COMPUTED_VALUE"""),"")</f>
        <v/>
      </c>
    </row>
    <row r="138">
      <c r="A138" s="143">
        <f>IFERROR(__xludf.DUMMYFUNCTION("""COMPUTED_VALUE"""),43364.0)</f>
        <v>43364</v>
      </c>
      <c r="B138" s="140">
        <f>IFERROR(__xludf.DUMMYFUNCTION("""COMPUTED_VALUE"""),1172114.0)</f>
        <v>1172114</v>
      </c>
      <c r="C138" s="142" t="str">
        <f>IFERROR(__xludf.DUMMYFUNCTION("""COMPUTED_VALUE"""),"AWS Certified Solutions Architect (associate)")</f>
        <v>AWS Certified Solutions Architect (associate)</v>
      </c>
      <c r="D138" t="str">
        <f>IFERROR(__xludf.DUMMYFUNCTION("""COMPUTED_VALUE"""),"Linux Academy")</f>
        <v>Linux Academy</v>
      </c>
      <c r="E138" t="str">
        <f>IFERROR(__xludf.DUMMYFUNCTION("""COMPUTED_VALUE"""),"Instructor Request- Outdated")</f>
        <v>Instructor Request- Outdated</v>
      </c>
      <c r="F138" t="str">
        <f>IFERROR(__xludf.DUMMYFUNCTION("""COMPUTED_VALUE"""),"IT and Software")</f>
        <v>IT and Software</v>
      </c>
      <c r="G138" t="str">
        <f>IFERROR(__xludf.DUMMYFUNCTION("""COMPUTED_VALUE"""),"It Certifications")</f>
        <v>It Certifications</v>
      </c>
      <c r="H138">
        <f>IFERROR(__xludf.DUMMYFUNCTION("""COMPUTED_VALUE"""),1845824.0)</f>
        <v>1845824</v>
      </c>
      <c r="I138" s="140" t="str">
        <f>IFERROR(__xludf.DUMMYFUNCTION("""COMPUTED_VALUE"""),"")</f>
        <v/>
      </c>
      <c r="K138" s="140" t="str">
        <f>IFERROR(__xludf.DUMMYFUNCTION("""COMPUTED_VALUE"""),"")</f>
        <v/>
      </c>
    </row>
    <row r="139">
      <c r="A139" s="143">
        <f>IFERROR(__xludf.DUMMYFUNCTION("""COMPUTED_VALUE"""),43351.0)</f>
        <v>43351</v>
      </c>
      <c r="B139" s="140">
        <f>IFERROR(__xludf.DUMMYFUNCTION("""COMPUTED_VALUE"""),1014420.0)</f>
        <v>1014420</v>
      </c>
      <c r="C139" s="142" t="str">
        <f>IFERROR(__xludf.DUMMYFUNCTION("""COMPUTED_VALUE"""),"Dealing with Change and Building Resilience")</f>
        <v>Dealing with Change and Building Resilience</v>
      </c>
      <c r="D139" t="str">
        <f>IFERROR(__xludf.DUMMYFUNCTION("""COMPUTED_VALUE"""),"Ms Clare Edwards")</f>
        <v>Ms Clare Edwards</v>
      </c>
      <c r="E139" t="str">
        <f>IFERROR(__xludf.DUMMYFUNCTION("""COMPUTED_VALUE"""),"Instructor Request- Revenue")</f>
        <v>Instructor Request- Revenue</v>
      </c>
      <c r="F139" t="str">
        <f>IFERROR(__xludf.DUMMYFUNCTION("""COMPUTED_VALUE"""),"Personal Well-Being")</f>
        <v>Personal Well-Being</v>
      </c>
      <c r="G139" t="str">
        <f>IFERROR(__xludf.DUMMYFUNCTION("""COMPUTED_VALUE"""),"Personal Development")</f>
        <v>Personal Development</v>
      </c>
      <c r="H139">
        <f>IFERROR(__xludf.DUMMYFUNCTION("""COMPUTED_VALUE"""),172336.0)</f>
        <v>172336</v>
      </c>
      <c r="I139" s="140" t="str">
        <f>IFERROR(__xludf.DUMMYFUNCTION("""COMPUTED_VALUE"""),"")</f>
        <v/>
      </c>
      <c r="J139" s="140">
        <f>IFERROR(__xludf.DUMMYFUNCTION("""COMPUTED_VALUE"""),484366.0)</f>
        <v>484366</v>
      </c>
      <c r="K139" s="140" t="str">
        <f>IFERROR(__xludf.DUMMYFUNCTION("""COMPUTED_VALUE"""),"")</f>
        <v/>
      </c>
      <c r="Q139" t="str">
        <f>IFERROR(__xludf.DUMMYFUNCTION("""COMPUTED_VALUE"""),"Course removal requested in 2017. Scheduled removal was 1/31/18 but it remained in the collection. ")</f>
        <v>Course removal requested in 2017. Scheduled removal was 1/31/18 but it remained in the collection. </v>
      </c>
    </row>
    <row r="140">
      <c r="A140" s="143">
        <f>IFERROR(__xludf.DUMMYFUNCTION("""COMPUTED_VALUE"""),43350.0)</f>
        <v>43350</v>
      </c>
      <c r="B140" s="140">
        <f>IFERROR(__xludf.DUMMYFUNCTION("""COMPUTED_VALUE"""),642612.0)</f>
        <v>642612</v>
      </c>
      <c r="C140" t="str">
        <f>IFERROR(__xludf.DUMMYFUNCTION("""COMPUTED_VALUE"""),"CompTIA Network+ Cert. (N10-006): The Total Course.")</f>
        <v>CompTIA Network+ Cert. (N10-006): The Total Course.</v>
      </c>
      <c r="D140" t="str">
        <f>IFERROR(__xludf.DUMMYFUNCTION("""COMPUTED_VALUE"""),"Total Seminars • 100,000+ Students")</f>
        <v>Total Seminars • 100,000+ Students</v>
      </c>
      <c r="E140" t="str">
        <f>IFERROR(__xludf.DUMMYFUNCTION("""COMPUTED_VALUE"""),"Below Quality Standards- Outdated")</f>
        <v>Below Quality Standards- Outdated</v>
      </c>
      <c r="F140" s="142" t="str">
        <f>IFERROR(__xludf.DUMMYFUNCTION("""COMPUTED_VALUE"""),"IT and Software")</f>
        <v>IT and Software</v>
      </c>
      <c r="G140" t="str">
        <f>IFERROR(__xludf.DUMMYFUNCTION("""COMPUTED_VALUE"""),"It Certifications")</f>
        <v>It Certifications</v>
      </c>
      <c r="H140">
        <f>IFERROR(__xludf.DUMMYFUNCTION("""COMPUTED_VALUE"""),1780698.0)</f>
        <v>1780698</v>
      </c>
      <c r="I140" s="140" t="str">
        <f>IFERROR(__xludf.DUMMYFUNCTION("""COMPUTED_VALUE"""),"")</f>
        <v/>
      </c>
      <c r="K140" s="140" t="str">
        <f>IFERROR(__xludf.DUMMYFUNCTION("""COMPUTED_VALUE"""),"")</f>
        <v/>
      </c>
    </row>
    <row r="141">
      <c r="A141" s="143">
        <f>IFERROR(__xludf.DUMMYFUNCTION("""COMPUTED_VALUE"""),43350.0)</f>
        <v>43350</v>
      </c>
      <c r="B141" s="140">
        <f>IFERROR(__xludf.DUMMYFUNCTION("""COMPUTED_VALUE"""),1002342.0)</f>
        <v>1002342</v>
      </c>
      <c r="C141" t="str">
        <f>IFERROR(__xludf.DUMMYFUNCTION("""COMPUTED_VALUE"""),"CompTIA Network+ Cert. (N10-006): Practice Tests")</f>
        <v>CompTIA Network+ Cert. (N10-006): Practice Tests</v>
      </c>
      <c r="D141" t="str">
        <f>IFERROR(__xludf.DUMMYFUNCTION("""COMPUTED_VALUE"""),"Total Seminars • 100,000+ Students")</f>
        <v>Total Seminars • 100,000+ Students</v>
      </c>
      <c r="E141" t="str">
        <f>IFERROR(__xludf.DUMMYFUNCTION("""COMPUTED_VALUE"""),"Below Quality Standards- Outdated")</f>
        <v>Below Quality Standards- Outdated</v>
      </c>
      <c r="F141" s="142" t="str">
        <f>IFERROR(__xludf.DUMMYFUNCTION("""COMPUTED_VALUE"""),"IT and Software")</f>
        <v>IT and Software</v>
      </c>
      <c r="G141" t="str">
        <f>IFERROR(__xludf.DUMMYFUNCTION("""COMPUTED_VALUE"""),"It Certifications")</f>
        <v>It Certifications</v>
      </c>
      <c r="H141">
        <f>IFERROR(__xludf.DUMMYFUNCTION("""COMPUTED_VALUE"""),1789766.0)</f>
        <v>1789766</v>
      </c>
      <c r="I141" s="140" t="str">
        <f>IFERROR(__xludf.DUMMYFUNCTION("""COMPUTED_VALUE"""),"")</f>
        <v/>
      </c>
      <c r="K141" s="140" t="str">
        <f>IFERROR(__xludf.DUMMYFUNCTION("""COMPUTED_VALUE"""),"")</f>
        <v/>
      </c>
    </row>
    <row r="142">
      <c r="A142" s="143">
        <f>IFERROR(__xludf.DUMMYFUNCTION("""COMPUTED_VALUE"""),43347.0)</f>
        <v>43347</v>
      </c>
      <c r="B142" s="140">
        <f>IFERROR(__xludf.DUMMYFUNCTION("""COMPUTED_VALUE"""),1165412.0)</f>
        <v>1165412</v>
      </c>
      <c r="C142" t="str">
        <f>IFERROR(__xludf.DUMMYFUNCTION("""COMPUTED_VALUE"""),"")</f>
        <v/>
      </c>
      <c r="D142" t="str">
        <f>IFERROR(__xludf.DUMMYFUNCTION("""COMPUTED_VALUE"""),"Tomy Normen")</f>
        <v>Tomy Normen</v>
      </c>
      <c r="E142" t="str">
        <f>IFERROR(__xludf.DUMMYFUNCTION("""COMPUTED_VALUE"""),"Instructor Practices")</f>
        <v>Instructor Practices</v>
      </c>
      <c r="F142" s="142" t="str">
        <f>IFERROR(__xludf.DUMMYFUNCTION("""COMPUTED_VALUE"""),"Project Management and Operations")</f>
        <v>Project Management and Operations</v>
      </c>
      <c r="G142" s="142" t="str">
        <f>IFERROR(__xludf.DUMMYFUNCTION("""COMPUTED_VALUE"""),"Agile and Scrum")</f>
        <v>Agile and Scrum</v>
      </c>
      <c r="H142">
        <f>IFERROR(__xludf.DUMMYFUNCTION("""COMPUTED_VALUE"""),1043254.0)</f>
        <v>1043254</v>
      </c>
      <c r="I142" s="140" t="str">
        <f>IFERROR(__xludf.DUMMYFUNCTION("""COMPUTED_VALUE"""),"")</f>
        <v/>
      </c>
      <c r="K142" s="140" t="str">
        <f>IFERROR(__xludf.DUMMYFUNCTION("""COMPUTED_VALUE"""),"")</f>
        <v/>
      </c>
    </row>
    <row r="143">
      <c r="A143" s="143">
        <f>IFERROR(__xludf.DUMMYFUNCTION("""COMPUTED_VALUE"""),43343.0)</f>
        <v>43343</v>
      </c>
      <c r="B143" s="140">
        <f>IFERROR(__xludf.DUMMYFUNCTION("""COMPUTED_VALUE"""),604720.0)</f>
        <v>604720</v>
      </c>
      <c r="C143" t="str">
        <f>IFERROR(__xludf.DUMMYFUNCTION("""COMPUTED_VALUE"""),"")</f>
        <v/>
      </c>
      <c r="D143" t="str">
        <f>IFERROR(__xludf.DUMMYFUNCTION("""COMPUTED_VALUE"""),"infySEC Global")</f>
        <v>infySEC Global</v>
      </c>
      <c r="E143" t="str">
        <f>IFERROR(__xludf.DUMMYFUNCTION("""COMPUTED_VALUE"""),"Below Quality Standards- Low Rating")</f>
        <v>Below Quality Standards- Low Rating</v>
      </c>
      <c r="F143" s="142" t="str">
        <f>IFERROR(__xludf.DUMMYFUNCTION("""COMPUTED_VALUE"""),"IT and Software")</f>
        <v>IT and Software</v>
      </c>
      <c r="G143" s="142" t="str">
        <f>IFERROR(__xludf.DUMMYFUNCTION("""COMPUTED_VALUE"""),"Network and Security")</f>
        <v>Network and Security</v>
      </c>
      <c r="H143">
        <f>IFERROR(__xludf.DUMMYFUNCTION("""COMPUTED_VALUE"""),857010.0)</f>
        <v>857010</v>
      </c>
      <c r="I143" s="140" t="str">
        <f>IFERROR(__xludf.DUMMYFUNCTION("""COMPUTED_VALUE"""),"")</f>
        <v/>
      </c>
      <c r="J143">
        <f>IFERROR(__xludf.DUMMYFUNCTION("""COMPUTED_VALUE"""),614772.0)</f>
        <v>614772</v>
      </c>
      <c r="K143" s="140" t="str">
        <f>IFERROR(__xludf.DUMMYFUNCTION("""COMPUTED_VALUE"""),"")</f>
        <v/>
      </c>
    </row>
    <row r="144">
      <c r="A144" s="143">
        <f>IFERROR(__xludf.DUMMYFUNCTION("""COMPUTED_VALUE"""),43343.0)</f>
        <v>43343</v>
      </c>
      <c r="B144" s="140">
        <f>IFERROR(__xludf.DUMMYFUNCTION("""COMPUTED_VALUE"""),1338240.0)</f>
        <v>1338240</v>
      </c>
      <c r="C144" t="str">
        <f>IFERROR(__xludf.DUMMYFUNCTION("""COMPUTED_VALUE"""),"")</f>
        <v/>
      </c>
      <c r="D144" t="str">
        <f>IFERROR(__xludf.DUMMYFUNCTION("""COMPUTED_VALUE"""),"Joeel &amp; Natalie Rivera")</f>
        <v>Joeel &amp; Natalie Rivera</v>
      </c>
      <c r="E144" t="str">
        <f>IFERROR(__xludf.DUMMYFUNCTION("""COMPUTED_VALUE"""),"Below Quality Standards- Low Rating")</f>
        <v>Below Quality Standards- Low Rating</v>
      </c>
      <c r="F144" s="142" t="str">
        <f>IFERROR(__xludf.DUMMYFUNCTION("""COMPUTED_VALUE"""),"Personal Development")</f>
        <v>Personal Development</v>
      </c>
      <c r="G144" s="142" t="str">
        <f>IFERROR(__xludf.DUMMYFUNCTION("""COMPUTED_VALUE"""),"Personal Growth")</f>
        <v>Personal Growth</v>
      </c>
      <c r="H144">
        <f>IFERROR(__xludf.DUMMYFUNCTION("""COMPUTED_VALUE"""),372570.0)</f>
        <v>372570</v>
      </c>
      <c r="I144" s="140" t="str">
        <f>IFERROR(__xludf.DUMMYFUNCTION("""COMPUTED_VALUE"""),"")</f>
        <v/>
      </c>
      <c r="J144">
        <f>IFERROR(__xludf.DUMMYFUNCTION("""COMPUTED_VALUE"""),655608.0)</f>
        <v>655608</v>
      </c>
      <c r="K144" s="140" t="str">
        <f>IFERROR(__xludf.DUMMYFUNCTION("""COMPUTED_VALUE"""),"")</f>
        <v/>
      </c>
    </row>
    <row r="145">
      <c r="A145" s="143">
        <f>IFERROR(__xludf.DUMMYFUNCTION("""COMPUTED_VALUE"""),43343.0)</f>
        <v>43343</v>
      </c>
      <c r="B145" s="140">
        <f>IFERROR(__xludf.DUMMYFUNCTION("""COMPUTED_VALUE"""),1425762.0)</f>
        <v>1425762</v>
      </c>
      <c r="C145" t="str">
        <f>IFERROR(__xludf.DUMMYFUNCTION("""COMPUTED_VALUE"""),"")</f>
        <v/>
      </c>
      <c r="D145" t="str">
        <f>IFERROR(__xludf.DUMMYFUNCTION("""COMPUTED_VALUE"""),"Zeal Vora")</f>
        <v>Zeal Vora</v>
      </c>
      <c r="E145" t="str">
        <f>IFERROR(__xludf.DUMMYFUNCTION("""COMPUTED_VALUE"""),"Below Quality Standards- Low Rating")</f>
        <v>Below Quality Standards- Low Rating</v>
      </c>
      <c r="F145" s="142" t="str">
        <f>IFERROR(__xludf.DUMMYFUNCTION("""COMPUTED_VALUE"""),"IT and Software")</f>
        <v>IT and Software</v>
      </c>
      <c r="G145" s="142" t="str">
        <f>IFERROR(__xludf.DUMMYFUNCTION("""COMPUTED_VALUE"""),"IT Certifications")</f>
        <v>IT Certifications</v>
      </c>
      <c r="I145" s="140" t="str">
        <f>IFERROR(__xludf.DUMMYFUNCTION("""COMPUTED_VALUE"""),"")</f>
        <v/>
      </c>
      <c r="K145" s="140" t="str">
        <f>IFERROR(__xludf.DUMMYFUNCTION("""COMPUTED_VALUE"""),"")</f>
        <v/>
      </c>
      <c r="Q145" t="str">
        <f>IFERROR(__xludf.DUMMYFUNCTION("""COMPUTED_VALUE"""),"Topic on Priority List- 1546434")</f>
        <v>Topic on Priority List- 1546434</v>
      </c>
    </row>
    <row r="146">
      <c r="A146" s="143">
        <f>IFERROR(__xludf.DUMMYFUNCTION("""COMPUTED_VALUE"""),43343.0)</f>
        <v>43343</v>
      </c>
      <c r="B146" s="140">
        <f>IFERROR(__xludf.DUMMYFUNCTION("""COMPUTED_VALUE"""),1162682.0)</f>
        <v>1162682</v>
      </c>
      <c r="C146" t="str">
        <f>IFERROR(__xludf.DUMMYFUNCTION("""COMPUTED_VALUE"""),"")</f>
        <v/>
      </c>
      <c r="D146" t="str">
        <f>IFERROR(__xludf.DUMMYFUNCTION("""COMPUTED_VALUE"""),"Susmita Dutta")</f>
        <v>Susmita Dutta</v>
      </c>
      <c r="E146" t="str">
        <f>IFERROR(__xludf.DUMMYFUNCTION("""COMPUTED_VALUE"""),"Below Quality Standards- Low Rating")</f>
        <v>Below Quality Standards- Low Rating</v>
      </c>
      <c r="F146" s="142" t="str">
        <f>IFERROR(__xludf.DUMMYFUNCTION("""COMPUTED_VALUE"""),"Management")</f>
        <v>Management</v>
      </c>
      <c r="G146" s="142" t="str">
        <f>IFERROR(__xludf.DUMMYFUNCTION("""COMPUTED_VALUE"""),"Strategy")</f>
        <v>Strategy</v>
      </c>
      <c r="H146">
        <f>IFERROR(__xludf.DUMMYFUNCTION("""COMPUTED_VALUE"""),806626.0)</f>
        <v>806626</v>
      </c>
      <c r="I146" s="140" t="str">
        <f>IFERROR(__xludf.DUMMYFUNCTION("""COMPUTED_VALUE"""),"")</f>
        <v/>
      </c>
      <c r="J146">
        <f>IFERROR(__xludf.DUMMYFUNCTION("""COMPUTED_VALUE"""),1119698.0)</f>
        <v>1119698</v>
      </c>
      <c r="K146" s="140" t="str">
        <f>IFERROR(__xludf.DUMMYFUNCTION("""COMPUTED_VALUE"""),"")</f>
        <v/>
      </c>
    </row>
    <row r="147">
      <c r="A147" s="143">
        <f>IFERROR(__xludf.DUMMYFUNCTION("""COMPUTED_VALUE"""),43343.0)</f>
        <v>43343</v>
      </c>
      <c r="B147" s="140">
        <f>IFERROR(__xludf.DUMMYFUNCTION("""COMPUTED_VALUE"""),1280842.0)</f>
        <v>1280842</v>
      </c>
      <c r="C147" t="str">
        <f>IFERROR(__xludf.DUMMYFUNCTION("""COMPUTED_VALUE"""),"")</f>
        <v/>
      </c>
      <c r="D147" t="str">
        <f>IFERROR(__xludf.DUMMYFUNCTION("""COMPUTED_VALUE"""),"Joeel &amp; Natalie Rivera")</f>
        <v>Joeel &amp; Natalie Rivera</v>
      </c>
      <c r="E147" t="str">
        <f>IFERROR(__xludf.DUMMYFUNCTION("""COMPUTED_VALUE"""),"Below Quality Standards- Low Rating")</f>
        <v>Below Quality Standards- Low Rating</v>
      </c>
      <c r="F147" s="142" t="str">
        <f>IFERROR(__xludf.DUMMYFUNCTION("""COMPUTED_VALUE"""),"Management")</f>
        <v>Management</v>
      </c>
      <c r="G147" s="142" t="str">
        <f>IFERROR(__xludf.DUMMYFUNCTION("""COMPUTED_VALUE"""),"Communication")</f>
        <v>Communication</v>
      </c>
      <c r="H147">
        <f>IFERROR(__xludf.DUMMYFUNCTION("""COMPUTED_VALUE"""),852192.0)</f>
        <v>852192</v>
      </c>
      <c r="I147" s="140" t="str">
        <f>IFERROR(__xludf.DUMMYFUNCTION("""COMPUTED_VALUE"""),"")</f>
        <v/>
      </c>
      <c r="J147">
        <f>IFERROR(__xludf.DUMMYFUNCTION("""COMPUTED_VALUE"""),1361318.0)</f>
        <v>1361318</v>
      </c>
      <c r="K147" s="140" t="str">
        <f>IFERROR(__xludf.DUMMYFUNCTION("""COMPUTED_VALUE"""),"")</f>
        <v/>
      </c>
    </row>
    <row r="148">
      <c r="A148" s="143">
        <f>IFERROR(__xludf.DUMMYFUNCTION("""COMPUTED_VALUE"""),43343.0)</f>
        <v>43343</v>
      </c>
      <c r="B148" s="140">
        <f>IFERROR(__xludf.DUMMYFUNCTION("""COMPUTED_VALUE"""),701188.0)</f>
        <v>701188</v>
      </c>
      <c r="C148" t="str">
        <f>IFERROR(__xludf.DUMMYFUNCTION("""COMPUTED_VALUE"""),"")</f>
        <v/>
      </c>
      <c r="D148" t="str">
        <f>IFERROR(__xludf.DUMMYFUNCTION("""COMPUTED_VALUE"""),"Akshay Goel")</f>
        <v>Akshay Goel</v>
      </c>
      <c r="E148" t="str">
        <f>IFERROR(__xludf.DUMMYFUNCTION("""COMPUTED_VALUE"""),"Below Quality Standards- Low Rating")</f>
        <v>Below Quality Standards- Low Rating</v>
      </c>
      <c r="F148" s="142" t="str">
        <f>IFERROR(__xludf.DUMMYFUNCTION("""COMPUTED_VALUE"""),"Management")</f>
        <v>Management</v>
      </c>
      <c r="G148" s="142" t="str">
        <f>IFERROR(__xludf.DUMMYFUNCTION("""COMPUTED_VALUE"""),"Influence")</f>
        <v>Influence</v>
      </c>
      <c r="H148">
        <f>IFERROR(__xludf.DUMMYFUNCTION("""COMPUTED_VALUE"""),477888.0)</f>
        <v>477888</v>
      </c>
      <c r="I148" s="140" t="str">
        <f>IFERROR(__xludf.DUMMYFUNCTION("""COMPUTED_VALUE"""),"")</f>
        <v/>
      </c>
      <c r="J148">
        <f>IFERROR(__xludf.DUMMYFUNCTION("""COMPUTED_VALUE"""),1364336.0)</f>
        <v>1364336</v>
      </c>
      <c r="K148" s="140" t="str">
        <f>IFERROR(__xludf.DUMMYFUNCTION("""COMPUTED_VALUE"""),"")</f>
        <v/>
      </c>
    </row>
    <row r="149">
      <c r="A149" s="143">
        <f>IFERROR(__xludf.DUMMYFUNCTION("""COMPUTED_VALUE"""),43343.0)</f>
        <v>43343</v>
      </c>
      <c r="B149" s="140">
        <f>IFERROR(__xludf.DUMMYFUNCTION("""COMPUTED_VALUE"""),785066.0)</f>
        <v>785066</v>
      </c>
      <c r="C149" t="str">
        <f>IFERROR(__xludf.DUMMYFUNCTION("""COMPUTED_VALUE"""),"")</f>
        <v/>
      </c>
      <c r="D149" t="str">
        <f>IFERROR(__xludf.DUMMYFUNCTION("""COMPUTED_VALUE"""),"Rob Percival")</f>
        <v>Rob Percival</v>
      </c>
      <c r="E149" t="str">
        <f>IFERROR(__xludf.DUMMYFUNCTION("""COMPUTED_VALUE"""),"Below Quality Standards- Low Rating")</f>
        <v>Below Quality Standards- Low Rating</v>
      </c>
      <c r="F149" s="142" t="str">
        <f>IFERROR(__xludf.DUMMYFUNCTION("""COMPUTED_VALUE"""),"Development")</f>
        <v>Development</v>
      </c>
      <c r="G149" s="142" t="str">
        <f>IFERROR(__xludf.DUMMYFUNCTION("""COMPUTED_VALUE"""),"Databases")</f>
        <v>Databases</v>
      </c>
      <c r="H149">
        <f>IFERROR(__xludf.DUMMYFUNCTION("""COMPUTED_VALUE"""),1187016.0)</f>
        <v>1187016</v>
      </c>
      <c r="I149" s="140" t="str">
        <f>IFERROR(__xludf.DUMMYFUNCTION("""COMPUTED_VALUE"""),"")</f>
        <v/>
      </c>
      <c r="J149">
        <f>IFERROR(__xludf.DUMMYFUNCTION("""COMPUTED_VALUE"""),1405632.0)</f>
        <v>1405632</v>
      </c>
      <c r="K149" s="140" t="str">
        <f>IFERROR(__xludf.DUMMYFUNCTION("""COMPUTED_VALUE"""),"")</f>
        <v/>
      </c>
    </row>
    <row r="150">
      <c r="A150" s="143">
        <f>IFERROR(__xludf.DUMMYFUNCTION("""COMPUTED_VALUE"""),43343.0)</f>
        <v>43343</v>
      </c>
      <c r="B150" s="140">
        <f>IFERROR(__xludf.DUMMYFUNCTION("""COMPUTED_VALUE"""),870854.0)</f>
        <v>870854</v>
      </c>
      <c r="C150" t="str">
        <f>IFERROR(__xludf.DUMMYFUNCTION("""COMPUTED_VALUE"""),"")</f>
        <v/>
      </c>
      <c r="D150" t="str">
        <f>IFERROR(__xludf.DUMMYFUNCTION("""COMPUTED_VALUE"""),"Susmita Dutta")</f>
        <v>Susmita Dutta</v>
      </c>
      <c r="E150" t="str">
        <f>IFERROR(__xludf.DUMMYFUNCTION("""COMPUTED_VALUE"""),"Below Quality Standards- Low Rating")</f>
        <v>Below Quality Standards- Low Rating</v>
      </c>
      <c r="F150" s="142" t="str">
        <f>IFERROR(__xludf.DUMMYFUNCTION("""COMPUTED_VALUE"""),"Management")</f>
        <v>Management</v>
      </c>
      <c r="G150" s="142" t="str">
        <f>IFERROR(__xludf.DUMMYFUNCTION("""COMPUTED_VALUE"""),"Strategy")</f>
        <v>Strategy</v>
      </c>
      <c r="H150">
        <f>IFERROR(__xludf.DUMMYFUNCTION("""COMPUTED_VALUE"""),1065056.0)</f>
        <v>1065056</v>
      </c>
      <c r="I150" s="140" t="str">
        <f>IFERROR(__xludf.DUMMYFUNCTION("""COMPUTED_VALUE"""),"")</f>
        <v/>
      </c>
      <c r="J150">
        <f>IFERROR(__xludf.DUMMYFUNCTION("""COMPUTED_VALUE"""),1436714.0)</f>
        <v>1436714</v>
      </c>
      <c r="K150" s="140" t="str">
        <f>IFERROR(__xludf.DUMMYFUNCTION("""COMPUTED_VALUE"""),"")</f>
        <v/>
      </c>
    </row>
    <row r="151">
      <c r="A151" s="143">
        <f>IFERROR(__xludf.DUMMYFUNCTION("""COMPUTED_VALUE"""),43343.0)</f>
        <v>43343</v>
      </c>
      <c r="B151" s="140">
        <f>IFERROR(__xludf.DUMMYFUNCTION("""COMPUTED_VALUE"""),482996.0)</f>
        <v>482996</v>
      </c>
      <c r="C151" t="str">
        <f>IFERROR(__xludf.DUMMYFUNCTION("""COMPUTED_VALUE"""),"")</f>
        <v/>
      </c>
      <c r="D151" t="str">
        <f>IFERROR(__xludf.DUMMYFUNCTION("""COMPUTED_VALUE"""),"Stefano Messori")</f>
        <v>Stefano Messori</v>
      </c>
      <c r="E151" t="str">
        <f>IFERROR(__xludf.DUMMYFUNCTION("""COMPUTED_VALUE"""),"Below Quality Standards- Low Rating")</f>
        <v>Below Quality Standards- Low Rating</v>
      </c>
      <c r="F151" s="142" t="str">
        <f>IFERROR(__xludf.DUMMYFUNCTION("""COMPUTED_VALUE"""),"Management")</f>
        <v>Management</v>
      </c>
      <c r="G151" s="142" t="str">
        <f>IFERROR(__xludf.DUMMYFUNCTION("""COMPUTED_VALUE"""),"Strategy")</f>
        <v>Strategy</v>
      </c>
      <c r="H151">
        <f>IFERROR(__xludf.DUMMYFUNCTION("""COMPUTED_VALUE"""),1065056.0)</f>
        <v>1065056</v>
      </c>
      <c r="I151" s="140" t="str">
        <f>IFERROR(__xludf.DUMMYFUNCTION("""COMPUTED_VALUE"""),"")</f>
        <v/>
      </c>
      <c r="J151">
        <f>IFERROR(__xludf.DUMMYFUNCTION("""COMPUTED_VALUE"""),1436714.0)</f>
        <v>1436714</v>
      </c>
      <c r="K151" s="140" t="str">
        <f>IFERROR(__xludf.DUMMYFUNCTION("""COMPUTED_VALUE"""),"")</f>
        <v/>
      </c>
    </row>
    <row r="152">
      <c r="A152" s="143">
        <f>IFERROR(__xludf.DUMMYFUNCTION("""COMPUTED_VALUE"""),43343.0)</f>
        <v>43343</v>
      </c>
      <c r="B152" s="140">
        <f>IFERROR(__xludf.DUMMYFUNCTION("""COMPUTED_VALUE"""),1136074.0)</f>
        <v>1136074</v>
      </c>
      <c r="C152" t="str">
        <f>IFERROR(__xludf.DUMMYFUNCTION("""COMPUTED_VALUE"""),"")</f>
        <v/>
      </c>
      <c r="D152" t="str">
        <f>IFERROR(__xludf.DUMMYFUNCTION("""COMPUTED_VALUE"""),"Toshendra Sharma")</f>
        <v>Toshendra Sharma</v>
      </c>
      <c r="E152" t="str">
        <f>IFERROR(__xludf.DUMMYFUNCTION("""COMPUTED_VALUE"""),"Below Quality Standards- Low Rating")</f>
        <v>Below Quality Standards- Low Rating</v>
      </c>
      <c r="F152" s="142" t="str">
        <f>IFERROR(__xludf.DUMMYFUNCTION("""COMPUTED_VALUE"""),"Development")</f>
        <v>Development</v>
      </c>
      <c r="G152" s="142" t="str">
        <f>IFERROR(__xludf.DUMMYFUNCTION("""COMPUTED_VALUE"""),"Databases")</f>
        <v>Databases</v>
      </c>
      <c r="H152">
        <f>IFERROR(__xludf.DUMMYFUNCTION("""COMPUTED_VALUE"""),1324950.0)</f>
        <v>1324950</v>
      </c>
      <c r="I152" s="140" t="str">
        <f>IFERROR(__xludf.DUMMYFUNCTION("""COMPUTED_VALUE"""),"")</f>
        <v/>
      </c>
      <c r="J152">
        <f>IFERROR(__xludf.DUMMYFUNCTION("""COMPUTED_VALUE"""),1466612.0)</f>
        <v>1466612</v>
      </c>
      <c r="K152" s="140" t="str">
        <f>IFERROR(__xludf.DUMMYFUNCTION("""COMPUTED_VALUE"""),"")</f>
        <v/>
      </c>
    </row>
    <row r="153">
      <c r="A153" s="143">
        <f>IFERROR(__xludf.DUMMYFUNCTION("""COMPUTED_VALUE"""),43343.0)</f>
        <v>43343</v>
      </c>
      <c r="B153" s="140">
        <f>IFERROR(__xludf.DUMMYFUNCTION("""COMPUTED_VALUE"""),73030.0)</f>
        <v>73030</v>
      </c>
      <c r="C153" t="str">
        <f>IFERROR(__xludf.DUMMYFUNCTION("""COMPUTED_VALUE"""),"")</f>
        <v/>
      </c>
      <c r="D153" t="str">
        <f>IFERROR(__xludf.DUMMYFUNCTION("""COMPUTED_VALUE"""),"Fitch Learning")</f>
        <v>Fitch Learning</v>
      </c>
      <c r="E153" t="str">
        <f>IFERROR(__xludf.DUMMYFUNCTION("""COMPUTED_VALUE"""),"Instructor Request- Outdated")</f>
        <v>Instructor Request- Outdated</v>
      </c>
      <c r="F153" s="142" t="str">
        <f>IFERROR(__xludf.DUMMYFUNCTION("""COMPUTED_VALUE"""),"Finance and Accounting")</f>
        <v>Finance and Accounting</v>
      </c>
      <c r="G153" s="142" t="str">
        <f>IFERROR(__xludf.DUMMYFUNCTION("""COMPUTED_VALUE"""),"Financial Modeling and Analysis")</f>
        <v>Financial Modeling and Analysis</v>
      </c>
      <c r="H153">
        <f>IFERROR(__xludf.DUMMYFUNCTION("""COMPUTED_VALUE"""),658766.0)</f>
        <v>658766</v>
      </c>
      <c r="I153" s="140" t="str">
        <f>IFERROR(__xludf.DUMMYFUNCTION("""COMPUTED_VALUE"""),"")</f>
        <v/>
      </c>
      <c r="K153" s="140" t="str">
        <f>IFERROR(__xludf.DUMMYFUNCTION("""COMPUTED_VALUE"""),"")</f>
        <v/>
      </c>
    </row>
    <row r="154">
      <c r="A154" s="143">
        <f>IFERROR(__xludf.DUMMYFUNCTION("""COMPUTED_VALUE"""),43343.0)</f>
        <v>43343</v>
      </c>
      <c r="B154" s="140">
        <f>IFERROR(__xludf.DUMMYFUNCTION("""COMPUTED_VALUE"""),1431210.0)</f>
        <v>1431210</v>
      </c>
      <c r="C154" t="str">
        <f>IFERROR(__xludf.DUMMYFUNCTION("""COMPUTED_VALUE"""),"")</f>
        <v/>
      </c>
      <c r="D154" t="str">
        <f>IFERROR(__xludf.DUMMYFUNCTION("""COMPUTED_VALUE"""),"Adrian Cantrill")</f>
        <v>Adrian Cantrill</v>
      </c>
      <c r="E154" t="str">
        <f>IFERROR(__xludf.DUMMYFUNCTION("""COMPUTED_VALUE"""),"Instructor Request- Personal Legal Issues")</f>
        <v>Instructor Request- Personal Legal Issues</v>
      </c>
      <c r="F154" s="142" t="str">
        <f>IFERROR(__xludf.DUMMYFUNCTION("""COMPUTED_VALUE"""),"IT and Software")</f>
        <v>IT and Software</v>
      </c>
      <c r="G154" s="142" t="str">
        <f>IFERROR(__xludf.DUMMYFUNCTION("""COMPUTED_VALUE"""),"IT Certifications")</f>
        <v>IT Certifications</v>
      </c>
      <c r="H154">
        <f>IFERROR(__xludf.DUMMYFUNCTION("""COMPUTED_VALUE"""),1180172.0)</f>
        <v>1180172</v>
      </c>
      <c r="I154" s="140" t="str">
        <f>IFERROR(__xludf.DUMMYFUNCTION("""COMPUTED_VALUE"""),"")</f>
        <v/>
      </c>
      <c r="K154" s="140" t="str">
        <f>IFERROR(__xludf.DUMMYFUNCTION("""COMPUTED_VALUE"""),"")</f>
        <v/>
      </c>
    </row>
    <row r="155">
      <c r="A155" s="143">
        <f>IFERROR(__xludf.DUMMYFUNCTION("""COMPUTED_VALUE"""),43343.0)</f>
        <v>43343</v>
      </c>
      <c r="B155" s="140">
        <f>IFERROR(__xludf.DUMMYFUNCTION("""COMPUTED_VALUE"""),1341234.0)</f>
        <v>1341234</v>
      </c>
      <c r="C155" t="str">
        <f>IFERROR(__xludf.DUMMYFUNCTION("""COMPUTED_VALUE"""),"")</f>
        <v/>
      </c>
      <c r="D155" t="str">
        <f>IFERROR(__xludf.DUMMYFUNCTION("""COMPUTED_VALUE"""),"Arunkumar Krishna")</f>
        <v>Arunkumar Krishna</v>
      </c>
      <c r="E155" t="str">
        <f>IFERROR(__xludf.DUMMYFUNCTION("""COMPUTED_VALUE"""),"Instructor Request- Opted Out")</f>
        <v>Instructor Request- Opted Out</v>
      </c>
      <c r="F155" s="142" t="str">
        <f>IFERROR(__xludf.DUMMYFUNCTION("""COMPUTED_VALUE"""),"Data Science")</f>
        <v>Data Science</v>
      </c>
      <c r="G155" s="142" t="str">
        <f>IFERROR(__xludf.DUMMYFUNCTION("""COMPUTED_VALUE"""),"Big Data")</f>
        <v>Big Data</v>
      </c>
      <c r="H155">
        <f>IFERROR(__xludf.DUMMYFUNCTION("""COMPUTED_VALUE"""),1121520.0)</f>
        <v>1121520</v>
      </c>
      <c r="I155" s="140" t="str">
        <f>IFERROR(__xludf.DUMMYFUNCTION("""COMPUTED_VALUE"""),"")</f>
        <v/>
      </c>
      <c r="K155" s="140" t="str">
        <f>IFERROR(__xludf.DUMMYFUNCTION("""COMPUTED_VALUE"""),"")</f>
        <v/>
      </c>
    </row>
    <row r="156">
      <c r="A156" s="143">
        <f>IFERROR(__xludf.DUMMYFUNCTION("""COMPUTED_VALUE"""),43343.0)</f>
        <v>43343</v>
      </c>
      <c r="B156" s="140">
        <f>IFERROR(__xludf.DUMMYFUNCTION("""COMPUTED_VALUE"""),72644.0)</f>
        <v>72644</v>
      </c>
      <c r="C156" t="str">
        <f>IFERROR(__xludf.DUMMYFUNCTION("""COMPUTED_VALUE"""),"")</f>
        <v/>
      </c>
      <c r="D156" t="str">
        <f>IFERROR(__xludf.DUMMYFUNCTION("""COMPUTED_VALUE"""),"Fitch Learning")</f>
        <v>Fitch Learning</v>
      </c>
      <c r="E156" t="str">
        <f>IFERROR(__xludf.DUMMYFUNCTION("""COMPUTED_VALUE"""),"Instructor Request- Outdated")</f>
        <v>Instructor Request- Outdated</v>
      </c>
      <c r="F156" s="142" t="str">
        <f>IFERROR(__xludf.DUMMYFUNCTION("""COMPUTED_VALUE"""),"Finance and Accounting")</f>
        <v>Finance and Accounting</v>
      </c>
      <c r="G156" s="142" t="str">
        <f>IFERROR(__xludf.DUMMYFUNCTION("""COMPUTED_VALUE"""),"Investing and Trading")</f>
        <v>Investing and Trading</v>
      </c>
      <c r="H156">
        <f>IFERROR(__xludf.DUMMYFUNCTION("""COMPUTED_VALUE"""),965832.0)</f>
        <v>965832</v>
      </c>
      <c r="I156" s="140" t="str">
        <f>IFERROR(__xludf.DUMMYFUNCTION("""COMPUTED_VALUE"""),"")</f>
        <v/>
      </c>
      <c r="J156">
        <f>IFERROR(__xludf.DUMMYFUNCTION("""COMPUTED_VALUE"""),765562.0)</f>
        <v>765562</v>
      </c>
      <c r="K156" s="140" t="str">
        <f>IFERROR(__xludf.DUMMYFUNCTION("""COMPUTED_VALUE"""),"")</f>
        <v/>
      </c>
    </row>
    <row r="157">
      <c r="A157" s="143">
        <f>IFERROR(__xludf.DUMMYFUNCTION("""COMPUTED_VALUE"""),43343.0)</f>
        <v>43343</v>
      </c>
      <c r="B157" s="140">
        <f>IFERROR(__xludf.DUMMYFUNCTION("""COMPUTED_VALUE"""),1038746.0)</f>
        <v>1038746</v>
      </c>
      <c r="C157" t="str">
        <f>IFERROR(__xludf.DUMMYFUNCTION("""COMPUTED_VALUE"""),"")</f>
        <v/>
      </c>
      <c r="D157" t="str">
        <f>IFERROR(__xludf.DUMMYFUNCTION("""COMPUTED_VALUE"""),"Loony Corn")</f>
        <v>Loony Corn</v>
      </c>
      <c r="E157" t="str">
        <f>IFERROR(__xludf.DUMMYFUNCTION("""COMPUTED_VALUE"""),"Below Quality Standards- Low Rating")</f>
        <v>Below Quality Standards- Low Rating</v>
      </c>
      <c r="F157" s="142" t="str">
        <f>IFERROR(__xludf.DUMMYFUNCTION("""COMPUTED_VALUE"""),"Development")</f>
        <v>Development</v>
      </c>
      <c r="G157" s="142" t="str">
        <f>IFERROR(__xludf.DUMMYFUNCTION("""COMPUTED_VALUE"""),"Mobile Development")</f>
        <v>Mobile Development</v>
      </c>
      <c r="H157">
        <f>IFERROR(__xludf.DUMMYFUNCTION("""COMPUTED_VALUE"""),950152.0)</f>
        <v>950152</v>
      </c>
      <c r="I157" s="140" t="str">
        <f>IFERROR(__xludf.DUMMYFUNCTION("""COMPUTED_VALUE"""),"")</f>
        <v/>
      </c>
      <c r="K157" s="140" t="str">
        <f>IFERROR(__xludf.DUMMYFUNCTION("""COMPUTED_VALUE"""),"")</f>
        <v/>
      </c>
    </row>
    <row r="158">
      <c r="A158" s="143">
        <f>IFERROR(__xludf.DUMMYFUNCTION("""COMPUTED_VALUE"""),43343.0)</f>
        <v>43343</v>
      </c>
      <c r="B158" s="140">
        <f>IFERROR(__xludf.DUMMYFUNCTION("""COMPUTED_VALUE"""),892544.0)</f>
        <v>892544</v>
      </c>
      <c r="C158" t="str">
        <f>IFERROR(__xludf.DUMMYFUNCTION("""COMPUTED_VALUE"""),"")</f>
        <v/>
      </c>
      <c r="D158" t="str">
        <f>IFERROR(__xludf.DUMMYFUNCTION("""COMPUTED_VALUE"""),"Holczer Balazs")</f>
        <v>Holczer Balazs</v>
      </c>
      <c r="E158" t="str">
        <f>IFERROR(__xludf.DUMMYFUNCTION("""COMPUTED_VALUE"""),"Below Quality Standards- Low Rating")</f>
        <v>Below Quality Standards- Low Rating</v>
      </c>
      <c r="F158" s="142" t="str">
        <f>IFERROR(__xludf.DUMMYFUNCTION("""COMPUTED_VALUE"""),"Development")</f>
        <v>Development</v>
      </c>
      <c r="G158" s="142" t="str">
        <f>IFERROR(__xludf.DUMMYFUNCTION("""COMPUTED_VALUE"""),"Programming")</f>
        <v>Programming</v>
      </c>
      <c r="H158">
        <f>IFERROR(__xludf.DUMMYFUNCTION("""COMPUTED_VALUE"""),1302610.0)</f>
        <v>1302610</v>
      </c>
      <c r="I158" s="140" t="str">
        <f>IFERROR(__xludf.DUMMYFUNCTION("""COMPUTED_VALUE"""),"")</f>
        <v/>
      </c>
      <c r="J158">
        <f>IFERROR(__xludf.DUMMYFUNCTION("""COMPUTED_VALUE"""),535698.0)</f>
        <v>535698</v>
      </c>
      <c r="K158" s="140" t="str">
        <f>IFERROR(__xludf.DUMMYFUNCTION("""COMPUTED_VALUE"""),"")</f>
        <v/>
      </c>
    </row>
    <row r="159">
      <c r="A159" s="143">
        <f>IFERROR(__xludf.DUMMYFUNCTION("""COMPUTED_VALUE"""),43343.0)</f>
        <v>43343</v>
      </c>
      <c r="B159" s="140">
        <f>IFERROR(__xludf.DUMMYFUNCTION("""COMPUTED_VALUE"""),1467520.0)</f>
        <v>1467520</v>
      </c>
      <c r="C159" t="str">
        <f>IFERROR(__xludf.DUMMYFUNCTION("""COMPUTED_VALUE"""),"")</f>
        <v/>
      </c>
      <c r="D159" t="str">
        <f>IFERROR(__xludf.DUMMYFUNCTION("""COMPUTED_VALUE"""),"Gökçe Tombul")</f>
        <v>Gökçe Tombul</v>
      </c>
      <c r="E159" t="str">
        <f>IFERROR(__xludf.DUMMYFUNCTION("""COMPUTED_VALUE"""),"Below Quality Standards- Low Rating")</f>
        <v>Below Quality Standards- Low Rating</v>
      </c>
      <c r="F159" s="142" t="str">
        <f>IFERROR(__xludf.DUMMYFUNCTION("""COMPUTED_VALUE"""),"Marketing")</f>
        <v>Marketing</v>
      </c>
      <c r="G159" s="142" t="str">
        <f>IFERROR(__xludf.DUMMYFUNCTION("""COMPUTED_VALUE"""),"Digital Marketing")</f>
        <v>Digital Marketing</v>
      </c>
      <c r="H159">
        <f>IFERROR(__xludf.DUMMYFUNCTION("""COMPUTED_VALUE"""),1011712.0)</f>
        <v>1011712</v>
      </c>
      <c r="I159" s="140" t="str">
        <f>IFERROR(__xludf.DUMMYFUNCTION("""COMPUTED_VALUE"""),"")</f>
        <v/>
      </c>
      <c r="K159" s="140" t="str">
        <f>IFERROR(__xludf.DUMMYFUNCTION("""COMPUTED_VALUE"""),"")</f>
        <v/>
      </c>
    </row>
    <row r="160">
      <c r="A160" s="143">
        <f>IFERROR(__xludf.DUMMYFUNCTION("""COMPUTED_VALUE"""),43343.0)</f>
        <v>43343</v>
      </c>
      <c r="B160" s="140">
        <f>IFERROR(__xludf.DUMMYFUNCTION("""COMPUTED_VALUE"""),1066998.0)</f>
        <v>1066998</v>
      </c>
      <c r="C160" t="str">
        <f>IFERROR(__xludf.DUMMYFUNCTION("""COMPUTED_VALUE"""),"")</f>
        <v/>
      </c>
      <c r="D160" t="str">
        <f>IFERROR(__xludf.DUMMYFUNCTION("""COMPUTED_VALUE"""),"M. J. Wani")</f>
        <v>M. J. Wani</v>
      </c>
      <c r="E160" t="str">
        <f>IFERROR(__xludf.DUMMYFUNCTION("""COMPUTED_VALUE"""),"Below Quality Standards- Low Rating")</f>
        <v>Below Quality Standards- Low Rating</v>
      </c>
      <c r="F160" s="142" t="str">
        <f>IFERROR(__xludf.DUMMYFUNCTION("""COMPUTED_VALUE"""),"Development")</f>
        <v>Development</v>
      </c>
      <c r="G160" s="142" t="str">
        <f>IFERROR(__xludf.DUMMYFUNCTION("""COMPUTED_VALUE"""),"Development Tools")</f>
        <v>Development Tools</v>
      </c>
      <c r="H160">
        <f>IFERROR(__xludf.DUMMYFUNCTION("""COMPUTED_VALUE"""),1035000.0)</f>
        <v>1035000</v>
      </c>
      <c r="I160" s="140" t="str">
        <f>IFERROR(__xludf.DUMMYFUNCTION("""COMPUTED_VALUE"""),"")</f>
        <v/>
      </c>
      <c r="J160">
        <f>IFERROR(__xludf.DUMMYFUNCTION("""COMPUTED_VALUE"""),1332278.0)</f>
        <v>1332278</v>
      </c>
      <c r="K160" s="140" t="str">
        <f>IFERROR(__xludf.DUMMYFUNCTION("""COMPUTED_VALUE"""),"")</f>
        <v/>
      </c>
    </row>
    <row r="161">
      <c r="A161" s="143">
        <f>IFERROR(__xludf.DUMMYFUNCTION("""COMPUTED_VALUE"""),43343.0)</f>
        <v>43343</v>
      </c>
      <c r="B161" s="140">
        <f>IFERROR(__xludf.DUMMYFUNCTION("""COMPUTED_VALUE"""),1110672.0)</f>
        <v>1110672</v>
      </c>
      <c r="C161" t="str">
        <f>IFERROR(__xludf.DUMMYFUNCTION("""COMPUTED_VALUE"""),"")</f>
        <v/>
      </c>
      <c r="D161" t="str">
        <f>IFERROR(__xludf.DUMMYFUNCTION("""COMPUTED_VALUE"""),"Niyazi Erdogan")</f>
        <v>Niyazi Erdogan</v>
      </c>
      <c r="E161" t="str">
        <f>IFERROR(__xludf.DUMMYFUNCTION("""COMPUTED_VALUE"""),"Below Quality Standards- Low Rating")</f>
        <v>Below Quality Standards- Low Rating</v>
      </c>
      <c r="F161" s="142" t="str">
        <f>IFERROR(__xludf.DUMMYFUNCTION("""COMPUTED_VALUE"""),"Development")</f>
        <v>Development</v>
      </c>
      <c r="G161" s="142" t="str">
        <f>IFERROR(__xludf.DUMMYFUNCTION("""COMPUTED_VALUE"""),"Mobile Development")</f>
        <v>Mobile Development</v>
      </c>
      <c r="H161">
        <f>IFERROR(__xludf.DUMMYFUNCTION("""COMPUTED_VALUE"""),65830.0)</f>
        <v>65830</v>
      </c>
      <c r="I161" s="140" t="str">
        <f>IFERROR(__xludf.DUMMYFUNCTION("""COMPUTED_VALUE"""),"")</f>
        <v/>
      </c>
      <c r="J161">
        <f>IFERROR(__xludf.DUMMYFUNCTION("""COMPUTED_VALUE"""),684824.0)</f>
        <v>684824</v>
      </c>
      <c r="K161" s="140" t="str">
        <f>IFERROR(__xludf.DUMMYFUNCTION("""COMPUTED_VALUE"""),"")</f>
        <v/>
      </c>
    </row>
    <row r="162">
      <c r="A162" s="143">
        <f>IFERROR(__xludf.DUMMYFUNCTION("""COMPUTED_VALUE"""),43343.0)</f>
        <v>43343</v>
      </c>
      <c r="B162" s="140">
        <f>IFERROR(__xludf.DUMMYFUNCTION("""COMPUTED_VALUE"""),1244262.0)</f>
        <v>1244262</v>
      </c>
      <c r="C162" t="str">
        <f>IFERROR(__xludf.DUMMYFUNCTION("""COMPUTED_VALUE"""),"")</f>
        <v/>
      </c>
      <c r="D162" t="str">
        <f>IFERROR(__xludf.DUMMYFUNCTION("""COMPUTED_VALUE"""),"Mike West")</f>
        <v>Mike West</v>
      </c>
      <c r="E162" t="str">
        <f>IFERROR(__xludf.DUMMYFUNCTION("""COMPUTED_VALUE"""),"Below Quality Standards- Low Rating")</f>
        <v>Below Quality Standards- Low Rating</v>
      </c>
      <c r="F162" s="142" t="str">
        <f>IFERROR(__xludf.DUMMYFUNCTION("""COMPUTED_VALUE"""),"Data Science")</f>
        <v>Data Science</v>
      </c>
      <c r="G162" s="142" t="str">
        <f>IFERROR(__xludf.DUMMYFUNCTION("""COMPUTED_VALUE"""),"Big Data")</f>
        <v>Big Data</v>
      </c>
      <c r="H162">
        <f>IFERROR(__xludf.DUMMYFUNCTION("""COMPUTED_VALUE"""),1299656.0)</f>
        <v>1299656</v>
      </c>
      <c r="I162" s="140" t="str">
        <f>IFERROR(__xludf.DUMMYFUNCTION("""COMPUTED_VALUE"""),"")</f>
        <v/>
      </c>
      <c r="K162" s="140" t="str">
        <f>IFERROR(__xludf.DUMMYFUNCTION("""COMPUTED_VALUE"""),"")</f>
        <v/>
      </c>
    </row>
    <row r="163">
      <c r="A163" s="143">
        <f>IFERROR(__xludf.DUMMYFUNCTION("""COMPUTED_VALUE"""),43343.0)</f>
        <v>43343</v>
      </c>
      <c r="B163" s="140">
        <f>IFERROR(__xludf.DUMMYFUNCTION("""COMPUTED_VALUE"""),598722.0)</f>
        <v>598722</v>
      </c>
      <c r="C163" t="str">
        <f>IFERROR(__xludf.DUMMYFUNCTION("""COMPUTED_VALUE"""),"")</f>
        <v/>
      </c>
      <c r="D163" t="str">
        <f>IFERROR(__xludf.DUMMYFUNCTION("""COMPUTED_VALUE"""),"Ronald DeLegge")</f>
        <v>Ronald DeLegge</v>
      </c>
      <c r="E163" t="str">
        <f>IFERROR(__xludf.DUMMYFUNCTION("""COMPUTED_VALUE"""),"Instructor Request- Opted Out")</f>
        <v>Instructor Request- Opted Out</v>
      </c>
      <c r="F163" s="142" t="str">
        <f>IFERROR(__xludf.DUMMYFUNCTION("""COMPUTED_VALUE"""),"Finance and Accounting")</f>
        <v>Finance and Accounting</v>
      </c>
      <c r="G163" s="142" t="str">
        <f>IFERROR(__xludf.DUMMYFUNCTION("""COMPUTED_VALUE"""),"Investing and Trading")</f>
        <v>Investing and Trading</v>
      </c>
      <c r="H163">
        <f>IFERROR(__xludf.DUMMYFUNCTION("""COMPUTED_VALUE"""),203732.0)</f>
        <v>203732</v>
      </c>
      <c r="I163" s="140" t="str">
        <f>IFERROR(__xludf.DUMMYFUNCTION("""COMPUTED_VALUE"""),"")</f>
        <v/>
      </c>
      <c r="K163" s="140" t="str">
        <f>IFERROR(__xludf.DUMMYFUNCTION("""COMPUTED_VALUE"""),"")</f>
        <v/>
      </c>
    </row>
    <row r="164">
      <c r="A164" s="143">
        <f>IFERROR(__xludf.DUMMYFUNCTION("""COMPUTED_VALUE"""),43343.0)</f>
        <v>43343</v>
      </c>
      <c r="B164" s="140">
        <f>IFERROR(__xludf.DUMMYFUNCTION("""COMPUTED_VALUE"""),76838.0)</f>
        <v>76838</v>
      </c>
      <c r="C164" t="str">
        <f>IFERROR(__xludf.DUMMYFUNCTION("""COMPUTED_VALUE"""),"")</f>
        <v/>
      </c>
      <c r="D164" t="str">
        <f>IFERROR(__xludf.DUMMYFUNCTION("""COMPUTED_VALUE"""),"Todd McLeod")</f>
        <v>Todd McLeod</v>
      </c>
      <c r="E164" t="str">
        <f>IFERROR(__xludf.DUMMYFUNCTION("""COMPUTED_VALUE"""),"Below Quality Standards- Low Rating")</f>
        <v>Below Quality Standards- Low Rating</v>
      </c>
      <c r="F164" s="142" t="str">
        <f>IFERROR(__xludf.DUMMYFUNCTION("""COMPUTED_VALUE"""),"Office Productivity")</f>
        <v>Office Productivity</v>
      </c>
      <c r="G164" s="142" t="str">
        <f>IFERROR(__xludf.DUMMYFUNCTION("""COMPUTED_VALUE"""),"Operating Systems")</f>
        <v>Operating Systems</v>
      </c>
      <c r="I164" s="140" t="str">
        <f>IFERROR(__xludf.DUMMYFUNCTION("""COMPUTED_VALUE"""),"")</f>
        <v/>
      </c>
      <c r="K164" s="140" t="str">
        <f>IFERROR(__xludf.DUMMYFUNCTION("""COMPUTED_VALUE"""),"")</f>
        <v/>
      </c>
      <c r="Q164" s="145" t="str">
        <f>IFERROR(__xludf.DUMMYFUNCTION("""COMPUTED_VALUE"""),"Low Demand")</f>
        <v>Low Demand</v>
      </c>
    </row>
    <row r="165">
      <c r="A165" s="143">
        <f>IFERROR(__xludf.DUMMYFUNCTION("""COMPUTED_VALUE"""),43343.0)</f>
        <v>43343</v>
      </c>
      <c r="B165" s="140">
        <f>IFERROR(__xludf.DUMMYFUNCTION("""COMPUTED_VALUE"""),1217360.0)</f>
        <v>1217360</v>
      </c>
      <c r="C165" t="str">
        <f>IFERROR(__xludf.DUMMYFUNCTION("""COMPUTED_VALUE"""),"")</f>
        <v/>
      </c>
      <c r="D165" t="str">
        <f>IFERROR(__xludf.DUMMYFUNCTION("""COMPUTED_VALUE"""),"Sid Inf")</f>
        <v>Sid Inf</v>
      </c>
      <c r="E165" t="str">
        <f>IFERROR(__xludf.DUMMYFUNCTION("""COMPUTED_VALUE"""),"Below Quality Standards- Low Rating")</f>
        <v>Below Quality Standards- Low Rating</v>
      </c>
      <c r="F165" s="142" t="str">
        <f>IFERROR(__xludf.DUMMYFUNCTION("""COMPUTED_VALUE"""),"Development")</f>
        <v>Development</v>
      </c>
      <c r="G165" s="142" t="str">
        <f>IFERROR(__xludf.DUMMYFUNCTION("""COMPUTED_VALUE"""),"Databases")</f>
        <v>Databases</v>
      </c>
      <c r="I165" s="140" t="str">
        <f>IFERROR(__xludf.DUMMYFUNCTION("""COMPUTED_VALUE"""),"")</f>
        <v/>
      </c>
      <c r="K165" s="140" t="str">
        <f>IFERROR(__xludf.DUMMYFUNCTION("""COMPUTED_VALUE"""),"")</f>
        <v/>
      </c>
      <c r="Q165" s="145" t="str">
        <f>IFERROR(__xludf.DUMMYFUNCTION("""COMPUTED_VALUE"""),"Topic on Priority List- 1919956")</f>
        <v>Topic on Priority List- 1919956</v>
      </c>
    </row>
    <row r="166">
      <c r="A166" s="143">
        <f>IFERROR(__xludf.DUMMYFUNCTION("""COMPUTED_VALUE"""),43343.0)</f>
        <v>43343</v>
      </c>
      <c r="B166" s="140">
        <f>IFERROR(__xludf.DUMMYFUNCTION("""COMPUTED_VALUE"""),656720.0)</f>
        <v>656720</v>
      </c>
      <c r="C166" t="str">
        <f>IFERROR(__xludf.DUMMYFUNCTION("""COMPUTED_VALUE"""),"")</f>
        <v/>
      </c>
      <c r="D166" t="str">
        <f>IFERROR(__xludf.DUMMYFUNCTION("""COMPUTED_VALUE"""),"Paul Ashun")</f>
        <v>Paul Ashun</v>
      </c>
      <c r="E166" t="str">
        <f>IFERROR(__xludf.DUMMYFUNCTION("""COMPUTED_VALUE"""),"Below Quality Standards- Low Rating")</f>
        <v>Below Quality Standards- Low Rating</v>
      </c>
      <c r="F166" s="142" t="str">
        <f>IFERROR(__xludf.DUMMYFUNCTION("""COMPUTED_VALUE"""),"Project Management and Operations")</f>
        <v>Project Management and Operations</v>
      </c>
      <c r="G166" s="142" t="str">
        <f>IFERROR(__xludf.DUMMYFUNCTION("""COMPUTED_VALUE"""),"Agile and Scrum")</f>
        <v>Agile and Scrum</v>
      </c>
      <c r="H166">
        <f>IFERROR(__xludf.DUMMYFUNCTION("""COMPUTED_VALUE"""),1043254.0)</f>
        <v>1043254</v>
      </c>
      <c r="I166" s="140" t="str">
        <f>IFERROR(__xludf.DUMMYFUNCTION("""COMPUTED_VALUE"""),"")</f>
        <v/>
      </c>
      <c r="K166" s="140" t="str">
        <f>IFERROR(__xludf.DUMMYFUNCTION("""COMPUTED_VALUE"""),"")</f>
        <v/>
      </c>
    </row>
    <row r="167">
      <c r="A167" s="143">
        <f>IFERROR(__xludf.DUMMYFUNCTION("""COMPUTED_VALUE"""),43343.0)</f>
        <v>43343</v>
      </c>
      <c r="B167" s="140">
        <f>IFERROR(__xludf.DUMMYFUNCTION("""COMPUTED_VALUE"""),678676.0)</f>
        <v>678676</v>
      </c>
      <c r="C167" t="str">
        <f>IFERROR(__xludf.DUMMYFUNCTION("""COMPUTED_VALUE"""),"")</f>
        <v/>
      </c>
      <c r="D167" t="str">
        <f>IFERROR(__xludf.DUMMYFUNCTION("""COMPUTED_VALUE"""),"Joseph Phillips")</f>
        <v>Joseph Phillips</v>
      </c>
      <c r="E167" t="str">
        <f>IFERROR(__xludf.DUMMYFUNCTION("""COMPUTED_VALUE"""),"Below Quality Standards- Low Rating")</f>
        <v>Below Quality Standards- Low Rating</v>
      </c>
      <c r="F167" s="142" t="str">
        <f>IFERROR(__xludf.DUMMYFUNCTION("""COMPUTED_VALUE"""),"Development")</f>
        <v>Development</v>
      </c>
      <c r="G167" s="142" t="str">
        <f>IFERROR(__xludf.DUMMYFUNCTION("""COMPUTED_VALUE"""),"Programming")</f>
        <v>Programming</v>
      </c>
      <c r="H167">
        <f>IFERROR(__xludf.DUMMYFUNCTION("""COMPUTED_VALUE"""),176138.0)</f>
        <v>176138</v>
      </c>
      <c r="I167" s="140" t="str">
        <f>IFERROR(__xludf.DUMMYFUNCTION("""COMPUTED_VALUE"""),"")</f>
        <v/>
      </c>
      <c r="K167" s="140" t="str">
        <f>IFERROR(__xludf.DUMMYFUNCTION("""COMPUTED_VALUE"""),"")</f>
        <v/>
      </c>
    </row>
    <row r="168">
      <c r="A168" s="143">
        <f>IFERROR(__xludf.DUMMYFUNCTION("""COMPUTED_VALUE"""),43343.0)</f>
        <v>43343</v>
      </c>
      <c r="B168" s="140">
        <f>IFERROR(__xludf.DUMMYFUNCTION("""COMPUTED_VALUE"""),8332.0)</f>
        <v>8332</v>
      </c>
      <c r="C168" t="str">
        <f>IFERROR(__xludf.DUMMYFUNCTION("""COMPUTED_VALUE"""),"")</f>
        <v/>
      </c>
      <c r="D168" t="str">
        <f>IFERROR(__xludf.DUMMYFUNCTION("""COMPUTED_VALUE"""),"Chris Bryant")</f>
        <v>Chris Bryant</v>
      </c>
      <c r="E168" t="str">
        <f>IFERROR(__xludf.DUMMYFUNCTION("""COMPUTED_VALUE"""),"Instructor Request- Outdated")</f>
        <v>Instructor Request- Outdated</v>
      </c>
      <c r="F168" s="142" t="str">
        <f>IFERROR(__xludf.DUMMYFUNCTION("""COMPUTED_VALUE"""),"IT and Software")</f>
        <v>IT and Software</v>
      </c>
      <c r="G168" s="142" t="str">
        <f>IFERROR(__xludf.DUMMYFUNCTION("""COMPUTED_VALUE"""),"IT Certifications")</f>
        <v>IT Certifications</v>
      </c>
      <c r="H168">
        <f>IFERROR(__xludf.DUMMYFUNCTION("""COMPUTED_VALUE"""),236710.0)</f>
        <v>236710</v>
      </c>
      <c r="I168" s="140" t="str">
        <f>IFERROR(__xludf.DUMMYFUNCTION("""COMPUTED_VALUE"""),"")</f>
        <v/>
      </c>
      <c r="J168">
        <f>IFERROR(__xludf.DUMMYFUNCTION("""COMPUTED_VALUE"""),10812.0)</f>
        <v>10812</v>
      </c>
      <c r="K168" s="140" t="str">
        <f>IFERROR(__xludf.DUMMYFUNCTION("""COMPUTED_VALUE"""),"")</f>
        <v/>
      </c>
    </row>
    <row r="169">
      <c r="A169" s="143">
        <f>IFERROR(__xludf.DUMMYFUNCTION("""COMPUTED_VALUE"""),43343.0)</f>
        <v>43343</v>
      </c>
      <c r="B169" s="140">
        <f>IFERROR(__xludf.DUMMYFUNCTION("""COMPUTED_VALUE"""),1277288.0)</f>
        <v>1277288</v>
      </c>
      <c r="C169" t="str">
        <f>IFERROR(__xludf.DUMMYFUNCTION("""COMPUTED_VALUE"""),"")</f>
        <v/>
      </c>
      <c r="D169" t="str">
        <f>IFERROR(__xludf.DUMMYFUNCTION("""COMPUTED_VALUE"""),"Scott Duffy")</f>
        <v>Scott Duffy</v>
      </c>
      <c r="E169" t="str">
        <f>IFERROR(__xludf.DUMMYFUNCTION("""COMPUTED_VALUE"""),"Below Quality Standards- Low Rating")</f>
        <v>Below Quality Standards- Low Rating</v>
      </c>
      <c r="F169" s="142" t="str">
        <f>IFERROR(__xludf.DUMMYFUNCTION("""COMPUTED_VALUE"""),"IT and Software")</f>
        <v>IT and Software</v>
      </c>
      <c r="G169" s="142" t="str">
        <f>IFERROR(__xludf.DUMMYFUNCTION("""COMPUTED_VALUE"""),"IT Certifications")</f>
        <v>IT Certifications</v>
      </c>
      <c r="H169">
        <f>IFERROR(__xludf.DUMMYFUNCTION("""COMPUTED_VALUE"""),802574.0)</f>
        <v>802574</v>
      </c>
      <c r="I169" s="140" t="str">
        <f>IFERROR(__xludf.DUMMYFUNCTION("""COMPUTED_VALUE"""),"")</f>
        <v/>
      </c>
      <c r="K169" s="140" t="str">
        <f>IFERROR(__xludf.DUMMYFUNCTION("""COMPUTED_VALUE"""),"")</f>
        <v/>
      </c>
    </row>
    <row r="170">
      <c r="A170" s="143">
        <f>IFERROR(__xludf.DUMMYFUNCTION("""COMPUTED_VALUE"""),43343.0)</f>
        <v>43343</v>
      </c>
      <c r="B170" s="140">
        <f>IFERROR(__xludf.DUMMYFUNCTION("""COMPUTED_VALUE"""),34897.0)</f>
        <v>34897</v>
      </c>
      <c r="C170" t="str">
        <f>IFERROR(__xludf.DUMMYFUNCTION("""COMPUTED_VALUE"""),"")</f>
        <v/>
      </c>
      <c r="D170" t="str">
        <f>IFERROR(__xludf.DUMMYFUNCTION("""COMPUTED_VALUE"""),"Elias Fofanov")</f>
        <v>Elias Fofanov</v>
      </c>
      <c r="E170" t="str">
        <f>IFERROR(__xludf.DUMMYFUNCTION("""COMPUTED_VALUE"""),"Below Quality Standards- Low Rating")</f>
        <v>Below Quality Standards- Low Rating</v>
      </c>
      <c r="F170" s="142" t="str">
        <f>IFERROR(__xludf.DUMMYFUNCTION("""COMPUTED_VALUE"""),"Development")</f>
        <v>Development</v>
      </c>
      <c r="G170" s="142" t="str">
        <f>IFERROR(__xludf.DUMMYFUNCTION("""COMPUTED_VALUE"""),"Programming")</f>
        <v>Programming</v>
      </c>
      <c r="H170">
        <f>IFERROR(__xludf.DUMMYFUNCTION("""COMPUTED_VALUE"""),1485842.0)</f>
        <v>1485842</v>
      </c>
      <c r="I170" s="140" t="str">
        <f>IFERROR(__xludf.DUMMYFUNCTION("""COMPUTED_VALUE"""),"")</f>
        <v/>
      </c>
      <c r="J170">
        <f>IFERROR(__xludf.DUMMYFUNCTION("""COMPUTED_VALUE"""),1563268.0)</f>
        <v>1563268</v>
      </c>
      <c r="K170" s="140" t="str">
        <f>IFERROR(__xludf.DUMMYFUNCTION("""COMPUTED_VALUE"""),"")</f>
        <v/>
      </c>
    </row>
    <row r="171">
      <c r="A171" s="143">
        <f>IFERROR(__xludf.DUMMYFUNCTION("""COMPUTED_VALUE"""),43343.0)</f>
        <v>43343</v>
      </c>
      <c r="B171" s="140">
        <f>IFERROR(__xludf.DUMMYFUNCTION("""COMPUTED_VALUE"""),1365728.0)</f>
        <v>1365728</v>
      </c>
      <c r="C171" t="str">
        <f>IFERROR(__xludf.DUMMYFUNCTION("""COMPUTED_VALUE"""),"")</f>
        <v/>
      </c>
      <c r="D171" t="str">
        <f>IFERROR(__xludf.DUMMYFUNCTION("""COMPUTED_VALUE"""),"Renato Baruti")</f>
        <v>Renato Baruti</v>
      </c>
      <c r="E171" t="str">
        <f>IFERROR(__xludf.DUMMYFUNCTION("""COMPUTED_VALUE"""),"Below Quality Standards- Low Rating")</f>
        <v>Below Quality Standards- Low Rating</v>
      </c>
      <c r="F171" s="142" t="str">
        <f>IFERROR(__xludf.DUMMYFUNCTION("""COMPUTED_VALUE"""),"Data Science")</f>
        <v>Data Science</v>
      </c>
      <c r="G171" s="142" t="str">
        <f>IFERROR(__xludf.DUMMYFUNCTION("""COMPUTED_VALUE"""),"Analytics")</f>
        <v>Analytics</v>
      </c>
      <c r="H171">
        <f>IFERROR(__xludf.DUMMYFUNCTION("""COMPUTED_VALUE"""),1248866.0)</f>
        <v>1248866</v>
      </c>
      <c r="I171" s="140" t="str">
        <f>IFERROR(__xludf.DUMMYFUNCTION("""COMPUTED_VALUE"""),"")</f>
        <v/>
      </c>
      <c r="K171" s="140" t="str">
        <f>IFERROR(__xludf.DUMMYFUNCTION("""COMPUTED_VALUE"""),"")</f>
        <v/>
      </c>
    </row>
    <row r="172">
      <c r="A172" s="143">
        <f>IFERROR(__xludf.DUMMYFUNCTION("""COMPUTED_VALUE"""),43343.0)</f>
        <v>43343</v>
      </c>
      <c r="B172" s="140">
        <f>IFERROR(__xludf.DUMMYFUNCTION("""COMPUTED_VALUE"""),1045942.0)</f>
        <v>1045942</v>
      </c>
      <c r="C172" t="str">
        <f>IFERROR(__xludf.DUMMYFUNCTION("""COMPUTED_VALUE"""),"")</f>
        <v/>
      </c>
      <c r="D172" t="str">
        <f>IFERROR(__xludf.DUMMYFUNCTION("""COMPUTED_VALUE"""),"Angular University")</f>
        <v>Angular University</v>
      </c>
      <c r="E172" t="str">
        <f>IFERROR(__xludf.DUMMYFUNCTION("""COMPUTED_VALUE"""),"Instructor Request- Outdated")</f>
        <v>Instructor Request- Outdated</v>
      </c>
      <c r="F172" s="142" t="str">
        <f>IFERROR(__xludf.DUMMYFUNCTION("""COMPUTED_VALUE"""),"Development")</f>
        <v>Development</v>
      </c>
      <c r="G172" s="142" t="str">
        <f>IFERROR(__xludf.DUMMYFUNCTION("""COMPUTED_VALUE"""),"Web Development")</f>
        <v>Web Development</v>
      </c>
      <c r="H172">
        <f>IFERROR(__xludf.DUMMYFUNCTION("""COMPUTED_VALUE"""),1512962.0)</f>
        <v>1512962</v>
      </c>
      <c r="I172" s="140" t="str">
        <f>IFERROR(__xludf.DUMMYFUNCTION("""COMPUTED_VALUE"""),"")</f>
        <v/>
      </c>
      <c r="K172" s="140" t="str">
        <f>IFERROR(__xludf.DUMMYFUNCTION("""COMPUTED_VALUE"""),"")</f>
        <v/>
      </c>
    </row>
    <row r="173">
      <c r="A173" s="143">
        <f>IFERROR(__xludf.DUMMYFUNCTION("""COMPUTED_VALUE"""),43343.0)</f>
        <v>43343</v>
      </c>
      <c r="B173" s="140">
        <f>IFERROR(__xludf.DUMMYFUNCTION("""COMPUTED_VALUE"""),1229594.0)</f>
        <v>1229594</v>
      </c>
      <c r="C173" t="str">
        <f>IFERROR(__xludf.DUMMYFUNCTION("""COMPUTED_VALUE"""),"")</f>
        <v/>
      </c>
      <c r="D173" t="str">
        <f>IFERROR(__xludf.DUMMYFUNCTION("""COMPUTED_VALUE"""),"Lazaro Diaz")</f>
        <v>Lazaro Diaz</v>
      </c>
      <c r="E173" t="str">
        <f>IFERROR(__xludf.DUMMYFUNCTION("""COMPUTED_VALUE"""),"Below Quality Standards- Low Rating")</f>
        <v>Below Quality Standards- Low Rating</v>
      </c>
      <c r="F173" s="142" t="str">
        <f>IFERROR(__xludf.DUMMYFUNCTION("""COMPUTED_VALUE"""),"IT and Software")</f>
        <v>IT and Software</v>
      </c>
      <c r="G173" s="142" t="str">
        <f>IFERROR(__xludf.DUMMYFUNCTION("""COMPUTED_VALUE"""),"Network and Security")</f>
        <v>Network and Security</v>
      </c>
      <c r="H173">
        <f>IFERROR(__xludf.DUMMYFUNCTION("""COMPUTED_VALUE"""),854042.0)</f>
        <v>854042</v>
      </c>
      <c r="I173" s="140" t="str">
        <f>IFERROR(__xludf.DUMMYFUNCTION("""COMPUTED_VALUE"""),"")</f>
        <v/>
      </c>
      <c r="K173" s="140" t="str">
        <f>IFERROR(__xludf.DUMMYFUNCTION("""COMPUTED_VALUE"""),"")</f>
        <v/>
      </c>
    </row>
    <row r="174">
      <c r="A174" s="143">
        <f>IFERROR(__xludf.DUMMYFUNCTION("""COMPUTED_VALUE"""),43343.0)</f>
        <v>43343</v>
      </c>
      <c r="B174" s="140">
        <f>IFERROR(__xludf.DUMMYFUNCTION("""COMPUTED_VALUE"""),1246246.0)</f>
        <v>1246246</v>
      </c>
      <c r="C174" t="str">
        <f>IFERROR(__xludf.DUMMYFUNCTION("""COMPUTED_VALUE"""),"")</f>
        <v/>
      </c>
      <c r="D174" t="str">
        <f>IFERROR(__xludf.DUMMYFUNCTION("""COMPUTED_VALUE"""),"Yohann Taieb")</f>
        <v>Yohann Taieb</v>
      </c>
      <c r="E174" t="str">
        <f>IFERROR(__xludf.DUMMYFUNCTION("""COMPUTED_VALUE"""),"Below Quality Standards- Low Rating")</f>
        <v>Below Quality Standards- Low Rating</v>
      </c>
      <c r="F174" s="142" t="str">
        <f>IFERROR(__xludf.DUMMYFUNCTION("""COMPUTED_VALUE"""),"Development")</f>
        <v>Development</v>
      </c>
      <c r="G174" s="142" t="str">
        <f>IFERROR(__xludf.DUMMYFUNCTION("""COMPUTED_VALUE"""),"Mobile Development")</f>
        <v>Mobile Development</v>
      </c>
      <c r="H174">
        <f>IFERROR(__xludf.DUMMYFUNCTION("""COMPUTED_VALUE"""),1279322.0)</f>
        <v>1279322</v>
      </c>
      <c r="I174" s="140" t="str">
        <f>IFERROR(__xludf.DUMMYFUNCTION("""COMPUTED_VALUE"""),"")</f>
        <v/>
      </c>
      <c r="K174" s="140" t="str">
        <f>IFERROR(__xludf.DUMMYFUNCTION("""COMPUTED_VALUE"""),"")</f>
        <v/>
      </c>
    </row>
    <row r="175">
      <c r="A175" s="143">
        <f>IFERROR(__xludf.DUMMYFUNCTION("""COMPUTED_VALUE"""),43343.0)</f>
        <v>43343</v>
      </c>
      <c r="B175" s="140">
        <f>IFERROR(__xludf.DUMMYFUNCTION("""COMPUTED_VALUE"""),1172104.0)</f>
        <v>1172104</v>
      </c>
      <c r="C175" t="str">
        <f>IFERROR(__xludf.DUMMYFUNCTION("""COMPUTED_VALUE"""),"")</f>
        <v/>
      </c>
      <c r="D175" t="str">
        <f>IFERROR(__xludf.DUMMYFUNCTION("""COMPUTED_VALUE"""),"Gopal Prasad Malakar")</f>
        <v>Gopal Prasad Malakar</v>
      </c>
      <c r="E175" t="str">
        <f>IFERROR(__xludf.DUMMYFUNCTION("""COMPUTED_VALUE"""),"Below Quality Standards- Low Rating")</f>
        <v>Below Quality Standards- Low Rating</v>
      </c>
      <c r="F175" s="142" t="str">
        <f>IFERROR(__xludf.DUMMYFUNCTION("""COMPUTED_VALUE"""),"Data Science")</f>
        <v>Data Science</v>
      </c>
      <c r="G175" s="142" t="str">
        <f>IFERROR(__xludf.DUMMYFUNCTION("""COMPUTED_VALUE"""),"Analytics")</f>
        <v>Analytics</v>
      </c>
      <c r="H175">
        <f>IFERROR(__xludf.DUMMYFUNCTION("""COMPUTED_VALUE"""),667992.0)</f>
        <v>667992</v>
      </c>
      <c r="I175" s="140" t="str">
        <f>IFERROR(__xludf.DUMMYFUNCTION("""COMPUTED_VALUE"""),"")</f>
        <v/>
      </c>
      <c r="K175" s="140" t="str">
        <f>IFERROR(__xludf.DUMMYFUNCTION("""COMPUTED_VALUE"""),"")</f>
        <v/>
      </c>
    </row>
    <row r="176">
      <c r="A176" s="143">
        <f>IFERROR(__xludf.DUMMYFUNCTION("""COMPUTED_VALUE"""),43343.0)</f>
        <v>43343</v>
      </c>
      <c r="B176" s="140">
        <f>IFERROR(__xludf.DUMMYFUNCTION("""COMPUTED_VALUE"""),453362.0)</f>
        <v>453362</v>
      </c>
      <c r="C176" t="str">
        <f>IFERROR(__xludf.DUMMYFUNCTION("""COMPUTED_VALUE"""),"")</f>
        <v/>
      </c>
      <c r="D176" t="str">
        <f>IFERROR(__xludf.DUMMYFUNCTION("""COMPUTED_VALUE"""),"Chad Neuman, Ph.D.")</f>
        <v>Chad Neuman, Ph.D.</v>
      </c>
      <c r="E176" t="str">
        <f>IFERROR(__xludf.DUMMYFUNCTION("""COMPUTED_VALUE"""),"Instructor Request- Reviews")</f>
        <v>Instructor Request- Reviews</v>
      </c>
      <c r="F176" s="142" t="str">
        <f>IFERROR(__xludf.DUMMYFUNCTION("""COMPUTED_VALUE"""),"Personal Development")</f>
        <v>Personal Development</v>
      </c>
      <c r="G176" s="142" t="str">
        <f>IFERROR(__xludf.DUMMYFUNCTION("""COMPUTED_VALUE"""),"Arts and Creativity")</f>
        <v>Arts and Creativity</v>
      </c>
      <c r="H176">
        <f>IFERROR(__xludf.DUMMYFUNCTION("""COMPUTED_VALUE"""),1045092.0)</f>
        <v>1045092</v>
      </c>
      <c r="I176" s="140" t="str">
        <f>IFERROR(__xludf.DUMMYFUNCTION("""COMPUTED_VALUE"""),"")</f>
        <v/>
      </c>
      <c r="K176" s="140" t="str">
        <f>IFERROR(__xludf.DUMMYFUNCTION("""COMPUTED_VALUE"""),"")</f>
        <v/>
      </c>
    </row>
    <row r="177">
      <c r="A177" s="143">
        <f>IFERROR(__xludf.DUMMYFUNCTION("""COMPUTED_VALUE"""),43343.0)</f>
        <v>43343</v>
      </c>
      <c r="B177" s="140">
        <f>IFERROR(__xludf.DUMMYFUNCTION("""COMPUTED_VALUE"""),767256.0)</f>
        <v>767256</v>
      </c>
      <c r="C177" t="str">
        <f>IFERROR(__xludf.DUMMYFUNCTION("""COMPUTED_VALUE"""),"")</f>
        <v/>
      </c>
      <c r="D177" t="str">
        <f>IFERROR(__xludf.DUMMYFUNCTION("""COMPUTED_VALUE"""),"SomaSys Research")</f>
        <v>SomaSys Research</v>
      </c>
      <c r="E177" t="str">
        <f>IFERROR(__xludf.DUMMYFUNCTION("""COMPUTED_VALUE"""),"Instructor Request- Opted Out")</f>
        <v>Instructor Request- Opted Out</v>
      </c>
      <c r="F177" s="142" t="str">
        <f>IFERROR(__xludf.DUMMYFUNCTION("""COMPUTED_VALUE"""),"Finance and Accounting")</f>
        <v>Finance and Accounting</v>
      </c>
      <c r="G177" s="142" t="str">
        <f>IFERROR(__xludf.DUMMYFUNCTION("""COMPUTED_VALUE"""),"Investing and Trading")</f>
        <v>Investing and Trading</v>
      </c>
      <c r="H177">
        <f>IFERROR(__xludf.DUMMYFUNCTION("""COMPUTED_VALUE"""),1263966.0)</f>
        <v>1263966</v>
      </c>
      <c r="I177" s="140" t="str">
        <f>IFERROR(__xludf.DUMMYFUNCTION("""COMPUTED_VALUE"""),"")</f>
        <v/>
      </c>
      <c r="K177" s="140" t="str">
        <f>IFERROR(__xludf.DUMMYFUNCTION("""COMPUTED_VALUE"""),"")</f>
        <v/>
      </c>
    </row>
    <row r="178">
      <c r="A178" s="143">
        <f>IFERROR(__xludf.DUMMYFUNCTION("""COMPUTED_VALUE"""),43343.0)</f>
        <v>43343</v>
      </c>
      <c r="B178" s="140">
        <f>IFERROR(__xludf.DUMMYFUNCTION("""COMPUTED_VALUE"""),498972.0)</f>
        <v>498972</v>
      </c>
      <c r="C178" t="str">
        <f>IFERROR(__xludf.DUMMYFUNCTION("""COMPUTED_VALUE"""),"")</f>
        <v/>
      </c>
      <c r="D178" t="str">
        <f>IFERROR(__xludf.DUMMYFUNCTION("""COMPUTED_VALUE"""),"Benjamin Anderson")</f>
        <v>Benjamin Anderson</v>
      </c>
      <c r="E178" t="str">
        <f>IFERROR(__xludf.DUMMYFUNCTION("""COMPUTED_VALUE"""),"Instructor Request- Outdated")</f>
        <v>Instructor Request- Outdated</v>
      </c>
      <c r="F178" s="142" t="str">
        <f>IFERROR(__xludf.DUMMYFUNCTION("""COMPUTED_VALUE"""),"Development")</f>
        <v>Development</v>
      </c>
      <c r="G178" s="142" t="str">
        <f>IFERROR(__xludf.DUMMYFUNCTION("""COMPUTED_VALUE"""),"Mobile Development")</f>
        <v>Mobile Development</v>
      </c>
      <c r="I178" s="140" t="str">
        <f>IFERROR(__xludf.DUMMYFUNCTION("""COMPUTED_VALUE"""),"")</f>
        <v/>
      </c>
      <c r="K178" s="140" t="str">
        <f>IFERROR(__xludf.DUMMYFUNCTION("""COMPUTED_VALUE"""),"")</f>
        <v/>
      </c>
      <c r="Q178" s="145" t="str">
        <f>IFERROR(__xludf.DUMMYFUNCTION("""COMPUTED_VALUE"""),"Low Demand")</f>
        <v>Low Demand</v>
      </c>
    </row>
    <row r="179">
      <c r="A179" s="143">
        <f>IFERROR(__xludf.DUMMYFUNCTION("""COMPUTED_VALUE"""),43343.0)</f>
        <v>43343</v>
      </c>
      <c r="B179" s="140">
        <f>IFERROR(__xludf.DUMMYFUNCTION("""COMPUTED_VALUE"""),942222.0)</f>
        <v>942222</v>
      </c>
      <c r="C179" t="str">
        <f>IFERROR(__xludf.DUMMYFUNCTION("""COMPUTED_VALUE"""),"")</f>
        <v/>
      </c>
      <c r="D179" t="str">
        <f>IFERROR(__xludf.DUMMYFUNCTION("""COMPUTED_VALUE"""),"Green Chameleon Learning")</f>
        <v>Green Chameleon Learning</v>
      </c>
      <c r="E179" t="str">
        <f>IFERROR(__xludf.DUMMYFUNCTION("""COMPUTED_VALUE"""),"Instructor Request- Outdated")</f>
        <v>Instructor Request- Outdated</v>
      </c>
      <c r="F179" s="142" t="str">
        <f>IFERROR(__xludf.DUMMYFUNCTION("""COMPUTED_VALUE"""),"Development")</f>
        <v>Development</v>
      </c>
      <c r="G179" s="142" t="str">
        <f>IFERROR(__xludf.DUMMYFUNCTION("""COMPUTED_VALUE"""),"Programming")</f>
        <v>Programming</v>
      </c>
      <c r="H179">
        <f>IFERROR(__xludf.DUMMYFUNCTION("""COMPUTED_VALUE"""),1330272.0)</f>
        <v>1330272</v>
      </c>
      <c r="I179" s="140" t="str">
        <f>IFERROR(__xludf.DUMMYFUNCTION("""COMPUTED_VALUE"""),"")</f>
        <v/>
      </c>
      <c r="K179" s="140" t="str">
        <f>IFERROR(__xludf.DUMMYFUNCTION("""COMPUTED_VALUE"""),"")</f>
        <v/>
      </c>
    </row>
    <row r="180">
      <c r="A180" s="143">
        <f>IFERROR(__xludf.DUMMYFUNCTION("""COMPUTED_VALUE"""),43339.0)</f>
        <v>43339</v>
      </c>
      <c r="B180" s="140">
        <f>IFERROR(__xludf.DUMMYFUNCTION("""COMPUTED_VALUE"""),1608990.0)</f>
        <v>1608990</v>
      </c>
      <c r="C180" t="str">
        <f>IFERROR(__xludf.DUMMYFUNCTION("""COMPUTED_VALUE"""),"")</f>
        <v/>
      </c>
      <c r="D180" t="str">
        <f>IFERROR(__xludf.DUMMYFUNCTION("""COMPUTED_VALUE"""),"Jon Bonso")</f>
        <v>Jon Bonso</v>
      </c>
      <c r="E180" t="str">
        <f>IFERROR(__xludf.DUMMYFUNCTION("""COMPUTED_VALUE"""),"Instructor Practices")</f>
        <v>Instructor Practices</v>
      </c>
      <c r="F180" s="142" t="str">
        <f>IFERROR(__xludf.DUMMYFUNCTION("""COMPUTED_VALUE"""),"IT and Software")</f>
        <v>IT and Software</v>
      </c>
      <c r="G180" s="142" t="str">
        <f>IFERROR(__xludf.DUMMYFUNCTION("""COMPUTED_VALUE"""),"IT Certifications")</f>
        <v>IT Certifications</v>
      </c>
      <c r="I180" s="140" t="str">
        <f>IFERROR(__xludf.DUMMYFUNCTION("""COMPUTED_VALUE"""),"")</f>
        <v/>
      </c>
      <c r="K180" s="140" t="str">
        <f>IFERROR(__xludf.DUMMYFUNCTION("""COMPUTED_VALUE"""),"")</f>
        <v/>
      </c>
      <c r="Q180" t="str">
        <f>IFERROR(__xludf.DUMMYFUNCTION("""COMPUTED_VALUE"""),"Topic on Priority List- 2122456")</f>
        <v>Topic on Priority List- 2122456</v>
      </c>
    </row>
    <row r="181">
      <c r="A181" s="143">
        <f>IFERROR(__xludf.DUMMYFUNCTION("""COMPUTED_VALUE"""),43339.0)</f>
        <v>43339</v>
      </c>
      <c r="B181" s="140">
        <f>IFERROR(__xludf.DUMMYFUNCTION("""COMPUTED_VALUE"""),1520628.0)</f>
        <v>1520628</v>
      </c>
      <c r="C181" t="str">
        <f>IFERROR(__xludf.DUMMYFUNCTION("""COMPUTED_VALUE"""),"AWS Certified Solutions Architect Associate Practice Exams")</f>
        <v>AWS Certified Solutions Architect Associate Practice Exams</v>
      </c>
      <c r="D181" t="str">
        <f>IFERROR(__xludf.DUMMYFUNCTION("""COMPUTED_VALUE"""),"Jon Bonso")</f>
        <v>Jon Bonso</v>
      </c>
      <c r="E181" t="str">
        <f>IFERROR(__xludf.DUMMYFUNCTION("""COMPUTED_VALUE"""),"Instructor Practices")</f>
        <v>Instructor Practices</v>
      </c>
      <c r="F181" s="142" t="str">
        <f>IFERROR(__xludf.DUMMYFUNCTION("""COMPUTED_VALUE"""),"IT and Software")</f>
        <v>IT and Software</v>
      </c>
      <c r="G181" s="142" t="str">
        <f>IFERROR(__xludf.DUMMYFUNCTION("""COMPUTED_VALUE"""),"IT Certifications")</f>
        <v>IT Certifications</v>
      </c>
      <c r="H181">
        <f>IFERROR(__xludf.DUMMYFUNCTION("""COMPUTED_VALUE"""),1343886.0)</f>
        <v>1343886</v>
      </c>
      <c r="I181" s="140" t="str">
        <f>IFERROR(__xludf.DUMMYFUNCTION("""COMPUTED_VALUE"""),"")</f>
        <v/>
      </c>
      <c r="J181">
        <f>IFERROR(__xludf.DUMMYFUNCTION("""COMPUTED_VALUE"""),1172114.0)</f>
        <v>1172114</v>
      </c>
      <c r="K181" s="140" t="str">
        <f>IFERROR(__xludf.DUMMYFUNCTION("""COMPUTED_VALUE"""),"")</f>
        <v/>
      </c>
    </row>
    <row r="182">
      <c r="A182" s="143">
        <f>IFERROR(__xludf.DUMMYFUNCTION("""COMPUTED_VALUE"""),43333.0)</f>
        <v>43333</v>
      </c>
      <c r="B182" s="140">
        <f>IFERROR(__xludf.DUMMYFUNCTION("""COMPUTED_VALUE"""),1427098.0)</f>
        <v>1427098</v>
      </c>
      <c r="C182" t="str">
        <f>IFERROR(__xludf.DUMMYFUNCTION("""COMPUTED_VALUE"""),"")</f>
        <v/>
      </c>
      <c r="D182" t="str">
        <f>IFERROR(__xludf.DUMMYFUNCTION("""COMPUTED_VALUE"""),"AlyTech Academy, Inc.")</f>
        <v>AlyTech Academy, Inc.</v>
      </c>
      <c r="E182" t="str">
        <f>IFERROR(__xludf.DUMMYFUNCTION("""COMPUTED_VALUE"""),"Copyright")</f>
        <v>Copyright</v>
      </c>
      <c r="F182" s="142" t="str">
        <f>IFERROR(__xludf.DUMMYFUNCTION("""COMPUTED_VALUE"""),"Development")</f>
        <v>Development</v>
      </c>
      <c r="G182" s="142" t="str">
        <f>IFERROR(__xludf.DUMMYFUNCTION("""COMPUTED_VALUE"""),"Mobile Development")</f>
        <v>Mobile Development</v>
      </c>
      <c r="H182">
        <f>IFERROR(__xludf.DUMMYFUNCTION("""COMPUTED_VALUE"""),1132057.0)</f>
        <v>1132057</v>
      </c>
      <c r="I182" s="140" t="str">
        <f>IFERROR(__xludf.DUMMYFUNCTION("""COMPUTED_VALUE"""),"")</f>
        <v/>
      </c>
      <c r="K182" s="140" t="str">
        <f>IFERROR(__xludf.DUMMYFUNCTION("""COMPUTED_VALUE"""),"")</f>
        <v/>
      </c>
    </row>
    <row r="183">
      <c r="A183" s="143">
        <f>IFERROR(__xludf.DUMMYFUNCTION("""COMPUTED_VALUE"""),43322.0)</f>
        <v>43322</v>
      </c>
      <c r="B183">
        <f>IFERROR(__xludf.DUMMYFUNCTION("""COMPUTED_VALUE"""),726470.0)</f>
        <v>726470</v>
      </c>
      <c r="C183" t="str">
        <f>IFERROR(__xludf.DUMMYFUNCTION("""COMPUTED_VALUE"""),"")</f>
        <v/>
      </c>
      <c r="D183" t="str">
        <f>IFERROR(__xludf.DUMMYFUNCTION("""COMPUTED_VALUE"""),"Knowledge Tree International")</f>
        <v>Knowledge Tree International</v>
      </c>
      <c r="E183" t="str">
        <f>IFERROR(__xludf.DUMMYFUNCTION("""COMPUTED_VALUE"""),"Copyright")</f>
        <v>Copyright</v>
      </c>
      <c r="F183" s="142" t="str">
        <f>IFERROR(__xludf.DUMMYFUNCTION("""COMPUTED_VALUE"""),"Project Management and Operations")</f>
        <v>Project Management and Operations</v>
      </c>
      <c r="G183" s="142" t="str">
        <f>IFERROR(__xludf.DUMMYFUNCTION("""COMPUTED_VALUE"""),"Operations Management")</f>
        <v>Operations Management</v>
      </c>
      <c r="H183">
        <f>IFERROR(__xludf.DUMMYFUNCTION("""COMPUTED_VALUE"""),1288468.0)</f>
        <v>1288468</v>
      </c>
      <c r="I183" s="140" t="str">
        <f>IFERROR(__xludf.DUMMYFUNCTION("""COMPUTED_VALUE"""),"")</f>
        <v/>
      </c>
      <c r="K183" s="140" t="str">
        <f>IFERROR(__xludf.DUMMYFUNCTION("""COMPUTED_VALUE"""),"")</f>
        <v/>
      </c>
      <c r="Q183" t="str">
        <f>IFERROR(__xludf.DUMMYFUNCTION("""COMPUTED_VALUE"""),"Topic on Priority List- 826695")</f>
        <v>Topic on Priority List- 826695</v>
      </c>
    </row>
    <row r="184">
      <c r="A184" s="143">
        <f>IFERROR(__xludf.DUMMYFUNCTION("""COMPUTED_VALUE"""),43313.0)</f>
        <v>43313</v>
      </c>
      <c r="B184" s="140">
        <f>IFERROR(__xludf.DUMMYFUNCTION("""COMPUTED_VALUE"""),1117202.0)</f>
        <v>1117202</v>
      </c>
      <c r="C184" t="str">
        <f>IFERROR(__xludf.DUMMYFUNCTION("""COMPUTED_VALUE"""),"")</f>
        <v/>
      </c>
      <c r="D184" t="str">
        <f>IFERROR(__xludf.DUMMYFUNCTION("""COMPUTED_VALUE"""),"Total Seminars • 90,000+ Students")</f>
        <v>Total Seminars • 90,000+ Students</v>
      </c>
      <c r="E184" t="str">
        <f>IFERROR(__xludf.DUMMYFUNCTION("""COMPUTED_VALUE"""),"Instructor Request- Outdated")</f>
        <v>Instructor Request- Outdated</v>
      </c>
      <c r="F184" s="142" t="str">
        <f>IFERROR(__xludf.DUMMYFUNCTION("""COMPUTED_VALUE"""),"IT and Software")</f>
        <v>IT and Software</v>
      </c>
      <c r="G184" s="142" t="str">
        <f>IFERROR(__xludf.DUMMYFUNCTION("""COMPUTED_VALUE"""),"IT Certifications")</f>
        <v>IT Certifications</v>
      </c>
      <c r="H184">
        <f>IFERROR(__xludf.DUMMYFUNCTION("""COMPUTED_VALUE"""),1596138.0)</f>
        <v>1596138</v>
      </c>
      <c r="I184" s="140" t="str">
        <f>IFERROR(__xludf.DUMMYFUNCTION("""COMPUTED_VALUE"""),"")</f>
        <v/>
      </c>
      <c r="K184" s="140" t="str">
        <f>IFERROR(__xludf.DUMMYFUNCTION("""COMPUTED_VALUE"""),"")</f>
        <v/>
      </c>
    </row>
    <row r="185">
      <c r="A185" s="143">
        <f>IFERROR(__xludf.DUMMYFUNCTION("""COMPUTED_VALUE"""),43313.0)</f>
        <v>43313</v>
      </c>
      <c r="B185" s="140">
        <f>IFERROR(__xludf.DUMMYFUNCTION("""COMPUTED_VALUE"""),1327786.0)</f>
        <v>1327786</v>
      </c>
      <c r="C185" t="str">
        <f>IFERROR(__xludf.DUMMYFUNCTION("""COMPUTED_VALUE"""),"")</f>
        <v/>
      </c>
      <c r="D185" t="str">
        <f>IFERROR(__xludf.DUMMYFUNCTION("""COMPUTED_VALUE"""),"Total Seminars • 90,000+ Students")</f>
        <v>Total Seminars • 90,000+ Students</v>
      </c>
      <c r="E185" t="str">
        <f>IFERROR(__xludf.DUMMYFUNCTION("""COMPUTED_VALUE"""),"Instructor Request- Outdated")</f>
        <v>Instructor Request- Outdated</v>
      </c>
      <c r="F185" s="142" t="str">
        <f>IFERROR(__xludf.DUMMYFUNCTION("""COMPUTED_VALUE"""),"IT and Software")</f>
        <v>IT and Software</v>
      </c>
      <c r="G185" s="142" t="str">
        <f>IFERROR(__xludf.DUMMYFUNCTION("""COMPUTED_VALUE"""),"IT Certifications")</f>
        <v>IT Certifications</v>
      </c>
      <c r="H185">
        <f>IFERROR(__xludf.DUMMYFUNCTION("""COMPUTED_VALUE"""),1567458.0)</f>
        <v>1567458</v>
      </c>
      <c r="I185" s="140" t="str">
        <f>IFERROR(__xludf.DUMMYFUNCTION("""COMPUTED_VALUE"""),"")</f>
        <v/>
      </c>
      <c r="K185" s="140" t="str">
        <f>IFERROR(__xludf.DUMMYFUNCTION("""COMPUTED_VALUE"""),"")</f>
        <v/>
      </c>
    </row>
    <row r="186">
      <c r="A186" s="143">
        <f>IFERROR(__xludf.DUMMYFUNCTION("""COMPUTED_VALUE"""),43312.0)</f>
        <v>43312</v>
      </c>
      <c r="B186" s="140">
        <f>IFERROR(__xludf.DUMMYFUNCTION("""COMPUTED_VALUE"""),374568.0)</f>
        <v>374568</v>
      </c>
      <c r="C186" t="str">
        <f>IFERROR(__xludf.DUMMYFUNCTION("""COMPUTED_VALUE"""),"")</f>
        <v/>
      </c>
      <c r="D186" t="str">
        <f>IFERROR(__xludf.DUMMYFUNCTION("""COMPUTED_VALUE"""),"Scott Duffy")</f>
        <v>Scott Duffy</v>
      </c>
      <c r="E186" t="str">
        <f>IFERROR(__xludf.DUMMYFUNCTION("""COMPUTED_VALUE"""),"Copyright")</f>
        <v>Copyright</v>
      </c>
      <c r="F186" s="142" t="str">
        <f>IFERROR(__xludf.DUMMYFUNCTION("""COMPUTED_VALUE"""),"IT and Software")</f>
        <v>IT and Software</v>
      </c>
      <c r="G186" s="142" t="str">
        <f>IFERROR(__xludf.DUMMYFUNCTION("""COMPUTED_VALUE"""),"IT Certifications")</f>
        <v>IT Certifications</v>
      </c>
      <c r="I186" s="140" t="str">
        <f>IFERROR(__xludf.DUMMYFUNCTION("""COMPUTED_VALUE"""),"")</f>
        <v/>
      </c>
      <c r="K186" s="140" t="str">
        <f>IFERROR(__xludf.DUMMYFUNCTION("""COMPUTED_VALUE"""),"")</f>
        <v/>
      </c>
      <c r="Q186" t="str">
        <f>IFERROR(__xludf.DUMMYFUNCTION("""COMPUTED_VALUE"""),"Course Reinstated")</f>
        <v>Course Reinstated</v>
      </c>
    </row>
    <row r="187">
      <c r="A187" s="143">
        <f>IFERROR(__xludf.DUMMYFUNCTION("""COMPUTED_VALUE"""),43312.0)</f>
        <v>43312</v>
      </c>
      <c r="B187" s="140">
        <f>IFERROR(__xludf.DUMMYFUNCTION("""COMPUTED_VALUE"""),1635276.0)</f>
        <v>1635276</v>
      </c>
      <c r="C187" t="str">
        <f>IFERROR(__xludf.DUMMYFUNCTION("""COMPUTED_VALUE"""),"")</f>
        <v/>
      </c>
      <c r="D187" t="str">
        <f>IFERROR(__xludf.DUMMYFUNCTION("""COMPUTED_VALUE"""),"Mozdora Education")</f>
        <v>Mozdora Education</v>
      </c>
      <c r="E187" t="str">
        <f>IFERROR(__xludf.DUMMYFUNCTION("""COMPUTED_VALUE"""),"Copyright")</f>
        <v>Copyright</v>
      </c>
      <c r="F187" s="142" t="str">
        <f>IFERROR(__xludf.DUMMYFUNCTION("""COMPUTED_VALUE"""),"Management")</f>
        <v>Management</v>
      </c>
      <c r="G187" s="142" t="str">
        <f>IFERROR(__xludf.DUMMYFUNCTION("""COMPUTED_VALUE"""),"Strategy")</f>
        <v>Strategy</v>
      </c>
      <c r="H187">
        <f>IFERROR(__xludf.DUMMYFUNCTION("""COMPUTED_VALUE"""),312662.0)</f>
        <v>312662</v>
      </c>
      <c r="I187" s="140" t="str">
        <f>IFERROR(__xludf.DUMMYFUNCTION("""COMPUTED_VALUE"""),"")</f>
        <v/>
      </c>
      <c r="J187">
        <f>IFERROR(__xludf.DUMMYFUNCTION("""COMPUTED_VALUE"""),1729984.0)</f>
        <v>1729984</v>
      </c>
      <c r="K187" s="140" t="str">
        <f>IFERROR(__xludf.DUMMYFUNCTION("""COMPUTED_VALUE"""),"")</f>
        <v/>
      </c>
    </row>
    <row r="188">
      <c r="A188" s="143">
        <f>IFERROR(__xludf.DUMMYFUNCTION("""COMPUTED_VALUE"""),43312.0)</f>
        <v>43312</v>
      </c>
      <c r="B188" s="140">
        <f>IFERROR(__xludf.DUMMYFUNCTION("""COMPUTED_VALUE"""),1111844.0)</f>
        <v>1111844</v>
      </c>
      <c r="C188" t="str">
        <f>IFERROR(__xludf.DUMMYFUNCTION("""COMPUTED_VALUE"""),"")</f>
        <v/>
      </c>
      <c r="D188" t="str">
        <f>IFERROR(__xludf.DUMMYFUNCTION("""COMPUTED_VALUE"""),"Ian Schoonover")</f>
        <v>Ian Schoonover</v>
      </c>
      <c r="E188" t="str">
        <f>IFERROR(__xludf.DUMMYFUNCTION("""COMPUTED_VALUE"""),"Instructor Request- No Detail")</f>
        <v>Instructor Request- No Detail</v>
      </c>
      <c r="F188" s="142" t="str">
        <f>IFERROR(__xludf.DUMMYFUNCTION("""COMPUTED_VALUE"""),"Development")</f>
        <v>Development</v>
      </c>
      <c r="G188" s="142" t="str">
        <f>IFERROR(__xludf.DUMMYFUNCTION("""COMPUTED_VALUE"""),"Web Development")</f>
        <v>Web Development</v>
      </c>
      <c r="H188">
        <f>IFERROR(__xludf.DUMMYFUNCTION("""COMPUTED_VALUE"""),1065250.0)</f>
        <v>1065250</v>
      </c>
      <c r="I188" s="140" t="str">
        <f>IFERROR(__xludf.DUMMYFUNCTION("""COMPUTED_VALUE"""),"")</f>
        <v/>
      </c>
      <c r="J188">
        <f>IFERROR(__xludf.DUMMYFUNCTION("""COMPUTED_VALUE"""),446608.0)</f>
        <v>446608</v>
      </c>
      <c r="K188" s="140" t="str">
        <f>IFERROR(__xludf.DUMMYFUNCTION("""COMPUTED_VALUE"""),"")</f>
        <v/>
      </c>
    </row>
    <row r="189">
      <c r="A189" s="143">
        <f>IFERROR(__xludf.DUMMYFUNCTION("""COMPUTED_VALUE"""),43312.0)</f>
        <v>43312</v>
      </c>
      <c r="B189" s="140">
        <f>IFERROR(__xludf.DUMMYFUNCTION("""COMPUTED_VALUE"""),914296.0)</f>
        <v>914296</v>
      </c>
      <c r="C189" t="str">
        <f>IFERROR(__xludf.DUMMYFUNCTION("""COMPUTED_VALUE"""),"")</f>
        <v/>
      </c>
      <c r="D189" t="str">
        <f>IFERROR(__xludf.DUMMYFUNCTION("""COMPUTED_VALUE"""),"Rob Percival")</f>
        <v>Rob Percival</v>
      </c>
      <c r="E189" t="str">
        <f>IFERROR(__xludf.DUMMYFUNCTION("""COMPUTED_VALUE"""),"Below Quality Standards- Outdated")</f>
        <v>Below Quality Standards- Outdated</v>
      </c>
      <c r="F189" s="142" t="str">
        <f>IFERROR(__xludf.DUMMYFUNCTION("""COMPUTED_VALUE"""),"Marketing")</f>
        <v>Marketing</v>
      </c>
      <c r="G189" s="142" t="str">
        <f>IFERROR(__xludf.DUMMYFUNCTION("""COMPUTED_VALUE"""),"Digital Marketing")</f>
        <v>Digital Marketing</v>
      </c>
      <c r="H189">
        <f>IFERROR(__xludf.DUMMYFUNCTION("""COMPUTED_VALUE"""),1427000.0)</f>
        <v>1427000</v>
      </c>
      <c r="I189" s="140" t="str">
        <f>IFERROR(__xludf.DUMMYFUNCTION("""COMPUTED_VALUE"""),"")</f>
        <v/>
      </c>
      <c r="K189" s="140" t="str">
        <f>IFERROR(__xludf.DUMMYFUNCTION("""COMPUTED_VALUE"""),"")</f>
        <v/>
      </c>
    </row>
    <row r="190">
      <c r="A190" s="143">
        <f>IFERROR(__xludf.DUMMYFUNCTION("""COMPUTED_VALUE"""),43312.0)</f>
        <v>43312</v>
      </c>
      <c r="B190" s="140">
        <f>IFERROR(__xludf.DUMMYFUNCTION("""COMPUTED_VALUE"""),282450.0)</f>
        <v>282450</v>
      </c>
      <c r="C190" t="str">
        <f>IFERROR(__xludf.DUMMYFUNCTION("""COMPUTED_VALUE"""),"")</f>
        <v/>
      </c>
      <c r="D190" t="str">
        <f>IFERROR(__xludf.DUMMYFUNCTION("""COMPUTED_VALUE"""),"Barry Moore")</f>
        <v>Barry Moore</v>
      </c>
      <c r="E190" t="str">
        <f>IFERROR(__xludf.DUMMYFUNCTION("""COMPUTED_VALUE"""),"Instructor Request- Opted Out")</f>
        <v>Instructor Request- Opted Out</v>
      </c>
      <c r="F190" s="142" t="str">
        <f>IFERROR(__xludf.DUMMYFUNCTION("""COMPUTED_VALUE"""),"Marketing")</f>
        <v>Marketing</v>
      </c>
      <c r="G190" s="142" t="str">
        <f>IFERROR(__xludf.DUMMYFUNCTION("""COMPUTED_VALUE"""),"Digital Marketing")</f>
        <v>Digital Marketing</v>
      </c>
      <c r="I190" s="140" t="str">
        <f>IFERROR(__xludf.DUMMYFUNCTION("""COMPUTED_VALUE"""),"")</f>
        <v/>
      </c>
      <c r="K190" s="140" t="str">
        <f>IFERROR(__xludf.DUMMYFUNCTION("""COMPUTED_VALUE"""),"")</f>
        <v/>
      </c>
      <c r="Q190" t="str">
        <f>IFERROR(__xludf.DUMMYFUNCTION("""COMPUTED_VALUE"""),"Low Demand")</f>
        <v>Low Demand</v>
      </c>
    </row>
    <row r="191">
      <c r="A191" s="143">
        <f>IFERROR(__xludf.DUMMYFUNCTION("""COMPUTED_VALUE"""),43312.0)</f>
        <v>43312</v>
      </c>
      <c r="B191" s="140">
        <f>IFERROR(__xludf.DUMMYFUNCTION("""COMPUTED_VALUE"""),1295292.0)</f>
        <v>1295292</v>
      </c>
      <c r="C191" t="str">
        <f>IFERROR(__xludf.DUMMYFUNCTION("""COMPUTED_VALUE"""),"")</f>
        <v/>
      </c>
      <c r="D191" t="str">
        <f>IFERROR(__xludf.DUMMYFUNCTION("""COMPUTED_VALUE"""),"Shannon O'Dowd-Expert Media Coaching")</f>
        <v>Shannon O'Dowd-Expert Media Coaching</v>
      </c>
      <c r="E191" t="str">
        <f>IFERROR(__xludf.DUMMYFUNCTION("""COMPUTED_VALUE"""),"Instructor Request- Revenue")</f>
        <v>Instructor Request- Revenue</v>
      </c>
      <c r="F191" s="142" t="str">
        <f>IFERROR(__xludf.DUMMYFUNCTION("""COMPUTED_VALUE"""),"Marketing")</f>
        <v>Marketing</v>
      </c>
      <c r="G191" s="142" t="str">
        <f>IFERROR(__xludf.DUMMYFUNCTION("""COMPUTED_VALUE"""),"Public Relations")</f>
        <v>Public Relations</v>
      </c>
      <c r="H191">
        <f>IFERROR(__xludf.DUMMYFUNCTION("""COMPUTED_VALUE"""),142350.0)</f>
        <v>142350</v>
      </c>
      <c r="I191" s="140" t="str">
        <f>IFERROR(__xludf.DUMMYFUNCTION("""COMPUTED_VALUE"""),"")</f>
        <v/>
      </c>
      <c r="K191" s="140" t="str">
        <f>IFERROR(__xludf.DUMMYFUNCTION("""COMPUTED_VALUE"""),"")</f>
        <v/>
      </c>
    </row>
    <row r="192">
      <c r="A192" s="143">
        <f>IFERROR(__xludf.DUMMYFUNCTION("""COMPUTED_VALUE"""),43312.0)</f>
        <v>43312</v>
      </c>
      <c r="B192" s="140">
        <f>IFERROR(__xludf.DUMMYFUNCTION("""COMPUTED_VALUE"""),541692.0)</f>
        <v>541692</v>
      </c>
      <c r="C192" t="str">
        <f>IFERROR(__xludf.DUMMYFUNCTION("""COMPUTED_VALUE"""),"")</f>
        <v/>
      </c>
      <c r="D192" t="str">
        <f>IFERROR(__xludf.DUMMYFUNCTION("""COMPUTED_VALUE"""),"Nikolay Advolodkin")</f>
        <v>Nikolay Advolodkin</v>
      </c>
      <c r="E192" t="str">
        <f>IFERROR(__xludf.DUMMYFUNCTION("""COMPUTED_VALUE"""),"Instructor Practices")</f>
        <v>Instructor Practices</v>
      </c>
      <c r="F192" s="142" t="str">
        <f>IFERROR(__xludf.DUMMYFUNCTION("""COMPUTED_VALUE"""),"Development")</f>
        <v>Development</v>
      </c>
      <c r="G192" s="142" t="str">
        <f>IFERROR(__xludf.DUMMYFUNCTION("""COMPUTED_VALUE"""),"Development Tools")</f>
        <v>Development Tools</v>
      </c>
      <c r="H192">
        <f>IFERROR(__xludf.DUMMYFUNCTION("""COMPUTED_VALUE"""),53670.0)</f>
        <v>53670</v>
      </c>
      <c r="I192" s="140" t="str">
        <f>IFERROR(__xludf.DUMMYFUNCTION("""COMPUTED_VALUE"""),"")</f>
        <v/>
      </c>
      <c r="J192">
        <f>IFERROR(__xludf.DUMMYFUNCTION("""COMPUTED_VALUE"""),1343662.0)</f>
        <v>1343662</v>
      </c>
      <c r="K192" s="140" t="str">
        <f>IFERROR(__xludf.DUMMYFUNCTION("""COMPUTED_VALUE"""),"")</f>
        <v/>
      </c>
    </row>
    <row r="193">
      <c r="A193" s="143">
        <f>IFERROR(__xludf.DUMMYFUNCTION("""COMPUTED_VALUE"""),43312.0)</f>
        <v>43312</v>
      </c>
      <c r="B193" s="140">
        <f>IFERROR(__xludf.DUMMYFUNCTION("""COMPUTED_VALUE"""),1301168.0)</f>
        <v>1301168</v>
      </c>
      <c r="C193" t="str">
        <f>IFERROR(__xludf.DUMMYFUNCTION("""COMPUTED_VALUE"""),"")</f>
        <v/>
      </c>
      <c r="D193" t="str">
        <f>IFERROR(__xludf.DUMMYFUNCTION("""COMPUTED_VALUE"""),"Nikolay Advolodkin")</f>
        <v>Nikolay Advolodkin</v>
      </c>
      <c r="E193" t="str">
        <f>IFERROR(__xludf.DUMMYFUNCTION("""COMPUTED_VALUE"""),"Instructor Practices")</f>
        <v>Instructor Practices</v>
      </c>
      <c r="F193" s="142" t="str">
        <f>IFERROR(__xludf.DUMMYFUNCTION("""COMPUTED_VALUE"""),"Development")</f>
        <v>Development</v>
      </c>
      <c r="G193" s="142" t="str">
        <f>IFERROR(__xludf.DUMMYFUNCTION("""COMPUTED_VALUE"""),"Development Tools")</f>
        <v>Development Tools</v>
      </c>
      <c r="H193">
        <f>IFERROR(__xludf.DUMMYFUNCTION("""COMPUTED_VALUE"""),53670.0)</f>
        <v>53670</v>
      </c>
      <c r="I193" s="140" t="str">
        <f>IFERROR(__xludf.DUMMYFUNCTION("""COMPUTED_VALUE"""),"")</f>
        <v/>
      </c>
      <c r="J193">
        <f>IFERROR(__xludf.DUMMYFUNCTION("""COMPUTED_VALUE"""),1343662.0)</f>
        <v>1343662</v>
      </c>
      <c r="K193" s="140" t="str">
        <f>IFERROR(__xludf.DUMMYFUNCTION("""COMPUTED_VALUE"""),"")</f>
        <v/>
      </c>
    </row>
    <row r="194">
      <c r="A194" s="143">
        <f>IFERROR(__xludf.DUMMYFUNCTION("""COMPUTED_VALUE"""),43312.0)</f>
        <v>43312</v>
      </c>
      <c r="B194" s="140">
        <f>IFERROR(__xludf.DUMMYFUNCTION("""COMPUTED_VALUE"""),1055720.0)</f>
        <v>1055720</v>
      </c>
      <c r="C194" t="str">
        <f>IFERROR(__xludf.DUMMYFUNCTION("""COMPUTED_VALUE"""),"")</f>
        <v/>
      </c>
      <c r="D194" t="str">
        <f>IFERROR(__xludf.DUMMYFUNCTION("""COMPUTED_VALUE"""),"Nikolay Advolodkin")</f>
        <v>Nikolay Advolodkin</v>
      </c>
      <c r="E194" t="str">
        <f>IFERROR(__xludf.DUMMYFUNCTION("""COMPUTED_VALUE"""),"Instructor Practices")</f>
        <v>Instructor Practices</v>
      </c>
      <c r="F194" s="142" t="str">
        <f>IFERROR(__xludf.DUMMYFUNCTION("""COMPUTED_VALUE"""),"Development")</f>
        <v>Development</v>
      </c>
      <c r="G194" s="142" t="str">
        <f>IFERROR(__xludf.DUMMYFUNCTION("""COMPUTED_VALUE"""),"Development Tools")</f>
        <v>Development Tools</v>
      </c>
      <c r="H194">
        <f>IFERROR(__xludf.DUMMYFUNCTION("""COMPUTED_VALUE"""),53670.0)</f>
        <v>53670</v>
      </c>
      <c r="I194" s="140" t="str">
        <f>IFERROR(__xludf.DUMMYFUNCTION("""COMPUTED_VALUE"""),"")</f>
        <v/>
      </c>
      <c r="J194">
        <f>IFERROR(__xludf.DUMMYFUNCTION("""COMPUTED_VALUE"""),1343662.0)</f>
        <v>1343662</v>
      </c>
      <c r="K194" s="140" t="str">
        <f>IFERROR(__xludf.DUMMYFUNCTION("""COMPUTED_VALUE"""),"")</f>
        <v/>
      </c>
    </row>
    <row r="195">
      <c r="A195" s="143">
        <f>IFERROR(__xludf.DUMMYFUNCTION("""COMPUTED_VALUE"""),43312.0)</f>
        <v>43312</v>
      </c>
      <c r="B195" s="140">
        <f>IFERROR(__xludf.DUMMYFUNCTION("""COMPUTED_VALUE"""),854544.0)</f>
        <v>854544</v>
      </c>
      <c r="C195" t="str">
        <f>IFERROR(__xludf.DUMMYFUNCTION("""COMPUTED_VALUE"""),"")</f>
        <v/>
      </c>
      <c r="D195" t="str">
        <f>IFERROR(__xludf.DUMMYFUNCTION("""COMPUTED_VALUE"""),"Nikolay Advolodkin")</f>
        <v>Nikolay Advolodkin</v>
      </c>
      <c r="E195" t="str">
        <f>IFERROR(__xludf.DUMMYFUNCTION("""COMPUTED_VALUE"""),"Instructor Practices")</f>
        <v>Instructor Practices</v>
      </c>
      <c r="F195" s="142" t="str">
        <f>IFERROR(__xludf.DUMMYFUNCTION("""COMPUTED_VALUE"""),"Development")</f>
        <v>Development</v>
      </c>
      <c r="G195" s="142" t="str">
        <f>IFERROR(__xludf.DUMMYFUNCTION("""COMPUTED_VALUE"""),"Development Tools")</f>
        <v>Development Tools</v>
      </c>
      <c r="H195">
        <f>IFERROR(__xludf.DUMMYFUNCTION("""COMPUTED_VALUE"""),53670.0)</f>
        <v>53670</v>
      </c>
      <c r="I195" s="140" t="str">
        <f>IFERROR(__xludf.DUMMYFUNCTION("""COMPUTED_VALUE"""),"")</f>
        <v/>
      </c>
      <c r="J195">
        <f>IFERROR(__xludf.DUMMYFUNCTION("""COMPUTED_VALUE"""),1343662.0)</f>
        <v>1343662</v>
      </c>
      <c r="K195" s="140" t="str">
        <f>IFERROR(__xludf.DUMMYFUNCTION("""COMPUTED_VALUE"""),"")</f>
        <v/>
      </c>
    </row>
    <row r="196">
      <c r="A196" s="143">
        <f>IFERROR(__xludf.DUMMYFUNCTION("""COMPUTED_VALUE"""),43312.0)</f>
        <v>43312</v>
      </c>
      <c r="B196">
        <f>IFERROR(__xludf.DUMMYFUNCTION("""COMPUTED_VALUE"""),250852.0)</f>
        <v>250852</v>
      </c>
      <c r="C196" t="str">
        <f>IFERROR(__xludf.DUMMYFUNCTION("""COMPUTED_VALUE"""),"")</f>
        <v/>
      </c>
      <c r="D196" t="str">
        <f>IFERROR(__xludf.DUMMYFUNCTION("""COMPUTED_VALUE"""),"Toomas Õunap")</f>
        <v>Toomas Õunap</v>
      </c>
      <c r="E196" t="str">
        <f>IFERROR(__xludf.DUMMYFUNCTION("""COMPUTED_VALUE"""),"Instructor Practices")</f>
        <v>Instructor Practices</v>
      </c>
      <c r="F196" s="142" t="str">
        <f>IFERROR(__xludf.DUMMYFUNCTION("""COMPUTED_VALUE"""),"Personal Development")</f>
        <v>Personal Development</v>
      </c>
      <c r="G196" s="142" t="str">
        <f>IFERROR(__xludf.DUMMYFUNCTION("""COMPUTED_VALUE"""),"Stress Management")</f>
        <v>Stress Management</v>
      </c>
      <c r="H196">
        <f>IFERROR(__xludf.DUMMYFUNCTION("""COMPUTED_VALUE"""),466736.0)</f>
        <v>466736</v>
      </c>
      <c r="I196" s="140" t="str">
        <f>IFERROR(__xludf.DUMMYFUNCTION("""COMPUTED_VALUE"""),"")</f>
        <v/>
      </c>
      <c r="J196">
        <f>IFERROR(__xludf.DUMMYFUNCTION("""COMPUTED_VALUE"""),1312698.0)</f>
        <v>1312698</v>
      </c>
      <c r="K196" s="140" t="str">
        <f>IFERROR(__xludf.DUMMYFUNCTION("""COMPUTED_VALUE"""),"")</f>
        <v/>
      </c>
    </row>
    <row r="197">
      <c r="A197" s="143">
        <f>IFERROR(__xludf.DUMMYFUNCTION("""COMPUTED_VALUE"""),43292.0)</f>
        <v>43292</v>
      </c>
      <c r="B197" s="140">
        <f>IFERROR(__xludf.DUMMYFUNCTION("""COMPUTED_VALUE"""),1556924.0)</f>
        <v>1556924</v>
      </c>
      <c r="C197" t="str">
        <f>IFERROR(__xludf.DUMMYFUNCTION("""COMPUTED_VALUE"""),"")</f>
        <v/>
      </c>
      <c r="D197" t="str">
        <f>IFERROR(__xludf.DUMMYFUNCTION("""COMPUTED_VALUE"""),"Notez (Rent a Mind)")</f>
        <v>Notez (Rent a Mind)</v>
      </c>
      <c r="E197" t="str">
        <f>IFERROR(__xludf.DUMMYFUNCTION("""COMPUTED_VALUE"""),"Instructor Practices")</f>
        <v>Instructor Practices</v>
      </c>
      <c r="F197" s="142" t="str">
        <f>IFERROR(__xludf.DUMMYFUNCTION("""COMPUTED_VALUE"""),"IT and Software")</f>
        <v>IT and Software</v>
      </c>
      <c r="G197" s="142" t="str">
        <f>IFERROR(__xludf.DUMMYFUNCTION("""COMPUTED_VALUE"""),"IT Certifications")</f>
        <v>IT Certifications</v>
      </c>
      <c r="H197">
        <f>IFERROR(__xludf.DUMMYFUNCTION("""COMPUTED_VALUE"""),1299656.0)</f>
        <v>1299656</v>
      </c>
      <c r="I197" s="140" t="str">
        <f>IFERROR(__xludf.DUMMYFUNCTION("""COMPUTED_VALUE"""),"")</f>
        <v/>
      </c>
      <c r="K197" s="140" t="str">
        <f>IFERROR(__xludf.DUMMYFUNCTION("""COMPUTED_VALUE"""),"")</f>
        <v/>
      </c>
    </row>
    <row r="198">
      <c r="A198" s="143">
        <f>IFERROR(__xludf.DUMMYFUNCTION("""COMPUTED_VALUE"""),43287.0)</f>
        <v>43287</v>
      </c>
      <c r="B198" s="140">
        <f>IFERROR(__xludf.DUMMYFUNCTION("""COMPUTED_VALUE"""),1205884.0)</f>
        <v>1205884</v>
      </c>
      <c r="C198" t="str">
        <f>IFERROR(__xludf.DUMMYFUNCTION("""COMPUTED_VALUE"""),"")</f>
        <v/>
      </c>
      <c r="D198" t="str">
        <f>IFERROR(__xludf.DUMMYFUNCTION("""COMPUTED_VALUE"""),"Kaavya Jamadagni")</f>
        <v>Kaavya Jamadagni</v>
      </c>
      <c r="E198" t="str">
        <f>IFERROR(__xludf.DUMMYFUNCTION("""COMPUTED_VALUE"""),"Instructor Practices")</f>
        <v>Instructor Practices</v>
      </c>
      <c r="F198" s="142" t="str">
        <f>IFERROR(__xludf.DUMMYFUNCTION("""COMPUTED_VALUE"""),"Project Management and Operations")</f>
        <v>Project Management and Operations</v>
      </c>
      <c r="G198" s="142" t="str">
        <f>IFERROR(__xludf.DUMMYFUNCTION("""COMPUTED_VALUE"""),"Operations Management")</f>
        <v>Operations Management</v>
      </c>
      <c r="H198">
        <f>IFERROR(__xludf.DUMMYFUNCTION("""COMPUTED_VALUE"""),33002.0)</f>
        <v>33002</v>
      </c>
      <c r="I198" s="140" t="str">
        <f>IFERROR(__xludf.DUMMYFUNCTION("""COMPUTED_VALUE"""),"")</f>
        <v/>
      </c>
      <c r="J198">
        <f>IFERROR(__xludf.DUMMYFUNCTION("""COMPUTED_VALUE"""),1014340.0)</f>
        <v>1014340</v>
      </c>
      <c r="K198" s="140" t="str">
        <f>IFERROR(__xludf.DUMMYFUNCTION("""COMPUTED_VALUE"""),"")</f>
        <v/>
      </c>
    </row>
    <row r="199">
      <c r="A199" s="143">
        <f>IFERROR(__xludf.DUMMYFUNCTION("""COMPUTED_VALUE"""),43287.0)</f>
        <v>43287</v>
      </c>
      <c r="B199" s="140">
        <f>IFERROR(__xludf.DUMMYFUNCTION("""COMPUTED_VALUE"""),1364354.0)</f>
        <v>1364354</v>
      </c>
      <c r="C199" t="str">
        <f>IFERROR(__xludf.DUMMYFUNCTION("""COMPUTED_VALUE"""),"")</f>
        <v/>
      </c>
      <c r="D199" t="str">
        <f>IFERROR(__xludf.DUMMYFUNCTION("""COMPUTED_VALUE"""),"Kaavya Jamadagni")</f>
        <v>Kaavya Jamadagni</v>
      </c>
      <c r="E199" t="str">
        <f>IFERROR(__xludf.DUMMYFUNCTION("""COMPUTED_VALUE"""),"Instructor Practices")</f>
        <v>Instructor Practices</v>
      </c>
      <c r="F199" s="142" t="str">
        <f>IFERROR(__xludf.DUMMYFUNCTION("""COMPUTED_VALUE"""),"Project Management and Operations")</f>
        <v>Project Management and Operations</v>
      </c>
      <c r="G199" s="142" t="str">
        <f>IFERROR(__xludf.DUMMYFUNCTION("""COMPUTED_VALUE"""),"Operations Management")</f>
        <v>Operations Management</v>
      </c>
      <c r="H199">
        <f>IFERROR(__xludf.DUMMYFUNCTION("""COMPUTED_VALUE"""),33002.0)</f>
        <v>33002</v>
      </c>
      <c r="I199" s="140" t="str">
        <f>IFERROR(__xludf.DUMMYFUNCTION("""COMPUTED_VALUE"""),"")</f>
        <v/>
      </c>
      <c r="J199">
        <f>IFERROR(__xludf.DUMMYFUNCTION("""COMPUTED_VALUE"""),1014340.0)</f>
        <v>1014340</v>
      </c>
      <c r="K199" s="140" t="str">
        <f>IFERROR(__xludf.DUMMYFUNCTION("""COMPUTED_VALUE"""),"")</f>
        <v/>
      </c>
    </row>
    <row r="200">
      <c r="A200" s="143">
        <f>IFERROR(__xludf.DUMMYFUNCTION("""COMPUTED_VALUE"""),43287.0)</f>
        <v>43287</v>
      </c>
      <c r="B200" s="140">
        <f>IFERROR(__xludf.DUMMYFUNCTION("""COMPUTED_VALUE"""),1691540.0)</f>
        <v>1691540</v>
      </c>
      <c r="C200" t="str">
        <f>IFERROR(__xludf.DUMMYFUNCTION("""COMPUTED_VALUE"""),"")</f>
        <v/>
      </c>
      <c r="D200" t="str">
        <f>IFERROR(__xludf.DUMMYFUNCTION("""COMPUTED_VALUE"""),"Kaavya Jamadagni")</f>
        <v>Kaavya Jamadagni</v>
      </c>
      <c r="E200" t="str">
        <f>IFERROR(__xludf.DUMMYFUNCTION("""COMPUTED_VALUE"""),"Instructor Practices")</f>
        <v>Instructor Practices</v>
      </c>
      <c r="F200" s="142" t="str">
        <f>IFERROR(__xludf.DUMMYFUNCTION("""COMPUTED_VALUE"""),"Project Management and Operations")</f>
        <v>Project Management and Operations</v>
      </c>
      <c r="G200" s="142" t="str">
        <f>IFERROR(__xludf.DUMMYFUNCTION("""COMPUTED_VALUE"""),"Operations Management")</f>
        <v>Operations Management</v>
      </c>
      <c r="I200" s="140" t="str">
        <f>IFERROR(__xludf.DUMMYFUNCTION("""COMPUTED_VALUE"""),"")</f>
        <v/>
      </c>
      <c r="K200" s="140" t="str">
        <f>IFERROR(__xludf.DUMMYFUNCTION("""COMPUTED_VALUE"""),"")</f>
        <v/>
      </c>
      <c r="Q200" t="str">
        <f>IFERROR(__xludf.DUMMYFUNCTION("""COMPUTED_VALUE"""),"Topic on Priority List- 1946810")</f>
        <v>Topic on Priority List- 1946810</v>
      </c>
    </row>
    <row r="201">
      <c r="A201" s="143">
        <f>IFERROR(__xludf.DUMMYFUNCTION("""COMPUTED_VALUE"""),43286.0)</f>
        <v>43286</v>
      </c>
      <c r="B201" s="140">
        <f>IFERROR(__xludf.DUMMYFUNCTION("""COMPUTED_VALUE"""),988240.0)</f>
        <v>988240</v>
      </c>
      <c r="C201" t="str">
        <f>IFERROR(__xludf.DUMMYFUNCTION("""COMPUTED_VALUE"""),"")</f>
        <v/>
      </c>
      <c r="D201" t="str">
        <f>IFERROR(__xludf.DUMMYFUNCTION("""COMPUTED_VALUE"""),"VENLAX TECHNOLOGIES")</f>
        <v>VENLAX TECHNOLOGIES</v>
      </c>
      <c r="E201" t="str">
        <f>IFERROR(__xludf.DUMMYFUNCTION("""COMPUTED_VALUE"""),"Instructor Practices")</f>
        <v>Instructor Practices</v>
      </c>
      <c r="F201" s="142" t="str">
        <f>IFERROR(__xludf.DUMMYFUNCTION("""COMPUTED_VALUE"""),"Project Management and Operations")</f>
        <v>Project Management and Operations</v>
      </c>
      <c r="G201" s="142" t="str">
        <f>IFERROR(__xludf.DUMMYFUNCTION("""COMPUTED_VALUE"""),"Operations Management")</f>
        <v>Operations Management</v>
      </c>
      <c r="I201" s="140" t="str">
        <f>IFERROR(__xludf.DUMMYFUNCTION("""COMPUTED_VALUE"""),"")</f>
        <v/>
      </c>
      <c r="K201" s="140" t="str">
        <f>IFERROR(__xludf.DUMMYFUNCTION("""COMPUTED_VALUE"""),"")</f>
        <v/>
      </c>
      <c r="Q201" t="str">
        <f>IFERROR(__xludf.DUMMYFUNCTION("""COMPUTED_VALUE"""),"Topic on Priority List- 1946810")</f>
        <v>Topic on Priority List- 1946810</v>
      </c>
    </row>
    <row r="202">
      <c r="A202" s="143">
        <f>IFERROR(__xludf.DUMMYFUNCTION("""COMPUTED_VALUE"""),43280.0)</f>
        <v>43280</v>
      </c>
      <c r="B202" s="140">
        <f>IFERROR(__xludf.DUMMYFUNCTION("""COMPUTED_VALUE"""),240058.0)</f>
        <v>240058</v>
      </c>
      <c r="C202" t="str">
        <f>IFERROR(__xludf.DUMMYFUNCTION("""COMPUTED_VALUE"""),"")</f>
        <v/>
      </c>
      <c r="D202" t="str">
        <f>IFERROR(__xludf.DUMMYFUNCTION("""COMPUTED_VALUE"""),"Jesse Boyer")</f>
        <v>Jesse Boyer</v>
      </c>
      <c r="E202" t="str">
        <f>IFERROR(__xludf.DUMMYFUNCTION("""COMPUTED_VALUE"""),"Below Quality Standards")</f>
        <v>Below Quality Standards</v>
      </c>
      <c r="F202" t="str">
        <f>IFERROR(__xludf.DUMMYFUNCTION("""COMPUTED_VALUE"""),"Development")</f>
        <v>Development</v>
      </c>
      <c r="G202" t="str">
        <f>IFERROR(__xludf.DUMMYFUNCTION("""COMPUTED_VALUE"""),"Databases")</f>
        <v>Databases</v>
      </c>
      <c r="H202">
        <f>IFERROR(__xludf.DUMMYFUNCTION("""COMPUTED_VALUE"""),1238886.0)</f>
        <v>1238886</v>
      </c>
      <c r="I202" s="140" t="str">
        <f>IFERROR(__xludf.DUMMYFUNCTION("""COMPUTED_VALUE"""),"")</f>
        <v/>
      </c>
      <c r="J202">
        <f>IFERROR(__xludf.DUMMYFUNCTION("""COMPUTED_VALUE"""),899534.0)</f>
        <v>899534</v>
      </c>
      <c r="K202" s="140" t="str">
        <f>IFERROR(__xludf.DUMMYFUNCTION("""COMPUTED_VALUE"""),"")</f>
        <v/>
      </c>
    </row>
    <row r="203">
      <c r="A203" s="143">
        <f>IFERROR(__xludf.DUMMYFUNCTION("""COMPUTED_VALUE"""),43280.0)</f>
        <v>43280</v>
      </c>
      <c r="B203" s="140">
        <f>IFERROR(__xludf.DUMMYFUNCTION("""COMPUTED_VALUE"""),405840.0)</f>
        <v>405840</v>
      </c>
      <c r="C203" t="str">
        <f>IFERROR(__xludf.DUMMYFUNCTION("""COMPUTED_VALUE"""),"")</f>
        <v/>
      </c>
      <c r="D203" t="str">
        <f>IFERROR(__xludf.DUMMYFUNCTION("""COMPUTED_VALUE"""),"Edwin Diaz")</f>
        <v>Edwin Diaz</v>
      </c>
      <c r="E203" t="str">
        <f>IFERROR(__xludf.DUMMYFUNCTION("""COMPUTED_VALUE"""),"Below Quality Standards")</f>
        <v>Below Quality Standards</v>
      </c>
      <c r="F203" t="str">
        <f>IFERROR(__xludf.DUMMYFUNCTION("""COMPUTED_VALUE"""),"Development")</f>
        <v>Development</v>
      </c>
      <c r="G203" t="str">
        <f>IFERROR(__xludf.DUMMYFUNCTION("""COMPUTED_VALUE"""),"Programming")</f>
        <v>Programming</v>
      </c>
      <c r="H203">
        <f>IFERROR(__xludf.DUMMYFUNCTION("""COMPUTED_VALUE"""),1330272.0)</f>
        <v>1330272</v>
      </c>
      <c r="I203" s="140" t="str">
        <f>IFERROR(__xludf.DUMMYFUNCTION("""COMPUTED_VALUE"""),"")</f>
        <v/>
      </c>
      <c r="J203">
        <f>IFERROR(__xludf.DUMMYFUNCTION("""COMPUTED_VALUE"""),942222.0)</f>
        <v>942222</v>
      </c>
      <c r="K203" s="140" t="str">
        <f>IFERROR(__xludf.DUMMYFUNCTION("""COMPUTED_VALUE"""),"")</f>
        <v/>
      </c>
    </row>
    <row r="204">
      <c r="A204" s="143">
        <f>IFERROR(__xludf.DUMMYFUNCTION("""COMPUTED_VALUE"""),43280.0)</f>
        <v>43280</v>
      </c>
      <c r="B204" s="140">
        <f>IFERROR(__xludf.DUMMYFUNCTION("""COMPUTED_VALUE"""),363854.0)</f>
        <v>363854</v>
      </c>
      <c r="C204" t="str">
        <f>IFERROR(__xludf.DUMMYFUNCTION("""COMPUTED_VALUE"""),"")</f>
        <v/>
      </c>
      <c r="D204" t="str">
        <f>IFERROR(__xludf.DUMMYFUNCTION("""COMPUTED_VALUE"""),"Ben Tristem")</f>
        <v>Ben Tristem</v>
      </c>
      <c r="E204" t="str">
        <f>IFERROR(__xludf.DUMMYFUNCTION("""COMPUTED_VALUE"""),"Instructor Request- Outdated")</f>
        <v>Instructor Request- Outdated</v>
      </c>
      <c r="F204" t="str">
        <f>IFERROR(__xludf.DUMMYFUNCTION("""COMPUTED_VALUE"""),"Development")</f>
        <v>Development</v>
      </c>
      <c r="G204" t="str">
        <f>IFERROR(__xludf.DUMMYFUNCTION("""COMPUTED_VALUE"""),"Mobile Development")</f>
        <v>Mobile Development</v>
      </c>
      <c r="H204">
        <f>IFERROR(__xludf.DUMMYFUNCTION("""COMPUTED_VALUE"""),822660.0)</f>
        <v>822660</v>
      </c>
      <c r="I204" s="140" t="str">
        <f>IFERROR(__xludf.DUMMYFUNCTION("""COMPUTED_VALUE"""),"")</f>
        <v/>
      </c>
      <c r="J204">
        <f>IFERROR(__xludf.DUMMYFUNCTION("""COMPUTED_VALUE"""),980770.0)</f>
        <v>980770</v>
      </c>
      <c r="K204" s="140" t="str">
        <f>IFERROR(__xludf.DUMMYFUNCTION("""COMPUTED_VALUE"""),"")</f>
        <v/>
      </c>
    </row>
    <row r="205">
      <c r="A205" s="143">
        <f>IFERROR(__xludf.DUMMYFUNCTION("""COMPUTED_VALUE"""),43280.0)</f>
        <v>43280</v>
      </c>
      <c r="B205" s="140">
        <f>IFERROR(__xludf.DUMMYFUNCTION("""COMPUTED_VALUE"""),897842.0)</f>
        <v>897842</v>
      </c>
      <c r="C205" t="str">
        <f>IFERROR(__xludf.DUMMYFUNCTION("""COMPUTED_VALUE"""),"")</f>
        <v/>
      </c>
      <c r="D205" t="str">
        <f>IFERROR(__xludf.DUMMYFUNCTION("""COMPUTED_VALUE"""),"Intellezy Trainers")</f>
        <v>Intellezy Trainers</v>
      </c>
      <c r="E205" t="str">
        <f>IFERROR(__xludf.DUMMYFUNCTION("""COMPUTED_VALUE"""),"Below Quality Standards")</f>
        <v>Below Quality Standards</v>
      </c>
      <c r="F205" t="str">
        <f>IFERROR(__xludf.DUMMYFUNCTION("""COMPUTED_VALUE"""),"IT and Software")</f>
        <v>IT and Software</v>
      </c>
      <c r="G205" t="str">
        <f>IFERROR(__xludf.DUMMYFUNCTION("""COMPUTED_VALUE"""),"Operating Systems and Servers")</f>
        <v>Operating Systems and Servers</v>
      </c>
      <c r="H205">
        <f>IFERROR(__xludf.DUMMYFUNCTION("""COMPUTED_VALUE"""),1180172.0)</f>
        <v>1180172</v>
      </c>
      <c r="I205" s="140" t="str">
        <f>IFERROR(__xludf.DUMMYFUNCTION("""COMPUTED_VALUE"""),"")</f>
        <v/>
      </c>
      <c r="K205" s="140" t="str">
        <f>IFERROR(__xludf.DUMMYFUNCTION("""COMPUTED_VALUE"""),"")</f>
        <v/>
      </c>
    </row>
    <row r="206">
      <c r="A206" s="143">
        <f>IFERROR(__xludf.DUMMYFUNCTION("""COMPUTED_VALUE"""),43280.0)</f>
        <v>43280</v>
      </c>
      <c r="B206" s="140">
        <f>IFERROR(__xludf.DUMMYFUNCTION("""COMPUTED_VALUE"""),543314.0)</f>
        <v>543314</v>
      </c>
      <c r="C206" t="str">
        <f>IFERROR(__xludf.DUMMYFUNCTION("""COMPUTED_VALUE"""),"")</f>
        <v/>
      </c>
      <c r="D206" t="str">
        <f>IFERROR(__xludf.DUMMYFUNCTION("""COMPUTED_VALUE"""),"Bob Marx")</f>
        <v>Bob Marx</v>
      </c>
      <c r="E206" t="str">
        <f>IFERROR(__xludf.DUMMYFUNCTION("""COMPUTED_VALUE"""),"Below Quality Standards")</f>
        <v>Below Quality Standards</v>
      </c>
      <c r="F206" t="str">
        <f>IFERROR(__xludf.DUMMYFUNCTION("""COMPUTED_VALUE"""),"Sales")</f>
        <v>Sales</v>
      </c>
      <c r="G206" t="str">
        <f>IFERROR(__xludf.DUMMYFUNCTION("""COMPUTED_VALUE"""),"Sales Skills")</f>
        <v>Sales Skills</v>
      </c>
      <c r="H206">
        <f>IFERROR(__xludf.DUMMYFUNCTION("""COMPUTED_VALUE"""),563478.0)</f>
        <v>563478</v>
      </c>
      <c r="I206" s="140" t="str">
        <f>IFERROR(__xludf.DUMMYFUNCTION("""COMPUTED_VALUE"""),"")</f>
        <v/>
      </c>
      <c r="J206">
        <f>IFERROR(__xludf.DUMMYFUNCTION("""COMPUTED_VALUE"""),1504268.0)</f>
        <v>1504268</v>
      </c>
      <c r="K206" s="140" t="str">
        <f>IFERROR(__xludf.DUMMYFUNCTION("""COMPUTED_VALUE"""),"")</f>
        <v/>
      </c>
    </row>
    <row r="207">
      <c r="A207" s="143">
        <f>IFERROR(__xludf.DUMMYFUNCTION("""COMPUTED_VALUE"""),43280.0)</f>
        <v>43280</v>
      </c>
      <c r="B207" s="140">
        <f>IFERROR(__xludf.DUMMYFUNCTION("""COMPUTED_VALUE"""),53639.0)</f>
        <v>53639</v>
      </c>
      <c r="C207" t="str">
        <f>IFERROR(__xludf.DUMMYFUNCTION("""COMPUTED_VALUE"""),"")</f>
        <v/>
      </c>
      <c r="D207" t="str">
        <f>IFERROR(__xludf.DUMMYFUNCTION("""COMPUTED_VALUE"""),"Phil Ebiner")</f>
        <v>Phil Ebiner</v>
      </c>
      <c r="E207" t="str">
        <f>IFERROR(__xludf.DUMMYFUNCTION("""COMPUTED_VALUE"""),"Instructor Request- Outdated")</f>
        <v>Instructor Request- Outdated</v>
      </c>
      <c r="F207" t="str">
        <f>IFERROR(__xludf.DUMMYFUNCTION("""COMPUTED_VALUE"""),"Design")</f>
        <v>Design</v>
      </c>
      <c r="G207" t="str">
        <f>IFERROR(__xludf.DUMMYFUNCTION("""COMPUTED_VALUE"""),"3D and Animation")</f>
        <v>3D and Animation</v>
      </c>
      <c r="H207">
        <f>IFERROR(__xludf.DUMMYFUNCTION("""COMPUTED_VALUE"""),627730.0)</f>
        <v>627730</v>
      </c>
      <c r="I207" s="140" t="str">
        <f>IFERROR(__xludf.DUMMYFUNCTION("""COMPUTED_VALUE"""),"")</f>
        <v/>
      </c>
      <c r="J207">
        <f>IFERROR(__xludf.DUMMYFUNCTION("""COMPUTED_VALUE"""),927360.0)</f>
        <v>927360</v>
      </c>
      <c r="K207" s="140" t="str">
        <f>IFERROR(__xludf.DUMMYFUNCTION("""COMPUTED_VALUE"""),"")</f>
        <v/>
      </c>
    </row>
    <row r="208">
      <c r="A208" s="143">
        <f>IFERROR(__xludf.DUMMYFUNCTION("""COMPUTED_VALUE"""),43280.0)</f>
        <v>43280</v>
      </c>
      <c r="B208" s="140">
        <f>IFERROR(__xludf.DUMMYFUNCTION("""COMPUTED_VALUE"""),658244.0)</f>
        <v>658244</v>
      </c>
      <c r="C208" t="str">
        <f>IFERROR(__xludf.DUMMYFUNCTION("""COMPUTED_VALUE"""),"")</f>
        <v/>
      </c>
      <c r="D208" t="str">
        <f>IFERROR(__xludf.DUMMYFUNCTION("""COMPUTED_VALUE"""),"HubSpot Academy")</f>
        <v>HubSpot Academy</v>
      </c>
      <c r="E208" t="str">
        <f>IFERROR(__xludf.DUMMYFUNCTION("""COMPUTED_VALUE"""),"Instructor Request- Opted Out")</f>
        <v>Instructor Request- Opted Out</v>
      </c>
      <c r="F208" t="str">
        <f>IFERROR(__xludf.DUMMYFUNCTION("""COMPUTED_VALUE"""),"Marketing")</f>
        <v>Marketing</v>
      </c>
      <c r="G208" t="str">
        <f>IFERROR(__xludf.DUMMYFUNCTION("""COMPUTED_VALUE"""),"Paid Advertising")</f>
        <v>Paid Advertising</v>
      </c>
      <c r="H208">
        <f>IFERROR(__xludf.DUMMYFUNCTION("""COMPUTED_VALUE"""),1270870.0)</f>
        <v>1270870</v>
      </c>
      <c r="I208" s="140" t="str">
        <f>IFERROR(__xludf.DUMMYFUNCTION("""COMPUTED_VALUE"""),"")</f>
        <v/>
      </c>
      <c r="J208">
        <f>IFERROR(__xludf.DUMMYFUNCTION("""COMPUTED_VALUE"""),1465486.0)</f>
        <v>1465486</v>
      </c>
      <c r="K208" s="140" t="str">
        <f>IFERROR(__xludf.DUMMYFUNCTION("""COMPUTED_VALUE"""),"")</f>
        <v/>
      </c>
    </row>
    <row r="209">
      <c r="A209" s="143">
        <f>IFERROR(__xludf.DUMMYFUNCTION("""COMPUTED_VALUE"""),43280.0)</f>
        <v>43280</v>
      </c>
      <c r="B209" s="140">
        <f>IFERROR(__xludf.DUMMYFUNCTION("""COMPUTED_VALUE"""),851362.0)</f>
        <v>851362</v>
      </c>
      <c r="C209" t="str">
        <f>IFERROR(__xludf.DUMMYFUNCTION("""COMPUTED_VALUE"""),"")</f>
        <v/>
      </c>
      <c r="D209" t="str">
        <f>IFERROR(__xludf.DUMMYFUNCTION("""COMPUTED_VALUE"""),"HubSpot Academy")</f>
        <v>HubSpot Academy</v>
      </c>
      <c r="E209" t="str">
        <f>IFERROR(__xludf.DUMMYFUNCTION("""COMPUTED_VALUE"""),"Instructor Request- Opted Out")</f>
        <v>Instructor Request- Opted Out</v>
      </c>
      <c r="F209" t="str">
        <f>IFERROR(__xludf.DUMMYFUNCTION("""COMPUTED_VALUE"""),"Sales")</f>
        <v>Sales</v>
      </c>
      <c r="G209" t="str">
        <f>IFERROR(__xludf.DUMMYFUNCTION("""COMPUTED_VALUE"""),"Sales Skills")</f>
        <v>Sales Skills</v>
      </c>
      <c r="H209">
        <f>IFERROR(__xludf.DUMMYFUNCTION("""COMPUTED_VALUE"""),1347836.0)</f>
        <v>1347836</v>
      </c>
      <c r="I209" s="140" t="str">
        <f>IFERROR(__xludf.DUMMYFUNCTION("""COMPUTED_VALUE"""),"")</f>
        <v/>
      </c>
      <c r="J209">
        <f>IFERROR(__xludf.DUMMYFUNCTION("""COMPUTED_VALUE"""),563478.0)</f>
        <v>563478</v>
      </c>
      <c r="K209" s="140" t="str">
        <f>IFERROR(__xludf.DUMMYFUNCTION("""COMPUTED_VALUE"""),"")</f>
        <v/>
      </c>
    </row>
    <row r="210">
      <c r="A210" s="143">
        <f>IFERROR(__xludf.DUMMYFUNCTION("""COMPUTED_VALUE"""),43280.0)</f>
        <v>43280</v>
      </c>
      <c r="B210" s="140">
        <f>IFERROR(__xludf.DUMMYFUNCTION("""COMPUTED_VALUE"""),1014958.0)</f>
        <v>1014958</v>
      </c>
      <c r="C210" t="str">
        <f>IFERROR(__xludf.DUMMYFUNCTION("""COMPUTED_VALUE"""),"")</f>
        <v/>
      </c>
      <c r="D210" t="str">
        <f>IFERROR(__xludf.DUMMYFUNCTION("""COMPUTED_VALUE"""),"HubSpot Academy")</f>
        <v>HubSpot Academy</v>
      </c>
      <c r="E210" t="str">
        <f>IFERROR(__xludf.DUMMYFUNCTION("""COMPUTED_VALUE"""),"Instructor Request- Opted Out")</f>
        <v>Instructor Request- Opted Out</v>
      </c>
      <c r="F210" t="str">
        <f>IFERROR(__xludf.DUMMYFUNCTION("""COMPUTED_VALUE"""),"Marketing")</f>
        <v>Marketing</v>
      </c>
      <c r="G210" t="str">
        <f>IFERROR(__xludf.DUMMYFUNCTION("""COMPUTED_VALUE"""),"Content and Email Marketing")</f>
        <v>Content and Email Marketing</v>
      </c>
      <c r="H210">
        <f>IFERROR(__xludf.DUMMYFUNCTION("""COMPUTED_VALUE"""),810196.0)</f>
        <v>810196</v>
      </c>
      <c r="I210" s="140" t="str">
        <f>IFERROR(__xludf.DUMMYFUNCTION("""COMPUTED_VALUE"""),"")</f>
        <v/>
      </c>
      <c r="J210">
        <f>IFERROR(__xludf.DUMMYFUNCTION("""COMPUTED_VALUE"""),1331661.0)</f>
        <v>1331661</v>
      </c>
      <c r="K210" s="140" t="str">
        <f>IFERROR(__xludf.DUMMYFUNCTION("""COMPUTED_VALUE"""),"")</f>
        <v/>
      </c>
    </row>
    <row r="211">
      <c r="A211" s="143">
        <f>IFERROR(__xludf.DUMMYFUNCTION("""COMPUTED_VALUE"""),43280.0)</f>
        <v>43280</v>
      </c>
      <c r="B211" s="140">
        <f>IFERROR(__xludf.DUMMYFUNCTION("""COMPUTED_VALUE"""),1251578.0)</f>
        <v>1251578</v>
      </c>
      <c r="C211" t="str">
        <f>IFERROR(__xludf.DUMMYFUNCTION("""COMPUTED_VALUE"""),"")</f>
        <v/>
      </c>
      <c r="D211" t="str">
        <f>IFERROR(__xludf.DUMMYFUNCTION("""COMPUTED_VALUE"""),"Frank Kane")</f>
        <v>Frank Kane</v>
      </c>
      <c r="E211" t="str">
        <f>IFERROR(__xludf.DUMMYFUNCTION("""COMPUTED_VALUE"""),"Instructor Request- Outdated")</f>
        <v>Instructor Request- Outdated</v>
      </c>
      <c r="F211" t="str">
        <f>IFERROR(__xludf.DUMMYFUNCTION("""COMPUTED_VALUE"""),"Development")</f>
        <v>Development</v>
      </c>
      <c r="G211" t="str">
        <f>IFERROR(__xludf.DUMMYFUNCTION("""COMPUTED_VALUE"""),"Databases")</f>
        <v>Databases</v>
      </c>
      <c r="H211">
        <f>IFERROR(__xludf.DUMMYFUNCTION("""COMPUTED_VALUE"""),1478894.0)</f>
        <v>1478894</v>
      </c>
      <c r="I211" s="140" t="str">
        <f>IFERROR(__xludf.DUMMYFUNCTION("""COMPUTED_VALUE"""),"")</f>
        <v/>
      </c>
      <c r="J211">
        <f>IFERROR(__xludf.DUMMYFUNCTION("""COMPUTED_VALUE"""),693188.0)</f>
        <v>693188</v>
      </c>
      <c r="K211" s="140" t="str">
        <f>IFERROR(__xludf.DUMMYFUNCTION("""COMPUTED_VALUE"""),"")</f>
        <v/>
      </c>
    </row>
    <row r="212">
      <c r="A212" s="143">
        <f>IFERROR(__xludf.DUMMYFUNCTION("""COMPUTED_VALUE"""),43280.0)</f>
        <v>43280</v>
      </c>
      <c r="B212" s="140">
        <f>IFERROR(__xludf.DUMMYFUNCTION("""COMPUTED_VALUE"""),989650.0)</f>
        <v>989650</v>
      </c>
      <c r="C212" t="str">
        <f>IFERROR(__xludf.DUMMYFUNCTION("""COMPUTED_VALUE"""),"")</f>
        <v/>
      </c>
      <c r="D212" t="str">
        <f>IFERROR(__xludf.DUMMYFUNCTION("""COMPUTED_VALUE"""),"Vladimir Raykov")</f>
        <v>Vladimir Raykov</v>
      </c>
      <c r="E212" t="str">
        <f>IFERROR(__xludf.DUMMYFUNCTION("""COMPUTED_VALUE"""),"Below Quality Standards")</f>
        <v>Below Quality Standards</v>
      </c>
      <c r="F212" t="str">
        <f>IFERROR(__xludf.DUMMYFUNCTION("""COMPUTED_VALUE"""),"Marketing")</f>
        <v>Marketing</v>
      </c>
      <c r="G212" t="str">
        <f>IFERROR(__xludf.DUMMYFUNCTION("""COMPUTED_VALUE"""),"Marketing Strategy")</f>
        <v>Marketing Strategy</v>
      </c>
      <c r="H212">
        <f>IFERROR(__xludf.DUMMYFUNCTION("""COMPUTED_VALUE"""),1312124.0)</f>
        <v>1312124</v>
      </c>
      <c r="I212" s="140" t="str">
        <f>IFERROR(__xludf.DUMMYFUNCTION("""COMPUTED_VALUE"""),"")</f>
        <v/>
      </c>
      <c r="J212">
        <f>IFERROR(__xludf.DUMMYFUNCTION("""COMPUTED_VALUE"""),497736.0)</f>
        <v>497736</v>
      </c>
      <c r="K212" s="140" t="str">
        <f>IFERROR(__xludf.DUMMYFUNCTION("""COMPUTED_VALUE"""),"")</f>
        <v/>
      </c>
    </row>
    <row r="213">
      <c r="A213" s="143">
        <f>IFERROR(__xludf.DUMMYFUNCTION("""COMPUTED_VALUE"""),43280.0)</f>
        <v>43280</v>
      </c>
      <c r="B213" s="140">
        <f>IFERROR(__xludf.DUMMYFUNCTION("""COMPUTED_VALUE"""),779436.0)</f>
        <v>779436</v>
      </c>
      <c r="C213" t="str">
        <f>IFERROR(__xludf.DUMMYFUNCTION("""COMPUTED_VALUE"""),"")</f>
        <v/>
      </c>
      <c r="D213" t="str">
        <f>IFERROR(__xludf.DUMMYFUNCTION("""COMPUTED_VALUE"""),"Aaron Ward")</f>
        <v>Aaron Ward</v>
      </c>
      <c r="E213" t="str">
        <f>IFERROR(__xludf.DUMMYFUNCTION("""COMPUTED_VALUE"""),"Below Quality Standards")</f>
        <v>Below Quality Standards</v>
      </c>
      <c r="F213" t="str">
        <f>IFERROR(__xludf.DUMMYFUNCTION("""COMPUTED_VALUE"""),"Marketing")</f>
        <v>Marketing</v>
      </c>
      <c r="G213" t="str">
        <f>IFERROR(__xludf.DUMMYFUNCTION("""COMPUTED_VALUE"""),"Social Media")</f>
        <v>Social Media</v>
      </c>
      <c r="H213">
        <f>IFERROR(__xludf.DUMMYFUNCTION("""COMPUTED_VALUE"""),484606.0)</f>
        <v>484606</v>
      </c>
      <c r="I213" s="140" t="str">
        <f>IFERROR(__xludf.DUMMYFUNCTION("""COMPUTED_VALUE"""),"")</f>
        <v/>
      </c>
      <c r="J213">
        <f>IFERROR(__xludf.DUMMYFUNCTION("""COMPUTED_VALUE"""),1263554.0)</f>
        <v>1263554</v>
      </c>
      <c r="K213" s="140" t="str">
        <f>IFERROR(__xludf.DUMMYFUNCTION("""COMPUTED_VALUE"""),"")</f>
        <v/>
      </c>
    </row>
    <row r="214">
      <c r="A214" s="143">
        <f>IFERROR(__xludf.DUMMYFUNCTION("""COMPUTED_VALUE"""),43280.0)</f>
        <v>43280</v>
      </c>
      <c r="B214" s="140">
        <f>IFERROR(__xludf.DUMMYFUNCTION("""COMPUTED_VALUE"""),857726.0)</f>
        <v>857726</v>
      </c>
      <c r="C214" t="str">
        <f>IFERROR(__xludf.DUMMYFUNCTION("""COMPUTED_VALUE"""),"")</f>
        <v/>
      </c>
      <c r="D214" t="str">
        <f>IFERROR(__xludf.DUMMYFUNCTION("""COMPUTED_VALUE"""),"HubSpot Academy")</f>
        <v>HubSpot Academy</v>
      </c>
      <c r="E214" t="str">
        <f>IFERROR(__xludf.DUMMYFUNCTION("""COMPUTED_VALUE"""),"Instructor Request- Opted Out")</f>
        <v>Instructor Request- Opted Out</v>
      </c>
      <c r="F214" t="str">
        <f>IFERROR(__xludf.DUMMYFUNCTION("""COMPUTED_VALUE"""),"Marketing")</f>
        <v>Marketing</v>
      </c>
      <c r="G214" t="str">
        <f>IFERROR(__xludf.DUMMYFUNCTION("""COMPUTED_VALUE"""),"Content and Email Marketing")</f>
        <v>Content and Email Marketing</v>
      </c>
      <c r="H214">
        <f>IFERROR(__xludf.DUMMYFUNCTION("""COMPUTED_VALUE"""),1467664.0)</f>
        <v>1467664</v>
      </c>
      <c r="I214" s="140" t="str">
        <f>IFERROR(__xludf.DUMMYFUNCTION("""COMPUTED_VALUE"""),"")</f>
        <v/>
      </c>
      <c r="J214">
        <f>IFERROR(__xludf.DUMMYFUNCTION("""COMPUTED_VALUE"""),573994.0)</f>
        <v>573994</v>
      </c>
      <c r="K214" s="140" t="str">
        <f>IFERROR(__xludf.DUMMYFUNCTION("""COMPUTED_VALUE"""),"")</f>
        <v/>
      </c>
    </row>
    <row r="215">
      <c r="A215" s="143">
        <f>IFERROR(__xludf.DUMMYFUNCTION("""COMPUTED_VALUE"""),43280.0)</f>
        <v>43280</v>
      </c>
      <c r="B215" s="140">
        <f>IFERROR(__xludf.DUMMYFUNCTION("""COMPUTED_VALUE"""),816354.0)</f>
        <v>816354</v>
      </c>
      <c r="C215" t="str">
        <f>IFERROR(__xludf.DUMMYFUNCTION("""COMPUTED_VALUE"""),"")</f>
        <v/>
      </c>
      <c r="D215" t="str">
        <f>IFERROR(__xludf.DUMMYFUNCTION("""COMPUTED_VALUE"""),"Barry Winbolt")</f>
        <v>Barry Winbolt</v>
      </c>
      <c r="E215" t="str">
        <f>IFERROR(__xludf.DUMMYFUNCTION("""COMPUTED_VALUE"""),"Below Quality Standards")</f>
        <v>Below Quality Standards</v>
      </c>
      <c r="F215" t="str">
        <f>IFERROR(__xludf.DUMMYFUNCTION("""COMPUTED_VALUE"""),"Management")</f>
        <v>Management</v>
      </c>
      <c r="G215" t="str">
        <f>IFERROR(__xludf.DUMMYFUNCTION("""COMPUTED_VALUE"""),"Communication")</f>
        <v>Communication</v>
      </c>
      <c r="H215">
        <f>IFERROR(__xludf.DUMMYFUNCTION("""COMPUTED_VALUE"""),1428724.0)</f>
        <v>1428724</v>
      </c>
      <c r="I215" s="140" t="str">
        <f>IFERROR(__xludf.DUMMYFUNCTION("""COMPUTED_VALUE"""),"")</f>
        <v/>
      </c>
      <c r="J215">
        <f>IFERROR(__xludf.DUMMYFUNCTION("""COMPUTED_VALUE"""),526000.0)</f>
        <v>526000</v>
      </c>
      <c r="K215" s="140" t="str">
        <f>IFERROR(__xludf.DUMMYFUNCTION("""COMPUTED_VALUE"""),"")</f>
        <v/>
      </c>
    </row>
    <row r="216">
      <c r="A216" s="143">
        <f>IFERROR(__xludf.DUMMYFUNCTION("""COMPUTED_VALUE"""),43280.0)</f>
        <v>43280</v>
      </c>
      <c r="B216" s="140">
        <f>IFERROR(__xludf.DUMMYFUNCTION("""COMPUTED_VALUE"""),43441.0)</f>
        <v>43441</v>
      </c>
      <c r="C216" t="str">
        <f>IFERROR(__xludf.DUMMYFUNCTION("""COMPUTED_VALUE"""),"")</f>
        <v/>
      </c>
      <c r="D216" t="str">
        <f>IFERROR(__xludf.DUMMYFUNCTION("""COMPUTED_VALUE"""),"Hari Swaminathan")</f>
        <v>Hari Swaminathan</v>
      </c>
      <c r="E216" t="str">
        <f>IFERROR(__xludf.DUMMYFUNCTION("""COMPUTED_VALUE"""),"Below Quality Standards")</f>
        <v>Below Quality Standards</v>
      </c>
      <c r="F216" t="str">
        <f>IFERROR(__xludf.DUMMYFUNCTION("""COMPUTED_VALUE"""),"Finance and Accounting")</f>
        <v>Finance and Accounting</v>
      </c>
      <c r="G216" t="str">
        <f>IFERROR(__xludf.DUMMYFUNCTION("""COMPUTED_VALUE"""),"Investing and Trading")</f>
        <v>Investing and Trading</v>
      </c>
      <c r="H216">
        <f>IFERROR(__xludf.DUMMYFUNCTION("""COMPUTED_VALUE"""),767256.0)</f>
        <v>767256</v>
      </c>
      <c r="I216" s="140" t="str">
        <f>IFERROR(__xludf.DUMMYFUNCTION("""COMPUTED_VALUE"""),"")</f>
        <v/>
      </c>
      <c r="J216">
        <f>IFERROR(__xludf.DUMMYFUNCTION("""COMPUTED_VALUE"""),316750.0)</f>
        <v>316750</v>
      </c>
      <c r="K216" s="140" t="str">
        <f>IFERROR(__xludf.DUMMYFUNCTION("""COMPUTED_VALUE"""),"")</f>
        <v/>
      </c>
    </row>
    <row r="217">
      <c r="A217" s="143">
        <f>IFERROR(__xludf.DUMMYFUNCTION("""COMPUTED_VALUE"""),43280.0)</f>
        <v>43280</v>
      </c>
      <c r="B217" s="140">
        <f>IFERROR(__xludf.DUMMYFUNCTION("""COMPUTED_VALUE"""),669076.0)</f>
        <v>669076</v>
      </c>
      <c r="C217" t="str">
        <f>IFERROR(__xludf.DUMMYFUNCTION("""COMPUTED_VALUE"""),"")</f>
        <v/>
      </c>
      <c r="D217" t="str">
        <f>IFERROR(__xludf.DUMMYFUNCTION("""COMPUTED_VALUE"""),"Maged Koshty")</f>
        <v>Maged Koshty</v>
      </c>
      <c r="E217" t="str">
        <f>IFERROR(__xludf.DUMMYFUNCTION("""COMPUTED_VALUE"""),"Below Quality Standards")</f>
        <v>Below Quality Standards</v>
      </c>
      <c r="F217" t="str">
        <f>IFERROR(__xludf.DUMMYFUNCTION("""COMPUTED_VALUE"""),"Development")</f>
        <v>Development</v>
      </c>
      <c r="G217" t="str">
        <f>IFERROR(__xludf.DUMMYFUNCTION("""COMPUTED_VALUE"""),"Programming")</f>
        <v>Programming</v>
      </c>
      <c r="H217">
        <f>IFERROR(__xludf.DUMMYFUNCTION("""COMPUTED_VALUE"""),77732.0)</f>
        <v>77732</v>
      </c>
      <c r="I217" s="140" t="str">
        <f>IFERROR(__xludf.DUMMYFUNCTION("""COMPUTED_VALUE"""),"")</f>
        <v/>
      </c>
      <c r="K217" s="140" t="str">
        <f>IFERROR(__xludf.DUMMYFUNCTION("""COMPUTED_VALUE"""),"")</f>
        <v/>
      </c>
    </row>
    <row r="218">
      <c r="A218" s="143">
        <f>IFERROR(__xludf.DUMMYFUNCTION("""COMPUTED_VALUE"""),43280.0)</f>
        <v>43280</v>
      </c>
      <c r="B218" s="140">
        <f>IFERROR(__xludf.DUMMYFUNCTION("""COMPUTED_VALUE"""),1081978.0)</f>
        <v>1081978</v>
      </c>
      <c r="C218" t="str">
        <f>IFERROR(__xludf.DUMMYFUNCTION("""COMPUTED_VALUE"""),"")</f>
        <v/>
      </c>
      <c r="D218" t="str">
        <f>IFERROR(__xludf.DUMMYFUNCTION("""COMPUTED_VALUE"""),"Jason Taylor")</f>
        <v>Jason Taylor</v>
      </c>
      <c r="E218" t="str">
        <f>IFERROR(__xludf.DUMMYFUNCTION("""COMPUTED_VALUE"""),"Below Quality Standards")</f>
        <v>Below Quality Standards</v>
      </c>
      <c r="F218" t="str">
        <f>IFERROR(__xludf.DUMMYFUNCTION("""COMPUTED_VALUE"""),"Development")</f>
        <v>Development</v>
      </c>
      <c r="G218" t="str">
        <f>IFERROR(__xludf.DUMMYFUNCTION("""COMPUTED_VALUE"""),"Development Tools")</f>
        <v>Development Tools</v>
      </c>
      <c r="H218">
        <f>IFERROR(__xludf.DUMMYFUNCTION("""COMPUTED_VALUE"""),1141808.0)</f>
        <v>1141808</v>
      </c>
      <c r="I218" s="140" t="str">
        <f>IFERROR(__xludf.DUMMYFUNCTION("""COMPUTED_VALUE"""),"")</f>
        <v/>
      </c>
      <c r="J218">
        <f>IFERROR(__xludf.DUMMYFUNCTION("""COMPUTED_VALUE"""),1034400.0)</f>
        <v>1034400</v>
      </c>
      <c r="K218" s="140" t="str">
        <f>IFERROR(__xludf.DUMMYFUNCTION("""COMPUTED_VALUE"""),"")</f>
        <v/>
      </c>
    </row>
    <row r="219">
      <c r="A219" s="143">
        <f>IFERROR(__xludf.DUMMYFUNCTION("""COMPUTED_VALUE"""),43280.0)</f>
        <v>43280</v>
      </c>
      <c r="B219" s="140">
        <f>IFERROR(__xludf.DUMMYFUNCTION("""COMPUTED_VALUE"""),1088972.0)</f>
        <v>1088972</v>
      </c>
      <c r="C219" t="str">
        <f>IFERROR(__xludf.DUMMYFUNCTION("""COMPUTED_VALUE"""),"")</f>
        <v/>
      </c>
      <c r="D219" t="str">
        <f>IFERROR(__xludf.DUMMYFUNCTION("""COMPUTED_VALUE"""),"HubSpot Academy")</f>
        <v>HubSpot Academy</v>
      </c>
      <c r="E219" t="str">
        <f>IFERROR(__xludf.DUMMYFUNCTION("""COMPUTED_VALUE"""),"Instructor Request- Opted Out")</f>
        <v>Instructor Request- Opted Out</v>
      </c>
      <c r="F219" t="str">
        <f>IFERROR(__xludf.DUMMYFUNCTION("""COMPUTED_VALUE"""),"Design")</f>
        <v>Design</v>
      </c>
      <c r="G219" t="str">
        <f>IFERROR(__xludf.DUMMYFUNCTION("""COMPUTED_VALUE"""),"Web Design")</f>
        <v>Web Design</v>
      </c>
      <c r="H219">
        <f>IFERROR(__xludf.DUMMYFUNCTION("""COMPUTED_VALUE"""),8814.0)</f>
        <v>8814</v>
      </c>
      <c r="I219" s="140" t="str">
        <f>IFERROR(__xludf.DUMMYFUNCTION("""COMPUTED_VALUE"""),"")</f>
        <v/>
      </c>
      <c r="K219" s="140" t="str">
        <f>IFERROR(__xludf.DUMMYFUNCTION("""COMPUTED_VALUE"""),"")</f>
        <v/>
      </c>
      <c r="Q219" s="145" t="str">
        <f>IFERROR(__xludf.DUMMYFUNCTION("""COMPUTED_VALUE"""),"Low Demand")</f>
        <v>Low Demand</v>
      </c>
    </row>
    <row r="220">
      <c r="A220" s="143">
        <f>IFERROR(__xludf.DUMMYFUNCTION("""COMPUTED_VALUE"""),43280.0)</f>
        <v>43280</v>
      </c>
      <c r="B220" s="140">
        <f>IFERROR(__xludf.DUMMYFUNCTION("""COMPUTED_VALUE"""),1110366.0)</f>
        <v>1110366</v>
      </c>
      <c r="C220" t="str">
        <f>IFERROR(__xludf.DUMMYFUNCTION("""COMPUTED_VALUE"""),"")</f>
        <v/>
      </c>
      <c r="D220" t="str">
        <f>IFERROR(__xludf.DUMMYFUNCTION("""COMPUTED_VALUE"""),"GoTrained Academy")</f>
        <v>GoTrained Academy</v>
      </c>
      <c r="E220" t="str">
        <f>IFERROR(__xludf.DUMMYFUNCTION("""COMPUTED_VALUE"""),"Instructor Request- Opted Out")</f>
        <v>Instructor Request- Opted Out</v>
      </c>
      <c r="F220" t="str">
        <f>IFERROR(__xludf.DUMMYFUNCTION("""COMPUTED_VALUE"""),"Development")</f>
        <v>Development</v>
      </c>
      <c r="G220" t="str">
        <f>IFERROR(__xludf.DUMMYFUNCTION("""COMPUTED_VALUE"""),"Programming")</f>
        <v>Programming</v>
      </c>
      <c r="H220">
        <f>IFERROR(__xludf.DUMMYFUNCTION("""COMPUTED_VALUE"""),1518164.0)</f>
        <v>1518164</v>
      </c>
      <c r="I220" s="140" t="str">
        <f>IFERROR(__xludf.DUMMYFUNCTION("""COMPUTED_VALUE"""),"")</f>
        <v/>
      </c>
      <c r="K220" s="140" t="str">
        <f>IFERROR(__xludf.DUMMYFUNCTION("""COMPUTED_VALUE"""),"")</f>
        <v/>
      </c>
    </row>
    <row r="221">
      <c r="A221" s="143">
        <f>IFERROR(__xludf.DUMMYFUNCTION("""COMPUTED_VALUE"""),43280.0)</f>
        <v>43280</v>
      </c>
      <c r="B221" s="140">
        <f>IFERROR(__xludf.DUMMYFUNCTION("""COMPUTED_VALUE"""),407294.0)</f>
        <v>407294</v>
      </c>
      <c r="C221" t="str">
        <f>IFERROR(__xludf.DUMMYFUNCTION("""COMPUTED_VALUE"""),"")</f>
        <v/>
      </c>
      <c r="D221" t="str">
        <f>IFERROR(__xludf.DUMMYFUNCTION("""COMPUTED_VALUE"""),"Chad Neuman, Ph.D.")</f>
        <v>Chad Neuman, Ph.D.</v>
      </c>
      <c r="E221" t="str">
        <f>IFERROR(__xludf.DUMMYFUNCTION("""COMPUTED_VALUE"""),"Below Quality Standards")</f>
        <v>Below Quality Standards</v>
      </c>
      <c r="F221" t="str">
        <f>IFERROR(__xludf.DUMMYFUNCTION("""COMPUTED_VALUE"""),"Marketing")</f>
        <v>Marketing</v>
      </c>
      <c r="G221" t="str">
        <f>IFERROR(__xludf.DUMMYFUNCTION("""COMPUTED_VALUE"""),"Social Media")</f>
        <v>Social Media</v>
      </c>
      <c r="H221">
        <f>IFERROR(__xludf.DUMMYFUNCTION("""COMPUTED_VALUE"""),302746.0)</f>
        <v>302746</v>
      </c>
      <c r="I221" s="140" t="str">
        <f>IFERROR(__xludf.DUMMYFUNCTION("""COMPUTED_VALUE"""),"")</f>
        <v/>
      </c>
      <c r="J221">
        <f>IFERROR(__xludf.DUMMYFUNCTION("""COMPUTED_VALUE"""),1427000.0)</f>
        <v>1427000</v>
      </c>
      <c r="K221" s="140" t="str">
        <f>IFERROR(__xludf.DUMMYFUNCTION("""COMPUTED_VALUE"""),"")</f>
        <v/>
      </c>
    </row>
    <row r="222">
      <c r="A222" s="143">
        <f>IFERROR(__xludf.DUMMYFUNCTION("""COMPUTED_VALUE"""),43280.0)</f>
        <v>43280</v>
      </c>
      <c r="B222" s="140">
        <f>IFERROR(__xludf.DUMMYFUNCTION("""COMPUTED_VALUE"""),737722.0)</f>
        <v>737722</v>
      </c>
      <c r="C222" t="str">
        <f>IFERROR(__xludf.DUMMYFUNCTION("""COMPUTED_VALUE"""),"")</f>
        <v/>
      </c>
      <c r="D222" t="str">
        <f>IFERROR(__xludf.DUMMYFUNCTION("""COMPUTED_VALUE"""),"Shubham Kalra")</f>
        <v>Shubham Kalra</v>
      </c>
      <c r="E222" t="str">
        <f>IFERROR(__xludf.DUMMYFUNCTION("""COMPUTED_VALUE"""),"Below Quality Standards")</f>
        <v>Below Quality Standards</v>
      </c>
      <c r="F222" t="str">
        <f>IFERROR(__xludf.DUMMYFUNCTION("""COMPUTED_VALUE"""),"Management")</f>
        <v>Management</v>
      </c>
      <c r="G222" t="str">
        <f>IFERROR(__xludf.DUMMYFUNCTION("""COMPUTED_VALUE"""),"Strategy")</f>
        <v>Strategy</v>
      </c>
      <c r="I222" s="140" t="str">
        <f>IFERROR(__xludf.DUMMYFUNCTION("""COMPUTED_VALUE"""),"")</f>
        <v/>
      </c>
      <c r="K222" s="140" t="str">
        <f>IFERROR(__xludf.DUMMYFUNCTION("""COMPUTED_VALUE"""),"")</f>
        <v/>
      </c>
      <c r="Q222" s="145" t="str">
        <f>IFERROR(__xludf.DUMMYFUNCTION("""COMPUTED_VALUE"""),"Low Demand")</f>
        <v>Low Demand</v>
      </c>
    </row>
    <row r="223">
      <c r="A223" s="143">
        <f>IFERROR(__xludf.DUMMYFUNCTION("""COMPUTED_VALUE"""),43280.0)</f>
        <v>43280</v>
      </c>
      <c r="B223" s="140">
        <f>IFERROR(__xludf.DUMMYFUNCTION("""COMPUTED_VALUE"""),365672.0)</f>
        <v>365672</v>
      </c>
      <c r="C223" t="str">
        <f>IFERROR(__xludf.DUMMYFUNCTION("""COMPUTED_VALUE"""),"")</f>
        <v/>
      </c>
      <c r="D223" t="str">
        <f>IFERROR(__xludf.DUMMYFUNCTION("""COMPUTED_VALUE"""),"Mark Fiveman")</f>
        <v>Mark Fiveman</v>
      </c>
      <c r="E223" t="str">
        <f>IFERROR(__xludf.DUMMYFUNCTION("""COMPUTED_VALUE"""),"Below Quality Standards")</f>
        <v>Below Quality Standards</v>
      </c>
      <c r="F223" t="str">
        <f>IFERROR(__xludf.DUMMYFUNCTION("""COMPUTED_VALUE"""),"Human Resources")</f>
        <v>Human Resources</v>
      </c>
      <c r="G223" t="str">
        <f>IFERROR(__xludf.DUMMYFUNCTION("""COMPUTED_VALUE"""),"Learning and Organizational Development")</f>
        <v>Learning and Organizational Development</v>
      </c>
      <c r="H223">
        <f>IFERROR(__xludf.DUMMYFUNCTION("""COMPUTED_VALUE"""),312042.0)</f>
        <v>312042</v>
      </c>
      <c r="I223" s="140" t="str">
        <f>IFERROR(__xludf.DUMMYFUNCTION("""COMPUTED_VALUE"""),"")</f>
        <v/>
      </c>
      <c r="J223">
        <f>IFERROR(__xludf.DUMMYFUNCTION("""COMPUTED_VALUE"""),821278.0)</f>
        <v>821278</v>
      </c>
      <c r="K223" s="140" t="str">
        <f>IFERROR(__xludf.DUMMYFUNCTION("""COMPUTED_VALUE"""),"")</f>
        <v/>
      </c>
    </row>
    <row r="224">
      <c r="A224" s="143">
        <f>IFERROR(__xludf.DUMMYFUNCTION("""COMPUTED_VALUE"""),43280.0)</f>
        <v>43280</v>
      </c>
      <c r="B224" s="140">
        <f>IFERROR(__xludf.DUMMYFUNCTION("""COMPUTED_VALUE"""),531898.0)</f>
        <v>531898</v>
      </c>
      <c r="C224" t="str">
        <f>IFERROR(__xludf.DUMMYFUNCTION("""COMPUTED_VALUE"""),"")</f>
        <v/>
      </c>
      <c r="D224" t="str">
        <f>IFERROR(__xludf.DUMMYFUNCTION("""COMPUTED_VALUE"""),"Scott Duffy")</f>
        <v>Scott Duffy</v>
      </c>
      <c r="E224" t="str">
        <f>IFERROR(__xludf.DUMMYFUNCTION("""COMPUTED_VALUE"""),"Below Quality Standards")</f>
        <v>Below Quality Standards</v>
      </c>
      <c r="F224" t="str">
        <f>IFERROR(__xludf.DUMMYFUNCTION("""COMPUTED_VALUE"""),"Development")</f>
        <v>Development</v>
      </c>
      <c r="G224" t="str">
        <f>IFERROR(__xludf.DUMMYFUNCTION("""COMPUTED_VALUE"""),"Programming")</f>
        <v>Programming</v>
      </c>
      <c r="H224">
        <f>IFERROR(__xludf.DUMMYFUNCTION("""COMPUTED_VALUE"""),1323362.0)</f>
        <v>1323362</v>
      </c>
      <c r="I224" s="140" t="str">
        <f>IFERROR(__xludf.DUMMYFUNCTION("""COMPUTED_VALUE"""),"")</f>
        <v/>
      </c>
      <c r="J224">
        <f>IFERROR(__xludf.DUMMYFUNCTION("""COMPUTED_VALUE"""),1548060.0)</f>
        <v>1548060</v>
      </c>
      <c r="K224" s="140" t="str">
        <f>IFERROR(__xludf.DUMMYFUNCTION("""COMPUTED_VALUE"""),"")</f>
        <v/>
      </c>
    </row>
    <row r="225">
      <c r="A225" s="143">
        <f>IFERROR(__xludf.DUMMYFUNCTION("""COMPUTED_VALUE"""),43280.0)</f>
        <v>43280</v>
      </c>
      <c r="B225" s="140">
        <f>IFERROR(__xludf.DUMMYFUNCTION("""COMPUTED_VALUE"""),27868.0)</f>
        <v>27868</v>
      </c>
      <c r="C225" t="str">
        <f>IFERROR(__xludf.DUMMYFUNCTION("""COMPUTED_VALUE"""),"")</f>
        <v/>
      </c>
      <c r="D225" t="str">
        <f>IFERROR(__xludf.DUMMYFUNCTION("""COMPUTED_VALUE"""),"Fluent Software Solutions")</f>
        <v>Fluent Software Solutions</v>
      </c>
      <c r="E225" t="str">
        <f>IFERROR(__xludf.DUMMYFUNCTION("""COMPUTED_VALUE"""),"Below Quality Standards")</f>
        <v>Below Quality Standards</v>
      </c>
      <c r="F225" t="str">
        <f>IFERROR(__xludf.DUMMYFUNCTION("""COMPUTED_VALUE"""),"Development")</f>
        <v>Development</v>
      </c>
      <c r="G225" t="str">
        <f>IFERROR(__xludf.DUMMYFUNCTION("""COMPUTED_VALUE"""),"Mobile Development")</f>
        <v>Mobile Development</v>
      </c>
      <c r="H225">
        <f>IFERROR(__xludf.DUMMYFUNCTION("""COMPUTED_VALUE"""),1140452.0)</f>
        <v>1140452</v>
      </c>
      <c r="I225" s="140" t="str">
        <f>IFERROR(__xludf.DUMMYFUNCTION("""COMPUTED_VALUE"""),"")</f>
        <v/>
      </c>
      <c r="K225" s="140" t="str">
        <f>IFERROR(__xludf.DUMMYFUNCTION("""COMPUTED_VALUE"""),"")</f>
        <v/>
      </c>
    </row>
    <row r="226">
      <c r="A226" s="143">
        <f>IFERROR(__xludf.DUMMYFUNCTION("""COMPUTED_VALUE"""),43280.0)</f>
        <v>43280</v>
      </c>
      <c r="B226" s="140">
        <f>IFERROR(__xludf.DUMMYFUNCTION("""COMPUTED_VALUE"""),1004878.0)</f>
        <v>1004878</v>
      </c>
      <c r="C226" t="str">
        <f>IFERROR(__xludf.DUMMYFUNCTION("""COMPUTED_VALUE"""),"")</f>
        <v/>
      </c>
      <c r="D226" t="str">
        <f>IFERROR(__xludf.DUMMYFUNCTION("""COMPUTED_VALUE"""),"Nic Raboy")</f>
        <v>Nic Raboy</v>
      </c>
      <c r="E226" t="str">
        <f>IFERROR(__xludf.DUMMYFUNCTION("""COMPUTED_VALUE"""),"Below Quality Standards")</f>
        <v>Below Quality Standards</v>
      </c>
      <c r="F226" t="str">
        <f>IFERROR(__xludf.DUMMYFUNCTION("""COMPUTED_VALUE"""),"Development")</f>
        <v>Development</v>
      </c>
      <c r="G226" t="str">
        <f>IFERROR(__xludf.DUMMYFUNCTION("""COMPUTED_VALUE"""),"Mobile Development")</f>
        <v>Mobile Development</v>
      </c>
      <c r="I226" s="140" t="str">
        <f>IFERROR(__xludf.DUMMYFUNCTION("""COMPUTED_VALUE"""),"")</f>
        <v/>
      </c>
      <c r="K226" s="140" t="str">
        <f>IFERROR(__xludf.DUMMYFUNCTION("""COMPUTED_VALUE"""),"")</f>
        <v/>
      </c>
      <c r="Q226" s="145" t="str">
        <f>IFERROR(__xludf.DUMMYFUNCTION("""COMPUTED_VALUE"""),"Topic on Priority List- 1406707")</f>
        <v>Topic on Priority List- 1406707</v>
      </c>
    </row>
    <row r="227">
      <c r="A227" s="143">
        <f>IFERROR(__xludf.DUMMYFUNCTION("""COMPUTED_VALUE"""),43280.0)</f>
        <v>43280</v>
      </c>
      <c r="B227" s="140">
        <f>IFERROR(__xludf.DUMMYFUNCTION("""COMPUTED_VALUE"""),1164844.0)</f>
        <v>1164844</v>
      </c>
      <c r="C227" t="str">
        <f>IFERROR(__xludf.DUMMYFUNCTION("""COMPUTED_VALUE"""),"")</f>
        <v/>
      </c>
      <c r="D227" t="str">
        <f>IFERROR(__xludf.DUMMYFUNCTION("""COMPUTED_VALUE"""),"Neeraj Srivastava")</f>
        <v>Neeraj Srivastava</v>
      </c>
      <c r="E227" t="str">
        <f>IFERROR(__xludf.DUMMYFUNCTION("""COMPUTED_VALUE"""),"Below Quality Standards")</f>
        <v>Below Quality Standards</v>
      </c>
      <c r="F227" t="str">
        <f>IFERROR(__xludf.DUMMYFUNCTION("""COMPUTED_VALUE"""),"Development")</f>
        <v>Development</v>
      </c>
      <c r="G227" t="str">
        <f>IFERROR(__xludf.DUMMYFUNCTION("""COMPUTED_VALUE"""),"Databases")</f>
        <v>Databases</v>
      </c>
      <c r="H227">
        <f>IFERROR(__xludf.DUMMYFUNCTION("""COMPUTED_VALUE"""),1136074.0)</f>
        <v>1136074</v>
      </c>
      <c r="I227" s="140" t="str">
        <f>IFERROR(__xludf.DUMMYFUNCTION("""COMPUTED_VALUE"""),"")</f>
        <v/>
      </c>
      <c r="J227">
        <f>IFERROR(__xludf.DUMMYFUNCTION("""COMPUTED_VALUE"""),1464932.0)</f>
        <v>1464932</v>
      </c>
      <c r="K227" s="140" t="str">
        <f>IFERROR(__xludf.DUMMYFUNCTION("""COMPUTED_VALUE"""),"")</f>
        <v/>
      </c>
    </row>
    <row r="228">
      <c r="A228" s="143">
        <f>IFERROR(__xludf.DUMMYFUNCTION("""COMPUTED_VALUE"""),43280.0)</f>
        <v>43280</v>
      </c>
      <c r="B228" s="140">
        <f>IFERROR(__xludf.DUMMYFUNCTION("""COMPUTED_VALUE"""),665042.0)</f>
        <v>665042</v>
      </c>
      <c r="C228" t="str">
        <f>IFERROR(__xludf.DUMMYFUNCTION("""COMPUTED_VALUE"""),"")</f>
        <v/>
      </c>
      <c r="D228" t="str">
        <f>IFERROR(__xludf.DUMMYFUNCTION("""COMPUTED_VALUE"""),"Yonathan Ayenew")</f>
        <v>Yonathan Ayenew</v>
      </c>
      <c r="E228" t="str">
        <f>IFERROR(__xludf.DUMMYFUNCTION("""COMPUTED_VALUE"""),"Below Quality Standards")</f>
        <v>Below Quality Standards</v>
      </c>
      <c r="F228" t="str">
        <f>IFERROR(__xludf.DUMMYFUNCTION("""COMPUTED_VALUE"""),"Development")</f>
        <v>Development</v>
      </c>
      <c r="G228" t="str">
        <f>IFERROR(__xludf.DUMMYFUNCTION("""COMPUTED_VALUE"""),"Web Development")</f>
        <v>Web Development</v>
      </c>
      <c r="H228">
        <f>IFERROR(__xludf.DUMMYFUNCTION("""COMPUTED_VALUE"""),835604.0)</f>
        <v>835604</v>
      </c>
      <c r="I228" s="140" t="str">
        <f>IFERROR(__xludf.DUMMYFUNCTION("""COMPUTED_VALUE"""),"")</f>
        <v/>
      </c>
      <c r="J228">
        <f>IFERROR(__xludf.DUMMYFUNCTION("""COMPUTED_VALUE"""),519442.0)</f>
        <v>519442</v>
      </c>
      <c r="K228" s="140" t="str">
        <f>IFERROR(__xludf.DUMMYFUNCTION("""COMPUTED_VALUE"""),"")</f>
        <v/>
      </c>
    </row>
    <row r="229">
      <c r="A229" s="143">
        <f>IFERROR(__xludf.DUMMYFUNCTION("""COMPUTED_VALUE"""),43280.0)</f>
        <v>43280</v>
      </c>
      <c r="B229" s="140">
        <f>IFERROR(__xludf.DUMMYFUNCTION("""COMPUTED_VALUE"""),555984.0)</f>
        <v>555984</v>
      </c>
      <c r="C229" t="str">
        <f>IFERROR(__xludf.DUMMYFUNCTION("""COMPUTED_VALUE"""),"")</f>
        <v/>
      </c>
      <c r="D229" t="str">
        <f>IFERROR(__xludf.DUMMYFUNCTION("""COMPUTED_VALUE"""),"Bob Marx")</f>
        <v>Bob Marx</v>
      </c>
      <c r="E229" t="str">
        <f>IFERROR(__xludf.DUMMYFUNCTION("""COMPUTED_VALUE"""),"Below Quality Standards")</f>
        <v>Below Quality Standards</v>
      </c>
      <c r="F229" t="str">
        <f>IFERROR(__xludf.DUMMYFUNCTION("""COMPUTED_VALUE"""),"Sales")</f>
        <v>Sales</v>
      </c>
      <c r="G229" t="str">
        <f>IFERROR(__xludf.DUMMYFUNCTION("""COMPUTED_VALUE"""),"Sales Skills")</f>
        <v>Sales Skills</v>
      </c>
      <c r="H229">
        <f>IFERROR(__xludf.DUMMYFUNCTION("""COMPUTED_VALUE"""),563478.0)</f>
        <v>563478</v>
      </c>
      <c r="I229" s="140" t="str">
        <f>IFERROR(__xludf.DUMMYFUNCTION("""COMPUTED_VALUE"""),"")</f>
        <v/>
      </c>
      <c r="J229">
        <f>IFERROR(__xludf.DUMMYFUNCTION("""COMPUTED_VALUE"""),1504268.0)</f>
        <v>1504268</v>
      </c>
      <c r="K229" s="140" t="str">
        <f>IFERROR(__xludf.DUMMYFUNCTION("""COMPUTED_VALUE"""),"")</f>
        <v/>
      </c>
    </row>
    <row r="230">
      <c r="A230" s="143">
        <f>IFERROR(__xludf.DUMMYFUNCTION("""COMPUTED_VALUE"""),43280.0)</f>
        <v>43280</v>
      </c>
      <c r="B230" s="140">
        <f>IFERROR(__xludf.DUMMYFUNCTION("""COMPUTED_VALUE"""),531360.0)</f>
        <v>531360</v>
      </c>
      <c r="C230" t="str">
        <f>IFERROR(__xludf.DUMMYFUNCTION("""COMPUTED_VALUE"""),"")</f>
        <v/>
      </c>
      <c r="D230" t="str">
        <f>IFERROR(__xludf.DUMMYFUNCTION("""COMPUTED_VALUE"""),"Mashrur Hossain")</f>
        <v>Mashrur Hossain</v>
      </c>
      <c r="E230" t="str">
        <f>IFERROR(__xludf.DUMMYFUNCTION("""COMPUTED_VALUE"""),"Below Quality Standards- Outdated")</f>
        <v>Below Quality Standards- Outdated</v>
      </c>
      <c r="F230" t="str">
        <f>IFERROR(__xludf.DUMMYFUNCTION("""COMPUTED_VALUE"""),"Development")</f>
        <v>Development</v>
      </c>
      <c r="G230" t="str">
        <f>IFERROR(__xludf.DUMMYFUNCTION("""COMPUTED_VALUE"""),"Web Development")</f>
        <v>Web Development</v>
      </c>
      <c r="H230">
        <f>IFERROR(__xludf.DUMMYFUNCTION("""COMPUTED_VALUE"""),937586.0)</f>
        <v>937586</v>
      </c>
      <c r="I230" s="140" t="str">
        <f>IFERROR(__xludf.DUMMYFUNCTION("""COMPUTED_VALUE"""),"")</f>
        <v/>
      </c>
      <c r="K230" s="140" t="str">
        <f>IFERROR(__xludf.DUMMYFUNCTION("""COMPUTED_VALUE"""),"")</f>
        <v/>
      </c>
    </row>
    <row r="231">
      <c r="A231" s="143">
        <f>IFERROR(__xludf.DUMMYFUNCTION("""COMPUTED_VALUE"""),43280.0)</f>
        <v>43280</v>
      </c>
      <c r="B231" s="140">
        <f>IFERROR(__xludf.DUMMYFUNCTION("""COMPUTED_VALUE"""),1305944.0)</f>
        <v>1305944</v>
      </c>
      <c r="C231" t="str">
        <f>IFERROR(__xludf.DUMMYFUNCTION("""COMPUTED_VALUE"""),"")</f>
        <v/>
      </c>
      <c r="D231" t="str">
        <f>IFERROR(__xludf.DUMMYFUNCTION("""COMPUTED_VALUE"""),"Peter Gruenbaum")</f>
        <v>Peter Gruenbaum</v>
      </c>
      <c r="E231" t="str">
        <f>IFERROR(__xludf.DUMMYFUNCTION("""COMPUTED_VALUE"""),"Below Quality Standards")</f>
        <v>Below Quality Standards</v>
      </c>
      <c r="F231" t="str">
        <f>IFERROR(__xludf.DUMMYFUNCTION("""COMPUTED_VALUE"""),"Development")</f>
        <v>Development</v>
      </c>
      <c r="G231" t="str">
        <f>IFERROR(__xludf.DUMMYFUNCTION("""COMPUTED_VALUE"""),"Web Development")</f>
        <v>Web Development</v>
      </c>
      <c r="H231">
        <f>IFERROR(__xludf.DUMMYFUNCTION("""COMPUTED_VALUE"""),802366.0)</f>
        <v>802366</v>
      </c>
      <c r="I231" s="140" t="str">
        <f>IFERROR(__xludf.DUMMYFUNCTION("""COMPUTED_VALUE"""),"")</f>
        <v/>
      </c>
      <c r="K231" s="140" t="str">
        <f>IFERROR(__xludf.DUMMYFUNCTION("""COMPUTED_VALUE"""),"")</f>
        <v/>
      </c>
      <c r="Q231" s="145" t="str">
        <f>IFERROR(__xludf.DUMMYFUNCTION("""COMPUTED_VALUE"""),"Topic on Priority List- 1405545")</f>
        <v>Topic on Priority List- 1405545</v>
      </c>
    </row>
    <row r="232">
      <c r="A232" s="143">
        <f>IFERROR(__xludf.DUMMYFUNCTION("""COMPUTED_VALUE"""),43280.0)</f>
        <v>43280</v>
      </c>
      <c r="B232" s="140">
        <f>IFERROR(__xludf.DUMMYFUNCTION("""COMPUTED_VALUE"""),1186464.0)</f>
        <v>1186464</v>
      </c>
      <c r="C232" t="str">
        <f>IFERROR(__xludf.DUMMYFUNCTION("""COMPUTED_VALUE"""),"")</f>
        <v/>
      </c>
      <c r="D232" t="str">
        <f>IFERROR(__xludf.DUMMYFUNCTION("""COMPUTED_VALUE"""),"Scott Duffy")</f>
        <v>Scott Duffy</v>
      </c>
      <c r="E232" t="str">
        <f>IFERROR(__xludf.DUMMYFUNCTION("""COMPUTED_VALUE"""),"Below Quality Standards")</f>
        <v>Below Quality Standards</v>
      </c>
      <c r="F232" t="str">
        <f>IFERROR(__xludf.DUMMYFUNCTION("""COMPUTED_VALUE"""),"IT and Software")</f>
        <v>IT and Software</v>
      </c>
      <c r="G232" t="str">
        <f>IFERROR(__xludf.DUMMYFUNCTION("""COMPUTED_VALUE"""),"IT Certifications")</f>
        <v>IT Certifications</v>
      </c>
      <c r="H232">
        <f>IFERROR(__xludf.DUMMYFUNCTION("""COMPUTED_VALUE"""),1306426.0)</f>
        <v>1306426</v>
      </c>
      <c r="I232" s="140" t="str">
        <f>IFERROR(__xludf.DUMMYFUNCTION("""COMPUTED_VALUE"""),"")</f>
        <v/>
      </c>
      <c r="K232" s="140" t="str">
        <f>IFERROR(__xludf.DUMMYFUNCTION("""COMPUTED_VALUE"""),"")</f>
        <v/>
      </c>
    </row>
    <row r="233">
      <c r="A233" s="143">
        <f>IFERROR(__xludf.DUMMYFUNCTION("""COMPUTED_VALUE"""),43280.0)</f>
        <v>43280</v>
      </c>
      <c r="B233" s="140">
        <f>IFERROR(__xludf.DUMMYFUNCTION("""COMPUTED_VALUE"""),371100.0)</f>
        <v>371100</v>
      </c>
      <c r="C233" t="str">
        <f>IFERROR(__xludf.DUMMYFUNCTION("""COMPUTED_VALUE"""),"")</f>
        <v/>
      </c>
      <c r="D233" t="str">
        <f>IFERROR(__xludf.DUMMYFUNCTION("""COMPUTED_VALUE"""),"Eugene Vassilas")</f>
        <v>Eugene Vassilas</v>
      </c>
      <c r="E233" t="str">
        <f>IFERROR(__xludf.DUMMYFUNCTION("""COMPUTED_VALUE"""),"Below Quality Standards")</f>
        <v>Below Quality Standards</v>
      </c>
      <c r="F233" t="str">
        <f>IFERROR(__xludf.DUMMYFUNCTION("""COMPUTED_VALUE"""),"Management")</f>
        <v>Management</v>
      </c>
      <c r="G233" t="str">
        <f>IFERROR(__xludf.DUMMYFUNCTION("""COMPUTED_VALUE"""),"Communication")</f>
        <v>Communication</v>
      </c>
      <c r="H233">
        <f>IFERROR(__xludf.DUMMYFUNCTION("""COMPUTED_VALUE"""),1343726.0)</f>
        <v>1343726</v>
      </c>
      <c r="I233" s="140" t="str">
        <f>IFERROR(__xludf.DUMMYFUNCTION("""COMPUTED_VALUE"""),"")</f>
        <v/>
      </c>
      <c r="J233">
        <f>IFERROR(__xludf.DUMMYFUNCTION("""COMPUTED_VALUE"""),1355610.0)</f>
        <v>1355610</v>
      </c>
      <c r="K233" s="140" t="str">
        <f>IFERROR(__xludf.DUMMYFUNCTION("""COMPUTED_VALUE"""),"")</f>
        <v/>
      </c>
    </row>
    <row r="234">
      <c r="A234" s="143">
        <f>IFERROR(__xludf.DUMMYFUNCTION("""COMPUTED_VALUE"""),43280.0)</f>
        <v>43280</v>
      </c>
      <c r="B234" s="140">
        <f>IFERROR(__xludf.DUMMYFUNCTION("""COMPUTED_VALUE"""),736250.0)</f>
        <v>736250</v>
      </c>
      <c r="C234" t="str">
        <f>IFERROR(__xludf.DUMMYFUNCTION("""COMPUTED_VALUE"""),"")</f>
        <v/>
      </c>
      <c r="D234" t="str">
        <f>IFERROR(__xludf.DUMMYFUNCTION("""COMPUTED_VALUE"""),"John Thompson")</f>
        <v>John Thompson</v>
      </c>
      <c r="E234" t="str">
        <f>IFERROR(__xludf.DUMMYFUNCTION("""COMPUTED_VALUE"""),"Below Quality Standards")</f>
        <v>Below Quality Standards</v>
      </c>
      <c r="F234" t="str">
        <f>IFERROR(__xludf.DUMMYFUNCTION("""COMPUTED_VALUE"""),"Development")</f>
        <v>Development</v>
      </c>
      <c r="G234" t="str">
        <f>IFERROR(__xludf.DUMMYFUNCTION("""COMPUTED_VALUE"""),"Mobile Development")</f>
        <v>Mobile Development</v>
      </c>
      <c r="H234">
        <f>IFERROR(__xludf.DUMMYFUNCTION("""COMPUTED_VALUE"""),1132057.0)</f>
        <v>1132057</v>
      </c>
      <c r="I234" s="140" t="str">
        <f>IFERROR(__xludf.DUMMYFUNCTION("""COMPUTED_VALUE"""),"")</f>
        <v/>
      </c>
      <c r="K234" s="140" t="str">
        <f>IFERROR(__xludf.DUMMYFUNCTION("""COMPUTED_VALUE"""),"")</f>
        <v/>
      </c>
      <c r="Q234" s="145" t="str">
        <f>IFERROR(__xludf.DUMMYFUNCTION("""COMPUTED_VALUE"""),"Topic on Priority List- 1406577")</f>
        <v>Topic on Priority List- 1406577</v>
      </c>
    </row>
    <row r="235">
      <c r="A235" s="143">
        <f>IFERROR(__xludf.DUMMYFUNCTION("""COMPUTED_VALUE"""),43280.0)</f>
        <v>43280</v>
      </c>
      <c r="B235" s="140">
        <f>IFERROR(__xludf.DUMMYFUNCTION("""COMPUTED_VALUE"""),991562.0)</f>
        <v>991562</v>
      </c>
      <c r="C235" t="str">
        <f>IFERROR(__xludf.DUMMYFUNCTION("""COMPUTED_VALUE"""),"")</f>
        <v/>
      </c>
      <c r="D235" t="str">
        <f>IFERROR(__xludf.DUMMYFUNCTION("""COMPUTED_VALUE"""),"Most Trusted online learning website since 2011 Qatestingtraining.com")</f>
        <v>Most Trusted online learning website since 2011 Qatestingtraining.com</v>
      </c>
      <c r="E235" t="str">
        <f>IFERROR(__xludf.DUMMYFUNCTION("""COMPUTED_VALUE"""),"Below Quality Standards")</f>
        <v>Below Quality Standards</v>
      </c>
      <c r="F235" t="str">
        <f>IFERROR(__xludf.DUMMYFUNCTION("""COMPUTED_VALUE"""),"IT and Software")</f>
        <v>IT and Software</v>
      </c>
      <c r="G235" t="str">
        <f>IFERROR(__xludf.DUMMYFUNCTION("""COMPUTED_VALUE"""),"Operating Systems and Servers")</f>
        <v>Operating Systems and Servers</v>
      </c>
      <c r="H235">
        <f>IFERROR(__xludf.DUMMYFUNCTION("""COMPUTED_VALUE"""),762616.0)</f>
        <v>762616</v>
      </c>
      <c r="I235" s="140" t="str">
        <f>IFERROR(__xludf.DUMMYFUNCTION("""COMPUTED_VALUE"""),"")</f>
        <v/>
      </c>
      <c r="J235">
        <f>IFERROR(__xludf.DUMMYFUNCTION("""COMPUTED_VALUE"""),1187016.0)</f>
        <v>1187016</v>
      </c>
      <c r="K235" s="140" t="str">
        <f>IFERROR(__xludf.DUMMYFUNCTION("""COMPUTED_VALUE"""),"")</f>
        <v/>
      </c>
    </row>
    <row r="236">
      <c r="A236" s="143">
        <f>IFERROR(__xludf.DUMMYFUNCTION("""COMPUTED_VALUE"""),43280.0)</f>
        <v>43280</v>
      </c>
      <c r="B236" s="140">
        <f>IFERROR(__xludf.DUMMYFUNCTION("""COMPUTED_VALUE"""),466762.0)</f>
        <v>466762</v>
      </c>
      <c r="C236" t="str">
        <f>IFERROR(__xludf.DUMMYFUNCTION("""COMPUTED_VALUE"""),"")</f>
        <v/>
      </c>
      <c r="D236" t="str">
        <f>IFERROR(__xludf.DUMMYFUNCTION("""COMPUTED_VALUE"""),"Rahul Arora (Raman)")</f>
        <v>Rahul Arora (Raman)</v>
      </c>
      <c r="E236" t="str">
        <f>IFERROR(__xludf.DUMMYFUNCTION("""COMPUTED_VALUE"""),"Below Quality Standards")</f>
        <v>Below Quality Standards</v>
      </c>
      <c r="F236" t="str">
        <f>IFERROR(__xludf.DUMMYFUNCTION("""COMPUTED_VALUE"""),"Development")</f>
        <v>Development</v>
      </c>
      <c r="G236" t="str">
        <f>IFERROR(__xludf.DUMMYFUNCTION("""COMPUTED_VALUE"""),"Development Tools")</f>
        <v>Development Tools</v>
      </c>
      <c r="I236" s="140" t="str">
        <f>IFERROR(__xludf.DUMMYFUNCTION("""COMPUTED_VALUE"""),"")</f>
        <v/>
      </c>
      <c r="K236" s="140" t="str">
        <f>IFERROR(__xludf.DUMMYFUNCTION("""COMPUTED_VALUE"""),"")</f>
        <v/>
      </c>
      <c r="Q236" s="145" t="str">
        <f>IFERROR(__xludf.DUMMYFUNCTION("""COMPUTED_VALUE"""),"Topic on Priority List- 801953")</f>
        <v>Topic on Priority List- 801953</v>
      </c>
    </row>
    <row r="237">
      <c r="A237" s="143">
        <f>IFERROR(__xludf.DUMMYFUNCTION("""COMPUTED_VALUE"""),43280.0)</f>
        <v>43280</v>
      </c>
      <c r="B237" s="140">
        <f>IFERROR(__xludf.DUMMYFUNCTION("""COMPUTED_VALUE"""),1394564.0)</f>
        <v>1394564</v>
      </c>
      <c r="C237" t="str">
        <f>IFERROR(__xludf.DUMMYFUNCTION("""COMPUTED_VALUE"""),"")</f>
        <v/>
      </c>
      <c r="D237" t="str">
        <f>IFERROR(__xludf.DUMMYFUNCTION("""COMPUTED_VALUE"""),"Joeel &amp; Natalie Rivera")</f>
        <v>Joeel &amp; Natalie Rivera</v>
      </c>
      <c r="E237" t="str">
        <f>IFERROR(__xludf.DUMMYFUNCTION("""COMPUTED_VALUE"""),"Below Quality Standards")</f>
        <v>Below Quality Standards</v>
      </c>
      <c r="F237" t="str">
        <f>IFERROR(__xludf.DUMMYFUNCTION("""COMPUTED_VALUE"""),"Management")</f>
        <v>Management</v>
      </c>
      <c r="G237" t="str">
        <f>IFERROR(__xludf.DUMMYFUNCTION("""COMPUTED_VALUE"""),"Influence")</f>
        <v>Influence</v>
      </c>
      <c r="H237">
        <f>IFERROR(__xludf.DUMMYFUNCTION("""COMPUTED_VALUE"""),1347004.0)</f>
        <v>1347004</v>
      </c>
      <c r="I237" s="140" t="str">
        <f>IFERROR(__xludf.DUMMYFUNCTION("""COMPUTED_VALUE"""),"")</f>
        <v/>
      </c>
      <c r="J237">
        <f>IFERROR(__xludf.DUMMYFUNCTION("""COMPUTED_VALUE"""),373312.0)</f>
        <v>373312</v>
      </c>
      <c r="K237" s="140" t="str">
        <f>IFERROR(__xludf.DUMMYFUNCTION("""COMPUTED_VALUE"""),"")</f>
        <v/>
      </c>
    </row>
    <row r="238">
      <c r="A238" s="143">
        <f>IFERROR(__xludf.DUMMYFUNCTION("""COMPUTED_VALUE"""),43280.0)</f>
        <v>43280</v>
      </c>
      <c r="B238" s="140">
        <f>IFERROR(__xludf.DUMMYFUNCTION("""COMPUTED_VALUE"""),640046.0)</f>
        <v>640046</v>
      </c>
      <c r="C238" t="str">
        <f>IFERROR(__xludf.DUMMYFUNCTION("""COMPUTED_VALUE"""),"")</f>
        <v/>
      </c>
      <c r="D238" s="201" t="str">
        <f>IFERROR(__xludf.DUMMYFUNCTION("""COMPUTED_VALUE"""),"Learoy Tonight")</f>
        <v>Learoy Tonight</v>
      </c>
      <c r="E238" t="str">
        <f>IFERROR(__xludf.DUMMYFUNCTION("""COMPUTED_VALUE"""),"Below Quality Standards")</f>
        <v>Below Quality Standards</v>
      </c>
      <c r="F238" t="str">
        <f>IFERROR(__xludf.DUMMYFUNCTION("""COMPUTED_VALUE"""),"Management")</f>
        <v>Management</v>
      </c>
      <c r="G238" t="str">
        <f>IFERROR(__xludf.DUMMYFUNCTION("""COMPUTED_VALUE"""),"Customer Service")</f>
        <v>Customer Service</v>
      </c>
      <c r="H238">
        <f>IFERROR(__xludf.DUMMYFUNCTION("""COMPUTED_VALUE"""),1436164.0)</f>
        <v>1436164</v>
      </c>
      <c r="I238" s="140" t="str">
        <f>IFERROR(__xludf.DUMMYFUNCTION("""COMPUTED_VALUE"""),"")</f>
        <v/>
      </c>
      <c r="J238">
        <f>IFERROR(__xludf.DUMMYFUNCTION("""COMPUTED_VALUE"""),672290.0)</f>
        <v>672290</v>
      </c>
      <c r="K238" s="140" t="str">
        <f>IFERROR(__xludf.DUMMYFUNCTION("""COMPUTED_VALUE"""),"")</f>
        <v/>
      </c>
    </row>
    <row r="239">
      <c r="A239" s="143">
        <f>IFERROR(__xludf.DUMMYFUNCTION("""COMPUTED_VALUE"""),43280.0)</f>
        <v>43280</v>
      </c>
      <c r="B239" s="140">
        <f>IFERROR(__xludf.DUMMYFUNCTION("""COMPUTED_VALUE"""),846272.0)</f>
        <v>846272</v>
      </c>
      <c r="C239" t="str">
        <f>IFERROR(__xludf.DUMMYFUNCTION("""COMPUTED_VALUE"""),"")</f>
        <v/>
      </c>
      <c r="D239" t="str">
        <f>IFERROR(__xludf.DUMMYFUNCTION("""COMPUTED_VALUE"""),"Laurence Svekis")</f>
        <v>Laurence Svekis</v>
      </c>
      <c r="E239" t="str">
        <f>IFERROR(__xludf.DUMMYFUNCTION("""COMPUTED_VALUE"""),"Below Quality Standards")</f>
        <v>Below Quality Standards</v>
      </c>
      <c r="F239" t="str">
        <f>IFERROR(__xludf.DUMMYFUNCTION("""COMPUTED_VALUE"""),"Development")</f>
        <v>Development</v>
      </c>
      <c r="G239" t="str">
        <f>IFERROR(__xludf.DUMMYFUNCTION("""COMPUTED_VALUE"""),"Web Development")</f>
        <v>Web Development</v>
      </c>
      <c r="H239">
        <f>IFERROR(__xludf.DUMMYFUNCTION("""COMPUTED_VALUE"""),851712.0)</f>
        <v>851712</v>
      </c>
      <c r="I239" s="140" t="str">
        <f>IFERROR(__xludf.DUMMYFUNCTION("""COMPUTED_VALUE"""),"")</f>
        <v/>
      </c>
      <c r="J239">
        <f>IFERROR(__xludf.DUMMYFUNCTION("""COMPUTED_VALUE"""),364426.0)</f>
        <v>364426</v>
      </c>
      <c r="K239" s="140" t="str">
        <f>IFERROR(__xludf.DUMMYFUNCTION("""COMPUTED_VALUE"""),"")</f>
        <v/>
      </c>
    </row>
    <row r="240">
      <c r="A240" s="143">
        <f>IFERROR(__xludf.DUMMYFUNCTION("""COMPUTED_VALUE"""),43270.0)</f>
        <v>43270</v>
      </c>
      <c r="B240" s="140">
        <f>IFERROR(__xludf.DUMMYFUNCTION("""COMPUTED_VALUE"""),1604188.0)</f>
        <v>1604188</v>
      </c>
      <c r="C240" t="str">
        <f>IFERROR(__xludf.DUMMYFUNCTION("""COMPUTED_VALUE"""),"")</f>
        <v/>
      </c>
      <c r="D240" t="str">
        <f>IFERROR(__xludf.DUMMYFUNCTION("""COMPUTED_VALUE"""),"Mentor Source, Inc.")</f>
        <v>Mentor Source, Inc.</v>
      </c>
      <c r="E240" t="str">
        <f>IFERROR(__xludf.DUMMYFUNCTION("""COMPUTED_VALUE"""),"Instructor Request- Opted Out")</f>
        <v>Instructor Request- Opted Out</v>
      </c>
      <c r="F240" s="142" t="str">
        <f>IFERROR(__xludf.DUMMYFUNCTION("""COMPUTED_VALUE"""),"Project Management and Operations")</f>
        <v>Project Management and Operations</v>
      </c>
      <c r="G240" s="142" t="str">
        <f>IFERROR(__xludf.DUMMYFUNCTION("""COMPUTED_VALUE"""),"Project Management Fundamentals")</f>
        <v>Project Management Fundamentals</v>
      </c>
      <c r="H240">
        <f>IFERROR(__xludf.DUMMYFUNCTION("""COMPUTED_VALUE"""),946742.0)</f>
        <v>946742</v>
      </c>
      <c r="I240" s="140" t="str">
        <f>IFERROR(__xludf.DUMMYFUNCTION("""COMPUTED_VALUE"""),"")</f>
        <v/>
      </c>
      <c r="J240">
        <f>IFERROR(__xludf.DUMMYFUNCTION("""COMPUTED_VALUE"""),909354.0)</f>
        <v>909354</v>
      </c>
      <c r="K240" s="140" t="str">
        <f>IFERROR(__xludf.DUMMYFUNCTION("""COMPUTED_VALUE"""),"")</f>
        <v/>
      </c>
      <c r="L240" s="140" t="str">
        <f>IFERROR(__xludf.DUMMYFUNCTION("""COMPUTED_VALUE"""),"#REF!")</f>
        <v>#REF!</v>
      </c>
    </row>
    <row r="241">
      <c r="A241" s="143">
        <f>IFERROR(__xludf.DUMMYFUNCTION("""COMPUTED_VALUE"""),43270.0)</f>
        <v>43270</v>
      </c>
      <c r="B241" s="140">
        <f>IFERROR(__xludf.DUMMYFUNCTION("""COMPUTED_VALUE"""),1619164.0)</f>
        <v>1619164</v>
      </c>
      <c r="C241" t="str">
        <f>IFERROR(__xludf.DUMMYFUNCTION("""COMPUTED_VALUE"""),"")</f>
        <v/>
      </c>
      <c r="D241" t="str">
        <f>IFERROR(__xludf.DUMMYFUNCTION("""COMPUTED_VALUE"""),"Mentor Source, Inc.")</f>
        <v>Mentor Source, Inc.</v>
      </c>
      <c r="E241" t="str">
        <f>IFERROR(__xludf.DUMMYFUNCTION("""COMPUTED_VALUE"""),"Instructor Request- Opted Out")</f>
        <v>Instructor Request- Opted Out</v>
      </c>
      <c r="F241" s="142" t="str">
        <f>IFERROR(__xludf.DUMMYFUNCTION("""COMPUTED_VALUE"""),"IT and Software")</f>
        <v>IT and Software</v>
      </c>
      <c r="G241" s="142" t="str">
        <f>IFERROR(__xludf.DUMMYFUNCTION("""COMPUTED_VALUE"""),"Network and Security")</f>
        <v>Network and Security</v>
      </c>
      <c r="H241">
        <f>IFERROR(__xludf.DUMMYFUNCTION("""COMPUTED_VALUE"""),1316068.0)</f>
        <v>1316068</v>
      </c>
      <c r="I241" s="140" t="str">
        <f>IFERROR(__xludf.DUMMYFUNCTION("""COMPUTED_VALUE"""),"")</f>
        <v/>
      </c>
      <c r="K241" s="140" t="str">
        <f>IFERROR(__xludf.DUMMYFUNCTION("""COMPUTED_VALUE"""),"")</f>
        <v/>
      </c>
      <c r="L241" s="140" t="str">
        <f>IFERROR(__xludf.DUMMYFUNCTION("""COMPUTED_VALUE"""),"#REF!")</f>
        <v>#REF!</v>
      </c>
    </row>
    <row r="242">
      <c r="A242" s="143">
        <f>IFERROR(__xludf.DUMMYFUNCTION("""COMPUTED_VALUE"""),43270.0)</f>
        <v>43270</v>
      </c>
      <c r="B242" s="140">
        <f>IFERROR(__xludf.DUMMYFUNCTION("""COMPUTED_VALUE"""),1619212.0)</f>
        <v>1619212</v>
      </c>
      <c r="C242" t="str">
        <f>IFERROR(__xludf.DUMMYFUNCTION("""COMPUTED_VALUE"""),"")</f>
        <v/>
      </c>
      <c r="D242" t="str">
        <f>IFERROR(__xludf.DUMMYFUNCTION("""COMPUTED_VALUE"""),"Mentor Source, Inc.")</f>
        <v>Mentor Source, Inc.</v>
      </c>
      <c r="E242" t="str">
        <f>IFERROR(__xludf.DUMMYFUNCTION("""COMPUTED_VALUE"""),"Instructor Request- Opted Out")</f>
        <v>Instructor Request- Opted Out</v>
      </c>
      <c r="F242" s="142" t="str">
        <f>IFERROR(__xludf.DUMMYFUNCTION("""COMPUTED_VALUE"""),"Project Management and Operations")</f>
        <v>Project Management and Operations</v>
      </c>
      <c r="G242" s="142" t="str">
        <f>IFERROR(__xludf.DUMMYFUNCTION("""COMPUTED_VALUE"""),"Operations Management")</f>
        <v>Operations Management</v>
      </c>
      <c r="H242">
        <f>IFERROR(__xludf.DUMMYFUNCTION("""COMPUTED_VALUE"""),382516.0)</f>
        <v>382516</v>
      </c>
      <c r="I242" s="140" t="str">
        <f>IFERROR(__xludf.DUMMYFUNCTION("""COMPUTED_VALUE"""),"")</f>
        <v/>
      </c>
      <c r="J242">
        <f>IFERROR(__xludf.DUMMYFUNCTION("""COMPUTED_VALUE"""),505136.0)</f>
        <v>505136</v>
      </c>
      <c r="K242" s="140" t="str">
        <f>IFERROR(__xludf.DUMMYFUNCTION("""COMPUTED_VALUE"""),"")</f>
        <v/>
      </c>
      <c r="L242" s="140" t="str">
        <f>IFERROR(__xludf.DUMMYFUNCTION("""COMPUTED_VALUE"""),"#REF!")</f>
        <v>#REF!</v>
      </c>
    </row>
    <row r="243">
      <c r="A243" s="143">
        <f>IFERROR(__xludf.DUMMYFUNCTION("""COMPUTED_VALUE"""),43270.0)</f>
        <v>43270</v>
      </c>
      <c r="B243" s="140">
        <f>IFERROR(__xludf.DUMMYFUNCTION("""COMPUTED_VALUE"""),1619196.0)</f>
        <v>1619196</v>
      </c>
      <c r="C243" t="str">
        <f>IFERROR(__xludf.DUMMYFUNCTION("""COMPUTED_VALUE"""),"")</f>
        <v/>
      </c>
      <c r="D243" t="str">
        <f>IFERROR(__xludf.DUMMYFUNCTION("""COMPUTED_VALUE"""),"Mentor Source, Inc.")</f>
        <v>Mentor Source, Inc.</v>
      </c>
      <c r="E243" t="str">
        <f>IFERROR(__xludf.DUMMYFUNCTION("""COMPUTED_VALUE"""),"Instructor Request- Opted Out")</f>
        <v>Instructor Request- Opted Out</v>
      </c>
      <c r="F243" s="142" t="str">
        <f>IFERROR(__xludf.DUMMYFUNCTION("""COMPUTED_VALUE"""),"Project Management and Operations")</f>
        <v>Project Management and Operations</v>
      </c>
      <c r="G243" s="142" t="str">
        <f>IFERROR(__xludf.DUMMYFUNCTION("""COMPUTED_VALUE"""),"Operations Management")</f>
        <v>Operations Management</v>
      </c>
      <c r="H243">
        <f>IFERROR(__xludf.DUMMYFUNCTION("""COMPUTED_VALUE"""),382516.0)</f>
        <v>382516</v>
      </c>
      <c r="I243" s="140" t="str">
        <f>IFERROR(__xludf.DUMMYFUNCTION("""COMPUTED_VALUE"""),"")</f>
        <v/>
      </c>
      <c r="J243">
        <f>IFERROR(__xludf.DUMMYFUNCTION("""COMPUTED_VALUE"""),505136.0)</f>
        <v>505136</v>
      </c>
      <c r="K243" s="140" t="str">
        <f>IFERROR(__xludf.DUMMYFUNCTION("""COMPUTED_VALUE"""),"")</f>
        <v/>
      </c>
      <c r="L243" s="140" t="str">
        <f>IFERROR(__xludf.DUMMYFUNCTION("""COMPUTED_VALUE"""),"#REF!")</f>
        <v>#REF!</v>
      </c>
    </row>
    <row r="244">
      <c r="A244" s="143">
        <f>IFERROR(__xludf.DUMMYFUNCTION("""COMPUTED_VALUE"""),43270.0)</f>
        <v>43270</v>
      </c>
      <c r="B244" s="140">
        <f>IFERROR(__xludf.DUMMYFUNCTION("""COMPUTED_VALUE"""),1604412.0)</f>
        <v>1604412</v>
      </c>
      <c r="C244" t="str">
        <f>IFERROR(__xludf.DUMMYFUNCTION("""COMPUTED_VALUE"""),"")</f>
        <v/>
      </c>
      <c r="D244" t="str">
        <f>IFERROR(__xludf.DUMMYFUNCTION("""COMPUTED_VALUE"""),"Mentor Source, Inc.")</f>
        <v>Mentor Source, Inc.</v>
      </c>
      <c r="E244" t="str">
        <f>IFERROR(__xludf.DUMMYFUNCTION("""COMPUTED_VALUE"""),"Instructor Request- Opted Out")</f>
        <v>Instructor Request- Opted Out</v>
      </c>
      <c r="F244" s="142" t="str">
        <f>IFERROR(__xludf.DUMMYFUNCTION("""COMPUTED_VALUE"""),"IT and Software")</f>
        <v>IT and Software</v>
      </c>
      <c r="G244" s="142" t="str">
        <f>IFERROR(__xludf.DUMMYFUNCTION("""COMPUTED_VALUE"""),"Network and Security")</f>
        <v>Network and Security</v>
      </c>
      <c r="H244">
        <f>IFERROR(__xludf.DUMMYFUNCTION("""COMPUTED_VALUE"""),1236568.0)</f>
        <v>1236568</v>
      </c>
      <c r="I244" s="140" t="str">
        <f>IFERROR(__xludf.DUMMYFUNCTION("""COMPUTED_VALUE"""),"")</f>
        <v/>
      </c>
      <c r="J244">
        <f>IFERROR(__xludf.DUMMYFUNCTION("""COMPUTED_VALUE"""),875974.0)</f>
        <v>875974</v>
      </c>
      <c r="K244" s="140" t="str">
        <f>IFERROR(__xludf.DUMMYFUNCTION("""COMPUTED_VALUE"""),"")</f>
        <v/>
      </c>
      <c r="L244" s="140" t="str">
        <f>IFERROR(__xludf.DUMMYFUNCTION("""COMPUTED_VALUE"""),"#REF!")</f>
        <v>#REF!</v>
      </c>
    </row>
    <row r="245">
      <c r="A245" s="143">
        <f>IFERROR(__xludf.DUMMYFUNCTION("""COMPUTED_VALUE"""),43270.0)</f>
        <v>43270</v>
      </c>
      <c r="B245" s="140">
        <f>IFERROR(__xludf.DUMMYFUNCTION("""COMPUTED_VALUE"""),1604362.0)</f>
        <v>1604362</v>
      </c>
      <c r="C245" t="str">
        <f>IFERROR(__xludf.DUMMYFUNCTION("""COMPUTED_VALUE"""),"")</f>
        <v/>
      </c>
      <c r="D245" t="str">
        <f>IFERROR(__xludf.DUMMYFUNCTION("""COMPUTED_VALUE"""),"Mentor Source, Inc.")</f>
        <v>Mentor Source, Inc.</v>
      </c>
      <c r="E245" t="str">
        <f>IFERROR(__xludf.DUMMYFUNCTION("""COMPUTED_VALUE"""),"Instructor Request- Opted Out")</f>
        <v>Instructor Request- Opted Out</v>
      </c>
      <c r="F245" s="142" t="str">
        <f>IFERROR(__xludf.DUMMYFUNCTION("""COMPUTED_VALUE"""),"IT and Software")</f>
        <v>IT and Software</v>
      </c>
      <c r="G245" s="142" t="str">
        <f>IFERROR(__xludf.DUMMYFUNCTION("""COMPUTED_VALUE"""),"Network and Security")</f>
        <v>Network and Security</v>
      </c>
      <c r="H245">
        <f>IFERROR(__xludf.DUMMYFUNCTION("""COMPUTED_VALUE"""),1236568.0)</f>
        <v>1236568</v>
      </c>
      <c r="I245" s="140" t="str">
        <f>IFERROR(__xludf.DUMMYFUNCTION("""COMPUTED_VALUE"""),"")</f>
        <v/>
      </c>
      <c r="J245">
        <f>IFERROR(__xludf.DUMMYFUNCTION("""COMPUTED_VALUE"""),875974.0)</f>
        <v>875974</v>
      </c>
      <c r="K245" s="140" t="str">
        <f>IFERROR(__xludf.DUMMYFUNCTION("""COMPUTED_VALUE"""),"")</f>
        <v/>
      </c>
      <c r="L245" s="140" t="str">
        <f>IFERROR(__xludf.DUMMYFUNCTION("""COMPUTED_VALUE"""),"#REF!")</f>
        <v>#REF!</v>
      </c>
    </row>
    <row r="246">
      <c r="A246" s="143">
        <f>IFERROR(__xludf.DUMMYFUNCTION("""COMPUTED_VALUE"""),43270.0)</f>
        <v>43270</v>
      </c>
      <c r="B246" s="140">
        <f>IFERROR(__xludf.DUMMYFUNCTION("""COMPUTED_VALUE"""),1619236.0)</f>
        <v>1619236</v>
      </c>
      <c r="C246" t="str">
        <f>IFERROR(__xludf.DUMMYFUNCTION("""COMPUTED_VALUE"""),"")</f>
        <v/>
      </c>
      <c r="D246" t="str">
        <f>IFERROR(__xludf.DUMMYFUNCTION("""COMPUTED_VALUE"""),"Mentor Source, Inc.")</f>
        <v>Mentor Source, Inc.</v>
      </c>
      <c r="E246" t="str">
        <f>IFERROR(__xludf.DUMMYFUNCTION("""COMPUTED_VALUE"""),"Instructor Request- Opted Out")</f>
        <v>Instructor Request- Opted Out</v>
      </c>
      <c r="F246" s="142" t="str">
        <f>IFERROR(__xludf.DUMMYFUNCTION("""COMPUTED_VALUE"""),"Project Management and Operations")</f>
        <v>Project Management and Operations</v>
      </c>
      <c r="G246" s="142" t="str">
        <f>IFERROR(__xludf.DUMMYFUNCTION("""COMPUTED_VALUE"""),"Operations Management")</f>
        <v>Operations Management</v>
      </c>
      <c r="H246">
        <f>IFERROR(__xludf.DUMMYFUNCTION("""COMPUTED_VALUE"""),382516.0)</f>
        <v>382516</v>
      </c>
      <c r="I246" s="140" t="str">
        <f>IFERROR(__xludf.DUMMYFUNCTION("""COMPUTED_VALUE"""),"")</f>
        <v/>
      </c>
      <c r="J246">
        <f>IFERROR(__xludf.DUMMYFUNCTION("""COMPUTED_VALUE"""),505136.0)</f>
        <v>505136</v>
      </c>
      <c r="K246" s="140" t="str">
        <f>IFERROR(__xludf.DUMMYFUNCTION("""COMPUTED_VALUE"""),"")</f>
        <v/>
      </c>
      <c r="L246" s="140" t="str">
        <f>IFERROR(__xludf.DUMMYFUNCTION("""COMPUTED_VALUE"""),"#REF!")</f>
        <v>#REF!</v>
      </c>
    </row>
    <row r="247">
      <c r="A247" s="143">
        <f>IFERROR(__xludf.DUMMYFUNCTION("""COMPUTED_VALUE"""),43270.0)</f>
        <v>43270</v>
      </c>
      <c r="B247" s="140">
        <f>IFERROR(__xludf.DUMMYFUNCTION("""COMPUTED_VALUE"""),1619228.0)</f>
        <v>1619228</v>
      </c>
      <c r="C247" t="str">
        <f>IFERROR(__xludf.DUMMYFUNCTION("""COMPUTED_VALUE"""),"")</f>
        <v/>
      </c>
      <c r="D247" t="str">
        <f>IFERROR(__xludf.DUMMYFUNCTION("""COMPUTED_VALUE"""),"Mentor Source, Inc.")</f>
        <v>Mentor Source, Inc.</v>
      </c>
      <c r="E247" t="str">
        <f>IFERROR(__xludf.DUMMYFUNCTION("""COMPUTED_VALUE"""),"Instructor Request- Opted Out")</f>
        <v>Instructor Request- Opted Out</v>
      </c>
      <c r="F247" s="142" t="str">
        <f>IFERROR(__xludf.DUMMYFUNCTION("""COMPUTED_VALUE"""),"Project Management and Operations")</f>
        <v>Project Management and Operations</v>
      </c>
      <c r="G247" s="142" t="str">
        <f>IFERROR(__xludf.DUMMYFUNCTION("""COMPUTED_VALUE"""),"Operations Management")</f>
        <v>Operations Management</v>
      </c>
      <c r="H247">
        <f>IFERROR(__xludf.DUMMYFUNCTION("""COMPUTED_VALUE"""),382516.0)</f>
        <v>382516</v>
      </c>
      <c r="I247" s="140" t="str">
        <f>IFERROR(__xludf.DUMMYFUNCTION("""COMPUTED_VALUE"""),"")</f>
        <v/>
      </c>
      <c r="J247">
        <f>IFERROR(__xludf.DUMMYFUNCTION("""COMPUTED_VALUE"""),505136.0)</f>
        <v>505136</v>
      </c>
      <c r="K247" s="140" t="str">
        <f>IFERROR(__xludf.DUMMYFUNCTION("""COMPUTED_VALUE"""),"")</f>
        <v/>
      </c>
      <c r="L247" s="140" t="str">
        <f>IFERROR(__xludf.DUMMYFUNCTION("""COMPUTED_VALUE"""),"#REF!")</f>
        <v>#REF!</v>
      </c>
    </row>
    <row r="248">
      <c r="A248" s="143">
        <f>IFERROR(__xludf.DUMMYFUNCTION("""COMPUTED_VALUE"""),43270.0)</f>
        <v>43270</v>
      </c>
      <c r="B248" s="140">
        <f>IFERROR(__xludf.DUMMYFUNCTION("""COMPUTED_VALUE"""),1610246.0)</f>
        <v>1610246</v>
      </c>
      <c r="C248" t="str">
        <f>IFERROR(__xludf.DUMMYFUNCTION("""COMPUTED_VALUE"""),"")</f>
        <v/>
      </c>
      <c r="D248" t="str">
        <f>IFERROR(__xludf.DUMMYFUNCTION("""COMPUTED_VALUE"""),"Mentor Source, Inc.")</f>
        <v>Mentor Source, Inc.</v>
      </c>
      <c r="E248" t="str">
        <f>IFERROR(__xludf.DUMMYFUNCTION("""COMPUTED_VALUE"""),"Instructor Request- Opted Out")</f>
        <v>Instructor Request- Opted Out</v>
      </c>
      <c r="F248" s="142" t="str">
        <f>IFERROR(__xludf.DUMMYFUNCTION("""COMPUTED_VALUE"""),"IT and Software")</f>
        <v>IT and Software</v>
      </c>
      <c r="G248" s="142" t="str">
        <f>IFERROR(__xludf.DUMMYFUNCTION("""COMPUTED_VALUE"""),"Network and Security")</f>
        <v>Network and Security</v>
      </c>
      <c r="I248" s="140" t="str">
        <f>IFERROR(__xludf.DUMMYFUNCTION("""COMPUTED_VALUE"""),"")</f>
        <v/>
      </c>
      <c r="K248" s="140" t="str">
        <f>IFERROR(__xludf.DUMMYFUNCTION("""COMPUTED_VALUE"""),"")</f>
        <v/>
      </c>
      <c r="L248" s="140" t="str">
        <f>IFERROR(__xludf.DUMMYFUNCTION("""COMPUTED_VALUE"""),"#REF!")</f>
        <v>#REF!</v>
      </c>
      <c r="Q248" t="str">
        <f>IFERROR(__xludf.DUMMYFUNCTION("""COMPUTED_VALUE"""),"Low Demand")</f>
        <v>Low Demand</v>
      </c>
    </row>
    <row r="249">
      <c r="A249" s="143">
        <f>IFERROR(__xludf.DUMMYFUNCTION("""COMPUTED_VALUE"""),43270.0)</f>
        <v>43270</v>
      </c>
      <c r="B249" s="140">
        <f>IFERROR(__xludf.DUMMYFUNCTION("""COMPUTED_VALUE"""),1619170.0)</f>
        <v>1619170</v>
      </c>
      <c r="C249" t="str">
        <f>IFERROR(__xludf.DUMMYFUNCTION("""COMPUTED_VALUE"""),"")</f>
        <v/>
      </c>
      <c r="D249" t="str">
        <f>IFERROR(__xludf.DUMMYFUNCTION("""COMPUTED_VALUE"""),"Mentor Source, Inc.")</f>
        <v>Mentor Source, Inc.</v>
      </c>
      <c r="E249" t="str">
        <f>IFERROR(__xludf.DUMMYFUNCTION("""COMPUTED_VALUE"""),"Instructor Request- Opted Out")</f>
        <v>Instructor Request- Opted Out</v>
      </c>
      <c r="F249" s="142" t="str">
        <f>IFERROR(__xludf.DUMMYFUNCTION("""COMPUTED_VALUE"""),"Project Management and Operations")</f>
        <v>Project Management and Operations</v>
      </c>
      <c r="G249" s="142" t="str">
        <f>IFERROR(__xludf.DUMMYFUNCTION("""COMPUTED_VALUE"""),"Operations Management")</f>
        <v>Operations Management</v>
      </c>
      <c r="H249">
        <f>IFERROR(__xludf.DUMMYFUNCTION("""COMPUTED_VALUE"""),382516.0)</f>
        <v>382516</v>
      </c>
      <c r="I249" s="140" t="str">
        <f>IFERROR(__xludf.DUMMYFUNCTION("""COMPUTED_VALUE"""),"")</f>
        <v/>
      </c>
      <c r="J249">
        <f>IFERROR(__xludf.DUMMYFUNCTION("""COMPUTED_VALUE"""),751792.0)</f>
        <v>751792</v>
      </c>
      <c r="K249" s="140" t="str">
        <f>IFERROR(__xludf.DUMMYFUNCTION("""COMPUTED_VALUE"""),"")</f>
        <v/>
      </c>
      <c r="L249" s="140" t="str">
        <f>IFERROR(__xludf.DUMMYFUNCTION("""COMPUTED_VALUE"""),"#REF!")</f>
        <v>#REF!</v>
      </c>
    </row>
    <row r="250">
      <c r="A250" s="143">
        <f>IFERROR(__xludf.DUMMYFUNCTION("""COMPUTED_VALUE"""),43270.0)</f>
        <v>43270</v>
      </c>
      <c r="B250" s="140">
        <f>IFERROR(__xludf.DUMMYFUNCTION("""COMPUTED_VALUE"""),1609436.0)</f>
        <v>1609436</v>
      </c>
      <c r="C250" t="str">
        <f>IFERROR(__xludf.DUMMYFUNCTION("""COMPUTED_VALUE"""),"")</f>
        <v/>
      </c>
      <c r="D250" t="str">
        <f>IFERROR(__xludf.DUMMYFUNCTION("""COMPUTED_VALUE"""),"Mentor Source, Inc.")</f>
        <v>Mentor Source, Inc.</v>
      </c>
      <c r="E250" t="str">
        <f>IFERROR(__xludf.DUMMYFUNCTION("""COMPUTED_VALUE"""),"Instructor Request- Opted Out")</f>
        <v>Instructor Request- Opted Out</v>
      </c>
      <c r="F250" s="142" t="str">
        <f>IFERROR(__xludf.DUMMYFUNCTION("""COMPUTED_VALUE"""),"IT and Software")</f>
        <v>IT and Software</v>
      </c>
      <c r="G250" s="142" t="str">
        <f>IFERROR(__xludf.DUMMYFUNCTION("""COMPUTED_VALUE"""),"Network and Security")</f>
        <v>Network and Security</v>
      </c>
      <c r="H250">
        <f>IFERROR(__xludf.DUMMYFUNCTION("""COMPUTED_VALUE"""),1236568.0)</f>
        <v>1236568</v>
      </c>
      <c r="I250" s="140" t="str">
        <f>IFERROR(__xludf.DUMMYFUNCTION("""COMPUTED_VALUE"""),"")</f>
        <v/>
      </c>
      <c r="J250">
        <f>IFERROR(__xludf.DUMMYFUNCTION("""COMPUTED_VALUE"""),649780.0)</f>
        <v>649780</v>
      </c>
      <c r="K250" s="140" t="str">
        <f>IFERROR(__xludf.DUMMYFUNCTION("""COMPUTED_VALUE"""),"")</f>
        <v/>
      </c>
      <c r="L250" s="140" t="str">
        <f>IFERROR(__xludf.DUMMYFUNCTION("""COMPUTED_VALUE"""),"#REF!")</f>
        <v>#REF!</v>
      </c>
    </row>
    <row r="251">
      <c r="A251" s="143">
        <f>IFERROR(__xludf.DUMMYFUNCTION("""COMPUTED_VALUE"""),43270.0)</f>
        <v>43270</v>
      </c>
      <c r="B251" s="140">
        <f>IFERROR(__xludf.DUMMYFUNCTION("""COMPUTED_VALUE"""),1608154.0)</f>
        <v>1608154</v>
      </c>
      <c r="C251" t="str">
        <f>IFERROR(__xludf.DUMMYFUNCTION("""COMPUTED_VALUE"""),"")</f>
        <v/>
      </c>
      <c r="D251" t="str">
        <f>IFERROR(__xludf.DUMMYFUNCTION("""COMPUTED_VALUE"""),"Mentor Source, Inc.")</f>
        <v>Mentor Source, Inc.</v>
      </c>
      <c r="E251" t="str">
        <f>IFERROR(__xludf.DUMMYFUNCTION("""COMPUTED_VALUE"""),"Instructor Request- Opted Out")</f>
        <v>Instructor Request- Opted Out</v>
      </c>
      <c r="F251" s="142" t="str">
        <f>IFERROR(__xludf.DUMMYFUNCTION("""COMPUTED_VALUE"""),"IT and Software")</f>
        <v>IT and Software</v>
      </c>
      <c r="G251" s="142" t="str">
        <f>IFERROR(__xludf.DUMMYFUNCTION("""COMPUTED_VALUE"""),"Network and Security")</f>
        <v>Network and Security</v>
      </c>
      <c r="I251" s="140" t="str">
        <f>IFERROR(__xludf.DUMMYFUNCTION("""COMPUTED_VALUE"""),"")</f>
        <v/>
      </c>
      <c r="K251" s="140" t="str">
        <f>IFERROR(__xludf.DUMMYFUNCTION("""COMPUTED_VALUE"""),"")</f>
        <v/>
      </c>
      <c r="L251" s="140" t="str">
        <f>IFERROR(__xludf.DUMMYFUNCTION("""COMPUTED_VALUE"""),"#REF!")</f>
        <v>#REF!</v>
      </c>
      <c r="Q251" t="str">
        <f>IFERROR(__xludf.DUMMYFUNCTION("""COMPUTED_VALUE"""),"Low Demand")</f>
        <v>Low Demand</v>
      </c>
    </row>
    <row r="252">
      <c r="A252" s="143">
        <f>IFERROR(__xludf.DUMMYFUNCTION("""COMPUTED_VALUE"""),43270.0)</f>
        <v>43270</v>
      </c>
      <c r="B252" s="140">
        <f>IFERROR(__xludf.DUMMYFUNCTION("""COMPUTED_VALUE"""),1604276.0)</f>
        <v>1604276</v>
      </c>
      <c r="C252" t="str">
        <f>IFERROR(__xludf.DUMMYFUNCTION("""COMPUTED_VALUE"""),"")</f>
        <v/>
      </c>
      <c r="D252" t="str">
        <f>IFERROR(__xludf.DUMMYFUNCTION("""COMPUTED_VALUE"""),"Mentor Source, Inc.")</f>
        <v>Mentor Source, Inc.</v>
      </c>
      <c r="E252" t="str">
        <f>IFERROR(__xludf.DUMMYFUNCTION("""COMPUTED_VALUE"""),"Instructor Request- Opted Out")</f>
        <v>Instructor Request- Opted Out</v>
      </c>
      <c r="F252" s="142" t="str">
        <f>IFERROR(__xludf.DUMMYFUNCTION("""COMPUTED_VALUE"""),"IT and Software")</f>
        <v>IT and Software</v>
      </c>
      <c r="G252" s="142" t="str">
        <f>IFERROR(__xludf.DUMMYFUNCTION("""COMPUTED_VALUE"""),"Network and Security")</f>
        <v>Network and Security</v>
      </c>
      <c r="I252" s="140" t="str">
        <f>IFERROR(__xludf.DUMMYFUNCTION("""COMPUTED_VALUE"""),"")</f>
        <v/>
      </c>
      <c r="K252" s="140" t="str">
        <f>IFERROR(__xludf.DUMMYFUNCTION("""COMPUTED_VALUE"""),"")</f>
        <v/>
      </c>
      <c r="L252" s="140" t="str">
        <f>IFERROR(__xludf.DUMMYFUNCTION("""COMPUTED_VALUE"""),"#REF!")</f>
        <v>#REF!</v>
      </c>
      <c r="Q252" t="str">
        <f>IFERROR(__xludf.DUMMYFUNCTION("""COMPUTED_VALUE"""),"Low Demand")</f>
        <v>Low Demand</v>
      </c>
    </row>
    <row r="253">
      <c r="A253" s="143">
        <f>IFERROR(__xludf.DUMMYFUNCTION("""COMPUTED_VALUE"""),43270.0)</f>
        <v>43270</v>
      </c>
      <c r="B253" s="140">
        <f>IFERROR(__xludf.DUMMYFUNCTION("""COMPUTED_VALUE"""),1619136.0)</f>
        <v>1619136</v>
      </c>
      <c r="C253" t="str">
        <f>IFERROR(__xludf.DUMMYFUNCTION("""COMPUTED_VALUE"""),"")</f>
        <v/>
      </c>
      <c r="D253" t="str">
        <f>IFERROR(__xludf.DUMMYFUNCTION("""COMPUTED_VALUE"""),"Mentor Source, Inc.")</f>
        <v>Mentor Source, Inc.</v>
      </c>
      <c r="E253" t="str">
        <f>IFERROR(__xludf.DUMMYFUNCTION("""COMPUTED_VALUE"""),"Instructor Request- Opted Out")</f>
        <v>Instructor Request- Opted Out</v>
      </c>
      <c r="F253" s="142" t="str">
        <f>IFERROR(__xludf.DUMMYFUNCTION("""COMPUTED_VALUE"""),"IT and Software")</f>
        <v>IT and Software</v>
      </c>
      <c r="G253" s="142" t="str">
        <f>IFERROR(__xludf.DUMMYFUNCTION("""COMPUTED_VALUE"""),"Network and Security")</f>
        <v>Network and Security</v>
      </c>
      <c r="H253">
        <f>IFERROR(__xludf.DUMMYFUNCTION("""COMPUTED_VALUE"""),1236568.0)</f>
        <v>1236568</v>
      </c>
      <c r="I253" s="140" t="str">
        <f>IFERROR(__xludf.DUMMYFUNCTION("""COMPUTED_VALUE"""),"")</f>
        <v/>
      </c>
      <c r="J253">
        <f>IFERROR(__xludf.DUMMYFUNCTION("""COMPUTED_VALUE"""),649780.0)</f>
        <v>649780</v>
      </c>
      <c r="K253" s="140" t="str">
        <f>IFERROR(__xludf.DUMMYFUNCTION("""COMPUTED_VALUE"""),"")</f>
        <v/>
      </c>
      <c r="L253" s="140" t="str">
        <f>IFERROR(__xludf.DUMMYFUNCTION("""COMPUTED_VALUE"""),"#REF!")</f>
        <v>#REF!</v>
      </c>
    </row>
    <row r="254">
      <c r="A254" s="143">
        <f>IFERROR(__xludf.DUMMYFUNCTION("""COMPUTED_VALUE"""),43270.0)</f>
        <v>43270</v>
      </c>
      <c r="B254" s="140">
        <f>IFERROR(__xludf.DUMMYFUNCTION("""COMPUTED_VALUE"""),1609856.0)</f>
        <v>1609856</v>
      </c>
      <c r="C254" t="str">
        <f>IFERROR(__xludf.DUMMYFUNCTION("""COMPUTED_VALUE"""),"")</f>
        <v/>
      </c>
      <c r="D254" t="str">
        <f>IFERROR(__xludf.DUMMYFUNCTION("""COMPUTED_VALUE"""),"Mentor Source, Inc.")</f>
        <v>Mentor Source, Inc.</v>
      </c>
      <c r="E254" t="str">
        <f>IFERROR(__xludf.DUMMYFUNCTION("""COMPUTED_VALUE"""),"Instructor Request- Opted Out")</f>
        <v>Instructor Request- Opted Out</v>
      </c>
      <c r="F254" s="142" t="str">
        <f>IFERROR(__xludf.DUMMYFUNCTION("""COMPUTED_VALUE"""),"IT and Software")</f>
        <v>IT and Software</v>
      </c>
      <c r="G254" s="142" t="str">
        <f>IFERROR(__xludf.DUMMYFUNCTION("""COMPUTED_VALUE"""),"Network and Security")</f>
        <v>Network and Security</v>
      </c>
      <c r="H254">
        <f>IFERROR(__xludf.DUMMYFUNCTION("""COMPUTED_VALUE"""),1236568.0)</f>
        <v>1236568</v>
      </c>
      <c r="I254" s="140" t="str">
        <f>IFERROR(__xludf.DUMMYFUNCTION("""COMPUTED_VALUE"""),"")</f>
        <v/>
      </c>
      <c r="K254" s="140" t="str">
        <f>IFERROR(__xludf.DUMMYFUNCTION("""COMPUTED_VALUE"""),"")</f>
        <v/>
      </c>
      <c r="L254" s="140" t="str">
        <f>IFERROR(__xludf.DUMMYFUNCTION("""COMPUTED_VALUE"""),"#REF!")</f>
        <v>#REF!</v>
      </c>
    </row>
    <row r="255">
      <c r="A255" s="143">
        <f>IFERROR(__xludf.DUMMYFUNCTION("""COMPUTED_VALUE"""),43270.0)</f>
        <v>43270</v>
      </c>
      <c r="B255" s="140">
        <f>IFERROR(__xludf.DUMMYFUNCTION("""COMPUTED_VALUE"""),1609330.0)</f>
        <v>1609330</v>
      </c>
      <c r="C255" t="str">
        <f>IFERROR(__xludf.DUMMYFUNCTION("""COMPUTED_VALUE"""),"")</f>
        <v/>
      </c>
      <c r="D255" t="str">
        <f>IFERROR(__xludf.DUMMYFUNCTION("""COMPUTED_VALUE"""),"Mentor Source, Inc.")</f>
        <v>Mentor Source, Inc.</v>
      </c>
      <c r="E255" t="str">
        <f>IFERROR(__xludf.DUMMYFUNCTION("""COMPUTED_VALUE"""),"Instructor Request- Opted Out")</f>
        <v>Instructor Request- Opted Out</v>
      </c>
      <c r="F255" s="142" t="str">
        <f>IFERROR(__xludf.DUMMYFUNCTION("""COMPUTED_VALUE"""),"IT and Software")</f>
        <v>IT and Software</v>
      </c>
      <c r="G255" s="142" t="str">
        <f>IFERROR(__xludf.DUMMYFUNCTION("""COMPUTED_VALUE"""),"Network and Security")</f>
        <v>Network and Security</v>
      </c>
      <c r="H255">
        <f>IFERROR(__xludf.DUMMYFUNCTION("""COMPUTED_VALUE"""),1236568.0)</f>
        <v>1236568</v>
      </c>
      <c r="I255" s="140" t="str">
        <f>IFERROR(__xludf.DUMMYFUNCTION("""COMPUTED_VALUE"""),"")</f>
        <v/>
      </c>
      <c r="J255">
        <f>IFERROR(__xludf.DUMMYFUNCTION("""COMPUTED_VALUE"""),649780.0)</f>
        <v>649780</v>
      </c>
      <c r="K255" s="140" t="str">
        <f>IFERROR(__xludf.DUMMYFUNCTION("""COMPUTED_VALUE"""),"")</f>
        <v/>
      </c>
      <c r="L255" s="140" t="str">
        <f>IFERROR(__xludf.DUMMYFUNCTION("""COMPUTED_VALUE"""),"#REF!")</f>
        <v>#REF!</v>
      </c>
    </row>
    <row r="256">
      <c r="A256" s="143">
        <f>IFERROR(__xludf.DUMMYFUNCTION("""COMPUTED_VALUE"""),43270.0)</f>
        <v>43270</v>
      </c>
      <c r="B256" s="140">
        <f>IFERROR(__xludf.DUMMYFUNCTION("""COMPUTED_VALUE"""),1609810.0)</f>
        <v>1609810</v>
      </c>
      <c r="C256" t="str">
        <f>IFERROR(__xludf.DUMMYFUNCTION("""COMPUTED_VALUE"""),"")</f>
        <v/>
      </c>
      <c r="D256" t="str">
        <f>IFERROR(__xludf.DUMMYFUNCTION("""COMPUTED_VALUE"""),"Mentor Source, Inc.")</f>
        <v>Mentor Source, Inc.</v>
      </c>
      <c r="E256" t="str">
        <f>IFERROR(__xludf.DUMMYFUNCTION("""COMPUTED_VALUE"""),"Instructor Request- Opted Out")</f>
        <v>Instructor Request- Opted Out</v>
      </c>
      <c r="F256" s="142" t="str">
        <f>IFERROR(__xludf.DUMMYFUNCTION("""COMPUTED_VALUE"""),"IT and Software")</f>
        <v>IT and Software</v>
      </c>
      <c r="G256" s="142" t="str">
        <f>IFERROR(__xludf.DUMMYFUNCTION("""COMPUTED_VALUE"""),"Network and Security")</f>
        <v>Network and Security</v>
      </c>
      <c r="H256">
        <f>IFERROR(__xludf.DUMMYFUNCTION("""COMPUTED_VALUE"""),1236568.0)</f>
        <v>1236568</v>
      </c>
      <c r="I256" s="140" t="str">
        <f>IFERROR(__xludf.DUMMYFUNCTION("""COMPUTED_VALUE"""),"")</f>
        <v/>
      </c>
      <c r="J256">
        <f>IFERROR(__xludf.DUMMYFUNCTION("""COMPUTED_VALUE"""),649780.0)</f>
        <v>649780</v>
      </c>
      <c r="K256" s="140" t="str">
        <f>IFERROR(__xludf.DUMMYFUNCTION("""COMPUTED_VALUE"""),"")</f>
        <v/>
      </c>
      <c r="L256" s="140" t="str">
        <f>IFERROR(__xludf.DUMMYFUNCTION("""COMPUTED_VALUE"""),"#REF!")</f>
        <v>#REF!</v>
      </c>
    </row>
    <row r="257">
      <c r="A257" s="143">
        <f>IFERROR(__xludf.DUMMYFUNCTION("""COMPUTED_VALUE"""),43270.0)</f>
        <v>43270</v>
      </c>
      <c r="B257" s="140">
        <f>IFERROR(__xludf.DUMMYFUNCTION("""COMPUTED_VALUE"""),1611606.0)</f>
        <v>1611606</v>
      </c>
      <c r="C257" t="str">
        <f>IFERROR(__xludf.DUMMYFUNCTION("""COMPUTED_VALUE"""),"")</f>
        <v/>
      </c>
      <c r="D257" t="str">
        <f>IFERROR(__xludf.DUMMYFUNCTION("""COMPUTED_VALUE"""),"Mentor Source, Inc.")</f>
        <v>Mentor Source, Inc.</v>
      </c>
      <c r="E257" t="str">
        <f>IFERROR(__xludf.DUMMYFUNCTION("""COMPUTED_VALUE"""),"Instructor Request- Opted Out")</f>
        <v>Instructor Request- Opted Out</v>
      </c>
      <c r="F257" s="142" t="str">
        <f>IFERROR(__xludf.DUMMYFUNCTION("""COMPUTED_VALUE"""),"IT and Software")</f>
        <v>IT and Software</v>
      </c>
      <c r="G257" s="142" t="str">
        <f>IFERROR(__xludf.DUMMYFUNCTION("""COMPUTED_VALUE"""),"Network and Security")</f>
        <v>Network and Security</v>
      </c>
      <c r="H257">
        <f>IFERROR(__xludf.DUMMYFUNCTION("""COMPUTED_VALUE"""),1236568.0)</f>
        <v>1236568</v>
      </c>
      <c r="I257" s="140" t="str">
        <f>IFERROR(__xludf.DUMMYFUNCTION("""COMPUTED_VALUE"""),"")</f>
        <v/>
      </c>
      <c r="K257" s="140" t="str">
        <f>IFERROR(__xludf.DUMMYFUNCTION("""COMPUTED_VALUE"""),"")</f>
        <v/>
      </c>
      <c r="L257" s="140" t="str">
        <f>IFERROR(__xludf.DUMMYFUNCTION("""COMPUTED_VALUE"""),"#REF!")</f>
        <v>#REF!</v>
      </c>
    </row>
    <row r="258">
      <c r="A258" s="143">
        <f>IFERROR(__xludf.DUMMYFUNCTION("""COMPUTED_VALUE"""),43270.0)</f>
        <v>43270</v>
      </c>
      <c r="B258" s="140">
        <f>IFERROR(__xludf.DUMMYFUNCTION("""COMPUTED_VALUE"""),1608472.0)</f>
        <v>1608472</v>
      </c>
      <c r="C258" t="str">
        <f>IFERROR(__xludf.DUMMYFUNCTION("""COMPUTED_VALUE"""),"")</f>
        <v/>
      </c>
      <c r="D258" t="str">
        <f>IFERROR(__xludf.DUMMYFUNCTION("""COMPUTED_VALUE"""),"Mentor Source, Inc.")</f>
        <v>Mentor Source, Inc.</v>
      </c>
      <c r="E258" t="str">
        <f>IFERROR(__xludf.DUMMYFUNCTION("""COMPUTED_VALUE"""),"Instructor Request- Opted Out")</f>
        <v>Instructor Request- Opted Out</v>
      </c>
      <c r="F258" s="142" t="str">
        <f>IFERROR(__xludf.DUMMYFUNCTION("""COMPUTED_VALUE"""),"IT and Software")</f>
        <v>IT and Software</v>
      </c>
      <c r="G258" s="142" t="str">
        <f>IFERROR(__xludf.DUMMYFUNCTION("""COMPUTED_VALUE"""),"Network and Security")</f>
        <v>Network and Security</v>
      </c>
      <c r="H258">
        <f>IFERROR(__xludf.DUMMYFUNCTION("""COMPUTED_VALUE"""),649780.0)</f>
        <v>649780</v>
      </c>
      <c r="I258" s="140" t="str">
        <f>IFERROR(__xludf.DUMMYFUNCTION("""COMPUTED_VALUE"""),"")</f>
        <v/>
      </c>
      <c r="K258" s="140" t="str">
        <f>IFERROR(__xludf.DUMMYFUNCTION("""COMPUTED_VALUE"""),"")</f>
        <v/>
      </c>
      <c r="L258" s="140" t="str">
        <f>IFERROR(__xludf.DUMMYFUNCTION("""COMPUTED_VALUE"""),"#REF!")</f>
        <v>#REF!</v>
      </c>
    </row>
    <row r="259">
      <c r="A259" s="143">
        <f>IFERROR(__xludf.DUMMYFUNCTION("""COMPUTED_VALUE"""),43270.0)</f>
        <v>43270</v>
      </c>
      <c r="B259" s="140">
        <f>IFERROR(__xludf.DUMMYFUNCTION("""COMPUTED_VALUE"""),1609914.0)</f>
        <v>1609914</v>
      </c>
      <c r="C259" t="str">
        <f>IFERROR(__xludf.DUMMYFUNCTION("""COMPUTED_VALUE"""),"")</f>
        <v/>
      </c>
      <c r="D259" s="142" t="str">
        <f>IFERROR(__xludf.DUMMYFUNCTION("""COMPUTED_VALUE"""),"Mentor Source, Inc.")</f>
        <v>Mentor Source, Inc.</v>
      </c>
      <c r="E259" t="str">
        <f>IFERROR(__xludf.DUMMYFUNCTION("""COMPUTED_VALUE"""),"Instructor Request- Opted Out")</f>
        <v>Instructor Request- Opted Out</v>
      </c>
      <c r="F259" s="142" t="str">
        <f>IFERROR(__xludf.DUMMYFUNCTION("""COMPUTED_VALUE"""),"IT and Software")</f>
        <v>IT and Software</v>
      </c>
      <c r="G259" s="142" t="str">
        <f>IFERROR(__xludf.DUMMYFUNCTION("""COMPUTED_VALUE"""),"Network and Security")</f>
        <v>Network and Security</v>
      </c>
      <c r="I259" s="140" t="str">
        <f>IFERROR(__xludf.DUMMYFUNCTION("""COMPUTED_VALUE"""),"")</f>
        <v/>
      </c>
      <c r="K259" s="140" t="str">
        <f>IFERROR(__xludf.DUMMYFUNCTION("""COMPUTED_VALUE"""),"")</f>
        <v/>
      </c>
      <c r="L259" s="140" t="str">
        <f>IFERROR(__xludf.DUMMYFUNCTION("""COMPUTED_VALUE"""),"#REF!")</f>
        <v>#REF!</v>
      </c>
      <c r="Q259" t="str">
        <f>IFERROR(__xludf.DUMMYFUNCTION("""COMPUTED_VALUE"""),"Low Demand")</f>
        <v>Low Demand</v>
      </c>
    </row>
    <row r="260">
      <c r="A260" s="143">
        <f>IFERROR(__xludf.DUMMYFUNCTION("""COMPUTED_VALUE"""),43270.0)</f>
        <v>43270</v>
      </c>
      <c r="B260" s="140">
        <f>IFERROR(__xludf.DUMMYFUNCTION("""COMPUTED_VALUE"""),1608254.0)</f>
        <v>1608254</v>
      </c>
      <c r="C260" t="str">
        <f>IFERROR(__xludf.DUMMYFUNCTION("""COMPUTED_VALUE"""),"")</f>
        <v/>
      </c>
      <c r="D260" t="str">
        <f>IFERROR(__xludf.DUMMYFUNCTION("""COMPUTED_VALUE"""),"Mentor Source, Inc.")</f>
        <v>Mentor Source, Inc.</v>
      </c>
      <c r="E260" t="str">
        <f>IFERROR(__xludf.DUMMYFUNCTION("""COMPUTED_VALUE"""),"Instructor Request- Opted Out")</f>
        <v>Instructor Request- Opted Out</v>
      </c>
      <c r="F260" s="142" t="str">
        <f>IFERROR(__xludf.DUMMYFUNCTION("""COMPUTED_VALUE"""),"IT and Software")</f>
        <v>IT and Software</v>
      </c>
      <c r="G260" s="142" t="str">
        <f>IFERROR(__xludf.DUMMYFUNCTION("""COMPUTED_VALUE"""),"Network and Security")</f>
        <v>Network and Security</v>
      </c>
      <c r="H260">
        <f>IFERROR(__xludf.DUMMYFUNCTION("""COMPUTED_VALUE"""),1236568.0)</f>
        <v>1236568</v>
      </c>
      <c r="I260" s="140" t="str">
        <f>IFERROR(__xludf.DUMMYFUNCTION("""COMPUTED_VALUE"""),"")</f>
        <v/>
      </c>
      <c r="J260">
        <f>IFERROR(__xludf.DUMMYFUNCTION("""COMPUTED_VALUE"""),649780.0)</f>
        <v>649780</v>
      </c>
      <c r="K260" s="140" t="str">
        <f>IFERROR(__xludf.DUMMYFUNCTION("""COMPUTED_VALUE"""),"")</f>
        <v/>
      </c>
      <c r="L260" s="140" t="str">
        <f>IFERROR(__xludf.DUMMYFUNCTION("""COMPUTED_VALUE"""),"#REF!")</f>
        <v>#REF!</v>
      </c>
    </row>
    <row r="261">
      <c r="A261" s="143">
        <f>IFERROR(__xludf.DUMMYFUNCTION("""COMPUTED_VALUE"""),43270.0)</f>
        <v>43270</v>
      </c>
      <c r="B261" s="140">
        <f>IFERROR(__xludf.DUMMYFUNCTION("""COMPUTED_VALUE"""),1619154.0)</f>
        <v>1619154</v>
      </c>
      <c r="C261" t="str">
        <f>IFERROR(__xludf.DUMMYFUNCTION("""COMPUTED_VALUE"""),"")</f>
        <v/>
      </c>
      <c r="D261" t="str">
        <f>IFERROR(__xludf.DUMMYFUNCTION("""COMPUTED_VALUE"""),"Mentor Source, Inc.")</f>
        <v>Mentor Source, Inc.</v>
      </c>
      <c r="E261" t="str">
        <f>IFERROR(__xludf.DUMMYFUNCTION("""COMPUTED_VALUE"""),"Instructor Request- Opted Out")</f>
        <v>Instructor Request- Opted Out</v>
      </c>
      <c r="F261" s="142" t="str">
        <f>IFERROR(__xludf.DUMMYFUNCTION("""COMPUTED_VALUE"""),"IT and Software")</f>
        <v>IT and Software</v>
      </c>
      <c r="G261" s="142" t="str">
        <f>IFERROR(__xludf.DUMMYFUNCTION("""COMPUTED_VALUE"""),"Network and Security")</f>
        <v>Network and Security</v>
      </c>
      <c r="H261">
        <f>IFERROR(__xludf.DUMMYFUNCTION("""COMPUTED_VALUE"""),649780.0)</f>
        <v>649780</v>
      </c>
      <c r="I261" s="140" t="str">
        <f>IFERROR(__xludf.DUMMYFUNCTION("""COMPUTED_VALUE"""),"")</f>
        <v/>
      </c>
      <c r="K261" s="140" t="str">
        <f>IFERROR(__xludf.DUMMYFUNCTION("""COMPUTED_VALUE"""),"")</f>
        <v/>
      </c>
      <c r="L261" s="140" t="str">
        <f>IFERROR(__xludf.DUMMYFUNCTION("""COMPUTED_VALUE"""),"#REF!")</f>
        <v>#REF!</v>
      </c>
    </row>
    <row r="262">
      <c r="A262" s="143">
        <f>IFERROR(__xludf.DUMMYFUNCTION("""COMPUTED_VALUE"""),43270.0)</f>
        <v>43270</v>
      </c>
      <c r="B262" s="140">
        <f>IFERROR(__xludf.DUMMYFUNCTION("""COMPUTED_VALUE"""),1608438.0)</f>
        <v>1608438</v>
      </c>
      <c r="C262" t="str">
        <f>IFERROR(__xludf.DUMMYFUNCTION("""COMPUTED_VALUE"""),"")</f>
        <v/>
      </c>
      <c r="D262" t="str">
        <f>IFERROR(__xludf.DUMMYFUNCTION("""COMPUTED_VALUE"""),"Mentor Source, Inc.")</f>
        <v>Mentor Source, Inc.</v>
      </c>
      <c r="E262" t="str">
        <f>IFERROR(__xludf.DUMMYFUNCTION("""COMPUTED_VALUE"""),"Instructor Request- Opted Out")</f>
        <v>Instructor Request- Opted Out</v>
      </c>
      <c r="F262" s="142" t="str">
        <f>IFERROR(__xludf.DUMMYFUNCTION("""COMPUTED_VALUE"""),"IT and Software")</f>
        <v>IT and Software</v>
      </c>
      <c r="G262" s="142" t="str">
        <f>IFERROR(__xludf.DUMMYFUNCTION("""COMPUTED_VALUE"""),"Network and Security")</f>
        <v>Network and Security</v>
      </c>
      <c r="I262" s="140" t="str">
        <f>IFERROR(__xludf.DUMMYFUNCTION("""COMPUTED_VALUE"""),"")</f>
        <v/>
      </c>
      <c r="K262" s="140" t="str">
        <f>IFERROR(__xludf.DUMMYFUNCTION("""COMPUTED_VALUE"""),"")</f>
        <v/>
      </c>
      <c r="L262" s="140" t="str">
        <f>IFERROR(__xludf.DUMMYFUNCTION("""COMPUTED_VALUE"""),"#REF!")</f>
        <v>#REF!</v>
      </c>
      <c r="Q262" t="str">
        <f>IFERROR(__xludf.DUMMYFUNCTION("""COMPUTED_VALUE"""),"Low Demand")</f>
        <v>Low Demand</v>
      </c>
    </row>
    <row r="263">
      <c r="A263" s="143">
        <f>IFERROR(__xludf.DUMMYFUNCTION("""COMPUTED_VALUE"""),43270.0)</f>
        <v>43270</v>
      </c>
      <c r="B263" s="140">
        <f>IFERROR(__xludf.DUMMYFUNCTION("""COMPUTED_VALUE"""),1610264.0)</f>
        <v>1610264</v>
      </c>
      <c r="C263" t="str">
        <f>IFERROR(__xludf.DUMMYFUNCTION("""COMPUTED_VALUE"""),"")</f>
        <v/>
      </c>
      <c r="D263" t="str">
        <f>IFERROR(__xludf.DUMMYFUNCTION("""COMPUTED_VALUE"""),"Mentor Source, Inc.")</f>
        <v>Mentor Source, Inc.</v>
      </c>
      <c r="E263" t="str">
        <f>IFERROR(__xludf.DUMMYFUNCTION("""COMPUTED_VALUE"""),"Instructor Request- Opted Out")</f>
        <v>Instructor Request- Opted Out</v>
      </c>
      <c r="F263" s="142" t="str">
        <f>IFERROR(__xludf.DUMMYFUNCTION("""COMPUTED_VALUE"""),"IT and Software")</f>
        <v>IT and Software</v>
      </c>
      <c r="G263" s="142" t="str">
        <f>IFERROR(__xludf.DUMMYFUNCTION("""COMPUTED_VALUE"""),"Network and Security")</f>
        <v>Network and Security</v>
      </c>
      <c r="I263" s="140" t="str">
        <f>IFERROR(__xludf.DUMMYFUNCTION("""COMPUTED_VALUE"""),"")</f>
        <v/>
      </c>
      <c r="K263" s="140" t="str">
        <f>IFERROR(__xludf.DUMMYFUNCTION("""COMPUTED_VALUE"""),"")</f>
        <v/>
      </c>
      <c r="L263" s="140" t="str">
        <f>IFERROR(__xludf.DUMMYFUNCTION("""COMPUTED_VALUE"""),"#REF!")</f>
        <v>#REF!</v>
      </c>
      <c r="Q263" t="str">
        <f>IFERROR(__xludf.DUMMYFUNCTION("""COMPUTED_VALUE"""),"Topic on Priority List - 1130042")</f>
        <v>Topic on Priority List - 1130042</v>
      </c>
    </row>
    <row r="264">
      <c r="A264" s="143">
        <f>IFERROR(__xludf.DUMMYFUNCTION("""COMPUTED_VALUE"""),43270.0)</f>
        <v>43270</v>
      </c>
      <c r="B264" s="140">
        <f>IFERROR(__xludf.DUMMYFUNCTION("""COMPUTED_VALUE"""),1611742.0)</f>
        <v>1611742</v>
      </c>
      <c r="C264" t="str">
        <f>IFERROR(__xludf.DUMMYFUNCTION("""COMPUTED_VALUE"""),"")</f>
        <v/>
      </c>
      <c r="D264" t="str">
        <f>IFERROR(__xludf.DUMMYFUNCTION("""COMPUTED_VALUE"""),"Mentor Source, Inc.")</f>
        <v>Mentor Source, Inc.</v>
      </c>
      <c r="E264" t="str">
        <f>IFERROR(__xludf.DUMMYFUNCTION("""COMPUTED_VALUE"""),"Instructor Request- Opted Out")</f>
        <v>Instructor Request- Opted Out</v>
      </c>
      <c r="F264" s="142" t="str">
        <f>IFERROR(__xludf.DUMMYFUNCTION("""COMPUTED_VALUE"""),"IT and Software")</f>
        <v>IT and Software</v>
      </c>
      <c r="G264" s="142" t="str">
        <f>IFERROR(__xludf.DUMMYFUNCTION("""COMPUTED_VALUE"""),"Network and Security")</f>
        <v>Network and Security</v>
      </c>
      <c r="I264" s="140" t="str">
        <f>IFERROR(__xludf.DUMMYFUNCTION("""COMPUTED_VALUE"""),"")</f>
        <v/>
      </c>
      <c r="K264" s="140" t="str">
        <f>IFERROR(__xludf.DUMMYFUNCTION("""COMPUTED_VALUE"""),"")</f>
        <v/>
      </c>
      <c r="L264" s="140" t="str">
        <f>IFERROR(__xludf.DUMMYFUNCTION("""COMPUTED_VALUE"""),"#REF!")</f>
        <v>#REF!</v>
      </c>
      <c r="Q264" t="str">
        <f>IFERROR(__xludf.DUMMYFUNCTION("""COMPUTED_VALUE"""),"Low Demand")</f>
        <v>Low Demand</v>
      </c>
    </row>
    <row r="265">
      <c r="A265" s="143">
        <f>IFERROR(__xludf.DUMMYFUNCTION("""COMPUTED_VALUE"""),43270.0)</f>
        <v>43270</v>
      </c>
      <c r="B265" s="140">
        <f>IFERROR(__xludf.DUMMYFUNCTION("""COMPUTED_VALUE"""),1611264.0)</f>
        <v>1611264</v>
      </c>
      <c r="C265" t="str">
        <f>IFERROR(__xludf.DUMMYFUNCTION("""COMPUTED_VALUE"""),"")</f>
        <v/>
      </c>
      <c r="D265" t="str">
        <f>IFERROR(__xludf.DUMMYFUNCTION("""COMPUTED_VALUE"""),"Mentor Source, Inc.")</f>
        <v>Mentor Source, Inc.</v>
      </c>
      <c r="E265" t="str">
        <f>IFERROR(__xludf.DUMMYFUNCTION("""COMPUTED_VALUE"""),"Instructor Request- Opted Out")</f>
        <v>Instructor Request- Opted Out</v>
      </c>
      <c r="F265" s="142" t="str">
        <f>IFERROR(__xludf.DUMMYFUNCTION("""COMPUTED_VALUE"""),"IT and Software")</f>
        <v>IT and Software</v>
      </c>
      <c r="G265" s="142" t="str">
        <f>IFERROR(__xludf.DUMMYFUNCTION("""COMPUTED_VALUE"""),"Network and Security")</f>
        <v>Network and Security</v>
      </c>
      <c r="I265" s="140" t="str">
        <f>IFERROR(__xludf.DUMMYFUNCTION("""COMPUTED_VALUE"""),"")</f>
        <v/>
      </c>
      <c r="K265" s="140" t="str">
        <f>IFERROR(__xludf.DUMMYFUNCTION("""COMPUTED_VALUE"""),"")</f>
        <v/>
      </c>
      <c r="L265" s="140" t="str">
        <f>IFERROR(__xludf.DUMMYFUNCTION("""COMPUTED_VALUE"""),"#REF!")</f>
        <v>#REF!</v>
      </c>
      <c r="Q265" t="str">
        <f>IFERROR(__xludf.DUMMYFUNCTION("""COMPUTED_VALUE"""),"Low Demand")</f>
        <v>Low Demand</v>
      </c>
    </row>
    <row r="266">
      <c r="A266" s="143">
        <f>IFERROR(__xludf.DUMMYFUNCTION("""COMPUTED_VALUE"""),43262.0)</f>
        <v>43262</v>
      </c>
      <c r="B266" s="140">
        <f>IFERROR(__xludf.DUMMYFUNCTION("""COMPUTED_VALUE"""),1386444.0)</f>
        <v>1386444</v>
      </c>
      <c r="C266" t="str">
        <f>IFERROR(__xludf.DUMMYFUNCTION("""COMPUTED_VALUE"""),"")</f>
        <v/>
      </c>
      <c r="D266" t="str">
        <f>IFERROR(__xludf.DUMMYFUNCTION("""COMPUTED_VALUE"""),"Level Up Education")</f>
        <v>Level Up Education</v>
      </c>
      <c r="E266" s="142" t="str">
        <f>IFERROR(__xludf.DUMMYFUNCTION("""COMPUTED_VALUE"""),"Instructor Practices")</f>
        <v>Instructor Practices</v>
      </c>
      <c r="F266" t="str">
        <f>IFERROR(__xludf.DUMMYFUNCTION("""COMPUTED_VALUE"""),"Data Science")</f>
        <v>Data Science</v>
      </c>
      <c r="G266" t="str">
        <f>IFERROR(__xludf.DUMMYFUNCTION("""COMPUTED_VALUE"""),"Big Data")</f>
        <v>Big Data</v>
      </c>
      <c r="H266">
        <f>IFERROR(__xludf.DUMMYFUNCTION("""COMPUTED_VALUE"""),980798.0)</f>
        <v>980798</v>
      </c>
      <c r="I266" s="140" t="str">
        <f>IFERROR(__xludf.DUMMYFUNCTION("""COMPUTED_VALUE"""),"")</f>
        <v/>
      </c>
      <c r="K266" s="140" t="str">
        <f>IFERROR(__xludf.DUMMYFUNCTION("""COMPUTED_VALUE"""),"")</f>
        <v/>
      </c>
    </row>
    <row r="267">
      <c r="A267" s="143">
        <f>IFERROR(__xludf.DUMMYFUNCTION("""COMPUTED_VALUE"""),43251.0)</f>
        <v>43251</v>
      </c>
      <c r="B267" s="140">
        <f>IFERROR(__xludf.DUMMYFUNCTION("""COMPUTED_VALUE"""),596578.0)</f>
        <v>596578</v>
      </c>
      <c r="C267" t="str">
        <f>IFERROR(__xludf.DUMMYFUNCTION("""COMPUTED_VALUE"""),"")</f>
        <v/>
      </c>
      <c r="D267" t="str">
        <f>IFERROR(__xludf.DUMMYFUNCTION("""COMPUTED_VALUE"""),"Kellie Edwards")</f>
        <v>Kellie Edwards</v>
      </c>
      <c r="E267" t="str">
        <f>IFERROR(__xludf.DUMMYFUNCTION("""COMPUTED_VALUE"""),"Below Quality Standards- Deep Dive")</f>
        <v>Below Quality Standards- Deep Dive</v>
      </c>
      <c r="F267" t="str">
        <f>IFERROR(__xludf.DUMMYFUNCTION("""COMPUTED_VALUE"""),"Personal Development")</f>
        <v>Personal Development</v>
      </c>
      <c r="G267" t="str">
        <f>IFERROR(__xludf.DUMMYFUNCTION("""COMPUTED_VALUE"""),"Personal Growth")</f>
        <v>Personal Growth</v>
      </c>
      <c r="H267">
        <f>IFERROR(__xludf.DUMMYFUNCTION("""COMPUTED_VALUE"""),421536.0)</f>
        <v>421536</v>
      </c>
      <c r="I267" s="140" t="str">
        <f>IFERROR(__xludf.DUMMYFUNCTION("""COMPUTED_VALUE"""),"")</f>
        <v/>
      </c>
      <c r="K267" s="140" t="str">
        <f>IFERROR(__xludf.DUMMYFUNCTION("""COMPUTED_VALUE"""),"")</f>
        <v/>
      </c>
    </row>
    <row r="268">
      <c r="A268" s="143">
        <f>IFERROR(__xludf.DUMMYFUNCTION("""COMPUTED_VALUE"""),43251.0)</f>
        <v>43251</v>
      </c>
      <c r="B268" s="140">
        <f>IFERROR(__xludf.DUMMYFUNCTION("""COMPUTED_VALUE"""),554456.0)</f>
        <v>554456</v>
      </c>
      <c r="C268" t="str">
        <f>IFERROR(__xludf.DUMMYFUNCTION("""COMPUTED_VALUE"""),"")</f>
        <v/>
      </c>
      <c r="D268" t="str">
        <f>IFERROR(__xludf.DUMMYFUNCTION("""COMPUTED_VALUE"""),"Bob Marx")</f>
        <v>Bob Marx</v>
      </c>
      <c r="E268" t="str">
        <f>IFERROR(__xludf.DUMMYFUNCTION("""COMPUTED_VALUE"""),"Below Quality Standards")</f>
        <v>Below Quality Standards</v>
      </c>
      <c r="F268" t="str">
        <f>IFERROR(__xludf.DUMMYFUNCTION("""COMPUTED_VALUE"""),"Sales")</f>
        <v>Sales</v>
      </c>
      <c r="G268" t="str">
        <f>IFERROR(__xludf.DUMMYFUNCTION("""COMPUTED_VALUE"""),"Sales Skills")</f>
        <v>Sales Skills</v>
      </c>
      <c r="H268">
        <f>IFERROR(__xludf.DUMMYFUNCTION("""COMPUTED_VALUE"""),1393266.0)</f>
        <v>1393266</v>
      </c>
      <c r="I268" s="140" t="str">
        <f>IFERROR(__xludf.DUMMYFUNCTION("""COMPUTED_VALUE"""),"")</f>
        <v/>
      </c>
      <c r="K268" s="140" t="str">
        <f>IFERROR(__xludf.DUMMYFUNCTION("""COMPUTED_VALUE"""),"")</f>
        <v/>
      </c>
    </row>
    <row r="269">
      <c r="A269" s="143">
        <f>IFERROR(__xludf.DUMMYFUNCTION("""COMPUTED_VALUE"""),43251.0)</f>
        <v>43251</v>
      </c>
      <c r="B269" s="140">
        <f>IFERROR(__xludf.DUMMYFUNCTION("""COMPUTED_VALUE"""),732846.0)</f>
        <v>732846</v>
      </c>
      <c r="C269" t="str">
        <f>IFERROR(__xludf.DUMMYFUNCTION("""COMPUTED_VALUE"""),"")</f>
        <v/>
      </c>
      <c r="D269" t="str">
        <f>IFERROR(__xludf.DUMMYFUNCTION("""COMPUTED_VALUE"""),"John Bura")</f>
        <v>John Bura</v>
      </c>
      <c r="E269" t="str">
        <f>IFERROR(__xludf.DUMMYFUNCTION("""COMPUTED_VALUE"""),"Below Quality Standards")</f>
        <v>Below Quality Standards</v>
      </c>
      <c r="F269" t="str">
        <f>IFERROR(__xludf.DUMMYFUNCTION("""COMPUTED_VALUE"""),"Development")</f>
        <v>Development</v>
      </c>
      <c r="G269" t="str">
        <f>IFERROR(__xludf.DUMMYFUNCTION("""COMPUTED_VALUE"""),"Mobile Development")</f>
        <v>Mobile Development</v>
      </c>
      <c r="H269">
        <f>IFERROR(__xludf.DUMMYFUNCTION("""COMPUTED_VALUE"""),890622.0)</f>
        <v>890622</v>
      </c>
      <c r="I269" s="140" t="str">
        <f>IFERROR(__xludf.DUMMYFUNCTION("""COMPUTED_VALUE"""),"")</f>
        <v/>
      </c>
      <c r="K269" s="140" t="str">
        <f>IFERROR(__xludf.DUMMYFUNCTION("""COMPUTED_VALUE"""),"")</f>
        <v/>
      </c>
    </row>
    <row r="270">
      <c r="A270" s="143">
        <f>IFERROR(__xludf.DUMMYFUNCTION("""COMPUTED_VALUE"""),43251.0)</f>
        <v>43251</v>
      </c>
      <c r="B270" s="140">
        <f>IFERROR(__xludf.DUMMYFUNCTION("""COMPUTED_VALUE"""),239552.0)</f>
        <v>239552</v>
      </c>
      <c r="C270" t="str">
        <f>IFERROR(__xludf.DUMMYFUNCTION("""COMPUTED_VALUE"""),"")</f>
        <v/>
      </c>
      <c r="D270" t="str">
        <f>IFERROR(__xludf.DUMMYFUNCTION("""COMPUTED_VALUE"""),"Eric Byrd")</f>
        <v>Eric Byrd</v>
      </c>
      <c r="E270" t="str">
        <f>IFERROR(__xludf.DUMMYFUNCTION("""COMPUTED_VALUE"""),"Below Quality Standards")</f>
        <v>Below Quality Standards</v>
      </c>
      <c r="F270" t="str">
        <f>IFERROR(__xludf.DUMMYFUNCTION("""COMPUTED_VALUE"""),"Management")</f>
        <v>Management</v>
      </c>
      <c r="G270" t="str">
        <f>IFERROR(__xludf.DUMMYFUNCTION("""COMPUTED_VALUE"""),"Communication")</f>
        <v>Communication</v>
      </c>
      <c r="H270">
        <f>IFERROR(__xludf.DUMMYFUNCTION("""COMPUTED_VALUE"""),1361836.0)</f>
        <v>1361836</v>
      </c>
      <c r="I270" s="140" t="str">
        <f>IFERROR(__xludf.DUMMYFUNCTION("""COMPUTED_VALUE"""),"")</f>
        <v/>
      </c>
      <c r="K270" s="140" t="str">
        <f>IFERROR(__xludf.DUMMYFUNCTION("""COMPUTED_VALUE"""),"")</f>
        <v/>
      </c>
    </row>
    <row r="271">
      <c r="A271" s="143">
        <f>IFERROR(__xludf.DUMMYFUNCTION("""COMPUTED_VALUE"""),43251.0)</f>
        <v>43251</v>
      </c>
      <c r="B271" s="140">
        <f>IFERROR(__xludf.DUMMYFUNCTION("""COMPUTED_VALUE"""),23909.0)</f>
        <v>23909</v>
      </c>
      <c r="C271" t="str">
        <f>IFERROR(__xludf.DUMMYFUNCTION("""COMPUTED_VALUE"""),"")</f>
        <v/>
      </c>
      <c r="D271" t="str">
        <f>IFERROR(__xludf.DUMMYFUNCTION("""COMPUTED_VALUE"""),"Jeffrey Gitomer")</f>
        <v>Jeffrey Gitomer</v>
      </c>
      <c r="E271" t="str">
        <f>IFERROR(__xludf.DUMMYFUNCTION("""COMPUTED_VALUE"""),"Below Quality Standards")</f>
        <v>Below Quality Standards</v>
      </c>
      <c r="F271" t="str">
        <f>IFERROR(__xludf.DUMMYFUNCTION("""COMPUTED_VALUE"""),"Sales")</f>
        <v>Sales</v>
      </c>
      <c r="G271" t="str">
        <f>IFERROR(__xludf.DUMMYFUNCTION("""COMPUTED_VALUE"""),"Sales Skills")</f>
        <v>Sales Skills</v>
      </c>
      <c r="H271">
        <f>IFERROR(__xludf.DUMMYFUNCTION("""COMPUTED_VALUE"""),1338126.0)</f>
        <v>1338126</v>
      </c>
      <c r="I271" s="140" t="str">
        <f>IFERROR(__xludf.DUMMYFUNCTION("""COMPUTED_VALUE"""),"")</f>
        <v/>
      </c>
      <c r="J271">
        <f>IFERROR(__xludf.DUMMYFUNCTION("""COMPUTED_VALUE"""),563478.0)</f>
        <v>563478</v>
      </c>
      <c r="K271" s="140" t="str">
        <f>IFERROR(__xludf.DUMMYFUNCTION("""COMPUTED_VALUE"""),"")</f>
        <v/>
      </c>
    </row>
    <row r="272">
      <c r="A272" s="143">
        <f>IFERROR(__xludf.DUMMYFUNCTION("""COMPUTED_VALUE"""),43251.0)</f>
        <v>43251</v>
      </c>
      <c r="B272" s="140">
        <f>IFERROR(__xludf.DUMMYFUNCTION("""COMPUTED_VALUE"""),595620.0)</f>
        <v>595620</v>
      </c>
      <c r="C272" t="str">
        <f>IFERROR(__xludf.DUMMYFUNCTION("""COMPUTED_VALUE"""),"")</f>
        <v/>
      </c>
      <c r="D272" t="str">
        <f>IFERROR(__xludf.DUMMYFUNCTION("""COMPUTED_VALUE"""),"Stephanie Losi")</f>
        <v>Stephanie Losi</v>
      </c>
      <c r="E272" t="str">
        <f>IFERROR(__xludf.DUMMYFUNCTION("""COMPUTED_VALUE"""),"Below Quality Standards")</f>
        <v>Below Quality Standards</v>
      </c>
      <c r="F272" t="str">
        <f>IFERROR(__xludf.DUMMYFUNCTION("""COMPUTED_VALUE"""),"Sales")</f>
        <v>Sales</v>
      </c>
      <c r="G272" t="str">
        <f>IFERROR(__xludf.DUMMYFUNCTION("""COMPUTED_VALUE"""),"Sales Skills")</f>
        <v>Sales Skills</v>
      </c>
      <c r="H272">
        <f>IFERROR(__xludf.DUMMYFUNCTION("""COMPUTED_VALUE"""),1338126.0)</f>
        <v>1338126</v>
      </c>
      <c r="I272" s="140" t="str">
        <f>IFERROR(__xludf.DUMMYFUNCTION("""COMPUTED_VALUE"""),"")</f>
        <v/>
      </c>
      <c r="J272">
        <f>IFERROR(__xludf.DUMMYFUNCTION("""COMPUTED_VALUE"""),619692.0)</f>
        <v>619692</v>
      </c>
      <c r="K272" s="140" t="str">
        <f>IFERROR(__xludf.DUMMYFUNCTION("""COMPUTED_VALUE"""),"")</f>
        <v/>
      </c>
    </row>
    <row r="273">
      <c r="A273" s="143">
        <f>IFERROR(__xludf.DUMMYFUNCTION("""COMPUTED_VALUE"""),43251.0)</f>
        <v>43251</v>
      </c>
      <c r="B273" s="140">
        <f>IFERROR(__xludf.DUMMYFUNCTION("""COMPUTED_VALUE"""),504530.0)</f>
        <v>504530</v>
      </c>
      <c r="C273" t="str">
        <f>IFERROR(__xludf.DUMMYFUNCTION("""COMPUTED_VALUE"""),"")</f>
        <v/>
      </c>
      <c r="D273" t="str">
        <f>IFERROR(__xludf.DUMMYFUNCTION("""COMPUTED_VALUE"""),"Michael Gross")</f>
        <v>Michael Gross</v>
      </c>
      <c r="E273" t="str">
        <f>IFERROR(__xludf.DUMMYFUNCTION("""COMPUTED_VALUE"""),"Below Quality Standards- Deep Dive")</f>
        <v>Below Quality Standards- Deep Dive</v>
      </c>
      <c r="F273" t="str">
        <f>IFERROR(__xludf.DUMMYFUNCTION("""COMPUTED_VALUE"""),"Personal Development")</f>
        <v>Personal Development</v>
      </c>
      <c r="G273" t="str">
        <f>IFERROR(__xludf.DUMMYFUNCTION("""COMPUTED_VALUE"""),"Health and Fitness")</f>
        <v>Health and Fitness</v>
      </c>
      <c r="H273">
        <f>IFERROR(__xludf.DUMMYFUNCTION("""COMPUTED_VALUE"""),1289968.0)</f>
        <v>1289968</v>
      </c>
      <c r="I273" s="140" t="str">
        <f>IFERROR(__xludf.DUMMYFUNCTION("""COMPUTED_VALUE"""),"")</f>
        <v/>
      </c>
      <c r="J273">
        <f>IFERROR(__xludf.DUMMYFUNCTION("""COMPUTED_VALUE"""),1399440.0)</f>
        <v>1399440</v>
      </c>
      <c r="K273" s="140" t="str">
        <f>IFERROR(__xludf.DUMMYFUNCTION("""COMPUTED_VALUE"""),"")</f>
        <v/>
      </c>
    </row>
    <row r="274">
      <c r="A274" s="143">
        <f>IFERROR(__xludf.DUMMYFUNCTION("""COMPUTED_VALUE"""),43251.0)</f>
        <v>43251</v>
      </c>
      <c r="B274" s="140">
        <f>IFERROR(__xludf.DUMMYFUNCTION("""COMPUTED_VALUE"""),213258.0)</f>
        <v>213258</v>
      </c>
      <c r="C274" t="str">
        <f>IFERROR(__xludf.DUMMYFUNCTION("""COMPUTED_VALUE"""),"")</f>
        <v/>
      </c>
      <c r="D274" t="str">
        <f>IFERROR(__xludf.DUMMYFUNCTION("""COMPUTED_VALUE"""),"Sadie Nardini, Founder, Yoga Shred &amp; E-RYT 300")</f>
        <v>Sadie Nardini, Founder, Yoga Shred &amp; E-RYT 300</v>
      </c>
      <c r="E274" t="str">
        <f>IFERROR(__xludf.DUMMYFUNCTION("""COMPUTED_VALUE"""),"Below Quality Standards- Deep Dive")</f>
        <v>Below Quality Standards- Deep Dive</v>
      </c>
      <c r="F274" t="str">
        <f>IFERROR(__xludf.DUMMYFUNCTION("""COMPUTED_VALUE"""),"Personal Development")</f>
        <v>Personal Development</v>
      </c>
      <c r="G274" t="str">
        <f>IFERROR(__xludf.DUMMYFUNCTION("""COMPUTED_VALUE"""),"Health and Fitness")</f>
        <v>Health and Fitness</v>
      </c>
      <c r="H274">
        <f>IFERROR(__xludf.DUMMYFUNCTION("""COMPUTED_VALUE"""),775932.0)</f>
        <v>775932</v>
      </c>
      <c r="I274" s="140" t="str">
        <f>IFERROR(__xludf.DUMMYFUNCTION("""COMPUTED_VALUE"""),"")</f>
        <v/>
      </c>
      <c r="K274" s="140" t="str">
        <f>IFERROR(__xludf.DUMMYFUNCTION("""COMPUTED_VALUE"""),"")</f>
        <v/>
      </c>
    </row>
    <row r="275">
      <c r="A275" s="143">
        <f>IFERROR(__xludf.DUMMYFUNCTION("""COMPUTED_VALUE"""),43251.0)</f>
        <v>43251</v>
      </c>
      <c r="B275" s="140">
        <f>IFERROR(__xludf.DUMMYFUNCTION("""COMPUTED_VALUE"""),356302.0)</f>
        <v>356302</v>
      </c>
      <c r="C275" t="str">
        <f>IFERROR(__xludf.DUMMYFUNCTION("""COMPUTED_VALUE"""),"")</f>
        <v/>
      </c>
      <c r="D275" t="str">
        <f>IFERROR(__xludf.DUMMYFUNCTION("""COMPUTED_VALUE"""),"Joachim Guenster (J.T. Story)")</f>
        <v>Joachim Guenster (J.T. Story)</v>
      </c>
      <c r="E275" t="str">
        <f>IFERROR(__xludf.DUMMYFUNCTION("""COMPUTED_VALUE"""),"Below Quality Standards")</f>
        <v>Below Quality Standards</v>
      </c>
      <c r="F275" t="str">
        <f>IFERROR(__xludf.DUMMYFUNCTION("""COMPUTED_VALUE"""),"Sales")</f>
        <v>Sales</v>
      </c>
      <c r="G275" t="str">
        <f>IFERROR(__xludf.DUMMYFUNCTION("""COMPUTED_VALUE"""),"Sales Skills")</f>
        <v>Sales Skills</v>
      </c>
      <c r="H275">
        <f>IFERROR(__xludf.DUMMYFUNCTION("""COMPUTED_VALUE"""),550604.0)</f>
        <v>550604</v>
      </c>
      <c r="I275" s="140" t="str">
        <f>IFERROR(__xludf.DUMMYFUNCTION("""COMPUTED_VALUE"""),"")</f>
        <v/>
      </c>
      <c r="J275">
        <f>IFERROR(__xludf.DUMMYFUNCTION("""COMPUTED_VALUE"""),619692.0)</f>
        <v>619692</v>
      </c>
      <c r="K275" s="140" t="str">
        <f>IFERROR(__xludf.DUMMYFUNCTION("""COMPUTED_VALUE"""),"")</f>
        <v/>
      </c>
    </row>
    <row r="276">
      <c r="A276" s="143">
        <f>IFERROR(__xludf.DUMMYFUNCTION("""COMPUTED_VALUE"""),43251.0)</f>
        <v>43251</v>
      </c>
      <c r="B276" s="140">
        <f>IFERROR(__xludf.DUMMYFUNCTION("""COMPUTED_VALUE"""),692440.0)</f>
        <v>692440</v>
      </c>
      <c r="C276" t="str">
        <f>IFERROR(__xludf.DUMMYFUNCTION("""COMPUTED_VALUE"""),"")</f>
        <v/>
      </c>
      <c r="D276" t="str">
        <f>IFERROR(__xludf.DUMMYFUNCTION("""COMPUTED_VALUE"""),"Sadie Nardini, Founder, Yoga Shred &amp; E-RYT 300")</f>
        <v>Sadie Nardini, Founder, Yoga Shred &amp; E-RYT 300</v>
      </c>
      <c r="E276" t="str">
        <f>IFERROR(__xludf.DUMMYFUNCTION("""COMPUTED_VALUE"""),"Below Quality Standards- Deep Dive")</f>
        <v>Below Quality Standards- Deep Dive</v>
      </c>
      <c r="F276" t="str">
        <f>IFERROR(__xludf.DUMMYFUNCTION("""COMPUTED_VALUE"""),"Personal Development")</f>
        <v>Personal Development</v>
      </c>
      <c r="G276" t="str">
        <f>IFERROR(__xludf.DUMMYFUNCTION("""COMPUTED_VALUE"""),"Health and Fitness")</f>
        <v>Health and Fitness</v>
      </c>
      <c r="H276">
        <f>IFERROR(__xludf.DUMMYFUNCTION("""COMPUTED_VALUE"""),8139.0)</f>
        <v>8139</v>
      </c>
      <c r="I276" s="140" t="str">
        <f>IFERROR(__xludf.DUMMYFUNCTION("""COMPUTED_VALUE"""),"")</f>
        <v/>
      </c>
      <c r="K276" s="140" t="str">
        <f>IFERROR(__xludf.DUMMYFUNCTION("""COMPUTED_VALUE"""),"")</f>
        <v/>
      </c>
    </row>
    <row r="277">
      <c r="A277" s="143">
        <f>IFERROR(__xludf.DUMMYFUNCTION("""COMPUTED_VALUE"""),43251.0)</f>
        <v>43251</v>
      </c>
      <c r="B277" s="140">
        <f>IFERROR(__xludf.DUMMYFUNCTION("""COMPUTED_VALUE"""),353110.0)</f>
        <v>353110</v>
      </c>
      <c r="C277" t="str">
        <f>IFERROR(__xludf.DUMMYFUNCTION("""COMPUTED_VALUE"""),"")</f>
        <v/>
      </c>
      <c r="D277" t="str">
        <f>IFERROR(__xludf.DUMMYFUNCTION("""COMPUTED_VALUE"""),"Sadie Nardini, Founder, Yoga Shred &amp; E-RYT 300")</f>
        <v>Sadie Nardini, Founder, Yoga Shred &amp; E-RYT 300</v>
      </c>
      <c r="E277" t="str">
        <f>IFERROR(__xludf.DUMMYFUNCTION("""COMPUTED_VALUE"""),"Below Quality Standards- Deep Dive")</f>
        <v>Below Quality Standards- Deep Dive</v>
      </c>
      <c r="F277" t="str">
        <f>IFERROR(__xludf.DUMMYFUNCTION("""COMPUTED_VALUE"""),"Personal Development")</f>
        <v>Personal Development</v>
      </c>
      <c r="G277" t="str">
        <f>IFERROR(__xludf.DUMMYFUNCTION("""COMPUTED_VALUE"""),"Health and Fitness")</f>
        <v>Health and Fitness</v>
      </c>
      <c r="H277">
        <f>IFERROR(__xludf.DUMMYFUNCTION("""COMPUTED_VALUE"""),8139.0)</f>
        <v>8139</v>
      </c>
      <c r="I277" s="140" t="str">
        <f>IFERROR(__xludf.DUMMYFUNCTION("""COMPUTED_VALUE"""),"")</f>
        <v/>
      </c>
      <c r="K277" s="140" t="str">
        <f>IFERROR(__xludf.DUMMYFUNCTION("""COMPUTED_VALUE"""),"")</f>
        <v/>
      </c>
    </row>
    <row r="278">
      <c r="A278" s="143">
        <f>IFERROR(__xludf.DUMMYFUNCTION("""COMPUTED_VALUE"""),43251.0)</f>
        <v>43251</v>
      </c>
      <c r="B278" s="140">
        <f>IFERROR(__xludf.DUMMYFUNCTION("""COMPUTED_VALUE"""),466382.0)</f>
        <v>466382</v>
      </c>
      <c r="C278" t="str">
        <f>IFERROR(__xludf.DUMMYFUNCTION("""COMPUTED_VALUE"""),"")</f>
        <v/>
      </c>
      <c r="D278" t="str">
        <f>IFERROR(__xludf.DUMMYFUNCTION("""COMPUTED_VALUE"""),"Sadie Nardini, Founder, Yoga Shred &amp; E-RYT 300")</f>
        <v>Sadie Nardini, Founder, Yoga Shred &amp; E-RYT 300</v>
      </c>
      <c r="E278" t="str">
        <f>IFERROR(__xludf.DUMMYFUNCTION("""COMPUTED_VALUE"""),"Below Quality Standards- Deep Dive")</f>
        <v>Below Quality Standards- Deep Dive</v>
      </c>
      <c r="F278" t="str">
        <f>IFERROR(__xludf.DUMMYFUNCTION("""COMPUTED_VALUE"""),"Personal Development")</f>
        <v>Personal Development</v>
      </c>
      <c r="G278" t="str">
        <f>IFERROR(__xludf.DUMMYFUNCTION("""COMPUTED_VALUE"""),"Health and Fitness")</f>
        <v>Health and Fitness</v>
      </c>
      <c r="H278">
        <f>IFERROR(__xludf.DUMMYFUNCTION("""COMPUTED_VALUE"""),395170.0)</f>
        <v>395170</v>
      </c>
      <c r="I278" s="140" t="str">
        <f>IFERROR(__xludf.DUMMYFUNCTION("""COMPUTED_VALUE"""),"")</f>
        <v/>
      </c>
      <c r="K278" s="140" t="str">
        <f>IFERROR(__xludf.DUMMYFUNCTION("""COMPUTED_VALUE"""),"")</f>
        <v/>
      </c>
    </row>
    <row r="279">
      <c r="A279" s="143">
        <f>IFERROR(__xludf.DUMMYFUNCTION("""COMPUTED_VALUE"""),43251.0)</f>
        <v>43251</v>
      </c>
      <c r="B279" s="140">
        <f>IFERROR(__xludf.DUMMYFUNCTION("""COMPUTED_VALUE"""),362562.0)</f>
        <v>362562</v>
      </c>
      <c r="C279" t="str">
        <f>IFERROR(__xludf.DUMMYFUNCTION("""COMPUTED_VALUE"""),"")</f>
        <v/>
      </c>
      <c r="D279" t="str">
        <f>IFERROR(__xludf.DUMMYFUNCTION("""COMPUTED_VALUE"""),"TJ Walker")</f>
        <v>TJ Walker</v>
      </c>
      <c r="E279" t="str">
        <f>IFERROR(__xludf.DUMMYFUNCTION("""COMPUTED_VALUE"""),"Below Quality Standards")</f>
        <v>Below Quality Standards</v>
      </c>
      <c r="F279" t="str">
        <f>IFERROR(__xludf.DUMMYFUNCTION("""COMPUTED_VALUE"""),"Sales")</f>
        <v>Sales</v>
      </c>
      <c r="G279" t="str">
        <f>IFERROR(__xludf.DUMMYFUNCTION("""COMPUTED_VALUE"""),"Sales Skills")</f>
        <v>Sales Skills</v>
      </c>
      <c r="H279">
        <f>IFERROR(__xludf.DUMMYFUNCTION("""COMPUTED_VALUE"""),1281528.0)</f>
        <v>1281528</v>
      </c>
      <c r="I279" s="140" t="str">
        <f>IFERROR(__xludf.DUMMYFUNCTION("""COMPUTED_VALUE"""),"")</f>
        <v/>
      </c>
      <c r="K279" s="140" t="str">
        <f>IFERROR(__xludf.DUMMYFUNCTION("""COMPUTED_VALUE"""),"")</f>
        <v/>
      </c>
    </row>
    <row r="280">
      <c r="A280" s="143">
        <f>IFERROR(__xludf.DUMMYFUNCTION("""COMPUTED_VALUE"""),43251.0)</f>
        <v>43251</v>
      </c>
      <c r="B280" s="140">
        <f>IFERROR(__xludf.DUMMYFUNCTION("""COMPUTED_VALUE"""),569482.0)</f>
        <v>569482</v>
      </c>
      <c r="C280" t="str">
        <f>IFERROR(__xludf.DUMMYFUNCTION("""COMPUTED_VALUE"""),"")</f>
        <v/>
      </c>
      <c r="D280" t="str">
        <f>IFERROR(__xludf.DUMMYFUNCTION("""COMPUTED_VALUE"""),"Randy Paterson")</f>
        <v>Randy Paterson</v>
      </c>
      <c r="E280" t="str">
        <f>IFERROR(__xludf.DUMMYFUNCTION("""COMPUTED_VALUE"""),"Instructor Request- Opted Out")</f>
        <v>Instructor Request- Opted Out</v>
      </c>
      <c r="F280" t="str">
        <f>IFERROR(__xludf.DUMMYFUNCTION("""COMPUTED_VALUE"""),"Personal Development")</f>
        <v>Personal Development</v>
      </c>
      <c r="G280" t="str">
        <f>IFERROR(__xludf.DUMMYFUNCTION("""COMPUTED_VALUE"""),"Personal Finance")</f>
        <v>Personal Finance</v>
      </c>
      <c r="H280">
        <f>IFERROR(__xludf.DUMMYFUNCTION("""COMPUTED_VALUE"""),1317218.0)</f>
        <v>1317218</v>
      </c>
      <c r="I280" s="140" t="str">
        <f>IFERROR(__xludf.DUMMYFUNCTION("""COMPUTED_VALUE"""),"")</f>
        <v/>
      </c>
      <c r="J280">
        <f>IFERROR(__xludf.DUMMYFUNCTION("""COMPUTED_VALUE"""),1466336.0)</f>
        <v>1466336</v>
      </c>
      <c r="K280" s="140" t="str">
        <f>IFERROR(__xludf.DUMMYFUNCTION("""COMPUTED_VALUE"""),"")</f>
        <v/>
      </c>
    </row>
    <row r="281">
      <c r="A281" s="143">
        <f>IFERROR(__xludf.DUMMYFUNCTION("""COMPUTED_VALUE"""),43251.0)</f>
        <v>43251</v>
      </c>
      <c r="B281" s="140">
        <f>IFERROR(__xludf.DUMMYFUNCTION("""COMPUTED_VALUE"""),71460.0)</f>
        <v>71460</v>
      </c>
      <c r="C281" t="str">
        <f>IFERROR(__xludf.DUMMYFUNCTION("""COMPUTED_VALUE"""),"")</f>
        <v/>
      </c>
      <c r="D281" t="str">
        <f>IFERROR(__xludf.DUMMYFUNCTION("""COMPUTED_VALUE"""),"Sadie Nardini, Founder, Yoga Shred &amp; E-RYT 300")</f>
        <v>Sadie Nardini, Founder, Yoga Shred &amp; E-RYT 300</v>
      </c>
      <c r="E281" t="str">
        <f>IFERROR(__xludf.DUMMYFUNCTION("""COMPUTED_VALUE"""),"Below Quality Standards- Deep Dive")</f>
        <v>Below Quality Standards- Deep Dive</v>
      </c>
      <c r="F281" t="str">
        <f>IFERROR(__xludf.DUMMYFUNCTION("""COMPUTED_VALUE"""),"Personal Development")</f>
        <v>Personal Development</v>
      </c>
      <c r="G281" t="str">
        <f>IFERROR(__xludf.DUMMYFUNCTION("""COMPUTED_VALUE"""),"Health and Fitness")</f>
        <v>Health and Fitness</v>
      </c>
      <c r="H281">
        <f>IFERROR(__xludf.DUMMYFUNCTION("""COMPUTED_VALUE"""),8139.0)</f>
        <v>8139</v>
      </c>
      <c r="I281" s="140" t="str">
        <f>IFERROR(__xludf.DUMMYFUNCTION("""COMPUTED_VALUE"""),"")</f>
        <v/>
      </c>
      <c r="K281" s="140" t="str">
        <f>IFERROR(__xludf.DUMMYFUNCTION("""COMPUTED_VALUE"""),"")</f>
        <v/>
      </c>
    </row>
    <row r="282">
      <c r="A282" s="143">
        <f>IFERROR(__xludf.DUMMYFUNCTION("""COMPUTED_VALUE"""),43251.0)</f>
        <v>43251</v>
      </c>
      <c r="B282" s="140">
        <f>IFERROR(__xludf.DUMMYFUNCTION("""COMPUTED_VALUE"""),99098.0)</f>
        <v>99098</v>
      </c>
      <c r="C282" t="str">
        <f>IFERROR(__xludf.DUMMYFUNCTION("""COMPUTED_VALUE"""),"")</f>
        <v/>
      </c>
      <c r="D282" t="str">
        <f>IFERROR(__xludf.DUMMYFUNCTION("""COMPUTED_VALUE"""),"Sadie Nardini, Founder, Yoga Shred &amp; E-RYT 300")</f>
        <v>Sadie Nardini, Founder, Yoga Shred &amp; E-RYT 300</v>
      </c>
      <c r="E282" t="str">
        <f>IFERROR(__xludf.DUMMYFUNCTION("""COMPUTED_VALUE"""),"Below Quality Standards- Deep Dive")</f>
        <v>Below Quality Standards- Deep Dive</v>
      </c>
      <c r="F282" t="str">
        <f>IFERROR(__xludf.DUMMYFUNCTION("""COMPUTED_VALUE"""),"Personal Development")</f>
        <v>Personal Development</v>
      </c>
      <c r="G282" t="str">
        <f>IFERROR(__xludf.DUMMYFUNCTION("""COMPUTED_VALUE"""),"Health and Fitness")</f>
        <v>Health and Fitness</v>
      </c>
      <c r="H282">
        <f>IFERROR(__xludf.DUMMYFUNCTION("""COMPUTED_VALUE"""),308408.0)</f>
        <v>308408</v>
      </c>
      <c r="I282" s="140" t="str">
        <f>IFERROR(__xludf.DUMMYFUNCTION("""COMPUTED_VALUE"""),"")</f>
        <v/>
      </c>
      <c r="K282" s="140" t="str">
        <f>IFERROR(__xludf.DUMMYFUNCTION("""COMPUTED_VALUE"""),"")</f>
        <v/>
      </c>
    </row>
    <row r="283">
      <c r="A283" s="143">
        <f>IFERROR(__xludf.DUMMYFUNCTION("""COMPUTED_VALUE"""),43251.0)</f>
        <v>43251</v>
      </c>
      <c r="B283" s="140">
        <f>IFERROR(__xludf.DUMMYFUNCTION("""COMPUTED_VALUE"""),679742.0)</f>
        <v>679742</v>
      </c>
      <c r="C283" t="str">
        <f>IFERROR(__xludf.DUMMYFUNCTION("""COMPUTED_VALUE"""),"")</f>
        <v/>
      </c>
      <c r="D283" t="str">
        <f>IFERROR(__xludf.DUMMYFUNCTION("""COMPUTED_VALUE"""),"Sadie Nardini, Founder, Yoga Shred &amp; E-RYT 300")</f>
        <v>Sadie Nardini, Founder, Yoga Shred &amp; E-RYT 300</v>
      </c>
      <c r="E283" t="str">
        <f>IFERROR(__xludf.DUMMYFUNCTION("""COMPUTED_VALUE"""),"Below Quality Standards- Deep Dive")</f>
        <v>Below Quality Standards- Deep Dive</v>
      </c>
      <c r="F283" t="str">
        <f>IFERROR(__xludf.DUMMYFUNCTION("""COMPUTED_VALUE"""),"Personal Development")</f>
        <v>Personal Development</v>
      </c>
      <c r="G283" t="str">
        <f>IFERROR(__xludf.DUMMYFUNCTION("""COMPUTED_VALUE"""),"Health and Fitness")</f>
        <v>Health and Fitness</v>
      </c>
      <c r="H283">
        <f>IFERROR(__xludf.DUMMYFUNCTION("""COMPUTED_VALUE"""),273758.0)</f>
        <v>273758</v>
      </c>
      <c r="I283" s="140" t="str">
        <f>IFERROR(__xludf.DUMMYFUNCTION("""COMPUTED_VALUE"""),"")</f>
        <v/>
      </c>
      <c r="K283" s="140" t="str">
        <f>IFERROR(__xludf.DUMMYFUNCTION("""COMPUTED_VALUE"""),"")</f>
        <v/>
      </c>
    </row>
    <row r="284">
      <c r="A284" s="143">
        <f>IFERROR(__xludf.DUMMYFUNCTION("""COMPUTED_VALUE"""),43251.0)</f>
        <v>43251</v>
      </c>
      <c r="B284" s="140">
        <f>IFERROR(__xludf.DUMMYFUNCTION("""COMPUTED_VALUE"""),811172.0)</f>
        <v>811172</v>
      </c>
      <c r="C284" t="str">
        <f>IFERROR(__xludf.DUMMYFUNCTION("""COMPUTED_VALUE"""),"")</f>
        <v/>
      </c>
      <c r="D284" t="str">
        <f>IFERROR(__xludf.DUMMYFUNCTION("""COMPUTED_VALUE"""),"Paul Lynn")</f>
        <v>Paul Lynn</v>
      </c>
      <c r="E284" t="str">
        <f>IFERROR(__xludf.DUMMYFUNCTION("""COMPUTED_VALUE"""),"Instructor Request- Opted Out")</f>
        <v>Instructor Request- Opted Out</v>
      </c>
      <c r="F284" t="str">
        <f>IFERROR(__xludf.DUMMYFUNCTION("""COMPUTED_VALUE"""),"IT and Software")</f>
        <v>IT and Software</v>
      </c>
      <c r="G284" t="str">
        <f>IFERROR(__xludf.DUMMYFUNCTION("""COMPUTED_VALUE"""),"Hardware")</f>
        <v>Hardware</v>
      </c>
      <c r="H284">
        <f>IFERROR(__xludf.DUMMYFUNCTION("""COMPUTED_VALUE"""),849116.0)</f>
        <v>849116</v>
      </c>
      <c r="I284" s="140" t="str">
        <f>IFERROR(__xludf.DUMMYFUNCTION("""COMPUTED_VALUE"""),"")</f>
        <v/>
      </c>
      <c r="K284" s="140" t="str">
        <f>IFERROR(__xludf.DUMMYFUNCTION("""COMPUTED_VALUE"""),"")</f>
        <v/>
      </c>
    </row>
    <row r="285">
      <c r="A285" s="143">
        <f>IFERROR(__xludf.DUMMYFUNCTION("""COMPUTED_VALUE"""),43251.0)</f>
        <v>43251</v>
      </c>
      <c r="B285" s="140">
        <f>IFERROR(__xludf.DUMMYFUNCTION("""COMPUTED_VALUE"""),239200.0)</f>
        <v>239200</v>
      </c>
      <c r="C285" t="str">
        <f>IFERROR(__xludf.DUMMYFUNCTION("""COMPUTED_VALUE"""),"")</f>
        <v/>
      </c>
      <c r="D285" t="str">
        <f>IFERROR(__xludf.DUMMYFUNCTION("""COMPUTED_VALUE"""),"J. A. Whye")</f>
        <v>J. A. Whye</v>
      </c>
      <c r="E285" t="str">
        <f>IFERROR(__xludf.DUMMYFUNCTION("""COMPUTED_VALUE"""),"Instructor Request- Outdated")</f>
        <v>Instructor Request- Outdated</v>
      </c>
      <c r="F285" t="str">
        <f>IFERROR(__xludf.DUMMYFUNCTION("""COMPUTED_VALUE"""),"Development")</f>
        <v>Development</v>
      </c>
      <c r="G285" t="str">
        <f>IFERROR(__xludf.DUMMYFUNCTION("""COMPUTED_VALUE"""),"Mobile Development")</f>
        <v>Mobile Development</v>
      </c>
      <c r="H285">
        <f>IFERROR(__xludf.DUMMYFUNCTION("""COMPUTED_VALUE"""),980770.0)</f>
        <v>980770</v>
      </c>
      <c r="I285" s="140" t="str">
        <f>IFERROR(__xludf.DUMMYFUNCTION("""COMPUTED_VALUE"""),"")</f>
        <v/>
      </c>
      <c r="K285" s="140" t="str">
        <f>IFERROR(__xludf.DUMMYFUNCTION("""COMPUTED_VALUE"""),"")</f>
        <v/>
      </c>
    </row>
    <row r="286">
      <c r="A286" s="143">
        <f>IFERROR(__xludf.DUMMYFUNCTION("""COMPUTED_VALUE"""),43251.0)</f>
        <v>43251</v>
      </c>
      <c r="B286" s="140">
        <f>IFERROR(__xludf.DUMMYFUNCTION("""COMPUTED_VALUE"""),656714.0)</f>
        <v>656714</v>
      </c>
      <c r="C286" t="str">
        <f>IFERROR(__xludf.DUMMYFUNCTION("""COMPUTED_VALUE"""),"")</f>
        <v/>
      </c>
      <c r="D286" t="str">
        <f>IFERROR(__xludf.DUMMYFUNCTION("""COMPUTED_VALUE"""),"Paul Lynn")</f>
        <v>Paul Lynn</v>
      </c>
      <c r="E286" t="str">
        <f>IFERROR(__xludf.DUMMYFUNCTION("""COMPUTED_VALUE"""),"Instructor Request- Opted Out")</f>
        <v>Instructor Request- Opted Out</v>
      </c>
      <c r="F286" t="str">
        <f>IFERROR(__xludf.DUMMYFUNCTION("""COMPUTED_VALUE"""),"Design")</f>
        <v>Design</v>
      </c>
      <c r="G286" t="str">
        <f>IFERROR(__xludf.DUMMYFUNCTION("""COMPUTED_VALUE"""),"3D and Animation")</f>
        <v>3D and Animation</v>
      </c>
      <c r="H286">
        <f>IFERROR(__xludf.DUMMYFUNCTION("""COMPUTED_VALUE"""),695724.0)</f>
        <v>695724</v>
      </c>
      <c r="I286" s="140" t="str">
        <f>IFERROR(__xludf.DUMMYFUNCTION("""COMPUTED_VALUE"""),"")</f>
        <v/>
      </c>
      <c r="J286">
        <f>IFERROR(__xludf.DUMMYFUNCTION("""COMPUTED_VALUE"""),9513.0)</f>
        <v>9513</v>
      </c>
      <c r="K286" s="140" t="str">
        <f>IFERROR(__xludf.DUMMYFUNCTION("""COMPUTED_VALUE"""),"")</f>
        <v/>
      </c>
    </row>
    <row r="287">
      <c r="A287" s="143">
        <f>IFERROR(__xludf.DUMMYFUNCTION("""COMPUTED_VALUE"""),43251.0)</f>
        <v>43251</v>
      </c>
      <c r="B287" s="140">
        <f>IFERROR(__xludf.DUMMYFUNCTION("""COMPUTED_VALUE"""),655142.0)</f>
        <v>655142</v>
      </c>
      <c r="C287" t="str">
        <f>IFERROR(__xludf.DUMMYFUNCTION("""COMPUTED_VALUE"""),"")</f>
        <v/>
      </c>
      <c r="D287" t="str">
        <f>IFERROR(__xludf.DUMMYFUNCTION("""COMPUTED_VALUE"""),"Sadie Nardini, Founder, Yoga Shred &amp; E-RYT 300")</f>
        <v>Sadie Nardini, Founder, Yoga Shred &amp; E-RYT 300</v>
      </c>
      <c r="E287" t="str">
        <f>IFERROR(__xludf.DUMMYFUNCTION("""COMPUTED_VALUE"""),"Below Quality Standards- Deep Dive")</f>
        <v>Below Quality Standards- Deep Dive</v>
      </c>
      <c r="F287" t="str">
        <f>IFERROR(__xludf.DUMMYFUNCTION("""COMPUTED_VALUE"""),"Personal Development")</f>
        <v>Personal Development</v>
      </c>
      <c r="G287" t="str">
        <f>IFERROR(__xludf.DUMMYFUNCTION("""COMPUTED_VALUE"""),"Health and Fitness")</f>
        <v>Health and Fitness</v>
      </c>
      <c r="H287">
        <f>IFERROR(__xludf.DUMMYFUNCTION("""COMPUTED_VALUE"""),308402.0)</f>
        <v>308402</v>
      </c>
      <c r="I287" s="140" t="str">
        <f>IFERROR(__xludf.DUMMYFUNCTION("""COMPUTED_VALUE"""),"")</f>
        <v/>
      </c>
      <c r="K287" s="140" t="str">
        <f>IFERROR(__xludf.DUMMYFUNCTION("""COMPUTED_VALUE"""),"")</f>
        <v/>
      </c>
    </row>
    <row r="288">
      <c r="A288" s="143">
        <f>IFERROR(__xludf.DUMMYFUNCTION("""COMPUTED_VALUE"""),43251.0)</f>
        <v>43251</v>
      </c>
      <c r="B288" s="140">
        <f>IFERROR(__xludf.DUMMYFUNCTION("""COMPUTED_VALUE"""),859582.0)</f>
        <v>859582</v>
      </c>
      <c r="C288" t="str">
        <f>IFERROR(__xludf.DUMMYFUNCTION("""COMPUTED_VALUE"""),"")</f>
        <v/>
      </c>
      <c r="D288" t="str">
        <f>IFERROR(__xludf.DUMMYFUNCTION("""COMPUTED_VALUE"""),"Ger Apeldoorn")</f>
        <v>Ger Apeldoorn</v>
      </c>
      <c r="E288" t="str">
        <f>IFERROR(__xludf.DUMMYFUNCTION("""COMPUTED_VALUE"""),"Instructor Request- Opted Out")</f>
        <v>Instructor Request- Opted Out</v>
      </c>
      <c r="F288" t="str">
        <f>IFERROR(__xludf.DUMMYFUNCTION("""COMPUTED_VALUE"""),"IT and Software")</f>
        <v>IT and Software</v>
      </c>
      <c r="G288" t="str">
        <f>IFERROR(__xludf.DUMMYFUNCTION("""COMPUTED_VALUE"""),"Operating Systems and Servers")</f>
        <v>Operating Systems and Servers</v>
      </c>
      <c r="H288">
        <f>IFERROR(__xludf.DUMMYFUNCTION("""COMPUTED_VALUE"""),1220404.0)</f>
        <v>1220404</v>
      </c>
      <c r="I288" s="140" t="str">
        <f>IFERROR(__xludf.DUMMYFUNCTION("""COMPUTED_VALUE"""),"")</f>
        <v/>
      </c>
      <c r="K288" s="140" t="str">
        <f>IFERROR(__xludf.DUMMYFUNCTION("""COMPUTED_VALUE"""),"")</f>
        <v/>
      </c>
    </row>
    <row r="289">
      <c r="A289" s="143">
        <f>IFERROR(__xludf.DUMMYFUNCTION("""COMPUTED_VALUE"""),43251.0)</f>
        <v>43251</v>
      </c>
      <c r="B289" s="140">
        <f>IFERROR(__xludf.DUMMYFUNCTION("""COMPUTED_VALUE"""),118042.0)</f>
        <v>118042</v>
      </c>
      <c r="C289" t="str">
        <f>IFERROR(__xludf.DUMMYFUNCTION("""COMPUTED_VALUE"""),"")</f>
        <v/>
      </c>
      <c r="D289" t="str">
        <f>IFERROR(__xludf.DUMMYFUNCTION("""COMPUTED_VALUE"""),"Paul Lynn")</f>
        <v>Paul Lynn</v>
      </c>
      <c r="E289" t="str">
        <f>IFERROR(__xludf.DUMMYFUNCTION("""COMPUTED_VALUE"""),"Instructor Request- Opted Out")</f>
        <v>Instructor Request- Opted Out</v>
      </c>
      <c r="F289" t="str">
        <f>IFERROR(__xludf.DUMMYFUNCTION("""COMPUTED_VALUE"""),"IT and Software")</f>
        <v>IT and Software</v>
      </c>
      <c r="G289" t="str">
        <f>IFERROR(__xludf.DUMMYFUNCTION("""COMPUTED_VALUE"""),"Hardware")</f>
        <v>Hardware</v>
      </c>
      <c r="H289">
        <f>IFERROR(__xludf.DUMMYFUNCTION("""COMPUTED_VALUE"""),849116.0)</f>
        <v>849116</v>
      </c>
      <c r="I289" s="140" t="str">
        <f>IFERROR(__xludf.DUMMYFUNCTION("""COMPUTED_VALUE"""),"")</f>
        <v/>
      </c>
      <c r="K289" s="140" t="str">
        <f>IFERROR(__xludf.DUMMYFUNCTION("""COMPUTED_VALUE"""),"")</f>
        <v/>
      </c>
      <c r="Q289" t="str">
        <f>IFERROR(__xludf.DUMMYFUNCTION("""COMPUTED_VALUE"""),"Course readded to the collection")</f>
        <v>Course readded to the collection</v>
      </c>
    </row>
    <row r="290">
      <c r="A290" s="143">
        <f>IFERROR(__xludf.DUMMYFUNCTION("""COMPUTED_VALUE"""),43251.0)</f>
        <v>43251</v>
      </c>
      <c r="B290" s="140">
        <f>IFERROR(__xludf.DUMMYFUNCTION("""COMPUTED_VALUE"""),507694.0)</f>
        <v>507694</v>
      </c>
      <c r="C290" t="str">
        <f>IFERROR(__xludf.DUMMYFUNCTION("""COMPUTED_VALUE"""),"")</f>
        <v/>
      </c>
      <c r="D290" t="str">
        <f>IFERROR(__xludf.DUMMYFUNCTION("""COMPUTED_VALUE"""),"Drexel Scott")</f>
        <v>Drexel Scott</v>
      </c>
      <c r="E290" t="str">
        <f>IFERROR(__xludf.DUMMYFUNCTION("""COMPUTED_VALUE"""),"Below Quality Standards")</f>
        <v>Below Quality Standards</v>
      </c>
      <c r="F290" t="str">
        <f>IFERROR(__xludf.DUMMYFUNCTION("""COMPUTED_VALUE"""),"Sales")</f>
        <v>Sales</v>
      </c>
      <c r="G290" t="str">
        <f>IFERROR(__xludf.DUMMYFUNCTION("""COMPUTED_VALUE"""),"Sales Skills")</f>
        <v>Sales Skills</v>
      </c>
      <c r="H290">
        <f>IFERROR(__xludf.DUMMYFUNCTION("""COMPUTED_VALUE"""),1347836.0)</f>
        <v>1347836</v>
      </c>
      <c r="I290" s="140" t="str">
        <f>IFERROR(__xludf.DUMMYFUNCTION("""COMPUTED_VALUE"""),"")</f>
        <v/>
      </c>
      <c r="J290">
        <f>IFERROR(__xludf.DUMMYFUNCTION("""COMPUTED_VALUE"""),1504268.0)</f>
        <v>1504268</v>
      </c>
      <c r="K290" s="140" t="str">
        <f>IFERROR(__xludf.DUMMYFUNCTION("""COMPUTED_VALUE"""),"")</f>
        <v/>
      </c>
    </row>
    <row r="291">
      <c r="A291" s="143">
        <f>IFERROR(__xludf.DUMMYFUNCTION("""COMPUTED_VALUE"""),43251.0)</f>
        <v>43251</v>
      </c>
      <c r="B291" s="140">
        <f>IFERROR(__xludf.DUMMYFUNCTION("""COMPUTED_VALUE"""),716534.0)</f>
        <v>716534</v>
      </c>
      <c r="C291" t="str">
        <f>IFERROR(__xludf.DUMMYFUNCTION("""COMPUTED_VALUE"""),"")</f>
        <v/>
      </c>
      <c r="D291" t="str">
        <f>IFERROR(__xludf.DUMMYFUNCTION("""COMPUTED_VALUE"""),"Eric Byrd")</f>
        <v>Eric Byrd</v>
      </c>
      <c r="E291" t="str">
        <f>IFERROR(__xludf.DUMMYFUNCTION("""COMPUTED_VALUE"""),"Below Quality Standards- Deep Dive")</f>
        <v>Below Quality Standards- Deep Dive</v>
      </c>
      <c r="F291" t="str">
        <f>IFERROR(__xludf.DUMMYFUNCTION("""COMPUTED_VALUE"""),"Personal Development")</f>
        <v>Personal Development</v>
      </c>
      <c r="G291" t="str">
        <f>IFERROR(__xludf.DUMMYFUNCTION("""COMPUTED_VALUE"""),"Personal Growth")</f>
        <v>Personal Growth</v>
      </c>
      <c r="H291">
        <f>IFERROR(__xludf.DUMMYFUNCTION("""COMPUTED_VALUE"""),775932.0)</f>
        <v>775932</v>
      </c>
      <c r="I291" s="140" t="str">
        <f>IFERROR(__xludf.DUMMYFUNCTION("""COMPUTED_VALUE"""),"")</f>
        <v/>
      </c>
      <c r="K291" s="140" t="str">
        <f>IFERROR(__xludf.DUMMYFUNCTION("""COMPUTED_VALUE"""),"")</f>
        <v/>
      </c>
    </row>
    <row r="292">
      <c r="A292" s="143">
        <f>IFERROR(__xludf.DUMMYFUNCTION("""COMPUTED_VALUE"""),43251.0)</f>
        <v>43251</v>
      </c>
      <c r="B292" s="140">
        <f>IFERROR(__xludf.DUMMYFUNCTION("""COMPUTED_VALUE"""),245090.0)</f>
        <v>245090</v>
      </c>
      <c r="C292" t="str">
        <f>IFERROR(__xludf.DUMMYFUNCTION("""COMPUTED_VALUE"""),"")</f>
        <v/>
      </c>
      <c r="D292" t="str">
        <f>IFERROR(__xludf.DUMMYFUNCTION("""COMPUTED_VALUE"""),"Scott Britton")</f>
        <v>Scott Britton</v>
      </c>
      <c r="E292" t="str">
        <f>IFERROR(__xludf.DUMMYFUNCTION("""COMPUTED_VALUE"""),"Below Quality Standards")</f>
        <v>Below Quality Standards</v>
      </c>
      <c r="F292" t="str">
        <f>IFERROR(__xludf.DUMMYFUNCTION("""COMPUTED_VALUE"""),"Sales")</f>
        <v>Sales</v>
      </c>
      <c r="G292" t="str">
        <f>IFERROR(__xludf.DUMMYFUNCTION("""COMPUTED_VALUE"""),"Sales Skills")</f>
        <v>Sales Skills</v>
      </c>
      <c r="H292">
        <f>IFERROR(__xludf.DUMMYFUNCTION("""COMPUTED_VALUE"""),1393266.0)</f>
        <v>1393266</v>
      </c>
      <c r="I292" s="140" t="str">
        <f>IFERROR(__xludf.DUMMYFUNCTION("""COMPUTED_VALUE"""),"")</f>
        <v/>
      </c>
      <c r="K292" s="140" t="str">
        <f>IFERROR(__xludf.DUMMYFUNCTION("""COMPUTED_VALUE"""),"")</f>
        <v/>
      </c>
    </row>
    <row r="293">
      <c r="A293" s="143">
        <f>IFERROR(__xludf.DUMMYFUNCTION("""COMPUTED_VALUE"""),43251.0)</f>
        <v>43251</v>
      </c>
      <c r="B293" s="140">
        <f>IFERROR(__xludf.DUMMYFUNCTION("""COMPUTED_VALUE"""),619260.0)</f>
        <v>619260</v>
      </c>
      <c r="C293" t="str">
        <f>IFERROR(__xludf.DUMMYFUNCTION("""COMPUTED_VALUE"""),"")</f>
        <v/>
      </c>
      <c r="D293" t="str">
        <f>IFERROR(__xludf.DUMMYFUNCTION("""COMPUTED_VALUE"""),"Joseph Phillips")</f>
        <v>Joseph Phillips</v>
      </c>
      <c r="E293" t="str">
        <f>IFERROR(__xludf.DUMMYFUNCTION("""COMPUTED_VALUE"""),"Below Quality Standards- Deep Dive")</f>
        <v>Below Quality Standards- Deep Dive</v>
      </c>
      <c r="F293" t="str">
        <f>IFERROR(__xludf.DUMMYFUNCTION("""COMPUTED_VALUE"""),"Personal Development")</f>
        <v>Personal Development</v>
      </c>
      <c r="G293" t="str">
        <f>IFERROR(__xludf.DUMMYFUNCTION("""COMPUTED_VALUE"""),"Personal Growth")</f>
        <v>Personal Growth</v>
      </c>
      <c r="H293">
        <f>IFERROR(__xludf.DUMMYFUNCTION("""COMPUTED_VALUE"""),775932.0)</f>
        <v>775932</v>
      </c>
      <c r="I293" s="140" t="str">
        <f>IFERROR(__xludf.DUMMYFUNCTION("""COMPUTED_VALUE"""),"")</f>
        <v/>
      </c>
      <c r="J293">
        <f>IFERROR(__xludf.DUMMYFUNCTION("""COMPUTED_VALUE"""),698200.0)</f>
        <v>698200</v>
      </c>
      <c r="K293" s="140" t="str">
        <f>IFERROR(__xludf.DUMMYFUNCTION("""COMPUTED_VALUE"""),"")</f>
        <v/>
      </c>
    </row>
    <row r="294">
      <c r="A294" s="143">
        <f>IFERROR(__xludf.DUMMYFUNCTION("""COMPUTED_VALUE"""),43251.0)</f>
        <v>43251</v>
      </c>
      <c r="B294" s="140">
        <f>IFERROR(__xludf.DUMMYFUNCTION("""COMPUTED_VALUE"""),200090.0)</f>
        <v>200090</v>
      </c>
      <c r="C294" t="str">
        <f>IFERROR(__xludf.DUMMYFUNCTION("""COMPUTED_VALUE"""),"")</f>
        <v/>
      </c>
      <c r="D294" t="str">
        <f>IFERROR(__xludf.DUMMYFUNCTION("""COMPUTED_VALUE"""),"John Wiley &amp; Sons, Inc.")</f>
        <v>John Wiley &amp; Sons, Inc.</v>
      </c>
      <c r="E294" t="str">
        <f>IFERROR(__xludf.DUMMYFUNCTION("""COMPUTED_VALUE"""),"Below Quality Standards- Outdated")</f>
        <v>Below Quality Standards- Outdated</v>
      </c>
      <c r="F294" t="str">
        <f>IFERROR(__xludf.DUMMYFUNCTION("""COMPUTED_VALUE"""),"Sales")</f>
        <v>Sales</v>
      </c>
      <c r="G294" t="str">
        <f>IFERROR(__xludf.DUMMYFUNCTION("""COMPUTED_VALUE"""),"Sales Tools")</f>
        <v>Sales Tools</v>
      </c>
      <c r="H294">
        <f>IFERROR(__xludf.DUMMYFUNCTION("""COMPUTED_VALUE"""),205270.0)</f>
        <v>205270</v>
      </c>
      <c r="I294" s="140" t="str">
        <f>IFERROR(__xludf.DUMMYFUNCTION("""COMPUTED_VALUE"""),"")</f>
        <v/>
      </c>
      <c r="K294" s="140" t="str">
        <f>IFERROR(__xludf.DUMMYFUNCTION("""COMPUTED_VALUE"""),"")</f>
        <v/>
      </c>
    </row>
    <row r="295">
      <c r="A295" s="143">
        <f>IFERROR(__xludf.DUMMYFUNCTION("""COMPUTED_VALUE"""),43251.0)</f>
        <v>43251</v>
      </c>
      <c r="B295" s="140">
        <f>IFERROR(__xludf.DUMMYFUNCTION("""COMPUTED_VALUE"""),374904.0)</f>
        <v>374904</v>
      </c>
      <c r="C295" t="str">
        <f>IFERROR(__xludf.DUMMYFUNCTION("""COMPUTED_VALUE"""),"")</f>
        <v/>
      </c>
      <c r="D295" t="str">
        <f>IFERROR(__xludf.DUMMYFUNCTION("""COMPUTED_VALUE"""),"Dragos Stefanescu")</f>
        <v>Dragos Stefanescu</v>
      </c>
      <c r="E295" t="str">
        <f>IFERROR(__xludf.DUMMYFUNCTION("""COMPUTED_VALUE"""),"Below Quality Standards")</f>
        <v>Below Quality Standards</v>
      </c>
      <c r="F295" t="str">
        <f>IFERROR(__xludf.DUMMYFUNCTION("""COMPUTED_VALUE"""),"Marketing")</f>
        <v>Marketing</v>
      </c>
      <c r="G295" t="str">
        <f>IFERROR(__xludf.DUMMYFUNCTION("""COMPUTED_VALUE"""),"Social Media")</f>
        <v>Social Media</v>
      </c>
      <c r="H295">
        <f>IFERROR(__xludf.DUMMYFUNCTION("""COMPUTED_VALUE"""),1149896.0)</f>
        <v>1149896</v>
      </c>
      <c r="I295" s="140" t="str">
        <f>IFERROR(__xludf.DUMMYFUNCTION("""COMPUTED_VALUE"""),"")</f>
        <v/>
      </c>
      <c r="K295" s="140" t="str">
        <f>IFERROR(__xludf.DUMMYFUNCTION("""COMPUTED_VALUE"""),"")</f>
        <v/>
      </c>
    </row>
    <row r="296">
      <c r="A296" s="143">
        <f>IFERROR(__xludf.DUMMYFUNCTION("""COMPUTED_VALUE"""),43251.0)</f>
        <v>43251</v>
      </c>
      <c r="B296" s="140">
        <f>IFERROR(__xludf.DUMMYFUNCTION("""COMPUTED_VALUE"""),178580.0)</f>
        <v>178580</v>
      </c>
      <c r="C296" t="str">
        <f>IFERROR(__xludf.DUMMYFUNCTION("""COMPUTED_VALUE"""),"")</f>
        <v/>
      </c>
      <c r="D296" t="str">
        <f>IFERROR(__xludf.DUMMYFUNCTION("""COMPUTED_VALUE"""),"Paul Siegel")</f>
        <v>Paul Siegel</v>
      </c>
      <c r="E296" t="str">
        <f>IFERROR(__xludf.DUMMYFUNCTION("""COMPUTED_VALUE"""),"Below Quality Standards")</f>
        <v>Below Quality Standards</v>
      </c>
      <c r="F296" t="str">
        <f>IFERROR(__xludf.DUMMYFUNCTION("""COMPUTED_VALUE"""),"Sales")</f>
        <v>Sales</v>
      </c>
      <c r="G296" t="str">
        <f>IFERROR(__xludf.DUMMYFUNCTION("""COMPUTED_VALUE"""),"Sales Skills")</f>
        <v>Sales Skills</v>
      </c>
      <c r="H296">
        <f>IFERROR(__xludf.DUMMYFUNCTION("""COMPUTED_VALUE"""),982416.0)</f>
        <v>982416</v>
      </c>
      <c r="I296" s="140" t="str">
        <f>IFERROR(__xludf.DUMMYFUNCTION("""COMPUTED_VALUE"""),"")</f>
        <v/>
      </c>
      <c r="K296" s="140" t="str">
        <f>IFERROR(__xludf.DUMMYFUNCTION("""COMPUTED_VALUE"""),"")</f>
        <v/>
      </c>
    </row>
    <row r="297">
      <c r="A297" s="143">
        <f>IFERROR(__xludf.DUMMYFUNCTION("""COMPUTED_VALUE"""),43251.0)</f>
        <v>43251</v>
      </c>
      <c r="B297" s="140">
        <f>IFERROR(__xludf.DUMMYFUNCTION("""COMPUTED_VALUE"""),853090.0)</f>
        <v>853090</v>
      </c>
      <c r="C297" t="str">
        <f>IFERROR(__xludf.DUMMYFUNCTION("""COMPUTED_VALUE"""),"")</f>
        <v/>
      </c>
      <c r="D297" t="str">
        <f>IFERROR(__xludf.DUMMYFUNCTION("""COMPUTED_VALUE"""),"Skill Boosters")</f>
        <v>Skill Boosters</v>
      </c>
      <c r="E297" t="str">
        <f>IFERROR(__xludf.DUMMYFUNCTION("""COMPUTED_VALUE"""),"Below Quality Standards- Deep Dive")</f>
        <v>Below Quality Standards- Deep Dive</v>
      </c>
      <c r="F297" t="str">
        <f>IFERROR(__xludf.DUMMYFUNCTION("""COMPUTED_VALUE"""),"Personal Development")</f>
        <v>Personal Development</v>
      </c>
      <c r="G297" t="str">
        <f>IFERROR(__xludf.DUMMYFUNCTION("""COMPUTED_VALUE"""),"Personal Growth")</f>
        <v>Personal Growth</v>
      </c>
      <c r="H297">
        <f>IFERROR(__xludf.DUMMYFUNCTION("""COMPUTED_VALUE"""),802642.0)</f>
        <v>802642</v>
      </c>
      <c r="I297" s="140" t="str">
        <f>IFERROR(__xludf.DUMMYFUNCTION("""COMPUTED_VALUE"""),"")</f>
        <v/>
      </c>
      <c r="K297" s="140" t="str">
        <f>IFERROR(__xludf.DUMMYFUNCTION("""COMPUTED_VALUE"""),"")</f>
        <v/>
      </c>
    </row>
    <row r="298">
      <c r="A298" s="143">
        <f>IFERROR(__xludf.DUMMYFUNCTION("""COMPUTED_VALUE"""),43251.0)</f>
        <v>43251</v>
      </c>
      <c r="B298" s="140">
        <f>IFERROR(__xludf.DUMMYFUNCTION("""COMPUTED_VALUE"""),917672.0)</f>
        <v>917672</v>
      </c>
      <c r="C298" t="str">
        <f>IFERROR(__xludf.DUMMYFUNCTION("""COMPUTED_VALUE"""),"")</f>
        <v/>
      </c>
      <c r="D298" t="str">
        <f>IFERROR(__xludf.DUMMYFUNCTION("""COMPUTED_VALUE"""),"Charles Smiles")</f>
        <v>Charles Smiles</v>
      </c>
      <c r="E298" t="str">
        <f>IFERROR(__xludf.DUMMYFUNCTION("""COMPUTED_VALUE"""),"Instructor Request- No Detail")</f>
        <v>Instructor Request- No Detail</v>
      </c>
      <c r="F298" t="str">
        <f>IFERROR(__xludf.DUMMYFUNCTION("""COMPUTED_VALUE"""),"IT and Software")</f>
        <v>IT and Software</v>
      </c>
      <c r="G298" t="str">
        <f>IFERROR(__xludf.DUMMYFUNCTION("""COMPUTED_VALUE"""),"Databases")</f>
        <v>Databases</v>
      </c>
      <c r="H298">
        <f>IFERROR(__xludf.DUMMYFUNCTION("""COMPUTED_VALUE"""),866196.0)</f>
        <v>866196</v>
      </c>
      <c r="I298" s="140" t="str">
        <f>IFERROR(__xludf.DUMMYFUNCTION("""COMPUTED_VALUE"""),"")</f>
        <v/>
      </c>
      <c r="K298" s="140" t="str">
        <f>IFERROR(__xludf.DUMMYFUNCTION("""COMPUTED_VALUE"""),"")</f>
        <v/>
      </c>
    </row>
    <row r="299">
      <c r="A299" s="143">
        <f>IFERROR(__xludf.DUMMYFUNCTION("""COMPUTED_VALUE"""),43251.0)</f>
        <v>43251</v>
      </c>
      <c r="B299" s="140">
        <f>IFERROR(__xludf.DUMMYFUNCTION("""COMPUTED_VALUE"""),462620.0)</f>
        <v>462620</v>
      </c>
      <c r="C299" t="str">
        <f>IFERROR(__xludf.DUMMYFUNCTION("""COMPUTED_VALUE"""),"")</f>
        <v/>
      </c>
      <c r="D299" t="str">
        <f>IFERROR(__xludf.DUMMYFUNCTION("""COMPUTED_VALUE"""),"Shilpan Patel")</f>
        <v>Shilpan Patel</v>
      </c>
      <c r="E299" t="str">
        <f>IFERROR(__xludf.DUMMYFUNCTION("""COMPUTED_VALUE"""),"Below Quality Standards")</f>
        <v>Below Quality Standards</v>
      </c>
      <c r="F299" t="str">
        <f>IFERROR(__xludf.DUMMYFUNCTION("""COMPUTED_VALUE"""),"Data Science")</f>
        <v>Data Science</v>
      </c>
      <c r="G299" t="str">
        <f>IFERROR(__xludf.DUMMYFUNCTION("""COMPUTED_VALUE"""),"Analytics")</f>
        <v>Analytics</v>
      </c>
      <c r="H299">
        <f>IFERROR(__xludf.DUMMYFUNCTION("""COMPUTED_VALUE"""),1259060.0)</f>
        <v>1259060</v>
      </c>
      <c r="I299" s="140" t="str">
        <f>IFERROR(__xludf.DUMMYFUNCTION("""COMPUTED_VALUE"""),"")</f>
        <v/>
      </c>
      <c r="K299" s="140" t="str">
        <f>IFERROR(__xludf.DUMMYFUNCTION("""COMPUTED_VALUE"""),"")</f>
        <v/>
      </c>
    </row>
    <row r="300">
      <c r="A300" s="143">
        <f>IFERROR(__xludf.DUMMYFUNCTION("""COMPUTED_VALUE"""),43251.0)</f>
        <v>43251</v>
      </c>
      <c r="B300" s="140">
        <f>IFERROR(__xludf.DUMMYFUNCTION("""COMPUTED_VALUE"""),875542.0)</f>
        <v>875542</v>
      </c>
      <c r="C300" t="str">
        <f>IFERROR(__xludf.DUMMYFUNCTION("""COMPUTED_VALUE"""),"")</f>
        <v/>
      </c>
      <c r="D300" t="str">
        <f>IFERROR(__xludf.DUMMYFUNCTION("""COMPUTED_VALUE"""),"Scott Britton")</f>
        <v>Scott Britton</v>
      </c>
      <c r="E300" t="str">
        <f>IFERROR(__xludf.DUMMYFUNCTION("""COMPUTED_VALUE"""),"Below Quality Standards")</f>
        <v>Below Quality Standards</v>
      </c>
      <c r="F300" t="str">
        <f>IFERROR(__xludf.DUMMYFUNCTION("""COMPUTED_VALUE"""),"Sales")</f>
        <v>Sales</v>
      </c>
      <c r="G300" t="str">
        <f>IFERROR(__xludf.DUMMYFUNCTION("""COMPUTED_VALUE"""),"Sales Skills")</f>
        <v>Sales Skills</v>
      </c>
      <c r="H300">
        <f>IFERROR(__xludf.DUMMYFUNCTION("""COMPUTED_VALUE"""),1393266.0)</f>
        <v>1393266</v>
      </c>
      <c r="I300" s="140" t="str">
        <f>IFERROR(__xludf.DUMMYFUNCTION("""COMPUTED_VALUE"""),"")</f>
        <v/>
      </c>
      <c r="K300" s="140" t="str">
        <f>IFERROR(__xludf.DUMMYFUNCTION("""COMPUTED_VALUE"""),"")</f>
        <v/>
      </c>
    </row>
    <row r="301">
      <c r="A301" s="143">
        <f>IFERROR(__xludf.DUMMYFUNCTION("""COMPUTED_VALUE"""),43251.0)</f>
        <v>43251</v>
      </c>
      <c r="B301" s="140">
        <f>IFERROR(__xludf.DUMMYFUNCTION("""COMPUTED_VALUE"""),26681.0)</f>
        <v>26681</v>
      </c>
      <c r="C301" t="str">
        <f>IFERROR(__xludf.DUMMYFUNCTION("""COMPUTED_VALUE"""),"")</f>
        <v/>
      </c>
      <c r="D301" t="str">
        <f>IFERROR(__xludf.DUMMYFUNCTION("""COMPUTED_VALUE"""),"Jeffrey Gitomer")</f>
        <v>Jeffrey Gitomer</v>
      </c>
      <c r="E301" t="str">
        <f>IFERROR(__xludf.DUMMYFUNCTION("""COMPUTED_VALUE"""),"Below Quality Standards")</f>
        <v>Below Quality Standards</v>
      </c>
      <c r="F301" t="str">
        <f>IFERROR(__xludf.DUMMYFUNCTION("""COMPUTED_VALUE"""),"Sales")</f>
        <v>Sales</v>
      </c>
      <c r="G301" t="str">
        <f>IFERROR(__xludf.DUMMYFUNCTION("""COMPUTED_VALUE"""),"Sales Skills")</f>
        <v>Sales Skills</v>
      </c>
      <c r="H301">
        <f>IFERROR(__xludf.DUMMYFUNCTION("""COMPUTED_VALUE"""),550604.0)</f>
        <v>550604</v>
      </c>
      <c r="I301" s="140" t="str">
        <f>IFERROR(__xludf.DUMMYFUNCTION("""COMPUTED_VALUE"""),"")</f>
        <v/>
      </c>
      <c r="K301" s="140" t="str">
        <f>IFERROR(__xludf.DUMMYFUNCTION("""COMPUTED_VALUE"""),"")</f>
        <v/>
      </c>
    </row>
    <row r="302">
      <c r="A302" s="143">
        <f>IFERROR(__xludf.DUMMYFUNCTION("""COMPUTED_VALUE"""),43251.0)</f>
        <v>43251</v>
      </c>
      <c r="B302" s="140">
        <f>IFERROR(__xludf.DUMMYFUNCTION("""COMPUTED_VALUE"""),1263164.0)</f>
        <v>1263164</v>
      </c>
      <c r="C302" t="str">
        <f>IFERROR(__xludf.DUMMYFUNCTION("""COMPUTED_VALUE"""),"")</f>
        <v/>
      </c>
      <c r="D302" t="str">
        <f>IFERROR(__xludf.DUMMYFUNCTION("""COMPUTED_VALUE"""),"Illumeo Learning")</f>
        <v>Illumeo Learning</v>
      </c>
      <c r="E302" t="str">
        <f>IFERROR(__xludf.DUMMYFUNCTION("""COMPUTED_VALUE"""),"Below Quality Standards")</f>
        <v>Below Quality Standards</v>
      </c>
      <c r="F302" t="str">
        <f>IFERROR(__xludf.DUMMYFUNCTION("""COMPUTED_VALUE"""),"Management")</f>
        <v>Management</v>
      </c>
      <c r="G302" t="str">
        <f>IFERROR(__xludf.DUMMYFUNCTION("""COMPUTED_VALUE"""),"Communication")</f>
        <v>Communication</v>
      </c>
      <c r="H302">
        <f>IFERROR(__xludf.DUMMYFUNCTION("""COMPUTED_VALUE"""),1361836.0)</f>
        <v>1361836</v>
      </c>
      <c r="I302" s="140" t="str">
        <f>IFERROR(__xludf.DUMMYFUNCTION("""COMPUTED_VALUE"""),"")</f>
        <v/>
      </c>
      <c r="K302" s="140" t="str">
        <f>IFERROR(__xludf.DUMMYFUNCTION("""COMPUTED_VALUE"""),"")</f>
        <v/>
      </c>
    </row>
    <row r="303">
      <c r="A303" s="143">
        <f>IFERROR(__xludf.DUMMYFUNCTION("""COMPUTED_VALUE"""),43251.0)</f>
        <v>43251</v>
      </c>
      <c r="B303" s="140">
        <f>IFERROR(__xludf.DUMMYFUNCTION("""COMPUTED_VALUE"""),312564.0)</f>
        <v>312564</v>
      </c>
      <c r="C303" t="str">
        <f>IFERROR(__xludf.DUMMYFUNCTION("""COMPUTED_VALUE"""),"")</f>
        <v/>
      </c>
      <c r="D303" t="str">
        <f>IFERROR(__xludf.DUMMYFUNCTION("""COMPUTED_VALUE"""),"Osamede Arhunmwunde")</f>
        <v>Osamede Arhunmwunde</v>
      </c>
      <c r="E303" t="str">
        <f>IFERROR(__xludf.DUMMYFUNCTION("""COMPUTED_VALUE"""),"Below Quality Standards- Deep Dive")</f>
        <v>Below Quality Standards- Deep Dive</v>
      </c>
      <c r="F303" t="str">
        <f>IFERROR(__xludf.DUMMYFUNCTION("""COMPUTED_VALUE"""),"Personal Development")</f>
        <v>Personal Development</v>
      </c>
      <c r="G303" t="str">
        <f>IFERROR(__xludf.DUMMYFUNCTION("""COMPUTED_VALUE"""),"Personal Growth")</f>
        <v>Personal Growth</v>
      </c>
      <c r="H303">
        <f>IFERROR(__xludf.DUMMYFUNCTION("""COMPUTED_VALUE"""),775932.0)</f>
        <v>775932</v>
      </c>
      <c r="I303" s="140" t="str">
        <f>IFERROR(__xludf.DUMMYFUNCTION("""COMPUTED_VALUE"""),"")</f>
        <v/>
      </c>
      <c r="K303" s="140" t="str">
        <f>IFERROR(__xludf.DUMMYFUNCTION("""COMPUTED_VALUE"""),"")</f>
        <v/>
      </c>
    </row>
    <row r="304">
      <c r="A304" s="143">
        <f>IFERROR(__xludf.DUMMYFUNCTION("""COMPUTED_VALUE"""),43251.0)</f>
        <v>43251</v>
      </c>
      <c r="B304" s="140">
        <f>IFERROR(__xludf.DUMMYFUNCTION("""COMPUTED_VALUE"""),39115.0)</f>
        <v>39115</v>
      </c>
      <c r="C304" t="str">
        <f>IFERROR(__xludf.DUMMYFUNCTION("""COMPUTED_VALUE"""),"")</f>
        <v/>
      </c>
      <c r="D304" t="str">
        <f>IFERROR(__xludf.DUMMYFUNCTION("""COMPUTED_VALUE"""),"John Purcell")</f>
        <v>John Purcell</v>
      </c>
      <c r="E304" t="str">
        <f>IFERROR(__xludf.DUMMYFUNCTION("""COMPUTED_VALUE"""),"Below Quality Standards")</f>
        <v>Below Quality Standards</v>
      </c>
      <c r="F304" t="str">
        <f>IFERROR(__xludf.DUMMYFUNCTION("""COMPUTED_VALUE"""),"Development")</f>
        <v>Development</v>
      </c>
      <c r="G304" t="str">
        <f>IFERROR(__xludf.DUMMYFUNCTION("""COMPUTED_VALUE"""),"Mobile Development")</f>
        <v>Mobile Development</v>
      </c>
      <c r="H304">
        <f>IFERROR(__xludf.DUMMYFUNCTION("""COMPUTED_VALUE"""),524990.0)</f>
        <v>524990</v>
      </c>
      <c r="I304" s="140" t="str">
        <f>IFERROR(__xludf.DUMMYFUNCTION("""COMPUTED_VALUE"""),"")</f>
        <v/>
      </c>
      <c r="K304" s="140" t="str">
        <f>IFERROR(__xludf.DUMMYFUNCTION("""COMPUTED_VALUE"""),"")</f>
        <v/>
      </c>
    </row>
    <row r="305">
      <c r="A305" s="143">
        <f>IFERROR(__xludf.DUMMYFUNCTION("""COMPUTED_VALUE"""),43251.0)</f>
        <v>43251</v>
      </c>
      <c r="B305" s="140">
        <f>IFERROR(__xludf.DUMMYFUNCTION("""COMPUTED_VALUE"""),691182.0)</f>
        <v>691182</v>
      </c>
      <c r="C305" t="str">
        <f>IFERROR(__xludf.DUMMYFUNCTION("""COMPUTED_VALUE"""),"")</f>
        <v/>
      </c>
      <c r="D305" t="str">
        <f>IFERROR(__xludf.DUMMYFUNCTION("""COMPUTED_VALUE"""),"Mike West")</f>
        <v>Mike West</v>
      </c>
      <c r="E305" t="str">
        <f>IFERROR(__xludf.DUMMYFUNCTION("""COMPUTED_VALUE"""),"Below Quality Standards")</f>
        <v>Below Quality Standards</v>
      </c>
      <c r="F305" t="str">
        <f>IFERROR(__xludf.DUMMYFUNCTION("""COMPUTED_VALUE"""),"Data Science")</f>
        <v>Data Science</v>
      </c>
      <c r="G305" t="str">
        <f>IFERROR(__xludf.DUMMYFUNCTION("""COMPUTED_VALUE"""),"Big Data")</f>
        <v>Big Data</v>
      </c>
      <c r="H305">
        <f>IFERROR(__xludf.DUMMYFUNCTION("""COMPUTED_VALUE"""),1088256.0)</f>
        <v>1088256</v>
      </c>
      <c r="I305" s="140" t="str">
        <f>IFERROR(__xludf.DUMMYFUNCTION("""COMPUTED_VALUE"""),"")</f>
        <v/>
      </c>
      <c r="K305" s="140" t="str">
        <f>IFERROR(__xludf.DUMMYFUNCTION("""COMPUTED_VALUE"""),"")</f>
        <v/>
      </c>
    </row>
    <row r="306">
      <c r="A306" s="143">
        <f>IFERROR(__xludf.DUMMYFUNCTION("""COMPUTED_VALUE"""),43251.0)</f>
        <v>43251</v>
      </c>
      <c r="B306" s="140">
        <f>IFERROR(__xludf.DUMMYFUNCTION("""COMPUTED_VALUE"""),657298.0)</f>
        <v>657298</v>
      </c>
      <c r="C306" t="str">
        <f>IFERROR(__xludf.DUMMYFUNCTION("""COMPUTED_VALUE"""),"")</f>
        <v/>
      </c>
      <c r="D306" t="str">
        <f>IFERROR(__xludf.DUMMYFUNCTION("""COMPUTED_VALUE"""),"Joel Widmer")</f>
        <v>Joel Widmer</v>
      </c>
      <c r="E306" t="str">
        <f>IFERROR(__xludf.DUMMYFUNCTION("""COMPUTED_VALUE"""),"Below Quality Standards- Outdated")</f>
        <v>Below Quality Standards- Outdated</v>
      </c>
      <c r="F306" t="str">
        <f>IFERROR(__xludf.DUMMYFUNCTION("""COMPUTED_VALUE"""),"Sales")</f>
        <v>Sales</v>
      </c>
      <c r="G306" t="str">
        <f>IFERROR(__xludf.DUMMYFUNCTION("""COMPUTED_VALUE"""),"Sales Tools")</f>
        <v>Sales Tools</v>
      </c>
      <c r="H306">
        <f>IFERROR(__xludf.DUMMYFUNCTION("""COMPUTED_VALUE"""),1149896.0)</f>
        <v>1149896</v>
      </c>
      <c r="I306" s="140" t="str">
        <f>IFERROR(__xludf.DUMMYFUNCTION("""COMPUTED_VALUE"""),"")</f>
        <v/>
      </c>
      <c r="K306" s="140" t="str">
        <f>IFERROR(__xludf.DUMMYFUNCTION("""COMPUTED_VALUE"""),"")</f>
        <v/>
      </c>
    </row>
    <row r="307">
      <c r="A307" s="143">
        <f>IFERROR(__xludf.DUMMYFUNCTION("""COMPUTED_VALUE"""),43251.0)</f>
        <v>43251</v>
      </c>
      <c r="B307" s="140">
        <f>IFERROR(__xludf.DUMMYFUNCTION("""COMPUTED_VALUE"""),388038.0)</f>
        <v>388038</v>
      </c>
      <c r="C307" t="str">
        <f>IFERROR(__xludf.DUMMYFUNCTION("""COMPUTED_VALUE"""),"")</f>
        <v/>
      </c>
      <c r="D307" t="str">
        <f>IFERROR(__xludf.DUMMYFUNCTION("""COMPUTED_VALUE"""),"Bob Marx")</f>
        <v>Bob Marx</v>
      </c>
      <c r="E307" t="str">
        <f>IFERROR(__xludf.DUMMYFUNCTION("""COMPUTED_VALUE"""),"Below Quality Standards")</f>
        <v>Below Quality Standards</v>
      </c>
      <c r="F307" t="str">
        <f>IFERROR(__xludf.DUMMYFUNCTION("""COMPUTED_VALUE"""),"Sales")</f>
        <v>Sales</v>
      </c>
      <c r="G307" t="str">
        <f>IFERROR(__xludf.DUMMYFUNCTION("""COMPUTED_VALUE"""),"Sales Skills")</f>
        <v>Sales Skills</v>
      </c>
      <c r="H307">
        <f>IFERROR(__xludf.DUMMYFUNCTION("""COMPUTED_VALUE"""),1326772.0)</f>
        <v>1326772</v>
      </c>
      <c r="I307" s="140" t="str">
        <f>IFERROR(__xludf.DUMMYFUNCTION("""COMPUTED_VALUE"""),"")</f>
        <v/>
      </c>
      <c r="K307" s="140" t="str">
        <f>IFERROR(__xludf.DUMMYFUNCTION("""COMPUTED_VALUE"""),"")</f>
        <v/>
      </c>
    </row>
    <row r="308">
      <c r="A308" s="143">
        <f>IFERROR(__xludf.DUMMYFUNCTION("""COMPUTED_VALUE"""),43251.0)</f>
        <v>43251</v>
      </c>
      <c r="B308" s="140">
        <f>IFERROR(__xludf.DUMMYFUNCTION("""COMPUTED_VALUE"""),567066.0)</f>
        <v>567066</v>
      </c>
      <c r="C308" t="str">
        <f>IFERROR(__xludf.DUMMYFUNCTION("""COMPUTED_VALUE"""),"")</f>
        <v/>
      </c>
      <c r="D308" t="str">
        <f>IFERROR(__xludf.DUMMYFUNCTION("""COMPUTED_VALUE"""),"David Reilly")</f>
        <v>David Reilly</v>
      </c>
      <c r="E308" t="str">
        <f>IFERROR(__xludf.DUMMYFUNCTION("""COMPUTED_VALUE"""),"Below Quality Standards")</f>
        <v>Below Quality Standards</v>
      </c>
      <c r="F308" t="str">
        <f>IFERROR(__xludf.DUMMYFUNCTION("""COMPUTED_VALUE"""),"Sales")</f>
        <v>Sales</v>
      </c>
      <c r="G308" t="str">
        <f>IFERROR(__xludf.DUMMYFUNCTION("""COMPUTED_VALUE"""),"Sales Tools")</f>
        <v>Sales Tools</v>
      </c>
      <c r="H308">
        <f>IFERROR(__xludf.DUMMYFUNCTION("""COMPUTED_VALUE"""),1149896.0)</f>
        <v>1149896</v>
      </c>
      <c r="I308" s="140" t="str">
        <f>IFERROR(__xludf.DUMMYFUNCTION("""COMPUTED_VALUE"""),"")</f>
        <v/>
      </c>
      <c r="K308" s="140" t="str">
        <f>IFERROR(__xludf.DUMMYFUNCTION("""COMPUTED_VALUE"""),"")</f>
        <v/>
      </c>
    </row>
    <row r="309">
      <c r="A309" s="143">
        <f>IFERROR(__xludf.DUMMYFUNCTION("""COMPUTED_VALUE"""),43251.0)</f>
        <v>43251</v>
      </c>
      <c r="B309" s="140">
        <f>IFERROR(__xludf.DUMMYFUNCTION("""COMPUTED_VALUE"""),821360.0)</f>
        <v>821360</v>
      </c>
      <c r="C309" t="str">
        <f>IFERROR(__xludf.DUMMYFUNCTION("""COMPUTED_VALUE"""),"")</f>
        <v/>
      </c>
      <c r="D309" t="str">
        <f>IFERROR(__xludf.DUMMYFUNCTION("""COMPUTED_VALUE"""),"Paul Lynn")</f>
        <v>Paul Lynn</v>
      </c>
      <c r="E309" t="str">
        <f>IFERROR(__xludf.DUMMYFUNCTION("""COMPUTED_VALUE"""),"Instructor Opted Out")</f>
        <v>Instructor Opted Out</v>
      </c>
      <c r="F309" t="str">
        <f>IFERROR(__xludf.DUMMYFUNCTION("""COMPUTED_VALUE"""),"IT and Software")</f>
        <v>IT and Software</v>
      </c>
      <c r="G309" t="str">
        <f>IFERROR(__xludf.DUMMYFUNCTION("""COMPUTED_VALUE"""),"Hardware")</f>
        <v>Hardware</v>
      </c>
      <c r="I309" s="140" t="str">
        <f>IFERROR(__xludf.DUMMYFUNCTION("""COMPUTED_VALUE"""),"")</f>
        <v/>
      </c>
      <c r="K309" s="140" t="str">
        <f>IFERROR(__xludf.DUMMYFUNCTION("""COMPUTED_VALUE"""),"")</f>
        <v/>
      </c>
      <c r="Q309" t="str">
        <f>IFERROR(__xludf.DUMMYFUNCTION("""COMPUTED_VALUE"""),"Instructor Opted Back In and Courses Readded 6/25")</f>
        <v>Instructor Opted Back In and Courses Readded 6/25</v>
      </c>
    </row>
    <row r="310">
      <c r="A310" s="143">
        <f>IFERROR(__xludf.DUMMYFUNCTION("""COMPUTED_VALUE"""),43251.0)</f>
        <v>43251</v>
      </c>
      <c r="B310" s="140">
        <f>IFERROR(__xludf.DUMMYFUNCTION("""COMPUTED_VALUE"""),1052868.0)</f>
        <v>1052868</v>
      </c>
      <c r="C310" t="str">
        <f>IFERROR(__xludf.DUMMYFUNCTION("""COMPUTED_VALUE"""),"")</f>
        <v/>
      </c>
      <c r="D310" t="str">
        <f>IFERROR(__xludf.DUMMYFUNCTION("""COMPUTED_VALUE"""),"Paul Lynn")</f>
        <v>Paul Lynn</v>
      </c>
      <c r="E310" t="str">
        <f>IFERROR(__xludf.DUMMYFUNCTION("""COMPUTED_VALUE"""),"Instructor Opted Out")</f>
        <v>Instructor Opted Out</v>
      </c>
      <c r="F310" t="str">
        <f>IFERROR(__xludf.DUMMYFUNCTION("""COMPUTED_VALUE"""),"IT and Software")</f>
        <v>IT and Software</v>
      </c>
      <c r="G310" t="str">
        <f>IFERROR(__xludf.DUMMYFUNCTION("""COMPUTED_VALUE"""),"Hardware")</f>
        <v>Hardware</v>
      </c>
      <c r="I310" s="140" t="str">
        <f>IFERROR(__xludf.DUMMYFUNCTION("""COMPUTED_VALUE"""),"")</f>
        <v/>
      </c>
      <c r="K310" s="140" t="str">
        <f>IFERROR(__xludf.DUMMYFUNCTION("""COMPUTED_VALUE"""),"")</f>
        <v/>
      </c>
    </row>
    <row r="311">
      <c r="A311" s="143">
        <f>IFERROR(__xludf.DUMMYFUNCTION("""COMPUTED_VALUE"""),43236.0)</f>
        <v>43236</v>
      </c>
      <c r="B311" s="140">
        <f>IFERROR(__xludf.DUMMYFUNCTION("""COMPUTED_VALUE"""),599614.0)</f>
        <v>599614</v>
      </c>
      <c r="C311" t="str">
        <f>IFERROR(__xludf.DUMMYFUNCTION("""COMPUTED_VALUE"""),"")</f>
        <v/>
      </c>
      <c r="D311" t="str">
        <f>IFERROR(__xludf.DUMMYFUNCTION("""COMPUTED_VALUE"""),"Trevor Sawler")</f>
        <v>Trevor Sawler</v>
      </c>
      <c r="E311" t="str">
        <f>IFERROR(__xludf.DUMMYFUNCTION("""COMPUTED_VALUE"""),"Course Unpublished by Instructor")</f>
        <v>Course Unpublished by Instructor</v>
      </c>
      <c r="F311" s="142" t="str">
        <f>IFERROR(__xludf.DUMMYFUNCTION("""COMPUTED_VALUE"""),"Development")</f>
        <v>Development</v>
      </c>
      <c r="G311" s="142" t="str">
        <f>IFERROR(__xludf.DUMMYFUNCTION("""COMPUTED_VALUE"""),"Development Tools")</f>
        <v>Development Tools</v>
      </c>
      <c r="H311">
        <f>IFERROR(__xludf.DUMMYFUNCTION("""COMPUTED_VALUE"""),1393266.0)</f>
        <v>1393266</v>
      </c>
      <c r="I311" s="140" t="str">
        <f>IFERROR(__xludf.DUMMYFUNCTION("""COMPUTED_VALUE"""),"")</f>
        <v/>
      </c>
      <c r="K311" s="140" t="str">
        <f>IFERROR(__xludf.DUMMYFUNCTION("""COMPUTED_VALUE"""),"")</f>
        <v/>
      </c>
    </row>
    <row r="312">
      <c r="A312" s="143">
        <f>IFERROR(__xludf.DUMMYFUNCTION("""COMPUTED_VALUE"""),43231.0)</f>
        <v>43231</v>
      </c>
      <c r="B312">
        <f>IFERROR(__xludf.DUMMYFUNCTION("""COMPUTED_VALUE"""),1617530.0)</f>
        <v>1617530</v>
      </c>
      <c r="C312" t="str">
        <f>IFERROR(__xludf.DUMMYFUNCTION("""COMPUTED_VALUE"""),"")</f>
        <v/>
      </c>
      <c r="D312" t="str">
        <f>IFERROR(__xludf.DUMMYFUNCTION("""COMPUTED_VALUE"""),"Luke Angel")</f>
        <v>Luke Angel</v>
      </c>
      <c r="E312" s="142" t="str">
        <f>IFERROR(__xludf.DUMMYFUNCTION("""COMPUTED_VALUE"""),"Instructor Practices")</f>
        <v>Instructor Practices</v>
      </c>
      <c r="F312" s="142" t="str">
        <f>IFERROR(__xludf.DUMMYFUNCTION("""COMPUTED_VALUE"""),"Management")</f>
        <v>Management</v>
      </c>
      <c r="G312" s="142" t="str">
        <f>IFERROR(__xludf.DUMMYFUNCTION("""COMPUTED_VALUE"""),"Strategy")</f>
        <v>Strategy</v>
      </c>
      <c r="H312">
        <f>IFERROR(__xludf.DUMMYFUNCTION("""COMPUTED_VALUE"""),775932.0)</f>
        <v>775932</v>
      </c>
      <c r="I312" s="140" t="str">
        <f>IFERROR(__xludf.DUMMYFUNCTION("""COMPUTED_VALUE"""),"")</f>
        <v/>
      </c>
      <c r="K312" s="140" t="str">
        <f>IFERROR(__xludf.DUMMYFUNCTION("""COMPUTED_VALUE"""),"")</f>
        <v/>
      </c>
    </row>
    <row r="313">
      <c r="A313" s="143">
        <f>IFERROR(__xludf.DUMMYFUNCTION("""COMPUTED_VALUE"""),43231.0)</f>
        <v>43231</v>
      </c>
      <c r="B313" s="140">
        <f>IFERROR(__xludf.DUMMYFUNCTION("""COMPUTED_VALUE"""),362818.0)</f>
        <v>362818</v>
      </c>
      <c r="C313" t="str">
        <f>IFERROR(__xludf.DUMMYFUNCTION("""COMPUTED_VALUE"""),"")</f>
        <v/>
      </c>
      <c r="D313" s="140" t="str">
        <f>IFERROR(__xludf.DUMMYFUNCTION("""COMPUTED_VALUE"""),"Ian Littlejohn")</f>
        <v>Ian Littlejohn</v>
      </c>
      <c r="E313" t="str">
        <f>IFERROR(__xludf.DUMMYFUNCTION("""COMPUTED_VALUE"""),"Course Unpublished by Instructor")</f>
        <v>Course Unpublished by Instructor</v>
      </c>
      <c r="F313" s="142" t="str">
        <f>IFERROR(__xludf.DUMMYFUNCTION("""COMPUTED_VALUE"""),"Office Productivity")</f>
        <v>Office Productivity</v>
      </c>
      <c r="G313" s="142" t="str">
        <f>IFERROR(__xludf.DUMMYFUNCTION("""COMPUTED_VALUE"""),"Analytics")</f>
        <v>Analytics</v>
      </c>
      <c r="H313">
        <f>IFERROR(__xludf.DUMMYFUNCTION("""COMPUTED_VALUE"""),205270.0)</f>
        <v>205270</v>
      </c>
      <c r="I313" s="140" t="str">
        <f>IFERROR(__xludf.DUMMYFUNCTION("""COMPUTED_VALUE"""),"")</f>
        <v/>
      </c>
      <c r="K313" s="140" t="str">
        <f>IFERROR(__xludf.DUMMYFUNCTION("""COMPUTED_VALUE"""),"")</f>
        <v/>
      </c>
    </row>
    <row r="314">
      <c r="A314" s="143">
        <f>IFERROR(__xludf.DUMMYFUNCTION("""COMPUTED_VALUE"""),43231.0)</f>
        <v>43231</v>
      </c>
      <c r="B314" s="140">
        <f>IFERROR(__xludf.DUMMYFUNCTION("""COMPUTED_VALUE"""),1233298.0)</f>
        <v>1233298</v>
      </c>
      <c r="C314" t="str">
        <f>IFERROR(__xludf.DUMMYFUNCTION("""COMPUTED_VALUE"""),"")</f>
        <v/>
      </c>
      <c r="D314" s="140" t="str">
        <f>IFERROR(__xludf.DUMMYFUNCTION("""COMPUTED_VALUE"""),"Illumeo Learning")</f>
        <v>Illumeo Learning</v>
      </c>
      <c r="E314" t="str">
        <f>IFERROR(__xludf.DUMMYFUNCTION("""COMPUTED_VALUE"""),"Course Unpublished by Instructor")</f>
        <v>Course Unpublished by Instructor</v>
      </c>
      <c r="F314" s="142" t="str">
        <f>IFERROR(__xludf.DUMMYFUNCTION("""COMPUTED_VALUE"""),"Data Science")</f>
        <v>Data Science</v>
      </c>
      <c r="G314" t="str">
        <f>IFERROR(__xludf.DUMMYFUNCTION("""COMPUTED_VALUE"""),"Spreadsheets")</f>
        <v>Spreadsheets</v>
      </c>
      <c r="H314">
        <f>IFERROR(__xludf.DUMMYFUNCTION("""COMPUTED_VALUE"""),1149896.0)</f>
        <v>1149896</v>
      </c>
      <c r="I314" s="140" t="str">
        <f>IFERROR(__xludf.DUMMYFUNCTION("""COMPUTED_VALUE"""),"")</f>
        <v/>
      </c>
      <c r="K314" s="140" t="str">
        <f>IFERROR(__xludf.DUMMYFUNCTION("""COMPUTED_VALUE"""),"")</f>
        <v/>
      </c>
    </row>
    <row r="315">
      <c r="A315" s="143">
        <f>IFERROR(__xludf.DUMMYFUNCTION("""COMPUTED_VALUE"""),43231.0)</f>
        <v>43231</v>
      </c>
      <c r="B315" s="140">
        <f>IFERROR(__xludf.DUMMYFUNCTION("""COMPUTED_VALUE"""),103148.0)</f>
        <v>103148</v>
      </c>
      <c r="C315" t="str">
        <f>IFERROR(__xludf.DUMMYFUNCTION("""COMPUTED_VALUE"""),"")</f>
        <v/>
      </c>
      <c r="D315" s="140" t="str">
        <f>IFERROR(__xludf.DUMMYFUNCTION("""COMPUTED_VALUE"""),"Ken Beller")</f>
        <v>Ken Beller</v>
      </c>
      <c r="E315" t="str">
        <f>IFERROR(__xludf.DUMMYFUNCTION("""COMPUTED_VALUE"""),"Duplicate Course")</f>
        <v>Duplicate Course</v>
      </c>
      <c r="F315" t="str">
        <f>IFERROR(__xludf.DUMMYFUNCTION("""COMPUTED_VALUE"""),"Management")</f>
        <v>Management</v>
      </c>
      <c r="G315" t="str">
        <f>IFERROR(__xludf.DUMMYFUNCTION("""COMPUTED_VALUE"""),"Leadership")</f>
        <v>Leadership</v>
      </c>
      <c r="H315">
        <f>IFERROR(__xludf.DUMMYFUNCTION("""COMPUTED_VALUE"""),982416.0)</f>
        <v>982416</v>
      </c>
      <c r="I315" s="140" t="str">
        <f>IFERROR(__xludf.DUMMYFUNCTION("""COMPUTED_VALUE"""),"")</f>
        <v/>
      </c>
      <c r="K315" s="140" t="str">
        <f>IFERROR(__xludf.DUMMYFUNCTION("""COMPUTED_VALUE"""),"")</f>
        <v/>
      </c>
    </row>
    <row r="316">
      <c r="A316" s="143">
        <f>IFERROR(__xludf.DUMMYFUNCTION("""COMPUTED_VALUE"""),43220.0)</f>
        <v>43220</v>
      </c>
      <c r="B316" s="140">
        <f>IFERROR(__xludf.DUMMYFUNCTION("""COMPUTED_VALUE"""),617656.0)</f>
        <v>617656</v>
      </c>
      <c r="C316" t="str">
        <f>IFERROR(__xludf.DUMMYFUNCTION("""COMPUTED_VALUE"""),"")</f>
        <v/>
      </c>
      <c r="D316" t="str">
        <f>IFERROR(__xludf.DUMMYFUNCTION("""COMPUTED_VALUE"""),"Alexander Fanshel")</f>
        <v>Alexander Fanshel</v>
      </c>
      <c r="E316" t="str">
        <f>IFERROR(__xludf.DUMMYFUNCTION("""COMPUTED_VALUE"""),"Below Quality Standards- Outdated")</f>
        <v>Below Quality Standards- Outdated</v>
      </c>
      <c r="F316" t="str">
        <f>IFERROR(__xludf.DUMMYFUNCTION("""COMPUTED_VALUE"""),"Marketing")</f>
        <v>Marketing</v>
      </c>
      <c r="G316" t="str">
        <f>IFERROR(__xludf.DUMMYFUNCTION("""COMPUTED_VALUE"""),"Paid Advertising")</f>
        <v>Paid Advertising</v>
      </c>
      <c r="H316">
        <f>IFERROR(__xludf.DUMMYFUNCTION("""COMPUTED_VALUE"""),802642.0)</f>
        <v>802642</v>
      </c>
      <c r="I316" s="140" t="str">
        <f>IFERROR(__xludf.DUMMYFUNCTION("""COMPUTED_VALUE"""),"")</f>
        <v/>
      </c>
      <c r="J316">
        <f>IFERROR(__xludf.DUMMYFUNCTION("""COMPUTED_VALUE"""),762202.0)</f>
        <v>762202</v>
      </c>
      <c r="K316" s="140" t="str">
        <f>IFERROR(__xludf.DUMMYFUNCTION("""COMPUTED_VALUE"""),"")</f>
        <v/>
      </c>
    </row>
    <row r="317">
      <c r="A317" s="143">
        <f>IFERROR(__xludf.DUMMYFUNCTION("""COMPUTED_VALUE"""),43220.0)</f>
        <v>43220</v>
      </c>
      <c r="B317" s="140">
        <f>IFERROR(__xludf.DUMMYFUNCTION("""COMPUTED_VALUE"""),417316.0)</f>
        <v>417316</v>
      </c>
      <c r="C317" t="str">
        <f>IFERROR(__xludf.DUMMYFUNCTION("""COMPUTED_VALUE"""),"")</f>
        <v/>
      </c>
      <c r="D317" t="str">
        <f>IFERROR(__xludf.DUMMYFUNCTION("""COMPUTED_VALUE"""),"Andrew Williams")</f>
        <v>Andrew Williams</v>
      </c>
      <c r="E317" t="str">
        <f>IFERROR(__xludf.DUMMYFUNCTION("""COMPUTED_VALUE"""),"Below Quality Standards- Outdated")</f>
        <v>Below Quality Standards- Outdated</v>
      </c>
      <c r="F317" t="str">
        <f>IFERROR(__xludf.DUMMYFUNCTION("""COMPUTED_VALUE"""),"Marketing")</f>
        <v>Marketing</v>
      </c>
      <c r="G317" t="str">
        <f>IFERROR(__xludf.DUMMYFUNCTION("""COMPUTED_VALUE"""),"Digital Marketing")</f>
        <v>Digital Marketing</v>
      </c>
      <c r="H317">
        <f>IFERROR(__xludf.DUMMYFUNCTION("""COMPUTED_VALUE"""),866196.0)</f>
        <v>866196</v>
      </c>
      <c r="I317" s="140" t="str">
        <f>IFERROR(__xludf.DUMMYFUNCTION("""COMPUTED_VALUE"""),"")</f>
        <v/>
      </c>
      <c r="J317">
        <f>IFERROR(__xludf.DUMMYFUNCTION("""COMPUTED_VALUE"""),521574.0)</f>
        <v>521574</v>
      </c>
      <c r="K317" s="140" t="str">
        <f>IFERROR(__xludf.DUMMYFUNCTION("""COMPUTED_VALUE"""),"")</f>
        <v/>
      </c>
    </row>
    <row r="318">
      <c r="A318" s="143">
        <f>IFERROR(__xludf.DUMMYFUNCTION("""COMPUTED_VALUE"""),43220.0)</f>
        <v>43220</v>
      </c>
      <c r="B318" s="140">
        <f>IFERROR(__xludf.DUMMYFUNCTION("""COMPUTED_VALUE"""),614640.0)</f>
        <v>614640</v>
      </c>
      <c r="C318" t="str">
        <f>IFERROR(__xludf.DUMMYFUNCTION("""COMPUTED_VALUE"""),"")</f>
        <v/>
      </c>
      <c r="D318" t="str">
        <f>IFERROR(__xludf.DUMMYFUNCTION("""COMPUTED_VALUE"""),"Andrew Williams")</f>
        <v>Andrew Williams</v>
      </c>
      <c r="E318" t="str">
        <f>IFERROR(__xludf.DUMMYFUNCTION("""COMPUTED_VALUE"""),"Below Quality Standards")</f>
        <v>Below Quality Standards</v>
      </c>
      <c r="F318" t="str">
        <f>IFERROR(__xludf.DUMMYFUNCTION("""COMPUTED_VALUE"""),"Development")</f>
        <v>Development</v>
      </c>
      <c r="G318" t="str">
        <f>IFERROR(__xludf.DUMMYFUNCTION("""COMPUTED_VALUE"""),"Web Development")</f>
        <v>Web Development</v>
      </c>
      <c r="H318">
        <f>IFERROR(__xludf.DUMMYFUNCTION("""COMPUTED_VALUE"""),1259060.0)</f>
        <v>1259060</v>
      </c>
      <c r="I318" s="140" t="str">
        <f>IFERROR(__xludf.DUMMYFUNCTION("""COMPUTED_VALUE"""),"")</f>
        <v/>
      </c>
      <c r="K318" s="140" t="str">
        <f>IFERROR(__xludf.DUMMYFUNCTION("""COMPUTED_VALUE"""),"")</f>
        <v/>
      </c>
    </row>
    <row r="319">
      <c r="A319" s="143">
        <f>IFERROR(__xludf.DUMMYFUNCTION("""COMPUTED_VALUE"""),43220.0)</f>
        <v>43220</v>
      </c>
      <c r="B319" s="140">
        <f>IFERROR(__xludf.DUMMYFUNCTION("""COMPUTED_VALUE"""),296149.0)</f>
        <v>296149</v>
      </c>
      <c r="C319" t="str">
        <f>IFERROR(__xludf.DUMMYFUNCTION("""COMPUTED_VALUE"""),"")</f>
        <v/>
      </c>
      <c r="D319" t="str">
        <f>IFERROR(__xludf.DUMMYFUNCTION("""COMPUTED_VALUE"""),"Ashley Cowan")</f>
        <v>Ashley Cowan</v>
      </c>
      <c r="E319" t="str">
        <f>IFERROR(__xludf.DUMMYFUNCTION("""COMPUTED_VALUE"""),"Below Quality Standards")</f>
        <v>Below Quality Standards</v>
      </c>
      <c r="F319" t="str">
        <f>IFERROR(__xludf.DUMMYFUNCTION("""COMPUTED_VALUE"""),"Marketing")</f>
        <v>Marketing</v>
      </c>
      <c r="G319" t="str">
        <f>IFERROR(__xludf.DUMMYFUNCTION("""COMPUTED_VALUE"""),"Public Relations")</f>
        <v>Public Relations</v>
      </c>
      <c r="H319">
        <f>IFERROR(__xludf.DUMMYFUNCTION("""COMPUTED_VALUE"""),1393266.0)</f>
        <v>1393266</v>
      </c>
      <c r="I319" s="140" t="str">
        <f>IFERROR(__xludf.DUMMYFUNCTION("""COMPUTED_VALUE"""),"")</f>
        <v/>
      </c>
      <c r="J319">
        <f>IFERROR(__xludf.DUMMYFUNCTION("""COMPUTED_VALUE"""),1295292.0)</f>
        <v>1295292</v>
      </c>
      <c r="K319" s="140" t="str">
        <f>IFERROR(__xludf.DUMMYFUNCTION("""COMPUTED_VALUE"""),"")</f>
        <v/>
      </c>
      <c r="Q319" t="str">
        <f>IFERROR(__xludf.DUMMYFUNCTION("""COMPUTED_VALUE"""),"Topic on Priority List- 798933")</f>
        <v>Topic on Priority List- 798933</v>
      </c>
    </row>
    <row r="320">
      <c r="A320" s="143">
        <f>IFERROR(__xludf.DUMMYFUNCTION("""COMPUTED_VALUE"""),43220.0)</f>
        <v>43220</v>
      </c>
      <c r="B320" s="140">
        <f>IFERROR(__xludf.DUMMYFUNCTION("""COMPUTED_VALUE"""),929130.0)</f>
        <v>929130</v>
      </c>
      <c r="C320" t="str">
        <f>IFERROR(__xludf.DUMMYFUNCTION("""COMPUTED_VALUE"""),"")</f>
        <v/>
      </c>
      <c r="D320" t="str">
        <f>IFERROR(__xludf.DUMMYFUNCTION("""COMPUTED_VALUE"""),"Asim Hussain")</f>
        <v>Asim Hussain</v>
      </c>
      <c r="E320" t="str">
        <f>IFERROR(__xludf.DUMMYFUNCTION("""COMPUTED_VALUE"""),"Instructor Request")</f>
        <v>Instructor Request</v>
      </c>
      <c r="F320" t="str">
        <f>IFERROR(__xludf.DUMMYFUNCTION("""COMPUTED_VALUE"""),"Development")</f>
        <v>Development</v>
      </c>
      <c r="G320" t="str">
        <f>IFERROR(__xludf.DUMMYFUNCTION("""COMPUTED_VALUE"""),"Web Development")</f>
        <v>Web Development</v>
      </c>
      <c r="H320">
        <f>IFERROR(__xludf.DUMMYFUNCTION("""COMPUTED_VALUE"""),550604.0)</f>
        <v>550604</v>
      </c>
      <c r="I320" s="140" t="str">
        <f>IFERROR(__xludf.DUMMYFUNCTION("""COMPUTED_VALUE"""),"")</f>
        <v/>
      </c>
      <c r="J320">
        <f>IFERROR(__xludf.DUMMYFUNCTION("""COMPUTED_VALUE"""),1009452.0)</f>
        <v>1009452</v>
      </c>
      <c r="K320" s="140" t="str">
        <f>IFERROR(__xludf.DUMMYFUNCTION("""COMPUTED_VALUE"""),"")</f>
        <v/>
      </c>
    </row>
    <row r="321">
      <c r="A321" s="143">
        <f>IFERROR(__xludf.DUMMYFUNCTION("""COMPUTED_VALUE"""),43220.0)</f>
        <v>43220</v>
      </c>
      <c r="B321" s="140">
        <f>IFERROR(__xludf.DUMMYFUNCTION("""COMPUTED_VALUE"""),664250.0)</f>
        <v>664250</v>
      </c>
      <c r="C321" t="str">
        <f>IFERROR(__xludf.DUMMYFUNCTION("""COMPUTED_VALUE"""),"")</f>
        <v/>
      </c>
      <c r="D321" t="str">
        <f>IFERROR(__xludf.DUMMYFUNCTION("""COMPUTED_VALUE"""),"Benjamin Wilson")</f>
        <v>Benjamin Wilson</v>
      </c>
      <c r="E321" t="str">
        <f>IFERROR(__xludf.DUMMYFUNCTION("""COMPUTED_VALUE"""),"Below Quality Standards- Outdated")</f>
        <v>Below Quality Standards- Outdated</v>
      </c>
      <c r="F321" t="str">
        <f>IFERROR(__xludf.DUMMYFUNCTION("""COMPUTED_VALUE"""),"Marketing")</f>
        <v>Marketing</v>
      </c>
      <c r="G321" t="str">
        <f>IFERROR(__xludf.DUMMYFUNCTION("""COMPUTED_VALUE"""),"Social Media")</f>
        <v>Social Media</v>
      </c>
      <c r="H321">
        <f>IFERROR(__xludf.DUMMYFUNCTION("""COMPUTED_VALUE"""),1361836.0)</f>
        <v>1361836</v>
      </c>
      <c r="I321" s="140" t="str">
        <f>IFERROR(__xludf.DUMMYFUNCTION("""COMPUTED_VALUE"""),"")</f>
        <v/>
      </c>
      <c r="K321" s="140" t="str">
        <f>IFERROR(__xludf.DUMMYFUNCTION("""COMPUTED_VALUE"""),"")</f>
        <v/>
      </c>
      <c r="Q321" t="str">
        <f>IFERROR(__xludf.DUMMYFUNCTION("""COMPUTED_VALUE"""),"Low Demand")</f>
        <v>Low Demand</v>
      </c>
    </row>
    <row r="322">
      <c r="A322" s="143">
        <f>IFERROR(__xludf.DUMMYFUNCTION("""COMPUTED_VALUE"""),43220.0)</f>
        <v>43220</v>
      </c>
      <c r="B322" s="140">
        <f>IFERROR(__xludf.DUMMYFUNCTION("""COMPUTED_VALUE"""),880448.0)</f>
        <v>880448</v>
      </c>
      <c r="C322" t="str">
        <f>IFERROR(__xludf.DUMMYFUNCTION("""COMPUTED_VALUE"""),"")</f>
        <v/>
      </c>
      <c r="D322" t="str">
        <f>IFERROR(__xludf.DUMMYFUNCTION("""COMPUTED_VALUE"""),"Blake Stockton")</f>
        <v>Blake Stockton</v>
      </c>
      <c r="E322" t="str">
        <f>IFERROR(__xludf.DUMMYFUNCTION("""COMPUTED_VALUE"""),"Below Quality Standards")</f>
        <v>Below Quality Standards</v>
      </c>
      <c r="F322" t="str">
        <f>IFERROR(__xludf.DUMMYFUNCTION("""COMPUTED_VALUE"""),"Marketing")</f>
        <v>Marketing</v>
      </c>
      <c r="G322" t="str">
        <f>IFERROR(__xludf.DUMMYFUNCTION("""COMPUTED_VALUE"""),"Social Media")</f>
        <v>Social Media</v>
      </c>
      <c r="H322">
        <f>IFERROR(__xludf.DUMMYFUNCTION("""COMPUTED_VALUE"""),775932.0)</f>
        <v>775932</v>
      </c>
      <c r="I322" s="140" t="str">
        <f>IFERROR(__xludf.DUMMYFUNCTION("""COMPUTED_VALUE"""),"")</f>
        <v/>
      </c>
      <c r="J322">
        <f>IFERROR(__xludf.DUMMYFUNCTION("""COMPUTED_VALUE"""),1281044.0)</f>
        <v>1281044</v>
      </c>
      <c r="K322" s="140" t="str">
        <f>IFERROR(__xludf.DUMMYFUNCTION("""COMPUTED_VALUE"""),"")</f>
        <v/>
      </c>
    </row>
    <row r="323">
      <c r="A323" s="143">
        <f>IFERROR(__xludf.DUMMYFUNCTION("""COMPUTED_VALUE"""),43220.0)</f>
        <v>43220</v>
      </c>
      <c r="B323" s="140">
        <f>IFERROR(__xludf.DUMMYFUNCTION("""COMPUTED_VALUE"""),807962.0)</f>
        <v>807962</v>
      </c>
      <c r="C323" t="str">
        <f>IFERROR(__xludf.DUMMYFUNCTION("""COMPUTED_VALUE"""),"")</f>
        <v/>
      </c>
      <c r="D323" t="str">
        <f>IFERROR(__xludf.DUMMYFUNCTION("""COMPUTED_VALUE"""),"Boost Top")</f>
        <v>Boost Top</v>
      </c>
      <c r="E323" t="str">
        <f>IFERROR(__xludf.DUMMYFUNCTION("""COMPUTED_VALUE"""),"Below Quality Standards")</f>
        <v>Below Quality Standards</v>
      </c>
      <c r="F323" t="str">
        <f>IFERROR(__xludf.DUMMYFUNCTION("""COMPUTED_VALUE"""),"Marketing")</f>
        <v>Marketing</v>
      </c>
      <c r="G323" t="str">
        <f>IFERROR(__xludf.DUMMYFUNCTION("""COMPUTED_VALUE"""),"Paid Advertising")</f>
        <v>Paid Advertising</v>
      </c>
      <c r="H323">
        <f>IFERROR(__xludf.DUMMYFUNCTION("""COMPUTED_VALUE"""),524990.0)</f>
        <v>524990</v>
      </c>
      <c r="I323" s="140" t="str">
        <f>IFERROR(__xludf.DUMMYFUNCTION("""COMPUTED_VALUE"""),"")</f>
        <v/>
      </c>
      <c r="J323">
        <f>IFERROR(__xludf.DUMMYFUNCTION("""COMPUTED_VALUE"""),444228.0)</f>
        <v>444228</v>
      </c>
      <c r="K323" s="140" t="str">
        <f>IFERROR(__xludf.DUMMYFUNCTION("""COMPUTED_VALUE"""),"")</f>
        <v/>
      </c>
    </row>
    <row r="324">
      <c r="A324" s="143">
        <f>IFERROR(__xludf.DUMMYFUNCTION("""COMPUTED_VALUE"""),43220.0)</f>
        <v>43220</v>
      </c>
      <c r="B324" s="140">
        <f>IFERROR(__xludf.DUMMYFUNCTION("""COMPUTED_VALUE"""),372782.0)</f>
        <v>372782</v>
      </c>
      <c r="C324" t="str">
        <f>IFERROR(__xludf.DUMMYFUNCTION("""COMPUTED_VALUE"""),"")</f>
        <v/>
      </c>
      <c r="D324" t="str">
        <f>IFERROR(__xludf.DUMMYFUNCTION("""COMPUTED_VALUE"""),"Brian Yang")</f>
        <v>Brian Yang</v>
      </c>
      <c r="E324" t="str">
        <f>IFERROR(__xludf.DUMMYFUNCTION("""COMPUTED_VALUE"""),"Below Quality Standards")</f>
        <v>Below Quality Standards</v>
      </c>
      <c r="F324" t="str">
        <f>IFERROR(__xludf.DUMMYFUNCTION("""COMPUTED_VALUE"""),"Marketing")</f>
        <v>Marketing</v>
      </c>
      <c r="G324" t="str">
        <f>IFERROR(__xludf.DUMMYFUNCTION("""COMPUTED_VALUE"""),"Content and Email Marketing")</f>
        <v>Content and Email Marketing</v>
      </c>
      <c r="H324">
        <f>IFERROR(__xludf.DUMMYFUNCTION("""COMPUTED_VALUE"""),1088256.0)</f>
        <v>1088256</v>
      </c>
      <c r="I324" s="140" t="str">
        <f>IFERROR(__xludf.DUMMYFUNCTION("""COMPUTED_VALUE"""),"")</f>
        <v/>
      </c>
      <c r="K324" s="140" t="str">
        <f>IFERROR(__xludf.DUMMYFUNCTION("""COMPUTED_VALUE"""),"")</f>
        <v/>
      </c>
    </row>
    <row r="325">
      <c r="A325" s="143">
        <f>IFERROR(__xludf.DUMMYFUNCTION("""COMPUTED_VALUE"""),43220.0)</f>
        <v>43220</v>
      </c>
      <c r="B325" s="140">
        <f>IFERROR(__xludf.DUMMYFUNCTION("""COMPUTED_VALUE"""),1089764.0)</f>
        <v>1089764</v>
      </c>
      <c r="C325" t="str">
        <f>IFERROR(__xludf.DUMMYFUNCTION("""COMPUTED_VALUE"""),"")</f>
        <v/>
      </c>
      <c r="D325" t="str">
        <f>IFERROR(__xludf.DUMMYFUNCTION("""COMPUTED_VALUE"""),"Chris du Toit")</f>
        <v>Chris du Toit</v>
      </c>
      <c r="E325" t="str">
        <f>IFERROR(__xludf.DUMMYFUNCTION("""COMPUTED_VALUE"""),"Below Quality Standards")</f>
        <v>Below Quality Standards</v>
      </c>
      <c r="F325" t="str">
        <f>IFERROR(__xludf.DUMMYFUNCTION("""COMPUTED_VALUE"""),"Marketing")</f>
        <v>Marketing</v>
      </c>
      <c r="G325" t="str">
        <f>IFERROR(__xludf.DUMMYFUNCTION("""COMPUTED_VALUE"""),"Digital Marketing")</f>
        <v>Digital Marketing</v>
      </c>
      <c r="H325">
        <f>IFERROR(__xludf.DUMMYFUNCTION("""COMPUTED_VALUE"""),1149896.0)</f>
        <v>1149896</v>
      </c>
      <c r="I325" s="140" t="str">
        <f>IFERROR(__xludf.DUMMYFUNCTION("""COMPUTED_VALUE"""),"")</f>
        <v/>
      </c>
      <c r="K325" s="140" t="str">
        <f>IFERROR(__xludf.DUMMYFUNCTION("""COMPUTED_VALUE"""),"")</f>
        <v/>
      </c>
    </row>
    <row r="326">
      <c r="A326" s="143">
        <f>IFERROR(__xludf.DUMMYFUNCTION("""COMPUTED_VALUE"""),43220.0)</f>
        <v>43220</v>
      </c>
      <c r="B326" s="140">
        <f>IFERROR(__xludf.DUMMYFUNCTION("""COMPUTED_VALUE"""),1000502.0)</f>
        <v>1000502</v>
      </c>
      <c r="C326" t="str">
        <f>IFERROR(__xludf.DUMMYFUNCTION("""COMPUTED_VALUE"""),"")</f>
        <v/>
      </c>
      <c r="D326" t="str">
        <f>IFERROR(__xludf.DUMMYFUNCTION("""COMPUTED_VALUE"""),"Christine Maisel")</f>
        <v>Christine Maisel</v>
      </c>
      <c r="E326" t="str">
        <f>IFERROR(__xludf.DUMMYFUNCTION("""COMPUTED_VALUE"""),"Below Quality Standards")</f>
        <v>Below Quality Standards</v>
      </c>
      <c r="F326" t="str">
        <f>IFERROR(__xludf.DUMMYFUNCTION("""COMPUTED_VALUE"""),"Marketing")</f>
        <v>Marketing</v>
      </c>
      <c r="G326" t="str">
        <f>IFERROR(__xludf.DUMMYFUNCTION("""COMPUTED_VALUE"""),"Digital Marketing")</f>
        <v>Digital Marketing</v>
      </c>
      <c r="H326">
        <f>IFERROR(__xludf.DUMMYFUNCTION("""COMPUTED_VALUE"""),1326772.0)</f>
        <v>1326772</v>
      </c>
      <c r="I326" s="140" t="str">
        <f>IFERROR(__xludf.DUMMYFUNCTION("""COMPUTED_VALUE"""),"")</f>
        <v/>
      </c>
      <c r="K326" s="140" t="str">
        <f>IFERROR(__xludf.DUMMYFUNCTION("""COMPUTED_VALUE"""),"")</f>
        <v/>
      </c>
    </row>
    <row r="327">
      <c r="A327" s="143">
        <f>IFERROR(__xludf.DUMMYFUNCTION("""COMPUTED_VALUE"""),43220.0)</f>
        <v>43220</v>
      </c>
      <c r="B327" s="140">
        <f>IFERROR(__xludf.DUMMYFUNCTION("""COMPUTED_VALUE"""),467568.0)</f>
        <v>467568</v>
      </c>
      <c r="C327" t="str">
        <f>IFERROR(__xludf.DUMMYFUNCTION("""COMPUTED_VALUE"""),"")</f>
        <v/>
      </c>
      <c r="D327" t="str">
        <f>IFERROR(__xludf.DUMMYFUNCTION("""COMPUTED_VALUE"""),"David Bain")</f>
        <v>David Bain</v>
      </c>
      <c r="E327" t="str">
        <f>IFERROR(__xludf.DUMMYFUNCTION("""COMPUTED_VALUE"""),"Below Quality Standards- Outdated")</f>
        <v>Below Quality Standards- Outdated</v>
      </c>
      <c r="F327" t="str">
        <f>IFERROR(__xludf.DUMMYFUNCTION("""COMPUTED_VALUE"""),"Marketing")</f>
        <v>Marketing</v>
      </c>
      <c r="G327" t="str">
        <f>IFERROR(__xludf.DUMMYFUNCTION("""COMPUTED_VALUE"""),"Digital Marketing")</f>
        <v>Digital Marketing</v>
      </c>
      <c r="H327">
        <f>IFERROR(__xludf.DUMMYFUNCTION("""COMPUTED_VALUE"""),1149896.0)</f>
        <v>1149896</v>
      </c>
      <c r="I327" s="140" t="str">
        <f>IFERROR(__xludf.DUMMYFUNCTION("""COMPUTED_VALUE"""),"")</f>
        <v/>
      </c>
      <c r="K327" s="140" t="str">
        <f>IFERROR(__xludf.DUMMYFUNCTION("""COMPUTED_VALUE"""),"")</f>
        <v/>
      </c>
      <c r="Q327" t="str">
        <f>IFERROR(__xludf.DUMMYFUNCTION("""COMPUTED_VALUE"""),"Low Demand")</f>
        <v>Low Demand</v>
      </c>
    </row>
    <row r="328">
      <c r="A328" s="143">
        <f>IFERROR(__xludf.DUMMYFUNCTION("""COMPUTED_VALUE"""),43220.0)</f>
        <v>43220</v>
      </c>
      <c r="B328" s="140">
        <f>IFERROR(__xludf.DUMMYFUNCTION("""COMPUTED_VALUE"""),294246.0)</f>
        <v>294246</v>
      </c>
      <c r="C328" t="str">
        <f>IFERROR(__xludf.DUMMYFUNCTION("""COMPUTED_VALUE"""),"")</f>
        <v/>
      </c>
      <c r="D328" t="str">
        <f>IFERROR(__xludf.DUMMYFUNCTION("""COMPUTED_VALUE"""),"David Fradin")</f>
        <v>David Fradin</v>
      </c>
      <c r="E328" t="str">
        <f>IFERROR(__xludf.DUMMYFUNCTION("""COMPUTED_VALUE"""),"Below Quality Standards")</f>
        <v>Below Quality Standards</v>
      </c>
      <c r="F328" t="str">
        <f>IFERROR(__xludf.DUMMYFUNCTION("""COMPUTED_VALUE"""),"Marketing")</f>
        <v>Marketing</v>
      </c>
      <c r="G328" t="str">
        <f>IFERROR(__xludf.DUMMYFUNCTION("""COMPUTED_VALUE"""),"Marketing Strategy")</f>
        <v>Marketing Strategy</v>
      </c>
      <c r="H328">
        <f>IFERROR(__xludf.DUMMYFUNCTION("""COMPUTED_VALUE"""),1333914.0)</f>
        <v>1333914</v>
      </c>
      <c r="I328" s="140" t="str">
        <f>IFERROR(__xludf.DUMMYFUNCTION("""COMPUTED_VALUE"""),"")</f>
        <v/>
      </c>
      <c r="J328">
        <f>IFERROR(__xludf.DUMMYFUNCTION("""COMPUTED_VALUE"""),129118.0)</f>
        <v>129118</v>
      </c>
      <c r="K328" s="140" t="str">
        <f>IFERROR(__xludf.DUMMYFUNCTION("""COMPUTED_VALUE"""),"")</f>
        <v/>
      </c>
    </row>
    <row r="329">
      <c r="A329" s="143">
        <f>IFERROR(__xludf.DUMMYFUNCTION("""COMPUTED_VALUE"""),43220.0)</f>
        <v>43220</v>
      </c>
      <c r="B329" s="140">
        <f>IFERROR(__xludf.DUMMYFUNCTION("""COMPUTED_VALUE"""),147028.0)</f>
        <v>147028</v>
      </c>
      <c r="C329" t="str">
        <f>IFERROR(__xludf.DUMMYFUNCTION("""COMPUTED_VALUE"""),"")</f>
        <v/>
      </c>
      <c r="D329" t="str">
        <f>IFERROR(__xludf.DUMMYFUNCTION("""COMPUTED_VALUE"""),"David Fradin")</f>
        <v>David Fradin</v>
      </c>
      <c r="E329" t="str">
        <f>IFERROR(__xludf.DUMMYFUNCTION("""COMPUTED_VALUE"""),"Below Quality Standards")</f>
        <v>Below Quality Standards</v>
      </c>
      <c r="F329" t="str">
        <f>IFERROR(__xludf.DUMMYFUNCTION("""COMPUTED_VALUE"""),"Marketing")</f>
        <v>Marketing</v>
      </c>
      <c r="G329" t="str">
        <f>IFERROR(__xludf.DUMMYFUNCTION("""COMPUTED_VALUE"""),"Marketing Strategy")</f>
        <v>Marketing Strategy</v>
      </c>
      <c r="H329">
        <f>IFERROR(__xludf.DUMMYFUNCTION("""COMPUTED_VALUE"""),673654.0)</f>
        <v>673654</v>
      </c>
      <c r="I329" s="140" t="str">
        <f>IFERROR(__xludf.DUMMYFUNCTION("""COMPUTED_VALUE"""),"")</f>
        <v/>
      </c>
      <c r="J329">
        <f>IFERROR(__xludf.DUMMYFUNCTION("""COMPUTED_VALUE"""),129118.0)</f>
        <v>129118</v>
      </c>
      <c r="K329" s="140" t="str">
        <f>IFERROR(__xludf.DUMMYFUNCTION("""COMPUTED_VALUE"""),"")</f>
        <v/>
      </c>
      <c r="Q329" t="str">
        <f>IFERROR(__xludf.DUMMYFUNCTION("""COMPUTED_VALUE"""),"Low Demand")</f>
        <v>Low Demand</v>
      </c>
    </row>
    <row r="330">
      <c r="A330" s="143">
        <f>IFERROR(__xludf.DUMMYFUNCTION("""COMPUTED_VALUE"""),43220.0)</f>
        <v>43220</v>
      </c>
      <c r="B330" s="140">
        <f>IFERROR(__xludf.DUMMYFUNCTION("""COMPUTED_VALUE"""),477208.0)</f>
        <v>477208</v>
      </c>
      <c r="C330" t="str">
        <f>IFERROR(__xludf.DUMMYFUNCTION("""COMPUTED_VALUE"""),"")</f>
        <v/>
      </c>
      <c r="D330" t="str">
        <f>IFERROR(__xludf.DUMMYFUNCTION("""COMPUTED_VALUE"""),"David Reilly")</f>
        <v>David Reilly</v>
      </c>
      <c r="E330" t="str">
        <f>IFERROR(__xludf.DUMMYFUNCTION("""COMPUTED_VALUE"""),"Below Quality Standards- Outdated")</f>
        <v>Below Quality Standards- Outdated</v>
      </c>
      <c r="F330" t="str">
        <f>IFERROR(__xludf.DUMMYFUNCTION("""COMPUTED_VALUE"""),"Marketing")</f>
        <v>Marketing</v>
      </c>
      <c r="G330" t="str">
        <f>IFERROR(__xludf.DUMMYFUNCTION("""COMPUTED_VALUE"""),"Social Media")</f>
        <v>Social Media</v>
      </c>
      <c r="H330">
        <f>IFERROR(__xludf.DUMMYFUNCTION("""COMPUTED_VALUE"""),1149896.0)</f>
        <v>1149896</v>
      </c>
      <c r="I330" s="140" t="str">
        <f>IFERROR(__xludf.DUMMYFUNCTION("""COMPUTED_VALUE"""),"")</f>
        <v/>
      </c>
      <c r="K330" s="140" t="str">
        <f>IFERROR(__xludf.DUMMYFUNCTION("""COMPUTED_VALUE"""),"")</f>
        <v/>
      </c>
    </row>
    <row r="331">
      <c r="A331" s="143">
        <f>IFERROR(__xludf.DUMMYFUNCTION("""COMPUTED_VALUE"""),43220.0)</f>
        <v>43220</v>
      </c>
      <c r="B331" s="140">
        <f>IFERROR(__xludf.DUMMYFUNCTION("""COMPUTED_VALUE"""),858848.0)</f>
        <v>858848</v>
      </c>
      <c r="C331" t="str">
        <f>IFERROR(__xludf.DUMMYFUNCTION("""COMPUTED_VALUE"""),"")</f>
        <v/>
      </c>
      <c r="D331" t="str">
        <f>IFERROR(__xludf.DUMMYFUNCTION("""COMPUTED_VALUE"""),"David Tanaskovic")</f>
        <v>David Tanaskovic</v>
      </c>
      <c r="E331" t="str">
        <f>IFERROR(__xludf.DUMMYFUNCTION("""COMPUTED_VALUE"""),"Below Quality Standards")</f>
        <v>Below Quality Standards</v>
      </c>
      <c r="F331" t="str">
        <f>IFERROR(__xludf.DUMMYFUNCTION("""COMPUTED_VALUE"""),"Marketing")</f>
        <v>Marketing</v>
      </c>
      <c r="G331" t="str">
        <f>IFERROR(__xludf.DUMMYFUNCTION("""COMPUTED_VALUE"""),"Digital Marketing")</f>
        <v>Digital Marketing</v>
      </c>
      <c r="H331">
        <f>IFERROR(__xludf.DUMMYFUNCTION("""COMPUTED_VALUE"""),613946.0)</f>
        <v>613946</v>
      </c>
      <c r="I331" s="140" t="str">
        <f>IFERROR(__xludf.DUMMYFUNCTION("""COMPUTED_VALUE"""),"")</f>
        <v/>
      </c>
      <c r="K331" s="140" t="str">
        <f>IFERROR(__xludf.DUMMYFUNCTION("""COMPUTED_VALUE"""),"")</f>
        <v/>
      </c>
    </row>
    <row r="332">
      <c r="A332" s="143">
        <f>IFERROR(__xludf.DUMMYFUNCTION("""COMPUTED_VALUE"""),43220.0)</f>
        <v>43220</v>
      </c>
      <c r="B332" s="140">
        <f>IFERROR(__xludf.DUMMYFUNCTION("""COMPUTED_VALUE"""),431088.0)</f>
        <v>431088</v>
      </c>
      <c r="C332" t="str">
        <f>IFERROR(__xludf.DUMMYFUNCTION("""COMPUTED_VALUE"""),"")</f>
        <v/>
      </c>
      <c r="D332" t="str">
        <f>IFERROR(__xludf.DUMMYFUNCTION("""COMPUTED_VALUE"""),"Davis Jones, MBA")</f>
        <v>Davis Jones, MBA</v>
      </c>
      <c r="E332" t="str">
        <f>IFERROR(__xludf.DUMMYFUNCTION("""COMPUTED_VALUE"""),"Below Quality Standards")</f>
        <v>Below Quality Standards</v>
      </c>
      <c r="F332" t="str">
        <f>IFERROR(__xludf.DUMMYFUNCTION("""COMPUTED_VALUE"""),"Marketing")</f>
        <v>Marketing</v>
      </c>
      <c r="G332" t="str">
        <f>IFERROR(__xludf.DUMMYFUNCTION("""COMPUTED_VALUE"""),"Paid Advertising")</f>
        <v>Paid Advertising</v>
      </c>
      <c r="H332">
        <f>IFERROR(__xludf.DUMMYFUNCTION("""COMPUTED_VALUE"""),613946.0)</f>
        <v>613946</v>
      </c>
      <c r="I332" s="140" t="str">
        <f>IFERROR(__xludf.DUMMYFUNCTION("""COMPUTED_VALUE"""),"")</f>
        <v/>
      </c>
      <c r="K332" s="140" t="str">
        <f>IFERROR(__xludf.DUMMYFUNCTION("""COMPUTED_VALUE"""),"")</f>
        <v/>
      </c>
    </row>
    <row r="333">
      <c r="A333" s="143">
        <f>IFERROR(__xludf.DUMMYFUNCTION("""COMPUTED_VALUE"""),43203.0)</f>
        <v>43203</v>
      </c>
      <c r="B333" s="140">
        <f>IFERROR(__xludf.DUMMYFUNCTION("""COMPUTED_VALUE"""),1486652.0)</f>
        <v>1486652</v>
      </c>
      <c r="C333" t="str">
        <f>IFERROR(__xludf.DUMMYFUNCTION("""COMPUTED_VALUE"""),"")</f>
        <v/>
      </c>
      <c r="D333" s="142" t="str">
        <f>IFERROR(__xludf.DUMMYFUNCTION("""COMPUTED_VALUE"""),"Debbie Logerquist")</f>
        <v>Debbie Logerquist</v>
      </c>
      <c r="E333" s="142" t="str">
        <f>IFERROR(__xludf.DUMMYFUNCTION("""COMPUTED_VALUE"""),"Instructor Practices")</f>
        <v>Instructor Practices</v>
      </c>
      <c r="F333" s="142" t="str">
        <f>IFERROR(__xludf.DUMMYFUNCTION("""COMPUTED_VALUE"""),"IT and Software")</f>
        <v>IT and Software</v>
      </c>
      <c r="G333" s="202" t="str">
        <f>IFERROR(__xludf.DUMMYFUNCTION("""COMPUTED_VALUE"""),"IT Certifications")</f>
        <v>IT Certifications</v>
      </c>
      <c r="I333" s="140" t="str">
        <f>IFERROR(__xludf.DUMMYFUNCTION("""COMPUTED_VALUE"""),"")</f>
        <v/>
      </c>
      <c r="K333" s="140" t="str">
        <f>IFERROR(__xludf.DUMMYFUNCTION("""COMPUTED_VALUE"""),"")</f>
        <v/>
      </c>
      <c r="Q333" t="str">
        <f>IFERROR(__xludf.DUMMYFUNCTION("""COMPUTED_VALUE"""),"Topic on Priority List - 798933")</f>
        <v>Topic on Priority List - 798933</v>
      </c>
    </row>
    <row r="334">
      <c r="A334" s="143">
        <f>IFERROR(__xludf.DUMMYFUNCTION("""COMPUTED_VALUE"""),43220.0)</f>
        <v>43220</v>
      </c>
      <c r="B334" s="140">
        <f>IFERROR(__xludf.DUMMYFUNCTION("""COMPUTED_VALUE"""),98962.0)</f>
        <v>98962</v>
      </c>
      <c r="C334" t="str">
        <f>IFERROR(__xludf.DUMMYFUNCTION("""COMPUTED_VALUE"""),"")</f>
        <v/>
      </c>
      <c r="D334" t="str">
        <f>IFERROR(__xludf.DUMMYFUNCTION("""COMPUTED_VALUE"""),"Deltina Hay")</f>
        <v>Deltina Hay</v>
      </c>
      <c r="E334" t="str">
        <f>IFERROR(__xludf.DUMMYFUNCTION("""COMPUTED_VALUE"""),"Below Quality Standards- Outdated")</f>
        <v>Below Quality Standards- Outdated</v>
      </c>
      <c r="F334" t="str">
        <f>IFERROR(__xludf.DUMMYFUNCTION("""COMPUTED_VALUE"""),"Marketing")</f>
        <v>Marketing</v>
      </c>
      <c r="G334" t="str">
        <f>IFERROR(__xludf.DUMMYFUNCTION("""COMPUTED_VALUE"""),"Social Media")</f>
        <v>Social Media</v>
      </c>
      <c r="I334" s="140" t="str">
        <f>IFERROR(__xludf.DUMMYFUNCTION("""COMPUTED_VALUE"""),"")</f>
        <v/>
      </c>
      <c r="K334" s="140" t="str">
        <f>IFERROR(__xludf.DUMMYFUNCTION("""COMPUTED_VALUE"""),"")</f>
        <v/>
      </c>
      <c r="Q334" t="str">
        <f>IFERROR(__xludf.DUMMYFUNCTION("""COMPUTED_VALUE"""),"Low Demand")</f>
        <v>Low Demand</v>
      </c>
    </row>
    <row r="335">
      <c r="A335" s="143">
        <f>IFERROR(__xludf.DUMMYFUNCTION("""COMPUTED_VALUE"""),43220.0)</f>
        <v>43220</v>
      </c>
      <c r="B335" s="140">
        <f>IFERROR(__xludf.DUMMYFUNCTION("""COMPUTED_VALUE"""),165154.0)</f>
        <v>165154</v>
      </c>
      <c r="C335" t="str">
        <f>IFERROR(__xludf.DUMMYFUNCTION("""COMPUTED_VALUE"""),"")</f>
        <v/>
      </c>
      <c r="D335" t="str">
        <f>IFERROR(__xludf.DUMMYFUNCTION("""COMPUTED_VALUE"""),"Deltina Hay")</f>
        <v>Deltina Hay</v>
      </c>
      <c r="E335" t="str">
        <f>IFERROR(__xludf.DUMMYFUNCTION("""COMPUTED_VALUE"""),"Below Quality Standards- Outdated")</f>
        <v>Below Quality Standards- Outdated</v>
      </c>
      <c r="F335" t="str">
        <f>IFERROR(__xludf.DUMMYFUNCTION("""COMPUTED_VALUE"""),"Marketing")</f>
        <v>Marketing</v>
      </c>
      <c r="G335" t="str">
        <f>IFERROR(__xludf.DUMMYFUNCTION("""COMPUTED_VALUE"""),"Social Media")</f>
        <v>Social Media</v>
      </c>
      <c r="H335">
        <f>IFERROR(__xludf.DUMMYFUNCTION("""COMPUTED_VALUE"""),416874.0)</f>
        <v>416874</v>
      </c>
      <c r="I335" s="140" t="str">
        <f>IFERROR(__xludf.DUMMYFUNCTION("""COMPUTED_VALUE"""),"")</f>
        <v/>
      </c>
      <c r="K335" s="140" t="str">
        <f>IFERROR(__xludf.DUMMYFUNCTION("""COMPUTED_VALUE"""),"")</f>
        <v/>
      </c>
    </row>
    <row r="336">
      <c r="A336" s="143">
        <f>IFERROR(__xludf.DUMMYFUNCTION("""COMPUTED_VALUE"""),43220.0)</f>
        <v>43220</v>
      </c>
      <c r="B336" s="140">
        <f>IFERROR(__xludf.DUMMYFUNCTION("""COMPUTED_VALUE"""),207002.0)</f>
        <v>207002</v>
      </c>
      <c r="C336" t="str">
        <f>IFERROR(__xludf.DUMMYFUNCTION("""COMPUTED_VALUE"""),"")</f>
        <v/>
      </c>
      <c r="D336" t="str">
        <f>IFERROR(__xludf.DUMMYFUNCTION("""COMPUTED_VALUE"""),"Deltina Hay")</f>
        <v>Deltina Hay</v>
      </c>
      <c r="E336" t="str">
        <f>IFERROR(__xludf.DUMMYFUNCTION("""COMPUTED_VALUE"""),"Below Quality Standards- Outdated")</f>
        <v>Below Quality Standards- Outdated</v>
      </c>
      <c r="F336" t="str">
        <f>IFERROR(__xludf.DUMMYFUNCTION("""COMPUTED_VALUE"""),"Marketing")</f>
        <v>Marketing</v>
      </c>
      <c r="G336" t="str">
        <f>IFERROR(__xludf.DUMMYFUNCTION("""COMPUTED_VALUE"""),"Social Media")</f>
        <v>Social Media</v>
      </c>
      <c r="H336">
        <f>IFERROR(__xludf.DUMMYFUNCTION("""COMPUTED_VALUE"""),950640.0)</f>
        <v>950640</v>
      </c>
      <c r="I336" s="140" t="str">
        <f>IFERROR(__xludf.DUMMYFUNCTION("""COMPUTED_VALUE"""),"")</f>
        <v/>
      </c>
      <c r="K336" s="140" t="str">
        <f>IFERROR(__xludf.DUMMYFUNCTION("""COMPUTED_VALUE"""),"")</f>
        <v/>
      </c>
    </row>
    <row r="337">
      <c r="A337" s="143">
        <f>IFERROR(__xludf.DUMMYFUNCTION("""COMPUTED_VALUE"""),43220.0)</f>
        <v>43220</v>
      </c>
      <c r="B337" s="140">
        <f>IFERROR(__xludf.DUMMYFUNCTION("""COMPUTED_VALUE"""),206930.0)</f>
        <v>206930</v>
      </c>
      <c r="C337" t="str">
        <f>IFERROR(__xludf.DUMMYFUNCTION("""COMPUTED_VALUE"""),"")</f>
        <v/>
      </c>
      <c r="D337" t="str">
        <f>IFERROR(__xludf.DUMMYFUNCTION("""COMPUTED_VALUE"""),"Deltina Hay")</f>
        <v>Deltina Hay</v>
      </c>
      <c r="E337" t="str">
        <f>IFERROR(__xludf.DUMMYFUNCTION("""COMPUTED_VALUE"""),"Below Quality Standards- Outdated")</f>
        <v>Below Quality Standards- Outdated</v>
      </c>
      <c r="F337" t="str">
        <f>IFERROR(__xludf.DUMMYFUNCTION("""COMPUTED_VALUE"""),"Marketing")</f>
        <v>Marketing</v>
      </c>
      <c r="G337" t="str">
        <f>IFERROR(__xludf.DUMMYFUNCTION("""COMPUTED_VALUE"""),"Social Media")</f>
        <v>Social Media</v>
      </c>
      <c r="I337" s="140" t="str">
        <f>IFERROR(__xludf.DUMMYFUNCTION("""COMPUTED_VALUE"""),"")</f>
        <v/>
      </c>
      <c r="K337" s="140" t="str">
        <f>IFERROR(__xludf.DUMMYFUNCTION("""COMPUTED_VALUE"""),"")</f>
        <v/>
      </c>
      <c r="Q337" t="str">
        <f>IFERROR(__xludf.DUMMYFUNCTION("""COMPUTED_VALUE"""),"Low Demand")</f>
        <v>Low Demand</v>
      </c>
    </row>
    <row r="338">
      <c r="A338" s="143">
        <f>IFERROR(__xludf.DUMMYFUNCTION("""COMPUTED_VALUE"""),43220.0)</f>
        <v>43220</v>
      </c>
      <c r="B338" s="140">
        <f>IFERROR(__xludf.DUMMYFUNCTION("""COMPUTED_VALUE"""),206952.0)</f>
        <v>206952</v>
      </c>
      <c r="C338" t="str">
        <f>IFERROR(__xludf.DUMMYFUNCTION("""COMPUTED_VALUE"""),"")</f>
        <v/>
      </c>
      <c r="D338" t="str">
        <f>IFERROR(__xludf.DUMMYFUNCTION("""COMPUTED_VALUE"""),"Deltina Hay")</f>
        <v>Deltina Hay</v>
      </c>
      <c r="E338" t="str">
        <f>IFERROR(__xludf.DUMMYFUNCTION("""COMPUTED_VALUE"""),"Below Quality Standards- Outdated")</f>
        <v>Below Quality Standards- Outdated</v>
      </c>
      <c r="F338" t="str">
        <f>IFERROR(__xludf.DUMMYFUNCTION("""COMPUTED_VALUE"""),"Marketing")</f>
        <v>Marketing</v>
      </c>
      <c r="G338" t="str">
        <f>IFERROR(__xludf.DUMMYFUNCTION("""COMPUTED_VALUE"""),"Social Media")</f>
        <v>Social Media</v>
      </c>
      <c r="I338" s="140" t="str">
        <f>IFERROR(__xludf.DUMMYFUNCTION("""COMPUTED_VALUE"""),"")</f>
        <v/>
      </c>
      <c r="K338" s="140" t="str">
        <f>IFERROR(__xludf.DUMMYFUNCTION("""COMPUTED_VALUE"""),"")</f>
        <v/>
      </c>
      <c r="Q338" t="str">
        <f>IFERROR(__xludf.DUMMYFUNCTION("""COMPUTED_VALUE"""),"Low Demand")</f>
        <v>Low Demand</v>
      </c>
    </row>
    <row r="339">
      <c r="A339" s="143">
        <f>IFERROR(__xludf.DUMMYFUNCTION("""COMPUTED_VALUE"""),43220.0)</f>
        <v>43220</v>
      </c>
      <c r="B339" s="140">
        <f>IFERROR(__xludf.DUMMYFUNCTION("""COMPUTED_VALUE"""),206624.0)</f>
        <v>206624</v>
      </c>
      <c r="C339" t="str">
        <f>IFERROR(__xludf.DUMMYFUNCTION("""COMPUTED_VALUE"""),"")</f>
        <v/>
      </c>
      <c r="D339" t="str">
        <f>IFERROR(__xludf.DUMMYFUNCTION("""COMPUTED_VALUE"""),"Deltina Hay")</f>
        <v>Deltina Hay</v>
      </c>
      <c r="E339" t="str">
        <f>IFERROR(__xludf.DUMMYFUNCTION("""COMPUTED_VALUE"""),"Below Quality Standards- Outdated")</f>
        <v>Below Quality Standards- Outdated</v>
      </c>
      <c r="F339" t="str">
        <f>IFERROR(__xludf.DUMMYFUNCTION("""COMPUTED_VALUE"""),"Marketing")</f>
        <v>Marketing</v>
      </c>
      <c r="G339" t="str">
        <f>IFERROR(__xludf.DUMMYFUNCTION("""COMPUTED_VALUE"""),"Social Media")</f>
        <v>Social Media</v>
      </c>
      <c r="H339">
        <f>IFERROR(__xludf.DUMMYFUNCTION("""COMPUTED_VALUE"""),959128.0)</f>
        <v>959128</v>
      </c>
      <c r="I339" s="140" t="str">
        <f>IFERROR(__xludf.DUMMYFUNCTION("""COMPUTED_VALUE"""),"")</f>
        <v/>
      </c>
      <c r="J339">
        <f>IFERROR(__xludf.DUMMYFUNCTION("""COMPUTED_VALUE"""),1281044.0)</f>
        <v>1281044</v>
      </c>
      <c r="K339" s="140" t="str">
        <f>IFERROR(__xludf.DUMMYFUNCTION("""COMPUTED_VALUE"""),"")</f>
        <v/>
      </c>
    </row>
    <row r="340">
      <c r="A340" s="143">
        <f>IFERROR(__xludf.DUMMYFUNCTION("""COMPUTED_VALUE"""),43220.0)</f>
        <v>43220</v>
      </c>
      <c r="B340" s="140">
        <f>IFERROR(__xludf.DUMMYFUNCTION("""COMPUTED_VALUE"""),38581.0)</f>
        <v>38581</v>
      </c>
      <c r="C340" t="str">
        <f>IFERROR(__xludf.DUMMYFUNCTION("""COMPUTED_VALUE"""),"")</f>
        <v/>
      </c>
      <c r="D340" t="str">
        <f>IFERROR(__xludf.DUMMYFUNCTION("""COMPUTED_VALUE"""),"Deltina Hay")</f>
        <v>Deltina Hay</v>
      </c>
      <c r="E340" t="str">
        <f>IFERROR(__xludf.DUMMYFUNCTION("""COMPUTED_VALUE"""),"Below Quality Standards- Outdated")</f>
        <v>Below Quality Standards- Outdated</v>
      </c>
      <c r="F340" t="str">
        <f>IFERROR(__xludf.DUMMYFUNCTION("""COMPUTED_VALUE"""),"Marketing")</f>
        <v>Marketing</v>
      </c>
      <c r="G340" t="str">
        <f>IFERROR(__xludf.DUMMYFUNCTION("""COMPUTED_VALUE"""),"Social Media")</f>
        <v>Social Media</v>
      </c>
      <c r="H340">
        <f>IFERROR(__xludf.DUMMYFUNCTION("""COMPUTED_VALUE"""),459606.0)</f>
        <v>459606</v>
      </c>
      <c r="I340" s="140" t="str">
        <f>IFERROR(__xludf.DUMMYFUNCTION("""COMPUTED_VALUE"""),"")</f>
        <v/>
      </c>
      <c r="K340" s="140" t="str">
        <f>IFERROR(__xludf.DUMMYFUNCTION("""COMPUTED_VALUE"""),"")</f>
        <v/>
      </c>
    </row>
    <row r="341">
      <c r="A341" s="143">
        <f>IFERROR(__xludf.DUMMYFUNCTION("""COMPUTED_VALUE"""),43220.0)</f>
        <v>43220</v>
      </c>
      <c r="B341" s="140">
        <f>IFERROR(__xludf.DUMMYFUNCTION("""COMPUTED_VALUE"""),206748.0)</f>
        <v>206748</v>
      </c>
      <c r="C341" t="str">
        <f>IFERROR(__xludf.DUMMYFUNCTION("""COMPUTED_VALUE"""),"")</f>
        <v/>
      </c>
      <c r="D341" t="str">
        <f>IFERROR(__xludf.DUMMYFUNCTION("""COMPUTED_VALUE"""),"Deltina Hay")</f>
        <v>Deltina Hay</v>
      </c>
      <c r="E341" t="str">
        <f>IFERROR(__xludf.DUMMYFUNCTION("""COMPUTED_VALUE"""),"Below Quality Standards- Outdated")</f>
        <v>Below Quality Standards- Outdated</v>
      </c>
      <c r="F341" t="str">
        <f>IFERROR(__xludf.DUMMYFUNCTION("""COMPUTED_VALUE"""),"Marketing")</f>
        <v>Marketing</v>
      </c>
      <c r="G341" t="str">
        <f>IFERROR(__xludf.DUMMYFUNCTION("""COMPUTED_VALUE"""),"Digital Marketing")</f>
        <v>Digital Marketing</v>
      </c>
      <c r="H341">
        <f>IFERROR(__xludf.DUMMYFUNCTION("""COMPUTED_VALUE"""),466000.0)</f>
        <v>466000</v>
      </c>
      <c r="I341" s="140" t="str">
        <f>IFERROR(__xludf.DUMMYFUNCTION("""COMPUTED_VALUE"""),"")</f>
        <v/>
      </c>
      <c r="K341" s="140" t="str">
        <f>IFERROR(__xludf.DUMMYFUNCTION("""COMPUTED_VALUE"""),"")</f>
        <v/>
      </c>
      <c r="Q341" t="str">
        <f>IFERROR(__xludf.DUMMYFUNCTION("""COMPUTED_VALUE"""),"Low Demand")</f>
        <v>Low Demand</v>
      </c>
    </row>
    <row r="342">
      <c r="A342" s="143">
        <f>IFERROR(__xludf.DUMMYFUNCTION("""COMPUTED_VALUE"""),43220.0)</f>
        <v>43220</v>
      </c>
      <c r="B342" s="140">
        <f>IFERROR(__xludf.DUMMYFUNCTION("""COMPUTED_VALUE"""),429492.0)</f>
        <v>429492</v>
      </c>
      <c r="C342" t="str">
        <f>IFERROR(__xludf.DUMMYFUNCTION("""COMPUTED_VALUE"""),"")</f>
        <v/>
      </c>
      <c r="D342" t="str">
        <f>IFERROR(__xludf.DUMMYFUNCTION("""COMPUTED_VALUE"""),"Deltina Hay")</f>
        <v>Deltina Hay</v>
      </c>
      <c r="E342" t="str">
        <f>IFERROR(__xludf.DUMMYFUNCTION("""COMPUTED_VALUE"""),"Below Quality Standards- Outdated")</f>
        <v>Below Quality Standards- Outdated</v>
      </c>
      <c r="F342" t="str">
        <f>IFERROR(__xludf.DUMMYFUNCTION("""COMPUTED_VALUE"""),"Marketing")</f>
        <v>Marketing</v>
      </c>
      <c r="G342" t="str">
        <f>IFERROR(__xludf.DUMMYFUNCTION("""COMPUTED_VALUE"""),"Digital Marketing")</f>
        <v>Digital Marketing</v>
      </c>
      <c r="H342">
        <f>IFERROR(__xludf.DUMMYFUNCTION("""COMPUTED_VALUE"""),1185006.0)</f>
        <v>1185006</v>
      </c>
      <c r="I342" s="140" t="str">
        <f>IFERROR(__xludf.DUMMYFUNCTION("""COMPUTED_VALUE"""),"")</f>
        <v/>
      </c>
      <c r="J342">
        <f>IFERROR(__xludf.DUMMYFUNCTION("""COMPUTED_VALUE"""),1101226.0)</f>
        <v>1101226</v>
      </c>
      <c r="K342" s="140" t="str">
        <f>IFERROR(__xludf.DUMMYFUNCTION("""COMPUTED_VALUE"""),"")</f>
        <v/>
      </c>
    </row>
    <row r="343">
      <c r="A343" s="143">
        <f>IFERROR(__xludf.DUMMYFUNCTION("""COMPUTED_VALUE"""),43220.0)</f>
        <v>43220</v>
      </c>
      <c r="B343" s="140">
        <f>IFERROR(__xludf.DUMMYFUNCTION("""COMPUTED_VALUE"""),206978.0)</f>
        <v>206978</v>
      </c>
      <c r="C343" t="str">
        <f>IFERROR(__xludf.DUMMYFUNCTION("""COMPUTED_VALUE"""),"")</f>
        <v/>
      </c>
      <c r="D343" t="str">
        <f>IFERROR(__xludf.DUMMYFUNCTION("""COMPUTED_VALUE"""),"Deltina Hay")</f>
        <v>Deltina Hay</v>
      </c>
      <c r="E343" t="str">
        <f>IFERROR(__xludf.DUMMYFUNCTION("""COMPUTED_VALUE"""),"Below Quality Standards- Outdated")</f>
        <v>Below Quality Standards- Outdated</v>
      </c>
      <c r="F343" t="str">
        <f>IFERROR(__xludf.DUMMYFUNCTION("""COMPUTED_VALUE"""),"Marketing")</f>
        <v>Marketing</v>
      </c>
      <c r="G343" t="str">
        <f>IFERROR(__xludf.DUMMYFUNCTION("""COMPUTED_VALUE"""),"Social Media")</f>
        <v>Social Media</v>
      </c>
      <c r="H343">
        <f>IFERROR(__xludf.DUMMYFUNCTION("""COMPUTED_VALUE"""),934032.0)</f>
        <v>934032</v>
      </c>
      <c r="I343" s="140" t="str">
        <f>IFERROR(__xludf.DUMMYFUNCTION("""COMPUTED_VALUE"""),"")</f>
        <v/>
      </c>
      <c r="K343" s="140" t="str">
        <f>IFERROR(__xludf.DUMMYFUNCTION("""COMPUTED_VALUE"""),"")</f>
        <v/>
      </c>
    </row>
    <row r="344">
      <c r="A344" s="143">
        <f>IFERROR(__xludf.DUMMYFUNCTION("""COMPUTED_VALUE"""),43220.0)</f>
        <v>43220</v>
      </c>
      <c r="B344" s="140">
        <f>IFERROR(__xludf.DUMMYFUNCTION("""COMPUTED_VALUE"""),206596.0)</f>
        <v>206596</v>
      </c>
      <c r="C344" t="str">
        <f>IFERROR(__xludf.DUMMYFUNCTION("""COMPUTED_VALUE"""),"")</f>
        <v/>
      </c>
      <c r="D344" t="str">
        <f>IFERROR(__xludf.DUMMYFUNCTION("""COMPUTED_VALUE"""),"Deltina Hay")</f>
        <v>Deltina Hay</v>
      </c>
      <c r="E344" t="str">
        <f>IFERROR(__xludf.DUMMYFUNCTION("""COMPUTED_VALUE"""),"Below Quality Standards- Outdated")</f>
        <v>Below Quality Standards- Outdated</v>
      </c>
      <c r="F344" t="str">
        <f>IFERROR(__xludf.DUMMYFUNCTION("""COMPUTED_VALUE"""),"Marketing")</f>
        <v>Marketing</v>
      </c>
      <c r="G344" t="str">
        <f>IFERROR(__xludf.DUMMYFUNCTION("""COMPUTED_VALUE"""),"Content and Email Marketing")</f>
        <v>Content and Email Marketing</v>
      </c>
      <c r="H344">
        <f>IFERROR(__xludf.DUMMYFUNCTION("""COMPUTED_VALUE"""),881228.0)</f>
        <v>881228</v>
      </c>
      <c r="I344" s="140" t="str">
        <f>IFERROR(__xludf.DUMMYFUNCTION("""COMPUTED_VALUE"""),"")</f>
        <v/>
      </c>
      <c r="K344" s="140" t="str">
        <f>IFERROR(__xludf.DUMMYFUNCTION("""COMPUTED_VALUE"""),"")</f>
        <v/>
      </c>
    </row>
    <row r="345">
      <c r="A345" s="143">
        <f>IFERROR(__xludf.DUMMYFUNCTION("""COMPUTED_VALUE"""),43220.0)</f>
        <v>43220</v>
      </c>
      <c r="B345" s="140">
        <f>IFERROR(__xludf.DUMMYFUNCTION("""COMPUTED_VALUE"""),201484.0)</f>
        <v>201484</v>
      </c>
      <c r="C345" t="str">
        <f>IFERROR(__xludf.DUMMYFUNCTION("""COMPUTED_VALUE"""),"")</f>
        <v/>
      </c>
      <c r="D345" t="str">
        <f>IFERROR(__xludf.DUMMYFUNCTION("""COMPUTED_VALUE"""),"Deltina Hay")</f>
        <v>Deltina Hay</v>
      </c>
      <c r="E345" t="str">
        <f>IFERROR(__xludf.DUMMYFUNCTION("""COMPUTED_VALUE"""),"Below Quality Standards- Outdated")</f>
        <v>Below Quality Standards- Outdated</v>
      </c>
      <c r="F345" t="str">
        <f>IFERROR(__xludf.DUMMYFUNCTION("""COMPUTED_VALUE"""),"Marketing")</f>
        <v>Marketing</v>
      </c>
      <c r="G345" t="str">
        <f>IFERROR(__xludf.DUMMYFUNCTION("""COMPUTED_VALUE"""),"Social Media")</f>
        <v>Social Media</v>
      </c>
      <c r="H345">
        <f>IFERROR(__xludf.DUMMYFUNCTION("""COMPUTED_VALUE"""),953614.0)</f>
        <v>953614</v>
      </c>
      <c r="I345" s="140" t="str">
        <f>IFERROR(__xludf.DUMMYFUNCTION("""COMPUTED_VALUE"""),"")</f>
        <v/>
      </c>
      <c r="K345" s="140" t="str">
        <f>IFERROR(__xludf.DUMMYFUNCTION("""COMPUTED_VALUE"""),"")</f>
        <v/>
      </c>
    </row>
    <row r="346">
      <c r="A346" s="143">
        <f>IFERROR(__xludf.DUMMYFUNCTION("""COMPUTED_VALUE"""),43220.0)</f>
        <v>43220</v>
      </c>
      <c r="B346" s="140">
        <f>IFERROR(__xludf.DUMMYFUNCTION("""COMPUTED_VALUE"""),565318.0)</f>
        <v>565318</v>
      </c>
      <c r="C346" t="str">
        <f>IFERROR(__xludf.DUMMYFUNCTION("""COMPUTED_VALUE"""),"")</f>
        <v/>
      </c>
      <c r="D346" t="str">
        <f>IFERROR(__xludf.DUMMYFUNCTION("""COMPUTED_VALUE"""),"Dr. Tish Chungoora")</f>
        <v>Dr. Tish Chungoora</v>
      </c>
      <c r="E346" t="str">
        <f>IFERROR(__xludf.DUMMYFUNCTION("""COMPUTED_VALUE"""),"Below Quality Standards")</f>
        <v>Below Quality Standards</v>
      </c>
      <c r="F346" t="str">
        <f>IFERROR(__xludf.DUMMYFUNCTION("""COMPUTED_VALUE"""),"Marketing")</f>
        <v>Marketing</v>
      </c>
      <c r="G346" t="str">
        <f>IFERROR(__xludf.DUMMYFUNCTION("""COMPUTED_VALUE"""),"Marketing Strategy")</f>
        <v>Marketing Strategy</v>
      </c>
      <c r="H346">
        <f>IFERROR(__xludf.DUMMYFUNCTION("""COMPUTED_VALUE"""),250570.0)</f>
        <v>250570</v>
      </c>
      <c r="I346" s="140" t="str">
        <f>IFERROR(__xludf.DUMMYFUNCTION("""COMPUTED_VALUE"""),"")</f>
        <v/>
      </c>
      <c r="K346" s="140" t="str">
        <f>IFERROR(__xludf.DUMMYFUNCTION("""COMPUTED_VALUE"""),"")</f>
        <v/>
      </c>
    </row>
    <row r="347">
      <c r="A347" s="143">
        <f>IFERROR(__xludf.DUMMYFUNCTION("""COMPUTED_VALUE"""),43220.0)</f>
        <v>43220</v>
      </c>
      <c r="B347" s="140">
        <f>IFERROR(__xludf.DUMMYFUNCTION("""COMPUTED_VALUE"""),444008.0)</f>
        <v>444008</v>
      </c>
      <c r="C347" t="str">
        <f>IFERROR(__xludf.DUMMYFUNCTION("""COMPUTED_VALUE"""),"")</f>
        <v/>
      </c>
      <c r="D347" t="str">
        <f>IFERROR(__xludf.DUMMYFUNCTION("""COMPUTED_VALUE"""),"Edoardo Mazzoli")</f>
        <v>Edoardo Mazzoli</v>
      </c>
      <c r="E347" t="str">
        <f>IFERROR(__xludf.DUMMYFUNCTION("""COMPUTED_VALUE"""),"Below Quality Standards")</f>
        <v>Below Quality Standards</v>
      </c>
      <c r="F347" t="str">
        <f>IFERROR(__xludf.DUMMYFUNCTION("""COMPUTED_VALUE"""),"Marketing")</f>
        <v>Marketing</v>
      </c>
      <c r="G347" t="str">
        <f>IFERROR(__xludf.DUMMYFUNCTION("""COMPUTED_VALUE"""),"Digital Marketing")</f>
        <v>Digital Marketing</v>
      </c>
      <c r="H347">
        <f>IFERROR(__xludf.DUMMYFUNCTION("""COMPUTED_VALUE"""),372108.0)</f>
        <v>372108</v>
      </c>
      <c r="I347" s="140" t="str">
        <f>IFERROR(__xludf.DUMMYFUNCTION("""COMPUTED_VALUE"""),"")</f>
        <v/>
      </c>
      <c r="K347" s="140" t="str">
        <f>IFERROR(__xludf.DUMMYFUNCTION("""COMPUTED_VALUE"""),"")</f>
        <v/>
      </c>
    </row>
    <row r="348">
      <c r="A348" s="143">
        <f>IFERROR(__xludf.DUMMYFUNCTION("""COMPUTED_VALUE"""),43220.0)</f>
        <v>43220</v>
      </c>
      <c r="B348" s="140">
        <f>IFERROR(__xludf.DUMMYFUNCTION("""COMPUTED_VALUE"""),713320.0)</f>
        <v>713320</v>
      </c>
      <c r="C348" t="str">
        <f>IFERROR(__xludf.DUMMYFUNCTION("""COMPUTED_VALUE"""),"")</f>
        <v/>
      </c>
      <c r="D348" t="str">
        <f>IFERROR(__xludf.DUMMYFUNCTION("""COMPUTED_VALUE"""),"Edoardo Mazzoli")</f>
        <v>Edoardo Mazzoli</v>
      </c>
      <c r="E348" t="str">
        <f>IFERROR(__xludf.DUMMYFUNCTION("""COMPUTED_VALUE"""),"Below Quality Standards")</f>
        <v>Below Quality Standards</v>
      </c>
      <c r="F348" t="str">
        <f>IFERROR(__xludf.DUMMYFUNCTION("""COMPUTED_VALUE"""),"Marketing")</f>
        <v>Marketing</v>
      </c>
      <c r="G348" t="str">
        <f>IFERROR(__xludf.DUMMYFUNCTION("""COMPUTED_VALUE"""),"Paid Advertising")</f>
        <v>Paid Advertising</v>
      </c>
      <c r="I348" s="140" t="str">
        <f>IFERROR(__xludf.DUMMYFUNCTION("""COMPUTED_VALUE"""),"")</f>
        <v/>
      </c>
      <c r="K348" s="140" t="str">
        <f>IFERROR(__xludf.DUMMYFUNCTION("""COMPUTED_VALUE"""),"")</f>
        <v/>
      </c>
      <c r="Q348" t="str">
        <f>IFERROR(__xludf.DUMMYFUNCTION("""COMPUTED_VALUE"""),"Not Alligned with Strategy")</f>
        <v>Not Alligned with Strategy</v>
      </c>
    </row>
    <row r="349">
      <c r="A349" s="143">
        <f>IFERROR(__xludf.DUMMYFUNCTION("""COMPUTED_VALUE"""),43220.0)</f>
        <v>43220</v>
      </c>
      <c r="B349" s="140">
        <f>IFERROR(__xludf.DUMMYFUNCTION("""COMPUTED_VALUE"""),524128.0)</f>
        <v>524128</v>
      </c>
      <c r="C349" t="str">
        <f>IFERROR(__xludf.DUMMYFUNCTION("""COMPUTED_VALUE"""),"")</f>
        <v/>
      </c>
      <c r="D349" t="str">
        <f>IFERROR(__xludf.DUMMYFUNCTION("""COMPUTED_VALUE"""),"Eduonix Learning Solutions")</f>
        <v>Eduonix Learning Solutions</v>
      </c>
      <c r="E349" t="str">
        <f>IFERROR(__xludf.DUMMYFUNCTION("""COMPUTED_VALUE"""),"Below Quality Standards")</f>
        <v>Below Quality Standards</v>
      </c>
      <c r="F349" t="str">
        <f>IFERROR(__xludf.DUMMYFUNCTION("""COMPUTED_VALUE"""),"Development")</f>
        <v>Development</v>
      </c>
      <c r="G349" t="str">
        <f>IFERROR(__xludf.DUMMYFUNCTION("""COMPUTED_VALUE"""),"Programming")</f>
        <v>Programming</v>
      </c>
      <c r="H349">
        <f>IFERROR(__xludf.DUMMYFUNCTION("""COMPUTED_VALUE"""),1518164.0)</f>
        <v>1518164</v>
      </c>
      <c r="I349" s="140" t="str">
        <f>IFERROR(__xludf.DUMMYFUNCTION("""COMPUTED_VALUE"""),"")</f>
        <v/>
      </c>
      <c r="K349" s="140" t="str">
        <f>IFERROR(__xludf.DUMMYFUNCTION("""COMPUTED_VALUE"""),"")</f>
        <v/>
      </c>
    </row>
    <row r="350">
      <c r="A350" s="143">
        <f>IFERROR(__xludf.DUMMYFUNCTION("""COMPUTED_VALUE"""),43220.0)</f>
        <v>43220</v>
      </c>
      <c r="B350" s="140">
        <f>IFERROR(__xludf.DUMMYFUNCTION("""COMPUTED_VALUE"""),1301750.0)</f>
        <v>1301750</v>
      </c>
      <c r="C350" t="str">
        <f>IFERROR(__xludf.DUMMYFUNCTION("""COMPUTED_VALUE"""),"")</f>
        <v/>
      </c>
      <c r="D350" t="str">
        <f>IFERROR(__xludf.DUMMYFUNCTION("""COMPUTED_VALUE"""),"Fayaz Khan")</f>
        <v>Fayaz Khan</v>
      </c>
      <c r="E350" t="str">
        <f>IFERROR(__xludf.DUMMYFUNCTION("""COMPUTED_VALUE"""),"Below Quality Standards")</f>
        <v>Below Quality Standards</v>
      </c>
      <c r="F350" t="str">
        <f>IFERROR(__xludf.DUMMYFUNCTION("""COMPUTED_VALUE"""),"Marketing")</f>
        <v>Marketing</v>
      </c>
      <c r="G350" t="str">
        <f>IFERROR(__xludf.DUMMYFUNCTION("""COMPUTED_VALUE"""),"Content and Email Marketing")</f>
        <v>Content and Email Marketing</v>
      </c>
      <c r="H350">
        <f>IFERROR(__xludf.DUMMYFUNCTION("""COMPUTED_VALUE"""),1112138.0)</f>
        <v>1112138</v>
      </c>
      <c r="I350" s="140" t="str">
        <f>IFERROR(__xludf.DUMMYFUNCTION("""COMPUTED_VALUE"""),"")</f>
        <v/>
      </c>
      <c r="K350" s="140" t="str">
        <f>IFERROR(__xludf.DUMMYFUNCTION("""COMPUTED_VALUE"""),"")</f>
        <v/>
      </c>
    </row>
    <row r="351">
      <c r="A351" s="143">
        <f>IFERROR(__xludf.DUMMYFUNCTION("""COMPUTED_VALUE"""),43220.0)</f>
        <v>43220</v>
      </c>
      <c r="B351" s="140">
        <f>IFERROR(__xludf.DUMMYFUNCTION("""COMPUTED_VALUE"""),190242.0)</f>
        <v>190242</v>
      </c>
      <c r="C351" t="str">
        <f>IFERROR(__xludf.DUMMYFUNCTION("""COMPUTED_VALUE"""),"")</f>
        <v/>
      </c>
      <c r="D351" t="str">
        <f>IFERROR(__xludf.DUMMYFUNCTION("""COMPUTED_VALUE"""),"Giuseppe Fratoni")</f>
        <v>Giuseppe Fratoni</v>
      </c>
      <c r="E351" t="str">
        <f>IFERROR(__xludf.DUMMYFUNCTION("""COMPUTED_VALUE"""),"Below Quality Standards- Outdated")</f>
        <v>Below Quality Standards- Outdated</v>
      </c>
      <c r="F351" t="str">
        <f>IFERROR(__xludf.DUMMYFUNCTION("""COMPUTED_VALUE"""),"Marketing")</f>
        <v>Marketing</v>
      </c>
      <c r="G351" t="str">
        <f>IFERROR(__xludf.DUMMYFUNCTION("""COMPUTED_VALUE"""),"Social Media")</f>
        <v>Social Media</v>
      </c>
      <c r="I351" s="140" t="str">
        <f>IFERROR(__xludf.DUMMYFUNCTION("""COMPUTED_VALUE"""),"")</f>
        <v/>
      </c>
      <c r="K351" s="140" t="str">
        <f>IFERROR(__xludf.DUMMYFUNCTION("""COMPUTED_VALUE"""),"")</f>
        <v/>
      </c>
      <c r="Q351" t="str">
        <f>IFERROR(__xludf.DUMMYFUNCTION("""COMPUTED_VALUE"""),"Low Demand")</f>
        <v>Low Demand</v>
      </c>
    </row>
    <row r="352">
      <c r="A352" s="143">
        <f>IFERROR(__xludf.DUMMYFUNCTION("""COMPUTED_VALUE"""),43220.0)</f>
        <v>43220</v>
      </c>
      <c r="B352" s="140">
        <f>IFERROR(__xludf.DUMMYFUNCTION("""COMPUTED_VALUE"""),772224.0)</f>
        <v>772224</v>
      </c>
      <c r="C352" t="str">
        <f>IFERROR(__xludf.DUMMYFUNCTION("""COMPUTED_VALUE"""),"")</f>
        <v/>
      </c>
      <c r="D352" t="str">
        <f>IFERROR(__xludf.DUMMYFUNCTION("""COMPUTED_VALUE"""),"Greg Bararaghimian")</f>
        <v>Greg Bararaghimian</v>
      </c>
      <c r="E352" t="str">
        <f>IFERROR(__xludf.DUMMYFUNCTION("""COMPUTED_VALUE"""),"Below Quality Standards- Outdated")</f>
        <v>Below Quality Standards- Outdated</v>
      </c>
      <c r="F352" t="str">
        <f>IFERROR(__xludf.DUMMYFUNCTION("""COMPUTED_VALUE"""),"Development")</f>
        <v>Development</v>
      </c>
      <c r="G352" t="str">
        <f>IFERROR(__xludf.DUMMYFUNCTION("""COMPUTED_VALUE"""),"Web Development")</f>
        <v>Web Development</v>
      </c>
      <c r="H352">
        <f>IFERROR(__xludf.DUMMYFUNCTION("""COMPUTED_VALUE"""),1061202.0)</f>
        <v>1061202</v>
      </c>
      <c r="I352" s="140" t="str">
        <f>IFERROR(__xludf.DUMMYFUNCTION("""COMPUTED_VALUE"""),"")</f>
        <v/>
      </c>
      <c r="K352" s="140" t="str">
        <f>IFERROR(__xludf.DUMMYFUNCTION("""COMPUTED_VALUE"""),"")</f>
        <v/>
      </c>
    </row>
    <row r="353">
      <c r="A353" s="143">
        <f>IFERROR(__xludf.DUMMYFUNCTION("""COMPUTED_VALUE"""),43203.0)</f>
        <v>43203</v>
      </c>
      <c r="B353" s="140">
        <f>IFERROR(__xludf.DUMMYFUNCTION("""COMPUTED_VALUE"""),1029288.0)</f>
        <v>1029288</v>
      </c>
      <c r="C353" t="str">
        <f>IFERROR(__xludf.DUMMYFUNCTION("""COMPUTED_VALUE"""),"")</f>
        <v/>
      </c>
      <c r="D353" s="142" t="str">
        <f>IFERROR(__xludf.DUMMYFUNCTION("""COMPUTED_VALUE"""),"iCollege Certifications")</f>
        <v>iCollege Certifications</v>
      </c>
      <c r="E353" s="142" t="str">
        <f>IFERROR(__xludf.DUMMYFUNCTION("""COMPUTED_VALUE"""),"Instructor Practices")</f>
        <v>Instructor Practices</v>
      </c>
      <c r="F353" t="str">
        <f>IFERROR(__xludf.DUMMYFUNCTION("""COMPUTED_VALUE"""),"IT and Software")</f>
        <v>IT and Software</v>
      </c>
      <c r="G353" t="str">
        <f>IFERROR(__xludf.DUMMYFUNCTION("""COMPUTED_VALUE"""),"IT Certifications")</f>
        <v>IT Certifications</v>
      </c>
      <c r="I353" s="140" t="str">
        <f>IFERROR(__xludf.DUMMYFUNCTION("""COMPUTED_VALUE"""),"")</f>
        <v/>
      </c>
      <c r="K353" s="140" t="str">
        <f>IFERROR(__xludf.DUMMYFUNCTION("""COMPUTED_VALUE"""),"")</f>
        <v/>
      </c>
      <c r="Q353" s="145" t="str">
        <f>IFERROR(__xludf.DUMMYFUNCTION("""COMPUTED_VALUE"""),"Topic on Priority List- 1402160")</f>
        <v>Topic on Priority List- 1402160</v>
      </c>
    </row>
    <row r="354">
      <c r="A354" s="143">
        <f>IFERROR(__xludf.DUMMYFUNCTION("""COMPUTED_VALUE"""),43203.0)</f>
        <v>43203</v>
      </c>
      <c r="B354" s="140">
        <f>IFERROR(__xludf.DUMMYFUNCTION("""COMPUTED_VALUE"""),985096.0)</f>
        <v>985096</v>
      </c>
      <c r="C354" t="str">
        <f>IFERROR(__xludf.DUMMYFUNCTION("""COMPUTED_VALUE"""),"")</f>
        <v/>
      </c>
      <c r="D354" s="142" t="str">
        <f>IFERROR(__xludf.DUMMYFUNCTION("""COMPUTED_VALUE"""),"iCollege Certifications")</f>
        <v>iCollege Certifications</v>
      </c>
      <c r="E354" s="142" t="str">
        <f>IFERROR(__xludf.DUMMYFUNCTION("""COMPUTED_VALUE"""),"Instructor Practices")</f>
        <v>Instructor Practices</v>
      </c>
      <c r="F354" t="str">
        <f>IFERROR(__xludf.DUMMYFUNCTION("""COMPUTED_VALUE"""),"IT and Software")</f>
        <v>IT and Software</v>
      </c>
      <c r="G354" t="str">
        <f>IFERROR(__xludf.DUMMYFUNCTION("""COMPUTED_VALUE"""),"IT Certifications")</f>
        <v>IT Certifications</v>
      </c>
      <c r="H354">
        <f>IFERROR(__xludf.DUMMYFUNCTION("""COMPUTED_VALUE"""),1514120.0)</f>
        <v>1514120</v>
      </c>
      <c r="I354" s="140" t="str">
        <f>IFERROR(__xludf.DUMMYFUNCTION("""COMPUTED_VALUE"""),"")</f>
        <v/>
      </c>
      <c r="K354" s="140" t="str">
        <f>IFERROR(__xludf.DUMMYFUNCTION("""COMPUTED_VALUE"""),"")</f>
        <v/>
      </c>
    </row>
    <row r="355">
      <c r="A355" s="143">
        <f>IFERROR(__xludf.DUMMYFUNCTION("""COMPUTED_VALUE"""),43203.0)</f>
        <v>43203</v>
      </c>
      <c r="B355" s="140">
        <f>IFERROR(__xludf.DUMMYFUNCTION("""COMPUTED_VALUE"""),1029222.0)</f>
        <v>1029222</v>
      </c>
      <c r="C355" t="str">
        <f>IFERROR(__xludf.DUMMYFUNCTION("""COMPUTED_VALUE"""),"")</f>
        <v/>
      </c>
      <c r="D355" s="142" t="str">
        <f>IFERROR(__xludf.DUMMYFUNCTION("""COMPUTED_VALUE"""),"iCollege Certifications")</f>
        <v>iCollege Certifications</v>
      </c>
      <c r="E355" s="142" t="str">
        <f>IFERROR(__xludf.DUMMYFUNCTION("""COMPUTED_VALUE"""),"Instructor Practices")</f>
        <v>Instructor Practices</v>
      </c>
      <c r="F355" t="str">
        <f>IFERROR(__xludf.DUMMYFUNCTION("""COMPUTED_VALUE"""),"IT and Software")</f>
        <v>IT and Software</v>
      </c>
      <c r="G355" t="str">
        <f>IFERROR(__xludf.DUMMYFUNCTION("""COMPUTED_VALUE"""),"IT Certifications")</f>
        <v>IT Certifications</v>
      </c>
      <c r="I355" s="140" t="str">
        <f>IFERROR(__xludf.DUMMYFUNCTION("""COMPUTED_VALUE"""),"")</f>
        <v/>
      </c>
      <c r="K355" s="140" t="str">
        <f>IFERROR(__xludf.DUMMYFUNCTION("""COMPUTED_VALUE"""),"")</f>
        <v/>
      </c>
      <c r="Q355" t="str">
        <f>IFERROR(__xludf.DUMMYFUNCTION("""COMPUTED_VALUE"""),"Topic on Priority List- 1720031")</f>
        <v>Topic on Priority List- 1720031</v>
      </c>
    </row>
    <row r="356">
      <c r="A356" s="143">
        <f>IFERROR(__xludf.DUMMYFUNCTION("""COMPUTED_VALUE"""),43203.0)</f>
        <v>43203</v>
      </c>
      <c r="B356" s="140">
        <f>IFERROR(__xludf.DUMMYFUNCTION("""COMPUTED_VALUE"""),1029268.0)</f>
        <v>1029268</v>
      </c>
      <c r="C356" t="str">
        <f>IFERROR(__xludf.DUMMYFUNCTION("""COMPUTED_VALUE"""),"")</f>
        <v/>
      </c>
      <c r="D356" s="142" t="str">
        <f>IFERROR(__xludf.DUMMYFUNCTION("""COMPUTED_VALUE"""),"iCollege Certifications")</f>
        <v>iCollege Certifications</v>
      </c>
      <c r="E356" s="142" t="str">
        <f>IFERROR(__xludf.DUMMYFUNCTION("""COMPUTED_VALUE"""),"Instructor Practices")</f>
        <v>Instructor Practices</v>
      </c>
      <c r="F356" t="str">
        <f>IFERROR(__xludf.DUMMYFUNCTION("""COMPUTED_VALUE"""),"Project Management and Operations")</f>
        <v>Project Management and Operations</v>
      </c>
      <c r="G356" t="str">
        <f>IFERROR(__xludf.DUMMYFUNCTION("""COMPUTED_VALUE"""),"Project Management Certifications")</f>
        <v>Project Management Certifications</v>
      </c>
      <c r="H356">
        <f>IFERROR(__xludf.DUMMYFUNCTION("""COMPUTED_VALUE"""),1265832.0)</f>
        <v>1265832</v>
      </c>
      <c r="I356" s="140" t="str">
        <f>IFERROR(__xludf.DUMMYFUNCTION("""COMPUTED_VALUE"""),"")</f>
        <v/>
      </c>
      <c r="K356" s="140" t="str">
        <f>IFERROR(__xludf.DUMMYFUNCTION("""COMPUTED_VALUE"""),"")</f>
        <v/>
      </c>
      <c r="Q356" t="str">
        <f>IFERROR(__xludf.DUMMYFUNCTION("""COMPUTED_VALUE"""),"Low Demand")</f>
        <v>Low Demand</v>
      </c>
    </row>
    <row r="357">
      <c r="A357" s="143">
        <f>IFERROR(__xludf.DUMMYFUNCTION("""COMPUTED_VALUE"""),43220.0)</f>
        <v>43220</v>
      </c>
      <c r="B357" s="140">
        <f>IFERROR(__xludf.DUMMYFUNCTION("""COMPUTED_VALUE"""),329970.0)</f>
        <v>329970</v>
      </c>
      <c r="C357" t="str">
        <f>IFERROR(__xludf.DUMMYFUNCTION("""COMPUTED_VALUE"""),"")</f>
        <v/>
      </c>
      <c r="D357" t="str">
        <f>IFERROR(__xludf.DUMMYFUNCTION("""COMPUTED_VALUE"""),"iMarket XL")</f>
        <v>iMarket XL</v>
      </c>
      <c r="E357" t="str">
        <f>IFERROR(__xludf.DUMMYFUNCTION("""COMPUTED_VALUE"""),"Below Quality Standards")</f>
        <v>Below Quality Standards</v>
      </c>
      <c r="F357" t="str">
        <f>IFERROR(__xludf.DUMMYFUNCTION("""COMPUTED_VALUE"""),"Marketing")</f>
        <v>Marketing</v>
      </c>
      <c r="G357" t="str">
        <f>IFERROR(__xludf.DUMMYFUNCTION("""COMPUTED_VALUE"""),"Digital Marketing")</f>
        <v>Digital Marketing</v>
      </c>
      <c r="H357">
        <f>IFERROR(__xludf.DUMMYFUNCTION("""COMPUTED_VALUE"""),365176.0)</f>
        <v>365176</v>
      </c>
      <c r="I357" s="140" t="str">
        <f>IFERROR(__xludf.DUMMYFUNCTION("""COMPUTED_VALUE"""),"")</f>
        <v/>
      </c>
      <c r="J357">
        <f>IFERROR(__xludf.DUMMYFUNCTION("""COMPUTED_VALUE"""),521574.0)</f>
        <v>521574</v>
      </c>
      <c r="K357" s="140" t="str">
        <f>IFERROR(__xludf.DUMMYFUNCTION("""COMPUTED_VALUE"""),"")</f>
        <v/>
      </c>
    </row>
    <row r="358">
      <c r="A358" s="143">
        <f>IFERROR(__xludf.DUMMYFUNCTION("""COMPUTED_VALUE"""),43220.0)</f>
        <v>43220</v>
      </c>
      <c r="B358" s="140">
        <f>IFERROR(__xludf.DUMMYFUNCTION("""COMPUTED_VALUE"""),23905.0)</f>
        <v>23905</v>
      </c>
      <c r="C358" t="str">
        <f>IFERROR(__xludf.DUMMYFUNCTION("""COMPUTED_VALUE"""),"")</f>
        <v/>
      </c>
      <c r="D358" t="str">
        <f>IFERROR(__xludf.DUMMYFUNCTION("""COMPUTED_VALUE"""),"Jeffrey Gitomer")</f>
        <v>Jeffrey Gitomer</v>
      </c>
      <c r="E358" t="str">
        <f>IFERROR(__xludf.DUMMYFUNCTION("""COMPUTED_VALUE"""),"Below Quality Standards- Outdated")</f>
        <v>Below Quality Standards- Outdated</v>
      </c>
      <c r="F358" t="str">
        <f>IFERROR(__xludf.DUMMYFUNCTION("""COMPUTED_VALUE"""),"Marketing")</f>
        <v>Marketing</v>
      </c>
      <c r="G358" t="str">
        <f>IFERROR(__xludf.DUMMYFUNCTION("""COMPUTED_VALUE"""),"Social Media")</f>
        <v>Social Media</v>
      </c>
      <c r="H358">
        <f>IFERROR(__xludf.DUMMYFUNCTION("""COMPUTED_VALUE"""),459606.0)</f>
        <v>459606</v>
      </c>
      <c r="I358" s="140" t="str">
        <f>IFERROR(__xludf.DUMMYFUNCTION("""COMPUTED_VALUE"""),"")</f>
        <v/>
      </c>
      <c r="K358" s="140" t="str">
        <f>IFERROR(__xludf.DUMMYFUNCTION("""COMPUTED_VALUE"""),"")</f>
        <v/>
      </c>
    </row>
    <row r="359">
      <c r="A359" s="143">
        <f>IFERROR(__xludf.DUMMYFUNCTION("""COMPUTED_VALUE"""),43220.0)</f>
        <v>43220</v>
      </c>
      <c r="B359" s="140">
        <f>IFERROR(__xludf.DUMMYFUNCTION("""COMPUTED_VALUE"""),15215.0)</f>
        <v>15215</v>
      </c>
      <c r="C359" t="str">
        <f>IFERROR(__xludf.DUMMYFUNCTION("""COMPUTED_VALUE"""),"")</f>
        <v/>
      </c>
      <c r="D359" t="str">
        <f>IFERROR(__xludf.DUMMYFUNCTION("""COMPUTED_VALUE"""),"Jeffrey Gitomer")</f>
        <v>Jeffrey Gitomer</v>
      </c>
      <c r="E359" t="str">
        <f>IFERROR(__xludf.DUMMYFUNCTION("""COMPUTED_VALUE"""),"Below Quality Standards")</f>
        <v>Below Quality Standards</v>
      </c>
      <c r="F359" t="str">
        <f>IFERROR(__xludf.DUMMYFUNCTION("""COMPUTED_VALUE"""),"Management")</f>
        <v>Management</v>
      </c>
      <c r="G359" t="str">
        <f>IFERROR(__xludf.DUMMYFUNCTION("""COMPUTED_VALUE"""),"Influence")</f>
        <v>Influence</v>
      </c>
      <c r="H359">
        <f>IFERROR(__xludf.DUMMYFUNCTION("""COMPUTED_VALUE"""),777754.0)</f>
        <v>777754</v>
      </c>
      <c r="I359" s="140" t="str">
        <f>IFERROR(__xludf.DUMMYFUNCTION("""COMPUTED_VALUE"""),"")</f>
        <v/>
      </c>
      <c r="J359">
        <f>IFERROR(__xludf.DUMMYFUNCTION("""COMPUTED_VALUE"""),563556.0)</f>
        <v>563556</v>
      </c>
      <c r="K359" s="140" t="str">
        <f>IFERROR(__xludf.DUMMYFUNCTION("""COMPUTED_VALUE"""),"")</f>
        <v/>
      </c>
    </row>
    <row r="360">
      <c r="A360" s="143">
        <f>IFERROR(__xludf.DUMMYFUNCTION("""COMPUTED_VALUE"""),43220.0)</f>
        <v>43220</v>
      </c>
      <c r="B360" s="140">
        <f>IFERROR(__xludf.DUMMYFUNCTION("""COMPUTED_VALUE"""),837880.0)</f>
        <v>837880</v>
      </c>
      <c r="C360" t="str">
        <f>IFERROR(__xludf.DUMMYFUNCTION("""COMPUTED_VALUE"""),"")</f>
        <v/>
      </c>
      <c r="D360" t="str">
        <f>IFERROR(__xludf.DUMMYFUNCTION("""COMPUTED_VALUE"""),"Jim Hlad")</f>
        <v>Jim Hlad</v>
      </c>
      <c r="E360" t="str">
        <f>IFERROR(__xludf.DUMMYFUNCTION("""COMPUTED_VALUE"""),"Instructor Request")</f>
        <v>Instructor Request</v>
      </c>
      <c r="F360" t="str">
        <f>IFERROR(__xludf.DUMMYFUNCTION("""COMPUTED_VALUE"""),"Development")</f>
        <v>Development</v>
      </c>
      <c r="G360" t="str">
        <f>IFERROR(__xludf.DUMMYFUNCTION("""COMPUTED_VALUE"""),"Web Development")</f>
        <v>Web Development</v>
      </c>
      <c r="H360">
        <f>IFERROR(__xludf.DUMMYFUNCTION("""COMPUTED_VALUE"""),1358300.0)</f>
        <v>1358300</v>
      </c>
      <c r="I360" s="140" t="str">
        <f>IFERROR(__xludf.DUMMYFUNCTION("""COMPUTED_VALUE"""),"")</f>
        <v/>
      </c>
      <c r="K360" s="140" t="str">
        <f>IFERROR(__xludf.DUMMYFUNCTION("""COMPUTED_VALUE"""),"")</f>
        <v/>
      </c>
    </row>
    <row r="361">
      <c r="A361" s="143">
        <f>IFERROR(__xludf.DUMMYFUNCTION("""COMPUTED_VALUE"""),43220.0)</f>
        <v>43220</v>
      </c>
      <c r="B361" s="140">
        <f>IFERROR(__xludf.DUMMYFUNCTION("""COMPUTED_VALUE"""),49021.0)</f>
        <v>49021</v>
      </c>
      <c r="C361" t="str">
        <f>IFERROR(__xludf.DUMMYFUNCTION("""COMPUTED_VALUE"""),"")</f>
        <v/>
      </c>
      <c r="D361" t="str">
        <f>IFERROR(__xludf.DUMMYFUNCTION("""COMPUTED_VALUE"""),"Joel Widmer")</f>
        <v>Joel Widmer</v>
      </c>
      <c r="E361" t="str">
        <f>IFERROR(__xludf.DUMMYFUNCTION("""COMPUTED_VALUE"""),"Below Quality Standards- Outdated")</f>
        <v>Below Quality Standards- Outdated</v>
      </c>
      <c r="F361" t="str">
        <f>IFERROR(__xludf.DUMMYFUNCTION("""COMPUTED_VALUE"""),"Marketing")</f>
        <v>Marketing</v>
      </c>
      <c r="G361" t="str">
        <f>IFERROR(__xludf.DUMMYFUNCTION("""COMPUTED_VALUE"""),"Paid Advertising")</f>
        <v>Paid Advertising</v>
      </c>
      <c r="H361">
        <f>IFERROR(__xludf.DUMMYFUNCTION("""COMPUTED_VALUE"""),1331661.0)</f>
        <v>1331661</v>
      </c>
      <c r="I361" s="140" t="str">
        <f>IFERROR(__xludf.DUMMYFUNCTION("""COMPUTED_VALUE"""),"")</f>
        <v/>
      </c>
      <c r="J361">
        <f>IFERROR(__xludf.DUMMYFUNCTION("""COMPUTED_VALUE"""),1323730.0)</f>
        <v>1323730</v>
      </c>
      <c r="K361" s="140" t="str">
        <f>IFERROR(__xludf.DUMMYFUNCTION("""COMPUTED_VALUE"""),"")</f>
        <v/>
      </c>
    </row>
    <row r="362">
      <c r="A362" s="143">
        <f>IFERROR(__xludf.DUMMYFUNCTION("""COMPUTED_VALUE"""),43220.0)</f>
        <v>43220</v>
      </c>
      <c r="B362" s="140">
        <f>IFERROR(__xludf.DUMMYFUNCTION("""COMPUTED_VALUE"""),35733.0)</f>
        <v>35733</v>
      </c>
      <c r="C362" t="str">
        <f>IFERROR(__xludf.DUMMYFUNCTION("""COMPUTED_VALUE"""),"")</f>
        <v/>
      </c>
      <c r="D362" t="str">
        <f>IFERROR(__xludf.DUMMYFUNCTION("""COMPUTED_VALUE"""),"John Wiley &amp; Sons, Inc.")</f>
        <v>John Wiley &amp; Sons, Inc.</v>
      </c>
      <c r="E362" t="str">
        <f>IFERROR(__xludf.DUMMYFUNCTION("""COMPUTED_VALUE"""),"Below Quality Standards- Outdated")</f>
        <v>Below Quality Standards- Outdated</v>
      </c>
      <c r="F362" t="str">
        <f>IFERROR(__xludf.DUMMYFUNCTION("""COMPUTED_VALUE"""),"Marketing")</f>
        <v>Marketing</v>
      </c>
      <c r="G362" t="str">
        <f>IFERROR(__xludf.DUMMYFUNCTION("""COMPUTED_VALUE"""),"Social Media")</f>
        <v>Social Media</v>
      </c>
      <c r="H362">
        <f>IFERROR(__xludf.DUMMYFUNCTION("""COMPUTED_VALUE"""),959128.0)</f>
        <v>959128</v>
      </c>
      <c r="I362" s="140" t="str">
        <f>IFERROR(__xludf.DUMMYFUNCTION("""COMPUTED_VALUE"""),"")</f>
        <v/>
      </c>
      <c r="J362">
        <f>IFERROR(__xludf.DUMMYFUNCTION("""COMPUTED_VALUE"""),1281044.0)</f>
        <v>1281044</v>
      </c>
      <c r="K362" s="140" t="str">
        <f>IFERROR(__xludf.DUMMYFUNCTION("""COMPUTED_VALUE"""),"")</f>
        <v/>
      </c>
    </row>
    <row r="363">
      <c r="A363" s="143">
        <f>IFERROR(__xludf.DUMMYFUNCTION("""COMPUTED_VALUE"""),43195.0)</f>
        <v>43195</v>
      </c>
      <c r="B363" s="140">
        <f>IFERROR(__xludf.DUMMYFUNCTION("""COMPUTED_VALUE"""),1418482.0)</f>
        <v>1418482</v>
      </c>
      <c r="C363" t="str">
        <f>IFERROR(__xludf.DUMMYFUNCTION("""COMPUTED_VALUE"""),"Learn How to Use Premiere Pro CC - For Beginners")</f>
        <v>Learn How to Use Premiere Pro CC - For Beginners</v>
      </c>
      <c r="D363" s="142" t="str">
        <f>IFERROR(__xludf.DUMMYFUNCTION("""COMPUTED_VALUE"""),"Jordan Dueck")</f>
        <v>Jordan Dueck</v>
      </c>
      <c r="E363" t="str">
        <f>IFERROR(__xludf.DUMMYFUNCTION("""COMPUTED_VALUE"""),"Instructor Never Opted In")</f>
        <v>Instructor Never Opted In</v>
      </c>
      <c r="F363" t="str">
        <f>IFERROR(__xludf.DUMMYFUNCTION("""COMPUTED_VALUE"""),"Design")</f>
        <v>Design</v>
      </c>
      <c r="G363" t="str">
        <f>IFERROR(__xludf.DUMMYFUNCTION("""COMPUTED_VALUE"""),"Graphic Design")</f>
        <v>Graphic Design</v>
      </c>
      <c r="H363">
        <f>IFERROR(__xludf.DUMMYFUNCTION("""COMPUTED_VALUE"""),926512.0)</f>
        <v>926512</v>
      </c>
      <c r="I363" s="140" t="str">
        <f>IFERROR(__xludf.DUMMYFUNCTION("""COMPUTED_VALUE"""),"")</f>
        <v/>
      </c>
      <c r="K363" s="140" t="str">
        <f>IFERROR(__xludf.DUMMYFUNCTION("""COMPUTED_VALUE"""),"")</f>
        <v/>
      </c>
    </row>
    <row r="364">
      <c r="A364" s="143">
        <f>IFERROR(__xludf.DUMMYFUNCTION("""COMPUTED_VALUE"""),43220.0)</f>
        <v>43220</v>
      </c>
      <c r="B364" s="140">
        <f>IFERROR(__xludf.DUMMYFUNCTION("""COMPUTED_VALUE"""),305990.0)</f>
        <v>305990</v>
      </c>
      <c r="C364" t="str">
        <f>IFERROR(__xludf.DUMMYFUNCTION("""COMPUTED_VALUE"""),"")</f>
        <v/>
      </c>
      <c r="D364" t="str">
        <f>IFERROR(__xludf.DUMMYFUNCTION("""COMPUTED_VALUE"""),"Josh Ratta")</f>
        <v>Josh Ratta</v>
      </c>
      <c r="E364" t="str">
        <f>IFERROR(__xludf.DUMMYFUNCTION("""COMPUTED_VALUE"""),"Below Quality Standards")</f>
        <v>Below Quality Standards</v>
      </c>
      <c r="F364" t="str">
        <f>IFERROR(__xludf.DUMMYFUNCTION("""COMPUTED_VALUE"""),"Marketing")</f>
        <v>Marketing</v>
      </c>
      <c r="G364" t="str">
        <f>IFERROR(__xludf.DUMMYFUNCTION("""COMPUTED_VALUE"""),"Content and Email Marketing")</f>
        <v>Content and Email Marketing</v>
      </c>
      <c r="H364">
        <f>IFERROR(__xludf.DUMMYFUNCTION("""COMPUTED_VALUE"""),367778.0)</f>
        <v>367778</v>
      </c>
      <c r="I364" s="140" t="str">
        <f>IFERROR(__xludf.DUMMYFUNCTION("""COMPUTED_VALUE"""),"")</f>
        <v/>
      </c>
      <c r="K364" s="140" t="str">
        <f>IFERROR(__xludf.DUMMYFUNCTION("""COMPUTED_VALUE"""),"")</f>
        <v/>
      </c>
    </row>
    <row r="365">
      <c r="A365" s="143">
        <f>IFERROR(__xludf.DUMMYFUNCTION("""COMPUTED_VALUE"""),43220.0)</f>
        <v>43220</v>
      </c>
      <c r="B365" s="140">
        <f>IFERROR(__xludf.DUMMYFUNCTION("""COMPUTED_VALUE"""),502464.0)</f>
        <v>502464</v>
      </c>
      <c r="C365" t="str">
        <f>IFERROR(__xludf.DUMMYFUNCTION("""COMPUTED_VALUE"""),"")</f>
        <v/>
      </c>
      <c r="D365" t="str">
        <f>IFERROR(__xludf.DUMMYFUNCTION("""COMPUTED_VALUE"""),"Kevin Moore")</f>
        <v>Kevin Moore</v>
      </c>
      <c r="E365" t="str">
        <f>IFERROR(__xludf.DUMMYFUNCTION("""COMPUTED_VALUE"""),"Below Quality Standards")</f>
        <v>Below Quality Standards</v>
      </c>
      <c r="F365" t="str">
        <f>IFERROR(__xludf.DUMMYFUNCTION("""COMPUTED_VALUE"""),"Marketing")</f>
        <v>Marketing</v>
      </c>
      <c r="G365" t="str">
        <f>IFERROR(__xludf.DUMMYFUNCTION("""COMPUTED_VALUE"""),"Marketing Strategy")</f>
        <v>Marketing Strategy</v>
      </c>
      <c r="H365">
        <f>IFERROR(__xludf.DUMMYFUNCTION("""COMPUTED_VALUE"""),250570.0)</f>
        <v>250570</v>
      </c>
      <c r="I365" s="140" t="str">
        <f>IFERROR(__xludf.DUMMYFUNCTION("""COMPUTED_VALUE"""),"")</f>
        <v/>
      </c>
      <c r="K365" s="140" t="str">
        <f>IFERROR(__xludf.DUMMYFUNCTION("""COMPUTED_VALUE"""),"")</f>
        <v/>
      </c>
    </row>
    <row r="366">
      <c r="A366" s="143">
        <f>IFERROR(__xludf.DUMMYFUNCTION("""COMPUTED_VALUE"""),43220.0)</f>
        <v>43220</v>
      </c>
      <c r="B366" s="140">
        <f>IFERROR(__xludf.DUMMYFUNCTION("""COMPUTED_VALUE"""),139962.0)</f>
        <v>139962</v>
      </c>
      <c r="C366" t="str">
        <f>IFERROR(__xludf.DUMMYFUNCTION("""COMPUTED_VALUE"""),"")</f>
        <v/>
      </c>
      <c r="D366" t="str">
        <f>IFERROR(__xludf.DUMMYFUNCTION("""COMPUTED_VALUE"""),"Laurel Papworth")</f>
        <v>Laurel Papworth</v>
      </c>
      <c r="E366" t="str">
        <f>IFERROR(__xludf.DUMMYFUNCTION("""COMPUTED_VALUE"""),"Below Quality Standards- Outdated")</f>
        <v>Below Quality Standards- Outdated</v>
      </c>
      <c r="F366" t="str">
        <f>IFERROR(__xludf.DUMMYFUNCTION("""COMPUTED_VALUE"""),"Marketing")</f>
        <v>Marketing</v>
      </c>
      <c r="G366" t="str">
        <f>IFERROR(__xludf.DUMMYFUNCTION("""COMPUTED_VALUE"""),"Social Media")</f>
        <v>Social Media</v>
      </c>
      <c r="H366">
        <f>IFERROR(__xludf.DUMMYFUNCTION("""COMPUTED_VALUE"""),959128.0)</f>
        <v>959128</v>
      </c>
      <c r="I366" s="140" t="str">
        <f>IFERROR(__xludf.DUMMYFUNCTION("""COMPUTED_VALUE"""),"")</f>
        <v/>
      </c>
      <c r="J366">
        <f>IFERROR(__xludf.DUMMYFUNCTION("""COMPUTED_VALUE"""),1281044.0)</f>
        <v>1281044</v>
      </c>
      <c r="K366" s="140" t="str">
        <f>IFERROR(__xludf.DUMMYFUNCTION("""COMPUTED_VALUE"""),"")</f>
        <v/>
      </c>
    </row>
    <row r="367">
      <c r="A367" s="143">
        <f>IFERROR(__xludf.DUMMYFUNCTION("""COMPUTED_VALUE"""),43220.0)</f>
        <v>43220</v>
      </c>
      <c r="B367" s="140">
        <f>IFERROR(__xludf.DUMMYFUNCTION("""COMPUTED_VALUE"""),444444.0)</f>
        <v>444444</v>
      </c>
      <c r="C367" t="str">
        <f>IFERROR(__xludf.DUMMYFUNCTION("""COMPUTED_VALUE"""),"")</f>
        <v/>
      </c>
      <c r="D367" t="str">
        <f>IFERROR(__xludf.DUMMYFUNCTION("""COMPUTED_VALUE"""),"Laurel Papworth")</f>
        <v>Laurel Papworth</v>
      </c>
      <c r="E367" t="str">
        <f>IFERROR(__xludf.DUMMYFUNCTION("""COMPUTED_VALUE"""),"Below Quality Standards- Outdated")</f>
        <v>Below Quality Standards- Outdated</v>
      </c>
      <c r="F367" t="str">
        <f>IFERROR(__xludf.DUMMYFUNCTION("""COMPUTED_VALUE"""),"Marketing")</f>
        <v>Marketing</v>
      </c>
      <c r="G367" t="str">
        <f>IFERROR(__xludf.DUMMYFUNCTION("""COMPUTED_VALUE"""),"Content and Email Marketing")</f>
        <v>Content and Email Marketing</v>
      </c>
      <c r="H367">
        <f>IFERROR(__xludf.DUMMYFUNCTION("""COMPUTED_VALUE"""),881228.0)</f>
        <v>881228</v>
      </c>
      <c r="I367" s="140" t="str">
        <f>IFERROR(__xludf.DUMMYFUNCTION("""COMPUTED_VALUE"""),"")</f>
        <v/>
      </c>
      <c r="K367" s="140" t="str">
        <f>IFERROR(__xludf.DUMMYFUNCTION("""COMPUTED_VALUE"""),"")</f>
        <v/>
      </c>
    </row>
    <row r="368">
      <c r="A368" s="143">
        <f>IFERROR(__xludf.DUMMYFUNCTION("""COMPUTED_VALUE"""),43220.0)</f>
        <v>43220</v>
      </c>
      <c r="B368" s="140">
        <f>IFERROR(__xludf.DUMMYFUNCTION("""COMPUTED_VALUE"""),470414.0)</f>
        <v>470414</v>
      </c>
      <c r="C368" t="str">
        <f>IFERROR(__xludf.DUMMYFUNCTION("""COMPUTED_VALUE"""),"")</f>
        <v/>
      </c>
      <c r="D368" t="str">
        <f>IFERROR(__xludf.DUMMYFUNCTION("""COMPUTED_VALUE"""),"Laurel Papworth")</f>
        <v>Laurel Papworth</v>
      </c>
      <c r="E368" t="str">
        <f>IFERROR(__xludf.DUMMYFUNCTION("""COMPUTED_VALUE"""),"Below Quality Standards- Outdated")</f>
        <v>Below Quality Standards- Outdated</v>
      </c>
      <c r="F368" t="str">
        <f>IFERROR(__xludf.DUMMYFUNCTION("""COMPUTED_VALUE"""),"Marketing")</f>
        <v>Marketing</v>
      </c>
      <c r="G368" t="str">
        <f>IFERROR(__xludf.DUMMYFUNCTION("""COMPUTED_VALUE"""),"Social Media")</f>
        <v>Social Media</v>
      </c>
      <c r="H368">
        <f>IFERROR(__xludf.DUMMYFUNCTION("""COMPUTED_VALUE"""),959128.0)</f>
        <v>959128</v>
      </c>
      <c r="I368" s="140" t="str">
        <f>IFERROR(__xludf.DUMMYFUNCTION("""COMPUTED_VALUE"""),"")</f>
        <v/>
      </c>
      <c r="J368">
        <f>IFERROR(__xludf.DUMMYFUNCTION("""COMPUTED_VALUE"""),1281044.0)</f>
        <v>1281044</v>
      </c>
      <c r="K368" s="140" t="str">
        <f>IFERROR(__xludf.DUMMYFUNCTION("""COMPUTED_VALUE"""),"")</f>
        <v/>
      </c>
    </row>
    <row r="369">
      <c r="A369" s="143">
        <f>IFERROR(__xludf.DUMMYFUNCTION("""COMPUTED_VALUE"""),43220.0)</f>
        <v>43220</v>
      </c>
      <c r="B369" s="140">
        <f>IFERROR(__xludf.DUMMYFUNCTION("""COMPUTED_VALUE"""),385180.0)</f>
        <v>385180</v>
      </c>
      <c r="C369" t="str">
        <f>IFERROR(__xludf.DUMMYFUNCTION("""COMPUTED_VALUE"""),"")</f>
        <v/>
      </c>
      <c r="D369" t="str">
        <f>IFERROR(__xludf.DUMMYFUNCTION("""COMPUTED_VALUE"""),"Laurel Papworth")</f>
        <v>Laurel Papworth</v>
      </c>
      <c r="E369" t="str">
        <f>IFERROR(__xludf.DUMMYFUNCTION("""COMPUTED_VALUE"""),"Below Quality Standards- Outdated")</f>
        <v>Below Quality Standards- Outdated</v>
      </c>
      <c r="F369" t="str">
        <f>IFERROR(__xludf.DUMMYFUNCTION("""COMPUTED_VALUE"""),"Marketing")</f>
        <v>Marketing</v>
      </c>
      <c r="G369" t="str">
        <f>IFERROR(__xludf.DUMMYFUNCTION("""COMPUTED_VALUE"""),"Social Media")</f>
        <v>Social Media</v>
      </c>
      <c r="H369">
        <f>IFERROR(__xludf.DUMMYFUNCTION("""COMPUTED_VALUE"""),959128.0)</f>
        <v>959128</v>
      </c>
      <c r="I369" s="140" t="str">
        <f>IFERROR(__xludf.DUMMYFUNCTION("""COMPUTED_VALUE"""),"")</f>
        <v/>
      </c>
      <c r="J369">
        <f>IFERROR(__xludf.DUMMYFUNCTION("""COMPUTED_VALUE"""),1281044.0)</f>
        <v>1281044</v>
      </c>
      <c r="K369" s="140" t="str">
        <f>IFERROR(__xludf.DUMMYFUNCTION("""COMPUTED_VALUE"""),"")</f>
        <v/>
      </c>
    </row>
    <row r="370">
      <c r="A370" s="143">
        <f>IFERROR(__xludf.DUMMYFUNCTION("""COMPUTED_VALUE"""),43220.0)</f>
        <v>43220</v>
      </c>
      <c r="B370" s="140">
        <f>IFERROR(__xludf.DUMMYFUNCTION("""COMPUTED_VALUE"""),835428.0)</f>
        <v>835428</v>
      </c>
      <c r="C370" t="str">
        <f>IFERROR(__xludf.DUMMYFUNCTION("""COMPUTED_VALUE"""),"")</f>
        <v/>
      </c>
      <c r="D370" t="str">
        <f>IFERROR(__xludf.DUMMYFUNCTION("""COMPUTED_VALUE"""),"Laurence Svekis")</f>
        <v>Laurence Svekis</v>
      </c>
      <c r="E370" t="str">
        <f>IFERROR(__xludf.DUMMYFUNCTION("""COMPUTED_VALUE"""),"Below Quality Standards")</f>
        <v>Below Quality Standards</v>
      </c>
      <c r="F370" t="str">
        <f>IFERROR(__xludf.DUMMYFUNCTION("""COMPUTED_VALUE"""),"Design")</f>
        <v>Design</v>
      </c>
      <c r="G370" t="str">
        <f>IFERROR(__xludf.DUMMYFUNCTION("""COMPUTED_VALUE"""),"Web Design")</f>
        <v>Web Design</v>
      </c>
      <c r="H370">
        <f>IFERROR(__xludf.DUMMYFUNCTION("""COMPUTED_VALUE"""),1399352.0)</f>
        <v>1399352</v>
      </c>
      <c r="I370" s="140" t="str">
        <f>IFERROR(__xludf.DUMMYFUNCTION("""COMPUTED_VALUE"""),"")</f>
        <v/>
      </c>
      <c r="K370" s="140" t="str">
        <f>IFERROR(__xludf.DUMMYFUNCTION("""COMPUTED_VALUE"""),"")</f>
        <v/>
      </c>
    </row>
    <row r="371">
      <c r="A371" s="143">
        <f>IFERROR(__xludf.DUMMYFUNCTION("""COMPUTED_VALUE"""),43220.0)</f>
        <v>43220</v>
      </c>
      <c r="B371" s="140">
        <f>IFERROR(__xludf.DUMMYFUNCTION("""COMPUTED_VALUE"""),408204.0)</f>
        <v>408204</v>
      </c>
      <c r="C371" t="str">
        <f>IFERROR(__xludf.DUMMYFUNCTION("""COMPUTED_VALUE"""),"")</f>
        <v/>
      </c>
      <c r="D371" t="str">
        <f>IFERROR(__xludf.DUMMYFUNCTION("""COMPUTED_VALUE"""),"Lawrence Howlett")</f>
        <v>Lawrence Howlett</v>
      </c>
      <c r="E371" t="str">
        <f>IFERROR(__xludf.DUMMYFUNCTION("""COMPUTED_VALUE"""),"Below Quality Standards- Outdated")</f>
        <v>Below Quality Standards- Outdated</v>
      </c>
      <c r="F371" t="str">
        <f>IFERROR(__xludf.DUMMYFUNCTION("""COMPUTED_VALUE"""),"Marketing")</f>
        <v>Marketing</v>
      </c>
      <c r="G371" t="str">
        <f>IFERROR(__xludf.DUMMYFUNCTION("""COMPUTED_VALUE"""),"Content and Email Marketing")</f>
        <v>Content and Email Marketing</v>
      </c>
      <c r="H371">
        <f>IFERROR(__xludf.DUMMYFUNCTION("""COMPUTED_VALUE"""),1312124.0)</f>
        <v>1312124</v>
      </c>
      <c r="I371" s="140" t="str">
        <f>IFERROR(__xludf.DUMMYFUNCTION("""COMPUTED_VALUE"""),"")</f>
        <v/>
      </c>
      <c r="K371" s="140" t="str">
        <f>IFERROR(__xludf.DUMMYFUNCTION("""COMPUTED_VALUE"""),"")</f>
        <v/>
      </c>
    </row>
    <row r="372">
      <c r="A372" s="143">
        <f>IFERROR(__xludf.DUMMYFUNCTION("""COMPUTED_VALUE"""),43220.0)</f>
        <v>43220</v>
      </c>
      <c r="B372" s="140">
        <f>IFERROR(__xludf.DUMMYFUNCTION("""COMPUTED_VALUE"""),394084.0)</f>
        <v>394084</v>
      </c>
      <c r="C372" t="str">
        <f>IFERROR(__xludf.DUMMYFUNCTION("""COMPUTED_VALUE"""),"")</f>
        <v/>
      </c>
      <c r="D372" t="str">
        <f>IFERROR(__xludf.DUMMYFUNCTION("""COMPUTED_VALUE"""),"Len Smith")</f>
        <v>Len Smith</v>
      </c>
      <c r="E372" t="str">
        <f>IFERROR(__xludf.DUMMYFUNCTION("""COMPUTED_VALUE"""),"Below Quality Standards")</f>
        <v>Below Quality Standards</v>
      </c>
      <c r="F372" t="str">
        <f>IFERROR(__xludf.DUMMYFUNCTION("""COMPUTED_VALUE"""),"Marketing")</f>
        <v>Marketing</v>
      </c>
      <c r="G372" t="str">
        <f>IFERROR(__xludf.DUMMYFUNCTION("""COMPUTED_VALUE"""),"Content and Email Marketing")</f>
        <v>Content and Email Marketing</v>
      </c>
      <c r="I372" s="140" t="str">
        <f>IFERROR(__xludf.DUMMYFUNCTION("""COMPUTED_VALUE"""),"")</f>
        <v/>
      </c>
      <c r="K372" s="140" t="str">
        <f>IFERROR(__xludf.DUMMYFUNCTION("""COMPUTED_VALUE"""),"")</f>
        <v/>
      </c>
      <c r="Q372" t="str">
        <f>IFERROR(__xludf.DUMMYFUNCTION("""COMPUTED_VALUE"""),"Low Demand")</f>
        <v>Low Demand</v>
      </c>
    </row>
    <row r="373">
      <c r="A373" s="143">
        <f>IFERROR(__xludf.DUMMYFUNCTION("""COMPUTED_VALUE"""),43199.0)</f>
        <v>43199</v>
      </c>
      <c r="B373" s="140">
        <f>IFERROR(__xludf.DUMMYFUNCTION("""COMPUTED_VALUE"""),1061808.0)</f>
        <v>1061808</v>
      </c>
      <c r="C373" t="str">
        <f>IFERROR(__xludf.DUMMYFUNCTION("""COMPUTED_VALUE"""),"Waterfall to Agile Project Management: A Step By Step Guide")</f>
        <v>Waterfall to Agile Project Management: A Step By Step Guide</v>
      </c>
      <c r="D373" s="142" t="str">
        <f>IFERROR(__xludf.DUMMYFUNCTION("""COMPUTED_VALUE"""),"Luke Angel")</f>
        <v>Luke Angel</v>
      </c>
      <c r="E373" s="142" t="str">
        <f>IFERROR(__xludf.DUMMYFUNCTION("""COMPUTED_VALUE"""),"Instructor Practices")</f>
        <v>Instructor Practices</v>
      </c>
      <c r="F373" s="142" t="str">
        <f>IFERROR(__xludf.DUMMYFUNCTION("""COMPUTED_VALUE"""),"Project Management and Operations")</f>
        <v>Project Management and Operations</v>
      </c>
      <c r="G373" s="202" t="str">
        <f>IFERROR(__xludf.DUMMYFUNCTION("""COMPUTED_VALUE"""),"Agile and Scrum")</f>
        <v>Agile and Scrum</v>
      </c>
      <c r="H373">
        <f>IFERROR(__xludf.DUMMYFUNCTION("""COMPUTED_VALUE"""),352440.0)</f>
        <v>352440</v>
      </c>
      <c r="I373" s="140" t="str">
        <f>IFERROR(__xludf.DUMMYFUNCTION("""COMPUTED_VALUE"""),"")</f>
        <v/>
      </c>
      <c r="K373" s="140" t="str">
        <f>IFERROR(__xludf.DUMMYFUNCTION("""COMPUTED_VALUE"""),"")</f>
        <v/>
      </c>
    </row>
    <row r="374">
      <c r="A374" s="143">
        <f>IFERROR(__xludf.DUMMYFUNCTION("""COMPUTED_VALUE"""),43199.0)</f>
        <v>43199</v>
      </c>
      <c r="B374" s="140">
        <f>IFERROR(__xludf.DUMMYFUNCTION("""COMPUTED_VALUE"""),954790.0)</f>
        <v>954790</v>
      </c>
      <c r="C374" t="str">
        <f>IFERROR(__xludf.DUMMYFUNCTION("""COMPUTED_VALUE"""),"How to Build Awesome Agile Teams with Scrum/Kanban/Extreme")</f>
        <v>How to Build Awesome Agile Teams with Scrum/Kanban/Extreme</v>
      </c>
      <c r="D374" s="142" t="str">
        <f>IFERROR(__xludf.DUMMYFUNCTION("""COMPUTED_VALUE"""),"Luke Angel")</f>
        <v>Luke Angel</v>
      </c>
      <c r="E374" s="142" t="str">
        <f>IFERROR(__xludf.DUMMYFUNCTION("""COMPUTED_VALUE"""),"Instructor Practices")</f>
        <v>Instructor Practices</v>
      </c>
      <c r="F374" t="str">
        <f>IFERROR(__xludf.DUMMYFUNCTION("""COMPUTED_VALUE"""),"Project Management and Operations")</f>
        <v>Project Management and Operations</v>
      </c>
      <c r="G374" t="str">
        <f>IFERROR(__xludf.DUMMYFUNCTION("""COMPUTED_VALUE"""),"Agile and Scrum")</f>
        <v>Agile and Scrum</v>
      </c>
      <c r="H374">
        <f>IFERROR(__xludf.DUMMYFUNCTION("""COMPUTED_VALUE"""),522094.0)</f>
        <v>522094</v>
      </c>
      <c r="I374" s="140" t="str">
        <f>IFERROR(__xludf.DUMMYFUNCTION("""COMPUTED_VALUE"""),"")</f>
        <v/>
      </c>
      <c r="K374" s="140" t="str">
        <f>IFERROR(__xludf.DUMMYFUNCTION("""COMPUTED_VALUE"""),"")</f>
        <v/>
      </c>
    </row>
    <row r="375">
      <c r="A375" s="143">
        <f>IFERROR(__xludf.DUMMYFUNCTION("""COMPUTED_VALUE"""),43199.0)</f>
        <v>43199</v>
      </c>
      <c r="B375" s="140">
        <f>IFERROR(__xludf.DUMMYFUNCTION("""COMPUTED_VALUE"""),988574.0)</f>
        <v>988574</v>
      </c>
      <c r="C375" t="str">
        <f>IFERROR(__xludf.DUMMYFUNCTION("""COMPUTED_VALUE"""),"Agile Project Management Utilizing Microsoft Project")</f>
        <v>Agile Project Management Utilizing Microsoft Project</v>
      </c>
      <c r="D375" s="142" t="str">
        <f>IFERROR(__xludf.DUMMYFUNCTION("""COMPUTED_VALUE"""),"Luke Angel")</f>
        <v>Luke Angel</v>
      </c>
      <c r="E375" s="142" t="str">
        <f>IFERROR(__xludf.DUMMYFUNCTION("""COMPUTED_VALUE"""),"Instructor Practices")</f>
        <v>Instructor Practices</v>
      </c>
      <c r="F375" t="str">
        <f>IFERROR(__xludf.DUMMYFUNCTION("""COMPUTED_VALUE"""),"Project Management and Operations")</f>
        <v>Project Management and Operations</v>
      </c>
      <c r="G375" t="str">
        <f>IFERROR(__xludf.DUMMYFUNCTION("""COMPUTED_VALUE"""),"Agile and Scrum")</f>
        <v>Agile and Scrum</v>
      </c>
      <c r="H375">
        <f>IFERROR(__xludf.DUMMYFUNCTION("""COMPUTED_VALUE"""),638292.0)</f>
        <v>638292</v>
      </c>
      <c r="I375" s="140" t="str">
        <f>IFERROR(__xludf.DUMMYFUNCTION("""COMPUTED_VALUE"""),"")</f>
        <v/>
      </c>
      <c r="K375" s="140" t="str">
        <f>IFERROR(__xludf.DUMMYFUNCTION("""COMPUTED_VALUE"""),"")</f>
        <v/>
      </c>
    </row>
    <row r="376">
      <c r="A376" s="143">
        <f>IFERROR(__xludf.DUMMYFUNCTION("""COMPUTED_VALUE"""),43199.0)</f>
        <v>43199</v>
      </c>
      <c r="B376" s="140">
        <f>IFERROR(__xludf.DUMMYFUNCTION("""COMPUTED_VALUE"""),1065012.0)</f>
        <v>1065012</v>
      </c>
      <c r="C376" t="str">
        <f>IFERROR(__xludf.DUMMYFUNCTION("""COMPUTED_VALUE"""),"Agile Retrospectives: Make Good Teams Great")</f>
        <v>Agile Retrospectives: Make Good Teams Great</v>
      </c>
      <c r="D376" s="142" t="str">
        <f>IFERROR(__xludf.DUMMYFUNCTION("""COMPUTED_VALUE"""),"Luke Angel")</f>
        <v>Luke Angel</v>
      </c>
      <c r="E376" s="142" t="str">
        <f>IFERROR(__xludf.DUMMYFUNCTION("""COMPUTED_VALUE"""),"Instructor Practices")</f>
        <v>Instructor Practices</v>
      </c>
      <c r="F376" t="str">
        <f>IFERROR(__xludf.DUMMYFUNCTION("""COMPUTED_VALUE"""),"Project Management and Operations")</f>
        <v>Project Management and Operations</v>
      </c>
      <c r="G376" t="str">
        <f>IFERROR(__xludf.DUMMYFUNCTION("""COMPUTED_VALUE"""),"Agile and Scrum")</f>
        <v>Agile and Scrum</v>
      </c>
      <c r="H376">
        <f>IFERROR(__xludf.DUMMYFUNCTION("""COMPUTED_VALUE"""),864886.0)</f>
        <v>864886</v>
      </c>
      <c r="I376" s="140" t="str">
        <f>IFERROR(__xludf.DUMMYFUNCTION("""COMPUTED_VALUE"""),"")</f>
        <v/>
      </c>
      <c r="K376" s="140" t="str">
        <f>IFERROR(__xludf.DUMMYFUNCTION("""COMPUTED_VALUE"""),"")</f>
        <v/>
      </c>
    </row>
    <row r="377">
      <c r="A377" s="143">
        <f>IFERROR(__xludf.DUMMYFUNCTION("""COMPUTED_VALUE"""),43195.0)</f>
        <v>43195</v>
      </c>
      <c r="B377" s="140">
        <f>IFERROR(__xludf.DUMMYFUNCTION("""COMPUTED_VALUE"""),799974.0)</f>
        <v>799974</v>
      </c>
      <c r="C377" t="str">
        <f>IFERROR(__xludf.DUMMYFUNCTION("""COMPUTED_VALUE"""),"Fundamentals of IoT Development with ThingWorx")</f>
        <v>Fundamentals of IoT Development with ThingWorx</v>
      </c>
      <c r="D377" s="142" t="str">
        <f>IFERROR(__xludf.DUMMYFUNCTION("""COMPUTED_VALUE"""),"Mark Cheli")</f>
        <v>Mark Cheli</v>
      </c>
      <c r="E377" t="str">
        <f>IFERROR(__xludf.DUMMYFUNCTION("""COMPUTED_VALUE"""),"Instructor Never Opted In")</f>
        <v>Instructor Never Opted In</v>
      </c>
      <c r="F377" t="str">
        <f>IFERROR(__xludf.DUMMYFUNCTION("""COMPUTED_VALUE"""),"Development")</f>
        <v>Development</v>
      </c>
      <c r="G377" t="str">
        <f>IFERROR(__xludf.DUMMYFUNCTION("""COMPUTED_VALUE"""),"Development Tools")</f>
        <v>Development Tools</v>
      </c>
      <c r="H377">
        <f>IFERROR(__xludf.DUMMYFUNCTION("""COMPUTED_VALUE"""),1166450.0)</f>
        <v>1166450</v>
      </c>
      <c r="I377" s="140" t="str">
        <f>IFERROR(__xludf.DUMMYFUNCTION("""COMPUTED_VALUE"""),"")</f>
        <v/>
      </c>
      <c r="K377" s="140" t="str">
        <f>IFERROR(__xludf.DUMMYFUNCTION("""COMPUTED_VALUE"""),"")</f>
        <v/>
      </c>
    </row>
    <row r="378">
      <c r="A378" s="143">
        <f>IFERROR(__xludf.DUMMYFUNCTION("""COMPUTED_VALUE"""),43195.0)</f>
        <v>43195</v>
      </c>
      <c r="B378" s="140">
        <f>IFERROR(__xludf.DUMMYFUNCTION("""COMPUTED_VALUE"""),189996.0)</f>
        <v>189996</v>
      </c>
      <c r="C378" t="str">
        <f>IFERROR(__xludf.DUMMYFUNCTION("""COMPUTED_VALUE"""),"Introduction to Digital Payments")</f>
        <v>Introduction to Digital Payments</v>
      </c>
      <c r="D378" s="142" t="str">
        <f>IFERROR(__xludf.DUMMYFUNCTION("""COMPUTED_VALUE"""),"Martin V., PSM, SAFe, PMP, CSSBB")</f>
        <v>Martin V., PSM, SAFe, PMP, CSSBB</v>
      </c>
      <c r="E378" t="str">
        <f>IFERROR(__xludf.DUMMYFUNCTION("""COMPUTED_VALUE"""),"Instructor Never Opted In")</f>
        <v>Instructor Never Opted In</v>
      </c>
      <c r="F378" t="str">
        <f>IFERROR(__xludf.DUMMYFUNCTION("""COMPUTED_VALUE"""),"Finance and Accounting")</f>
        <v>Finance and Accounting</v>
      </c>
      <c r="G378" t="str">
        <f>IFERROR(__xludf.DUMMYFUNCTION("""COMPUTED_VALUE"""),"Accounting")</f>
        <v>Accounting</v>
      </c>
      <c r="I378" s="140" t="str">
        <f>IFERROR(__xludf.DUMMYFUNCTION("""COMPUTED_VALUE"""),"")</f>
        <v/>
      </c>
      <c r="K378" s="140" t="str">
        <f>IFERROR(__xludf.DUMMYFUNCTION("""COMPUTED_VALUE"""),"")</f>
        <v/>
      </c>
      <c r="Q378" t="str">
        <f>IFERROR(__xludf.DUMMYFUNCTION("""COMPUTED_VALUE"""),"Topic on Priority List- 907479")</f>
        <v>Topic on Priority List- 907479</v>
      </c>
    </row>
    <row r="379">
      <c r="A379" s="143">
        <f>IFERROR(__xludf.DUMMYFUNCTION("""COMPUTED_VALUE"""),43220.0)</f>
        <v>43220</v>
      </c>
      <c r="B379" s="140">
        <f>IFERROR(__xludf.DUMMYFUNCTION("""COMPUTED_VALUE"""),866958.0)</f>
        <v>866958</v>
      </c>
      <c r="C379" t="str">
        <f>IFERROR(__xludf.DUMMYFUNCTION("""COMPUTED_VALUE"""),"")</f>
        <v/>
      </c>
      <c r="D379" t="str">
        <f>IFERROR(__xludf.DUMMYFUNCTION("""COMPUTED_VALUE"""),"Matt Bailey")</f>
        <v>Matt Bailey</v>
      </c>
      <c r="E379" t="str">
        <f>IFERROR(__xludf.DUMMYFUNCTION("""COMPUTED_VALUE"""),"Below Quality Standards")</f>
        <v>Below Quality Standards</v>
      </c>
      <c r="F379" t="str">
        <f>IFERROR(__xludf.DUMMYFUNCTION("""COMPUTED_VALUE"""),"Marketing")</f>
        <v>Marketing</v>
      </c>
      <c r="G379" t="str">
        <f>IFERROR(__xludf.DUMMYFUNCTION("""COMPUTED_VALUE"""),"Paid Advertising")</f>
        <v>Paid Advertising</v>
      </c>
      <c r="H379">
        <f>IFERROR(__xludf.DUMMYFUNCTION("""COMPUTED_VALUE"""),328386.0)</f>
        <v>328386</v>
      </c>
      <c r="I379" s="140" t="str">
        <f>IFERROR(__xludf.DUMMYFUNCTION("""COMPUTED_VALUE"""),"")</f>
        <v/>
      </c>
      <c r="J379">
        <f>IFERROR(__xludf.DUMMYFUNCTION("""COMPUTED_VALUE"""),444228.0)</f>
        <v>444228</v>
      </c>
      <c r="K379" s="140" t="str">
        <f>IFERROR(__xludf.DUMMYFUNCTION("""COMPUTED_VALUE"""),"")</f>
        <v/>
      </c>
    </row>
    <row r="380">
      <c r="A380" s="143">
        <f>IFERROR(__xludf.DUMMYFUNCTION("""COMPUTED_VALUE"""),43220.0)</f>
        <v>43220</v>
      </c>
      <c r="B380" s="140">
        <f>IFERROR(__xludf.DUMMYFUNCTION("""COMPUTED_VALUE"""),20282.0)</f>
        <v>20282</v>
      </c>
      <c r="C380" t="str">
        <f>IFERROR(__xludf.DUMMYFUNCTION("""COMPUTED_VALUE"""),"")</f>
        <v/>
      </c>
      <c r="D380" t="str">
        <f>IFERROR(__xludf.DUMMYFUNCTION("""COMPUTED_VALUE"""),"Mike Collins")</f>
        <v>Mike Collins</v>
      </c>
      <c r="E380" t="str">
        <f>IFERROR(__xludf.DUMMYFUNCTION("""COMPUTED_VALUE"""),"Below Quality Standards")</f>
        <v>Below Quality Standards</v>
      </c>
      <c r="F380" t="str">
        <f>IFERROR(__xludf.DUMMYFUNCTION("""COMPUTED_VALUE"""),"Marketing")</f>
        <v>Marketing</v>
      </c>
      <c r="G380" t="str">
        <f>IFERROR(__xludf.DUMMYFUNCTION("""COMPUTED_VALUE"""),"Content and Email Marketing")</f>
        <v>Content and Email Marketing</v>
      </c>
      <c r="H380">
        <f>IFERROR(__xludf.DUMMYFUNCTION("""COMPUTED_VALUE"""),325666.0)</f>
        <v>325666</v>
      </c>
      <c r="I380" s="140" t="str">
        <f>IFERROR(__xludf.DUMMYFUNCTION("""COMPUTED_VALUE"""),"")</f>
        <v/>
      </c>
      <c r="K380" s="140" t="str">
        <f>IFERROR(__xludf.DUMMYFUNCTION("""COMPUTED_VALUE"""),"")</f>
        <v/>
      </c>
    </row>
    <row r="381">
      <c r="A381" s="143">
        <f>IFERROR(__xludf.DUMMYFUNCTION("""COMPUTED_VALUE"""),43220.0)</f>
        <v>43220</v>
      </c>
      <c r="B381" s="140">
        <f>IFERROR(__xludf.DUMMYFUNCTION("""COMPUTED_VALUE"""),329908.0)</f>
        <v>329908</v>
      </c>
      <c r="C381" t="str">
        <f>IFERROR(__xludf.DUMMYFUNCTION("""COMPUTED_VALUE"""),"")</f>
        <v/>
      </c>
      <c r="D381" t="str">
        <f>IFERROR(__xludf.DUMMYFUNCTION("""COMPUTED_VALUE"""),"Paul James")</f>
        <v>Paul James</v>
      </c>
      <c r="E381" t="str">
        <f>IFERROR(__xludf.DUMMYFUNCTION("""COMPUTED_VALUE"""),"Below Quality Standards- Outdated")</f>
        <v>Below Quality Standards- Outdated</v>
      </c>
      <c r="F381" t="str">
        <f>IFERROR(__xludf.DUMMYFUNCTION("""COMPUTED_VALUE"""),"Marketing")</f>
        <v>Marketing</v>
      </c>
      <c r="G381" t="str">
        <f>IFERROR(__xludf.DUMMYFUNCTION("""COMPUTED_VALUE"""),"Social Media")</f>
        <v>Social Media</v>
      </c>
      <c r="H381">
        <f>IFERROR(__xludf.DUMMYFUNCTION("""COMPUTED_VALUE"""),553346.0)</f>
        <v>553346</v>
      </c>
      <c r="I381" s="140" t="str">
        <f>IFERROR(__xludf.DUMMYFUNCTION("""COMPUTED_VALUE"""),"")</f>
        <v/>
      </c>
      <c r="K381" s="140" t="str">
        <f>IFERROR(__xludf.DUMMYFUNCTION("""COMPUTED_VALUE"""),"")</f>
        <v/>
      </c>
    </row>
    <row r="382">
      <c r="A382" s="143">
        <f>IFERROR(__xludf.DUMMYFUNCTION("""COMPUTED_VALUE"""),43195.0)</f>
        <v>43195</v>
      </c>
      <c r="B382" s="140">
        <f>IFERROR(__xludf.DUMMYFUNCTION("""COMPUTED_VALUE"""),1191002.0)</f>
        <v>1191002</v>
      </c>
      <c r="C382" t="str">
        <f>IFERROR(__xludf.DUMMYFUNCTION("""COMPUTED_VALUE"""),"Learn ETL using SSIS")</f>
        <v>Learn ETL using SSIS</v>
      </c>
      <c r="D382" t="str">
        <f>IFERROR(__xludf.DUMMYFUNCTION("""COMPUTED_VALUE"""),"Rakesh Gopalakrishnan")</f>
        <v>Rakesh Gopalakrishnan</v>
      </c>
      <c r="E382" t="str">
        <f>IFERROR(__xludf.DUMMYFUNCTION("""COMPUTED_VALUE"""),"Instructor Never Opted In")</f>
        <v>Instructor Never Opted In</v>
      </c>
      <c r="F382" t="str">
        <f>IFERROR(__xludf.DUMMYFUNCTION("""COMPUTED_VALUE"""),"IT and Software")</f>
        <v>IT and Software</v>
      </c>
      <c r="G382" t="str">
        <f>IFERROR(__xludf.DUMMYFUNCTION("""COMPUTED_VALUE"""),"Databases")</f>
        <v>Databases</v>
      </c>
      <c r="H382">
        <f>IFERROR(__xludf.DUMMYFUNCTION("""COMPUTED_VALUE"""),905246.0)</f>
        <v>905246</v>
      </c>
      <c r="I382" s="140" t="str">
        <f>IFERROR(__xludf.DUMMYFUNCTION("""COMPUTED_VALUE"""),"")</f>
        <v/>
      </c>
      <c r="K382" s="140" t="str">
        <f>IFERROR(__xludf.DUMMYFUNCTION("""COMPUTED_VALUE"""),"")</f>
        <v/>
      </c>
    </row>
    <row r="383">
      <c r="A383" s="143">
        <f>IFERROR(__xludf.DUMMYFUNCTION("""COMPUTED_VALUE"""),43195.0)</f>
        <v>43195</v>
      </c>
      <c r="B383" s="140">
        <f>IFERROR(__xludf.DUMMYFUNCTION("""COMPUTED_VALUE"""),1553242.0)</f>
        <v>1553242</v>
      </c>
      <c r="C383" t="str">
        <f>IFERROR(__xludf.DUMMYFUNCTION("""COMPUTED_VALUE"""),"Developing Cloud-Native Apps w/ Microservices Architectures")</f>
        <v>Developing Cloud-Native Apps w/ Microservices Architectures</v>
      </c>
      <c r="D383" t="str">
        <f>IFERROR(__xludf.DUMMYFUNCTION("""COMPUTED_VALUE"""),"Red Hat, Inc.")</f>
        <v>Red Hat, Inc.</v>
      </c>
      <c r="E383" t="str">
        <f>IFERROR(__xludf.DUMMYFUNCTION("""COMPUTED_VALUE"""),"Instructor Never Opted In")</f>
        <v>Instructor Never Opted In</v>
      </c>
      <c r="F383" t="str">
        <f>IFERROR(__xludf.DUMMYFUNCTION("""COMPUTED_VALUE"""),"Development")</f>
        <v>Development</v>
      </c>
      <c r="G383" t="str">
        <f>IFERROR(__xludf.DUMMYFUNCTION("""COMPUTED_VALUE"""),"Programming")</f>
        <v>Programming</v>
      </c>
      <c r="H383">
        <f>IFERROR(__xludf.DUMMYFUNCTION("""COMPUTED_VALUE"""),1352468.0)</f>
        <v>1352468</v>
      </c>
      <c r="I383" s="140" t="str">
        <f>IFERROR(__xludf.DUMMYFUNCTION("""COMPUTED_VALUE"""),"")</f>
        <v/>
      </c>
      <c r="K383" s="140" t="str">
        <f>IFERROR(__xludf.DUMMYFUNCTION("""COMPUTED_VALUE"""),"")</f>
        <v/>
      </c>
    </row>
    <row r="384">
      <c r="A384" s="143">
        <f>IFERROR(__xludf.DUMMYFUNCTION("""COMPUTED_VALUE"""),43220.0)</f>
        <v>43220</v>
      </c>
      <c r="B384" s="140">
        <f>IFERROR(__xludf.DUMMYFUNCTION("""COMPUTED_VALUE"""),565228.0)</f>
        <v>565228</v>
      </c>
      <c r="C384" t="str">
        <f>IFERROR(__xludf.DUMMYFUNCTION("""COMPUTED_VALUE"""),"")</f>
        <v/>
      </c>
      <c r="D384" t="str">
        <f>IFERROR(__xludf.DUMMYFUNCTION("""COMPUTED_VALUE"""),"Rob Cubbon")</f>
        <v>Rob Cubbon</v>
      </c>
      <c r="E384" t="str">
        <f>IFERROR(__xludf.DUMMYFUNCTION("""COMPUTED_VALUE"""),"Below Quality Standards")</f>
        <v>Below Quality Standards</v>
      </c>
      <c r="F384" t="str">
        <f>IFERROR(__xludf.DUMMYFUNCTION("""COMPUTED_VALUE"""),"Marketing")</f>
        <v>Marketing</v>
      </c>
      <c r="G384" t="str">
        <f>IFERROR(__xludf.DUMMYFUNCTION("""COMPUTED_VALUE"""),"Content and Email Marketing")</f>
        <v>Content and Email Marketing</v>
      </c>
      <c r="H384">
        <f>IFERROR(__xludf.DUMMYFUNCTION("""COMPUTED_VALUE"""),1312124.0)</f>
        <v>1312124</v>
      </c>
      <c r="I384" s="140" t="str">
        <f>IFERROR(__xludf.DUMMYFUNCTION("""COMPUTED_VALUE"""),"")</f>
        <v/>
      </c>
      <c r="K384" s="140" t="str">
        <f>IFERROR(__xludf.DUMMYFUNCTION("""COMPUTED_VALUE"""),"")</f>
        <v/>
      </c>
    </row>
    <row r="385">
      <c r="A385" s="143">
        <f>IFERROR(__xludf.DUMMYFUNCTION("""COMPUTED_VALUE"""),43220.0)</f>
        <v>43220</v>
      </c>
      <c r="B385" s="140">
        <f>IFERROR(__xludf.DUMMYFUNCTION("""COMPUTED_VALUE"""),450756.0)</f>
        <v>450756</v>
      </c>
      <c r="C385" t="str">
        <f>IFERROR(__xludf.DUMMYFUNCTION("""COMPUTED_VALUE"""),"")</f>
        <v/>
      </c>
      <c r="D385" t="str">
        <f>IFERROR(__xludf.DUMMYFUNCTION("""COMPUTED_VALUE"""),"Sandy Ludosky")</f>
        <v>Sandy Ludosky</v>
      </c>
      <c r="E385" t="str">
        <f>IFERROR(__xludf.DUMMYFUNCTION("""COMPUTED_VALUE"""),"Below Quality Standards")</f>
        <v>Below Quality Standards</v>
      </c>
      <c r="F385" t="str">
        <f>IFERROR(__xludf.DUMMYFUNCTION("""COMPUTED_VALUE"""),"Design")</f>
        <v>Design</v>
      </c>
      <c r="G385" t="str">
        <f>IFERROR(__xludf.DUMMYFUNCTION("""COMPUTED_VALUE"""),"Web Design")</f>
        <v>Web Design</v>
      </c>
      <c r="H385">
        <f>IFERROR(__xludf.DUMMYFUNCTION("""COMPUTED_VALUE"""),1399352.0)</f>
        <v>1399352</v>
      </c>
      <c r="I385" s="140" t="str">
        <f>IFERROR(__xludf.DUMMYFUNCTION("""COMPUTED_VALUE"""),"")</f>
        <v/>
      </c>
      <c r="K385" s="140" t="str">
        <f>IFERROR(__xludf.DUMMYFUNCTION("""COMPUTED_VALUE"""),"")</f>
        <v/>
      </c>
    </row>
    <row r="386">
      <c r="A386" s="143">
        <f>IFERROR(__xludf.DUMMYFUNCTION("""COMPUTED_VALUE"""),43220.0)</f>
        <v>43220</v>
      </c>
      <c r="B386" s="140">
        <f>IFERROR(__xludf.DUMMYFUNCTION("""COMPUTED_VALUE"""),30098.0)</f>
        <v>30098</v>
      </c>
      <c r="C386" t="str">
        <f>IFERROR(__xludf.DUMMYFUNCTION("""COMPUTED_VALUE"""),"")</f>
        <v/>
      </c>
      <c r="D386" t="str">
        <f>IFERROR(__xludf.DUMMYFUNCTION("""COMPUTED_VALUE"""),"Seth Leonard")</f>
        <v>Seth Leonard</v>
      </c>
      <c r="E386" t="str">
        <f>IFERROR(__xludf.DUMMYFUNCTION("""COMPUTED_VALUE"""),"Below Quality Standards- Outdated")</f>
        <v>Below Quality Standards- Outdated</v>
      </c>
      <c r="F386" t="str">
        <f>IFERROR(__xludf.DUMMYFUNCTION("""COMPUTED_VALUE"""),"Marketing")</f>
        <v>Marketing</v>
      </c>
      <c r="G386" t="str">
        <f>IFERROR(__xludf.DUMMYFUNCTION("""COMPUTED_VALUE"""),"Content and Email Marketing")</f>
        <v>Content and Email Marketing</v>
      </c>
      <c r="H386">
        <f>IFERROR(__xludf.DUMMYFUNCTION("""COMPUTED_VALUE"""),573994.0)</f>
        <v>573994</v>
      </c>
      <c r="I386" s="140" t="str">
        <f>IFERROR(__xludf.DUMMYFUNCTION("""COMPUTED_VALUE"""),"")</f>
        <v/>
      </c>
      <c r="K386" s="140" t="str">
        <f>IFERROR(__xludf.DUMMYFUNCTION("""COMPUTED_VALUE"""),"")</f>
        <v/>
      </c>
    </row>
    <row r="387">
      <c r="A387" s="143">
        <f>IFERROR(__xludf.DUMMYFUNCTION("""COMPUTED_VALUE"""),43220.0)</f>
        <v>43220</v>
      </c>
      <c r="B387" s="140">
        <f>IFERROR(__xludf.DUMMYFUNCTION("""COMPUTED_VALUE"""),356782.0)</f>
        <v>356782</v>
      </c>
      <c r="C387" t="str">
        <f>IFERROR(__xludf.DUMMYFUNCTION("""COMPUTED_VALUE"""),"")</f>
        <v/>
      </c>
      <c r="D387" t="str">
        <f>IFERROR(__xludf.DUMMYFUNCTION("""COMPUTED_VALUE"""),"Shane M.")</f>
        <v>Shane M.</v>
      </c>
      <c r="E387" t="str">
        <f>IFERROR(__xludf.DUMMYFUNCTION("""COMPUTED_VALUE"""),"Below Quality Standards")</f>
        <v>Below Quality Standards</v>
      </c>
      <c r="F387" t="str">
        <f>IFERROR(__xludf.DUMMYFUNCTION("""COMPUTED_VALUE"""),"Marketing")</f>
        <v>Marketing</v>
      </c>
      <c r="G387" t="str">
        <f>IFERROR(__xludf.DUMMYFUNCTION("""COMPUTED_VALUE"""),"Content and Email Marketing")</f>
        <v>Content and Email Marketing</v>
      </c>
      <c r="H387">
        <f>IFERROR(__xludf.DUMMYFUNCTION("""COMPUTED_VALUE"""),367778.0)</f>
        <v>367778</v>
      </c>
      <c r="I387" s="140" t="str">
        <f>IFERROR(__xludf.DUMMYFUNCTION("""COMPUTED_VALUE"""),"")</f>
        <v/>
      </c>
      <c r="K387" s="140" t="str">
        <f>IFERROR(__xludf.DUMMYFUNCTION("""COMPUTED_VALUE"""),"")</f>
        <v/>
      </c>
    </row>
    <row r="388">
      <c r="A388" s="143">
        <f>IFERROR(__xludf.DUMMYFUNCTION("""COMPUTED_VALUE"""),43220.0)</f>
        <v>43220</v>
      </c>
      <c r="B388" s="140">
        <f>IFERROR(__xludf.DUMMYFUNCTION("""COMPUTED_VALUE"""),792886.0)</f>
        <v>792886</v>
      </c>
      <c r="C388" t="str">
        <f>IFERROR(__xludf.DUMMYFUNCTION("""COMPUTED_VALUE"""),"")</f>
        <v/>
      </c>
      <c r="D388" t="str">
        <f>IFERROR(__xludf.DUMMYFUNCTION("""COMPUTED_VALUE"""),"Steve Young")</f>
        <v>Steve Young</v>
      </c>
      <c r="E388" t="str">
        <f>IFERROR(__xludf.DUMMYFUNCTION("""COMPUTED_VALUE"""),"Below Quality Standards")</f>
        <v>Below Quality Standards</v>
      </c>
      <c r="F388" t="str">
        <f>IFERROR(__xludf.DUMMYFUNCTION("""COMPUTED_VALUE"""),"Marketing")</f>
        <v>Marketing</v>
      </c>
      <c r="G388" t="str">
        <f>IFERROR(__xludf.DUMMYFUNCTION("""COMPUTED_VALUE"""),"Social Media")</f>
        <v>Social Media</v>
      </c>
      <c r="I388" s="140" t="str">
        <f>IFERROR(__xludf.DUMMYFUNCTION("""COMPUTED_VALUE"""),"")</f>
        <v/>
      </c>
      <c r="K388" s="140" t="str">
        <f>IFERROR(__xludf.DUMMYFUNCTION("""COMPUTED_VALUE"""),"")</f>
        <v/>
      </c>
      <c r="Q388" t="str">
        <f>IFERROR(__xludf.DUMMYFUNCTION("""COMPUTED_VALUE"""),"Low Demand")</f>
        <v>Low Demand</v>
      </c>
    </row>
    <row r="389">
      <c r="A389" s="143">
        <f>IFERROR(__xludf.DUMMYFUNCTION("""COMPUTED_VALUE"""),43220.0)</f>
        <v>43220</v>
      </c>
      <c r="B389" s="140">
        <f>IFERROR(__xludf.DUMMYFUNCTION("""COMPUTED_VALUE"""),212608.0)</f>
        <v>212608</v>
      </c>
      <c r="C389" t="str">
        <f>IFERROR(__xludf.DUMMYFUNCTION("""COMPUTED_VALUE"""),"")</f>
        <v/>
      </c>
      <c r="D389" t="str">
        <f>IFERROR(__xludf.DUMMYFUNCTION("""COMPUTED_VALUE"""),"Steve Young")</f>
        <v>Steve Young</v>
      </c>
      <c r="E389" t="str">
        <f>IFERROR(__xludf.DUMMYFUNCTION("""COMPUTED_VALUE"""),"Below Quality Standards- Outdated")</f>
        <v>Below Quality Standards- Outdated</v>
      </c>
      <c r="F389" t="str">
        <f>IFERROR(__xludf.DUMMYFUNCTION("""COMPUTED_VALUE"""),"Marketing")</f>
        <v>Marketing</v>
      </c>
      <c r="G389" t="str">
        <f>IFERROR(__xludf.DUMMYFUNCTION("""COMPUTED_VALUE"""),"Digital Marketing")</f>
        <v>Digital Marketing</v>
      </c>
      <c r="H389">
        <f>IFERROR(__xludf.DUMMYFUNCTION("""COMPUTED_VALUE"""),1185006.0)</f>
        <v>1185006</v>
      </c>
      <c r="I389" s="140" t="str">
        <f>IFERROR(__xludf.DUMMYFUNCTION("""COMPUTED_VALUE"""),"")</f>
        <v/>
      </c>
      <c r="J389">
        <f>IFERROR(__xludf.DUMMYFUNCTION("""COMPUTED_VALUE"""),1101226.0)</f>
        <v>1101226</v>
      </c>
      <c r="K389" s="140" t="str">
        <f>IFERROR(__xludf.DUMMYFUNCTION("""COMPUTED_VALUE"""),"")</f>
        <v/>
      </c>
    </row>
    <row r="390">
      <c r="A390" s="143">
        <f>IFERROR(__xludf.DUMMYFUNCTION("""COMPUTED_VALUE"""),43220.0)</f>
        <v>43220</v>
      </c>
      <c r="B390" s="140">
        <f>IFERROR(__xludf.DUMMYFUNCTION("""COMPUTED_VALUE"""),412712.0)</f>
        <v>412712</v>
      </c>
      <c r="C390" t="str">
        <f>IFERROR(__xludf.DUMMYFUNCTION("""COMPUTED_VALUE"""),"")</f>
        <v/>
      </c>
      <c r="D390" t="str">
        <f>IFERROR(__xludf.DUMMYFUNCTION("""COMPUTED_VALUE"""),"Steve Young")</f>
        <v>Steve Young</v>
      </c>
      <c r="E390" t="str">
        <f>IFERROR(__xludf.DUMMYFUNCTION("""COMPUTED_VALUE"""),"Below Quality Standards")</f>
        <v>Below Quality Standards</v>
      </c>
      <c r="F390" t="str">
        <f>IFERROR(__xludf.DUMMYFUNCTION("""COMPUTED_VALUE"""),"Marketing")</f>
        <v>Marketing</v>
      </c>
      <c r="G390" t="str">
        <f>IFERROR(__xludf.DUMMYFUNCTION("""COMPUTED_VALUE"""),"Public Relations")</f>
        <v>Public Relations</v>
      </c>
      <c r="H390">
        <f>IFERROR(__xludf.DUMMYFUNCTION("""COMPUTED_VALUE"""),689296.0)</f>
        <v>689296</v>
      </c>
      <c r="I390" s="140" t="str">
        <f>IFERROR(__xludf.DUMMYFUNCTION("""COMPUTED_VALUE"""),"")</f>
        <v/>
      </c>
      <c r="K390" s="140" t="str">
        <f>IFERROR(__xludf.DUMMYFUNCTION("""COMPUTED_VALUE"""),"")</f>
        <v/>
      </c>
    </row>
    <row r="391">
      <c r="A391" s="143">
        <f>IFERROR(__xludf.DUMMYFUNCTION("""COMPUTED_VALUE"""),43220.0)</f>
        <v>43220</v>
      </c>
      <c r="B391" s="140">
        <f>IFERROR(__xludf.DUMMYFUNCTION("""COMPUTED_VALUE"""),591318.0)</f>
        <v>591318</v>
      </c>
      <c r="C391" t="str">
        <f>IFERROR(__xludf.DUMMYFUNCTION("""COMPUTED_VALUE"""),"")</f>
        <v/>
      </c>
      <c r="D391" t="str">
        <f>IFERROR(__xludf.DUMMYFUNCTION("""COMPUTED_VALUE"""),"Steven O'Sullivan")</f>
        <v>Steven O'Sullivan</v>
      </c>
      <c r="E391" t="str">
        <f>IFERROR(__xludf.DUMMYFUNCTION("""COMPUTED_VALUE"""),"Below Quality Standards- Outdated")</f>
        <v>Below Quality Standards- Outdated</v>
      </c>
      <c r="F391" t="str">
        <f>IFERROR(__xludf.DUMMYFUNCTION("""COMPUTED_VALUE"""),"Marketing")</f>
        <v>Marketing</v>
      </c>
      <c r="G391" t="str">
        <f>IFERROR(__xludf.DUMMYFUNCTION("""COMPUTED_VALUE"""),"Content and Email Marketing")</f>
        <v>Content and Email Marketing</v>
      </c>
      <c r="H391">
        <f>IFERROR(__xludf.DUMMYFUNCTION("""COMPUTED_VALUE"""),538062.0)</f>
        <v>538062</v>
      </c>
      <c r="I391" s="140" t="str">
        <f>IFERROR(__xludf.DUMMYFUNCTION("""COMPUTED_VALUE"""),"")</f>
        <v/>
      </c>
      <c r="J391">
        <f>IFERROR(__xludf.DUMMYFUNCTION("""COMPUTED_VALUE"""),904500.0)</f>
        <v>904500</v>
      </c>
      <c r="K391" s="140" t="str">
        <f>IFERROR(__xludf.DUMMYFUNCTION("""COMPUTED_VALUE"""),"")</f>
        <v/>
      </c>
    </row>
    <row r="392">
      <c r="A392" s="143">
        <f>IFERROR(__xludf.DUMMYFUNCTION("""COMPUTED_VALUE"""),43217.0)</f>
        <v>43217</v>
      </c>
      <c r="B392" s="140">
        <f>IFERROR(__xludf.DUMMYFUNCTION("""COMPUTED_VALUE"""),1278916.0)</f>
        <v>1278916</v>
      </c>
      <c r="C392" t="str">
        <f>IFERROR(__xludf.DUMMYFUNCTION("""COMPUTED_VALUE"""),"")</f>
        <v/>
      </c>
      <c r="D392" t="str">
        <f>IFERROR(__xludf.DUMMYFUNCTION("""COMPUTED_VALUE"""),"Time4HANA (T4H)")</f>
        <v>Time4HANA (T4H)</v>
      </c>
      <c r="E392" s="142" t="str">
        <f>IFERROR(__xludf.DUMMYFUNCTION("""COMPUTED_VALUE"""),"Instructor Practices")</f>
        <v>Instructor Practices</v>
      </c>
      <c r="F392" s="142" t="str">
        <f>IFERROR(__xludf.DUMMYFUNCTION("""COMPUTED_VALUE"""),"Project Management and Operations")</f>
        <v>Project Management and Operations</v>
      </c>
      <c r="G392" s="142" t="str">
        <f>IFERROR(__xludf.DUMMYFUNCTION("""COMPUTED_VALUE"""),"Operations Management")</f>
        <v>Operations Management</v>
      </c>
      <c r="I392" s="140" t="str">
        <f>IFERROR(__xludf.DUMMYFUNCTION("""COMPUTED_VALUE"""),"")</f>
        <v/>
      </c>
      <c r="K392" s="140" t="str">
        <f>IFERROR(__xludf.DUMMYFUNCTION("""COMPUTED_VALUE"""),"")</f>
        <v/>
      </c>
      <c r="Q392" t="str">
        <f>IFERROR(__xludf.DUMMYFUNCTION("""COMPUTED_VALUE"""),"Topic on Priority List- 1765834")</f>
        <v>Topic on Priority List- 1765834</v>
      </c>
    </row>
    <row r="393">
      <c r="A393" s="143">
        <f>IFERROR(__xludf.DUMMYFUNCTION("""COMPUTED_VALUE"""),43220.0)</f>
        <v>43220</v>
      </c>
      <c r="B393" s="140">
        <f>IFERROR(__xludf.DUMMYFUNCTION("""COMPUTED_VALUE"""),340888.0)</f>
        <v>340888</v>
      </c>
      <c r="C393" t="str">
        <f>IFERROR(__xludf.DUMMYFUNCTION("""COMPUTED_VALUE"""),"")</f>
        <v/>
      </c>
      <c r="D393" t="str">
        <f>IFERROR(__xludf.DUMMYFUNCTION("""COMPUTED_VALUE"""),"TJ Walker")</f>
        <v>TJ Walker</v>
      </c>
      <c r="E393" t="str">
        <f>IFERROR(__xludf.DUMMYFUNCTION("""COMPUTED_VALUE"""),"Below Quality Standards")</f>
        <v>Below Quality Standards</v>
      </c>
      <c r="F393" t="str">
        <f>IFERROR(__xludf.DUMMYFUNCTION("""COMPUTED_VALUE"""),"Marketing")</f>
        <v>Marketing</v>
      </c>
      <c r="G393" t="str">
        <f>IFERROR(__xludf.DUMMYFUNCTION("""COMPUTED_VALUE"""),"Public Relations")</f>
        <v>Public Relations</v>
      </c>
      <c r="H393">
        <f>IFERROR(__xludf.DUMMYFUNCTION("""COMPUTED_VALUE"""),142350.0)</f>
        <v>142350</v>
      </c>
      <c r="I393" s="140" t="str">
        <f>IFERROR(__xludf.DUMMYFUNCTION("""COMPUTED_VALUE"""),"")</f>
        <v/>
      </c>
      <c r="J393">
        <f>IFERROR(__xludf.DUMMYFUNCTION("""COMPUTED_VALUE"""),1295292.0)</f>
        <v>1295292</v>
      </c>
      <c r="K393" s="140" t="str">
        <f>IFERROR(__xludf.DUMMYFUNCTION("""COMPUTED_VALUE"""),"")</f>
        <v/>
      </c>
    </row>
    <row r="394">
      <c r="A394" s="143">
        <f>IFERROR(__xludf.DUMMYFUNCTION("""COMPUTED_VALUE"""),43220.0)</f>
        <v>43220</v>
      </c>
      <c r="B394" s="140">
        <f>IFERROR(__xludf.DUMMYFUNCTION("""COMPUTED_VALUE"""),363322.0)</f>
        <v>363322</v>
      </c>
      <c r="C394" t="str">
        <f>IFERROR(__xludf.DUMMYFUNCTION("""COMPUTED_VALUE"""),"")</f>
        <v/>
      </c>
      <c r="D394" t="str">
        <f>IFERROR(__xludf.DUMMYFUNCTION("""COMPUTED_VALUE"""),"TJ Walker")</f>
        <v>TJ Walker</v>
      </c>
      <c r="E394" t="str">
        <f>IFERROR(__xludf.DUMMYFUNCTION("""COMPUTED_VALUE"""),"Below Quality Standards")</f>
        <v>Below Quality Standards</v>
      </c>
      <c r="F394" t="str">
        <f>IFERROR(__xludf.DUMMYFUNCTION("""COMPUTED_VALUE"""),"Marketing")</f>
        <v>Marketing</v>
      </c>
      <c r="G394" t="str">
        <f>IFERROR(__xludf.DUMMYFUNCTION("""COMPUTED_VALUE"""),"Public Relations")</f>
        <v>Public Relations</v>
      </c>
      <c r="H394">
        <f>IFERROR(__xludf.DUMMYFUNCTION("""COMPUTED_VALUE"""),142350.0)</f>
        <v>142350</v>
      </c>
      <c r="I394" s="140" t="str">
        <f>IFERROR(__xludf.DUMMYFUNCTION("""COMPUTED_VALUE"""),"")</f>
        <v/>
      </c>
      <c r="J394">
        <f>IFERROR(__xludf.DUMMYFUNCTION("""COMPUTED_VALUE"""),1295292.0)</f>
        <v>1295292</v>
      </c>
      <c r="K394" s="140" t="str">
        <f>IFERROR(__xludf.DUMMYFUNCTION("""COMPUTED_VALUE"""),"")</f>
        <v/>
      </c>
    </row>
    <row r="395">
      <c r="A395" s="143">
        <f>IFERROR(__xludf.DUMMYFUNCTION("""COMPUTED_VALUE"""),43220.0)</f>
        <v>43220</v>
      </c>
      <c r="B395" s="140">
        <f>IFERROR(__xludf.DUMMYFUNCTION("""COMPUTED_VALUE"""),303898.0)</f>
        <v>303898</v>
      </c>
      <c r="C395" t="str">
        <f>IFERROR(__xludf.DUMMYFUNCTION("""COMPUTED_VALUE"""),"")</f>
        <v/>
      </c>
      <c r="D395" t="str">
        <f>IFERROR(__xludf.DUMMYFUNCTION("""COMPUTED_VALUE"""),"TJ Walker")</f>
        <v>TJ Walker</v>
      </c>
      <c r="E395" t="str">
        <f>IFERROR(__xludf.DUMMYFUNCTION("""COMPUTED_VALUE"""),"Below Quality Standards")</f>
        <v>Below Quality Standards</v>
      </c>
      <c r="F395" t="str">
        <f>IFERROR(__xludf.DUMMYFUNCTION("""COMPUTED_VALUE"""),"Marketing")</f>
        <v>Marketing</v>
      </c>
      <c r="G395" t="str">
        <f>IFERROR(__xludf.DUMMYFUNCTION("""COMPUTED_VALUE"""),"Public Relations")</f>
        <v>Public Relations</v>
      </c>
      <c r="H395">
        <f>IFERROR(__xludf.DUMMYFUNCTION("""COMPUTED_VALUE"""),142350.0)</f>
        <v>142350</v>
      </c>
      <c r="I395" s="140" t="str">
        <f>IFERROR(__xludf.DUMMYFUNCTION("""COMPUTED_VALUE"""),"")</f>
        <v/>
      </c>
      <c r="J395">
        <f>IFERROR(__xludf.DUMMYFUNCTION("""COMPUTED_VALUE"""),1295292.0)</f>
        <v>1295292</v>
      </c>
      <c r="K395" s="140" t="str">
        <f>IFERROR(__xludf.DUMMYFUNCTION("""COMPUTED_VALUE"""),"")</f>
        <v/>
      </c>
    </row>
    <row r="396">
      <c r="A396" s="143">
        <f>IFERROR(__xludf.DUMMYFUNCTION("""COMPUTED_VALUE"""),43220.0)</f>
        <v>43220</v>
      </c>
      <c r="B396" s="140">
        <f>IFERROR(__xludf.DUMMYFUNCTION("""COMPUTED_VALUE"""),363112.0)</f>
        <v>363112</v>
      </c>
      <c r="C396" t="str">
        <f>IFERROR(__xludf.DUMMYFUNCTION("""COMPUTED_VALUE"""),"")</f>
        <v/>
      </c>
      <c r="D396" t="str">
        <f>IFERROR(__xludf.DUMMYFUNCTION("""COMPUTED_VALUE"""),"TJ Walker")</f>
        <v>TJ Walker</v>
      </c>
      <c r="E396" t="str">
        <f>IFERROR(__xludf.DUMMYFUNCTION("""COMPUTED_VALUE"""),"Below Quality Standards")</f>
        <v>Below Quality Standards</v>
      </c>
      <c r="F396" t="str">
        <f>IFERROR(__xludf.DUMMYFUNCTION("""COMPUTED_VALUE"""),"Marketing")</f>
        <v>Marketing</v>
      </c>
      <c r="G396" t="str">
        <f>IFERROR(__xludf.DUMMYFUNCTION("""COMPUTED_VALUE"""),"Paid Advertising")</f>
        <v>Paid Advertising</v>
      </c>
      <c r="H396">
        <f>IFERROR(__xludf.DUMMYFUNCTION("""COMPUTED_VALUE"""),417820.0)</f>
        <v>417820</v>
      </c>
      <c r="I396" s="140" t="str">
        <f>IFERROR(__xludf.DUMMYFUNCTION("""COMPUTED_VALUE"""),"")</f>
        <v/>
      </c>
      <c r="J396">
        <f>IFERROR(__xludf.DUMMYFUNCTION("""COMPUTED_VALUE"""),466216.0)</f>
        <v>466216</v>
      </c>
      <c r="K396" s="140" t="str">
        <f>IFERROR(__xludf.DUMMYFUNCTION("""COMPUTED_VALUE"""),"")</f>
        <v/>
      </c>
    </row>
    <row r="397">
      <c r="A397" s="143">
        <f>IFERROR(__xludf.DUMMYFUNCTION("""COMPUTED_VALUE"""),43220.0)</f>
        <v>43220</v>
      </c>
      <c r="B397" s="140">
        <f>IFERROR(__xludf.DUMMYFUNCTION("""COMPUTED_VALUE"""),299152.0)</f>
        <v>299152</v>
      </c>
      <c r="C397" t="str">
        <f>IFERROR(__xludf.DUMMYFUNCTION("""COMPUTED_VALUE"""),"")</f>
        <v/>
      </c>
      <c r="D397" t="str">
        <f>IFERROR(__xludf.DUMMYFUNCTION("""COMPUTED_VALUE"""),"TJ Walker")</f>
        <v>TJ Walker</v>
      </c>
      <c r="E397" t="str">
        <f>IFERROR(__xludf.DUMMYFUNCTION("""COMPUTED_VALUE"""),"Below Quality Standards")</f>
        <v>Below Quality Standards</v>
      </c>
      <c r="F397" t="str">
        <f>IFERROR(__xludf.DUMMYFUNCTION("""COMPUTED_VALUE"""),"Marketing")</f>
        <v>Marketing</v>
      </c>
      <c r="G397" t="str">
        <f>IFERROR(__xludf.DUMMYFUNCTION("""COMPUTED_VALUE"""),"Public Relations")</f>
        <v>Public Relations</v>
      </c>
      <c r="H397">
        <f>IFERROR(__xludf.DUMMYFUNCTION("""COMPUTED_VALUE"""),689296.0)</f>
        <v>689296</v>
      </c>
      <c r="I397" s="140" t="str">
        <f>IFERROR(__xludf.DUMMYFUNCTION("""COMPUTED_VALUE"""),"")</f>
        <v/>
      </c>
      <c r="K397" s="140" t="str">
        <f>IFERROR(__xludf.DUMMYFUNCTION("""COMPUTED_VALUE"""),"")</f>
        <v/>
      </c>
    </row>
    <row r="398">
      <c r="A398" s="143">
        <f>IFERROR(__xludf.DUMMYFUNCTION("""COMPUTED_VALUE"""),43220.0)</f>
        <v>43220</v>
      </c>
      <c r="B398" s="140">
        <f>IFERROR(__xludf.DUMMYFUNCTION("""COMPUTED_VALUE"""),306394.0)</f>
        <v>306394</v>
      </c>
      <c r="C398" t="str">
        <f>IFERROR(__xludf.DUMMYFUNCTION("""COMPUTED_VALUE"""),"")</f>
        <v/>
      </c>
      <c r="D398" t="str">
        <f>IFERROR(__xludf.DUMMYFUNCTION("""COMPUTED_VALUE"""),"TJ Walker")</f>
        <v>TJ Walker</v>
      </c>
      <c r="E398" t="str">
        <f>IFERROR(__xludf.DUMMYFUNCTION("""COMPUTED_VALUE"""),"Below Quality Standards")</f>
        <v>Below Quality Standards</v>
      </c>
      <c r="F398" t="str">
        <f>IFERROR(__xludf.DUMMYFUNCTION("""COMPUTED_VALUE"""),"Marketing")</f>
        <v>Marketing</v>
      </c>
      <c r="G398" t="str">
        <f>IFERROR(__xludf.DUMMYFUNCTION("""COMPUTED_VALUE"""),"Public Relations")</f>
        <v>Public Relations</v>
      </c>
      <c r="H398">
        <f>IFERROR(__xludf.DUMMYFUNCTION("""COMPUTED_VALUE"""),142350.0)</f>
        <v>142350</v>
      </c>
      <c r="I398" s="140" t="str">
        <f>IFERROR(__xludf.DUMMYFUNCTION("""COMPUTED_VALUE"""),"")</f>
        <v/>
      </c>
      <c r="J398">
        <f>IFERROR(__xludf.DUMMYFUNCTION("""COMPUTED_VALUE"""),1295292.0)</f>
        <v>1295292</v>
      </c>
      <c r="K398" s="140" t="str">
        <f>IFERROR(__xludf.DUMMYFUNCTION("""COMPUTED_VALUE"""),"")</f>
        <v/>
      </c>
    </row>
    <row r="399">
      <c r="A399" s="143">
        <f>IFERROR(__xludf.DUMMYFUNCTION("""COMPUTED_VALUE"""),43220.0)</f>
        <v>43220</v>
      </c>
      <c r="B399" s="140">
        <f>IFERROR(__xludf.DUMMYFUNCTION("""COMPUTED_VALUE"""),283944.0)</f>
        <v>283944</v>
      </c>
      <c r="C399" t="str">
        <f>IFERROR(__xludf.DUMMYFUNCTION("""COMPUTED_VALUE"""),"")</f>
        <v/>
      </c>
      <c r="D399" t="str">
        <f>IFERROR(__xludf.DUMMYFUNCTION("""COMPUTED_VALUE"""),"TJ Walker")</f>
        <v>TJ Walker</v>
      </c>
      <c r="E399" t="str">
        <f>IFERROR(__xludf.DUMMYFUNCTION("""COMPUTED_VALUE"""),"Below Quality Standards- Outdated")</f>
        <v>Below Quality Standards- Outdated</v>
      </c>
      <c r="F399" t="str">
        <f>IFERROR(__xludf.DUMMYFUNCTION("""COMPUTED_VALUE"""),"Marketing")</f>
        <v>Marketing</v>
      </c>
      <c r="G399" t="str">
        <f>IFERROR(__xludf.DUMMYFUNCTION("""COMPUTED_VALUE"""),"Social Media")</f>
        <v>Social Media</v>
      </c>
      <c r="H399">
        <f>IFERROR(__xludf.DUMMYFUNCTION("""COMPUTED_VALUE"""),934032.0)</f>
        <v>934032</v>
      </c>
      <c r="I399" s="140" t="str">
        <f>IFERROR(__xludf.DUMMYFUNCTION("""COMPUTED_VALUE"""),"")</f>
        <v/>
      </c>
      <c r="K399" s="140" t="str">
        <f>IFERROR(__xludf.DUMMYFUNCTION("""COMPUTED_VALUE"""),"")</f>
        <v/>
      </c>
    </row>
    <row r="400">
      <c r="A400" s="143">
        <f>IFERROR(__xludf.DUMMYFUNCTION("""COMPUTED_VALUE"""),43220.0)</f>
        <v>43220</v>
      </c>
      <c r="B400" s="140">
        <f>IFERROR(__xludf.DUMMYFUNCTION("""COMPUTED_VALUE"""),306398.0)</f>
        <v>306398</v>
      </c>
      <c r="C400" t="str">
        <f>IFERROR(__xludf.DUMMYFUNCTION("""COMPUTED_VALUE"""),"")</f>
        <v/>
      </c>
      <c r="D400" t="str">
        <f>IFERROR(__xludf.DUMMYFUNCTION("""COMPUTED_VALUE"""),"TJ Walker")</f>
        <v>TJ Walker</v>
      </c>
      <c r="E400" t="str">
        <f>IFERROR(__xludf.DUMMYFUNCTION("""COMPUTED_VALUE"""),"Below Quality Standards")</f>
        <v>Below Quality Standards</v>
      </c>
      <c r="F400" t="str">
        <f>IFERROR(__xludf.DUMMYFUNCTION("""COMPUTED_VALUE"""),"Marketing")</f>
        <v>Marketing</v>
      </c>
      <c r="G400" t="str">
        <f>IFERROR(__xludf.DUMMYFUNCTION("""COMPUTED_VALUE"""),"Public Relations")</f>
        <v>Public Relations</v>
      </c>
      <c r="H400">
        <f>IFERROR(__xludf.DUMMYFUNCTION("""COMPUTED_VALUE"""),142350.0)</f>
        <v>142350</v>
      </c>
      <c r="I400" s="140" t="str">
        <f>IFERROR(__xludf.DUMMYFUNCTION("""COMPUTED_VALUE"""),"")</f>
        <v/>
      </c>
      <c r="J400">
        <f>IFERROR(__xludf.DUMMYFUNCTION("""COMPUTED_VALUE"""),1295292.0)</f>
        <v>1295292</v>
      </c>
      <c r="K400" s="140" t="str">
        <f>IFERROR(__xludf.DUMMYFUNCTION("""COMPUTED_VALUE"""),"")</f>
        <v/>
      </c>
    </row>
    <row r="401">
      <c r="A401" s="143">
        <f>IFERROR(__xludf.DUMMYFUNCTION("""COMPUTED_VALUE"""),43220.0)</f>
        <v>43220</v>
      </c>
      <c r="B401" s="140">
        <f>IFERROR(__xludf.DUMMYFUNCTION("""COMPUTED_VALUE"""),338678.0)</f>
        <v>338678</v>
      </c>
      <c r="C401" t="str">
        <f>IFERROR(__xludf.DUMMYFUNCTION("""COMPUTED_VALUE"""),"")</f>
        <v/>
      </c>
      <c r="D401" t="str">
        <f>IFERROR(__xludf.DUMMYFUNCTION("""COMPUTED_VALUE"""),"TJ Walker")</f>
        <v>TJ Walker</v>
      </c>
      <c r="E401" t="str">
        <f>IFERROR(__xludf.DUMMYFUNCTION("""COMPUTED_VALUE"""),"Below Quality Standards")</f>
        <v>Below Quality Standards</v>
      </c>
      <c r="F401" t="str">
        <f>IFERROR(__xludf.DUMMYFUNCTION("""COMPUTED_VALUE"""),"Marketing")</f>
        <v>Marketing</v>
      </c>
      <c r="G401" t="str">
        <f>IFERROR(__xludf.DUMMYFUNCTION("""COMPUTED_VALUE"""),"Public Relations")</f>
        <v>Public Relations</v>
      </c>
      <c r="H401">
        <f>IFERROR(__xludf.DUMMYFUNCTION("""COMPUTED_VALUE"""),689296.0)</f>
        <v>689296</v>
      </c>
      <c r="I401" s="140" t="str">
        <f>IFERROR(__xludf.DUMMYFUNCTION("""COMPUTED_VALUE"""),"")</f>
        <v/>
      </c>
      <c r="K401" s="140" t="str">
        <f>IFERROR(__xludf.DUMMYFUNCTION("""COMPUTED_VALUE"""),"")</f>
        <v/>
      </c>
    </row>
    <row r="402">
      <c r="A402" s="143">
        <f>IFERROR(__xludf.DUMMYFUNCTION("""COMPUTED_VALUE"""),43220.0)</f>
        <v>43220</v>
      </c>
      <c r="B402" s="140">
        <f>IFERROR(__xludf.DUMMYFUNCTION("""COMPUTED_VALUE"""),303084.0)</f>
        <v>303084</v>
      </c>
      <c r="C402" t="str">
        <f>IFERROR(__xludf.DUMMYFUNCTION("""COMPUTED_VALUE"""),"")</f>
        <v/>
      </c>
      <c r="D402" t="str">
        <f>IFERROR(__xludf.DUMMYFUNCTION("""COMPUTED_VALUE"""),"TJ Walker")</f>
        <v>TJ Walker</v>
      </c>
      <c r="E402" t="str">
        <f>IFERROR(__xludf.DUMMYFUNCTION("""COMPUTED_VALUE"""),"Below Quality Standards")</f>
        <v>Below Quality Standards</v>
      </c>
      <c r="F402" t="str">
        <f>IFERROR(__xludf.DUMMYFUNCTION("""COMPUTED_VALUE"""),"Marketing")</f>
        <v>Marketing</v>
      </c>
      <c r="G402" t="str">
        <f>IFERROR(__xludf.DUMMYFUNCTION("""COMPUTED_VALUE"""),"Public Relations")</f>
        <v>Public Relations</v>
      </c>
      <c r="H402">
        <f>IFERROR(__xludf.DUMMYFUNCTION("""COMPUTED_VALUE"""),142350.0)</f>
        <v>142350</v>
      </c>
      <c r="I402" s="140" t="str">
        <f>IFERROR(__xludf.DUMMYFUNCTION("""COMPUTED_VALUE"""),"")</f>
        <v/>
      </c>
      <c r="J402">
        <f>IFERROR(__xludf.DUMMYFUNCTION("""COMPUTED_VALUE"""),1295292.0)</f>
        <v>1295292</v>
      </c>
      <c r="K402" s="140" t="str">
        <f>IFERROR(__xludf.DUMMYFUNCTION("""COMPUTED_VALUE"""),"")</f>
        <v/>
      </c>
    </row>
    <row r="403">
      <c r="A403" s="143">
        <f>IFERROR(__xludf.DUMMYFUNCTION("""COMPUTED_VALUE"""),43220.0)</f>
        <v>43220</v>
      </c>
      <c r="B403" s="140">
        <f>IFERROR(__xludf.DUMMYFUNCTION("""COMPUTED_VALUE"""),275410.0)</f>
        <v>275410</v>
      </c>
      <c r="C403" t="str">
        <f>IFERROR(__xludf.DUMMYFUNCTION("""COMPUTED_VALUE"""),"")</f>
        <v/>
      </c>
      <c r="D403" t="str">
        <f>IFERROR(__xludf.DUMMYFUNCTION("""COMPUTED_VALUE"""),"TJ Walker")</f>
        <v>TJ Walker</v>
      </c>
      <c r="E403" t="str">
        <f>IFERROR(__xludf.DUMMYFUNCTION("""COMPUTED_VALUE"""),"Below Quality Standards")</f>
        <v>Below Quality Standards</v>
      </c>
      <c r="F403" t="str">
        <f>IFERROR(__xludf.DUMMYFUNCTION("""COMPUTED_VALUE"""),"Marketing")</f>
        <v>Marketing</v>
      </c>
      <c r="G403" t="str">
        <f>IFERROR(__xludf.DUMMYFUNCTION("""COMPUTED_VALUE"""),"Public Relations")</f>
        <v>Public Relations</v>
      </c>
      <c r="H403">
        <f>IFERROR(__xludf.DUMMYFUNCTION("""COMPUTED_VALUE"""),142350.0)</f>
        <v>142350</v>
      </c>
      <c r="I403" s="140" t="str">
        <f>IFERROR(__xludf.DUMMYFUNCTION("""COMPUTED_VALUE"""),"")</f>
        <v/>
      </c>
      <c r="J403">
        <f>IFERROR(__xludf.DUMMYFUNCTION("""COMPUTED_VALUE"""),1295292.0)</f>
        <v>1295292</v>
      </c>
      <c r="K403" s="140" t="str">
        <f>IFERROR(__xludf.DUMMYFUNCTION("""COMPUTED_VALUE"""),"")</f>
        <v/>
      </c>
    </row>
    <row r="404">
      <c r="A404" s="143">
        <f>IFERROR(__xludf.DUMMYFUNCTION("""COMPUTED_VALUE"""),43220.0)</f>
        <v>43220</v>
      </c>
      <c r="B404" s="140">
        <f>IFERROR(__xludf.DUMMYFUNCTION("""COMPUTED_VALUE"""),342332.0)</f>
        <v>342332</v>
      </c>
      <c r="C404" t="str">
        <f>IFERROR(__xludf.DUMMYFUNCTION("""COMPUTED_VALUE"""),"")</f>
        <v/>
      </c>
      <c r="D404" t="str">
        <f>IFERROR(__xludf.DUMMYFUNCTION("""COMPUTED_VALUE"""),"TJ Walker")</f>
        <v>TJ Walker</v>
      </c>
      <c r="E404" t="str">
        <f>IFERROR(__xludf.DUMMYFUNCTION("""COMPUTED_VALUE"""),"Below Quality Standards")</f>
        <v>Below Quality Standards</v>
      </c>
      <c r="F404" t="str">
        <f>IFERROR(__xludf.DUMMYFUNCTION("""COMPUTED_VALUE"""),"Marketing")</f>
        <v>Marketing</v>
      </c>
      <c r="G404" t="str">
        <f>IFERROR(__xludf.DUMMYFUNCTION("""COMPUTED_VALUE"""),"Public Relations")</f>
        <v>Public Relations</v>
      </c>
      <c r="H404">
        <f>IFERROR(__xludf.DUMMYFUNCTION("""COMPUTED_VALUE"""),689296.0)</f>
        <v>689296</v>
      </c>
      <c r="I404" s="140" t="str">
        <f>IFERROR(__xludf.DUMMYFUNCTION("""COMPUTED_VALUE"""),"")</f>
        <v/>
      </c>
      <c r="K404" s="140" t="str">
        <f>IFERROR(__xludf.DUMMYFUNCTION("""COMPUTED_VALUE"""),"")</f>
        <v/>
      </c>
    </row>
    <row r="405">
      <c r="A405" s="143">
        <f>IFERROR(__xludf.DUMMYFUNCTION("""COMPUTED_VALUE"""),43220.0)</f>
        <v>43220</v>
      </c>
      <c r="B405" s="140">
        <f>IFERROR(__xludf.DUMMYFUNCTION("""COMPUTED_VALUE"""),351072.0)</f>
        <v>351072</v>
      </c>
      <c r="C405" t="str">
        <f>IFERROR(__xludf.DUMMYFUNCTION("""COMPUTED_VALUE"""),"")</f>
        <v/>
      </c>
      <c r="D405" t="str">
        <f>IFERROR(__xludf.DUMMYFUNCTION("""COMPUTED_VALUE"""),"TJ Walker")</f>
        <v>TJ Walker</v>
      </c>
      <c r="E405" t="str">
        <f>IFERROR(__xludf.DUMMYFUNCTION("""COMPUTED_VALUE"""),"Below Quality Standards")</f>
        <v>Below Quality Standards</v>
      </c>
      <c r="F405" t="str">
        <f>IFERROR(__xludf.DUMMYFUNCTION("""COMPUTED_VALUE"""),"Marketing")</f>
        <v>Marketing</v>
      </c>
      <c r="G405" t="str">
        <f>IFERROR(__xludf.DUMMYFUNCTION("""COMPUTED_VALUE"""),"Public Relations")</f>
        <v>Public Relations</v>
      </c>
      <c r="H405">
        <f>IFERROR(__xludf.DUMMYFUNCTION("""COMPUTED_VALUE"""),142350.0)</f>
        <v>142350</v>
      </c>
      <c r="I405" s="140" t="str">
        <f>IFERROR(__xludf.DUMMYFUNCTION("""COMPUTED_VALUE"""),"")</f>
        <v/>
      </c>
      <c r="J405">
        <f>IFERROR(__xludf.DUMMYFUNCTION("""COMPUTED_VALUE"""),1295292.0)</f>
        <v>1295292</v>
      </c>
      <c r="K405" s="140" t="str">
        <f>IFERROR(__xludf.DUMMYFUNCTION("""COMPUTED_VALUE"""),"")</f>
        <v/>
      </c>
    </row>
    <row r="406">
      <c r="A406" s="143">
        <f>IFERROR(__xludf.DUMMYFUNCTION("""COMPUTED_VALUE"""),43220.0)</f>
        <v>43220</v>
      </c>
      <c r="B406" s="140">
        <f>IFERROR(__xludf.DUMMYFUNCTION("""COMPUTED_VALUE"""),363098.0)</f>
        <v>363098</v>
      </c>
      <c r="C406" t="str">
        <f>IFERROR(__xludf.DUMMYFUNCTION("""COMPUTED_VALUE"""),"")</f>
        <v/>
      </c>
      <c r="D406" t="str">
        <f>IFERROR(__xludf.DUMMYFUNCTION("""COMPUTED_VALUE"""),"TJ Walker")</f>
        <v>TJ Walker</v>
      </c>
      <c r="E406" t="str">
        <f>IFERROR(__xludf.DUMMYFUNCTION("""COMPUTED_VALUE"""),"Below Quality Standards")</f>
        <v>Below Quality Standards</v>
      </c>
      <c r="F406" t="str">
        <f>IFERROR(__xludf.DUMMYFUNCTION("""COMPUTED_VALUE"""),"Marketing")</f>
        <v>Marketing</v>
      </c>
      <c r="G406" t="str">
        <f>IFERROR(__xludf.DUMMYFUNCTION("""COMPUTED_VALUE"""),"Public Relations")</f>
        <v>Public Relations</v>
      </c>
      <c r="H406">
        <f>IFERROR(__xludf.DUMMYFUNCTION("""COMPUTED_VALUE"""),285332.0)</f>
        <v>285332</v>
      </c>
      <c r="I406" s="140" t="str">
        <f>IFERROR(__xludf.DUMMYFUNCTION("""COMPUTED_VALUE"""),"")</f>
        <v/>
      </c>
      <c r="K406" s="140" t="str">
        <f>IFERROR(__xludf.DUMMYFUNCTION("""COMPUTED_VALUE"""),"")</f>
        <v/>
      </c>
    </row>
    <row r="407">
      <c r="A407" s="143">
        <f>IFERROR(__xludf.DUMMYFUNCTION("""COMPUTED_VALUE"""),43220.0)</f>
        <v>43220</v>
      </c>
      <c r="B407" s="140">
        <f>IFERROR(__xludf.DUMMYFUNCTION("""COMPUTED_VALUE"""),600810.0)</f>
        <v>600810</v>
      </c>
      <c r="C407" t="str">
        <f>IFERROR(__xludf.DUMMYFUNCTION("""COMPUTED_VALUE"""),"")</f>
        <v/>
      </c>
      <c r="D407" t="str">
        <f>IFERROR(__xludf.DUMMYFUNCTION("""COMPUTED_VALUE"""),"Tricia Belmonte")</f>
        <v>Tricia Belmonte</v>
      </c>
      <c r="E407" t="str">
        <f>IFERROR(__xludf.DUMMYFUNCTION("""COMPUTED_VALUE"""),"Below Quality Standards")</f>
        <v>Below Quality Standards</v>
      </c>
      <c r="F407" t="str">
        <f>IFERROR(__xludf.DUMMYFUNCTION("""COMPUTED_VALUE"""),"Marketing")</f>
        <v>Marketing</v>
      </c>
      <c r="G407" t="str">
        <f>IFERROR(__xludf.DUMMYFUNCTION("""COMPUTED_VALUE"""),"Digital Marketing")</f>
        <v>Digital Marketing</v>
      </c>
      <c r="H407">
        <f>IFERROR(__xludf.DUMMYFUNCTION("""COMPUTED_VALUE"""),365176.0)</f>
        <v>365176</v>
      </c>
      <c r="I407" s="140" t="str">
        <f>IFERROR(__xludf.DUMMYFUNCTION("""COMPUTED_VALUE"""),"")</f>
        <v/>
      </c>
      <c r="J407">
        <f>IFERROR(__xludf.DUMMYFUNCTION("""COMPUTED_VALUE"""),521574.0)</f>
        <v>521574</v>
      </c>
      <c r="K407" s="140" t="str">
        <f>IFERROR(__xludf.DUMMYFUNCTION("""COMPUTED_VALUE"""),"")</f>
        <v/>
      </c>
    </row>
    <row r="408">
      <c r="A408" s="143">
        <f>IFERROR(__xludf.DUMMYFUNCTION("""COMPUTED_VALUE"""),43220.0)</f>
        <v>43220</v>
      </c>
      <c r="B408" s="140">
        <f>IFERROR(__xludf.DUMMYFUNCTION("""COMPUTED_VALUE"""),444718.0)</f>
        <v>444718</v>
      </c>
      <c r="C408" t="str">
        <f>IFERROR(__xludf.DUMMYFUNCTION("""COMPUTED_VALUE"""),"")</f>
        <v/>
      </c>
      <c r="D408" t="str">
        <f>IFERROR(__xludf.DUMMYFUNCTION("""COMPUTED_VALUE"""),"Uri Soglowek")</f>
        <v>Uri Soglowek</v>
      </c>
      <c r="E408" t="str">
        <f>IFERROR(__xludf.DUMMYFUNCTION("""COMPUTED_VALUE"""),"Below Quality Standards- Outdated")</f>
        <v>Below Quality Standards- Outdated</v>
      </c>
      <c r="F408" t="str">
        <f>IFERROR(__xludf.DUMMYFUNCTION("""COMPUTED_VALUE"""),"Marketing")</f>
        <v>Marketing</v>
      </c>
      <c r="G408" t="str">
        <f>IFERROR(__xludf.DUMMYFUNCTION("""COMPUTED_VALUE"""),"Content and Email Marketing")</f>
        <v>Content and Email Marketing</v>
      </c>
      <c r="H408">
        <f>IFERROR(__xludf.DUMMYFUNCTION("""COMPUTED_VALUE"""),778548.0)</f>
        <v>778548</v>
      </c>
      <c r="I408" s="140" t="str">
        <f>IFERROR(__xludf.DUMMYFUNCTION("""COMPUTED_VALUE"""),"")</f>
        <v/>
      </c>
      <c r="J408">
        <f>IFERROR(__xludf.DUMMYFUNCTION("""COMPUTED_VALUE"""),968472.0)</f>
        <v>968472</v>
      </c>
      <c r="K408" s="140" t="str">
        <f>IFERROR(__xludf.DUMMYFUNCTION("""COMPUTED_VALUE"""),"")</f>
        <v/>
      </c>
    </row>
    <row r="409">
      <c r="A409" s="143">
        <f>IFERROR(__xludf.DUMMYFUNCTION("""COMPUTED_VALUE"""),43220.0)</f>
        <v>43220</v>
      </c>
      <c r="B409" s="140">
        <f>IFERROR(__xludf.DUMMYFUNCTION("""COMPUTED_VALUE"""),552354.0)</f>
        <v>552354</v>
      </c>
      <c r="C409" t="str">
        <f>IFERROR(__xludf.DUMMYFUNCTION("""COMPUTED_VALUE"""),"")</f>
        <v/>
      </c>
      <c r="D409" t="str">
        <f>IFERROR(__xludf.DUMMYFUNCTION("""COMPUTED_VALUE"""),"Vladimir Raykov")</f>
        <v>Vladimir Raykov</v>
      </c>
      <c r="E409" t="str">
        <f>IFERROR(__xludf.DUMMYFUNCTION("""COMPUTED_VALUE"""),"Below Quality Standards")</f>
        <v>Below Quality Standards</v>
      </c>
      <c r="F409" t="str">
        <f>IFERROR(__xludf.DUMMYFUNCTION("""COMPUTED_VALUE"""),"Marketing")</f>
        <v>Marketing</v>
      </c>
      <c r="G409" t="str">
        <f>IFERROR(__xludf.DUMMYFUNCTION("""COMPUTED_VALUE"""),"Marketing Strategy")</f>
        <v>Marketing Strategy</v>
      </c>
      <c r="H409">
        <f>IFERROR(__xludf.DUMMYFUNCTION("""COMPUTED_VALUE"""),1312124.0)</f>
        <v>1312124</v>
      </c>
      <c r="I409" s="140" t="str">
        <f>IFERROR(__xludf.DUMMYFUNCTION("""COMPUTED_VALUE"""),"")</f>
        <v/>
      </c>
      <c r="K409" s="140" t="str">
        <f>IFERROR(__xludf.DUMMYFUNCTION("""COMPUTED_VALUE"""),"")</f>
        <v/>
      </c>
    </row>
    <row r="410">
      <c r="A410" s="143">
        <f>IFERROR(__xludf.DUMMYFUNCTION("""COMPUTED_VALUE"""),43189.0)</f>
        <v>43189</v>
      </c>
      <c r="B410" s="140">
        <f>IFERROR(__xludf.DUMMYFUNCTION("""COMPUTED_VALUE"""),642940.0)</f>
        <v>642940</v>
      </c>
      <c r="C410" t="str">
        <f>IFERROR(__xludf.DUMMYFUNCTION("""COMPUTED_VALUE"""),"Build A YouTube Downloader With C# And GitHub")</f>
        <v>Build A YouTube Downloader With C# And GitHub</v>
      </c>
      <c r="D410" t="str">
        <f>IFERROR(__xludf.DUMMYFUNCTION("""COMPUTED_VALUE"""),"Tom O.")</f>
        <v>Tom O.</v>
      </c>
      <c r="E410" t="str">
        <f>IFERROR(__xludf.DUMMYFUNCTION("""COMPUTED_VALUE"""),"Instructor Request- No Detail")</f>
        <v>Instructor Request- No Detail</v>
      </c>
      <c r="F410" t="str">
        <f>IFERROR(__xludf.DUMMYFUNCTION("""COMPUTED_VALUE"""),"Development")</f>
        <v>Development</v>
      </c>
      <c r="G410" t="str">
        <f>IFERROR(__xludf.DUMMYFUNCTION("""COMPUTED_VALUE"""),"Web Development")</f>
        <v>Web Development</v>
      </c>
      <c r="H410">
        <f>IFERROR(__xludf.DUMMYFUNCTION("""COMPUTED_VALUE"""),383576.0)</f>
        <v>383576</v>
      </c>
      <c r="I410" s="140" t="str">
        <f>IFERROR(__xludf.DUMMYFUNCTION("""COMPUTED_VALUE"""),"")</f>
        <v/>
      </c>
      <c r="K410" s="140" t="str">
        <f>IFERROR(__xludf.DUMMYFUNCTION("""COMPUTED_VALUE"""),"")</f>
        <v/>
      </c>
    </row>
    <row r="411">
      <c r="A411" s="143">
        <f>IFERROR(__xludf.DUMMYFUNCTION("""COMPUTED_VALUE"""),43189.0)</f>
        <v>43189</v>
      </c>
      <c r="B411" s="140">
        <f>IFERROR(__xludf.DUMMYFUNCTION("""COMPUTED_VALUE"""),258316.0)</f>
        <v>258316</v>
      </c>
      <c r="C411" t="str">
        <f>IFERROR(__xludf.DUMMYFUNCTION("""COMPUTED_VALUE"""),"Learn to Code by Making Games - Complete C# Unity Developer")</f>
        <v>Learn to Code by Making Games - Complete C# Unity Developer</v>
      </c>
      <c r="D411" t="str">
        <f>IFERROR(__xludf.DUMMYFUNCTION("""COMPUTED_VALUE"""),"Ben Tristem")</f>
        <v>Ben Tristem</v>
      </c>
      <c r="E411" t="str">
        <f>IFERROR(__xludf.DUMMYFUNCTION("""COMPUTED_VALUE"""),"Instructor Request")</f>
        <v>Instructor Request</v>
      </c>
      <c r="F411" t="str">
        <f>IFERROR(__xludf.DUMMYFUNCTION("""COMPUTED_VALUE"""),"Development")</f>
        <v>Development</v>
      </c>
      <c r="G411" t="str">
        <f>IFERROR(__xludf.DUMMYFUNCTION("""COMPUTED_VALUE"""),"Mobile Development")</f>
        <v>Mobile Development</v>
      </c>
      <c r="H411">
        <f>IFERROR(__xludf.DUMMYFUNCTION("""COMPUTED_VALUE"""),1178124.0)</f>
        <v>1178124</v>
      </c>
      <c r="I411" s="140" t="str">
        <f>IFERROR(__xludf.DUMMYFUNCTION("""COMPUTED_VALUE"""),"")</f>
        <v/>
      </c>
      <c r="K411" s="140" t="str">
        <f>IFERROR(__xludf.DUMMYFUNCTION("""COMPUTED_VALUE"""),"")</f>
        <v/>
      </c>
    </row>
    <row r="412">
      <c r="A412" s="143">
        <f>IFERROR(__xludf.DUMMYFUNCTION("""COMPUTED_VALUE"""),43189.0)</f>
        <v>43189</v>
      </c>
      <c r="B412" s="140">
        <f>IFERROR(__xludf.DUMMYFUNCTION("""COMPUTED_VALUE"""),1126848.0)</f>
        <v>1126848</v>
      </c>
      <c r="C412" t="str">
        <f>IFERROR(__xludf.DUMMYFUNCTION("""COMPUTED_VALUE"""),"Oracle GoldenGate 12c Fundamentals")</f>
        <v>Oracle GoldenGate 12c Fundamentals</v>
      </c>
      <c r="D412" t="str">
        <f>IFERROR(__xludf.DUMMYFUNCTION("""COMPUTED_VALUE"""),"Ahmed Baraka")</f>
        <v>Ahmed Baraka</v>
      </c>
      <c r="E412" t="str">
        <f>IFERROR(__xludf.DUMMYFUNCTION("""COMPUTED_VALUE"""),"Instructor Request")</f>
        <v>Instructor Request</v>
      </c>
      <c r="F412" t="str">
        <f>IFERROR(__xludf.DUMMYFUNCTION("""COMPUTED_VALUE"""),"IT and Software")</f>
        <v>IT and Software</v>
      </c>
      <c r="G412" t="str">
        <f>IFERROR(__xludf.DUMMYFUNCTION("""COMPUTED_VALUE"""),"Databases")</f>
        <v>Databases</v>
      </c>
      <c r="H412">
        <f>IFERROR(__xludf.DUMMYFUNCTION("""COMPUTED_VALUE"""),1171870.0)</f>
        <v>1171870</v>
      </c>
      <c r="I412" s="140" t="str">
        <f>IFERROR(__xludf.DUMMYFUNCTION("""COMPUTED_VALUE"""),"")</f>
        <v/>
      </c>
      <c r="K412" s="140" t="str">
        <f>IFERROR(__xludf.DUMMYFUNCTION("""COMPUTED_VALUE"""),"")</f>
        <v/>
      </c>
    </row>
    <row r="413">
      <c r="A413" s="143">
        <f>IFERROR(__xludf.DUMMYFUNCTION("""COMPUTED_VALUE"""),43189.0)</f>
        <v>43189</v>
      </c>
      <c r="B413" s="140">
        <f>IFERROR(__xludf.DUMMYFUNCTION("""COMPUTED_VALUE"""),696044.0)</f>
        <v>696044</v>
      </c>
      <c r="C413" t="str">
        <f>IFERROR(__xludf.DUMMYFUNCTION("""COMPUTED_VALUE"""),"Learn Python 3 from scratch to become a developer in demand")</f>
        <v>Learn Python 3 from scratch to become a developer in demand</v>
      </c>
      <c r="D413" t="str">
        <f>IFERROR(__xludf.DUMMYFUNCTION("""COMPUTED_VALUE"""),"Lets Kode It")</f>
        <v>Lets Kode It</v>
      </c>
      <c r="E413" t="str">
        <f>IFERROR(__xludf.DUMMYFUNCTION("""COMPUTED_VALUE"""),"Instructor Practices")</f>
        <v>Instructor Practices</v>
      </c>
      <c r="F413" t="str">
        <f>IFERROR(__xludf.DUMMYFUNCTION("""COMPUTED_VALUE"""),"Development")</f>
        <v>Development</v>
      </c>
      <c r="G413" t="str">
        <f>IFERROR(__xludf.DUMMYFUNCTION("""COMPUTED_VALUE"""),"Web Development")</f>
        <v>Web Development</v>
      </c>
      <c r="H413">
        <f>IFERROR(__xludf.DUMMYFUNCTION("""COMPUTED_VALUE"""),629302.0)</f>
        <v>629302</v>
      </c>
      <c r="I413" s="140" t="str">
        <f>IFERROR(__xludf.DUMMYFUNCTION("""COMPUTED_VALUE"""),"")</f>
        <v/>
      </c>
      <c r="K413" s="140" t="str">
        <f>IFERROR(__xludf.DUMMYFUNCTION("""COMPUTED_VALUE"""),"")</f>
        <v/>
      </c>
    </row>
    <row r="414">
      <c r="A414" s="143">
        <f>IFERROR(__xludf.DUMMYFUNCTION("""COMPUTED_VALUE"""),43189.0)</f>
        <v>43189</v>
      </c>
      <c r="B414" s="140">
        <f>IFERROR(__xludf.DUMMYFUNCTION("""COMPUTED_VALUE"""),721764.0)</f>
        <v>721764</v>
      </c>
      <c r="C414" t="str">
        <f>IFERROR(__xludf.DUMMYFUNCTION("""COMPUTED_VALUE"""),"Oracle 12c Data Guard Administration")</f>
        <v>Oracle 12c Data Guard Administration</v>
      </c>
      <c r="D414" t="str">
        <f>IFERROR(__xludf.DUMMYFUNCTION("""COMPUTED_VALUE"""),"Ahmed Baraka")</f>
        <v>Ahmed Baraka</v>
      </c>
      <c r="E414" t="str">
        <f>IFERROR(__xludf.DUMMYFUNCTION("""COMPUTED_VALUE"""),"Instructor Request")</f>
        <v>Instructor Request</v>
      </c>
      <c r="F414" t="str">
        <f>IFERROR(__xludf.DUMMYFUNCTION("""COMPUTED_VALUE"""),"IT and Software")</f>
        <v>IT and Software</v>
      </c>
      <c r="G414" t="str">
        <f>IFERROR(__xludf.DUMMYFUNCTION("""COMPUTED_VALUE"""),"Databases")</f>
        <v>Databases</v>
      </c>
      <c r="I414" s="140" t="str">
        <f>IFERROR(__xludf.DUMMYFUNCTION("""COMPUTED_VALUE"""),"")</f>
        <v/>
      </c>
      <c r="K414" s="140" t="str">
        <f>IFERROR(__xludf.DUMMYFUNCTION("""COMPUTED_VALUE"""),"")</f>
        <v/>
      </c>
      <c r="Q414" t="str">
        <f>IFERROR(__xludf.DUMMYFUNCTION("""COMPUTED_VALUE"""),"Topic on Priority List- 1130042")</f>
        <v>Topic on Priority List- 1130042</v>
      </c>
    </row>
    <row r="415">
      <c r="A415" s="143">
        <f>IFERROR(__xludf.DUMMYFUNCTION("""COMPUTED_VALUE"""),43189.0)</f>
        <v>43189</v>
      </c>
      <c r="B415" s="140">
        <f>IFERROR(__xludf.DUMMYFUNCTION("""COMPUTED_VALUE"""),246652.0)</f>
        <v>246652</v>
      </c>
      <c r="C415" t="str">
        <f>IFERROR(__xludf.DUMMYFUNCTION("""COMPUTED_VALUE"""),"Selenium WebDriver With Java - Novice To Ninja + Interview")</f>
        <v>Selenium WebDriver With Java - Novice To Ninja + Interview</v>
      </c>
      <c r="D415" t="str">
        <f>IFERROR(__xludf.DUMMYFUNCTION("""COMPUTED_VALUE"""),"Lets Kode It")</f>
        <v>Lets Kode It</v>
      </c>
      <c r="E415" t="str">
        <f>IFERROR(__xludf.DUMMYFUNCTION("""COMPUTED_VALUE"""),"Instructor Practices")</f>
        <v>Instructor Practices</v>
      </c>
      <c r="F415" t="str">
        <f>IFERROR(__xludf.DUMMYFUNCTION("""COMPUTED_VALUE"""),"Development")</f>
        <v>Development</v>
      </c>
      <c r="G415" t="str">
        <f>IFERROR(__xludf.DUMMYFUNCTION("""COMPUTED_VALUE"""),"Development Tools")</f>
        <v>Development Tools</v>
      </c>
      <c r="H415">
        <f>IFERROR(__xludf.DUMMYFUNCTION("""COMPUTED_VALUE"""),53670.0)</f>
        <v>53670</v>
      </c>
      <c r="I415" s="140" t="str">
        <f>IFERROR(__xludf.DUMMYFUNCTION("""COMPUTED_VALUE"""),"")</f>
        <v/>
      </c>
      <c r="K415" s="140" t="str">
        <f>IFERROR(__xludf.DUMMYFUNCTION("""COMPUTED_VALUE"""),"")</f>
        <v/>
      </c>
    </row>
    <row r="416">
      <c r="A416" s="143">
        <f>IFERROR(__xludf.DUMMYFUNCTION("""COMPUTED_VALUE"""),43189.0)</f>
        <v>43189</v>
      </c>
      <c r="B416" s="140">
        <f>IFERROR(__xludf.DUMMYFUNCTION("""COMPUTED_VALUE"""),696050.0)</f>
        <v>696050</v>
      </c>
      <c r="C416" t="str">
        <f>IFERROR(__xludf.DUMMYFUNCTION("""COMPUTED_VALUE"""),"Selenium WebDriver With Python 3.x - Novice To Ninja")</f>
        <v>Selenium WebDriver With Python 3.x - Novice To Ninja</v>
      </c>
      <c r="D416" t="str">
        <f>IFERROR(__xludf.DUMMYFUNCTION("""COMPUTED_VALUE"""),"Lets Kode It")</f>
        <v>Lets Kode It</v>
      </c>
      <c r="E416" t="str">
        <f>IFERROR(__xludf.DUMMYFUNCTION("""COMPUTED_VALUE"""),"Instructor Practices")</f>
        <v>Instructor Practices</v>
      </c>
      <c r="F416" t="str">
        <f>IFERROR(__xludf.DUMMYFUNCTION("""COMPUTED_VALUE"""),"Development")</f>
        <v>Development</v>
      </c>
      <c r="G416" t="str">
        <f>IFERROR(__xludf.DUMMYFUNCTION("""COMPUTED_VALUE"""),"Development Tools")</f>
        <v>Development Tools</v>
      </c>
      <c r="H416">
        <f>IFERROR(__xludf.DUMMYFUNCTION("""COMPUTED_VALUE"""),1343662.0)</f>
        <v>1343662</v>
      </c>
      <c r="I416" s="140" t="str">
        <f>IFERROR(__xludf.DUMMYFUNCTION("""COMPUTED_VALUE"""),"")</f>
        <v/>
      </c>
      <c r="J416">
        <f>IFERROR(__xludf.DUMMYFUNCTION("""COMPUTED_VALUE"""),541692.0)</f>
        <v>541692</v>
      </c>
      <c r="K416" s="140" t="str">
        <f>IFERROR(__xludf.DUMMYFUNCTION("""COMPUTED_VALUE"""),"")</f>
        <v/>
      </c>
    </row>
    <row r="417">
      <c r="A417" s="143">
        <f>IFERROR(__xludf.DUMMYFUNCTION("""COMPUTED_VALUE"""),43189.0)</f>
        <v>43189</v>
      </c>
      <c r="B417" s="140">
        <f>IFERROR(__xludf.DUMMYFUNCTION("""COMPUTED_VALUE"""),1224872.0)</f>
        <v>1224872</v>
      </c>
      <c r="C417" t="str">
        <f>IFERROR(__xludf.DUMMYFUNCTION("""COMPUTED_VALUE"""),"TestNG Complete Bootcamp For Beginners - Novice To Ninja")</f>
        <v>TestNG Complete Bootcamp For Beginners - Novice To Ninja</v>
      </c>
      <c r="D417" t="str">
        <f>IFERROR(__xludf.DUMMYFUNCTION("""COMPUTED_VALUE"""),"Lets Kode It")</f>
        <v>Lets Kode It</v>
      </c>
      <c r="E417" t="str">
        <f>IFERROR(__xludf.DUMMYFUNCTION("""COMPUTED_VALUE"""),"Instructor Practices")</f>
        <v>Instructor Practices</v>
      </c>
      <c r="F417" t="str">
        <f>IFERROR(__xludf.DUMMYFUNCTION("""COMPUTED_VALUE"""),"Development")</f>
        <v>Development</v>
      </c>
      <c r="G417" t="str">
        <f>IFERROR(__xludf.DUMMYFUNCTION("""COMPUTED_VALUE"""),"Development Tools")</f>
        <v>Development Tools</v>
      </c>
      <c r="I417" s="140" t="str">
        <f>IFERROR(__xludf.DUMMYFUNCTION("""COMPUTED_VALUE"""),"")</f>
        <v/>
      </c>
      <c r="K417" s="140" t="str">
        <f>IFERROR(__xludf.DUMMYFUNCTION("""COMPUTED_VALUE"""),"")</f>
        <v/>
      </c>
      <c r="Q417" t="str">
        <f>IFERROR(__xludf.DUMMYFUNCTION("""COMPUTED_VALUE"""),"Topic on Priority List- 1172181")</f>
        <v>Topic on Priority List- 1172181</v>
      </c>
    </row>
    <row r="418">
      <c r="A418" s="143">
        <f>IFERROR(__xludf.DUMMYFUNCTION("""COMPUTED_VALUE"""),43189.0)</f>
        <v>43189</v>
      </c>
      <c r="B418" s="140">
        <f>IFERROR(__xludf.DUMMYFUNCTION("""COMPUTED_VALUE"""),1323780.0)</f>
        <v>1323780</v>
      </c>
      <c r="C418" t="str">
        <f>IFERROR(__xludf.DUMMYFUNCTION("""COMPUTED_VALUE"""),"Rest API Automation With Rest Assured - Novice To Ninja")</f>
        <v>Rest API Automation With Rest Assured - Novice To Ninja</v>
      </c>
      <c r="D418" t="str">
        <f>IFERROR(__xludf.DUMMYFUNCTION("""COMPUTED_VALUE"""),"Lets Kode It")</f>
        <v>Lets Kode It</v>
      </c>
      <c r="E418" t="str">
        <f>IFERROR(__xludf.DUMMYFUNCTION("""COMPUTED_VALUE"""),"Instructor Practices")</f>
        <v>Instructor Practices</v>
      </c>
      <c r="F418" t="str">
        <f>IFERROR(__xludf.DUMMYFUNCTION("""COMPUTED_VALUE"""),"Development")</f>
        <v>Development</v>
      </c>
      <c r="G418" t="str">
        <f>IFERROR(__xludf.DUMMYFUNCTION("""COMPUTED_VALUE"""),"Development Tools")</f>
        <v>Development Tools</v>
      </c>
      <c r="H418">
        <f>IFERROR(__xludf.DUMMYFUNCTION("""COMPUTED_VALUE"""),694982.0)</f>
        <v>694982</v>
      </c>
      <c r="I418" s="140" t="str">
        <f>IFERROR(__xludf.DUMMYFUNCTION("""COMPUTED_VALUE"""),"")</f>
        <v/>
      </c>
      <c r="K418" s="140" t="str">
        <f>IFERROR(__xludf.DUMMYFUNCTION("""COMPUTED_VALUE"""),"")</f>
        <v/>
      </c>
    </row>
    <row r="419">
      <c r="A419" s="143">
        <f>IFERROR(__xludf.DUMMYFUNCTION("""COMPUTED_VALUE"""),43189.0)</f>
        <v>43189</v>
      </c>
      <c r="B419" s="140">
        <f>IFERROR(__xludf.DUMMYFUNCTION("""COMPUTED_VALUE"""),1279386.0)</f>
        <v>1279386</v>
      </c>
      <c r="C419" t="str">
        <f>IFERROR(__xludf.DUMMYFUNCTION("""COMPUTED_VALUE"""),"Build Your Own MBA - An award winning mini-MBA course")</f>
        <v>Build Your Own MBA - An award winning mini-MBA course</v>
      </c>
      <c r="D419" t="str">
        <f>IFERROR(__xludf.DUMMYFUNCTION("""COMPUTED_VALUE"""),"Rupert Vernalls, MBA, International Speaker, Silicon Valley Lawyer, Lectured at US Dept of Commerce")</f>
        <v>Rupert Vernalls, MBA, International Speaker, Silicon Valley Lawyer, Lectured at US Dept of Commerce</v>
      </c>
      <c r="E419" t="str">
        <f>IFERROR(__xludf.DUMMYFUNCTION("""COMPUTED_VALUE"""),"Instructor Request")</f>
        <v>Instructor Request</v>
      </c>
      <c r="F419" t="str">
        <f>IFERROR(__xludf.DUMMYFUNCTION("""COMPUTED_VALUE"""),"Management")</f>
        <v>Management</v>
      </c>
      <c r="G419" t="str">
        <f>IFERROR(__xludf.DUMMYFUNCTION("""COMPUTED_VALUE"""),"Strategy")</f>
        <v>Strategy</v>
      </c>
      <c r="H419">
        <f>IFERROR(__xludf.DUMMYFUNCTION("""COMPUTED_VALUE"""),637930.0)</f>
        <v>637930</v>
      </c>
      <c r="I419" s="140" t="str">
        <f>IFERROR(__xludf.DUMMYFUNCTION("""COMPUTED_VALUE"""),"")</f>
        <v/>
      </c>
      <c r="K419" s="140" t="str">
        <f>IFERROR(__xludf.DUMMYFUNCTION("""COMPUTED_VALUE"""),"")</f>
        <v/>
      </c>
    </row>
    <row r="420">
      <c r="A420" s="143">
        <f>IFERROR(__xludf.DUMMYFUNCTION("""COMPUTED_VALUE"""),43189.0)</f>
        <v>43189</v>
      </c>
      <c r="B420" s="140">
        <f>IFERROR(__xludf.DUMMYFUNCTION("""COMPUTED_VALUE"""),495678.0)</f>
        <v>495678</v>
      </c>
      <c r="C420" t="str">
        <f>IFERROR(__xludf.DUMMYFUNCTION("""COMPUTED_VALUE"""),"JavaScript for beginners - A Complete Guide")</f>
        <v>JavaScript for beginners - A Complete Guide</v>
      </c>
      <c r="D420" t="str">
        <f>IFERROR(__xludf.DUMMYFUNCTION("""COMPUTED_VALUE"""),"Lets Kode It")</f>
        <v>Lets Kode It</v>
      </c>
      <c r="E420" t="str">
        <f>IFERROR(__xludf.DUMMYFUNCTION("""COMPUTED_VALUE"""),"Instructor Practices")</f>
        <v>Instructor Practices</v>
      </c>
      <c r="F420" t="str">
        <f>IFERROR(__xludf.DUMMYFUNCTION("""COMPUTED_VALUE"""),"Development")</f>
        <v>Development</v>
      </c>
      <c r="G420" t="str">
        <f>IFERROR(__xludf.DUMMYFUNCTION("""COMPUTED_VALUE"""),"Web Development")</f>
        <v>Web Development</v>
      </c>
      <c r="H420">
        <f>IFERROR(__xludf.DUMMYFUNCTION("""COMPUTED_VALUE"""),851712.0)</f>
        <v>851712</v>
      </c>
      <c r="I420" s="140" t="str">
        <f>IFERROR(__xludf.DUMMYFUNCTION("""COMPUTED_VALUE"""),"")</f>
        <v/>
      </c>
      <c r="K420" s="140" t="str">
        <f>IFERROR(__xludf.DUMMYFUNCTION("""COMPUTED_VALUE"""),"")</f>
        <v/>
      </c>
    </row>
    <row r="421">
      <c r="A421" s="143">
        <f>IFERROR(__xludf.DUMMYFUNCTION("""COMPUTED_VALUE"""),43189.0)</f>
        <v>43189</v>
      </c>
      <c r="B421" s="140">
        <f>IFERROR(__xludf.DUMMYFUNCTION("""COMPUTED_VALUE"""),1274174.0)</f>
        <v>1274174</v>
      </c>
      <c r="C421" t="str">
        <f>IFERROR(__xludf.DUMMYFUNCTION("""COMPUTED_VALUE"""),"Sales Objection Jiu-jitsu")</f>
        <v>Sales Objection Jiu-jitsu</v>
      </c>
      <c r="D421" t="str">
        <f>IFERROR(__xludf.DUMMYFUNCTION("""COMPUTED_VALUE"""),"Illumeo Learning")</f>
        <v>Illumeo Learning</v>
      </c>
      <c r="E421" t="str">
        <f>IFERROR(__xludf.DUMMYFUNCTION("""COMPUTED_VALUE"""),"Instructor Request")</f>
        <v>Instructor Request</v>
      </c>
      <c r="F421" t="str">
        <f>IFERROR(__xludf.DUMMYFUNCTION("""COMPUTED_VALUE"""),"Sales")</f>
        <v>Sales</v>
      </c>
      <c r="G421" t="str">
        <f>IFERROR(__xludf.DUMMYFUNCTION("""COMPUTED_VALUE"""),"Sales Skills")</f>
        <v>Sales Skills</v>
      </c>
      <c r="H421">
        <f>IFERROR(__xludf.DUMMYFUNCTION("""COMPUTED_VALUE"""),1347836.0)</f>
        <v>1347836</v>
      </c>
      <c r="I421" s="140" t="str">
        <f>IFERROR(__xludf.DUMMYFUNCTION("""COMPUTED_VALUE"""),"")</f>
        <v/>
      </c>
      <c r="K421" s="140" t="str">
        <f>IFERROR(__xludf.DUMMYFUNCTION("""COMPUTED_VALUE"""),"")</f>
        <v/>
      </c>
    </row>
    <row r="422">
      <c r="A422" s="143">
        <f>IFERROR(__xludf.DUMMYFUNCTION("""COMPUTED_VALUE"""),43185.0)</f>
        <v>43185</v>
      </c>
      <c r="B422" s="140">
        <f>IFERROR(__xludf.DUMMYFUNCTION("""COMPUTED_VALUE"""),945478.0)</f>
        <v>945478</v>
      </c>
      <c r="C422" t="str">
        <f>IFERROR(__xludf.DUMMYFUNCTION("""COMPUTED_VALUE"""),"Udemy for Business Presents: Best of Web Development")</f>
        <v>Udemy for Business Presents: Best of Web Development</v>
      </c>
      <c r="D422" t="str">
        <f>IFERROR(__xludf.DUMMYFUNCTION("""COMPUTED_VALUE"""),"Udemy for Business")</f>
        <v>Udemy for Business</v>
      </c>
      <c r="E422" t="str">
        <f>IFERROR(__xludf.DUMMYFUNCTION("""COMPUTED_VALUE"""),"Below Quality Standards")</f>
        <v>Below Quality Standards</v>
      </c>
      <c r="F422" s="142" t="str">
        <f>IFERROR(__xludf.DUMMYFUNCTION("""COMPUTED_VALUE"""),"Development")</f>
        <v>Development</v>
      </c>
      <c r="G422" s="142" t="str">
        <f>IFERROR(__xludf.DUMMYFUNCTION("""COMPUTED_VALUE"""),"Web Development")</f>
        <v>Web Development</v>
      </c>
      <c r="H422">
        <f>IFERROR(__xludf.DUMMYFUNCTION("""COMPUTED_VALUE"""),625204.0)</f>
        <v>625204</v>
      </c>
      <c r="I422" s="140" t="str">
        <f>IFERROR(__xludf.DUMMYFUNCTION("""COMPUTED_VALUE"""),"")</f>
        <v/>
      </c>
      <c r="K422" s="140" t="str">
        <f>IFERROR(__xludf.DUMMYFUNCTION("""COMPUTED_VALUE"""),"")</f>
        <v/>
      </c>
    </row>
    <row r="423">
      <c r="A423" s="143">
        <f>IFERROR(__xludf.DUMMYFUNCTION("""COMPUTED_VALUE"""),43185.0)</f>
        <v>43185</v>
      </c>
      <c r="B423" s="140">
        <f>IFERROR(__xludf.DUMMYFUNCTION("""COMPUTED_VALUE"""),945476.0)</f>
        <v>945476</v>
      </c>
      <c r="C423" t="str">
        <f>IFERROR(__xludf.DUMMYFUNCTION("""COMPUTED_VALUE"""),"Udemy for Business Presents: Best of IT and Software")</f>
        <v>Udemy for Business Presents: Best of IT and Software</v>
      </c>
      <c r="D423" t="str">
        <f>IFERROR(__xludf.DUMMYFUNCTION("""COMPUTED_VALUE"""),"Udemy for Business")</f>
        <v>Udemy for Business</v>
      </c>
      <c r="E423" t="str">
        <f>IFERROR(__xludf.DUMMYFUNCTION("""COMPUTED_VALUE"""),"Below Quality Standards")</f>
        <v>Below Quality Standards</v>
      </c>
      <c r="F423" s="142" t="str">
        <f>IFERROR(__xludf.DUMMYFUNCTION("""COMPUTED_VALUE"""),"IT and Software")</f>
        <v>IT and Software</v>
      </c>
      <c r="G423" s="142" t="str">
        <f>IFERROR(__xludf.DUMMYFUNCTION("""COMPUTED_VALUE"""),"IT Certifications")</f>
        <v>IT Certifications</v>
      </c>
      <c r="H423">
        <f>IFERROR(__xludf.DUMMYFUNCTION("""COMPUTED_VALUE"""),362328.0)</f>
        <v>362328</v>
      </c>
      <c r="I423" s="140" t="str">
        <f>IFERROR(__xludf.DUMMYFUNCTION("""COMPUTED_VALUE"""),"")</f>
        <v/>
      </c>
      <c r="K423" s="140" t="str">
        <f>IFERROR(__xludf.DUMMYFUNCTION("""COMPUTED_VALUE"""),"")</f>
        <v/>
      </c>
      <c r="M423" s="142" t="str">
        <f>IFERROR(__xludf.DUMMYFUNCTION("""COMPUTED_VALUE"""),"IT and Software")</f>
        <v>IT and Software</v>
      </c>
      <c r="N423" s="142" t="str">
        <f>IFERROR(__xludf.DUMMYFUNCTION("""COMPUTED_VALUE"""),"Operating Systems and Servers")</f>
        <v>Operating Systems and Servers</v>
      </c>
      <c r="O423" s="142" t="str">
        <f>IFERROR(__xludf.DUMMYFUNCTION("""COMPUTED_VALUE"""),"IT and Software")</f>
        <v>IT and Software</v>
      </c>
      <c r="P423" s="142" t="str">
        <f>IFERROR(__xludf.DUMMYFUNCTION("""COMPUTED_VALUE"""),"Network and Security")</f>
        <v>Network and Security</v>
      </c>
    </row>
    <row r="424">
      <c r="A424" s="143">
        <f>IFERROR(__xludf.DUMMYFUNCTION("""COMPUTED_VALUE"""),43185.0)</f>
        <v>43185</v>
      </c>
      <c r="B424" s="140">
        <f>IFERROR(__xludf.DUMMYFUNCTION("""COMPUTED_VALUE"""),945472.0)</f>
        <v>945472</v>
      </c>
      <c r="C424" t="str">
        <f>IFERROR(__xludf.DUMMYFUNCTION("""COMPUTED_VALUE"""),"Udemy for Business Presents: Best of Data Science")</f>
        <v>Udemy for Business Presents: Best of Data Science</v>
      </c>
      <c r="D424" t="str">
        <f>IFERROR(__xludf.DUMMYFUNCTION("""COMPUTED_VALUE"""),"Udemy for Business")</f>
        <v>Udemy for Business</v>
      </c>
      <c r="E424" t="str">
        <f>IFERROR(__xludf.DUMMYFUNCTION("""COMPUTED_VALUE"""),"Below Quality Standards")</f>
        <v>Below Quality Standards</v>
      </c>
      <c r="F424" s="142" t="str">
        <f>IFERROR(__xludf.DUMMYFUNCTION("""COMPUTED_VALUE"""),"Data Science")</f>
        <v>Data Science</v>
      </c>
      <c r="G424" s="142" t="str">
        <f>IFERROR(__xludf.DUMMYFUNCTION("""COMPUTED_VALUE"""),"Analytics")</f>
        <v>Analytics</v>
      </c>
      <c r="H424">
        <f>IFERROR(__xludf.DUMMYFUNCTION("""COMPUTED_VALUE"""),513244.0)</f>
        <v>513244</v>
      </c>
      <c r="I424" s="140" t="str">
        <f>IFERROR(__xludf.DUMMYFUNCTION("""COMPUTED_VALUE"""),"")</f>
        <v/>
      </c>
      <c r="K424" s="140" t="str">
        <f>IFERROR(__xludf.DUMMYFUNCTION("""COMPUTED_VALUE"""),"")</f>
        <v/>
      </c>
      <c r="M424" s="142" t="str">
        <f>IFERROR(__xludf.DUMMYFUNCTION("""COMPUTED_VALUE"""),"Data Science")</f>
        <v>Data Science</v>
      </c>
      <c r="N424" s="142" t="str">
        <f>IFERROR(__xludf.DUMMYFUNCTION("""COMPUTED_VALUE"""),"Big Data")</f>
        <v>Big Data</v>
      </c>
    </row>
    <row r="425">
      <c r="A425" s="143">
        <f>IFERROR(__xludf.DUMMYFUNCTION("""COMPUTED_VALUE"""),43185.0)</f>
        <v>43185</v>
      </c>
      <c r="B425" s="140">
        <f>IFERROR(__xludf.DUMMYFUNCTION("""COMPUTED_VALUE"""),909394.0)</f>
        <v>909394</v>
      </c>
      <c r="C425" t="str">
        <f>IFERROR(__xludf.DUMMYFUNCTION("""COMPUTED_VALUE"""),"Udemy for Business Presents: Best of Leadership")</f>
        <v>Udemy for Business Presents: Best of Leadership</v>
      </c>
      <c r="D425" t="str">
        <f>IFERROR(__xludf.DUMMYFUNCTION("""COMPUTED_VALUE"""),"Udemy for Business")</f>
        <v>Udemy for Business</v>
      </c>
      <c r="E425" t="str">
        <f>IFERROR(__xludf.DUMMYFUNCTION("""COMPUTED_VALUE"""),"Below Quality Standards")</f>
        <v>Below Quality Standards</v>
      </c>
      <c r="F425" s="142" t="str">
        <f>IFERROR(__xludf.DUMMYFUNCTION("""COMPUTED_VALUE"""),"Management")</f>
        <v>Management</v>
      </c>
      <c r="G425" s="142" t="str">
        <f>IFERROR(__xludf.DUMMYFUNCTION("""COMPUTED_VALUE"""),"Communication")</f>
        <v>Communication</v>
      </c>
      <c r="H425">
        <f>IFERROR(__xludf.DUMMYFUNCTION("""COMPUTED_VALUE"""),751602.0)</f>
        <v>751602</v>
      </c>
      <c r="I425" s="140" t="str">
        <f>IFERROR(__xludf.DUMMYFUNCTION("""COMPUTED_VALUE"""),"")</f>
        <v/>
      </c>
      <c r="K425" s="140" t="str">
        <f>IFERROR(__xludf.DUMMYFUNCTION("""COMPUTED_VALUE"""),"")</f>
        <v/>
      </c>
      <c r="M425" s="142" t="str">
        <f>IFERROR(__xludf.DUMMYFUNCTION("""COMPUTED_VALUE"""),"Management")</f>
        <v>Management</v>
      </c>
      <c r="N425" s="142" t="str">
        <f>IFERROR(__xludf.DUMMYFUNCTION("""COMPUTED_VALUE"""),"Influence")</f>
        <v>Influence</v>
      </c>
      <c r="O425" s="142" t="str">
        <f>IFERROR(__xludf.DUMMYFUNCTION("""COMPUTED_VALUE"""),"Management")</f>
        <v>Management</v>
      </c>
      <c r="P425" s="142" t="str">
        <f>IFERROR(__xludf.DUMMYFUNCTION("""COMPUTED_VALUE"""),"Leadership")</f>
        <v>Leadership</v>
      </c>
    </row>
    <row r="426">
      <c r="A426" s="141">
        <f>IFERROR(__xludf.DUMMYFUNCTION("""COMPUTED_VALUE"""),43171.0)</f>
        <v>43171</v>
      </c>
      <c r="B426" s="140">
        <f>IFERROR(__xludf.DUMMYFUNCTION("""COMPUTED_VALUE"""),1506414.0)</f>
        <v>1506414</v>
      </c>
      <c r="C426" t="str">
        <f>IFERROR(__xludf.DUMMYFUNCTION("""COMPUTED_VALUE"""),"Management Consulting Project Foundations")</f>
        <v>Management Consulting Project Foundations</v>
      </c>
      <c r="D426" t="str">
        <f>IFERROR(__xludf.DUMMYFUNCTION("""COMPUTED_VALUE"""),"Tom Kerr")</f>
        <v>Tom Kerr</v>
      </c>
      <c r="E426" t="str">
        <f>IFERROR(__xludf.DUMMYFUNCTION("""COMPUTED_VALUE"""),"Instructor Practices")</f>
        <v>Instructor Practices</v>
      </c>
      <c r="F426" t="str">
        <f>IFERROR(__xludf.DUMMYFUNCTION("""COMPUTED_VALUE"""),"Project Management and Operations")</f>
        <v>Project Management and Operations</v>
      </c>
      <c r="G426" t="str">
        <f>IFERROR(__xludf.DUMMYFUNCTION("""COMPUTED_VALUE"""),"Project Management Fundamentals")</f>
        <v>Project Management Fundamentals</v>
      </c>
      <c r="H426">
        <f>IFERROR(__xludf.DUMMYFUNCTION("""COMPUTED_VALUE"""),1037646.0)</f>
        <v>1037646</v>
      </c>
      <c r="I426" s="140" t="str">
        <f>IFERROR(__xludf.DUMMYFUNCTION("""COMPUTED_VALUE"""),"")</f>
        <v/>
      </c>
      <c r="K426" s="140" t="str">
        <f>IFERROR(__xludf.DUMMYFUNCTION("""COMPUTED_VALUE"""),"")</f>
        <v/>
      </c>
    </row>
    <row r="427">
      <c r="A427" s="143">
        <f>IFERROR(__xludf.DUMMYFUNCTION("""COMPUTED_VALUE"""),43159.0)</f>
        <v>43159</v>
      </c>
      <c r="B427" s="140">
        <f>IFERROR(__xludf.DUMMYFUNCTION("""COMPUTED_VALUE"""),93980.0)</f>
        <v>93980</v>
      </c>
      <c r="C427" s="142" t="str">
        <f>IFERROR(__xludf.DUMMYFUNCTION("""COMPUTED_VALUE"""),"How to Coach in the Workplace")</f>
        <v>How to Coach in the Workplace</v>
      </c>
      <c r="D427" t="str">
        <f>IFERROR(__xludf.DUMMYFUNCTION("""COMPUTED_VALUE"""),"7 Keys Solutions")</f>
        <v>7 Keys Solutions</v>
      </c>
      <c r="E427" t="str">
        <f>IFERROR(__xludf.DUMMYFUNCTION("""COMPUTED_VALUE"""),"Below Quality Standards")</f>
        <v>Below Quality Standards</v>
      </c>
      <c r="F427" t="str">
        <f>IFERROR(__xludf.DUMMYFUNCTION("""COMPUTED_VALUE"""),"Management")</f>
        <v>Management</v>
      </c>
      <c r="G427" t="str">
        <f>IFERROR(__xludf.DUMMYFUNCTION("""COMPUTED_VALUE"""),"Leadership")</f>
        <v>Leadership</v>
      </c>
      <c r="H427">
        <f>IFERROR(__xludf.DUMMYFUNCTION("""COMPUTED_VALUE"""),1211572.0)</f>
        <v>1211572</v>
      </c>
      <c r="I427" s="140" t="str">
        <f>IFERROR(__xludf.DUMMYFUNCTION("""COMPUTED_VALUE"""),"")</f>
        <v/>
      </c>
      <c r="K427" s="140" t="str">
        <f>IFERROR(__xludf.DUMMYFUNCTION("""COMPUTED_VALUE"""),"")</f>
        <v/>
      </c>
      <c r="M427" t="str">
        <f>IFERROR(__xludf.DUMMYFUNCTION("""COMPUTED_VALUE"""),"Management")</f>
        <v>Management</v>
      </c>
      <c r="N427" s="143" t="str">
        <f>IFERROR(__xludf.DUMMYFUNCTION("""COMPUTED_VALUE"""),"Influence")</f>
        <v>Influence</v>
      </c>
      <c r="Q427" t="str">
        <f>IFERROR(__xludf.DUMMYFUNCTION("""COMPUTED_VALUE"""),"Low Demand")</f>
        <v>Low Demand</v>
      </c>
    </row>
    <row r="428">
      <c r="A428" s="143">
        <f>IFERROR(__xludf.DUMMYFUNCTION("""COMPUTED_VALUE"""),43154.0)</f>
        <v>43154</v>
      </c>
      <c r="B428" s="140">
        <f>IFERROR(__xludf.DUMMYFUNCTION("""COMPUTED_VALUE"""),564370.0)</f>
        <v>564370</v>
      </c>
      <c r="C428" s="142" t="str">
        <f>IFERROR(__xludf.DUMMYFUNCTION("""COMPUTED_VALUE"""),"How to Improve Creative Problem Solving Skills")</f>
        <v>How to Improve Creative Problem Solving Skills</v>
      </c>
      <c r="D428" t="str">
        <f>IFERROR(__xludf.DUMMYFUNCTION("""COMPUTED_VALUE"""),"Adam Karsh")</f>
        <v>Adam Karsh</v>
      </c>
      <c r="E428" t="str">
        <f>IFERROR(__xludf.DUMMYFUNCTION("""COMPUTED_VALUE"""),"Instructor Practices")</f>
        <v>Instructor Practices</v>
      </c>
      <c r="F428" t="str">
        <f>IFERROR(__xludf.DUMMYFUNCTION("""COMPUTED_VALUE"""),"Management")</f>
        <v>Management</v>
      </c>
      <c r="G428" t="str">
        <f>IFERROR(__xludf.DUMMYFUNCTION("""COMPUTED_VALUE"""),"Strategy")</f>
        <v>Strategy</v>
      </c>
      <c r="H428">
        <f>IFERROR(__xludf.DUMMYFUNCTION("""COMPUTED_VALUE"""),357350.0)</f>
        <v>357350</v>
      </c>
      <c r="I428" s="140" t="str">
        <f>IFERROR(__xludf.DUMMYFUNCTION("""COMPUTED_VALUE"""),"")</f>
        <v/>
      </c>
      <c r="K428" s="140" t="str">
        <f>IFERROR(__xludf.DUMMYFUNCTION("""COMPUTED_VALUE"""),"")</f>
        <v/>
      </c>
    </row>
    <row r="429">
      <c r="A429" s="143">
        <f>IFERROR(__xludf.DUMMYFUNCTION("""COMPUTED_VALUE"""),43154.0)</f>
        <v>43154</v>
      </c>
      <c r="B429" s="140">
        <f>IFERROR(__xludf.DUMMYFUNCTION("""COMPUTED_VALUE"""),402340.0)</f>
        <v>402340</v>
      </c>
      <c r="C429" s="142" t="str">
        <f>IFERROR(__xludf.DUMMYFUNCTION("""COMPUTED_VALUE"""),"Virtual Team Building and Management")</f>
        <v>Virtual Team Building and Management</v>
      </c>
      <c r="D429" t="str">
        <f>IFERROR(__xludf.DUMMYFUNCTION("""COMPUTED_VALUE"""),"Adam Karsh")</f>
        <v>Adam Karsh</v>
      </c>
      <c r="E429" t="str">
        <f>IFERROR(__xludf.DUMMYFUNCTION("""COMPUTED_VALUE"""),"Instructor Practices")</f>
        <v>Instructor Practices</v>
      </c>
      <c r="F429" t="str">
        <f>IFERROR(__xludf.DUMMYFUNCTION("""COMPUTED_VALUE"""),"Management")</f>
        <v>Management</v>
      </c>
      <c r="G429" t="str">
        <f>IFERROR(__xludf.DUMMYFUNCTION("""COMPUTED_VALUE"""),"Leadership")</f>
        <v>Leadership</v>
      </c>
      <c r="H429">
        <f>IFERROR(__xludf.DUMMYFUNCTION("""COMPUTED_VALUE"""),110240.0)</f>
        <v>110240</v>
      </c>
      <c r="I429" s="140" t="str">
        <f>IFERROR(__xludf.DUMMYFUNCTION("""COMPUTED_VALUE"""),"")</f>
        <v/>
      </c>
      <c r="K429" s="140" t="str">
        <f>IFERROR(__xludf.DUMMYFUNCTION("""COMPUTED_VALUE"""),"")</f>
        <v/>
      </c>
    </row>
    <row r="430">
      <c r="A430" s="143">
        <f>IFERROR(__xludf.DUMMYFUNCTION("""COMPUTED_VALUE"""),43154.0)</f>
        <v>43154</v>
      </c>
      <c r="B430" s="140">
        <f>IFERROR(__xludf.DUMMYFUNCTION("""COMPUTED_VALUE"""),402902.0)</f>
        <v>402902</v>
      </c>
      <c r="C430" s="142" t="str">
        <f>IFERROR(__xludf.DUMMYFUNCTION("""COMPUTED_VALUE"""),"How to Improve Organizational Skills")</f>
        <v>How to Improve Organizational Skills</v>
      </c>
      <c r="D430" t="str">
        <f>IFERROR(__xludf.DUMMYFUNCTION("""COMPUTED_VALUE"""),"Adam Karsh")</f>
        <v>Adam Karsh</v>
      </c>
      <c r="E430" t="str">
        <f>IFERROR(__xludf.DUMMYFUNCTION("""COMPUTED_VALUE"""),"Instructor Practices")</f>
        <v>Instructor Practices</v>
      </c>
      <c r="F430" s="142" t="str">
        <f>IFERROR(__xludf.DUMMYFUNCTION("""COMPUTED_VALUE"""),"Personal Development")</f>
        <v>Personal Development</v>
      </c>
      <c r="G430" s="142" t="str">
        <f>IFERROR(__xludf.DUMMYFUNCTION("""COMPUTED_VALUE"""),"Personal Growth")</f>
        <v>Personal Growth</v>
      </c>
      <c r="H430">
        <f>IFERROR(__xludf.DUMMYFUNCTION("""COMPUTED_VALUE"""),376472.0)</f>
        <v>376472</v>
      </c>
      <c r="I430" s="140" t="str">
        <f>IFERROR(__xludf.DUMMYFUNCTION("""COMPUTED_VALUE"""),"")</f>
        <v/>
      </c>
      <c r="K430" s="140" t="str">
        <f>IFERROR(__xludf.DUMMYFUNCTION("""COMPUTED_VALUE"""),"")</f>
        <v/>
      </c>
    </row>
    <row r="431">
      <c r="A431" s="143">
        <f>IFERROR(__xludf.DUMMYFUNCTION("""COMPUTED_VALUE"""),43154.0)</f>
        <v>43154</v>
      </c>
      <c r="B431" s="140">
        <f>IFERROR(__xludf.DUMMYFUNCTION("""COMPUTED_VALUE"""),664592.0)</f>
        <v>664592</v>
      </c>
      <c r="C431" s="142" t="str">
        <f>IFERROR(__xludf.DUMMYFUNCTION("""COMPUTED_VALUE"""),"Managing Anxiety In The Workplace")</f>
        <v>Managing Anxiety In The Workplace</v>
      </c>
      <c r="D431" t="str">
        <f>IFERROR(__xludf.DUMMYFUNCTION("""COMPUTED_VALUE"""),"Adam Karsh")</f>
        <v>Adam Karsh</v>
      </c>
      <c r="E431" t="str">
        <f>IFERROR(__xludf.DUMMYFUNCTION("""COMPUTED_VALUE"""),"Instructor Practices")</f>
        <v>Instructor Practices</v>
      </c>
      <c r="F431" t="str">
        <f>IFERROR(__xludf.DUMMYFUNCTION("""COMPUTED_VALUE"""),"Personal Development")</f>
        <v>Personal Development</v>
      </c>
      <c r="G431" t="str">
        <f>IFERROR(__xludf.DUMMYFUNCTION("""COMPUTED_VALUE"""),"Stress Management")</f>
        <v>Stress Management</v>
      </c>
      <c r="H431">
        <f>IFERROR(__xludf.DUMMYFUNCTION("""COMPUTED_VALUE"""),466736.0)</f>
        <v>466736</v>
      </c>
      <c r="I431" s="140" t="str">
        <f>IFERROR(__xludf.DUMMYFUNCTION("""COMPUTED_VALUE"""),"")</f>
        <v/>
      </c>
      <c r="K431" s="140" t="str">
        <f>IFERROR(__xludf.DUMMYFUNCTION("""COMPUTED_VALUE"""),"")</f>
        <v/>
      </c>
    </row>
    <row r="432">
      <c r="A432" s="143">
        <f>IFERROR(__xludf.DUMMYFUNCTION("""COMPUTED_VALUE"""),43154.0)</f>
        <v>43154</v>
      </c>
      <c r="B432" s="140">
        <f>IFERROR(__xludf.DUMMYFUNCTION("""COMPUTED_VALUE"""),745960.0)</f>
        <v>745960</v>
      </c>
      <c r="C432" s="142" t="str">
        <f>IFERROR(__xludf.DUMMYFUNCTION("""COMPUTED_VALUE"""),"How To Improve Customer Service Skills")</f>
        <v>How To Improve Customer Service Skills</v>
      </c>
      <c r="D432" t="str">
        <f>IFERROR(__xludf.DUMMYFUNCTION("""COMPUTED_VALUE"""),"Adam Karsh")</f>
        <v>Adam Karsh</v>
      </c>
      <c r="E432" t="str">
        <f>IFERROR(__xludf.DUMMYFUNCTION("""COMPUTED_VALUE"""),"Instructor Practices")</f>
        <v>Instructor Practices</v>
      </c>
      <c r="F432" t="str">
        <f>IFERROR(__xludf.DUMMYFUNCTION("""COMPUTED_VALUE"""),"Management")</f>
        <v>Management</v>
      </c>
      <c r="G432" t="str">
        <f>IFERROR(__xludf.DUMMYFUNCTION("""COMPUTED_VALUE"""),"Customer Service")</f>
        <v>Customer Service</v>
      </c>
      <c r="H432">
        <f>IFERROR(__xludf.DUMMYFUNCTION("""COMPUTED_VALUE"""),1436164.0)</f>
        <v>1436164</v>
      </c>
      <c r="I432" s="140" t="str">
        <f>IFERROR(__xludf.DUMMYFUNCTION("""COMPUTED_VALUE"""),"")</f>
        <v/>
      </c>
      <c r="K432" s="140" t="str">
        <f>IFERROR(__xludf.DUMMYFUNCTION("""COMPUTED_VALUE"""),"")</f>
        <v/>
      </c>
    </row>
    <row r="433">
      <c r="A433" s="143">
        <f>IFERROR(__xludf.DUMMYFUNCTION("""COMPUTED_VALUE"""),43154.0)</f>
        <v>43154</v>
      </c>
      <c r="B433" s="140">
        <f>IFERROR(__xludf.DUMMYFUNCTION("""COMPUTED_VALUE"""),439778.0)</f>
        <v>439778</v>
      </c>
      <c r="C433" s="142" t="str">
        <f>IFERROR(__xludf.DUMMYFUNCTION("""COMPUTED_VALUE"""),"How to Deliver Constructive Criticism at Work")</f>
        <v>How to Deliver Constructive Criticism at Work</v>
      </c>
      <c r="D433" t="str">
        <f>IFERROR(__xludf.DUMMYFUNCTION("""COMPUTED_VALUE"""),"Adam Karsh")</f>
        <v>Adam Karsh</v>
      </c>
      <c r="E433" t="str">
        <f>IFERROR(__xludf.DUMMYFUNCTION("""COMPUTED_VALUE"""),"Instructor Practices")</f>
        <v>Instructor Practices</v>
      </c>
      <c r="F433" t="str">
        <f>IFERROR(__xludf.DUMMYFUNCTION("""COMPUTED_VALUE"""),"Management")</f>
        <v>Management</v>
      </c>
      <c r="G433" t="str">
        <f>IFERROR(__xludf.DUMMYFUNCTION("""COMPUTED_VALUE"""),"Leadership")</f>
        <v>Leadership</v>
      </c>
      <c r="H433">
        <f>IFERROR(__xludf.DUMMYFUNCTION("""COMPUTED_VALUE"""),1337206.0)</f>
        <v>1337206</v>
      </c>
      <c r="I433" s="140" t="str">
        <f>IFERROR(__xludf.DUMMYFUNCTION("""COMPUTED_VALUE"""),"")</f>
        <v/>
      </c>
      <c r="K433" s="140" t="str">
        <f>IFERROR(__xludf.DUMMYFUNCTION("""COMPUTED_VALUE"""),"")</f>
        <v/>
      </c>
    </row>
    <row r="434">
      <c r="A434" s="143">
        <f>IFERROR(__xludf.DUMMYFUNCTION("""COMPUTED_VALUE"""),43154.0)</f>
        <v>43154</v>
      </c>
      <c r="B434" s="140">
        <f>IFERROR(__xludf.DUMMYFUNCTION("""COMPUTED_VALUE"""),439436.0)</f>
        <v>439436</v>
      </c>
      <c r="C434" s="142" t="str">
        <f>IFERROR(__xludf.DUMMYFUNCTION("""COMPUTED_VALUE"""),"How To Create A Great Webinar")</f>
        <v>How To Create A Great Webinar</v>
      </c>
      <c r="D434" t="str">
        <f>IFERROR(__xludf.DUMMYFUNCTION("""COMPUTED_VALUE"""),"Adam Karsh")</f>
        <v>Adam Karsh</v>
      </c>
      <c r="E434" t="str">
        <f>IFERROR(__xludf.DUMMYFUNCTION("""COMPUTED_VALUE"""),"Instructor Practices")</f>
        <v>Instructor Practices</v>
      </c>
      <c r="F434" t="str">
        <f>IFERROR(__xludf.DUMMYFUNCTION("""COMPUTED_VALUE"""),"Marketing")</f>
        <v>Marketing</v>
      </c>
      <c r="G434" t="str">
        <f>IFERROR(__xludf.DUMMYFUNCTION("""COMPUTED_VALUE"""),"Content and Email Marketing")</f>
        <v>Content and Email Marketing</v>
      </c>
      <c r="H434">
        <f>IFERROR(__xludf.DUMMYFUNCTION("""COMPUTED_VALUE"""),311048.0)</f>
        <v>311048</v>
      </c>
      <c r="I434" s="140" t="str">
        <f>IFERROR(__xludf.DUMMYFUNCTION("""COMPUTED_VALUE"""),"")</f>
        <v/>
      </c>
      <c r="K434" s="140" t="str">
        <f>IFERROR(__xludf.DUMMYFUNCTION("""COMPUTED_VALUE"""),"")</f>
        <v/>
      </c>
    </row>
    <row r="435">
      <c r="A435" s="143">
        <f>IFERROR(__xludf.DUMMYFUNCTION("""COMPUTED_VALUE"""),43154.0)</f>
        <v>43154</v>
      </c>
      <c r="B435" s="140">
        <f>IFERROR(__xludf.DUMMYFUNCTION("""COMPUTED_VALUE"""),633368.0)</f>
        <v>633368</v>
      </c>
      <c r="C435" s="142" t="str">
        <f>IFERROR(__xludf.DUMMYFUNCTION("""COMPUTED_VALUE"""),"How to Manage Managers In a Company")</f>
        <v>How to Manage Managers In a Company</v>
      </c>
      <c r="D435" t="str">
        <f>IFERROR(__xludf.DUMMYFUNCTION("""COMPUTED_VALUE"""),"Adam Karsh")</f>
        <v>Adam Karsh</v>
      </c>
      <c r="E435" t="str">
        <f>IFERROR(__xludf.DUMMYFUNCTION("""COMPUTED_VALUE"""),"Instructor Practices")</f>
        <v>Instructor Practices</v>
      </c>
      <c r="F435" t="str">
        <f>IFERROR(__xludf.DUMMYFUNCTION("""COMPUTED_VALUE"""),"Management")</f>
        <v>Management</v>
      </c>
      <c r="G435" t="str">
        <f>IFERROR(__xludf.DUMMYFUNCTION("""COMPUTED_VALUE"""),"Leadership")</f>
        <v>Leadership</v>
      </c>
      <c r="H435">
        <f>IFERROR(__xludf.DUMMYFUNCTION("""COMPUTED_VALUE"""),358740.0)</f>
        <v>358740</v>
      </c>
      <c r="I435" s="140" t="str">
        <f>IFERROR(__xludf.DUMMYFUNCTION("""COMPUTED_VALUE"""),"")</f>
        <v/>
      </c>
      <c r="J435">
        <f>IFERROR(__xludf.DUMMYFUNCTION("""COMPUTED_VALUE"""),852606.0)</f>
        <v>852606</v>
      </c>
      <c r="K435" s="140" t="str">
        <f>IFERROR(__xludf.DUMMYFUNCTION("""COMPUTED_VALUE"""),"")</f>
        <v/>
      </c>
    </row>
    <row r="436">
      <c r="A436" s="143">
        <f>IFERROR(__xludf.DUMMYFUNCTION("""COMPUTED_VALUE"""),43154.0)</f>
        <v>43154</v>
      </c>
      <c r="B436" s="140">
        <f>IFERROR(__xludf.DUMMYFUNCTION("""COMPUTED_VALUE"""),854938.0)</f>
        <v>854938</v>
      </c>
      <c r="C436" s="142" t="str">
        <f>IFERROR(__xludf.DUMMYFUNCTION("""COMPUTED_VALUE"""),"Call Centre Job Training")</f>
        <v>Call Centre Job Training</v>
      </c>
      <c r="D436" t="str">
        <f>IFERROR(__xludf.DUMMYFUNCTION("""COMPUTED_VALUE"""),"Adam Karsh")</f>
        <v>Adam Karsh</v>
      </c>
      <c r="E436" t="str">
        <f>IFERROR(__xludf.DUMMYFUNCTION("""COMPUTED_VALUE"""),"Instructor Practices")</f>
        <v>Instructor Practices</v>
      </c>
      <c r="F436" t="str">
        <f>IFERROR(__xludf.DUMMYFUNCTION("""COMPUTED_VALUE"""),"Management")</f>
        <v>Management</v>
      </c>
      <c r="G436" t="str">
        <f>IFERROR(__xludf.DUMMYFUNCTION("""COMPUTED_VALUE"""),"Customer Service")</f>
        <v>Customer Service</v>
      </c>
      <c r="I436" s="140" t="str">
        <f>IFERROR(__xludf.DUMMYFUNCTION("""COMPUTED_VALUE"""),"")</f>
        <v/>
      </c>
      <c r="K436" s="140" t="str">
        <f>IFERROR(__xludf.DUMMYFUNCTION("""COMPUTED_VALUE"""),"")</f>
        <v/>
      </c>
      <c r="Q436" t="str">
        <f>IFERROR(__xludf.DUMMYFUNCTION("""COMPUTED_VALUE"""),"Topic on Priority List- 1039300")</f>
        <v>Topic on Priority List- 1039300</v>
      </c>
    </row>
    <row r="437">
      <c r="A437" s="143">
        <f>IFERROR(__xludf.DUMMYFUNCTION("""COMPUTED_VALUE"""),43154.0)</f>
        <v>43154</v>
      </c>
      <c r="B437" s="140">
        <f>IFERROR(__xludf.DUMMYFUNCTION("""COMPUTED_VALUE"""),496692.0)</f>
        <v>496692</v>
      </c>
      <c r="C437" s="142" t="str">
        <f>IFERROR(__xludf.DUMMYFUNCTION("""COMPUTED_VALUE"""),"How to Manage Social Media in the Workplace")</f>
        <v>How to Manage Social Media in the Workplace</v>
      </c>
      <c r="D437" t="str">
        <f>IFERROR(__xludf.DUMMYFUNCTION("""COMPUTED_VALUE"""),"Adam Karsh")</f>
        <v>Adam Karsh</v>
      </c>
      <c r="E437" t="str">
        <f>IFERROR(__xludf.DUMMYFUNCTION("""COMPUTED_VALUE"""),"Instructor Practices")</f>
        <v>Instructor Practices</v>
      </c>
      <c r="F437" t="str">
        <f>IFERROR(__xludf.DUMMYFUNCTION("""COMPUTED_VALUE"""),"Human Resources")</f>
        <v>Human Resources</v>
      </c>
      <c r="G437" t="str">
        <f>IFERROR(__xludf.DUMMYFUNCTION("""COMPUTED_VALUE"""),"Compliance")</f>
        <v>Compliance</v>
      </c>
      <c r="H437">
        <f>IFERROR(__xludf.DUMMYFUNCTION("""COMPUTED_VALUE"""),950640.0)</f>
        <v>950640</v>
      </c>
      <c r="I437" s="140" t="str">
        <f>IFERROR(__xludf.DUMMYFUNCTION("""COMPUTED_VALUE"""),"")</f>
        <v/>
      </c>
      <c r="K437" s="140" t="str">
        <f>IFERROR(__xludf.DUMMYFUNCTION("""COMPUTED_VALUE"""),"")</f>
        <v/>
      </c>
    </row>
    <row r="438">
      <c r="A438" s="143">
        <f>IFERROR(__xludf.DUMMYFUNCTION("""COMPUTED_VALUE"""),43154.0)</f>
        <v>43154</v>
      </c>
      <c r="B438" s="140">
        <f>IFERROR(__xludf.DUMMYFUNCTION("""COMPUTED_VALUE"""),461334.0)</f>
        <v>461334</v>
      </c>
      <c r="C438" s="142" t="str">
        <f>IFERROR(__xludf.DUMMYFUNCTION("""COMPUTED_VALUE"""),"Recruitment &amp; Hiring Strategies")</f>
        <v>Recruitment &amp; Hiring Strategies</v>
      </c>
      <c r="D438" t="str">
        <f>IFERROR(__xludf.DUMMYFUNCTION("""COMPUTED_VALUE"""),"Adam Karsh")</f>
        <v>Adam Karsh</v>
      </c>
      <c r="E438" t="str">
        <f>IFERROR(__xludf.DUMMYFUNCTION("""COMPUTED_VALUE"""),"Instructor Practices")</f>
        <v>Instructor Practices</v>
      </c>
      <c r="F438" t="str">
        <f>IFERROR(__xludf.DUMMYFUNCTION("""COMPUTED_VALUE"""),"Human Resources")</f>
        <v>Human Resources</v>
      </c>
      <c r="G438" t="str">
        <f>IFERROR(__xludf.DUMMYFUNCTION("""COMPUTED_VALUE"""),"Learning and Organizational Development")</f>
        <v>Learning and Organizational Development</v>
      </c>
      <c r="H438">
        <f>IFERROR(__xludf.DUMMYFUNCTION("""COMPUTED_VALUE"""),1434700.0)</f>
        <v>1434700</v>
      </c>
      <c r="I438" s="140" t="str">
        <f>IFERROR(__xludf.DUMMYFUNCTION("""COMPUTED_VALUE"""),"")</f>
        <v/>
      </c>
      <c r="K438" s="140" t="str">
        <f>IFERROR(__xludf.DUMMYFUNCTION("""COMPUTED_VALUE"""),"")</f>
        <v/>
      </c>
    </row>
    <row r="439">
      <c r="A439" s="143">
        <f>IFERROR(__xludf.DUMMYFUNCTION("""COMPUTED_VALUE"""),43154.0)</f>
        <v>43154</v>
      </c>
      <c r="B439" s="140">
        <f>IFERROR(__xludf.DUMMYFUNCTION("""COMPUTED_VALUE"""),510170.0)</f>
        <v>510170</v>
      </c>
      <c r="C439" s="142" t="str">
        <f>IFERROR(__xludf.DUMMYFUNCTION("""COMPUTED_VALUE"""),"How to Overcome Sales Objections")</f>
        <v>How to Overcome Sales Objections</v>
      </c>
      <c r="D439" t="str">
        <f>IFERROR(__xludf.DUMMYFUNCTION("""COMPUTED_VALUE"""),"Adam Karsh")</f>
        <v>Adam Karsh</v>
      </c>
      <c r="E439" t="str">
        <f>IFERROR(__xludf.DUMMYFUNCTION("""COMPUTED_VALUE"""),"Instructor Practices")</f>
        <v>Instructor Practices</v>
      </c>
      <c r="F439" t="str">
        <f>IFERROR(__xludf.DUMMYFUNCTION("""COMPUTED_VALUE"""),"Sales")</f>
        <v>Sales</v>
      </c>
      <c r="G439" t="str">
        <f>IFERROR(__xludf.DUMMYFUNCTION("""COMPUTED_VALUE"""),"Sales Skills")</f>
        <v>Sales Skills</v>
      </c>
      <c r="H439">
        <f>IFERROR(__xludf.DUMMYFUNCTION("""COMPUTED_VALUE"""),1512040.0)</f>
        <v>1512040</v>
      </c>
      <c r="I439" s="140" t="str">
        <f>IFERROR(__xludf.DUMMYFUNCTION("""COMPUTED_VALUE"""),"")</f>
        <v/>
      </c>
      <c r="K439" s="140" t="str">
        <f>IFERROR(__xludf.DUMMYFUNCTION("""COMPUTED_VALUE"""),"")</f>
        <v/>
      </c>
    </row>
    <row r="440">
      <c r="A440" s="143">
        <f>IFERROR(__xludf.DUMMYFUNCTION("""COMPUTED_VALUE"""),43154.0)</f>
        <v>43154</v>
      </c>
      <c r="B440" s="140">
        <f>IFERROR(__xludf.DUMMYFUNCTION("""COMPUTED_VALUE"""),733028.0)</f>
        <v>733028</v>
      </c>
      <c r="C440" s="142" t="str">
        <f>IFERROR(__xludf.DUMMYFUNCTION("""COMPUTED_VALUE"""),"How to Develop Interpersonal Skills")</f>
        <v>How to Develop Interpersonal Skills</v>
      </c>
      <c r="D440" t="str">
        <f>IFERROR(__xludf.DUMMYFUNCTION("""COMPUTED_VALUE"""),"Adam Karsh")</f>
        <v>Adam Karsh</v>
      </c>
      <c r="E440" t="str">
        <f>IFERROR(__xludf.DUMMYFUNCTION("""COMPUTED_VALUE"""),"Instructor Practices")</f>
        <v>Instructor Practices</v>
      </c>
      <c r="F440" t="str">
        <f>IFERROR(__xludf.DUMMYFUNCTION("""COMPUTED_VALUE"""),"Management")</f>
        <v>Management</v>
      </c>
      <c r="G440" t="str">
        <f>IFERROR(__xludf.DUMMYFUNCTION("""COMPUTED_VALUE"""),"Influence")</f>
        <v>Influence</v>
      </c>
      <c r="H440">
        <f>IFERROR(__xludf.DUMMYFUNCTION("""COMPUTED_VALUE"""),373312.0)</f>
        <v>373312</v>
      </c>
      <c r="I440" s="140" t="str">
        <f>IFERROR(__xludf.DUMMYFUNCTION("""COMPUTED_VALUE"""),"")</f>
        <v/>
      </c>
      <c r="K440" s="140" t="str">
        <f>IFERROR(__xludf.DUMMYFUNCTION("""COMPUTED_VALUE"""),"")</f>
        <v/>
      </c>
    </row>
    <row r="441">
      <c r="A441" s="143">
        <f>IFERROR(__xludf.DUMMYFUNCTION("""COMPUTED_VALUE"""),43154.0)</f>
        <v>43154</v>
      </c>
      <c r="B441" s="140">
        <f>IFERROR(__xludf.DUMMYFUNCTION("""COMPUTED_VALUE"""),456584.0)</f>
        <v>456584</v>
      </c>
      <c r="C441" s="142" t="str">
        <f>IFERROR(__xludf.DUMMYFUNCTION("""COMPUTED_VALUE"""),"How to Improve Attention Skills")</f>
        <v>How to Improve Attention Skills</v>
      </c>
      <c r="D441" t="str">
        <f>IFERROR(__xludf.DUMMYFUNCTION("""COMPUTED_VALUE"""),"Adam Karsh")</f>
        <v>Adam Karsh</v>
      </c>
      <c r="E441" t="str">
        <f>IFERROR(__xludf.DUMMYFUNCTION("""COMPUTED_VALUE"""),"Instructor Practices")</f>
        <v>Instructor Practices</v>
      </c>
      <c r="F441" t="str">
        <f>IFERROR(__xludf.DUMMYFUNCTION("""COMPUTED_VALUE"""),"Personal Development")</f>
        <v>Personal Development</v>
      </c>
      <c r="G441" t="str">
        <f>IFERROR(__xludf.DUMMYFUNCTION("""COMPUTED_VALUE"""),"Personal Growth")</f>
        <v>Personal Growth</v>
      </c>
      <c r="H441">
        <f>IFERROR(__xludf.DUMMYFUNCTION("""COMPUTED_VALUE"""),732914.0)</f>
        <v>732914</v>
      </c>
      <c r="I441" s="140" t="str">
        <f>IFERROR(__xludf.DUMMYFUNCTION("""COMPUTED_VALUE"""),"")</f>
        <v/>
      </c>
      <c r="K441" s="140" t="str">
        <f>IFERROR(__xludf.DUMMYFUNCTION("""COMPUTED_VALUE"""),"")</f>
        <v/>
      </c>
    </row>
    <row r="442">
      <c r="A442" s="143">
        <f>IFERROR(__xludf.DUMMYFUNCTION("""COMPUTED_VALUE"""),43154.0)</f>
        <v>43154</v>
      </c>
      <c r="B442" s="140">
        <f>IFERROR(__xludf.DUMMYFUNCTION("""COMPUTED_VALUE"""),638016.0)</f>
        <v>638016</v>
      </c>
      <c r="C442" s="142" t="str">
        <f>IFERROR(__xludf.DUMMYFUNCTION("""COMPUTED_VALUE"""),"New Employee Orientation and Onboarding")</f>
        <v>New Employee Orientation and Onboarding</v>
      </c>
      <c r="D442" t="str">
        <f>IFERROR(__xludf.DUMMYFUNCTION("""COMPUTED_VALUE"""),"Adam Karsh")</f>
        <v>Adam Karsh</v>
      </c>
      <c r="E442" t="str">
        <f>IFERROR(__xludf.DUMMYFUNCTION("""COMPUTED_VALUE"""),"Instructor Practices")</f>
        <v>Instructor Practices</v>
      </c>
      <c r="F442" t="str">
        <f>IFERROR(__xludf.DUMMYFUNCTION("""COMPUTED_VALUE"""),"Human Resources")</f>
        <v>Human Resources</v>
      </c>
      <c r="G442" t="str">
        <f>IFERROR(__xludf.DUMMYFUNCTION("""COMPUTED_VALUE"""),"Learning and Organizational Development")</f>
        <v>Learning and Organizational Development</v>
      </c>
      <c r="H442">
        <f>IFERROR(__xludf.DUMMYFUNCTION("""COMPUTED_VALUE"""),1426968.0)</f>
        <v>1426968</v>
      </c>
      <c r="I442" s="140" t="str">
        <f>IFERROR(__xludf.DUMMYFUNCTION("""COMPUTED_VALUE"""),"")</f>
        <v/>
      </c>
      <c r="K442" s="140" t="str">
        <f>IFERROR(__xludf.DUMMYFUNCTION("""COMPUTED_VALUE"""),"")</f>
        <v/>
      </c>
    </row>
    <row r="443">
      <c r="A443" s="143">
        <f>IFERROR(__xludf.DUMMYFUNCTION("""COMPUTED_VALUE"""),43154.0)</f>
        <v>43154</v>
      </c>
      <c r="B443" s="140">
        <f>IFERROR(__xludf.DUMMYFUNCTION("""COMPUTED_VALUE"""),720044.0)</f>
        <v>720044</v>
      </c>
      <c r="C443" s="142" t="str">
        <f>IFERROR(__xludf.DUMMYFUNCTION("""COMPUTED_VALUE"""),"Coaching Employees For Higher Performance")</f>
        <v>Coaching Employees For Higher Performance</v>
      </c>
      <c r="D443" t="str">
        <f>IFERROR(__xludf.DUMMYFUNCTION("""COMPUTED_VALUE"""),"Adam Karsh")</f>
        <v>Adam Karsh</v>
      </c>
      <c r="E443" t="str">
        <f>IFERROR(__xludf.DUMMYFUNCTION("""COMPUTED_VALUE"""),"Instructor Practices")</f>
        <v>Instructor Practices</v>
      </c>
      <c r="F443" t="str">
        <f>IFERROR(__xludf.DUMMYFUNCTION("""COMPUTED_VALUE"""),"Management")</f>
        <v>Management</v>
      </c>
      <c r="G443" t="str">
        <f>IFERROR(__xludf.DUMMYFUNCTION("""COMPUTED_VALUE"""),"Leadership")</f>
        <v>Leadership</v>
      </c>
      <c r="H443">
        <f>IFERROR(__xludf.DUMMYFUNCTION("""COMPUTED_VALUE"""),585064.0)</f>
        <v>585064</v>
      </c>
      <c r="I443" s="140" t="str">
        <f>IFERROR(__xludf.DUMMYFUNCTION("""COMPUTED_VALUE"""),"")</f>
        <v/>
      </c>
      <c r="K443" s="140" t="str">
        <f>IFERROR(__xludf.DUMMYFUNCTION("""COMPUTED_VALUE"""),"")</f>
        <v/>
      </c>
    </row>
    <row r="444">
      <c r="A444" s="143">
        <f>IFERROR(__xludf.DUMMYFUNCTION("""COMPUTED_VALUE"""),43159.0)</f>
        <v>43159</v>
      </c>
      <c r="B444" s="140">
        <f>IFERROR(__xludf.DUMMYFUNCTION("""COMPUTED_VALUE"""),911766.0)</f>
        <v>911766</v>
      </c>
      <c r="C444" s="142" t="str">
        <f>IFERROR(__xludf.DUMMYFUNCTION("""COMPUTED_VALUE"""),"React Native With An Express/MongoDB Backend")</f>
        <v>React Native With An Express/MongoDB Backend</v>
      </c>
      <c r="D444" t="str">
        <f>IFERROR(__xludf.DUMMYFUNCTION("""COMPUTED_VALUE"""),"Alex Paterson")</f>
        <v>Alex Paterson</v>
      </c>
      <c r="E444" t="str">
        <f>IFERROR(__xludf.DUMMYFUNCTION("""COMPUTED_VALUE"""),"Instructor Request- Outdated")</f>
        <v>Instructor Request- Outdated</v>
      </c>
      <c r="F444" t="str">
        <f>IFERROR(__xludf.DUMMYFUNCTION("""COMPUTED_VALUE"""),"Development")</f>
        <v>Development</v>
      </c>
      <c r="G444" t="str">
        <f>IFERROR(__xludf.DUMMYFUNCTION("""COMPUTED_VALUE"""),"Mobile Development")</f>
        <v>Mobile Development</v>
      </c>
      <c r="H444">
        <f>IFERROR(__xludf.DUMMYFUNCTION("""COMPUTED_VALUE"""),959700.0)</f>
        <v>959700</v>
      </c>
      <c r="I444" s="140" t="str">
        <f>IFERROR(__xludf.DUMMYFUNCTION("""COMPUTED_VALUE"""),"")</f>
        <v/>
      </c>
      <c r="K444" s="140" t="str">
        <f>IFERROR(__xludf.DUMMYFUNCTION("""COMPUTED_VALUE"""),"")</f>
        <v/>
      </c>
    </row>
    <row r="445">
      <c r="A445" s="143">
        <f>IFERROR(__xludf.DUMMYFUNCTION("""COMPUTED_VALUE"""),43159.0)</f>
        <v>43159</v>
      </c>
      <c r="B445" s="140">
        <f>IFERROR(__xludf.DUMMYFUNCTION("""COMPUTED_VALUE"""),1227762.0)</f>
        <v>1227762</v>
      </c>
      <c r="C445" s="142" t="str">
        <f>IFERROR(__xludf.DUMMYFUNCTION("""COMPUTED_VALUE"""),"The Complete Kotlin Developer Course: Become A Pro!")</f>
        <v>The Complete Kotlin Developer Course: Become A Pro!</v>
      </c>
      <c r="D445" t="str">
        <f>IFERROR(__xludf.DUMMYFUNCTION("""COMPUTED_VALUE"""),"Alexis Ahmed")</f>
        <v>Alexis Ahmed</v>
      </c>
      <c r="E445" t="str">
        <f>IFERROR(__xludf.DUMMYFUNCTION("""COMPUTED_VALUE"""),"Below Quality Standards")</f>
        <v>Below Quality Standards</v>
      </c>
      <c r="F445" t="str">
        <f>IFERROR(__xludf.DUMMYFUNCTION("""COMPUTED_VALUE"""),"Development")</f>
        <v>Development</v>
      </c>
      <c r="G445" t="str">
        <f>IFERROR(__xludf.DUMMYFUNCTION("""COMPUTED_VALUE"""),"Mobile Development")</f>
        <v>Mobile Development</v>
      </c>
      <c r="H445">
        <f>IFERROR(__xludf.DUMMYFUNCTION("""COMPUTED_VALUE"""),669052.0)</f>
        <v>669052</v>
      </c>
      <c r="I445" s="140" t="str">
        <f>IFERROR(__xludf.DUMMYFUNCTION("""COMPUTED_VALUE"""),"")</f>
        <v/>
      </c>
      <c r="K445" s="140" t="str">
        <f>IFERROR(__xludf.DUMMYFUNCTION("""COMPUTED_VALUE"""),"")</f>
        <v/>
      </c>
    </row>
    <row r="446">
      <c r="A446" s="143">
        <f>IFERROR(__xludf.DUMMYFUNCTION("""COMPUTED_VALUE"""),43159.0)</f>
        <v>43159</v>
      </c>
      <c r="B446" s="140">
        <f>IFERROR(__xludf.DUMMYFUNCTION("""COMPUTED_VALUE"""),27556.0)</f>
        <v>27556</v>
      </c>
      <c r="C446" s="142" t="str">
        <f>IFERROR(__xludf.DUMMYFUNCTION("""COMPUTED_VALUE"""),"Accent Reduction Made Fast and Easy")</f>
        <v>Accent Reduction Made Fast and Easy</v>
      </c>
      <c r="D446" t="str">
        <f>IFERROR(__xludf.DUMMYFUNCTION("""COMPUTED_VALUE"""),"Angelika Blendstrup, Ph.D.")</f>
        <v>Angelika Blendstrup, Ph.D.</v>
      </c>
      <c r="E446" t="str">
        <f>IFERROR(__xludf.DUMMYFUNCTION("""COMPUTED_VALUE"""),"Below Quality Standards")</f>
        <v>Below Quality Standards</v>
      </c>
      <c r="F446" t="str">
        <f>IFERROR(__xludf.DUMMYFUNCTION("""COMPUTED_VALUE"""),"Management")</f>
        <v>Management</v>
      </c>
      <c r="G446" t="str">
        <f>IFERROR(__xludf.DUMMYFUNCTION("""COMPUTED_VALUE"""),"Communication")</f>
        <v>Communication</v>
      </c>
      <c r="H446">
        <f>IFERROR(__xludf.DUMMYFUNCTION("""COMPUTED_VALUE"""),28788.0)</f>
        <v>28788</v>
      </c>
      <c r="I446" s="140" t="str">
        <f>IFERROR(__xludf.DUMMYFUNCTION("""COMPUTED_VALUE"""),"")</f>
        <v/>
      </c>
      <c r="K446" s="140" t="str">
        <f>IFERROR(__xludf.DUMMYFUNCTION("""COMPUTED_VALUE"""),"")</f>
        <v/>
      </c>
      <c r="Q446" t="str">
        <f>IFERROR(__xludf.DUMMYFUNCTION("""COMPUTED_VALUE"""),"Low Demand")</f>
        <v>Low Demand</v>
      </c>
    </row>
    <row r="447">
      <c r="A447" s="143">
        <f>IFERROR(__xludf.DUMMYFUNCTION("""COMPUTED_VALUE"""),43159.0)</f>
        <v>43159</v>
      </c>
      <c r="B447" s="140">
        <f>IFERROR(__xludf.DUMMYFUNCTION("""COMPUTED_VALUE"""),336910.0)</f>
        <v>336910</v>
      </c>
      <c r="C447" s="142" t="str">
        <f>IFERROR(__xludf.DUMMYFUNCTION("""COMPUTED_VALUE"""),"Introduction to GIS")</f>
        <v>Introduction to GIS</v>
      </c>
      <c r="D447" t="str">
        <f>IFERROR(__xludf.DUMMYFUNCTION("""COMPUTED_VALUE"""),"Ardit Sulce")</f>
        <v>Ardit Sulce</v>
      </c>
      <c r="E447" t="str">
        <f>IFERROR(__xludf.DUMMYFUNCTION("""COMPUTED_VALUE"""),"Below Quality Standards")</f>
        <v>Below Quality Standards</v>
      </c>
      <c r="F447" t="str">
        <f>IFERROR(__xludf.DUMMYFUNCTION("""COMPUTED_VALUE"""),"Data Science")</f>
        <v>Data Science</v>
      </c>
      <c r="G447" t="str">
        <f>IFERROR(__xludf.DUMMYFUNCTION("""COMPUTED_VALUE"""),"Big Data")</f>
        <v>Big Data</v>
      </c>
      <c r="H447">
        <f>IFERROR(__xludf.DUMMYFUNCTION("""COMPUTED_VALUE"""),969212.0)</f>
        <v>969212</v>
      </c>
      <c r="I447" s="140" t="str">
        <f>IFERROR(__xludf.DUMMYFUNCTION("""COMPUTED_VALUE"""),"")</f>
        <v/>
      </c>
      <c r="K447" s="140" t="str">
        <f>IFERROR(__xludf.DUMMYFUNCTION("""COMPUTED_VALUE"""),"")</f>
        <v/>
      </c>
    </row>
    <row r="448">
      <c r="A448" s="143">
        <f>IFERROR(__xludf.DUMMYFUNCTION("""COMPUTED_VALUE"""),43159.0)</f>
        <v>43159</v>
      </c>
      <c r="B448" s="140">
        <f>IFERROR(__xludf.DUMMYFUNCTION("""COMPUTED_VALUE"""),403908.0)</f>
        <v>403908</v>
      </c>
      <c r="C448" s="142" t="str">
        <f>IFERROR(__xludf.DUMMYFUNCTION("""COMPUTED_VALUE"""),"Data Analysis in Python with Pandas")</f>
        <v>Data Analysis in Python with Pandas</v>
      </c>
      <c r="D448" t="str">
        <f>IFERROR(__xludf.DUMMYFUNCTION("""COMPUTED_VALUE"""),"Bill Chambers")</f>
        <v>Bill Chambers</v>
      </c>
      <c r="E448" t="str">
        <f>IFERROR(__xludf.DUMMYFUNCTION("""COMPUTED_VALUE"""),"Below Quality Standards")</f>
        <v>Below Quality Standards</v>
      </c>
      <c r="F448" t="str">
        <f>IFERROR(__xludf.DUMMYFUNCTION("""COMPUTED_VALUE"""),"Data Science")</f>
        <v>Data Science</v>
      </c>
      <c r="G448" t="str">
        <f>IFERROR(__xludf.DUMMYFUNCTION("""COMPUTED_VALUE"""),"Analytics")</f>
        <v>Analytics</v>
      </c>
      <c r="H448">
        <f>IFERROR(__xludf.DUMMYFUNCTION("""COMPUTED_VALUE"""),932344.0)</f>
        <v>932344</v>
      </c>
      <c r="I448" s="140" t="str">
        <f>IFERROR(__xludf.DUMMYFUNCTION("""COMPUTED_VALUE"""),"")</f>
        <v/>
      </c>
      <c r="K448" s="140" t="str">
        <f>IFERROR(__xludf.DUMMYFUNCTION("""COMPUTED_VALUE"""),"")</f>
        <v/>
      </c>
    </row>
    <row r="449">
      <c r="A449" s="143">
        <f>IFERROR(__xludf.DUMMYFUNCTION("""COMPUTED_VALUE"""),43159.0)</f>
        <v>43159</v>
      </c>
      <c r="B449" s="140">
        <f>IFERROR(__xludf.DUMMYFUNCTION("""COMPUTED_VALUE"""),874860.0)</f>
        <v>874860</v>
      </c>
      <c r="C449" s="142" t="str">
        <f>IFERROR(__xludf.DUMMYFUNCTION("""COMPUTED_VALUE"""),"Data Storytelling: Deliver Insights via Compelling Stories")</f>
        <v>Data Storytelling: Deliver Insights via Compelling Stories</v>
      </c>
      <c r="D449" t="str">
        <f>IFERROR(__xludf.DUMMYFUNCTION("""COMPUTED_VALUE"""),"Bill Shander")</f>
        <v>Bill Shander</v>
      </c>
      <c r="E449" t="str">
        <f>IFERROR(__xludf.DUMMYFUNCTION("""COMPUTED_VALUE"""),"Below Quality Standards")</f>
        <v>Below Quality Standards</v>
      </c>
      <c r="F449" t="str">
        <f>IFERROR(__xludf.DUMMYFUNCTION("""COMPUTED_VALUE"""),"Data Science")</f>
        <v>Data Science</v>
      </c>
      <c r="G449" t="str">
        <f>IFERROR(__xludf.DUMMYFUNCTION("""COMPUTED_VALUE"""),"Analytics")</f>
        <v>Analytics</v>
      </c>
      <c r="H449">
        <f>IFERROR(__xludf.DUMMYFUNCTION("""COMPUTED_VALUE"""),1162868.0)</f>
        <v>1162868</v>
      </c>
      <c r="I449" s="140" t="str">
        <f>IFERROR(__xludf.DUMMYFUNCTION("""COMPUTED_VALUE"""),"")</f>
        <v/>
      </c>
      <c r="J449">
        <f>IFERROR(__xludf.DUMMYFUNCTION("""COMPUTED_VALUE"""),362818.0)</f>
        <v>362818</v>
      </c>
      <c r="K449" s="140" t="str">
        <f>IFERROR(__xludf.DUMMYFUNCTION("""COMPUTED_VALUE"""),"")</f>
        <v/>
      </c>
    </row>
    <row r="450">
      <c r="A450" s="143">
        <f>IFERROR(__xludf.DUMMYFUNCTION("""COMPUTED_VALUE"""),43159.0)</f>
        <v>43159</v>
      </c>
      <c r="B450" s="140">
        <f>IFERROR(__xludf.DUMMYFUNCTION("""COMPUTED_VALUE"""),552134.0)</f>
        <v>552134</v>
      </c>
      <c r="C450" s="142" t="str">
        <f>IFERROR(__xludf.DUMMYFUNCTION("""COMPUTED_VALUE"""),"Sales - Better Sales Results Start with Better Sales Ideas")</f>
        <v>Sales - Better Sales Results Start with Better Sales Ideas</v>
      </c>
      <c r="D450" t="str">
        <f>IFERROR(__xludf.DUMMYFUNCTION("""COMPUTED_VALUE"""),"Bob Marx")</f>
        <v>Bob Marx</v>
      </c>
      <c r="E450" t="str">
        <f>IFERROR(__xludf.DUMMYFUNCTION("""COMPUTED_VALUE"""),"Below Quality Standards")</f>
        <v>Below Quality Standards</v>
      </c>
      <c r="F450" t="str">
        <f>IFERROR(__xludf.DUMMYFUNCTION("""COMPUTED_VALUE"""),"Sales")</f>
        <v>Sales</v>
      </c>
      <c r="G450" t="str">
        <f>IFERROR(__xludf.DUMMYFUNCTION("""COMPUTED_VALUE"""),"Sales Skills")</f>
        <v>Sales Skills</v>
      </c>
      <c r="H450">
        <f>IFERROR(__xludf.DUMMYFUNCTION("""COMPUTED_VALUE"""),336450.0)</f>
        <v>336450</v>
      </c>
      <c r="I450" s="140" t="str">
        <f>IFERROR(__xludf.DUMMYFUNCTION("""COMPUTED_VALUE"""),"")</f>
        <v/>
      </c>
      <c r="K450" s="140" t="str">
        <f>IFERROR(__xludf.DUMMYFUNCTION("""COMPUTED_VALUE"""),"")</f>
        <v/>
      </c>
    </row>
    <row r="451">
      <c r="A451" s="143">
        <f>IFERROR(__xludf.DUMMYFUNCTION("""COMPUTED_VALUE"""),43159.0)</f>
        <v>43159</v>
      </c>
      <c r="B451" s="140">
        <f>IFERROR(__xludf.DUMMYFUNCTION("""COMPUTED_VALUE"""),1211566.0)</f>
        <v>1211566</v>
      </c>
      <c r="C451" s="142" t="str">
        <f>IFERROR(__xludf.DUMMYFUNCTION("""COMPUTED_VALUE"""),"R Programming For Absolute Beginners")</f>
        <v>R Programming For Absolute Beginners</v>
      </c>
      <c r="D451" t="str">
        <f>IFERROR(__xludf.DUMMYFUNCTION("""COMPUTED_VALUE"""),"Bogdan Anastasiei")</f>
        <v>Bogdan Anastasiei</v>
      </c>
      <c r="E451" t="str">
        <f>IFERROR(__xludf.DUMMYFUNCTION("""COMPUTED_VALUE"""),"Below Quality Standards")</f>
        <v>Below Quality Standards</v>
      </c>
      <c r="F451" t="str">
        <f>IFERROR(__xludf.DUMMYFUNCTION("""COMPUTED_VALUE"""),"Data Science")</f>
        <v>Data Science</v>
      </c>
      <c r="G451" t="str">
        <f>IFERROR(__xludf.DUMMYFUNCTION("""COMPUTED_VALUE"""),"Analytics")</f>
        <v>Analytics</v>
      </c>
      <c r="H451">
        <f>IFERROR(__xludf.DUMMYFUNCTION("""COMPUTED_VALUE"""),765242.0)</f>
        <v>765242</v>
      </c>
      <c r="I451" s="140" t="str">
        <f>IFERROR(__xludf.DUMMYFUNCTION("""COMPUTED_VALUE"""),"")</f>
        <v/>
      </c>
      <c r="K451" s="140" t="str">
        <f>IFERROR(__xludf.DUMMYFUNCTION("""COMPUTED_VALUE"""),"")</f>
        <v/>
      </c>
    </row>
    <row r="452">
      <c r="A452" s="143">
        <f>IFERROR(__xludf.DUMMYFUNCTION("""COMPUTED_VALUE"""),43159.0)</f>
        <v>43159</v>
      </c>
      <c r="B452" s="140">
        <f>IFERROR(__xludf.DUMMYFUNCTION("""COMPUTED_VALUE"""),532454.0)</f>
        <v>532454</v>
      </c>
      <c r="C452" s="142" t="str">
        <f>IFERROR(__xludf.DUMMYFUNCTION("""COMPUTED_VALUE"""),"Baseball Data Wrangling with Vagrant, R, and Retrosheet")</f>
        <v>Baseball Data Wrangling with Vagrant, R, and Retrosheet</v>
      </c>
      <c r="D452" t="str">
        <f>IFERROR(__xludf.DUMMYFUNCTION("""COMPUTED_VALUE"""),"Charles Redmond")</f>
        <v>Charles Redmond</v>
      </c>
      <c r="E452" t="str">
        <f>IFERROR(__xludf.DUMMYFUNCTION("""COMPUTED_VALUE"""),"Below Quality Standards")</f>
        <v>Below Quality Standards</v>
      </c>
      <c r="F452" t="str">
        <f>IFERROR(__xludf.DUMMYFUNCTION("""COMPUTED_VALUE"""),"Data Science")</f>
        <v>Data Science</v>
      </c>
      <c r="G452" t="str">
        <f>IFERROR(__xludf.DUMMYFUNCTION("""COMPUTED_VALUE"""),"Analytics")</f>
        <v>Analytics</v>
      </c>
      <c r="H452">
        <f>IFERROR(__xludf.DUMMYFUNCTION("""COMPUTED_VALUE"""),116286.0)</f>
        <v>116286</v>
      </c>
      <c r="I452" s="140" t="str">
        <f>IFERROR(__xludf.DUMMYFUNCTION("""COMPUTED_VALUE"""),"")</f>
        <v/>
      </c>
      <c r="K452" s="140" t="str">
        <f>IFERROR(__xludf.DUMMYFUNCTION("""COMPUTED_VALUE"""),"")</f>
        <v/>
      </c>
    </row>
    <row r="453">
      <c r="A453" s="143">
        <f>IFERROR(__xludf.DUMMYFUNCTION("""COMPUTED_VALUE"""),43159.0)</f>
        <v>43159</v>
      </c>
      <c r="B453" s="140">
        <f>IFERROR(__xludf.DUMMYFUNCTION("""COMPUTED_VALUE"""),524138.0)</f>
        <v>524138</v>
      </c>
      <c r="C453" s="142" t="str">
        <f>IFERROR(__xludf.DUMMYFUNCTION("""COMPUTED_VALUE"""),"Baseball Database Queries with SQL and dplyr")</f>
        <v>Baseball Database Queries with SQL and dplyr</v>
      </c>
      <c r="D453" t="str">
        <f>IFERROR(__xludf.DUMMYFUNCTION("""COMPUTED_VALUE"""),"Charles Redmond")</f>
        <v>Charles Redmond</v>
      </c>
      <c r="E453" t="str">
        <f>IFERROR(__xludf.DUMMYFUNCTION("""COMPUTED_VALUE"""),"Below Quality Standards")</f>
        <v>Below Quality Standards</v>
      </c>
      <c r="F453" t="str">
        <f>IFERROR(__xludf.DUMMYFUNCTION("""COMPUTED_VALUE"""),"Data Science")</f>
        <v>Data Science</v>
      </c>
      <c r="G453" t="str">
        <f>IFERROR(__xludf.DUMMYFUNCTION("""COMPUTED_VALUE"""),"Analytics")</f>
        <v>Analytics</v>
      </c>
      <c r="H453">
        <f>IFERROR(__xludf.DUMMYFUNCTION("""COMPUTED_VALUE"""),116286.0)</f>
        <v>116286</v>
      </c>
      <c r="I453" s="140" t="str">
        <f>IFERROR(__xludf.DUMMYFUNCTION("""COMPUTED_VALUE"""),"")</f>
        <v/>
      </c>
      <c r="K453" s="140" t="str">
        <f>IFERROR(__xludf.DUMMYFUNCTION("""COMPUTED_VALUE"""),"")</f>
        <v/>
      </c>
      <c r="M453" t="str">
        <f>IFERROR(__xludf.DUMMYFUNCTION("""COMPUTED_VALUE"""),"Data Science")</f>
        <v>Data Science</v>
      </c>
      <c r="N453" s="143" t="str">
        <f>IFERROR(__xludf.DUMMYFUNCTION("""COMPUTED_VALUE"""),"Big Data")</f>
        <v>Big Data</v>
      </c>
    </row>
    <row r="454">
      <c r="A454" s="143">
        <f>IFERROR(__xludf.DUMMYFUNCTION("""COMPUTED_VALUE"""),43159.0)</f>
        <v>43159</v>
      </c>
      <c r="B454" s="140">
        <f>IFERROR(__xludf.DUMMYFUNCTION("""COMPUTED_VALUE"""),572380.0)</f>
        <v>572380</v>
      </c>
      <c r="C454" s="142" t="str">
        <f>IFERROR(__xludf.DUMMYFUNCTION("""COMPUTED_VALUE"""),"Batting Location Charts with Vagrant and MySQL")</f>
        <v>Batting Location Charts with Vagrant and MySQL</v>
      </c>
      <c r="D454" t="str">
        <f>IFERROR(__xludf.DUMMYFUNCTION("""COMPUTED_VALUE"""),"Charles Redmond")</f>
        <v>Charles Redmond</v>
      </c>
      <c r="E454" t="str">
        <f>IFERROR(__xludf.DUMMYFUNCTION("""COMPUTED_VALUE"""),"Below Quality Standards")</f>
        <v>Below Quality Standards</v>
      </c>
      <c r="F454" t="str">
        <f>IFERROR(__xludf.DUMMYFUNCTION("""COMPUTED_VALUE"""),"Data Science")</f>
        <v>Data Science</v>
      </c>
      <c r="G454" t="str">
        <f>IFERROR(__xludf.DUMMYFUNCTION("""COMPUTED_VALUE"""),"Analytics")</f>
        <v>Analytics</v>
      </c>
      <c r="H454">
        <f>IFERROR(__xludf.DUMMYFUNCTION("""COMPUTED_VALUE"""),116286.0)</f>
        <v>116286</v>
      </c>
      <c r="I454" s="140" t="str">
        <f>IFERROR(__xludf.DUMMYFUNCTION("""COMPUTED_VALUE"""),"")</f>
        <v/>
      </c>
      <c r="K454" s="140" t="str">
        <f>IFERROR(__xludf.DUMMYFUNCTION("""COMPUTED_VALUE"""),"")</f>
        <v/>
      </c>
    </row>
    <row r="455">
      <c r="A455" s="143">
        <f>IFERROR(__xludf.DUMMYFUNCTION("""COMPUTED_VALUE"""),43159.0)</f>
        <v>43159</v>
      </c>
      <c r="B455" s="140">
        <f>IFERROR(__xludf.DUMMYFUNCTION("""COMPUTED_VALUE"""),546700.0)</f>
        <v>546700</v>
      </c>
      <c r="C455" s="142" t="str">
        <f>IFERROR(__xludf.DUMMYFUNCTION("""COMPUTED_VALUE"""),"Pitch Location Charts with PITCHf/x and ggplot")</f>
        <v>Pitch Location Charts with PITCHf/x and ggplot</v>
      </c>
      <c r="D455" t="str">
        <f>IFERROR(__xludf.DUMMYFUNCTION("""COMPUTED_VALUE"""),"Charles Redmond")</f>
        <v>Charles Redmond</v>
      </c>
      <c r="E455" t="str">
        <f>IFERROR(__xludf.DUMMYFUNCTION("""COMPUTED_VALUE"""),"Below Quality Standards")</f>
        <v>Below Quality Standards</v>
      </c>
      <c r="F455" t="str">
        <f>IFERROR(__xludf.DUMMYFUNCTION("""COMPUTED_VALUE"""),"Data Science")</f>
        <v>Data Science</v>
      </c>
      <c r="G455" t="str">
        <f>IFERROR(__xludf.DUMMYFUNCTION("""COMPUTED_VALUE"""),"Analytics")</f>
        <v>Analytics</v>
      </c>
      <c r="H455">
        <f>IFERROR(__xludf.DUMMYFUNCTION("""COMPUTED_VALUE"""),116286.0)</f>
        <v>116286</v>
      </c>
      <c r="I455" s="140" t="str">
        <f>IFERROR(__xludf.DUMMYFUNCTION("""COMPUTED_VALUE"""),"")</f>
        <v/>
      </c>
      <c r="K455" s="140" t="str">
        <f>IFERROR(__xludf.DUMMYFUNCTION("""COMPUTED_VALUE"""),"")</f>
        <v/>
      </c>
    </row>
    <row r="456">
      <c r="A456" s="143">
        <f>IFERROR(__xludf.DUMMYFUNCTION("""COMPUTED_VALUE"""),43159.0)</f>
        <v>43159</v>
      </c>
      <c r="B456" s="140">
        <f>IFERROR(__xludf.DUMMYFUNCTION("""COMPUTED_VALUE"""),754920.0)</f>
        <v>754920</v>
      </c>
      <c r="C456" s="142" t="str">
        <f>IFERROR(__xludf.DUMMYFUNCTION("""COMPUTED_VALUE"""),"Business Analysis Demonstrated")</f>
        <v>Business Analysis Demonstrated</v>
      </c>
      <c r="D456" t="str">
        <f>IFERROR(__xludf.DUMMYFUNCTION("""COMPUTED_VALUE"""),"Cristian Fador")</f>
        <v>Cristian Fador</v>
      </c>
      <c r="E456" t="str">
        <f>IFERROR(__xludf.DUMMYFUNCTION("""COMPUTED_VALUE"""),"Below Quality Standards")</f>
        <v>Below Quality Standards</v>
      </c>
      <c r="F456" t="str">
        <f>IFERROR(__xludf.DUMMYFUNCTION("""COMPUTED_VALUE"""),"Project Management and Operations")</f>
        <v>Project Management and Operations</v>
      </c>
      <c r="G456" t="str">
        <f>IFERROR(__xludf.DUMMYFUNCTION("""COMPUTED_VALUE"""),"Operations Management")</f>
        <v>Operations Management</v>
      </c>
      <c r="H456">
        <f>IFERROR(__xludf.DUMMYFUNCTION("""COMPUTED_VALUE"""),751792.0)</f>
        <v>751792</v>
      </c>
      <c r="I456" s="140" t="str">
        <f>IFERROR(__xludf.DUMMYFUNCTION("""COMPUTED_VALUE"""),"")</f>
        <v/>
      </c>
      <c r="J456">
        <f>IFERROR(__xludf.DUMMYFUNCTION("""COMPUTED_VALUE"""),1025822.0)</f>
        <v>1025822</v>
      </c>
      <c r="K456" s="140" t="str">
        <f>IFERROR(__xludf.DUMMYFUNCTION("""COMPUTED_VALUE"""),"")</f>
        <v/>
      </c>
    </row>
    <row r="457">
      <c r="A457" s="143">
        <f>IFERROR(__xludf.DUMMYFUNCTION("""COMPUTED_VALUE"""),43159.0)</f>
        <v>43159</v>
      </c>
      <c r="B457" s="140">
        <f>IFERROR(__xludf.DUMMYFUNCTION("""COMPUTED_VALUE"""),979026.0)</f>
        <v>979026</v>
      </c>
      <c r="C457" s="142" t="str">
        <f>IFERROR(__xludf.DUMMYFUNCTION("""COMPUTED_VALUE"""),"Learn geographic information systems (GIS) with QGIS")</f>
        <v>Learn geographic information systems (GIS) with QGIS</v>
      </c>
      <c r="D457" t="str">
        <f>IFERROR(__xludf.DUMMYFUNCTION("""COMPUTED_VALUE"""),"Dr. Arthur Lembo")</f>
        <v>Dr. Arthur Lembo</v>
      </c>
      <c r="E457" t="str">
        <f>IFERROR(__xludf.DUMMYFUNCTION("""COMPUTED_VALUE"""),"Below Quality Standards")</f>
        <v>Below Quality Standards</v>
      </c>
      <c r="F457" t="str">
        <f>IFERROR(__xludf.DUMMYFUNCTION("""COMPUTED_VALUE"""),"Data Science")</f>
        <v>Data Science</v>
      </c>
      <c r="G457" t="str">
        <f>IFERROR(__xludf.DUMMYFUNCTION("""COMPUTED_VALUE"""),"Big Data")</f>
        <v>Big Data</v>
      </c>
      <c r="H457">
        <f>IFERROR(__xludf.DUMMYFUNCTION("""COMPUTED_VALUE"""),969212.0)</f>
        <v>969212</v>
      </c>
      <c r="I457" s="140" t="str">
        <f>IFERROR(__xludf.DUMMYFUNCTION("""COMPUTED_VALUE"""),"")</f>
        <v/>
      </c>
      <c r="K457" s="140" t="str">
        <f>IFERROR(__xludf.DUMMYFUNCTION("""COMPUTED_VALUE"""),"")</f>
        <v/>
      </c>
      <c r="M457" t="str">
        <f>IFERROR(__xludf.DUMMYFUNCTION("""COMPUTED_VALUE"""),"Development")</f>
        <v>Development</v>
      </c>
      <c r="N457" s="143" t="str">
        <f>IFERROR(__xludf.DUMMYFUNCTION("""COMPUTED_VALUE"""),"Programming")</f>
        <v>Programming</v>
      </c>
    </row>
    <row r="458">
      <c r="A458" s="143">
        <f>IFERROR(__xludf.DUMMYFUNCTION("""COMPUTED_VALUE"""),43159.0)</f>
        <v>43159</v>
      </c>
      <c r="B458" s="140">
        <f>IFERROR(__xludf.DUMMYFUNCTION("""COMPUTED_VALUE"""),687186.0)</f>
        <v>687186</v>
      </c>
      <c r="C458" s="142" t="str">
        <f>IFERROR(__xludf.DUMMYFUNCTION("""COMPUTED_VALUE"""),"Spatial SQL with Postgres : A language for geographers")</f>
        <v>Spatial SQL with Postgres : A language for geographers</v>
      </c>
      <c r="D458" t="str">
        <f>IFERROR(__xludf.DUMMYFUNCTION("""COMPUTED_VALUE"""),"Dr. Arthur Lembo")</f>
        <v>Dr. Arthur Lembo</v>
      </c>
      <c r="E458" t="str">
        <f>IFERROR(__xludf.DUMMYFUNCTION("""COMPUTED_VALUE"""),"Below Quality Standards")</f>
        <v>Below Quality Standards</v>
      </c>
      <c r="F458" t="str">
        <f>IFERROR(__xludf.DUMMYFUNCTION("""COMPUTED_VALUE"""),"Data Science")</f>
        <v>Data Science</v>
      </c>
      <c r="G458" t="str">
        <f>IFERROR(__xludf.DUMMYFUNCTION("""COMPUTED_VALUE"""),"Big Data")</f>
        <v>Big Data</v>
      </c>
      <c r="H458">
        <f>IFERROR(__xludf.DUMMYFUNCTION("""COMPUTED_VALUE"""),969212.0)</f>
        <v>969212</v>
      </c>
      <c r="I458" s="140" t="str">
        <f>IFERROR(__xludf.DUMMYFUNCTION("""COMPUTED_VALUE"""),"")</f>
        <v/>
      </c>
      <c r="K458" s="140" t="str">
        <f>IFERROR(__xludf.DUMMYFUNCTION("""COMPUTED_VALUE"""),"")</f>
        <v/>
      </c>
    </row>
    <row r="459">
      <c r="A459" s="143">
        <f>IFERROR(__xludf.DUMMYFUNCTION("""COMPUTED_VALUE"""),43159.0)</f>
        <v>43159</v>
      </c>
      <c r="B459" s="140">
        <f>IFERROR(__xludf.DUMMYFUNCTION("""COMPUTED_VALUE"""),1011776.0)</f>
        <v>1011776</v>
      </c>
      <c r="C459" s="142" t="str">
        <f>IFERROR(__xludf.DUMMYFUNCTION("""COMPUTED_VALUE"""),"Oracle SQL - From Beginner to Pro")</f>
        <v>Oracle SQL - From Beginner to Pro</v>
      </c>
      <c r="D459" t="str">
        <f>IFERROR(__xludf.DUMMYFUNCTION("""COMPUTED_VALUE"""),"Dr. Rick Phillips")</f>
        <v>Dr. Rick Phillips</v>
      </c>
      <c r="E459" t="str">
        <f>IFERROR(__xludf.DUMMYFUNCTION("""COMPUTED_VALUE"""),"Below Quality Standards")</f>
        <v>Below Quality Standards</v>
      </c>
      <c r="F459" t="str">
        <f>IFERROR(__xludf.DUMMYFUNCTION("""COMPUTED_VALUE"""),"Development")</f>
        <v>Development</v>
      </c>
      <c r="G459" t="str">
        <f>IFERROR(__xludf.DUMMYFUNCTION("""COMPUTED_VALUE"""),"Databases")</f>
        <v>Databases</v>
      </c>
      <c r="H459">
        <f>IFERROR(__xludf.DUMMYFUNCTION("""COMPUTED_VALUE"""),866196.0)</f>
        <v>866196</v>
      </c>
      <c r="I459" s="140" t="str">
        <f>IFERROR(__xludf.DUMMYFUNCTION("""COMPUTED_VALUE"""),"")</f>
        <v/>
      </c>
      <c r="K459" s="140" t="str">
        <f>IFERROR(__xludf.DUMMYFUNCTION("""COMPUTED_VALUE"""),"")</f>
        <v/>
      </c>
    </row>
    <row r="460">
      <c r="A460" s="143">
        <f>IFERROR(__xludf.DUMMYFUNCTION("""COMPUTED_VALUE"""),43159.0)</f>
        <v>43159</v>
      </c>
      <c r="B460" s="140">
        <f>IFERROR(__xludf.DUMMYFUNCTION("""COMPUTED_VALUE"""),307510.0)</f>
        <v>307510</v>
      </c>
      <c r="C460" s="142" t="str">
        <f>IFERROR(__xludf.DUMMYFUNCTION("""COMPUTED_VALUE"""),"The Theory of Numbers - Andrew Wiles")</f>
        <v>The Theory of Numbers - Andrew Wiles</v>
      </c>
      <c r="D460" t="str">
        <f>IFERROR(__xludf.DUMMYFUNCTION("""COMPUTED_VALUE"""),"EDOOTV - The knowledge dispenser")</f>
        <v>EDOOTV - The knowledge dispenser</v>
      </c>
      <c r="E460" t="str">
        <f>IFERROR(__xludf.DUMMYFUNCTION("""COMPUTED_VALUE"""),"Below Quality Standards")</f>
        <v>Below Quality Standards</v>
      </c>
      <c r="F460" t="str">
        <f>IFERROR(__xludf.DUMMYFUNCTION("""COMPUTED_VALUE"""),"Data Science")</f>
        <v>Data Science</v>
      </c>
      <c r="G460" t="str">
        <f>IFERROR(__xludf.DUMMYFUNCTION("""COMPUTED_VALUE"""),"Analytics")</f>
        <v>Analytics</v>
      </c>
      <c r="H460">
        <f>IFERROR(__xludf.DUMMYFUNCTION("""COMPUTED_VALUE"""),221578.0)</f>
        <v>221578</v>
      </c>
      <c r="I460" s="140" t="str">
        <f>IFERROR(__xludf.DUMMYFUNCTION("""COMPUTED_VALUE"""),"")</f>
        <v/>
      </c>
      <c r="K460" s="140" t="str">
        <f>IFERROR(__xludf.DUMMYFUNCTION("""COMPUTED_VALUE"""),"")</f>
        <v/>
      </c>
    </row>
    <row r="461">
      <c r="A461" s="143">
        <f>IFERROR(__xludf.DUMMYFUNCTION("""COMPUTED_VALUE"""),43159.0)</f>
        <v>43159</v>
      </c>
      <c r="B461" s="140">
        <f>IFERROR(__xludf.DUMMYFUNCTION("""COMPUTED_VALUE"""),680180.0)</f>
        <v>680180</v>
      </c>
      <c r="C461" s="142" t="str">
        <f>IFERROR(__xludf.DUMMYFUNCTION("""COMPUTED_VALUE"""),"Learn to Build Web Apps using D3JS")</f>
        <v>Learn to Build Web Apps using D3JS</v>
      </c>
      <c r="D461" t="str">
        <f>IFERROR(__xludf.DUMMYFUNCTION("""COMPUTED_VALUE"""),"Eduonix Learning Solutions")</f>
        <v>Eduonix Learning Solutions</v>
      </c>
      <c r="E461" t="str">
        <f>IFERROR(__xludf.DUMMYFUNCTION("""COMPUTED_VALUE"""),"Below Quality Standards")</f>
        <v>Below Quality Standards</v>
      </c>
      <c r="F461" t="str">
        <f>IFERROR(__xludf.DUMMYFUNCTION("""COMPUTED_VALUE"""),"Development")</f>
        <v>Development</v>
      </c>
      <c r="G461" t="str">
        <f>IFERROR(__xludf.DUMMYFUNCTION("""COMPUTED_VALUE"""),"Web Development")</f>
        <v>Web Development</v>
      </c>
      <c r="H461">
        <f>IFERROR(__xludf.DUMMYFUNCTION("""COMPUTED_VALUE"""),1368106.0)</f>
        <v>1368106</v>
      </c>
      <c r="I461" s="140" t="str">
        <f>IFERROR(__xludf.DUMMYFUNCTION("""COMPUTED_VALUE"""),"")</f>
        <v/>
      </c>
      <c r="J461">
        <f>IFERROR(__xludf.DUMMYFUNCTION("""COMPUTED_VALUE"""),1360998.0)</f>
        <v>1360998</v>
      </c>
      <c r="K461" s="140" t="str">
        <f>IFERROR(__xludf.DUMMYFUNCTION("""COMPUTED_VALUE"""),"")</f>
        <v/>
      </c>
    </row>
    <row r="462">
      <c r="A462" s="143">
        <f>IFERROR(__xludf.DUMMYFUNCTION("""COMPUTED_VALUE"""),43159.0)</f>
        <v>43159</v>
      </c>
      <c r="B462" s="140">
        <f>IFERROR(__xludf.DUMMYFUNCTION("""COMPUTED_VALUE"""),274478.0)</f>
        <v>274478</v>
      </c>
      <c r="C462" s="142" t="str">
        <f>IFERROR(__xludf.DUMMYFUNCTION("""COMPUTED_VALUE"""),"Prince2 Foundation Training 2017")</f>
        <v>Prince2 Foundation Training 2017</v>
      </c>
      <c r="D462" t="str">
        <f>IFERROR(__xludf.DUMMYFUNCTION("""COMPUTED_VALUE"""),"GreyCampus Inc.")</f>
        <v>GreyCampus Inc.</v>
      </c>
      <c r="E462" t="str">
        <f>IFERROR(__xludf.DUMMYFUNCTION("""COMPUTED_VALUE"""),"Below Quality Standards")</f>
        <v>Below Quality Standards</v>
      </c>
      <c r="F462" t="str">
        <f>IFERROR(__xludf.DUMMYFUNCTION("""COMPUTED_VALUE"""),"Project Management and Operations")</f>
        <v>Project Management and Operations</v>
      </c>
      <c r="G462" t="str">
        <f>IFERROR(__xludf.DUMMYFUNCTION("""COMPUTED_VALUE"""),"Project Management Certifications")</f>
        <v>Project Management Certifications</v>
      </c>
      <c r="H462">
        <f>IFERROR(__xludf.DUMMYFUNCTION("""COMPUTED_VALUE"""),324736.0)</f>
        <v>324736</v>
      </c>
      <c r="I462" s="140" t="str">
        <f>IFERROR(__xludf.DUMMYFUNCTION("""COMPUTED_VALUE"""),"")</f>
        <v/>
      </c>
      <c r="K462" s="140" t="str">
        <f>IFERROR(__xludf.DUMMYFUNCTION("""COMPUTED_VALUE"""),"")</f>
        <v/>
      </c>
    </row>
    <row r="463">
      <c r="A463" s="143">
        <f>IFERROR(__xludf.DUMMYFUNCTION("""COMPUTED_VALUE"""),43159.0)</f>
        <v>43159</v>
      </c>
      <c r="B463" s="140">
        <f>IFERROR(__xludf.DUMMYFUNCTION("""COMPUTED_VALUE"""),838832.0)</f>
        <v>838832</v>
      </c>
      <c r="C463" s="142" t="str">
        <f>IFERROR(__xludf.DUMMYFUNCTION("""COMPUTED_VALUE"""),"GIS for Beginners #1: QGIS Orientation")</f>
        <v>GIS for Beginners #1: QGIS Orientation</v>
      </c>
      <c r="D463" t="str">
        <f>IFERROR(__xludf.DUMMYFUNCTION("""COMPUTED_VALUE"""),"Ian Allan")</f>
        <v>Ian Allan</v>
      </c>
      <c r="E463" t="str">
        <f>IFERROR(__xludf.DUMMYFUNCTION("""COMPUTED_VALUE"""),"Below Quality Standards")</f>
        <v>Below Quality Standards</v>
      </c>
      <c r="F463" t="str">
        <f>IFERROR(__xludf.DUMMYFUNCTION("""COMPUTED_VALUE"""),"Data Science")</f>
        <v>Data Science</v>
      </c>
      <c r="G463" t="str">
        <f>IFERROR(__xludf.DUMMYFUNCTION("""COMPUTED_VALUE"""),"Big Data")</f>
        <v>Big Data</v>
      </c>
      <c r="H463">
        <f>IFERROR(__xludf.DUMMYFUNCTION("""COMPUTED_VALUE"""),969212.0)</f>
        <v>969212</v>
      </c>
      <c r="I463" s="140" t="str">
        <f>IFERROR(__xludf.DUMMYFUNCTION("""COMPUTED_VALUE"""),"")</f>
        <v/>
      </c>
      <c r="K463" s="140" t="str">
        <f>IFERROR(__xludf.DUMMYFUNCTION("""COMPUTED_VALUE"""),"")</f>
        <v/>
      </c>
      <c r="M463" t="str">
        <f>IFERROR(__xludf.DUMMYFUNCTION("""COMPUTED_VALUE"""),"Development")</f>
        <v>Development</v>
      </c>
      <c r="N463" s="143" t="str">
        <f>IFERROR(__xludf.DUMMYFUNCTION("""COMPUTED_VALUE"""),"Programming")</f>
        <v>Programming</v>
      </c>
    </row>
    <row r="464">
      <c r="A464" s="143">
        <f>IFERROR(__xludf.DUMMYFUNCTION("""COMPUTED_VALUE"""),43159.0)</f>
        <v>43159</v>
      </c>
      <c r="B464" s="140">
        <f>IFERROR(__xludf.DUMMYFUNCTION("""COMPUTED_VALUE"""),794544.0)</f>
        <v>794544</v>
      </c>
      <c r="C464" s="142" t="str">
        <f>IFERROR(__xludf.DUMMYFUNCTION("""COMPUTED_VALUE"""),"Complete Penetration Testing and Ethical hacking Bootcamp")</f>
        <v>Complete Penetration Testing and Ethical hacking Bootcamp</v>
      </c>
      <c r="D464" t="str">
        <f>IFERROR(__xludf.DUMMYFUNCTION("""COMPUTED_VALUE"""),"Igneus Technologies")</f>
        <v>Igneus Technologies</v>
      </c>
      <c r="E464" t="str">
        <f>IFERROR(__xludf.DUMMYFUNCTION("""COMPUTED_VALUE"""),"Below Quality Standards")</f>
        <v>Below Quality Standards</v>
      </c>
      <c r="F464" t="str">
        <f>IFERROR(__xludf.DUMMYFUNCTION("""COMPUTED_VALUE"""),"IT and Software")</f>
        <v>IT and Software</v>
      </c>
      <c r="G464" t="str">
        <f>IFERROR(__xludf.DUMMYFUNCTION("""COMPUTED_VALUE"""),"Network and Security")</f>
        <v>Network and Security</v>
      </c>
      <c r="H464">
        <f>IFERROR(__xludf.DUMMYFUNCTION("""COMPUTED_VALUE"""),984734.0)</f>
        <v>984734</v>
      </c>
      <c r="I464" s="140" t="str">
        <f>IFERROR(__xludf.DUMMYFUNCTION("""COMPUTED_VALUE"""),"")</f>
        <v/>
      </c>
      <c r="K464" s="140" t="str">
        <f>IFERROR(__xludf.DUMMYFUNCTION("""COMPUTED_VALUE"""),"")</f>
        <v/>
      </c>
      <c r="Q464" t="str">
        <f>IFERROR(__xludf.DUMMYFUNCTION("""COMPUTED_VALUE"""),"Low Demand")</f>
        <v>Low Demand</v>
      </c>
    </row>
    <row r="465">
      <c r="A465" s="143">
        <f>IFERROR(__xludf.DUMMYFUNCTION("""COMPUTED_VALUE"""),43159.0)</f>
        <v>43159</v>
      </c>
      <c r="B465" s="140">
        <f>IFERROR(__xludf.DUMMYFUNCTION("""COMPUTED_VALUE"""),51022.0)</f>
        <v>51022</v>
      </c>
      <c r="C465" s="142" t="str">
        <f>IFERROR(__xludf.DUMMYFUNCTION("""COMPUTED_VALUE"""),"Crystal Reports 2008 Introduction")</f>
        <v>Crystal Reports 2008 Introduction</v>
      </c>
      <c r="D465" t="str">
        <f>IFERROR(__xludf.DUMMYFUNCTION("""COMPUTED_VALUE"""),"Intellezy Trainers")</f>
        <v>Intellezy Trainers</v>
      </c>
      <c r="E465" t="str">
        <f>IFERROR(__xludf.DUMMYFUNCTION("""COMPUTED_VALUE"""),"Below Quality Standards")</f>
        <v>Below Quality Standards</v>
      </c>
      <c r="F465" t="str">
        <f>IFERROR(__xludf.DUMMYFUNCTION("""COMPUTED_VALUE"""),"Data Science")</f>
        <v>Data Science</v>
      </c>
      <c r="G465" t="str">
        <f>IFERROR(__xludf.DUMMYFUNCTION("""COMPUTED_VALUE"""),"Analytics")</f>
        <v>Analytics</v>
      </c>
      <c r="H465">
        <f>IFERROR(__xludf.DUMMYFUNCTION("""COMPUTED_VALUE"""),118424.0)</f>
        <v>118424</v>
      </c>
      <c r="I465" s="140" t="str">
        <f>IFERROR(__xludf.DUMMYFUNCTION("""COMPUTED_VALUE"""),"")</f>
        <v/>
      </c>
      <c r="K465" s="140" t="str">
        <f>IFERROR(__xludf.DUMMYFUNCTION("""COMPUTED_VALUE"""),"")</f>
        <v/>
      </c>
    </row>
    <row r="466">
      <c r="A466" s="143">
        <f>IFERROR(__xludf.DUMMYFUNCTION("""COMPUTED_VALUE"""),43148.0)</f>
        <v>43148</v>
      </c>
      <c r="B466" s="140">
        <f>IFERROR(__xludf.DUMMYFUNCTION("""COMPUTED_VALUE"""),1347324.0)</f>
        <v>1347324</v>
      </c>
      <c r="C466" t="str">
        <f>IFERROR(__xludf.DUMMYFUNCTION("""COMPUTED_VALUE"""),"CISSP Certification - Preparing For the Exam")</f>
        <v>CISSP Certification - Preparing For the Exam</v>
      </c>
      <c r="D466" t="str">
        <f>IFERROR(__xludf.DUMMYFUNCTION("""COMPUTED_VALUE"""),"iTech Academy, Inc.")</f>
        <v>iTech Academy, Inc.</v>
      </c>
      <c r="E466" t="str">
        <f>IFERROR(__xludf.DUMMYFUNCTION("""COMPUTED_VALUE"""),"Instructor Practices")</f>
        <v>Instructor Practices</v>
      </c>
      <c r="F466" t="str">
        <f>IFERROR(__xludf.DUMMYFUNCTION("""COMPUTED_VALUE"""),"IT and Software")</f>
        <v>IT and Software</v>
      </c>
      <c r="G466" t="str">
        <f>IFERROR(__xludf.DUMMYFUNCTION("""COMPUTED_VALUE"""),"IT Certifications")</f>
        <v>IT Certifications</v>
      </c>
      <c r="H466">
        <f>IFERROR(__xludf.DUMMYFUNCTION("""COMPUTED_VALUE"""),1420626.0)</f>
        <v>1420626</v>
      </c>
      <c r="I466" s="140" t="str">
        <f>IFERROR(__xludf.DUMMYFUNCTION("""COMPUTED_VALUE"""),"")</f>
        <v/>
      </c>
      <c r="K466" s="140" t="str">
        <f>IFERROR(__xludf.DUMMYFUNCTION("""COMPUTED_VALUE"""),"")</f>
        <v/>
      </c>
    </row>
    <row r="467">
      <c r="A467" s="143">
        <f>IFERROR(__xludf.DUMMYFUNCTION("""COMPUTED_VALUE"""),43136.0)</f>
        <v>43136</v>
      </c>
      <c r="B467" s="140">
        <f>IFERROR(__xludf.DUMMYFUNCTION("""COMPUTED_VALUE"""),1404172.0)</f>
        <v>1404172</v>
      </c>
      <c r="C467" s="142" t="str">
        <f>IFERROR(__xludf.DUMMYFUNCTION("""COMPUTED_VALUE"""),"Hadoop MAPREDUCE In Depth - A Real Time Course on MapReduce")</f>
        <v>Hadoop MAPREDUCE In Depth - A Real Time Course on MapReduce</v>
      </c>
      <c r="D467" t="str">
        <f>IFERROR(__xludf.DUMMYFUNCTION("""COMPUTED_VALUE"""),"J Garg")</f>
        <v>J Garg</v>
      </c>
      <c r="E467" t="str">
        <f>IFERROR(__xludf.DUMMYFUNCTION("""COMPUTED_VALUE"""),"Instructor Practices")</f>
        <v>Instructor Practices</v>
      </c>
      <c r="F467" t="str">
        <f>IFERROR(__xludf.DUMMYFUNCTION("""COMPUTED_VALUE"""),"Data Science")</f>
        <v>Data Science</v>
      </c>
      <c r="G467" t="str">
        <f>IFERROR(__xludf.DUMMYFUNCTION("""COMPUTED_VALUE"""),"Big Data")</f>
        <v>Big Data</v>
      </c>
      <c r="H467">
        <f>IFERROR(__xludf.DUMMYFUNCTION("""COMPUTED_VALUE"""),540270.0)</f>
        <v>540270</v>
      </c>
      <c r="I467" s="140" t="str">
        <f>IFERROR(__xludf.DUMMYFUNCTION("""COMPUTED_VALUE"""),"")</f>
        <v/>
      </c>
      <c r="K467" s="140" t="str">
        <f>IFERROR(__xludf.DUMMYFUNCTION("""COMPUTED_VALUE"""),"")</f>
        <v/>
      </c>
    </row>
    <row r="468">
      <c r="A468" s="143">
        <f>IFERROR(__xludf.DUMMYFUNCTION("""COMPUTED_VALUE"""),43159.0)</f>
        <v>43159</v>
      </c>
      <c r="B468" s="140">
        <f>IFERROR(__xludf.DUMMYFUNCTION("""COMPUTED_VALUE"""),1059196.0)</f>
        <v>1059196</v>
      </c>
      <c r="C468" s="142" t="str">
        <f>IFERROR(__xludf.DUMMYFUNCTION("""COMPUTED_VALUE"""),"Business Skills: Email Etiquette Rules Everyone Should Know")</f>
        <v>Business Skills: Email Etiquette Rules Everyone Should Know</v>
      </c>
      <c r="D468" t="str">
        <f>IFERROR(__xludf.DUMMYFUNCTION("""COMPUTED_VALUE"""),"Jacqueline Seidel")</f>
        <v>Jacqueline Seidel</v>
      </c>
      <c r="E468" t="str">
        <f>IFERROR(__xludf.DUMMYFUNCTION("""COMPUTED_VALUE"""),"Below Quality Standards")</f>
        <v>Below Quality Standards</v>
      </c>
      <c r="F468" t="str">
        <f>IFERROR(__xludf.DUMMYFUNCTION("""COMPUTED_VALUE"""),"Management")</f>
        <v>Management</v>
      </c>
      <c r="G468" t="str">
        <f>IFERROR(__xludf.DUMMYFUNCTION("""COMPUTED_VALUE"""),"Communication")</f>
        <v>Communication</v>
      </c>
      <c r="H468">
        <f>IFERROR(__xludf.DUMMYFUNCTION("""COMPUTED_VALUE"""),946654.0)</f>
        <v>946654</v>
      </c>
      <c r="I468" s="140" t="str">
        <f>IFERROR(__xludf.DUMMYFUNCTION("""COMPUTED_VALUE"""),"")</f>
        <v/>
      </c>
      <c r="K468" s="140" t="str">
        <f>IFERROR(__xludf.DUMMYFUNCTION("""COMPUTED_VALUE"""),"")</f>
        <v/>
      </c>
    </row>
    <row r="469">
      <c r="A469" s="143">
        <f>IFERROR(__xludf.DUMMYFUNCTION("""COMPUTED_VALUE"""),43159.0)</f>
        <v>43159</v>
      </c>
      <c r="B469" s="140">
        <f>IFERROR(__xludf.DUMMYFUNCTION("""COMPUTED_VALUE"""),645950.0)</f>
        <v>645950</v>
      </c>
      <c r="C469" s="142" t="str">
        <f>IFERROR(__xludf.DUMMYFUNCTION("""COMPUTED_VALUE"""),"Hands on Internet of Things: Get started with a Raspberry Pi")</f>
        <v>Hands on Internet of Things: Get started with a Raspberry Pi</v>
      </c>
      <c r="D469" t="str">
        <f>IFERROR(__xludf.DUMMYFUNCTION("""COMPUTED_VALUE"""),"Jeremy Morgan")</f>
        <v>Jeremy Morgan</v>
      </c>
      <c r="E469" t="str">
        <f>IFERROR(__xludf.DUMMYFUNCTION("""COMPUTED_VALUE"""),"Below Quality Standards")</f>
        <v>Below Quality Standards</v>
      </c>
      <c r="F469" t="str">
        <f>IFERROR(__xludf.DUMMYFUNCTION("""COMPUTED_VALUE"""),"IT and Software")</f>
        <v>IT and Software</v>
      </c>
      <c r="G469" t="str">
        <f>IFERROR(__xludf.DUMMYFUNCTION("""COMPUTED_VALUE"""),"Hardware")</f>
        <v>Hardware</v>
      </c>
      <c r="H469">
        <f>IFERROR(__xludf.DUMMYFUNCTION("""COMPUTED_VALUE"""),530088.0)</f>
        <v>530088</v>
      </c>
      <c r="I469" s="140" t="str">
        <f>IFERROR(__xludf.DUMMYFUNCTION("""COMPUTED_VALUE"""),"")</f>
        <v/>
      </c>
      <c r="K469" s="140" t="str">
        <f>IFERROR(__xludf.DUMMYFUNCTION("""COMPUTED_VALUE"""),"")</f>
        <v/>
      </c>
    </row>
    <row r="470">
      <c r="A470" s="143">
        <f>IFERROR(__xludf.DUMMYFUNCTION("""COMPUTED_VALUE"""),43159.0)</f>
        <v>43159</v>
      </c>
      <c r="B470" s="140">
        <f>IFERROR(__xludf.DUMMYFUNCTION("""COMPUTED_VALUE"""),70144.0)</f>
        <v>70144</v>
      </c>
      <c r="C470" s="142" t="str">
        <f>IFERROR(__xludf.DUMMYFUNCTION("""COMPUTED_VALUE"""),"Knight's Microsoft Business Intelligence 24-Hour Trainer")</f>
        <v>Knight's Microsoft Business Intelligence 24-Hour Trainer</v>
      </c>
      <c r="D470" t="str">
        <f>IFERROR(__xludf.DUMMYFUNCTION("""COMPUTED_VALUE"""),"John Wiley &amp; Sons, Inc.")</f>
        <v>John Wiley &amp; Sons, Inc.</v>
      </c>
      <c r="E470" t="str">
        <f>IFERROR(__xludf.DUMMYFUNCTION("""COMPUTED_VALUE"""),"Below Quality Standards")</f>
        <v>Below Quality Standards</v>
      </c>
      <c r="F470" t="str">
        <f>IFERROR(__xludf.DUMMYFUNCTION("""COMPUTED_VALUE"""),"Data Science")</f>
        <v>Data Science</v>
      </c>
      <c r="G470" t="str">
        <f>IFERROR(__xludf.DUMMYFUNCTION("""COMPUTED_VALUE"""),"Analytics")</f>
        <v>Analytics</v>
      </c>
      <c r="H470">
        <f>IFERROR(__xludf.DUMMYFUNCTION("""COMPUTED_VALUE"""),295981.0)</f>
        <v>295981</v>
      </c>
      <c r="I470" s="140" t="str">
        <f>IFERROR(__xludf.DUMMYFUNCTION("""COMPUTED_VALUE"""),"")</f>
        <v/>
      </c>
      <c r="K470" s="140" t="str">
        <f>IFERROR(__xludf.DUMMYFUNCTION("""COMPUTED_VALUE"""),"")</f>
        <v/>
      </c>
      <c r="M470" t="str">
        <f>IFERROR(__xludf.DUMMYFUNCTION("""COMPUTED_VALUE"""),"Office Productivity")</f>
        <v>Office Productivity</v>
      </c>
      <c r="N470" s="143" t="str">
        <f>IFERROR(__xludf.DUMMYFUNCTION("""COMPUTED_VALUE"""),"Spreadsheets")</f>
        <v>Spreadsheets</v>
      </c>
    </row>
    <row r="471">
      <c r="A471" s="143">
        <f>IFERROR(__xludf.DUMMYFUNCTION("""COMPUTED_VALUE"""),43159.0)</f>
        <v>43159</v>
      </c>
      <c r="B471" s="140">
        <f>IFERROR(__xludf.DUMMYFUNCTION("""COMPUTED_VALUE"""),396876.0)</f>
        <v>396876</v>
      </c>
      <c r="C471" s="142" t="str">
        <f>IFERROR(__xludf.DUMMYFUNCTION("""COMPUTED_VALUE"""),"Learning Python for Data Analysis and Visualization")</f>
        <v>Learning Python for Data Analysis and Visualization</v>
      </c>
      <c r="D471" t="str">
        <f>IFERROR(__xludf.DUMMYFUNCTION("""COMPUTED_VALUE"""),"Jose Portilla")</f>
        <v>Jose Portilla</v>
      </c>
      <c r="E471" t="str">
        <f>IFERROR(__xludf.DUMMYFUNCTION("""COMPUTED_VALUE"""),"Below Quality Standards- Outdated")</f>
        <v>Below Quality Standards- Outdated</v>
      </c>
      <c r="F471" t="str">
        <f>IFERROR(__xludf.DUMMYFUNCTION("""COMPUTED_VALUE"""),"Data Science")</f>
        <v>Data Science</v>
      </c>
      <c r="G471" t="str">
        <f>IFERROR(__xludf.DUMMYFUNCTION("""COMPUTED_VALUE"""),"Analytics")</f>
        <v>Analytics</v>
      </c>
      <c r="H471">
        <f>IFERROR(__xludf.DUMMYFUNCTION("""COMPUTED_VALUE"""),903744.0)</f>
        <v>903744</v>
      </c>
      <c r="I471" s="140" t="str">
        <f>IFERROR(__xludf.DUMMYFUNCTION("""COMPUTED_VALUE"""),"")</f>
        <v/>
      </c>
      <c r="K471" s="140" t="str">
        <f>IFERROR(__xludf.DUMMYFUNCTION("""COMPUTED_VALUE"""),"")</f>
        <v/>
      </c>
      <c r="M471" t="str">
        <f>IFERROR(__xludf.DUMMYFUNCTION("""COMPUTED_VALUE"""),"Data Science")</f>
        <v>Data Science</v>
      </c>
      <c r="N471" s="143" t="str">
        <f>IFERROR(__xludf.DUMMYFUNCTION("""COMPUTED_VALUE"""),"Big Data")</f>
        <v>Big Data</v>
      </c>
    </row>
    <row r="472">
      <c r="A472" s="143">
        <f>IFERROR(__xludf.DUMMYFUNCTION("""COMPUTED_VALUE"""),43159.0)</f>
        <v>43159</v>
      </c>
      <c r="B472" s="140">
        <f>IFERROR(__xludf.DUMMYFUNCTION("""COMPUTED_VALUE"""),76052.0)</f>
        <v>76052</v>
      </c>
      <c r="C472" s="142" t="str">
        <f>IFERROR(__xludf.DUMMYFUNCTION("""COMPUTED_VALUE"""),"Try Django 1.9 | Build a Blog and Learn Python's #1 Library")</f>
        <v>Try Django 1.9 | Build a Blog and Learn Python's #1 Library</v>
      </c>
      <c r="D472" t="str">
        <f>IFERROR(__xludf.DUMMYFUNCTION("""COMPUTED_VALUE"""),"Justin Mitchel")</f>
        <v>Justin Mitchel</v>
      </c>
      <c r="E472" t="str">
        <f>IFERROR(__xludf.DUMMYFUNCTION("""COMPUTED_VALUE"""),"Below Quality Standards- Outdated")</f>
        <v>Below Quality Standards- Outdated</v>
      </c>
      <c r="F472" t="str">
        <f>IFERROR(__xludf.DUMMYFUNCTION("""COMPUTED_VALUE"""),"Development")</f>
        <v>Development</v>
      </c>
      <c r="G472" t="str">
        <f>IFERROR(__xludf.DUMMYFUNCTION("""COMPUTED_VALUE"""),"Web Development")</f>
        <v>Web Development</v>
      </c>
      <c r="H472">
        <f>IFERROR(__xludf.DUMMYFUNCTION("""COMPUTED_VALUE"""),1019276.0)</f>
        <v>1019276</v>
      </c>
      <c r="I472" s="140" t="str">
        <f>IFERROR(__xludf.DUMMYFUNCTION("""COMPUTED_VALUE"""),"")</f>
        <v/>
      </c>
      <c r="J472">
        <f>IFERROR(__xludf.DUMMYFUNCTION("""COMPUTED_VALUE"""),822444.0)</f>
        <v>822444</v>
      </c>
      <c r="K472" s="140" t="str">
        <f>IFERROR(__xludf.DUMMYFUNCTION("""COMPUTED_VALUE"""),"")</f>
        <v/>
      </c>
    </row>
    <row r="473">
      <c r="A473" s="143">
        <f>IFERROR(__xludf.DUMMYFUNCTION("""COMPUTED_VALUE"""),43159.0)</f>
        <v>43159</v>
      </c>
      <c r="B473" s="140">
        <f>IFERROR(__xludf.DUMMYFUNCTION("""COMPUTED_VALUE"""),30704.0)</f>
        <v>30704</v>
      </c>
      <c r="C473" s="142" t="str">
        <f>IFERROR(__xludf.DUMMYFUNCTION("""COMPUTED_VALUE"""),"Storytelling for Business")</f>
        <v>Storytelling for Business</v>
      </c>
      <c r="D473" t="str">
        <f>IFERROR(__xludf.DUMMYFUNCTION("""COMPUTED_VALUE"""),"Kevin Allison")</f>
        <v>Kevin Allison</v>
      </c>
      <c r="E473" t="str">
        <f>IFERROR(__xludf.DUMMYFUNCTION("""COMPUTED_VALUE"""),"Below Quality Standards")</f>
        <v>Below Quality Standards</v>
      </c>
      <c r="F473" t="str">
        <f>IFERROR(__xludf.DUMMYFUNCTION("""COMPUTED_VALUE"""),"Management")</f>
        <v>Management</v>
      </c>
      <c r="G473" t="str">
        <f>IFERROR(__xludf.DUMMYFUNCTION("""COMPUTED_VALUE"""),"Communication")</f>
        <v>Communication</v>
      </c>
      <c r="H473">
        <f>IFERROR(__xludf.DUMMYFUNCTION("""COMPUTED_VALUE"""),550604.0)</f>
        <v>550604</v>
      </c>
      <c r="I473" s="140" t="str">
        <f>IFERROR(__xludf.DUMMYFUNCTION("""COMPUTED_VALUE"""),"")</f>
        <v/>
      </c>
      <c r="K473" s="140" t="str">
        <f>IFERROR(__xludf.DUMMYFUNCTION("""COMPUTED_VALUE"""),"")</f>
        <v/>
      </c>
    </row>
    <row r="474">
      <c r="A474" s="143">
        <f>IFERROR(__xludf.DUMMYFUNCTION("""COMPUTED_VALUE"""),43159.0)</f>
        <v>43159</v>
      </c>
      <c r="B474" s="140">
        <f>IFERROR(__xludf.DUMMYFUNCTION("""COMPUTED_VALUE"""),749532.0)</f>
        <v>749532</v>
      </c>
      <c r="C474" s="142" t="str">
        <f>IFERROR(__xludf.DUMMYFUNCTION("""COMPUTED_VALUE"""),"Advanced Data Science: Master Deep Web Experiment Analysis!")</f>
        <v>Advanced Data Science: Master Deep Web Experiment Analysis!</v>
      </c>
      <c r="D474" t="str">
        <f>IFERROR(__xludf.DUMMYFUNCTION("""COMPUTED_VALUE"""),"Larry Wai")</f>
        <v>Larry Wai</v>
      </c>
      <c r="E474" t="str">
        <f>IFERROR(__xludf.DUMMYFUNCTION("""COMPUTED_VALUE"""),"Below Quality Standards")</f>
        <v>Below Quality Standards</v>
      </c>
      <c r="F474" t="str">
        <f>IFERROR(__xludf.DUMMYFUNCTION("""COMPUTED_VALUE"""),"Data Science")</f>
        <v>Data Science</v>
      </c>
      <c r="G474" t="str">
        <f>IFERROR(__xludf.DUMMYFUNCTION("""COMPUTED_VALUE"""),"Analytics")</f>
        <v>Analytics</v>
      </c>
      <c r="H474">
        <f>IFERROR(__xludf.DUMMYFUNCTION("""COMPUTED_VALUE"""),762616.0)</f>
        <v>762616</v>
      </c>
      <c r="I474" s="140" t="str">
        <f>IFERROR(__xludf.DUMMYFUNCTION("""COMPUTED_VALUE"""),"")</f>
        <v/>
      </c>
      <c r="J474">
        <f>IFERROR(__xludf.DUMMYFUNCTION("""COMPUTED_VALUE"""),937678.0)</f>
        <v>937678</v>
      </c>
      <c r="K474" s="140" t="str">
        <f>IFERROR(__xludf.DUMMYFUNCTION("""COMPUTED_VALUE"""),"")</f>
        <v/>
      </c>
    </row>
    <row r="475">
      <c r="A475" s="143">
        <f>IFERROR(__xludf.DUMMYFUNCTION("""COMPUTED_VALUE"""),43159.0)</f>
        <v>43159</v>
      </c>
      <c r="B475" s="140">
        <f>IFERROR(__xludf.DUMMYFUNCTION("""COMPUTED_VALUE"""),746320.0)</f>
        <v>746320</v>
      </c>
      <c r="C475" t="str">
        <f>IFERROR(__xludf.DUMMYFUNCTION("""COMPUTED_VALUE"""),"Data Science 4 Newbs! Skills + Basic Web Experiment Analysis")</f>
        <v>Data Science 4 Newbs! Skills + Basic Web Experiment Analysis</v>
      </c>
      <c r="D475" t="str">
        <f>IFERROR(__xludf.DUMMYFUNCTION("""COMPUTED_VALUE"""),"Larry Wai")</f>
        <v>Larry Wai</v>
      </c>
      <c r="E475" t="str">
        <f>IFERROR(__xludf.DUMMYFUNCTION("""COMPUTED_VALUE"""),"Below Quality Standards")</f>
        <v>Below Quality Standards</v>
      </c>
      <c r="F475" t="str">
        <f>IFERROR(__xludf.DUMMYFUNCTION("""COMPUTED_VALUE"""),"Data Science")</f>
        <v>Data Science</v>
      </c>
      <c r="G475" t="str">
        <f>IFERROR(__xludf.DUMMYFUNCTION("""COMPUTED_VALUE"""),"Analytics")</f>
        <v>Analytics</v>
      </c>
      <c r="H475">
        <f>IFERROR(__xludf.DUMMYFUNCTION("""COMPUTED_VALUE"""),768670.0)</f>
        <v>768670</v>
      </c>
      <c r="I475" s="140" t="str">
        <f>IFERROR(__xludf.DUMMYFUNCTION("""COMPUTED_VALUE"""),"")</f>
        <v/>
      </c>
      <c r="J475">
        <f>IFERROR(__xludf.DUMMYFUNCTION("""COMPUTED_VALUE"""),513244.0)</f>
        <v>513244</v>
      </c>
      <c r="K475" s="140" t="str">
        <f>IFERROR(__xludf.DUMMYFUNCTION("""COMPUTED_VALUE"""),"")</f>
        <v/>
      </c>
    </row>
    <row r="476">
      <c r="A476" s="143">
        <f>IFERROR(__xludf.DUMMYFUNCTION("""COMPUTED_VALUE"""),43159.0)</f>
        <v>43159</v>
      </c>
      <c r="B476" s="140">
        <f>IFERROR(__xludf.DUMMYFUNCTION("""COMPUTED_VALUE"""),499676.0)</f>
        <v>499676</v>
      </c>
      <c r="C476" s="142" t="str">
        <f>IFERROR(__xludf.DUMMYFUNCTION("""COMPUTED_VALUE"""),"Foundation of Statistics with Minitab")</f>
        <v>Foundation of Statistics with Minitab</v>
      </c>
      <c r="D476" t="str">
        <f>IFERROR(__xludf.DUMMYFUNCTION("""COMPUTED_VALUE"""),"László Csanaki Bognár")</f>
        <v>László Csanaki Bognár</v>
      </c>
      <c r="E476" t="str">
        <f>IFERROR(__xludf.DUMMYFUNCTION("""COMPUTED_VALUE"""),"Below Quality Standards")</f>
        <v>Below Quality Standards</v>
      </c>
      <c r="F476" t="str">
        <f>IFERROR(__xludf.DUMMYFUNCTION("""COMPUTED_VALUE"""),"Data Science")</f>
        <v>Data Science</v>
      </c>
      <c r="G476" t="str">
        <f>IFERROR(__xludf.DUMMYFUNCTION("""COMPUTED_VALUE"""),"Analytics")</f>
        <v>Analytics</v>
      </c>
      <c r="H476">
        <f>IFERROR(__xludf.DUMMYFUNCTION("""COMPUTED_VALUE"""),1444056.0)</f>
        <v>1444056</v>
      </c>
      <c r="I476" s="140" t="str">
        <f>IFERROR(__xludf.DUMMYFUNCTION("""COMPUTED_VALUE"""),"")</f>
        <v/>
      </c>
      <c r="J476">
        <f>IFERROR(__xludf.DUMMYFUNCTION("""COMPUTED_VALUE"""),687726.0)</f>
        <v>687726</v>
      </c>
      <c r="K476" s="140" t="str">
        <f>IFERROR(__xludf.DUMMYFUNCTION("""COMPUTED_VALUE"""),"")</f>
        <v/>
      </c>
    </row>
    <row r="477">
      <c r="A477" s="143">
        <f>IFERROR(__xludf.DUMMYFUNCTION("""COMPUTED_VALUE"""),43159.0)</f>
        <v>43159</v>
      </c>
      <c r="B477" s="140">
        <f>IFERROR(__xludf.DUMMYFUNCTION("""COMPUTED_VALUE"""),499680.0)</f>
        <v>499680</v>
      </c>
      <c r="C477" s="142" t="str">
        <f>IFERROR(__xludf.DUMMYFUNCTION("""COMPUTED_VALUE"""),"Mastering Statistical Quality Control with Minitab")</f>
        <v>Mastering Statistical Quality Control with Minitab</v>
      </c>
      <c r="D477" t="str">
        <f>IFERROR(__xludf.DUMMYFUNCTION("""COMPUTED_VALUE"""),"László Csanaki Bognár")</f>
        <v>László Csanaki Bognár</v>
      </c>
      <c r="E477" t="str">
        <f>IFERROR(__xludf.DUMMYFUNCTION("""COMPUTED_VALUE"""),"Below Quality Standards")</f>
        <v>Below Quality Standards</v>
      </c>
      <c r="F477" t="str">
        <f>IFERROR(__xludf.DUMMYFUNCTION("""COMPUTED_VALUE"""),"Data Science")</f>
        <v>Data Science</v>
      </c>
      <c r="G477" t="str">
        <f>IFERROR(__xludf.DUMMYFUNCTION("""COMPUTED_VALUE"""),"Analytics")</f>
        <v>Analytics</v>
      </c>
      <c r="H477">
        <f>IFERROR(__xludf.DUMMYFUNCTION("""COMPUTED_VALUE"""),687726.0)</f>
        <v>687726</v>
      </c>
      <c r="I477" s="140" t="str">
        <f>IFERROR(__xludf.DUMMYFUNCTION("""COMPUTED_VALUE"""),"")</f>
        <v/>
      </c>
      <c r="J477">
        <f>IFERROR(__xludf.DUMMYFUNCTION("""COMPUTED_VALUE"""),1456942.0)</f>
        <v>1456942</v>
      </c>
      <c r="K477" s="140" t="str">
        <f>IFERROR(__xludf.DUMMYFUNCTION("""COMPUTED_VALUE"""),"")</f>
        <v/>
      </c>
    </row>
    <row r="478">
      <c r="A478" s="143">
        <f>IFERROR(__xludf.DUMMYFUNCTION("""COMPUTED_VALUE"""),43159.0)</f>
        <v>43159</v>
      </c>
      <c r="B478" s="140">
        <f>IFERROR(__xludf.DUMMYFUNCTION("""COMPUTED_VALUE"""),991290.0)</f>
        <v>991290</v>
      </c>
      <c r="C478" s="142" t="str">
        <f>IFERROR(__xludf.DUMMYFUNCTION("""COMPUTED_VALUE"""),"Dynamic JavaScript Master Class AJAX JSON Simple APIs")</f>
        <v>Dynamic JavaScript Master Class AJAX JSON Simple APIs</v>
      </c>
      <c r="D478" t="str">
        <f>IFERROR(__xludf.DUMMYFUNCTION("""COMPUTED_VALUE"""),"Laurence Svekis")</f>
        <v>Laurence Svekis</v>
      </c>
      <c r="E478" t="str">
        <f>IFERROR(__xludf.DUMMYFUNCTION("""COMPUTED_VALUE"""),"Below Quality Standards")</f>
        <v>Below Quality Standards</v>
      </c>
      <c r="F478" t="str">
        <f>IFERROR(__xludf.DUMMYFUNCTION("""COMPUTED_VALUE"""),"Development")</f>
        <v>Development</v>
      </c>
      <c r="G478" t="str">
        <f>IFERROR(__xludf.DUMMYFUNCTION("""COMPUTED_VALUE"""),"Web Development")</f>
        <v>Web Development</v>
      </c>
      <c r="H478">
        <f>IFERROR(__xludf.DUMMYFUNCTION("""COMPUTED_VALUE"""),446608.0)</f>
        <v>446608</v>
      </c>
      <c r="I478" s="140" t="str">
        <f>IFERROR(__xludf.DUMMYFUNCTION("""COMPUTED_VALUE"""),"")</f>
        <v/>
      </c>
      <c r="K478" s="140" t="str">
        <f>IFERROR(__xludf.DUMMYFUNCTION("""COMPUTED_VALUE"""),"")</f>
        <v/>
      </c>
    </row>
    <row r="479">
      <c r="A479" s="143">
        <f>IFERROR(__xludf.DUMMYFUNCTION("""COMPUTED_VALUE"""),43159.0)</f>
        <v>43159</v>
      </c>
      <c r="B479" s="140">
        <f>IFERROR(__xludf.DUMMYFUNCTION("""COMPUTED_VALUE"""),1002466.0)</f>
        <v>1002466</v>
      </c>
      <c r="C479" t="str">
        <f>IFERROR(__xludf.DUMMYFUNCTION("""COMPUTED_VALUE"""),"Cisco CCENT / ICND1 (100-105): Practice Tests")</f>
        <v>Cisco CCENT / ICND1 (100-105): Practice Tests</v>
      </c>
      <c r="D479" t="str">
        <f>IFERROR(__xludf.DUMMYFUNCTION("""COMPUTED_VALUE"""),"Lazaro Diaz")</f>
        <v>Lazaro Diaz</v>
      </c>
      <c r="E479" t="str">
        <f>IFERROR(__xludf.DUMMYFUNCTION("""COMPUTED_VALUE"""),"Instructor Request- No Detail")</f>
        <v>Instructor Request- No Detail</v>
      </c>
      <c r="F479" t="str">
        <f>IFERROR(__xludf.DUMMYFUNCTION("""COMPUTED_VALUE"""),"IT and Software")</f>
        <v>IT and Software</v>
      </c>
      <c r="G479" t="str">
        <f>IFERROR(__xludf.DUMMYFUNCTION("""COMPUTED_VALUE"""),"IT Certifications")</f>
        <v>IT Certifications</v>
      </c>
      <c r="H479">
        <f>IFERROR(__xludf.DUMMYFUNCTION("""COMPUTED_VALUE"""),889978.0)</f>
        <v>889978</v>
      </c>
      <c r="I479" s="140" t="str">
        <f>IFERROR(__xludf.DUMMYFUNCTION("""COMPUTED_VALUE"""),"")</f>
        <v/>
      </c>
      <c r="K479" s="140" t="str">
        <f>IFERROR(__xludf.DUMMYFUNCTION("""COMPUTED_VALUE"""),"")</f>
        <v/>
      </c>
    </row>
    <row r="480">
      <c r="A480" s="143">
        <f>IFERROR(__xludf.DUMMYFUNCTION("""COMPUTED_VALUE"""),43159.0)</f>
        <v>43159</v>
      </c>
      <c r="B480" s="140">
        <f>IFERROR(__xludf.DUMMYFUNCTION("""COMPUTED_VALUE"""),1006080.0)</f>
        <v>1006080</v>
      </c>
      <c r="C480" s="142" t="str">
        <f>IFERROR(__xludf.DUMMYFUNCTION("""COMPUTED_VALUE"""),"Cisco CCNA R/S (200-125): Practice Tests")</f>
        <v>Cisco CCNA R/S (200-125): Practice Tests</v>
      </c>
      <c r="D480" t="str">
        <f>IFERROR(__xludf.DUMMYFUNCTION("""COMPUTED_VALUE"""),"Lazaro Diaz")</f>
        <v>Lazaro Diaz</v>
      </c>
      <c r="E480" t="str">
        <f>IFERROR(__xludf.DUMMYFUNCTION("""COMPUTED_VALUE"""),"Instructor Request- No Detail")</f>
        <v>Instructor Request- No Detail</v>
      </c>
      <c r="F480" t="str">
        <f>IFERROR(__xludf.DUMMYFUNCTION("""COMPUTED_VALUE"""),"IT and Software")</f>
        <v>IT and Software</v>
      </c>
      <c r="G480" t="str">
        <f>IFERROR(__xludf.DUMMYFUNCTION("""COMPUTED_VALUE"""),"IT Certifications")</f>
        <v>IT Certifications</v>
      </c>
      <c r="H480">
        <f>IFERROR(__xludf.DUMMYFUNCTION("""COMPUTED_VALUE"""),948368.0)</f>
        <v>948368</v>
      </c>
      <c r="I480" s="140" t="str">
        <f>IFERROR(__xludf.DUMMYFUNCTION("""COMPUTED_VALUE"""),"")</f>
        <v/>
      </c>
      <c r="K480" s="140" t="str">
        <f>IFERROR(__xludf.DUMMYFUNCTION("""COMPUTED_VALUE"""),"")</f>
        <v/>
      </c>
    </row>
    <row r="481">
      <c r="A481" s="143">
        <f>IFERROR(__xludf.DUMMYFUNCTION("""COMPUTED_VALUE"""),43159.0)</f>
        <v>43159</v>
      </c>
      <c r="B481" s="140">
        <f>IFERROR(__xludf.DUMMYFUNCTION("""COMPUTED_VALUE"""),1005918.0)</f>
        <v>1005918</v>
      </c>
      <c r="C481" t="str">
        <f>IFERROR(__xludf.DUMMYFUNCTION("""COMPUTED_VALUE"""),"Cisco CCNP Route (300-101): Practice Tests")</f>
        <v>Cisco CCNP Route (300-101): Practice Tests</v>
      </c>
      <c r="D481" t="str">
        <f>IFERROR(__xludf.DUMMYFUNCTION("""COMPUTED_VALUE"""),"Lazaro Diaz")</f>
        <v>Lazaro Diaz</v>
      </c>
      <c r="E481" t="str">
        <f>IFERROR(__xludf.DUMMYFUNCTION("""COMPUTED_VALUE"""),"Instructor Request- No Detail")</f>
        <v>Instructor Request- No Detail</v>
      </c>
      <c r="F481" t="str">
        <f>IFERROR(__xludf.DUMMYFUNCTION("""COMPUTED_VALUE"""),"IT and Software")</f>
        <v>IT and Software</v>
      </c>
      <c r="G481" t="str">
        <f>IFERROR(__xludf.DUMMYFUNCTION("""COMPUTED_VALUE"""),"IT Certifications")</f>
        <v>IT Certifications</v>
      </c>
      <c r="H481">
        <f>IFERROR(__xludf.DUMMYFUNCTION("""COMPUTED_VALUE"""),779948.0)</f>
        <v>779948</v>
      </c>
      <c r="I481" s="140" t="str">
        <f>IFERROR(__xludf.DUMMYFUNCTION("""COMPUTED_VALUE"""),"")</f>
        <v/>
      </c>
      <c r="K481" s="140" t="str">
        <f>IFERROR(__xludf.DUMMYFUNCTION("""COMPUTED_VALUE"""),"")</f>
        <v/>
      </c>
      <c r="Q481" t="str">
        <f>IFERROR(__xludf.DUMMYFUNCTION("""COMPUTED_VALUE"""),"Low Demand")</f>
        <v>Low Demand</v>
      </c>
    </row>
    <row r="482">
      <c r="A482" s="143">
        <f>IFERROR(__xludf.DUMMYFUNCTION("""COMPUTED_VALUE"""),43159.0)</f>
        <v>43159</v>
      </c>
      <c r="B482" s="140">
        <f>IFERROR(__xludf.DUMMYFUNCTION("""COMPUTED_VALUE"""),1144428.0)</f>
        <v>1144428</v>
      </c>
      <c r="C482" s="142" t="str">
        <f>IFERROR(__xludf.DUMMYFUNCTION("""COMPUTED_VALUE"""),"Cisco CCNP Switch (300-115): Practice Tests")</f>
        <v>Cisco CCNP Switch (300-115): Practice Tests</v>
      </c>
      <c r="D482" t="str">
        <f>IFERROR(__xludf.DUMMYFUNCTION("""COMPUTED_VALUE"""),"Lazaro Diaz")</f>
        <v>Lazaro Diaz</v>
      </c>
      <c r="E482" t="str">
        <f>IFERROR(__xludf.DUMMYFUNCTION("""COMPUTED_VALUE"""),"Instructor Request- No Detail")</f>
        <v>Instructor Request- No Detail</v>
      </c>
      <c r="F482" t="str">
        <f>IFERROR(__xludf.DUMMYFUNCTION("""COMPUTED_VALUE"""),"IT and Software")</f>
        <v>IT and Software</v>
      </c>
      <c r="G482" t="str">
        <f>IFERROR(__xludf.DUMMYFUNCTION("""COMPUTED_VALUE"""),"IT Certifications")</f>
        <v>IT Certifications</v>
      </c>
      <c r="H482">
        <f>IFERROR(__xludf.DUMMYFUNCTION("""COMPUTED_VALUE"""),8746.0)</f>
        <v>8746</v>
      </c>
      <c r="I482" s="140" t="str">
        <f>IFERROR(__xludf.DUMMYFUNCTION("""COMPUTED_VALUE"""),"")</f>
        <v/>
      </c>
      <c r="K482" s="140" t="str">
        <f>IFERROR(__xludf.DUMMYFUNCTION("""COMPUTED_VALUE"""),"")</f>
        <v/>
      </c>
    </row>
    <row r="483">
      <c r="A483" s="143">
        <f>IFERROR(__xludf.DUMMYFUNCTION("""COMPUTED_VALUE"""),43159.0)</f>
        <v>43159</v>
      </c>
      <c r="B483" s="140">
        <f>IFERROR(__xludf.DUMMYFUNCTION("""COMPUTED_VALUE"""),1144630.0)</f>
        <v>1144630</v>
      </c>
      <c r="C483" s="142" t="str">
        <f>IFERROR(__xludf.DUMMYFUNCTION("""COMPUTED_VALUE"""),"Cisco CCNP T-Shoot (300-135): Practice Tests")</f>
        <v>Cisco CCNP T-Shoot (300-135): Practice Tests</v>
      </c>
      <c r="D483" t="str">
        <f>IFERROR(__xludf.DUMMYFUNCTION("""COMPUTED_VALUE"""),"Lazaro Diaz")</f>
        <v>Lazaro Diaz</v>
      </c>
      <c r="E483" t="str">
        <f>IFERROR(__xludf.DUMMYFUNCTION("""COMPUTED_VALUE"""),"Instructor Request- No Detail")</f>
        <v>Instructor Request- No Detail</v>
      </c>
      <c r="F483" t="str">
        <f>IFERROR(__xludf.DUMMYFUNCTION("""COMPUTED_VALUE"""),"IT and Software")</f>
        <v>IT and Software</v>
      </c>
      <c r="G483" t="str">
        <f>IFERROR(__xludf.DUMMYFUNCTION("""COMPUTED_VALUE"""),"IT Certifications")</f>
        <v>IT Certifications</v>
      </c>
      <c r="H483">
        <f>IFERROR(__xludf.DUMMYFUNCTION("""COMPUTED_VALUE"""),8776.0)</f>
        <v>8776</v>
      </c>
      <c r="I483" s="140" t="str">
        <f>IFERROR(__xludf.DUMMYFUNCTION("""COMPUTED_VALUE"""),"")</f>
        <v/>
      </c>
      <c r="K483" s="140" t="str">
        <f>IFERROR(__xludf.DUMMYFUNCTION("""COMPUTED_VALUE"""),"")</f>
        <v/>
      </c>
    </row>
    <row r="484">
      <c r="A484" s="143">
        <f>IFERROR(__xludf.DUMMYFUNCTION("""COMPUTED_VALUE"""),43159.0)</f>
        <v>43159</v>
      </c>
      <c r="B484" s="140">
        <f>IFERROR(__xludf.DUMMYFUNCTION("""COMPUTED_VALUE"""),792546.0)</f>
        <v>792546</v>
      </c>
      <c r="C484" s="142" t="str">
        <f>IFERROR(__xludf.DUMMYFUNCTION("""COMPUTED_VALUE"""),"Microsoft Power BI Intermediate")</f>
        <v>Microsoft Power BI Intermediate</v>
      </c>
      <c r="D484" t="str">
        <f>IFERROR(__xludf.DUMMYFUNCTION("""COMPUTED_VALUE"""),"Lee Hawthorn")</f>
        <v>Lee Hawthorn</v>
      </c>
      <c r="E484" t="str">
        <f>IFERROR(__xludf.DUMMYFUNCTION("""COMPUTED_VALUE"""),"Below Quality Standards")</f>
        <v>Below Quality Standards</v>
      </c>
      <c r="F484" t="str">
        <f>IFERROR(__xludf.DUMMYFUNCTION("""COMPUTED_VALUE"""),"Data Science")</f>
        <v>Data Science</v>
      </c>
      <c r="G484" t="str">
        <f>IFERROR(__xludf.DUMMYFUNCTION("""COMPUTED_VALUE"""),"Big Data")</f>
        <v>Big Data</v>
      </c>
      <c r="H484">
        <f>IFERROR(__xludf.DUMMYFUNCTION("""COMPUTED_VALUE"""),1208634.0)</f>
        <v>1208634</v>
      </c>
      <c r="I484" s="140" t="str">
        <f>IFERROR(__xludf.DUMMYFUNCTION("""COMPUTED_VALUE"""),"")</f>
        <v/>
      </c>
      <c r="K484" s="140" t="str">
        <f>IFERROR(__xludf.DUMMYFUNCTION("""COMPUTED_VALUE"""),"")</f>
        <v/>
      </c>
      <c r="M484" t="str">
        <f>IFERROR(__xludf.DUMMYFUNCTION("""COMPUTED_VALUE"""),"Data Science")</f>
        <v>Data Science</v>
      </c>
      <c r="N484" s="143" t="str">
        <f>IFERROR(__xludf.DUMMYFUNCTION("""COMPUTED_VALUE"""),"Analytics")</f>
        <v>Analytics</v>
      </c>
    </row>
    <row r="485">
      <c r="A485" s="143">
        <f>IFERROR(__xludf.DUMMYFUNCTION("""COMPUTED_VALUE"""),43159.0)</f>
        <v>43159</v>
      </c>
      <c r="B485" s="140">
        <f>IFERROR(__xludf.DUMMYFUNCTION("""COMPUTED_VALUE"""),63594.0)</f>
        <v>63594</v>
      </c>
      <c r="C485" s="142" t="str">
        <f>IFERROR(__xludf.DUMMYFUNCTION("""COMPUTED_VALUE"""),"Predict Consumer Decisions with Choice-Based Conjoint")</f>
        <v>Predict Consumer Decisions with Choice-Based Conjoint</v>
      </c>
      <c r="D485" t="str">
        <f>IFERROR(__xludf.DUMMYFUNCTION("""COMPUTED_VALUE"""),"Luke Greenacre")</f>
        <v>Luke Greenacre</v>
      </c>
      <c r="E485" t="str">
        <f>IFERROR(__xludf.DUMMYFUNCTION("""COMPUTED_VALUE"""),"Below Quality Standards")</f>
        <v>Below Quality Standards</v>
      </c>
      <c r="F485" t="str">
        <f>IFERROR(__xludf.DUMMYFUNCTION("""COMPUTED_VALUE"""),"Data Science")</f>
        <v>Data Science</v>
      </c>
      <c r="G485" t="str">
        <f>IFERROR(__xludf.DUMMYFUNCTION("""COMPUTED_VALUE"""),"Analytics")</f>
        <v>Analytics</v>
      </c>
      <c r="I485" s="140" t="str">
        <f>IFERROR(__xludf.DUMMYFUNCTION("""COMPUTED_VALUE"""),"")</f>
        <v/>
      </c>
      <c r="K485" s="140" t="str">
        <f>IFERROR(__xludf.DUMMYFUNCTION("""COMPUTED_VALUE"""),"")</f>
        <v/>
      </c>
      <c r="Q485" t="str">
        <f>IFERROR(__xludf.DUMMYFUNCTION("""COMPUTED_VALUE"""),"Low Demand")</f>
        <v>Low Demand</v>
      </c>
    </row>
    <row r="486">
      <c r="A486" s="143">
        <f>IFERROR(__xludf.DUMMYFUNCTION("""COMPUTED_VALUE"""),43159.0)</f>
        <v>43159</v>
      </c>
      <c r="B486" s="140">
        <f>IFERROR(__xludf.DUMMYFUNCTION("""COMPUTED_VALUE"""),1047346.0)</f>
        <v>1047346</v>
      </c>
      <c r="C486" s="142" t="str">
        <f>IFERROR(__xludf.DUMMYFUNCTION("""COMPUTED_VALUE"""),"Build 30 Mini 3D Virtual Reality Games: Unity® From Scratch")</f>
        <v>Build 30 Mini 3D Virtual Reality Games: Unity® From Scratch</v>
      </c>
      <c r="D486" t="str">
        <f>IFERROR(__xludf.DUMMYFUNCTION("""COMPUTED_VALUE"""),"Mammoth Interactive")</f>
        <v>Mammoth Interactive</v>
      </c>
      <c r="E486" t="str">
        <f>IFERROR(__xludf.DUMMYFUNCTION("""COMPUTED_VALUE"""),"Below Quality Standards")</f>
        <v>Below Quality Standards</v>
      </c>
      <c r="F486" t="str">
        <f>IFERROR(__xludf.DUMMYFUNCTION("""COMPUTED_VALUE"""),"Development")</f>
        <v>Development</v>
      </c>
      <c r="G486" t="str">
        <f>IFERROR(__xludf.DUMMYFUNCTION("""COMPUTED_VALUE"""),"Mobile Development")</f>
        <v>Mobile Development</v>
      </c>
      <c r="H486">
        <f>IFERROR(__xludf.DUMMYFUNCTION("""COMPUTED_VALUE"""),980770.0)</f>
        <v>980770</v>
      </c>
      <c r="I486" s="140" t="str">
        <f>IFERROR(__xludf.DUMMYFUNCTION("""COMPUTED_VALUE"""),"")</f>
        <v/>
      </c>
      <c r="K486" s="140" t="str">
        <f>IFERROR(__xludf.DUMMYFUNCTION("""COMPUTED_VALUE"""),"")</f>
        <v/>
      </c>
    </row>
    <row r="487">
      <c r="A487" s="143">
        <f>IFERROR(__xludf.DUMMYFUNCTION("""COMPUTED_VALUE"""),43159.0)</f>
        <v>43159</v>
      </c>
      <c r="B487" s="140">
        <f>IFERROR(__xludf.DUMMYFUNCTION("""COMPUTED_VALUE"""),598848.0)</f>
        <v>598848</v>
      </c>
      <c r="C487" s="142" t="str">
        <f>IFERROR(__xludf.DUMMYFUNCTION("""COMPUTED_VALUE"""),"Practical Data Science: Reducing High Dimensional Data in R")</f>
        <v>Practical Data Science: Reducing High Dimensional Data in R</v>
      </c>
      <c r="D487" t="str">
        <f>IFERROR(__xludf.DUMMYFUNCTION("""COMPUTED_VALUE"""),"Manuel Amunategui")</f>
        <v>Manuel Amunategui</v>
      </c>
      <c r="E487" t="str">
        <f>IFERROR(__xludf.DUMMYFUNCTION("""COMPUTED_VALUE"""),"Below Quality Standards")</f>
        <v>Below Quality Standards</v>
      </c>
      <c r="F487" t="str">
        <f>IFERROR(__xludf.DUMMYFUNCTION("""COMPUTED_VALUE"""),"Data Science")</f>
        <v>Data Science</v>
      </c>
      <c r="G487" t="str">
        <f>IFERROR(__xludf.DUMMYFUNCTION("""COMPUTED_VALUE"""),"Analytics")</f>
        <v>Analytics</v>
      </c>
      <c r="H487">
        <f>IFERROR(__xludf.DUMMYFUNCTION("""COMPUTED_VALUE"""),765242.0)</f>
        <v>765242</v>
      </c>
      <c r="I487" s="140" t="str">
        <f>IFERROR(__xludf.DUMMYFUNCTION("""COMPUTED_VALUE"""),"")</f>
        <v/>
      </c>
      <c r="K487" s="140" t="str">
        <f>IFERROR(__xludf.DUMMYFUNCTION("""COMPUTED_VALUE"""),"")</f>
        <v/>
      </c>
    </row>
    <row r="488">
      <c r="A488" s="143">
        <f>IFERROR(__xludf.DUMMYFUNCTION("""COMPUTED_VALUE"""),43159.0)</f>
        <v>43159</v>
      </c>
      <c r="B488" s="140">
        <f>IFERROR(__xludf.DUMMYFUNCTION("""COMPUTED_VALUE"""),659118.0)</f>
        <v>659118</v>
      </c>
      <c r="C488" s="142" t="str">
        <f>IFERROR(__xludf.DUMMYFUNCTION("""COMPUTED_VALUE"""),"Supercharge R with SparkR - Apply your R chops to Big Data!")</f>
        <v>Supercharge R with SparkR - Apply your R chops to Big Data!</v>
      </c>
      <c r="D488" t="str">
        <f>IFERROR(__xludf.DUMMYFUNCTION("""COMPUTED_VALUE"""),"Manuel Amunategui")</f>
        <v>Manuel Amunategui</v>
      </c>
      <c r="E488" t="str">
        <f>IFERROR(__xludf.DUMMYFUNCTION("""COMPUTED_VALUE"""),"Below Quality Standards")</f>
        <v>Below Quality Standards</v>
      </c>
      <c r="F488" t="str">
        <f>IFERROR(__xludf.DUMMYFUNCTION("""COMPUTED_VALUE"""),"Data Science")</f>
        <v>Data Science</v>
      </c>
      <c r="G488" t="str">
        <f>IFERROR(__xludf.DUMMYFUNCTION("""COMPUTED_VALUE"""),"Big Data")</f>
        <v>Big Data</v>
      </c>
      <c r="H488">
        <f>IFERROR(__xludf.DUMMYFUNCTION("""COMPUTED_VALUE"""),860148.0)</f>
        <v>860148</v>
      </c>
      <c r="I488" s="140" t="str">
        <f>IFERROR(__xludf.DUMMYFUNCTION("""COMPUTED_VALUE"""),"")</f>
        <v/>
      </c>
      <c r="K488" s="140" t="str">
        <f>IFERROR(__xludf.DUMMYFUNCTION("""COMPUTED_VALUE"""),"")</f>
        <v/>
      </c>
    </row>
    <row r="489">
      <c r="A489" s="143">
        <f>IFERROR(__xludf.DUMMYFUNCTION("""COMPUTED_VALUE"""),43159.0)</f>
        <v>43159</v>
      </c>
      <c r="B489" s="140">
        <f>IFERROR(__xludf.DUMMYFUNCTION("""COMPUTED_VALUE"""),273830.0)</f>
        <v>273830</v>
      </c>
      <c r="C489" t="str">
        <f>IFERROR(__xludf.DUMMYFUNCTION("""COMPUTED_VALUE"""),"Microsoft Windows: 99 programs and tips you may not know of")</f>
        <v>Microsoft Windows: 99 programs and tips you may not know of</v>
      </c>
      <c r="D489" t="str">
        <f>IFERROR(__xludf.DUMMYFUNCTION("""COMPUTED_VALUE"""),"Marious Kuriata")</f>
        <v>Marious Kuriata</v>
      </c>
      <c r="E489" t="str">
        <f>IFERROR(__xludf.DUMMYFUNCTION("""COMPUTED_VALUE"""),"Below Quality Standards")</f>
        <v>Below Quality Standards</v>
      </c>
      <c r="F489" t="str">
        <f>IFERROR(__xludf.DUMMYFUNCTION("""COMPUTED_VALUE"""),"IT and Software")</f>
        <v>IT and Software</v>
      </c>
      <c r="G489" t="str">
        <f>IFERROR(__xludf.DUMMYFUNCTION("""COMPUTED_VALUE"""),"Operating Systems and Servers")</f>
        <v>Operating Systems and Servers</v>
      </c>
      <c r="H489">
        <f>IFERROR(__xludf.DUMMYFUNCTION("""COMPUTED_VALUE"""),1140314.0)</f>
        <v>1140314</v>
      </c>
      <c r="I489" s="140" t="str">
        <f>IFERROR(__xludf.DUMMYFUNCTION("""COMPUTED_VALUE"""),"")</f>
        <v/>
      </c>
      <c r="J489">
        <f>IFERROR(__xludf.DUMMYFUNCTION("""COMPUTED_VALUE"""),1107944.0)</f>
        <v>1107944</v>
      </c>
      <c r="K489" s="140" t="str">
        <f>IFERROR(__xludf.DUMMYFUNCTION("""COMPUTED_VALUE"""),"")</f>
        <v/>
      </c>
      <c r="Q489" t="str">
        <f>IFERROR(__xludf.DUMMYFUNCTION("""COMPUTED_VALUE"""),"Low Demand")</f>
        <v>Low Demand</v>
      </c>
    </row>
    <row r="490">
      <c r="A490" s="143">
        <f>IFERROR(__xludf.DUMMYFUNCTION("""COMPUTED_VALUE"""),43159.0)</f>
        <v>43159</v>
      </c>
      <c r="B490" s="140">
        <f>IFERROR(__xludf.DUMMYFUNCTION("""COMPUTED_VALUE"""),234558.0)</f>
        <v>234558</v>
      </c>
      <c r="C490" t="str">
        <f>IFERROR(__xludf.DUMMYFUNCTION("""COMPUTED_VALUE"""),"Virtual Private Networks for beginners - VPN, Cisco training")</f>
        <v>Virtual Private Networks for beginners - VPN, Cisco training</v>
      </c>
      <c r="D490" t="str">
        <f>IFERROR(__xludf.DUMMYFUNCTION("""COMPUTED_VALUE"""),"Marious Kuriata")</f>
        <v>Marious Kuriata</v>
      </c>
      <c r="E490" t="str">
        <f>IFERROR(__xludf.DUMMYFUNCTION("""COMPUTED_VALUE"""),"Below Quality Standards")</f>
        <v>Below Quality Standards</v>
      </c>
      <c r="F490" t="str">
        <f>IFERROR(__xludf.DUMMYFUNCTION("""COMPUTED_VALUE"""),"IT and Software")</f>
        <v>IT and Software</v>
      </c>
      <c r="G490" t="str">
        <f>IFERROR(__xludf.DUMMYFUNCTION("""COMPUTED_VALUE"""),"Network and Security")</f>
        <v>Network and Security</v>
      </c>
      <c r="H490">
        <f>IFERROR(__xludf.DUMMYFUNCTION("""COMPUTED_VALUE"""),437378.0)</f>
        <v>437378</v>
      </c>
      <c r="I490" s="140" t="str">
        <f>IFERROR(__xludf.DUMMYFUNCTION("""COMPUTED_VALUE"""),"")</f>
        <v/>
      </c>
      <c r="J490">
        <f>IFERROR(__xludf.DUMMYFUNCTION("""COMPUTED_VALUE"""),827928.0)</f>
        <v>827928</v>
      </c>
      <c r="K490" s="140" t="str">
        <f>IFERROR(__xludf.DUMMYFUNCTION("""COMPUTED_VALUE"""),"")</f>
        <v/>
      </c>
    </row>
    <row r="491">
      <c r="A491" s="143">
        <f>IFERROR(__xludf.DUMMYFUNCTION("""COMPUTED_VALUE"""),43159.0)</f>
        <v>43159</v>
      </c>
      <c r="B491" s="140">
        <f>IFERROR(__xludf.DUMMYFUNCTION("""COMPUTED_VALUE"""),573526.0)</f>
        <v>573526</v>
      </c>
      <c r="C491" s="142" t="str">
        <f>IFERROR(__xludf.DUMMYFUNCTION("""COMPUTED_VALUE"""),"Lean BPM - Lean Business Process Management")</f>
        <v>Lean BPM - Lean Business Process Management</v>
      </c>
      <c r="D491" t="str">
        <f>IFERROR(__xludf.DUMMYFUNCTION("""COMPUTED_VALUE"""),"Mark Timberlake")</f>
        <v>Mark Timberlake</v>
      </c>
      <c r="E491" t="str">
        <f>IFERROR(__xludf.DUMMYFUNCTION("""COMPUTED_VALUE"""),"Below Quality Standards")</f>
        <v>Below Quality Standards</v>
      </c>
      <c r="F491" t="str">
        <f>IFERROR(__xludf.DUMMYFUNCTION("""COMPUTED_VALUE"""),"Project Management and Operations")</f>
        <v>Project Management and Operations</v>
      </c>
      <c r="G491" t="str">
        <f>IFERROR(__xludf.DUMMYFUNCTION("""COMPUTED_VALUE"""),"Operations Management")</f>
        <v>Operations Management</v>
      </c>
      <c r="H491">
        <f>IFERROR(__xludf.DUMMYFUNCTION("""COMPUTED_VALUE"""),1415934.0)</f>
        <v>1415934</v>
      </c>
      <c r="I491" s="140" t="str">
        <f>IFERROR(__xludf.DUMMYFUNCTION("""COMPUTED_VALUE"""),"")</f>
        <v/>
      </c>
      <c r="J491">
        <f>IFERROR(__xludf.DUMMYFUNCTION("""COMPUTED_VALUE"""),599732.0)</f>
        <v>599732</v>
      </c>
      <c r="K491" s="140" t="str">
        <f>IFERROR(__xludf.DUMMYFUNCTION("""COMPUTED_VALUE"""),"")</f>
        <v/>
      </c>
      <c r="M491" t="str">
        <f>IFERROR(__xludf.DUMMYFUNCTION("""COMPUTED_VALUE"""),"Management")</f>
        <v>Management</v>
      </c>
      <c r="N491" s="143" t="str">
        <f>IFERROR(__xludf.DUMMYFUNCTION("""COMPUTED_VALUE"""),"Productivity")</f>
        <v>Productivity</v>
      </c>
    </row>
    <row r="492">
      <c r="A492" s="143">
        <f>IFERROR(__xludf.DUMMYFUNCTION("""COMPUTED_VALUE"""),43159.0)</f>
        <v>43159</v>
      </c>
      <c r="B492" s="140">
        <f>IFERROR(__xludf.DUMMYFUNCTION("""COMPUTED_VALUE"""),377098.0)</f>
        <v>377098</v>
      </c>
      <c r="C492" s="142" t="str">
        <f>IFERROR(__xludf.DUMMYFUNCTION("""COMPUTED_VALUE"""),"Don't (survey)monkey around: Learn to make your surveys work")</f>
        <v>Don't (survey)monkey around: Learn to make your surveys work</v>
      </c>
      <c r="D492" t="str">
        <f>IFERROR(__xludf.DUMMYFUNCTION("""COMPUTED_VALUE"""),"Matthew Champagne")</f>
        <v>Matthew Champagne</v>
      </c>
      <c r="E492" t="str">
        <f>IFERROR(__xludf.DUMMYFUNCTION("""COMPUTED_VALUE"""),"Below Quality Standards")</f>
        <v>Below Quality Standards</v>
      </c>
      <c r="F492" t="str">
        <f>IFERROR(__xludf.DUMMYFUNCTION("""COMPUTED_VALUE"""),"Marketing")</f>
        <v>Marketing</v>
      </c>
      <c r="G492" t="str">
        <f>IFERROR(__xludf.DUMMYFUNCTION("""COMPUTED_VALUE"""),"Paid Advertising")</f>
        <v>Paid Advertising</v>
      </c>
      <c r="H492">
        <f>IFERROR(__xludf.DUMMYFUNCTION("""COMPUTED_VALUE"""),376782.0)</f>
        <v>376782</v>
      </c>
      <c r="I492" s="140" t="str">
        <f>IFERROR(__xludf.DUMMYFUNCTION("""COMPUTED_VALUE"""),"")</f>
        <v/>
      </c>
      <c r="K492" s="140" t="str">
        <f>IFERROR(__xludf.DUMMYFUNCTION("""COMPUTED_VALUE"""),"")</f>
        <v/>
      </c>
    </row>
    <row r="493">
      <c r="A493" s="143">
        <f>IFERROR(__xludf.DUMMYFUNCTION("""COMPUTED_VALUE"""),43159.0)</f>
        <v>43159</v>
      </c>
      <c r="B493" s="140">
        <f>IFERROR(__xludf.DUMMYFUNCTION("""COMPUTED_VALUE"""),561920.0)</f>
        <v>561920</v>
      </c>
      <c r="C493" s="142" t="str">
        <f>IFERROR(__xludf.DUMMYFUNCTION("""COMPUTED_VALUE"""),"SQL Server Crashes and Critical Failures")</f>
        <v>SQL Server Crashes and Critical Failures</v>
      </c>
      <c r="D493" t="str">
        <f>IFERROR(__xludf.DUMMYFUNCTION("""COMPUTED_VALUE"""),"Mike West")</f>
        <v>Mike West</v>
      </c>
      <c r="E493" t="str">
        <f>IFERROR(__xludf.DUMMYFUNCTION("""COMPUTED_VALUE"""),"Below Quality Standards")</f>
        <v>Below Quality Standards</v>
      </c>
      <c r="F493" t="str">
        <f>IFERROR(__xludf.DUMMYFUNCTION("""COMPUTED_VALUE"""),"IT and Software")</f>
        <v>IT and Software</v>
      </c>
      <c r="G493" t="str">
        <f>IFERROR(__xludf.DUMMYFUNCTION("""COMPUTED_VALUE"""),"Operating Systems and Servers")</f>
        <v>Operating Systems and Servers</v>
      </c>
      <c r="H493">
        <f>IFERROR(__xludf.DUMMYFUNCTION("""COMPUTED_VALUE"""),37940.0)</f>
        <v>37940</v>
      </c>
      <c r="I493" s="140" t="str">
        <f>IFERROR(__xludf.DUMMYFUNCTION("""COMPUTED_VALUE"""),"")</f>
        <v/>
      </c>
      <c r="K493" s="140" t="str">
        <f>IFERROR(__xludf.DUMMYFUNCTION("""COMPUTED_VALUE"""),"")</f>
        <v/>
      </c>
      <c r="M493" t="str">
        <f>IFERROR(__xludf.DUMMYFUNCTION("""COMPUTED_VALUE"""),"IT and Software")</f>
        <v>IT and Software</v>
      </c>
      <c r="N493" s="143" t="str">
        <f>IFERROR(__xludf.DUMMYFUNCTION("""COMPUTED_VALUE"""),"Databases")</f>
        <v>Databases</v>
      </c>
      <c r="Q493" t="str">
        <f>IFERROR(__xludf.DUMMYFUNCTION("""COMPUTED_VALUE"""),"Low Demand")</f>
        <v>Low Demand</v>
      </c>
    </row>
    <row r="494">
      <c r="A494" s="143">
        <f>IFERROR(__xludf.DUMMYFUNCTION("""COMPUTED_VALUE"""),43159.0)</f>
        <v>43159</v>
      </c>
      <c r="B494" s="140">
        <f>IFERROR(__xludf.DUMMYFUNCTION("""COMPUTED_VALUE"""),623152.0)</f>
        <v>623152</v>
      </c>
      <c r="C494" s="142" t="str">
        <f>IFERROR(__xludf.DUMMYFUNCTION("""COMPUTED_VALUE"""),"One Week To Better Sleep")</f>
        <v>One Week To Better Sleep</v>
      </c>
      <c r="D494" t="str">
        <f>IFERROR(__xludf.DUMMYFUNCTION("""COMPUTED_VALUE"""),"Mitchel Schwindt")</f>
        <v>Mitchel Schwindt</v>
      </c>
      <c r="E494" t="str">
        <f>IFERROR(__xludf.DUMMYFUNCTION("""COMPUTED_VALUE"""),"Instructor Request- No Detail")</f>
        <v>Instructor Request- No Detail</v>
      </c>
      <c r="F494" t="str">
        <f>IFERROR(__xludf.DUMMYFUNCTION("""COMPUTED_VALUE"""),"Personal Development")</f>
        <v>Personal Development</v>
      </c>
      <c r="G494" t="str">
        <f>IFERROR(__xludf.DUMMYFUNCTION("""COMPUTED_VALUE"""),"Health and Fitness")</f>
        <v>Health and Fitness</v>
      </c>
      <c r="H494">
        <f>IFERROR(__xludf.DUMMYFUNCTION("""COMPUTED_VALUE"""),1094250.0)</f>
        <v>1094250</v>
      </c>
      <c r="I494" s="140" t="str">
        <f>IFERROR(__xludf.DUMMYFUNCTION("""COMPUTED_VALUE"""),"")</f>
        <v/>
      </c>
      <c r="K494" s="140" t="str">
        <f>IFERROR(__xludf.DUMMYFUNCTION("""COMPUTED_VALUE"""),"")</f>
        <v/>
      </c>
    </row>
    <row r="495">
      <c r="A495" s="143">
        <f>IFERROR(__xludf.DUMMYFUNCTION("""COMPUTED_VALUE"""),43159.0)</f>
        <v>43159</v>
      </c>
      <c r="B495" s="140">
        <f>IFERROR(__xludf.DUMMYFUNCTION("""COMPUTED_VALUE"""),1081558.0)</f>
        <v>1081558</v>
      </c>
      <c r="C495" t="str">
        <f>IFERROR(__xludf.DUMMYFUNCTION("""COMPUTED_VALUE"""),"Conversational Copywriting - The future of selling online")</f>
        <v>Conversational Copywriting - The future of selling online</v>
      </c>
      <c r="D495" t="str">
        <f>IFERROR(__xludf.DUMMYFUNCTION("""COMPUTED_VALUE"""),"Nick Usborne")</f>
        <v>Nick Usborne</v>
      </c>
      <c r="E495" t="str">
        <f>IFERROR(__xludf.DUMMYFUNCTION("""COMPUTED_VALUE"""),"Instructor Request- No Detail")</f>
        <v>Instructor Request- No Detail</v>
      </c>
      <c r="F495" t="str">
        <f>IFERROR(__xludf.DUMMYFUNCTION("""COMPUTED_VALUE"""),"Marketing")</f>
        <v>Marketing</v>
      </c>
      <c r="G495" t="str">
        <f>IFERROR(__xludf.DUMMYFUNCTION("""COMPUTED_VALUE"""),"Content and Email Marketing")</f>
        <v>Content and Email Marketing</v>
      </c>
      <c r="H495">
        <f>IFERROR(__xludf.DUMMYFUNCTION("""COMPUTED_VALUE"""),325666.0)</f>
        <v>325666</v>
      </c>
      <c r="I495" s="140" t="str">
        <f>IFERROR(__xludf.DUMMYFUNCTION("""COMPUTED_VALUE"""),"")</f>
        <v/>
      </c>
      <c r="K495" s="140" t="str">
        <f>IFERROR(__xludf.DUMMYFUNCTION("""COMPUTED_VALUE"""),"")</f>
        <v/>
      </c>
    </row>
    <row r="496">
      <c r="A496" s="143">
        <f>IFERROR(__xludf.DUMMYFUNCTION("""COMPUTED_VALUE"""),43159.0)</f>
        <v>43159</v>
      </c>
      <c r="B496" s="140">
        <f>IFERROR(__xludf.DUMMYFUNCTION("""COMPUTED_VALUE"""),144348.0)</f>
        <v>144348</v>
      </c>
      <c r="C496" s="142" t="str">
        <f>IFERROR(__xludf.DUMMYFUNCTION("""COMPUTED_VALUE"""),"Apache Hadoop - Machine Learning and Hadoop Eco System")</f>
        <v>Apache Hadoop - Machine Learning and Hadoop Eco System</v>
      </c>
      <c r="D496" t="str">
        <f>IFERROR(__xludf.DUMMYFUNCTION("""COMPUTED_VALUE"""),"Parallel Branch Inc")</f>
        <v>Parallel Branch Inc</v>
      </c>
      <c r="E496" t="str">
        <f>IFERROR(__xludf.DUMMYFUNCTION("""COMPUTED_VALUE"""),"Instructor Verification")</f>
        <v>Instructor Verification</v>
      </c>
      <c r="F496" t="str">
        <f>IFERROR(__xludf.DUMMYFUNCTION("""COMPUTED_VALUE"""),"Data Science")</f>
        <v>Data Science</v>
      </c>
      <c r="G496" t="str">
        <f>IFERROR(__xludf.DUMMYFUNCTION("""COMPUTED_VALUE"""),"Big Data")</f>
        <v>Big Data</v>
      </c>
      <c r="H496">
        <f>IFERROR(__xludf.DUMMYFUNCTION("""COMPUTED_VALUE"""),768670.0)</f>
        <v>768670</v>
      </c>
      <c r="I496" s="140" t="str">
        <f>IFERROR(__xludf.DUMMYFUNCTION("""COMPUTED_VALUE"""),"")</f>
        <v/>
      </c>
      <c r="K496" s="140" t="str">
        <f>IFERROR(__xludf.DUMMYFUNCTION("""COMPUTED_VALUE"""),"")</f>
        <v/>
      </c>
      <c r="M496" t="str">
        <f>IFERROR(__xludf.DUMMYFUNCTION("""COMPUTED_VALUE"""),"Development")</f>
        <v>Development</v>
      </c>
      <c r="N496" s="143" t="str">
        <f>IFERROR(__xludf.DUMMYFUNCTION("""COMPUTED_VALUE"""),"Databases")</f>
        <v>Databases</v>
      </c>
    </row>
    <row r="497">
      <c r="A497" s="143">
        <f>IFERROR(__xludf.DUMMYFUNCTION("""COMPUTED_VALUE"""),43159.0)</f>
        <v>43159</v>
      </c>
      <c r="B497" s="140">
        <f>IFERROR(__xludf.DUMMYFUNCTION("""COMPUTED_VALUE"""),136006.0)</f>
        <v>136006</v>
      </c>
      <c r="C497" s="142" t="str">
        <f>IFERROR(__xludf.DUMMYFUNCTION("""COMPUTED_VALUE"""),"Apache Hadoop for Developers - Advance")</f>
        <v>Apache Hadoop for Developers - Advance</v>
      </c>
      <c r="D497" t="str">
        <f>IFERROR(__xludf.DUMMYFUNCTION("""COMPUTED_VALUE"""),"Parallel Branch Inc")</f>
        <v>Parallel Branch Inc</v>
      </c>
      <c r="E497" t="str">
        <f>IFERROR(__xludf.DUMMYFUNCTION("""COMPUTED_VALUE"""),"Instructor Verification")</f>
        <v>Instructor Verification</v>
      </c>
      <c r="F497" t="str">
        <f>IFERROR(__xludf.DUMMYFUNCTION("""COMPUTED_VALUE"""),"Data Science")</f>
        <v>Data Science</v>
      </c>
      <c r="G497" t="str">
        <f>IFERROR(__xludf.DUMMYFUNCTION("""COMPUTED_VALUE"""),"Big Data")</f>
        <v>Big Data</v>
      </c>
      <c r="H497">
        <f>IFERROR(__xludf.DUMMYFUNCTION("""COMPUTED_VALUE"""),996228.0)</f>
        <v>996228</v>
      </c>
      <c r="I497" s="140" t="str">
        <f>IFERROR(__xludf.DUMMYFUNCTION("""COMPUTED_VALUE"""),"")</f>
        <v/>
      </c>
      <c r="K497" s="140" t="str">
        <f>IFERROR(__xludf.DUMMYFUNCTION("""COMPUTED_VALUE"""),"")</f>
        <v/>
      </c>
      <c r="M497" t="str">
        <f>IFERROR(__xludf.DUMMYFUNCTION("""COMPUTED_VALUE"""),"Development")</f>
        <v>Development</v>
      </c>
      <c r="N497" s="143" t="str">
        <f>IFERROR(__xludf.DUMMYFUNCTION("""COMPUTED_VALUE"""),"Databases")</f>
        <v>Databases</v>
      </c>
    </row>
    <row r="498">
      <c r="A498" s="143">
        <f>IFERROR(__xludf.DUMMYFUNCTION("""COMPUTED_VALUE"""),43159.0)</f>
        <v>43159</v>
      </c>
      <c r="B498" s="140">
        <f>IFERROR(__xludf.DUMMYFUNCTION("""COMPUTED_VALUE"""),144404.0)</f>
        <v>144404</v>
      </c>
      <c r="C498" s="142" t="str">
        <f>IFERROR(__xludf.DUMMYFUNCTION("""COMPUTED_VALUE"""),"Oracle Business Intelligence Enterprise Edition (OBIEE) 11g")</f>
        <v>Oracle Business Intelligence Enterprise Edition (OBIEE) 11g</v>
      </c>
      <c r="D498" t="str">
        <f>IFERROR(__xludf.DUMMYFUNCTION("""COMPUTED_VALUE"""),"Parallel Branch Inc")</f>
        <v>Parallel Branch Inc</v>
      </c>
      <c r="E498" t="str">
        <f>IFERROR(__xludf.DUMMYFUNCTION("""COMPUTED_VALUE"""),"Instructor Verification")</f>
        <v>Instructor Verification</v>
      </c>
      <c r="F498" t="str">
        <f>IFERROR(__xludf.DUMMYFUNCTION("""COMPUTED_VALUE"""),"Data Science")</f>
        <v>Data Science</v>
      </c>
      <c r="G498" t="str">
        <f>IFERROR(__xludf.DUMMYFUNCTION("""COMPUTED_VALUE"""),"Analytics")</f>
        <v>Analytics</v>
      </c>
      <c r="I498" s="140" t="str">
        <f>IFERROR(__xludf.DUMMYFUNCTION("""COMPUTED_VALUE"""),"")</f>
        <v/>
      </c>
      <c r="K498" s="140" t="str">
        <f>IFERROR(__xludf.DUMMYFUNCTION("""COMPUTED_VALUE"""),"")</f>
        <v/>
      </c>
      <c r="Q498" t="str">
        <f>IFERROR(__xludf.DUMMYFUNCTION("""COMPUTED_VALUE"""),"Topic on Priority List- 801976")</f>
        <v>Topic on Priority List- 801976</v>
      </c>
    </row>
    <row r="499">
      <c r="A499" s="143">
        <f>IFERROR(__xludf.DUMMYFUNCTION("""COMPUTED_VALUE"""),43159.0)</f>
        <v>43159</v>
      </c>
      <c r="B499" s="140">
        <f>IFERROR(__xludf.DUMMYFUNCTION("""COMPUTED_VALUE"""),153940.0)</f>
        <v>153940</v>
      </c>
      <c r="C499" s="142" t="str">
        <f>IFERROR(__xludf.DUMMYFUNCTION("""COMPUTED_VALUE"""),"Oracle SQL 11g - Advance")</f>
        <v>Oracle SQL 11g - Advance</v>
      </c>
      <c r="D499" t="str">
        <f>IFERROR(__xludf.DUMMYFUNCTION("""COMPUTED_VALUE"""),"Parallel Branch Inc")</f>
        <v>Parallel Branch Inc</v>
      </c>
      <c r="E499" t="str">
        <f>IFERROR(__xludf.DUMMYFUNCTION("""COMPUTED_VALUE"""),"Instructor Verification")</f>
        <v>Instructor Verification</v>
      </c>
      <c r="F499" t="str">
        <f>IFERROR(__xludf.DUMMYFUNCTION("""COMPUTED_VALUE"""),"Data Science")</f>
        <v>Data Science</v>
      </c>
      <c r="G499" t="str">
        <f>IFERROR(__xludf.DUMMYFUNCTION("""COMPUTED_VALUE"""),"Analytics")</f>
        <v>Analytics</v>
      </c>
      <c r="H499">
        <f>IFERROR(__xludf.DUMMYFUNCTION("""COMPUTED_VALUE"""),866196.0)</f>
        <v>866196</v>
      </c>
      <c r="I499" s="140" t="str">
        <f>IFERROR(__xludf.DUMMYFUNCTION("""COMPUTED_VALUE"""),"")</f>
        <v/>
      </c>
      <c r="K499" s="140" t="str">
        <f>IFERROR(__xludf.DUMMYFUNCTION("""COMPUTED_VALUE"""),"")</f>
        <v/>
      </c>
    </row>
    <row r="500">
      <c r="A500" s="143">
        <f>IFERROR(__xludf.DUMMYFUNCTION("""COMPUTED_VALUE"""),43159.0)</f>
        <v>43159</v>
      </c>
      <c r="B500" s="140">
        <f>IFERROR(__xludf.DUMMYFUNCTION("""COMPUTED_VALUE"""),137012.0)</f>
        <v>137012</v>
      </c>
      <c r="C500" s="142" t="str">
        <f>IFERROR(__xludf.DUMMYFUNCTION("""COMPUTED_VALUE"""),"Basics of Software Testing")</f>
        <v>Basics of Software Testing</v>
      </c>
      <c r="D500" t="str">
        <f>IFERROR(__xludf.DUMMYFUNCTION("""COMPUTED_VALUE"""),"Parallel Branch Inc")</f>
        <v>Parallel Branch Inc</v>
      </c>
      <c r="E500" t="str">
        <f>IFERROR(__xludf.DUMMYFUNCTION("""COMPUTED_VALUE"""),"Instructor Verification")</f>
        <v>Instructor Verification</v>
      </c>
      <c r="F500" t="str">
        <f>IFERROR(__xludf.DUMMYFUNCTION("""COMPUTED_VALUE"""),"Development")</f>
        <v>Development</v>
      </c>
      <c r="G500" t="str">
        <f>IFERROR(__xludf.DUMMYFUNCTION("""COMPUTED_VALUE"""),"Development Tools")</f>
        <v>Development Tools</v>
      </c>
      <c r="I500" s="140" t="str">
        <f>IFERROR(__xludf.DUMMYFUNCTION("""COMPUTED_VALUE"""),"")</f>
        <v/>
      </c>
      <c r="K500" s="140" t="str">
        <f>IFERROR(__xludf.DUMMYFUNCTION("""COMPUTED_VALUE"""),"")</f>
        <v/>
      </c>
      <c r="Q500" t="str">
        <f>IFERROR(__xludf.DUMMYFUNCTION("""COMPUTED_VALUE"""),"Topic on Priority List- ")</f>
        <v>Topic on Priority List- </v>
      </c>
    </row>
    <row r="501">
      <c r="A501" s="143">
        <f>IFERROR(__xludf.DUMMYFUNCTION("""COMPUTED_VALUE"""),43159.0)</f>
        <v>43159</v>
      </c>
      <c r="B501" s="140">
        <f>IFERROR(__xludf.DUMMYFUNCTION("""COMPUTED_VALUE"""),172608.0)</f>
        <v>172608</v>
      </c>
      <c r="C501" s="142" t="str">
        <f>IFERROR(__xludf.DUMMYFUNCTION("""COMPUTED_VALUE"""),"Learn XML Programming")</f>
        <v>Learn XML Programming</v>
      </c>
      <c r="D501" t="str">
        <f>IFERROR(__xludf.DUMMYFUNCTION("""COMPUTED_VALUE"""),"Parallel Branch Inc")</f>
        <v>Parallel Branch Inc</v>
      </c>
      <c r="E501" t="str">
        <f>IFERROR(__xludf.DUMMYFUNCTION("""COMPUTED_VALUE"""),"Instructor Verification")</f>
        <v>Instructor Verification</v>
      </c>
      <c r="F501" t="str">
        <f>IFERROR(__xludf.DUMMYFUNCTION("""COMPUTED_VALUE"""),"Development")</f>
        <v>Development</v>
      </c>
      <c r="G501" t="str">
        <f>IFERROR(__xludf.DUMMYFUNCTION("""COMPUTED_VALUE"""),"Programming")</f>
        <v>Programming</v>
      </c>
      <c r="H501">
        <f>IFERROR(__xludf.DUMMYFUNCTION("""COMPUTED_VALUE"""),548078.0)</f>
        <v>548078</v>
      </c>
      <c r="I501" s="140" t="str">
        <f>IFERROR(__xludf.DUMMYFUNCTION("""COMPUTED_VALUE"""),"")</f>
        <v/>
      </c>
      <c r="J501">
        <f>IFERROR(__xludf.DUMMYFUNCTION("""COMPUTED_VALUE"""),374222.0)</f>
        <v>374222</v>
      </c>
      <c r="K501" s="140" t="str">
        <f>IFERROR(__xludf.DUMMYFUNCTION("""COMPUTED_VALUE"""),"")</f>
        <v/>
      </c>
    </row>
    <row r="502">
      <c r="A502" s="143">
        <f>IFERROR(__xludf.DUMMYFUNCTION("""COMPUTED_VALUE"""),43159.0)</f>
        <v>43159</v>
      </c>
      <c r="B502" s="140">
        <f>IFERROR(__xludf.DUMMYFUNCTION("""COMPUTED_VALUE"""),157602.0)</f>
        <v>157602</v>
      </c>
      <c r="C502" s="142" t="str">
        <f>IFERROR(__xludf.DUMMYFUNCTION("""COMPUTED_VALUE"""),"Microsoft Visual C#.Net - Fundamentals")</f>
        <v>Microsoft Visual C#.Net - Fundamentals</v>
      </c>
      <c r="D502" t="str">
        <f>IFERROR(__xludf.DUMMYFUNCTION("""COMPUTED_VALUE"""),"Parallel Branch Inc")</f>
        <v>Parallel Branch Inc</v>
      </c>
      <c r="E502" t="str">
        <f>IFERROR(__xludf.DUMMYFUNCTION("""COMPUTED_VALUE"""),"Instructor Verification")</f>
        <v>Instructor Verification</v>
      </c>
      <c r="F502" t="str">
        <f>IFERROR(__xludf.DUMMYFUNCTION("""COMPUTED_VALUE"""),"Development")</f>
        <v>Development</v>
      </c>
      <c r="G502" t="str">
        <f>IFERROR(__xludf.DUMMYFUNCTION("""COMPUTED_VALUE"""),"Programming")</f>
        <v>Programming</v>
      </c>
      <c r="H502">
        <f>IFERROR(__xludf.DUMMYFUNCTION("""COMPUTED_VALUE"""),185678.0)</f>
        <v>185678</v>
      </c>
      <c r="I502" s="140" t="str">
        <f>IFERROR(__xludf.DUMMYFUNCTION("""COMPUTED_VALUE"""),"")</f>
        <v/>
      </c>
      <c r="K502" s="140" t="str">
        <f>IFERROR(__xludf.DUMMYFUNCTION("""COMPUTED_VALUE"""),"")</f>
        <v/>
      </c>
    </row>
    <row r="503">
      <c r="A503" s="143">
        <f>IFERROR(__xludf.DUMMYFUNCTION("""COMPUTED_VALUE"""),43159.0)</f>
        <v>43159</v>
      </c>
      <c r="B503" s="140">
        <f>IFERROR(__xludf.DUMMYFUNCTION("""COMPUTED_VALUE"""),418236.0)</f>
        <v>418236</v>
      </c>
      <c r="C503" s="142" t="str">
        <f>IFERROR(__xludf.DUMMYFUNCTION("""COMPUTED_VALUE"""),"Oracle XML Publisher for Developers - Essentials")</f>
        <v>Oracle XML Publisher for Developers - Essentials</v>
      </c>
      <c r="D503" t="str">
        <f>IFERROR(__xludf.DUMMYFUNCTION("""COMPUTED_VALUE"""),"Parallel Branch Inc")</f>
        <v>Parallel Branch Inc</v>
      </c>
      <c r="E503" t="str">
        <f>IFERROR(__xludf.DUMMYFUNCTION("""COMPUTED_VALUE"""),"Instructor Verification")</f>
        <v>Instructor Verification</v>
      </c>
      <c r="F503" t="str">
        <f>IFERROR(__xludf.DUMMYFUNCTION("""COMPUTED_VALUE"""),"Development")</f>
        <v>Development</v>
      </c>
      <c r="G503" t="str">
        <f>IFERROR(__xludf.DUMMYFUNCTION("""COMPUTED_VALUE"""),"Programming")</f>
        <v>Programming</v>
      </c>
      <c r="H503">
        <f>IFERROR(__xludf.DUMMYFUNCTION("""COMPUTED_VALUE"""),548078.0)</f>
        <v>548078</v>
      </c>
      <c r="I503" s="140" t="str">
        <f>IFERROR(__xludf.DUMMYFUNCTION("""COMPUTED_VALUE"""),"")</f>
        <v/>
      </c>
      <c r="K503" s="140" t="str">
        <f>IFERROR(__xludf.DUMMYFUNCTION("""COMPUTED_VALUE"""),"")</f>
        <v/>
      </c>
    </row>
    <row r="504">
      <c r="A504" s="143">
        <f>IFERROR(__xludf.DUMMYFUNCTION("""COMPUTED_VALUE"""),43159.0)</f>
        <v>43159</v>
      </c>
      <c r="B504" s="140">
        <f>IFERROR(__xludf.DUMMYFUNCTION("""COMPUTED_VALUE"""),151216.0)</f>
        <v>151216</v>
      </c>
      <c r="C504" s="142" t="str">
        <f>IFERROR(__xludf.DUMMYFUNCTION("""COMPUTED_VALUE"""),"Oracle Applications R12 Inventory - Advance")</f>
        <v>Oracle Applications R12 Inventory - Advance</v>
      </c>
      <c r="D504" t="str">
        <f>IFERROR(__xludf.DUMMYFUNCTION("""COMPUTED_VALUE"""),"Parallel Branch Inc")</f>
        <v>Parallel Branch Inc</v>
      </c>
      <c r="E504" t="str">
        <f>IFERROR(__xludf.DUMMYFUNCTION("""COMPUTED_VALUE"""),"Instructor Verification")</f>
        <v>Instructor Verification</v>
      </c>
      <c r="F504" t="str">
        <f>IFERROR(__xludf.DUMMYFUNCTION("""COMPUTED_VALUE"""),"Finance and Accounting")</f>
        <v>Finance and Accounting</v>
      </c>
      <c r="G504" t="str">
        <f>IFERROR(__xludf.DUMMYFUNCTION("""COMPUTED_VALUE"""),"Accounting")</f>
        <v>Accounting</v>
      </c>
      <c r="I504" s="140" t="str">
        <f>IFERROR(__xludf.DUMMYFUNCTION("""COMPUTED_VALUE"""),"")</f>
        <v/>
      </c>
      <c r="K504" s="140" t="str">
        <f>IFERROR(__xludf.DUMMYFUNCTION("""COMPUTED_VALUE"""),"")</f>
        <v/>
      </c>
      <c r="Q504" t="str">
        <f>IFERROR(__xludf.DUMMYFUNCTION("""COMPUTED_VALUE"""),"Topic on Priority List- 1045834")</f>
        <v>Topic on Priority List- 1045834</v>
      </c>
    </row>
    <row r="505">
      <c r="A505" s="143">
        <f>IFERROR(__xludf.DUMMYFUNCTION("""COMPUTED_VALUE"""),43159.0)</f>
        <v>43159</v>
      </c>
      <c r="B505" s="140">
        <f>IFERROR(__xludf.DUMMYFUNCTION("""COMPUTED_VALUE"""),150002.0)</f>
        <v>150002</v>
      </c>
      <c r="C505" s="142" t="str">
        <f>IFERROR(__xludf.DUMMYFUNCTION("""COMPUTED_VALUE"""),"Oracle Applications R12 Inventory - Fundamentals")</f>
        <v>Oracle Applications R12 Inventory - Fundamentals</v>
      </c>
      <c r="D505" t="str">
        <f>IFERROR(__xludf.DUMMYFUNCTION("""COMPUTED_VALUE"""),"Parallel Branch Inc")</f>
        <v>Parallel Branch Inc</v>
      </c>
      <c r="E505" t="str">
        <f>IFERROR(__xludf.DUMMYFUNCTION("""COMPUTED_VALUE"""),"Instructor Verification")</f>
        <v>Instructor Verification</v>
      </c>
      <c r="F505" t="str">
        <f>IFERROR(__xludf.DUMMYFUNCTION("""COMPUTED_VALUE"""),"Finance and Accounting")</f>
        <v>Finance and Accounting</v>
      </c>
      <c r="G505" t="str">
        <f>IFERROR(__xludf.DUMMYFUNCTION("""COMPUTED_VALUE"""),"Accounting")</f>
        <v>Accounting</v>
      </c>
      <c r="I505" s="140" t="str">
        <f>IFERROR(__xludf.DUMMYFUNCTION("""COMPUTED_VALUE"""),"")</f>
        <v/>
      </c>
      <c r="K505" s="140" t="str">
        <f>IFERROR(__xludf.DUMMYFUNCTION("""COMPUTED_VALUE"""),"")</f>
        <v/>
      </c>
      <c r="Q505" t="str">
        <f>IFERROR(__xludf.DUMMYFUNCTION("""COMPUTED_VALUE"""),"Topic on Priority List- 1045834")</f>
        <v>Topic on Priority List- 1045834</v>
      </c>
    </row>
    <row r="506">
      <c r="A506" s="143">
        <f>IFERROR(__xludf.DUMMYFUNCTION("""COMPUTED_VALUE"""),43159.0)</f>
        <v>43159</v>
      </c>
      <c r="B506" s="140">
        <f>IFERROR(__xludf.DUMMYFUNCTION("""COMPUTED_VALUE"""),153318.0)</f>
        <v>153318</v>
      </c>
      <c r="C506" s="142" t="str">
        <f>IFERROR(__xludf.DUMMYFUNCTION("""COMPUTED_VALUE"""),"Oracle Applications R12 Order Management and Pricing")</f>
        <v>Oracle Applications R12 Order Management and Pricing</v>
      </c>
      <c r="D506" t="str">
        <f>IFERROR(__xludf.DUMMYFUNCTION("""COMPUTED_VALUE"""),"Parallel Branch Inc")</f>
        <v>Parallel Branch Inc</v>
      </c>
      <c r="E506" t="str">
        <f>IFERROR(__xludf.DUMMYFUNCTION("""COMPUTED_VALUE"""),"Instructor Verification")</f>
        <v>Instructor Verification</v>
      </c>
      <c r="F506" t="str">
        <f>IFERROR(__xludf.DUMMYFUNCTION("""COMPUTED_VALUE"""),"Finance and Accounting")</f>
        <v>Finance and Accounting</v>
      </c>
      <c r="G506" t="str">
        <f>IFERROR(__xludf.DUMMYFUNCTION("""COMPUTED_VALUE"""),"Accounting")</f>
        <v>Accounting</v>
      </c>
      <c r="I506" s="140" t="str">
        <f>IFERROR(__xludf.DUMMYFUNCTION("""COMPUTED_VALUE"""),"")</f>
        <v/>
      </c>
      <c r="K506" s="140" t="str">
        <f>IFERROR(__xludf.DUMMYFUNCTION("""COMPUTED_VALUE"""),"")</f>
        <v/>
      </c>
      <c r="Q506" t="str">
        <f>IFERROR(__xludf.DUMMYFUNCTION("""COMPUTED_VALUE"""),"Topic on Priority List- 1045834")</f>
        <v>Topic on Priority List- 1045834</v>
      </c>
    </row>
    <row r="507">
      <c r="A507" s="143">
        <f>IFERROR(__xludf.DUMMYFUNCTION("""COMPUTED_VALUE"""),43159.0)</f>
        <v>43159</v>
      </c>
      <c r="B507" s="140">
        <f>IFERROR(__xludf.DUMMYFUNCTION("""COMPUTED_VALUE"""),143176.0)</f>
        <v>143176</v>
      </c>
      <c r="C507" s="142" t="str">
        <f>IFERROR(__xludf.DUMMYFUNCTION("""COMPUTED_VALUE"""),"Oracle E-Business Suite R12 Applications DBA")</f>
        <v>Oracle E-Business Suite R12 Applications DBA</v>
      </c>
      <c r="D507" t="str">
        <f>IFERROR(__xludf.DUMMYFUNCTION("""COMPUTED_VALUE"""),"Parallel Branch Inc")</f>
        <v>Parallel Branch Inc</v>
      </c>
      <c r="E507" t="str">
        <f>IFERROR(__xludf.DUMMYFUNCTION("""COMPUTED_VALUE"""),"Instructor Verification")</f>
        <v>Instructor Verification</v>
      </c>
      <c r="F507" t="str">
        <f>IFERROR(__xludf.DUMMYFUNCTION("""COMPUTED_VALUE"""),"IT and Software")</f>
        <v>IT and Software</v>
      </c>
      <c r="G507" t="str">
        <f>IFERROR(__xludf.DUMMYFUNCTION("""COMPUTED_VALUE"""),"Databases")</f>
        <v>Databases</v>
      </c>
      <c r="I507" s="140" t="str">
        <f>IFERROR(__xludf.DUMMYFUNCTION("""COMPUTED_VALUE"""),"")</f>
        <v/>
      </c>
      <c r="K507" s="140" t="str">
        <f>IFERROR(__xludf.DUMMYFUNCTION("""COMPUTED_VALUE"""),"")</f>
        <v/>
      </c>
      <c r="Q507" t="str">
        <f>IFERROR(__xludf.DUMMYFUNCTION("""COMPUTED_VALUE"""),"Topic on Priority List- 1045834")</f>
        <v>Topic on Priority List- 1045834</v>
      </c>
    </row>
    <row r="508">
      <c r="A508" s="143">
        <f>IFERROR(__xludf.DUMMYFUNCTION("""COMPUTED_VALUE"""),43159.0)</f>
        <v>43159</v>
      </c>
      <c r="B508" s="140">
        <f>IFERROR(__xludf.DUMMYFUNCTION("""COMPUTED_VALUE"""),150034.0)</f>
        <v>150034</v>
      </c>
      <c r="C508" s="142" t="str">
        <f>IFERROR(__xludf.DUMMYFUNCTION("""COMPUTED_VALUE"""),"Oracle E-Business Suite R12 Fundamentals for Implementers")</f>
        <v>Oracle E-Business Suite R12 Fundamentals for Implementers</v>
      </c>
      <c r="D508" t="str">
        <f>IFERROR(__xludf.DUMMYFUNCTION("""COMPUTED_VALUE"""),"Parallel Branch Inc")</f>
        <v>Parallel Branch Inc</v>
      </c>
      <c r="E508" t="str">
        <f>IFERROR(__xludf.DUMMYFUNCTION("""COMPUTED_VALUE"""),"Instructor Verification")</f>
        <v>Instructor Verification</v>
      </c>
      <c r="F508" t="str">
        <f>IFERROR(__xludf.DUMMYFUNCTION("""COMPUTED_VALUE"""),"IT and Software")</f>
        <v>IT and Software</v>
      </c>
      <c r="G508" t="str">
        <f>IFERROR(__xludf.DUMMYFUNCTION("""COMPUTED_VALUE"""),"Databases")</f>
        <v>Databases</v>
      </c>
      <c r="I508" s="140" t="str">
        <f>IFERROR(__xludf.DUMMYFUNCTION("""COMPUTED_VALUE"""),"")</f>
        <v/>
      </c>
      <c r="K508" s="140" t="str">
        <f>IFERROR(__xludf.DUMMYFUNCTION("""COMPUTED_VALUE"""),"")</f>
        <v/>
      </c>
      <c r="Q508" t="str">
        <f>IFERROR(__xludf.DUMMYFUNCTION("""COMPUTED_VALUE"""),"Topic on Priority List- 1045834")</f>
        <v>Topic on Priority List- 1045834</v>
      </c>
    </row>
    <row r="509">
      <c r="A509" s="143">
        <f>IFERROR(__xludf.DUMMYFUNCTION("""COMPUTED_VALUE"""),43159.0)</f>
        <v>43159</v>
      </c>
      <c r="B509" s="140">
        <f>IFERROR(__xludf.DUMMYFUNCTION("""COMPUTED_VALUE"""),288744.0)</f>
        <v>288744</v>
      </c>
      <c r="C509" s="142" t="str">
        <f>IFERROR(__xludf.DUMMYFUNCTION("""COMPUTED_VALUE"""),"Oracle EBS R12 - AOL &amp; System Administrator for Developers")</f>
        <v>Oracle EBS R12 - AOL &amp; System Administrator for Developers</v>
      </c>
      <c r="D509" t="str">
        <f>IFERROR(__xludf.DUMMYFUNCTION("""COMPUTED_VALUE"""),"Parallel Branch Inc")</f>
        <v>Parallel Branch Inc</v>
      </c>
      <c r="E509" t="str">
        <f>IFERROR(__xludf.DUMMYFUNCTION("""COMPUTED_VALUE"""),"Instructor Verification")</f>
        <v>Instructor Verification</v>
      </c>
      <c r="F509" t="str">
        <f>IFERROR(__xludf.DUMMYFUNCTION("""COMPUTED_VALUE"""),"IT and Software")</f>
        <v>IT and Software</v>
      </c>
      <c r="G509" t="str">
        <f>IFERROR(__xludf.DUMMYFUNCTION("""COMPUTED_VALUE"""),"Databases")</f>
        <v>Databases</v>
      </c>
      <c r="I509" s="140" t="str">
        <f>IFERROR(__xludf.DUMMYFUNCTION("""COMPUTED_VALUE"""),"")</f>
        <v/>
      </c>
      <c r="K509" s="140" t="str">
        <f>IFERROR(__xludf.DUMMYFUNCTION("""COMPUTED_VALUE"""),"")</f>
        <v/>
      </c>
      <c r="M509" t="str">
        <f>IFERROR(__xludf.DUMMYFUNCTION("""COMPUTED_VALUE"""),"Development")</f>
        <v>Development</v>
      </c>
      <c r="N509" s="143" t="str">
        <f>IFERROR(__xludf.DUMMYFUNCTION("""COMPUTED_VALUE"""),"Databases")</f>
        <v>Databases</v>
      </c>
      <c r="Q509" t="str">
        <f>IFERROR(__xludf.DUMMYFUNCTION("""COMPUTED_VALUE"""),"Topic on Priority List- 1045834")</f>
        <v>Topic on Priority List- 1045834</v>
      </c>
    </row>
    <row r="510">
      <c r="A510" s="143">
        <f>IFERROR(__xludf.DUMMYFUNCTION("""COMPUTED_VALUE"""),43159.0)</f>
        <v>43159</v>
      </c>
      <c r="B510" s="140">
        <f>IFERROR(__xludf.DUMMYFUNCTION("""COMPUTED_VALUE"""),148648.0)</f>
        <v>148648</v>
      </c>
      <c r="C510" s="142" t="str">
        <f>IFERROR(__xludf.DUMMYFUNCTION("""COMPUTED_VALUE"""),"Microsoft SharePoint for Developers – Advance")</f>
        <v>Microsoft SharePoint for Developers – Advance</v>
      </c>
      <c r="D510" t="str">
        <f>IFERROR(__xludf.DUMMYFUNCTION("""COMPUTED_VALUE"""),"Parallel Branch Inc")</f>
        <v>Parallel Branch Inc</v>
      </c>
      <c r="E510" t="str">
        <f>IFERROR(__xludf.DUMMYFUNCTION("""COMPUTED_VALUE"""),"Instructor Verification")</f>
        <v>Instructor Verification</v>
      </c>
      <c r="F510" t="str">
        <f>IFERROR(__xludf.DUMMYFUNCTION("""COMPUTED_VALUE"""),"Office Productivity")</f>
        <v>Office Productivity</v>
      </c>
      <c r="G510" t="str">
        <f>IFERROR(__xludf.DUMMYFUNCTION("""COMPUTED_VALUE"""),"Collaboration")</f>
        <v>Collaboration</v>
      </c>
      <c r="H510">
        <f>IFERROR(__xludf.DUMMYFUNCTION("""COMPUTED_VALUE"""),505516.0)</f>
        <v>505516</v>
      </c>
      <c r="I510" s="140" t="str">
        <f>IFERROR(__xludf.DUMMYFUNCTION("""COMPUTED_VALUE"""),"")</f>
        <v/>
      </c>
      <c r="J510">
        <f>IFERROR(__xludf.DUMMYFUNCTION("""COMPUTED_VALUE"""),775346.0)</f>
        <v>775346</v>
      </c>
      <c r="K510" s="140" t="str">
        <f>IFERROR(__xludf.DUMMYFUNCTION("""COMPUTED_VALUE"""),"")</f>
        <v/>
      </c>
    </row>
    <row r="511">
      <c r="A511" s="143">
        <f>IFERROR(__xludf.DUMMYFUNCTION("""COMPUTED_VALUE"""),43159.0)</f>
        <v>43159</v>
      </c>
      <c r="B511" s="140">
        <f>IFERROR(__xludf.DUMMYFUNCTION("""COMPUTED_VALUE"""),139568.0)</f>
        <v>139568</v>
      </c>
      <c r="C511" s="142" t="str">
        <f>IFERROR(__xludf.DUMMYFUNCTION("""COMPUTED_VALUE"""),"Microsoft SharePoint for Developers – Fundamentals")</f>
        <v>Microsoft SharePoint for Developers – Fundamentals</v>
      </c>
      <c r="D511" t="str">
        <f>IFERROR(__xludf.DUMMYFUNCTION("""COMPUTED_VALUE"""),"Parallel Branch Inc")</f>
        <v>Parallel Branch Inc</v>
      </c>
      <c r="E511" t="str">
        <f>IFERROR(__xludf.DUMMYFUNCTION("""COMPUTED_VALUE"""),"Instructor Verification")</f>
        <v>Instructor Verification</v>
      </c>
      <c r="F511" t="str">
        <f>IFERROR(__xludf.DUMMYFUNCTION("""COMPUTED_VALUE"""),"Office Productivity")</f>
        <v>Office Productivity</v>
      </c>
      <c r="G511" t="str">
        <f>IFERROR(__xludf.DUMMYFUNCTION("""COMPUTED_VALUE"""),"Collaboration")</f>
        <v>Collaboration</v>
      </c>
      <c r="H511">
        <f>IFERROR(__xludf.DUMMYFUNCTION("""COMPUTED_VALUE"""),505516.0)</f>
        <v>505516</v>
      </c>
      <c r="I511" s="140" t="str">
        <f>IFERROR(__xludf.DUMMYFUNCTION("""COMPUTED_VALUE"""),"")</f>
        <v/>
      </c>
      <c r="J511">
        <f>IFERROR(__xludf.DUMMYFUNCTION("""COMPUTED_VALUE"""),775346.0)</f>
        <v>775346</v>
      </c>
      <c r="K511" s="140" t="str">
        <f>IFERROR(__xludf.DUMMYFUNCTION("""COMPUTED_VALUE"""),"")</f>
        <v/>
      </c>
    </row>
    <row r="512">
      <c r="A512" s="143">
        <f>IFERROR(__xludf.DUMMYFUNCTION("""COMPUTED_VALUE"""),43159.0)</f>
        <v>43159</v>
      </c>
      <c r="B512" s="140">
        <f>IFERROR(__xludf.DUMMYFUNCTION("""COMPUTED_VALUE"""),863086.0)</f>
        <v>863086</v>
      </c>
      <c r="C512" s="142" t="str">
        <f>IFERROR(__xludf.DUMMYFUNCTION("""COMPUTED_VALUE"""),"Crystal Reports - An Introduction")</f>
        <v>Crystal Reports - An Introduction</v>
      </c>
      <c r="D512" t="str">
        <f>IFERROR(__xludf.DUMMYFUNCTION("""COMPUTED_VALUE"""),"Phillip Burton")</f>
        <v>Phillip Burton</v>
      </c>
      <c r="E512" t="str">
        <f>IFERROR(__xludf.DUMMYFUNCTION("""COMPUTED_VALUE"""),"Below Quality Standards")</f>
        <v>Below Quality Standards</v>
      </c>
      <c r="F512" t="str">
        <f>IFERROR(__xludf.DUMMYFUNCTION("""COMPUTED_VALUE"""),"Data Science")</f>
        <v>Data Science</v>
      </c>
      <c r="G512" t="str">
        <f>IFERROR(__xludf.DUMMYFUNCTION("""COMPUTED_VALUE"""),"Analytics")</f>
        <v>Analytics</v>
      </c>
      <c r="H512">
        <f>IFERROR(__xludf.DUMMYFUNCTION("""COMPUTED_VALUE"""),118424.0)</f>
        <v>118424</v>
      </c>
      <c r="I512" s="140" t="str">
        <f>IFERROR(__xludf.DUMMYFUNCTION("""COMPUTED_VALUE"""),"")</f>
        <v/>
      </c>
      <c r="K512" s="140" t="str">
        <f>IFERROR(__xludf.DUMMYFUNCTION("""COMPUTED_VALUE"""),"")</f>
        <v/>
      </c>
    </row>
    <row r="513">
      <c r="A513" s="143">
        <f>IFERROR(__xludf.DUMMYFUNCTION("""COMPUTED_VALUE"""),43159.0)</f>
        <v>43159</v>
      </c>
      <c r="B513" s="140">
        <f>IFERROR(__xludf.DUMMYFUNCTION("""COMPUTED_VALUE"""),578350.0)</f>
        <v>578350</v>
      </c>
      <c r="C513" s="142" t="str">
        <f>IFERROR(__xludf.DUMMYFUNCTION("""COMPUTED_VALUE"""),"Microsoft SQL Server Reporting Services (SSRS)")</f>
        <v>Microsoft SQL Server Reporting Services (SSRS)</v>
      </c>
      <c r="D513" t="str">
        <f>IFERROR(__xludf.DUMMYFUNCTION("""COMPUTED_VALUE"""),"Phillip Burton")</f>
        <v>Phillip Burton</v>
      </c>
      <c r="E513" t="str">
        <f>IFERROR(__xludf.DUMMYFUNCTION("""COMPUTED_VALUE"""),"Below Quality Standards")</f>
        <v>Below Quality Standards</v>
      </c>
      <c r="F513" t="str">
        <f>IFERROR(__xludf.DUMMYFUNCTION("""COMPUTED_VALUE"""),"IT and Software")</f>
        <v>IT and Software</v>
      </c>
      <c r="G513" t="str">
        <f>IFERROR(__xludf.DUMMYFUNCTION("""COMPUTED_VALUE"""),"Operating Systems and Servers")</f>
        <v>Operating Systems and Servers</v>
      </c>
      <c r="H513">
        <f>IFERROR(__xludf.DUMMYFUNCTION("""COMPUTED_VALUE"""),295981.0)</f>
        <v>295981</v>
      </c>
      <c r="I513" s="140" t="str">
        <f>IFERROR(__xludf.DUMMYFUNCTION("""COMPUTED_VALUE"""),"")</f>
        <v/>
      </c>
      <c r="K513" s="140" t="str">
        <f>IFERROR(__xludf.DUMMYFUNCTION("""COMPUTED_VALUE"""),"")</f>
        <v/>
      </c>
      <c r="M513" t="str">
        <f>IFERROR(__xludf.DUMMYFUNCTION("""COMPUTED_VALUE"""),"IT and Software")</f>
        <v>IT and Software</v>
      </c>
      <c r="N513" s="143" t="str">
        <f>IFERROR(__xludf.DUMMYFUNCTION("""COMPUTED_VALUE"""),"Databases")</f>
        <v>Databases</v>
      </c>
      <c r="Q513" t="str">
        <f>IFERROR(__xludf.DUMMYFUNCTION("""COMPUTED_VALUE"""),"Low Demand")</f>
        <v>Low Demand</v>
      </c>
    </row>
    <row r="514">
      <c r="A514" s="143">
        <f>IFERROR(__xludf.DUMMYFUNCTION("""COMPUTED_VALUE"""),43159.0)</f>
        <v>43159</v>
      </c>
      <c r="B514" s="140">
        <f>IFERROR(__xludf.DUMMYFUNCTION("""COMPUTED_VALUE"""),531636.0)</f>
        <v>531636</v>
      </c>
      <c r="C514" s="142" t="str">
        <f>IFERROR(__xludf.DUMMYFUNCTION("""COMPUTED_VALUE"""),"Introduction to SPSS")</f>
        <v>Introduction to SPSS</v>
      </c>
      <c r="D514" t="str">
        <f>IFERROR(__xludf.DUMMYFUNCTION("""COMPUTED_VALUE"""),"Quantitative Specialists")</f>
        <v>Quantitative Specialists</v>
      </c>
      <c r="E514" t="str">
        <f>IFERROR(__xludf.DUMMYFUNCTION("""COMPUTED_VALUE"""),"Below Quality Standards")</f>
        <v>Below Quality Standards</v>
      </c>
      <c r="F514" t="str">
        <f>IFERROR(__xludf.DUMMYFUNCTION("""COMPUTED_VALUE"""),"Data Science")</f>
        <v>Data Science</v>
      </c>
      <c r="G514" t="str">
        <f>IFERROR(__xludf.DUMMYFUNCTION("""COMPUTED_VALUE"""),"Analytics")</f>
        <v>Analytics</v>
      </c>
      <c r="H514">
        <f>IFERROR(__xludf.DUMMYFUNCTION("""COMPUTED_VALUE"""),86332.0)</f>
        <v>86332</v>
      </c>
      <c r="I514" s="140" t="str">
        <f>IFERROR(__xludf.DUMMYFUNCTION("""COMPUTED_VALUE"""),"")</f>
        <v/>
      </c>
      <c r="K514" s="140" t="str">
        <f>IFERROR(__xludf.DUMMYFUNCTION("""COMPUTED_VALUE"""),"")</f>
        <v/>
      </c>
    </row>
    <row r="515">
      <c r="A515" s="143">
        <f>IFERROR(__xludf.DUMMYFUNCTION("""COMPUTED_VALUE"""),43159.0)</f>
        <v>43159</v>
      </c>
      <c r="B515" s="140">
        <f>IFERROR(__xludf.DUMMYFUNCTION("""COMPUTED_VALUE"""),289534.0)</f>
        <v>289534</v>
      </c>
      <c r="C515" s="142" t="str">
        <f>IFERROR(__xludf.DUMMYFUNCTION("""COMPUTED_VALUE"""),"Graphs in R - Data Visualization with R Programming Language")</f>
        <v>Graphs in R - Data Visualization with R Programming Language</v>
      </c>
      <c r="D515" t="str">
        <f>IFERROR(__xludf.DUMMYFUNCTION("""COMPUTED_VALUE"""),"R-Tutorials Training")</f>
        <v>R-Tutorials Training</v>
      </c>
      <c r="E515" t="str">
        <f>IFERROR(__xludf.DUMMYFUNCTION("""COMPUTED_VALUE"""),"Below Quality Standards")</f>
        <v>Below Quality Standards</v>
      </c>
      <c r="F515" t="str">
        <f>IFERROR(__xludf.DUMMYFUNCTION("""COMPUTED_VALUE"""),"Data Science")</f>
        <v>Data Science</v>
      </c>
      <c r="G515" t="str">
        <f>IFERROR(__xludf.DUMMYFUNCTION("""COMPUTED_VALUE"""),"Analytics")</f>
        <v>Analytics</v>
      </c>
      <c r="H515">
        <f>IFERROR(__xludf.DUMMYFUNCTION("""COMPUTED_VALUE"""),765242.0)</f>
        <v>765242</v>
      </c>
      <c r="I515" s="140" t="str">
        <f>IFERROR(__xludf.DUMMYFUNCTION("""COMPUTED_VALUE"""),"")</f>
        <v/>
      </c>
      <c r="K515" s="140" t="str">
        <f>IFERROR(__xludf.DUMMYFUNCTION("""COMPUTED_VALUE"""),"")</f>
        <v/>
      </c>
    </row>
    <row r="516">
      <c r="A516" s="143">
        <f>IFERROR(__xludf.DUMMYFUNCTION("""COMPUTED_VALUE"""),43159.0)</f>
        <v>43159</v>
      </c>
      <c r="B516" s="140">
        <f>IFERROR(__xludf.DUMMYFUNCTION("""COMPUTED_VALUE"""),627692.0)</f>
        <v>627692</v>
      </c>
      <c r="C516" s="142" t="str">
        <f>IFERROR(__xludf.DUMMYFUNCTION("""COMPUTED_VALUE"""),"Discrete Mathematics: Open Doors to Great Careers")</f>
        <v>Discrete Mathematics: Open Doors to Great Careers</v>
      </c>
      <c r="D516" t="str">
        <f>IFERROR(__xludf.DUMMYFUNCTION("""COMPUTED_VALUE"""),"Richard Han")</f>
        <v>Richard Han</v>
      </c>
      <c r="E516" t="str">
        <f>IFERROR(__xludf.DUMMYFUNCTION("""COMPUTED_VALUE"""),"Below Quality Standards")</f>
        <v>Below Quality Standards</v>
      </c>
      <c r="F516" t="str">
        <f>IFERROR(__xludf.DUMMYFUNCTION("""COMPUTED_VALUE"""),"Data Science")</f>
        <v>Data Science</v>
      </c>
      <c r="G516" t="str">
        <f>IFERROR(__xludf.DUMMYFUNCTION("""COMPUTED_VALUE"""),"Analytics")</f>
        <v>Analytics</v>
      </c>
      <c r="H516">
        <f>IFERROR(__xludf.DUMMYFUNCTION("""COMPUTED_VALUE"""),221578.0)</f>
        <v>221578</v>
      </c>
      <c r="I516" s="140" t="str">
        <f>IFERROR(__xludf.DUMMYFUNCTION("""COMPUTED_VALUE"""),"")</f>
        <v/>
      </c>
      <c r="K516" s="140" t="str">
        <f>IFERROR(__xludf.DUMMYFUNCTION("""COMPUTED_VALUE"""),"")</f>
        <v/>
      </c>
    </row>
    <row r="517">
      <c r="A517" s="143">
        <f>IFERROR(__xludf.DUMMYFUNCTION("""COMPUTED_VALUE"""),43159.0)</f>
        <v>43159</v>
      </c>
      <c r="B517" s="140">
        <f>IFERROR(__xludf.DUMMYFUNCTION("""COMPUTED_VALUE"""),1050850.0)</f>
        <v>1050850</v>
      </c>
      <c r="C517" s="142" t="str">
        <f>IFERROR(__xludf.DUMMYFUNCTION("""COMPUTED_VALUE"""),"Speak like a TED speaker! The ABC's of Public Speaking")</f>
        <v>Speak like a TED speaker! The ABC's of Public Speaking</v>
      </c>
      <c r="D517" t="str">
        <f>IFERROR(__xludf.DUMMYFUNCTION("""COMPUTED_VALUE"""),"Roi Shternin")</f>
        <v>Roi Shternin</v>
      </c>
      <c r="E517" t="str">
        <f>IFERROR(__xludf.DUMMYFUNCTION("""COMPUTED_VALUE"""),"Below Quality Standards")</f>
        <v>Below Quality Standards</v>
      </c>
      <c r="F517" t="str">
        <f>IFERROR(__xludf.DUMMYFUNCTION("""COMPUTED_VALUE"""),"Management")</f>
        <v>Management</v>
      </c>
      <c r="G517" t="str">
        <f>IFERROR(__xludf.DUMMYFUNCTION("""COMPUTED_VALUE"""),"Communication")</f>
        <v>Communication</v>
      </c>
      <c r="H517">
        <f>IFERROR(__xludf.DUMMYFUNCTION("""COMPUTED_VALUE"""),852192.0)</f>
        <v>852192</v>
      </c>
      <c r="I517" s="140" t="str">
        <f>IFERROR(__xludf.DUMMYFUNCTION("""COMPUTED_VALUE"""),"")</f>
        <v/>
      </c>
      <c r="K517" s="140" t="str">
        <f>IFERROR(__xludf.DUMMYFUNCTION("""COMPUTED_VALUE"""),"")</f>
        <v/>
      </c>
    </row>
    <row r="518">
      <c r="A518" s="143">
        <f>IFERROR(__xludf.DUMMYFUNCTION("""COMPUTED_VALUE"""),43159.0)</f>
        <v>43159</v>
      </c>
      <c r="B518" s="140">
        <f>IFERROR(__xludf.DUMMYFUNCTION("""COMPUTED_VALUE"""),888090.0)</f>
        <v>888090</v>
      </c>
      <c r="C518" s="142" t="str">
        <f>IFERROR(__xludf.DUMMYFUNCTION("""COMPUTED_VALUE"""),"Learn R By Intensive Practice")</f>
        <v>Learn R By Intensive Practice</v>
      </c>
      <c r="D518" t="str">
        <f>IFERROR(__xludf.DUMMYFUNCTION("""COMPUTED_VALUE"""),"Selva Prabhakaran")</f>
        <v>Selva Prabhakaran</v>
      </c>
      <c r="E518" t="str">
        <f>IFERROR(__xludf.DUMMYFUNCTION("""COMPUTED_VALUE"""),"Below Quality Standards")</f>
        <v>Below Quality Standards</v>
      </c>
      <c r="F518" t="str">
        <f>IFERROR(__xludf.DUMMYFUNCTION("""COMPUTED_VALUE"""),"Data Science")</f>
        <v>Data Science</v>
      </c>
      <c r="G518" t="str">
        <f>IFERROR(__xludf.DUMMYFUNCTION("""COMPUTED_VALUE"""),"Analytics")</f>
        <v>Analytics</v>
      </c>
      <c r="H518">
        <f>IFERROR(__xludf.DUMMYFUNCTION("""COMPUTED_VALUE"""),765242.0)</f>
        <v>765242</v>
      </c>
      <c r="I518" s="140" t="str">
        <f>IFERROR(__xludf.DUMMYFUNCTION("""COMPUTED_VALUE"""),"")</f>
        <v/>
      </c>
      <c r="K518" s="140" t="str">
        <f>IFERROR(__xludf.DUMMYFUNCTION("""COMPUTED_VALUE"""),"")</f>
        <v/>
      </c>
    </row>
    <row r="519">
      <c r="A519" s="143">
        <f>IFERROR(__xludf.DUMMYFUNCTION("""COMPUTED_VALUE"""),43159.0)</f>
        <v>43159</v>
      </c>
      <c r="B519" s="140">
        <f>IFERROR(__xludf.DUMMYFUNCTION("""COMPUTED_VALUE"""),101784.0)</f>
        <v>101784</v>
      </c>
      <c r="C519" t="str">
        <f>IFERROR(__xludf.DUMMYFUNCTION("""COMPUTED_VALUE"""),"Journalism Masterclass: The Ultimate Guide To News Writing")</f>
        <v>Journalism Masterclass: The Ultimate Guide To News Writing</v>
      </c>
      <c r="D519" t="str">
        <f>IFERROR(__xludf.DUMMYFUNCTION("""COMPUTED_VALUE"""),"Shani Raja")</f>
        <v>Shani Raja</v>
      </c>
      <c r="E519" t="str">
        <f>IFERROR(__xludf.DUMMYFUNCTION("""COMPUTED_VALUE"""),"Instructor Request- Outdated")</f>
        <v>Instructor Request- Outdated</v>
      </c>
      <c r="F519" t="str">
        <f>IFERROR(__xludf.DUMMYFUNCTION("""COMPUTED_VALUE"""),"Management")</f>
        <v>Management</v>
      </c>
      <c r="G519" t="str">
        <f>IFERROR(__xludf.DUMMYFUNCTION("""COMPUTED_VALUE"""),"Communication")</f>
        <v>Communication</v>
      </c>
      <c r="I519" s="140" t="str">
        <f>IFERROR(__xludf.DUMMYFUNCTION("""COMPUTED_VALUE"""),"")</f>
        <v/>
      </c>
      <c r="K519" s="140" t="str">
        <f>IFERROR(__xludf.DUMMYFUNCTION("""COMPUTED_VALUE"""),"")</f>
        <v/>
      </c>
      <c r="Q519" t="str">
        <f>IFERROR(__xludf.DUMMYFUNCTION("""COMPUTED_VALUE"""),"Low Demand")</f>
        <v>Low Demand</v>
      </c>
    </row>
    <row r="520">
      <c r="A520" s="143">
        <f>IFERROR(__xludf.DUMMYFUNCTION("""COMPUTED_VALUE"""),43159.0)</f>
        <v>43159</v>
      </c>
      <c r="B520" s="140">
        <f>IFERROR(__xludf.DUMMYFUNCTION("""COMPUTED_VALUE"""),362958.0)</f>
        <v>362958</v>
      </c>
      <c r="C520" t="str">
        <f>IFERROR(__xludf.DUMMYFUNCTION("""COMPUTED_VALUE"""),"How To Get Your Business In The Press")</f>
        <v>How To Get Your Business In The Press</v>
      </c>
      <c r="D520" t="str">
        <f>IFERROR(__xludf.DUMMYFUNCTION("""COMPUTED_VALUE"""),"Shani Raja")</f>
        <v>Shani Raja</v>
      </c>
      <c r="E520" t="str">
        <f>IFERROR(__xludf.DUMMYFUNCTION("""COMPUTED_VALUE"""),"Instructor Request- Outdated")</f>
        <v>Instructor Request- Outdated</v>
      </c>
      <c r="F520" t="str">
        <f>IFERROR(__xludf.DUMMYFUNCTION("""COMPUTED_VALUE"""),"Marketing")</f>
        <v>Marketing</v>
      </c>
      <c r="G520" t="str">
        <f>IFERROR(__xludf.DUMMYFUNCTION("""COMPUTED_VALUE"""),"Marketing Strategy")</f>
        <v>Marketing Strategy</v>
      </c>
      <c r="H520">
        <f>IFERROR(__xludf.DUMMYFUNCTION("""COMPUTED_VALUE"""),689296.0)</f>
        <v>689296</v>
      </c>
      <c r="I520" s="140" t="str">
        <f>IFERROR(__xludf.DUMMYFUNCTION("""COMPUTED_VALUE"""),"")</f>
        <v/>
      </c>
      <c r="K520" s="140" t="str">
        <f>IFERROR(__xludf.DUMMYFUNCTION("""COMPUTED_VALUE"""),"")</f>
        <v/>
      </c>
    </row>
    <row r="521">
      <c r="A521" s="143">
        <f>IFERROR(__xludf.DUMMYFUNCTION("""COMPUTED_VALUE"""),43159.0)</f>
        <v>43159</v>
      </c>
      <c r="B521" s="140">
        <f>IFERROR(__xludf.DUMMYFUNCTION("""COMPUTED_VALUE"""),129164.0)</f>
        <v>129164</v>
      </c>
      <c r="C521" s="142" t="str">
        <f>IFERROR(__xludf.DUMMYFUNCTION("""COMPUTED_VALUE"""),"MySQL Database Training for Beginners")</f>
        <v>MySQL Database Training for Beginners</v>
      </c>
      <c r="D521" t="str">
        <f>IFERROR(__xludf.DUMMYFUNCTION("""COMPUTED_VALUE"""),"Simon Sez IT")</f>
        <v>Simon Sez IT</v>
      </c>
      <c r="E521" t="str">
        <f>IFERROR(__xludf.DUMMYFUNCTION("""COMPUTED_VALUE"""),"Below Quality Standards")</f>
        <v>Below Quality Standards</v>
      </c>
      <c r="F521" t="str">
        <f>IFERROR(__xludf.DUMMYFUNCTION("""COMPUTED_VALUE"""),"Development")</f>
        <v>Development</v>
      </c>
      <c r="G521" t="str">
        <f>IFERROR(__xludf.DUMMYFUNCTION("""COMPUTED_VALUE"""),"Databases")</f>
        <v>Databases</v>
      </c>
      <c r="H521">
        <f>IFERROR(__xludf.DUMMYFUNCTION("""COMPUTED_VALUE"""),1187016.0)</f>
        <v>1187016</v>
      </c>
      <c r="I521" s="140" t="str">
        <f>IFERROR(__xludf.DUMMYFUNCTION("""COMPUTED_VALUE"""),"")</f>
        <v/>
      </c>
      <c r="K521" s="140" t="str">
        <f>IFERROR(__xludf.DUMMYFUNCTION("""COMPUTED_VALUE"""),"")</f>
        <v/>
      </c>
    </row>
    <row r="522">
      <c r="A522" s="143">
        <f>IFERROR(__xludf.DUMMYFUNCTION("""COMPUTED_VALUE"""),43159.0)</f>
        <v>43159</v>
      </c>
      <c r="B522" s="140">
        <f>IFERROR(__xludf.DUMMYFUNCTION("""COMPUTED_VALUE"""),30561.0)</f>
        <v>30561</v>
      </c>
      <c r="C522" s="142" t="str">
        <f>IFERROR(__xludf.DUMMYFUNCTION("""COMPUTED_VALUE"""),"Learn Microsoft Windows 8 the Easy Way")</f>
        <v>Learn Microsoft Windows 8 the Easy Way</v>
      </c>
      <c r="D522" t="str">
        <f>IFERROR(__xludf.DUMMYFUNCTION("""COMPUTED_VALUE"""),"Simon Sez IT")</f>
        <v>Simon Sez IT</v>
      </c>
      <c r="E522" t="str">
        <f>IFERROR(__xludf.DUMMYFUNCTION("""COMPUTED_VALUE"""),"Below Quality Standards- Outdated")</f>
        <v>Below Quality Standards- Outdated</v>
      </c>
      <c r="F522" t="str">
        <f>IFERROR(__xludf.DUMMYFUNCTION("""COMPUTED_VALUE"""),"Office Productivity")</f>
        <v>Office Productivity</v>
      </c>
      <c r="G522" t="str">
        <f>IFERROR(__xludf.DUMMYFUNCTION("""COMPUTED_VALUE"""),"Operating Systems")</f>
        <v>Operating Systems</v>
      </c>
      <c r="H522">
        <f>IFERROR(__xludf.DUMMYFUNCTION("""COMPUTED_VALUE"""),1140314.0)</f>
        <v>1140314</v>
      </c>
      <c r="I522" s="140" t="str">
        <f>IFERROR(__xludf.DUMMYFUNCTION("""COMPUTED_VALUE"""),"")</f>
        <v/>
      </c>
      <c r="K522" s="140" t="str">
        <f>IFERROR(__xludf.DUMMYFUNCTION("""COMPUTED_VALUE"""),"")</f>
        <v/>
      </c>
    </row>
    <row r="523">
      <c r="A523" s="143">
        <f>IFERROR(__xludf.DUMMYFUNCTION("""COMPUTED_VALUE"""),43159.0)</f>
        <v>43159</v>
      </c>
      <c r="B523" s="140">
        <f>IFERROR(__xludf.DUMMYFUNCTION("""COMPUTED_VALUE"""),564552.0)</f>
        <v>564552</v>
      </c>
      <c r="C523" s="142" t="str">
        <f>IFERROR(__xludf.DUMMYFUNCTION("""COMPUTED_VALUE"""),"Operations and Supply Chain Management")</f>
        <v>Operations and Supply Chain Management</v>
      </c>
      <c r="D523" t="str">
        <f>IFERROR(__xludf.DUMMYFUNCTION("""COMPUTED_VALUE"""),"Sorin Dumitrascu")</f>
        <v>Sorin Dumitrascu</v>
      </c>
      <c r="E523" t="str">
        <f>IFERROR(__xludf.DUMMYFUNCTION("""COMPUTED_VALUE"""),"Below Quality Standards")</f>
        <v>Below Quality Standards</v>
      </c>
      <c r="F523" t="str">
        <f>IFERROR(__xludf.DUMMYFUNCTION("""COMPUTED_VALUE"""),"Project Management and Operations")</f>
        <v>Project Management and Operations</v>
      </c>
      <c r="G523" t="str">
        <f>IFERROR(__xludf.DUMMYFUNCTION("""COMPUTED_VALUE"""),"Operations Management")</f>
        <v>Operations Management</v>
      </c>
      <c r="H523">
        <f>IFERROR(__xludf.DUMMYFUNCTION("""COMPUTED_VALUE"""),677348.0)</f>
        <v>677348</v>
      </c>
      <c r="I523" s="140" t="str">
        <f>IFERROR(__xludf.DUMMYFUNCTION("""COMPUTED_VALUE"""),"")</f>
        <v/>
      </c>
      <c r="K523" s="140" t="str">
        <f>IFERROR(__xludf.DUMMYFUNCTION("""COMPUTED_VALUE"""),"")</f>
        <v/>
      </c>
    </row>
    <row r="524">
      <c r="A524" s="143">
        <f>IFERROR(__xludf.DUMMYFUNCTION("""COMPUTED_VALUE"""),43159.0)</f>
        <v>43159</v>
      </c>
      <c r="B524" s="140">
        <f>IFERROR(__xludf.DUMMYFUNCTION("""COMPUTED_VALUE"""),634854.0)</f>
        <v>634854</v>
      </c>
      <c r="C524" s="142" t="str">
        <f>IFERROR(__xludf.DUMMYFUNCTION("""COMPUTED_VALUE"""),"Microsoft Visio 2016 Tutorial: BEGINNER to ADVANCED fast!!")</f>
        <v>Microsoft Visio 2016 Tutorial: BEGINNER to ADVANCED fast!!</v>
      </c>
      <c r="D524" t="str">
        <f>IFERROR(__xludf.DUMMYFUNCTION("""COMPUTED_VALUE"""),"Srikanth Shirodkar")</f>
        <v>Srikanth Shirodkar</v>
      </c>
      <c r="E524" t="str">
        <f>IFERROR(__xludf.DUMMYFUNCTION("""COMPUTED_VALUE"""),"Below Quality Standards")</f>
        <v>Below Quality Standards</v>
      </c>
      <c r="F524" t="str">
        <f>IFERROR(__xludf.DUMMYFUNCTION("""COMPUTED_VALUE"""),"Office Productivity")</f>
        <v>Office Productivity</v>
      </c>
      <c r="G524" t="str">
        <f>IFERROR(__xludf.DUMMYFUNCTION("""COMPUTED_VALUE"""),"Presentations")</f>
        <v>Presentations</v>
      </c>
      <c r="H524">
        <f>IFERROR(__xludf.DUMMYFUNCTION("""COMPUTED_VALUE"""),401708.0)</f>
        <v>401708</v>
      </c>
      <c r="I524" s="140" t="str">
        <f>IFERROR(__xludf.DUMMYFUNCTION("""COMPUTED_VALUE"""),"")</f>
        <v/>
      </c>
      <c r="K524" s="140" t="str">
        <f>IFERROR(__xludf.DUMMYFUNCTION("""COMPUTED_VALUE"""),"")</f>
        <v/>
      </c>
    </row>
    <row r="525">
      <c r="A525" s="143">
        <f>IFERROR(__xludf.DUMMYFUNCTION("""COMPUTED_VALUE"""),43159.0)</f>
        <v>43159</v>
      </c>
      <c r="B525" s="140">
        <f>IFERROR(__xludf.DUMMYFUNCTION("""COMPUTED_VALUE"""),198554.0)</f>
        <v>198554</v>
      </c>
      <c r="C525" s="142" t="str">
        <f>IFERROR(__xludf.DUMMYFUNCTION("""COMPUTED_VALUE"""),"Introduction to T-SQL for Data Analysts")</f>
        <v>Introduction to T-SQL for Data Analysts</v>
      </c>
      <c r="D525" t="str">
        <f>IFERROR(__xludf.DUMMYFUNCTION("""COMPUTED_VALUE"""),"Steve Fox")</f>
        <v>Steve Fox</v>
      </c>
      <c r="E525" t="str">
        <f>IFERROR(__xludf.DUMMYFUNCTION("""COMPUTED_VALUE"""),"Below Quality Standards")</f>
        <v>Below Quality Standards</v>
      </c>
      <c r="F525" t="str">
        <f>IFERROR(__xludf.DUMMYFUNCTION("""COMPUTED_VALUE"""),"Data Science")</f>
        <v>Data Science</v>
      </c>
      <c r="G525" t="str">
        <f>IFERROR(__xludf.DUMMYFUNCTION("""COMPUTED_VALUE"""),"Analytics")</f>
        <v>Analytics</v>
      </c>
      <c r="H525">
        <f>IFERROR(__xludf.DUMMYFUNCTION("""COMPUTED_VALUE"""),555324.0)</f>
        <v>555324</v>
      </c>
      <c r="I525" s="140" t="str">
        <f>IFERROR(__xludf.DUMMYFUNCTION("""COMPUTED_VALUE"""),"")</f>
        <v/>
      </c>
      <c r="K525" s="140" t="str">
        <f>IFERROR(__xludf.DUMMYFUNCTION("""COMPUTED_VALUE"""),"")</f>
        <v/>
      </c>
      <c r="M525" t="str">
        <f>IFERROR(__xludf.DUMMYFUNCTION("""COMPUTED_VALUE"""),"Data Science")</f>
        <v>Data Science</v>
      </c>
      <c r="N525" s="143" t="str">
        <f>IFERROR(__xludf.DUMMYFUNCTION("""COMPUTED_VALUE"""),"Big Data")</f>
        <v>Big Data</v>
      </c>
    </row>
    <row r="526">
      <c r="A526" s="143">
        <f>IFERROR(__xludf.DUMMYFUNCTION("""COMPUTED_VALUE"""),43159.0)</f>
        <v>43159</v>
      </c>
      <c r="B526" s="140">
        <f>IFERROR(__xludf.DUMMYFUNCTION("""COMPUTED_VALUE"""),310944.0)</f>
        <v>310944</v>
      </c>
      <c r="C526" s="142" t="str">
        <f>IFERROR(__xludf.DUMMYFUNCTION("""COMPUTED_VALUE"""),"Entrepreneur's Survival Guide to Trademarks, Patents, &amp; More")</f>
        <v>Entrepreneur's Survival Guide to Trademarks, Patents, &amp; More</v>
      </c>
      <c r="D526" t="str">
        <f>IFERROR(__xludf.DUMMYFUNCTION("""COMPUTED_VALUE"""),"The Institute for Humane Studies")</f>
        <v>The Institute for Humane Studies</v>
      </c>
      <c r="E526" t="str">
        <f>IFERROR(__xludf.DUMMYFUNCTION("""COMPUTED_VALUE"""),"Instructor Verification")</f>
        <v>Instructor Verification</v>
      </c>
      <c r="F526" t="str">
        <f>IFERROR(__xludf.DUMMYFUNCTION("""COMPUTED_VALUE"""),"Human Resources")</f>
        <v>Human Resources</v>
      </c>
      <c r="G526" t="str">
        <f>IFERROR(__xludf.DUMMYFUNCTION("""COMPUTED_VALUE"""),"Compliance")</f>
        <v>Compliance</v>
      </c>
      <c r="H526">
        <f>IFERROR(__xludf.DUMMYFUNCTION("""COMPUTED_VALUE"""),184840.0)</f>
        <v>184840</v>
      </c>
      <c r="I526" s="140" t="str">
        <f>IFERROR(__xludf.DUMMYFUNCTION("""COMPUTED_VALUE"""),"")</f>
        <v/>
      </c>
      <c r="K526" s="140" t="str">
        <f>IFERROR(__xludf.DUMMYFUNCTION("""COMPUTED_VALUE"""),"")</f>
        <v/>
      </c>
    </row>
    <row r="527">
      <c r="A527" s="143">
        <f>IFERROR(__xludf.DUMMYFUNCTION("""COMPUTED_VALUE"""),43159.0)</f>
        <v>43159</v>
      </c>
      <c r="B527" s="140">
        <f>IFERROR(__xludf.DUMMYFUNCTION("""COMPUTED_VALUE"""),342762.0)</f>
        <v>342762</v>
      </c>
      <c r="C527" s="142" t="str">
        <f>IFERROR(__xludf.DUMMYFUNCTION("""COMPUTED_VALUE"""),"Speaking on the Telephone: Confidently Speak on the Phone")</f>
        <v>Speaking on the Telephone: Confidently Speak on the Phone</v>
      </c>
      <c r="D527" t="str">
        <f>IFERROR(__xludf.DUMMYFUNCTION("""COMPUTED_VALUE"""),"TJ Walker")</f>
        <v>TJ Walker</v>
      </c>
      <c r="E527" t="str">
        <f>IFERROR(__xludf.DUMMYFUNCTION("""COMPUTED_VALUE"""),"Below Quality Standards")</f>
        <v>Below Quality Standards</v>
      </c>
      <c r="F527" t="str">
        <f>IFERROR(__xludf.DUMMYFUNCTION("""COMPUTED_VALUE"""),"Sales")</f>
        <v>Sales</v>
      </c>
      <c r="G527" t="str">
        <f>IFERROR(__xludf.DUMMYFUNCTION("""COMPUTED_VALUE"""),"Sales Skills")</f>
        <v>Sales Skills</v>
      </c>
      <c r="H527">
        <f>IFERROR(__xludf.DUMMYFUNCTION("""COMPUTED_VALUE"""),196320.0)</f>
        <v>196320</v>
      </c>
      <c r="I527" s="140" t="str">
        <f>IFERROR(__xludf.DUMMYFUNCTION("""COMPUTED_VALUE"""),"")</f>
        <v/>
      </c>
      <c r="K527" s="140" t="str">
        <f>IFERROR(__xludf.DUMMYFUNCTION("""COMPUTED_VALUE"""),"")</f>
        <v/>
      </c>
    </row>
    <row r="528">
      <c r="A528" s="143">
        <f>IFERROR(__xludf.DUMMYFUNCTION("""COMPUTED_VALUE"""),43159.0)</f>
        <v>43159</v>
      </c>
      <c r="B528" s="140">
        <f>IFERROR(__xludf.DUMMYFUNCTION("""COMPUTED_VALUE"""),393296.0)</f>
        <v>393296</v>
      </c>
      <c r="C528" s="142" t="str">
        <f>IFERROR(__xludf.DUMMYFUNCTION("""COMPUTED_VALUE"""),"Business Intelligence With QlikView - 0 To Full Sales App")</f>
        <v>Business Intelligence With QlikView - 0 To Full Sales App</v>
      </c>
      <c r="D528" t="str">
        <f>IFERROR(__xludf.DUMMYFUNCTION("""COMPUTED_VALUE"""),"Vjekoslav Levacic")</f>
        <v>Vjekoslav Levacic</v>
      </c>
      <c r="E528" t="str">
        <f>IFERROR(__xludf.DUMMYFUNCTION("""COMPUTED_VALUE"""),"Below Quality Standards")</f>
        <v>Below Quality Standards</v>
      </c>
      <c r="F528" t="str">
        <f>IFERROR(__xludf.DUMMYFUNCTION("""COMPUTED_VALUE"""),"Data Science")</f>
        <v>Data Science</v>
      </c>
      <c r="G528" t="str">
        <f>IFERROR(__xludf.DUMMYFUNCTION("""COMPUTED_VALUE"""),"Analytics")</f>
        <v>Analytics</v>
      </c>
      <c r="H528">
        <f>IFERROR(__xludf.DUMMYFUNCTION("""COMPUTED_VALUE"""),1259060.0)</f>
        <v>1259060</v>
      </c>
      <c r="I528" s="140" t="str">
        <f>IFERROR(__xludf.DUMMYFUNCTION("""COMPUTED_VALUE"""),"")</f>
        <v/>
      </c>
      <c r="J528">
        <f>IFERROR(__xludf.DUMMYFUNCTION("""COMPUTED_VALUE"""),661192.0)</f>
        <v>661192</v>
      </c>
      <c r="K528" s="140" t="str">
        <f>IFERROR(__xludf.DUMMYFUNCTION("""COMPUTED_VALUE"""),"")</f>
        <v/>
      </c>
    </row>
    <row r="529">
      <c r="A529" s="143">
        <f>IFERROR(__xludf.DUMMYFUNCTION("""COMPUTED_VALUE"""),43131.0)</f>
        <v>43131</v>
      </c>
      <c r="B529" s="140">
        <f>IFERROR(__xludf.DUMMYFUNCTION("""COMPUTED_VALUE"""),835946.0)</f>
        <v>835946</v>
      </c>
      <c r="C529" t="str">
        <f>IFERROR(__xludf.DUMMYFUNCTION("""COMPUTED_VALUE"""),"Practice advanced SQL queries with MySQL 5.7+")</f>
        <v>Practice advanced SQL queries with MySQL 5.7+</v>
      </c>
      <c r="D529" t="str">
        <f>IFERROR(__xludf.DUMMYFUNCTION("""COMPUTED_VALUE"""),"Michal Juhas")</f>
        <v>Michal Juhas</v>
      </c>
      <c r="E529" t="str">
        <f>IFERROR(__xludf.DUMMYFUNCTION("""COMPUTED_VALUE"""),"Below Quality Standards")</f>
        <v>Below Quality Standards</v>
      </c>
      <c r="F529" t="str">
        <f>IFERROR(__xludf.DUMMYFUNCTION("""COMPUTED_VALUE"""),"Data Science")</f>
        <v>Data Science</v>
      </c>
      <c r="G529" t="str">
        <f>IFERROR(__xludf.DUMMYFUNCTION("""COMPUTED_VALUE"""),"Analytics")</f>
        <v>Analytics</v>
      </c>
      <c r="H529">
        <f>IFERROR(__xludf.DUMMYFUNCTION("""COMPUTED_VALUE"""),762616.0)</f>
        <v>762616</v>
      </c>
      <c r="I529" s="140" t="str">
        <f>IFERROR(__xludf.DUMMYFUNCTION("""COMPUTED_VALUE"""),"")</f>
        <v/>
      </c>
      <c r="K529" s="140" t="str">
        <f>IFERROR(__xludf.DUMMYFUNCTION("""COMPUTED_VALUE"""),"")</f>
        <v/>
      </c>
    </row>
    <row r="530">
      <c r="A530" s="143">
        <f>IFERROR(__xludf.DUMMYFUNCTION("""COMPUTED_VALUE"""),43131.0)</f>
        <v>43131</v>
      </c>
      <c r="B530" s="140">
        <f>IFERROR(__xludf.DUMMYFUNCTION("""COMPUTED_VALUE"""),302174.0)</f>
        <v>302174</v>
      </c>
      <c r="C530" t="str">
        <f>IFERROR(__xludf.DUMMYFUNCTION("""COMPUTED_VALUE"""),"Statistics Made Easy by Example for Analytics/ data science")</f>
        <v>Statistics Made Easy by Example for Analytics/ data science</v>
      </c>
      <c r="D530" t="str">
        <f>IFERROR(__xludf.DUMMYFUNCTION("""COMPUTED_VALUE"""),"Gopal Prasad Malakar")</f>
        <v>Gopal Prasad Malakar</v>
      </c>
      <c r="E530" t="str">
        <f>IFERROR(__xludf.DUMMYFUNCTION("""COMPUTED_VALUE"""),"Below Quality Standards")</f>
        <v>Below Quality Standards</v>
      </c>
      <c r="F530" t="str">
        <f>IFERROR(__xludf.DUMMYFUNCTION("""COMPUTED_VALUE"""),"Data Science")</f>
        <v>Data Science</v>
      </c>
      <c r="G530" t="str">
        <f>IFERROR(__xludf.DUMMYFUNCTION("""COMPUTED_VALUE"""),"Analytics")</f>
        <v>Analytics</v>
      </c>
      <c r="H530">
        <f>IFERROR(__xludf.DUMMYFUNCTION("""COMPUTED_VALUE"""),116286.0)</f>
        <v>116286</v>
      </c>
      <c r="I530" s="140" t="str">
        <f>IFERROR(__xludf.DUMMYFUNCTION("""COMPUTED_VALUE"""),"")</f>
        <v/>
      </c>
      <c r="K530" s="140" t="str">
        <f>IFERROR(__xludf.DUMMYFUNCTION("""COMPUTED_VALUE"""),"")</f>
        <v/>
      </c>
    </row>
    <row r="531">
      <c r="A531" s="143">
        <f>IFERROR(__xludf.DUMMYFUNCTION("""COMPUTED_VALUE"""),43131.0)</f>
        <v>43131</v>
      </c>
      <c r="B531" s="140">
        <f>IFERROR(__xludf.DUMMYFUNCTION("""COMPUTED_VALUE"""),141150.0)</f>
        <v>141150</v>
      </c>
      <c r="C531" t="str">
        <f>IFERROR(__xludf.DUMMYFUNCTION("""COMPUTED_VALUE"""),"Axure RP Pro 7 for Total Beginners")</f>
        <v>Axure RP Pro 7 for Total Beginners</v>
      </c>
      <c r="D531" t="str">
        <f>IFERROR(__xludf.DUMMYFUNCTION("""COMPUTED_VALUE"""),"Debbie Levitt")</f>
        <v>Debbie Levitt</v>
      </c>
      <c r="E531" t="str">
        <f>IFERROR(__xludf.DUMMYFUNCTION("""COMPUTED_VALUE"""),"Below Quality Standards- Outdated")</f>
        <v>Below Quality Standards- Outdated</v>
      </c>
      <c r="F531" t="str">
        <f>IFERROR(__xludf.DUMMYFUNCTION("""COMPUTED_VALUE"""),"Design")</f>
        <v>Design</v>
      </c>
      <c r="G531" t="str">
        <f>IFERROR(__xludf.DUMMYFUNCTION("""COMPUTED_VALUE"""),"User Experience Design")</f>
        <v>User Experience Design</v>
      </c>
      <c r="H531">
        <f>IFERROR(__xludf.DUMMYFUNCTION("""COMPUTED_VALUE"""),927870.0)</f>
        <v>927870</v>
      </c>
      <c r="I531" s="140" t="str">
        <f>IFERROR(__xludf.DUMMYFUNCTION("""COMPUTED_VALUE"""),"")</f>
        <v/>
      </c>
      <c r="K531" s="140" t="str">
        <f>IFERROR(__xludf.DUMMYFUNCTION("""COMPUTED_VALUE"""),"")</f>
        <v/>
      </c>
    </row>
    <row r="532">
      <c r="A532" s="143">
        <f>IFERROR(__xludf.DUMMYFUNCTION("""COMPUTED_VALUE"""),43131.0)</f>
        <v>43131</v>
      </c>
      <c r="B532" s="140">
        <f>IFERROR(__xludf.DUMMYFUNCTION("""COMPUTED_VALUE"""),141510.0)</f>
        <v>141510</v>
      </c>
      <c r="C532" t="str">
        <f>IFERROR(__xludf.DUMMYFUNCTION("""COMPUTED_VALUE"""),"Axure RP Pro 7 For Wireframes")</f>
        <v>Axure RP Pro 7 For Wireframes</v>
      </c>
      <c r="D532" t="str">
        <f>IFERROR(__xludf.DUMMYFUNCTION("""COMPUTED_VALUE"""),"Debbie Levitt")</f>
        <v>Debbie Levitt</v>
      </c>
      <c r="E532" t="str">
        <f>IFERROR(__xludf.DUMMYFUNCTION("""COMPUTED_VALUE"""),"Below Quality Standards- Outdated")</f>
        <v>Below Quality Standards- Outdated</v>
      </c>
      <c r="F532" t="str">
        <f>IFERROR(__xludf.DUMMYFUNCTION("""COMPUTED_VALUE"""),"Design")</f>
        <v>Design</v>
      </c>
      <c r="G532" t="str">
        <f>IFERROR(__xludf.DUMMYFUNCTION("""COMPUTED_VALUE"""),"User Experience Design")</f>
        <v>User Experience Design</v>
      </c>
      <c r="H532">
        <f>IFERROR(__xludf.DUMMYFUNCTION("""COMPUTED_VALUE"""),927870.0)</f>
        <v>927870</v>
      </c>
      <c r="I532" s="140" t="str">
        <f>IFERROR(__xludf.DUMMYFUNCTION("""COMPUTED_VALUE"""),"")</f>
        <v/>
      </c>
      <c r="K532" s="140" t="str">
        <f>IFERROR(__xludf.DUMMYFUNCTION("""COMPUTED_VALUE"""),"")</f>
        <v/>
      </c>
    </row>
    <row r="533">
      <c r="A533" s="143">
        <f>IFERROR(__xludf.DUMMYFUNCTION("""COMPUTED_VALUE"""),43131.0)</f>
        <v>43131</v>
      </c>
      <c r="B533" s="140">
        <f>IFERROR(__xludf.DUMMYFUNCTION("""COMPUTED_VALUE"""),156520.0)</f>
        <v>156520</v>
      </c>
      <c r="C533" t="str">
        <f>IFERROR(__xludf.DUMMYFUNCTION("""COMPUTED_VALUE"""),"Designing A Website in Photoshop, Illustrator (&amp; GIMP)")</f>
        <v>Designing A Website in Photoshop, Illustrator (&amp; GIMP)</v>
      </c>
      <c r="D533" t="str">
        <f>IFERROR(__xludf.DUMMYFUNCTION("""COMPUTED_VALUE"""),"Rob Cubbon")</f>
        <v>Rob Cubbon</v>
      </c>
      <c r="E533" t="str">
        <f>IFERROR(__xludf.DUMMYFUNCTION("""COMPUTED_VALUE"""),"Below Quality Standards")</f>
        <v>Below Quality Standards</v>
      </c>
      <c r="F533" t="str">
        <f>IFERROR(__xludf.DUMMYFUNCTION("""COMPUTED_VALUE"""),"Design")</f>
        <v>Design</v>
      </c>
      <c r="G533" t="str">
        <f>IFERROR(__xludf.DUMMYFUNCTION("""COMPUTED_VALUE"""),"Web Design")</f>
        <v>Web Design</v>
      </c>
      <c r="H533">
        <f>IFERROR(__xludf.DUMMYFUNCTION("""COMPUTED_VALUE"""),1135364.0)</f>
        <v>1135364</v>
      </c>
      <c r="I533" s="140" t="str">
        <f>IFERROR(__xludf.DUMMYFUNCTION("""COMPUTED_VALUE"""),"")</f>
        <v/>
      </c>
      <c r="K533" s="140" t="str">
        <f>IFERROR(__xludf.DUMMYFUNCTION("""COMPUTED_VALUE"""),"")</f>
        <v/>
      </c>
    </row>
    <row r="534">
      <c r="A534" s="143">
        <f>IFERROR(__xludf.DUMMYFUNCTION("""COMPUTED_VALUE"""),43131.0)</f>
        <v>43131</v>
      </c>
      <c r="B534" s="140">
        <f>IFERROR(__xludf.DUMMYFUNCTION("""COMPUTED_VALUE"""),468726.0)</f>
        <v>468726</v>
      </c>
      <c r="C534" t="str">
        <f>IFERROR(__xludf.DUMMYFUNCTION("""COMPUTED_VALUE"""),"Learning Axure RP")</f>
        <v>Learning Axure RP</v>
      </c>
      <c r="D534" t="str">
        <f>IFERROR(__xludf.DUMMYFUNCTION("""COMPUTED_VALUE"""),"Packt Publishing")</f>
        <v>Packt Publishing</v>
      </c>
      <c r="E534" t="str">
        <f>IFERROR(__xludf.DUMMYFUNCTION("""COMPUTED_VALUE"""),"Below Quality Standards- Outdated")</f>
        <v>Below Quality Standards- Outdated</v>
      </c>
      <c r="F534" t="str">
        <f>IFERROR(__xludf.DUMMYFUNCTION("""COMPUTED_VALUE"""),"Design")</f>
        <v>Design</v>
      </c>
      <c r="G534" t="str">
        <f>IFERROR(__xludf.DUMMYFUNCTION("""COMPUTED_VALUE"""),"User Experience Design")</f>
        <v>User Experience Design</v>
      </c>
      <c r="H534">
        <f>IFERROR(__xludf.DUMMYFUNCTION("""COMPUTED_VALUE"""),927870.0)</f>
        <v>927870</v>
      </c>
      <c r="I534" s="140" t="str">
        <f>IFERROR(__xludf.DUMMYFUNCTION("""COMPUTED_VALUE"""),"")</f>
        <v/>
      </c>
      <c r="K534" s="140" t="str">
        <f>IFERROR(__xludf.DUMMYFUNCTION("""COMPUTED_VALUE"""),"")</f>
        <v/>
      </c>
    </row>
    <row r="535">
      <c r="A535" s="143">
        <f>IFERROR(__xludf.DUMMYFUNCTION("""COMPUTED_VALUE"""),43131.0)</f>
        <v>43131</v>
      </c>
      <c r="B535" s="140">
        <f>IFERROR(__xludf.DUMMYFUNCTION("""COMPUTED_VALUE"""),796014.0)</f>
        <v>796014</v>
      </c>
      <c r="C535" s="142" t="str">
        <f>IFERROR(__xludf.DUMMYFUNCTION("""COMPUTED_VALUE"""),"Android Development Working With Databases Using Mysql &amp; PHP")</f>
        <v>Android Development Working With Databases Using Mysql &amp; PHP</v>
      </c>
      <c r="D535" t="str">
        <f>IFERROR(__xludf.DUMMYFUNCTION("""COMPUTED_VALUE"""),"Joe Parys")</f>
        <v>Joe Parys</v>
      </c>
      <c r="E535" t="str">
        <f>IFERROR(__xludf.DUMMYFUNCTION("""COMPUTED_VALUE"""),"Below Quality Standards")</f>
        <v>Below Quality Standards</v>
      </c>
      <c r="F535" t="str">
        <f>IFERROR(__xludf.DUMMYFUNCTION("""COMPUTED_VALUE"""),"Development")</f>
        <v>Development</v>
      </c>
      <c r="G535" t="str">
        <f>IFERROR(__xludf.DUMMYFUNCTION("""COMPUTED_VALUE"""),"Mobile Development")</f>
        <v>Mobile Development</v>
      </c>
      <c r="H535">
        <f>IFERROR(__xludf.DUMMYFUNCTION("""COMPUTED_VALUE"""),919872.0)</f>
        <v>919872</v>
      </c>
      <c r="I535" s="140" t="str">
        <f>IFERROR(__xludf.DUMMYFUNCTION("""COMPUTED_VALUE"""),"")</f>
        <v/>
      </c>
      <c r="K535" s="140" t="str">
        <f>IFERROR(__xludf.DUMMYFUNCTION("""COMPUTED_VALUE"""),"")</f>
        <v/>
      </c>
    </row>
    <row r="536">
      <c r="A536" s="143">
        <f>IFERROR(__xludf.DUMMYFUNCTION("""COMPUTED_VALUE"""),43131.0)</f>
        <v>43131</v>
      </c>
      <c r="B536" s="140">
        <f>IFERROR(__xludf.DUMMYFUNCTION("""COMPUTED_VALUE"""),997814.0)</f>
        <v>997814</v>
      </c>
      <c r="C536" t="str">
        <f>IFERROR(__xludf.DUMMYFUNCTION("""COMPUTED_VALUE"""),"Angular 2 &amp; TypeScript Beginner Web Development")</f>
        <v>Angular 2 &amp; TypeScript Beginner Web Development</v>
      </c>
      <c r="D536" t="str">
        <f>IFERROR(__xludf.DUMMYFUNCTION("""COMPUTED_VALUE"""),"Mark Price")</f>
        <v>Mark Price</v>
      </c>
      <c r="E536" t="str">
        <f>IFERROR(__xludf.DUMMYFUNCTION("""COMPUTED_VALUE"""),"Below Quality Standards")</f>
        <v>Below Quality Standards</v>
      </c>
      <c r="F536" t="str">
        <f>IFERROR(__xludf.DUMMYFUNCTION("""COMPUTED_VALUE"""),"Development")</f>
        <v>Development</v>
      </c>
      <c r="G536" t="str">
        <f>IFERROR(__xludf.DUMMYFUNCTION("""COMPUTED_VALUE"""),"Web Development")</f>
        <v>Web Development</v>
      </c>
      <c r="H536">
        <f>IFERROR(__xludf.DUMMYFUNCTION("""COMPUTED_VALUE"""),756150.0)</f>
        <v>756150</v>
      </c>
      <c r="I536" s="140" t="str">
        <f>IFERROR(__xludf.DUMMYFUNCTION("""COMPUTED_VALUE"""),"")</f>
        <v/>
      </c>
      <c r="J536">
        <f>IFERROR(__xludf.DUMMYFUNCTION("""COMPUTED_VALUE"""),947098.0)</f>
        <v>947098</v>
      </c>
      <c r="K536" s="140" t="str">
        <f>IFERROR(__xludf.DUMMYFUNCTION("""COMPUTED_VALUE"""),"")</f>
        <v/>
      </c>
    </row>
    <row r="537">
      <c r="A537" s="143">
        <f>IFERROR(__xludf.DUMMYFUNCTION("""COMPUTED_VALUE"""),43131.0)</f>
        <v>43131</v>
      </c>
      <c r="B537" s="140">
        <f>IFERROR(__xludf.DUMMYFUNCTION("""COMPUTED_VALUE"""),1090788.0)</f>
        <v>1090788</v>
      </c>
      <c r="C537" s="142" t="str">
        <f>IFERROR(__xludf.DUMMYFUNCTION("""COMPUTED_VALUE"""),"First Web Application with Spring Boot")</f>
        <v>First Web Application with Spring Boot</v>
      </c>
      <c r="D537" t="str">
        <f>IFERROR(__xludf.DUMMYFUNCTION("""COMPUTED_VALUE"""),"in28Minutes Official")</f>
        <v>in28Minutes Official</v>
      </c>
      <c r="E537" t="str">
        <f>IFERROR(__xludf.DUMMYFUNCTION("""COMPUTED_VALUE"""),"Instructor Request")</f>
        <v>Instructor Request</v>
      </c>
      <c r="F537" t="str">
        <f>IFERROR(__xludf.DUMMYFUNCTION("""COMPUTED_VALUE"""),"Development")</f>
        <v>Development</v>
      </c>
      <c r="G537" t="str">
        <f>IFERROR(__xludf.DUMMYFUNCTION("""COMPUTED_VALUE"""),"Web Development")</f>
        <v>Web Development</v>
      </c>
      <c r="H537">
        <f>IFERROR(__xludf.DUMMYFUNCTION("""COMPUTED_VALUE"""),1078208.0)</f>
        <v>1078208</v>
      </c>
      <c r="I537" s="140" t="str">
        <f>IFERROR(__xludf.DUMMYFUNCTION("""COMPUTED_VALUE"""),"")</f>
        <v/>
      </c>
      <c r="K537" s="140" t="str">
        <f>IFERROR(__xludf.DUMMYFUNCTION("""COMPUTED_VALUE"""),"")</f>
        <v/>
      </c>
    </row>
    <row r="538">
      <c r="A538" s="143">
        <f>IFERROR(__xludf.DUMMYFUNCTION("""COMPUTED_VALUE"""),43131.0)</f>
        <v>43131</v>
      </c>
      <c r="B538" s="140">
        <f>IFERROR(__xludf.DUMMYFUNCTION("""COMPUTED_VALUE"""),523788.0)</f>
        <v>523788</v>
      </c>
      <c r="C538" t="str">
        <f>IFERROR(__xludf.DUMMYFUNCTION("""COMPUTED_VALUE"""),"Learn MongoDB 3 and Rapidly Develop Scalable Applications")</f>
        <v>Learn MongoDB 3 and Rapidly Develop Scalable Applications</v>
      </c>
      <c r="D538" t="str">
        <f>IFERROR(__xludf.DUMMYFUNCTION("""COMPUTED_VALUE"""),"Dustin Laverick")</f>
        <v>Dustin Laverick</v>
      </c>
      <c r="E538" t="str">
        <f>IFERROR(__xludf.DUMMYFUNCTION("""COMPUTED_VALUE"""),"Below Quality Standards")</f>
        <v>Below Quality Standards</v>
      </c>
      <c r="F538" t="str">
        <f>IFERROR(__xludf.DUMMYFUNCTION("""COMPUTED_VALUE"""),"Development")</f>
        <v>Development</v>
      </c>
      <c r="G538" t="str">
        <f>IFERROR(__xludf.DUMMYFUNCTION("""COMPUTED_VALUE"""),"Databases")</f>
        <v>Databases</v>
      </c>
      <c r="H538">
        <f>IFERROR(__xludf.DUMMYFUNCTION("""COMPUTED_VALUE"""),1000574.0)</f>
        <v>1000574</v>
      </c>
      <c r="I538" s="140" t="str">
        <f>IFERROR(__xludf.DUMMYFUNCTION("""COMPUTED_VALUE"""),"")</f>
        <v/>
      </c>
      <c r="K538" s="140" t="str">
        <f>IFERROR(__xludf.DUMMYFUNCTION("""COMPUTED_VALUE"""),"")</f>
        <v/>
      </c>
    </row>
    <row r="539">
      <c r="A539" s="143">
        <f>IFERROR(__xludf.DUMMYFUNCTION("""COMPUTED_VALUE"""),43131.0)</f>
        <v>43131</v>
      </c>
      <c r="B539" s="140">
        <f>IFERROR(__xludf.DUMMYFUNCTION("""COMPUTED_VALUE"""),1042824.0)</f>
        <v>1042824</v>
      </c>
      <c r="C539" t="str">
        <f>IFERROR(__xludf.DUMMYFUNCTION("""COMPUTED_VALUE"""),"Mastering Server Side Swift Using Vapor")</f>
        <v>Mastering Server Side Swift Using Vapor</v>
      </c>
      <c r="D539" t="str">
        <f>IFERROR(__xludf.DUMMYFUNCTION("""COMPUTED_VALUE"""),"Mohammad Azam")</f>
        <v>Mohammad Azam</v>
      </c>
      <c r="E539" t="str">
        <f>IFERROR(__xludf.DUMMYFUNCTION("""COMPUTED_VALUE"""),"Instructor Request")</f>
        <v>Instructor Request</v>
      </c>
      <c r="F539" s="142" t="str">
        <f>IFERROR(__xludf.DUMMYFUNCTION("""COMPUTED_VALUE"""),"Development")</f>
        <v>Development</v>
      </c>
      <c r="G539" t="str">
        <f>IFERROR(__xludf.DUMMYFUNCTION("""COMPUTED_VALUE"""),"Mobile Development")</f>
        <v>Mobile Development</v>
      </c>
      <c r="H539">
        <f>IFERROR(__xludf.DUMMYFUNCTION("""COMPUTED_VALUE"""),1279612.0)</f>
        <v>1279612</v>
      </c>
      <c r="I539" s="140" t="str">
        <f>IFERROR(__xludf.DUMMYFUNCTION("""COMPUTED_VALUE"""),"")</f>
        <v/>
      </c>
      <c r="K539" s="140" t="str">
        <f>IFERROR(__xludf.DUMMYFUNCTION("""COMPUTED_VALUE"""),"")</f>
        <v/>
      </c>
    </row>
    <row r="540">
      <c r="A540" s="143">
        <f>IFERROR(__xludf.DUMMYFUNCTION("""COMPUTED_VALUE"""),43131.0)</f>
        <v>43131</v>
      </c>
      <c r="B540" s="140">
        <f>IFERROR(__xludf.DUMMYFUNCTION("""COMPUTED_VALUE"""),674552.0)</f>
        <v>674552</v>
      </c>
      <c r="C540" t="str">
        <f>IFERROR(__xludf.DUMMYFUNCTION("""COMPUTED_VALUE"""),"Object Oriented Programming - 2017")</f>
        <v>Object Oriented Programming - 2017</v>
      </c>
      <c r="D540" t="str">
        <f>IFERROR(__xludf.DUMMYFUNCTION("""COMPUTED_VALUE"""),"Mr Grant Klimaytys")</f>
        <v>Mr Grant Klimaytys</v>
      </c>
      <c r="E540" t="str">
        <f>IFERROR(__xludf.DUMMYFUNCTION("""COMPUTED_VALUE"""),"Below Quality Standards")</f>
        <v>Below Quality Standards</v>
      </c>
      <c r="F540" t="str">
        <f>IFERROR(__xludf.DUMMYFUNCTION("""COMPUTED_VALUE"""),"Development")</f>
        <v>Development</v>
      </c>
      <c r="G540" t="str">
        <f>IFERROR(__xludf.DUMMYFUNCTION("""COMPUTED_VALUE"""),"Programming")</f>
        <v>Programming</v>
      </c>
      <c r="H540">
        <f>IFERROR(__xludf.DUMMYFUNCTION("""COMPUTED_VALUE"""),448574.0)</f>
        <v>448574</v>
      </c>
      <c r="I540" s="140" t="str">
        <f>IFERROR(__xludf.DUMMYFUNCTION("""COMPUTED_VALUE"""),"")</f>
        <v/>
      </c>
      <c r="K540" s="140" t="str">
        <f>IFERROR(__xludf.DUMMYFUNCTION("""COMPUTED_VALUE"""),"")</f>
        <v/>
      </c>
    </row>
    <row r="541">
      <c r="A541" s="143">
        <f>IFERROR(__xludf.DUMMYFUNCTION("""COMPUTED_VALUE"""),43131.0)</f>
        <v>43131</v>
      </c>
      <c r="B541" s="140">
        <f>IFERROR(__xludf.DUMMYFUNCTION("""COMPUTED_VALUE"""),641868.0)</f>
        <v>641868</v>
      </c>
      <c r="C541" t="str">
        <f>IFERROR(__xludf.DUMMYFUNCTION("""COMPUTED_VALUE"""),"The Docker for DevOps course: From development to production")</f>
        <v>The Docker for DevOps course: From development to production</v>
      </c>
      <c r="D541" t="str">
        <f>IFERROR(__xludf.DUMMYFUNCTION("""COMPUTED_VALUE"""),"Nick Janetakis")</f>
        <v>Nick Janetakis</v>
      </c>
      <c r="E541" t="str">
        <f>IFERROR(__xludf.DUMMYFUNCTION("""COMPUTED_VALUE"""),"Below Quality Standards")</f>
        <v>Below Quality Standards</v>
      </c>
      <c r="F541" t="str">
        <f>IFERROR(__xludf.DUMMYFUNCTION("""COMPUTED_VALUE"""),"Development")</f>
        <v>Development</v>
      </c>
      <c r="G541" t="str">
        <f>IFERROR(__xludf.DUMMYFUNCTION("""COMPUTED_VALUE"""),"Development Tools")</f>
        <v>Development Tools</v>
      </c>
      <c r="H541">
        <f>IFERROR(__xludf.DUMMYFUNCTION("""COMPUTED_VALUE"""),714724.0)</f>
        <v>714724</v>
      </c>
      <c r="I541" s="140" t="str">
        <f>IFERROR(__xludf.DUMMYFUNCTION("""COMPUTED_VALUE"""),"")</f>
        <v/>
      </c>
      <c r="K541" s="140" t="str">
        <f>IFERROR(__xludf.DUMMYFUNCTION("""COMPUTED_VALUE"""),"")</f>
        <v/>
      </c>
      <c r="M541" t="str">
        <f>IFERROR(__xludf.DUMMYFUNCTION("""COMPUTED_VALUE"""),"IT and Software")</f>
        <v>IT and Software</v>
      </c>
      <c r="N541" s="143" t="str">
        <f>IFERROR(__xludf.DUMMYFUNCTION("""COMPUTED_VALUE"""),"Operating Systems and Servers")</f>
        <v>Operating Systems and Servers</v>
      </c>
    </row>
    <row r="542">
      <c r="A542" s="143">
        <f>IFERROR(__xludf.DUMMYFUNCTION("""COMPUTED_VALUE"""),43131.0)</f>
        <v>43131</v>
      </c>
      <c r="B542" s="140">
        <f>IFERROR(__xludf.DUMMYFUNCTION("""COMPUTED_VALUE"""),962372.0)</f>
        <v>962372</v>
      </c>
      <c r="C542" t="str">
        <f>IFERROR(__xludf.DUMMYFUNCTION("""COMPUTED_VALUE"""),"AWS Lambda 2016 - The Complete Guide (With Hands On Labs)")</f>
        <v>AWS Lambda 2016 - The Complete Guide (With Hands On Labs)</v>
      </c>
      <c r="D542" t="str">
        <f>IFERROR(__xludf.DUMMYFUNCTION("""COMPUTED_VALUE"""),"Ryan Kroonenburg")</f>
        <v>Ryan Kroonenburg</v>
      </c>
      <c r="E542" t="str">
        <f>IFERROR(__xludf.DUMMYFUNCTION("""COMPUTED_VALUE"""),"Below Quality Standards")</f>
        <v>Below Quality Standards</v>
      </c>
      <c r="F542" t="str">
        <f>IFERROR(__xludf.DUMMYFUNCTION("""COMPUTED_VALUE"""),"IT and Software")</f>
        <v>IT and Software</v>
      </c>
      <c r="G542" t="str">
        <f>IFERROR(__xludf.DUMMYFUNCTION("""COMPUTED_VALUE"""),"Operating Systems and Servers")</f>
        <v>Operating Systems and Servers</v>
      </c>
      <c r="H542">
        <f>IFERROR(__xludf.DUMMYFUNCTION("""COMPUTED_VALUE"""),1241098.0)</f>
        <v>1241098</v>
      </c>
      <c r="I542" s="140" t="str">
        <f>IFERROR(__xludf.DUMMYFUNCTION("""COMPUTED_VALUE"""),"")</f>
        <v/>
      </c>
      <c r="K542" s="140" t="str">
        <f>IFERROR(__xludf.DUMMYFUNCTION("""COMPUTED_VALUE"""),"")</f>
        <v/>
      </c>
      <c r="M542" t="str">
        <f>IFERROR(__xludf.DUMMYFUNCTION("""COMPUTED_VALUE"""),"Development")</f>
        <v>Development</v>
      </c>
      <c r="N542" s="143" t="str">
        <f>IFERROR(__xludf.DUMMYFUNCTION("""COMPUTED_VALUE"""),"Development Tools")</f>
        <v>Development Tools</v>
      </c>
    </row>
    <row r="543">
      <c r="A543" s="143">
        <f>IFERROR(__xludf.DUMMYFUNCTION("""COMPUTED_VALUE"""),43131.0)</f>
        <v>43131</v>
      </c>
      <c r="B543" s="140">
        <f>IFERROR(__xludf.DUMMYFUNCTION("""COMPUTED_VALUE"""),559400.0)</f>
        <v>559400</v>
      </c>
      <c r="C543" t="str">
        <f>IFERROR(__xludf.DUMMYFUNCTION("""COMPUTED_VALUE"""),"Microsoft SQL Server - An Introduction")</f>
        <v>Microsoft SQL Server - An Introduction</v>
      </c>
      <c r="D543" t="str">
        <f>IFERROR(__xludf.DUMMYFUNCTION("""COMPUTED_VALUE"""),"Phillip Burton")</f>
        <v>Phillip Burton</v>
      </c>
      <c r="E543" t="str">
        <f>IFERROR(__xludf.DUMMYFUNCTION("""COMPUTED_VALUE"""),"Below Quality Standards")</f>
        <v>Below Quality Standards</v>
      </c>
      <c r="F543" t="str">
        <f>IFERROR(__xludf.DUMMYFUNCTION("""COMPUTED_VALUE"""),"IT and Software")</f>
        <v>IT and Software</v>
      </c>
      <c r="G543" t="str">
        <f>IFERROR(__xludf.DUMMYFUNCTION("""COMPUTED_VALUE"""),"Operating Systems and Servers")</f>
        <v>Operating Systems and Servers</v>
      </c>
      <c r="H543">
        <f>IFERROR(__xludf.DUMMYFUNCTION("""COMPUTED_VALUE"""),1061212.0)</f>
        <v>1061212</v>
      </c>
      <c r="I543" s="140" t="str">
        <f>IFERROR(__xludf.DUMMYFUNCTION("""COMPUTED_VALUE"""),"")</f>
        <v/>
      </c>
      <c r="K543" s="140" t="str">
        <f>IFERROR(__xludf.DUMMYFUNCTION("""COMPUTED_VALUE"""),"")</f>
        <v/>
      </c>
      <c r="M543" t="str">
        <f>IFERROR(__xludf.DUMMYFUNCTION("""COMPUTED_VALUE"""),"IT and Software")</f>
        <v>IT and Software</v>
      </c>
      <c r="N543" s="143" t="str">
        <f>IFERROR(__xludf.DUMMYFUNCTION("""COMPUTED_VALUE"""),"Databases")</f>
        <v>Databases</v>
      </c>
    </row>
    <row r="544">
      <c r="A544" s="143">
        <f>IFERROR(__xludf.DUMMYFUNCTION("""COMPUTED_VALUE"""),43131.0)</f>
        <v>43131</v>
      </c>
      <c r="B544" s="140">
        <f>IFERROR(__xludf.DUMMYFUNCTION("""COMPUTED_VALUE"""),957218.0)</f>
        <v>957218</v>
      </c>
      <c r="C544" t="str">
        <f>IFERROR(__xludf.DUMMYFUNCTION("""COMPUTED_VALUE"""),"Ultimate Ethical Hacking Boot Camp - Beginner to Pro")</f>
        <v>Ultimate Ethical Hacking Boot Camp - Beginner to Pro</v>
      </c>
      <c r="D544" t="str">
        <f>IFERROR(__xludf.DUMMYFUNCTION("""COMPUTED_VALUE"""),"Seely Security")</f>
        <v>Seely Security</v>
      </c>
      <c r="E544" t="str">
        <f>IFERROR(__xludf.DUMMYFUNCTION("""COMPUTED_VALUE"""),"Below Quality Standards")</f>
        <v>Below Quality Standards</v>
      </c>
      <c r="F544" t="str">
        <f>IFERROR(__xludf.DUMMYFUNCTION("""COMPUTED_VALUE"""),"IT and Software")</f>
        <v>IT and Software</v>
      </c>
      <c r="G544" t="str">
        <f>IFERROR(__xludf.DUMMYFUNCTION("""COMPUTED_VALUE"""),"Network and Security")</f>
        <v>Network and Security</v>
      </c>
      <c r="H544">
        <f>IFERROR(__xludf.DUMMYFUNCTION("""COMPUTED_VALUE"""),857010.0)</f>
        <v>857010</v>
      </c>
      <c r="I544" s="140" t="str">
        <f>IFERROR(__xludf.DUMMYFUNCTION("""COMPUTED_VALUE"""),"")</f>
        <v/>
      </c>
      <c r="K544" s="140" t="str">
        <f>IFERROR(__xludf.DUMMYFUNCTION("""COMPUTED_VALUE"""),"")</f>
        <v/>
      </c>
      <c r="Q544" t="str">
        <f>IFERROR(__xludf.DUMMYFUNCTION("""COMPUTED_VALUE"""),"Instructor Opted Back in ")</f>
        <v>Instructor Opted Back in </v>
      </c>
    </row>
    <row r="545">
      <c r="A545" s="143">
        <f>IFERROR(__xludf.DUMMYFUNCTION("""COMPUTED_VALUE"""),43131.0)</f>
        <v>43131</v>
      </c>
      <c r="B545" s="140">
        <f>IFERROR(__xludf.DUMMYFUNCTION("""COMPUTED_VALUE"""),584666.0)</f>
        <v>584666</v>
      </c>
      <c r="C545" t="str">
        <f>IFERROR(__xludf.DUMMYFUNCTION("""COMPUTED_VALUE"""),"Conflict Resolution Skills in the Workplace")</f>
        <v>Conflict Resolution Skills in the Workplace</v>
      </c>
      <c r="D545" t="str">
        <f>IFERROR(__xludf.DUMMYFUNCTION("""COMPUTED_VALUE"""),"Adam Karsh")</f>
        <v>Adam Karsh</v>
      </c>
      <c r="E545" t="str">
        <f>IFERROR(__xludf.DUMMYFUNCTION("""COMPUTED_VALUE"""),"Below Quality Standards")</f>
        <v>Below Quality Standards</v>
      </c>
      <c r="F545" t="str">
        <f>IFERROR(__xludf.DUMMYFUNCTION("""COMPUTED_VALUE"""),"Management")</f>
        <v>Management</v>
      </c>
      <c r="G545" t="str">
        <f>IFERROR(__xludf.DUMMYFUNCTION("""COMPUTED_VALUE"""),"Communication")</f>
        <v>Communication</v>
      </c>
      <c r="H545">
        <f>IFERROR(__xludf.DUMMYFUNCTION("""COMPUTED_VALUE"""),1123688.0)</f>
        <v>1123688</v>
      </c>
      <c r="I545" s="140" t="str">
        <f>IFERROR(__xludf.DUMMYFUNCTION("""COMPUTED_VALUE"""),"")</f>
        <v/>
      </c>
      <c r="K545" s="140" t="str">
        <f>IFERROR(__xludf.DUMMYFUNCTION("""COMPUTED_VALUE"""),"")</f>
        <v/>
      </c>
    </row>
    <row r="546">
      <c r="A546" s="143">
        <f>IFERROR(__xludf.DUMMYFUNCTION("""COMPUTED_VALUE"""),43131.0)</f>
        <v>43131</v>
      </c>
      <c r="B546" s="140">
        <f>IFERROR(__xludf.DUMMYFUNCTION("""COMPUTED_VALUE"""),123556.0)</f>
        <v>123556</v>
      </c>
      <c r="C546" s="142" t="str">
        <f>IFERROR(__xludf.DUMMYFUNCTION("""COMPUTED_VALUE"""),"How to Help Your Customers Succeed")</f>
        <v>How to Help Your Customers Succeed</v>
      </c>
      <c r="D546" t="str">
        <f>IFERROR(__xludf.DUMMYFUNCTION("""COMPUTED_VALUE"""),"Chuck Wall")</f>
        <v>Chuck Wall</v>
      </c>
      <c r="E546" t="str">
        <f>IFERROR(__xludf.DUMMYFUNCTION("""COMPUTED_VALUE"""),"Instructor Request- Outdated")</f>
        <v>Instructor Request- Outdated</v>
      </c>
      <c r="F546" t="str">
        <f>IFERROR(__xludf.DUMMYFUNCTION("""COMPUTED_VALUE"""),"Management")</f>
        <v>Management</v>
      </c>
      <c r="G546" t="str">
        <f>IFERROR(__xludf.DUMMYFUNCTION("""COMPUTED_VALUE"""),"Customer Service")</f>
        <v>Customer Service</v>
      </c>
      <c r="H546">
        <f>IFERROR(__xludf.DUMMYFUNCTION("""COMPUTED_VALUE"""),120872.0)</f>
        <v>120872</v>
      </c>
      <c r="I546" s="140" t="str">
        <f>IFERROR(__xludf.DUMMYFUNCTION("""COMPUTED_VALUE"""),"")</f>
        <v/>
      </c>
      <c r="K546" s="140" t="str">
        <f>IFERROR(__xludf.DUMMYFUNCTION("""COMPUTED_VALUE"""),"")</f>
        <v/>
      </c>
    </row>
    <row r="547">
      <c r="A547" s="143">
        <f>IFERROR(__xludf.DUMMYFUNCTION("""COMPUTED_VALUE"""),43131.0)</f>
        <v>43131</v>
      </c>
      <c r="B547" s="140">
        <f>IFERROR(__xludf.DUMMYFUNCTION("""COMPUTED_VALUE"""),123580.0)</f>
        <v>123580</v>
      </c>
      <c r="C547" s="142" t="str">
        <f>IFERROR(__xludf.DUMMYFUNCTION("""COMPUTED_VALUE"""),"How to Let Your Customers Break the Rules")</f>
        <v>How to Let Your Customers Break the Rules</v>
      </c>
      <c r="D547" t="str">
        <f>IFERROR(__xludf.DUMMYFUNCTION("""COMPUTED_VALUE"""),"Chuck Wall")</f>
        <v>Chuck Wall</v>
      </c>
      <c r="E547" t="str">
        <f>IFERROR(__xludf.DUMMYFUNCTION("""COMPUTED_VALUE"""),"Instructor Request- Outdated")</f>
        <v>Instructor Request- Outdated</v>
      </c>
      <c r="F547" t="str">
        <f>IFERROR(__xludf.DUMMYFUNCTION("""COMPUTED_VALUE"""),"Management")</f>
        <v>Management</v>
      </c>
      <c r="G547" t="str">
        <f>IFERROR(__xludf.DUMMYFUNCTION("""COMPUTED_VALUE"""),"Strategy")</f>
        <v>Strategy</v>
      </c>
      <c r="H547">
        <f>IFERROR(__xludf.DUMMYFUNCTION("""COMPUTED_VALUE"""),120976.0)</f>
        <v>120976</v>
      </c>
      <c r="I547" s="140" t="str">
        <f>IFERROR(__xludf.DUMMYFUNCTION("""COMPUTED_VALUE"""),"")</f>
        <v/>
      </c>
      <c r="J547">
        <f>IFERROR(__xludf.DUMMYFUNCTION("""COMPUTED_VALUE"""),120978.0)</f>
        <v>120978</v>
      </c>
      <c r="K547" s="140" t="str">
        <f>IFERROR(__xludf.DUMMYFUNCTION("""COMPUTED_VALUE"""),"")</f>
        <v/>
      </c>
      <c r="M547" t="str">
        <f>IFERROR(__xludf.DUMMYFUNCTION("""COMPUTED_VALUE"""),"Management")</f>
        <v>Management</v>
      </c>
      <c r="N547" s="143" t="str">
        <f>IFERROR(__xludf.DUMMYFUNCTION("""COMPUTED_VALUE"""),"Customer Service")</f>
        <v>Customer Service</v>
      </c>
      <c r="Q547" t="str">
        <f>IFERROR(__xludf.DUMMYFUNCTION("""COMPUTED_VALUE"""),"Instructor Opted Back in ")</f>
        <v>Instructor Opted Back in </v>
      </c>
    </row>
    <row r="548">
      <c r="A548" s="143">
        <f>IFERROR(__xludf.DUMMYFUNCTION("""COMPUTED_VALUE"""),43131.0)</f>
        <v>43131</v>
      </c>
      <c r="B548" s="140">
        <f>IFERROR(__xludf.DUMMYFUNCTION("""COMPUTED_VALUE"""),125862.0)</f>
        <v>125862</v>
      </c>
      <c r="C548" s="142" t="str">
        <f>IFERROR(__xludf.DUMMYFUNCTION("""COMPUTED_VALUE"""),"How to Love Your Customers")</f>
        <v>How to Love Your Customers</v>
      </c>
      <c r="D548" t="str">
        <f>IFERROR(__xludf.DUMMYFUNCTION("""COMPUTED_VALUE"""),"Chuck Wall")</f>
        <v>Chuck Wall</v>
      </c>
      <c r="E548" t="str">
        <f>IFERROR(__xludf.DUMMYFUNCTION("""COMPUTED_VALUE"""),"Instructor Request- Outdated")</f>
        <v>Instructor Request- Outdated</v>
      </c>
      <c r="F548" t="str">
        <f>IFERROR(__xludf.DUMMYFUNCTION("""COMPUTED_VALUE"""),"Management")</f>
        <v>Management</v>
      </c>
      <c r="G548" t="str">
        <f>IFERROR(__xludf.DUMMYFUNCTION("""COMPUTED_VALUE"""),"Customer Service")</f>
        <v>Customer Service</v>
      </c>
      <c r="H548">
        <f>IFERROR(__xludf.DUMMYFUNCTION("""COMPUTED_VALUE"""),120872.0)</f>
        <v>120872</v>
      </c>
      <c r="I548" s="140" t="str">
        <f>IFERROR(__xludf.DUMMYFUNCTION("""COMPUTED_VALUE"""),"")</f>
        <v/>
      </c>
      <c r="J548">
        <f>IFERROR(__xludf.DUMMYFUNCTION("""COMPUTED_VALUE"""),123570.0)</f>
        <v>123570</v>
      </c>
      <c r="K548" s="140" t="str">
        <f>IFERROR(__xludf.DUMMYFUNCTION("""COMPUTED_VALUE"""),"")</f>
        <v/>
      </c>
    </row>
    <row r="549">
      <c r="A549" s="143">
        <f>IFERROR(__xludf.DUMMYFUNCTION("""COMPUTED_VALUE"""),43131.0)</f>
        <v>43131</v>
      </c>
      <c r="B549" s="140">
        <f>IFERROR(__xludf.DUMMYFUNCTION("""COMPUTED_VALUE"""),123562.0)</f>
        <v>123562</v>
      </c>
      <c r="C549" s="142" t="str">
        <f>IFERROR(__xludf.DUMMYFUNCTION("""COMPUTED_VALUE"""),"How to Say Yes to Your Customers")</f>
        <v>How to Say Yes to Your Customers</v>
      </c>
      <c r="D549" t="str">
        <f>IFERROR(__xludf.DUMMYFUNCTION("""COMPUTED_VALUE"""),"Chuck Wall")</f>
        <v>Chuck Wall</v>
      </c>
      <c r="E549" t="str">
        <f>IFERROR(__xludf.DUMMYFUNCTION("""COMPUTED_VALUE"""),"Instructor Request- Outdated")</f>
        <v>Instructor Request- Outdated</v>
      </c>
      <c r="F549" t="str">
        <f>IFERROR(__xludf.DUMMYFUNCTION("""COMPUTED_VALUE"""),"Management")</f>
        <v>Management</v>
      </c>
      <c r="G549" t="str">
        <f>IFERROR(__xludf.DUMMYFUNCTION("""COMPUTED_VALUE"""),"Customer Service")</f>
        <v>Customer Service</v>
      </c>
      <c r="H549">
        <f>IFERROR(__xludf.DUMMYFUNCTION("""COMPUTED_VALUE"""),120976.0)</f>
        <v>120976</v>
      </c>
      <c r="I549" s="140" t="str">
        <f>IFERROR(__xludf.DUMMYFUNCTION("""COMPUTED_VALUE"""),"")</f>
        <v/>
      </c>
      <c r="J549">
        <f>IFERROR(__xludf.DUMMYFUNCTION("""COMPUTED_VALUE"""),120978.0)</f>
        <v>120978</v>
      </c>
      <c r="K549" s="140" t="str">
        <f>IFERROR(__xludf.DUMMYFUNCTION("""COMPUTED_VALUE"""),"")</f>
        <v/>
      </c>
    </row>
    <row r="550">
      <c r="A550" s="143">
        <f>IFERROR(__xludf.DUMMYFUNCTION("""COMPUTED_VALUE"""),43131.0)</f>
        <v>43131</v>
      </c>
      <c r="B550" s="140">
        <f>IFERROR(__xludf.DUMMYFUNCTION("""COMPUTED_VALUE"""),123586.0)</f>
        <v>123586</v>
      </c>
      <c r="C550" s="142" t="str">
        <f>IFERROR(__xludf.DUMMYFUNCTION("""COMPUTED_VALUE"""),"How to Share Your Customers Purpose")</f>
        <v>How to Share Your Customers Purpose</v>
      </c>
      <c r="D550" t="str">
        <f>IFERROR(__xludf.DUMMYFUNCTION("""COMPUTED_VALUE"""),"Chuck Wall")</f>
        <v>Chuck Wall</v>
      </c>
      <c r="E550" t="str">
        <f>IFERROR(__xludf.DUMMYFUNCTION("""COMPUTED_VALUE"""),"Instructor Request- Outdated")</f>
        <v>Instructor Request- Outdated</v>
      </c>
      <c r="F550" t="str">
        <f>IFERROR(__xludf.DUMMYFUNCTION("""COMPUTED_VALUE"""),"Management")</f>
        <v>Management</v>
      </c>
      <c r="G550" t="str">
        <f>IFERROR(__xludf.DUMMYFUNCTION("""COMPUTED_VALUE"""),"Strategy")</f>
        <v>Strategy</v>
      </c>
      <c r="H550">
        <f>IFERROR(__xludf.DUMMYFUNCTION("""COMPUTED_VALUE"""),120872.0)</f>
        <v>120872</v>
      </c>
      <c r="I550" s="140" t="str">
        <f>IFERROR(__xludf.DUMMYFUNCTION("""COMPUTED_VALUE"""),"")</f>
        <v/>
      </c>
      <c r="J550">
        <f>IFERROR(__xludf.DUMMYFUNCTION("""COMPUTED_VALUE"""),123570.0)</f>
        <v>123570</v>
      </c>
      <c r="K550" s="140" t="str">
        <f>IFERROR(__xludf.DUMMYFUNCTION("""COMPUTED_VALUE"""),"")</f>
        <v/>
      </c>
      <c r="M550" t="str">
        <f>IFERROR(__xludf.DUMMYFUNCTION("""COMPUTED_VALUE"""),"Management")</f>
        <v>Management</v>
      </c>
      <c r="N550" s="143" t="str">
        <f>IFERROR(__xludf.DUMMYFUNCTION("""COMPUTED_VALUE"""),"Customer Service")</f>
        <v>Customer Service</v>
      </c>
    </row>
    <row r="551">
      <c r="A551" s="143">
        <f>IFERROR(__xludf.DUMMYFUNCTION("""COMPUTED_VALUE"""),43131.0)</f>
        <v>43131</v>
      </c>
      <c r="B551" s="140">
        <f>IFERROR(__xludf.DUMMYFUNCTION("""COMPUTED_VALUE"""),123560.0)</f>
        <v>123560</v>
      </c>
      <c r="C551" s="142" t="str">
        <f>IFERROR(__xludf.DUMMYFUNCTION("""COMPUTED_VALUE"""),"How to Simplify Your Customers Lives")</f>
        <v>How to Simplify Your Customers Lives</v>
      </c>
      <c r="D551" t="str">
        <f>IFERROR(__xludf.DUMMYFUNCTION("""COMPUTED_VALUE"""),"Chuck Wall")</f>
        <v>Chuck Wall</v>
      </c>
      <c r="E551" t="str">
        <f>IFERROR(__xludf.DUMMYFUNCTION("""COMPUTED_VALUE"""),"Instructor Request- Outdated")</f>
        <v>Instructor Request- Outdated</v>
      </c>
      <c r="F551" t="str">
        <f>IFERROR(__xludf.DUMMYFUNCTION("""COMPUTED_VALUE"""),"Management")</f>
        <v>Management</v>
      </c>
      <c r="G551" t="str">
        <f>IFERROR(__xludf.DUMMYFUNCTION("""COMPUTED_VALUE"""),"Customer Service")</f>
        <v>Customer Service</v>
      </c>
      <c r="H551">
        <f>IFERROR(__xludf.DUMMYFUNCTION("""COMPUTED_VALUE"""),120976.0)</f>
        <v>120976</v>
      </c>
      <c r="I551" s="140" t="str">
        <f>IFERROR(__xludf.DUMMYFUNCTION("""COMPUTED_VALUE"""),"")</f>
        <v/>
      </c>
      <c r="J551">
        <f>IFERROR(__xludf.DUMMYFUNCTION("""COMPUTED_VALUE"""),120978.0)</f>
        <v>120978</v>
      </c>
      <c r="K551" s="140" t="str">
        <f>IFERROR(__xludf.DUMMYFUNCTION("""COMPUTED_VALUE"""),"")</f>
        <v/>
      </c>
    </row>
    <row r="552">
      <c r="A552" s="143">
        <f>IFERROR(__xludf.DUMMYFUNCTION("""COMPUTED_VALUE"""),43131.0)</f>
        <v>43131</v>
      </c>
      <c r="B552" s="140">
        <f>IFERROR(__xludf.DUMMYFUNCTION("""COMPUTED_VALUE"""),666956.0)</f>
        <v>666956</v>
      </c>
      <c r="C552" t="str">
        <f>IFERROR(__xludf.DUMMYFUNCTION("""COMPUTED_VALUE"""),"Influence People with Persuasion Psychology")</f>
        <v>Influence People with Persuasion Psychology</v>
      </c>
      <c r="D552" t="str">
        <f>IFERROR(__xludf.DUMMYFUNCTION("""COMPUTED_VALUE"""),"Andrew Luttrell, Ph.D.")</f>
        <v>Andrew Luttrell, Ph.D.</v>
      </c>
      <c r="E552" t="str">
        <f>IFERROR(__xludf.DUMMYFUNCTION("""COMPUTED_VALUE"""),"Below Quality Standards")</f>
        <v>Below Quality Standards</v>
      </c>
      <c r="F552" t="str">
        <f>IFERROR(__xludf.DUMMYFUNCTION("""COMPUTED_VALUE"""),"Management")</f>
        <v>Management</v>
      </c>
      <c r="G552" t="str">
        <f>IFERROR(__xludf.DUMMYFUNCTION("""COMPUTED_VALUE"""),"Influence")</f>
        <v>Influence</v>
      </c>
      <c r="H552">
        <f>IFERROR(__xludf.DUMMYFUNCTION("""COMPUTED_VALUE"""),192004.0)</f>
        <v>192004</v>
      </c>
      <c r="I552" s="140" t="str">
        <f>IFERROR(__xludf.DUMMYFUNCTION("""COMPUTED_VALUE"""),"")</f>
        <v/>
      </c>
      <c r="K552" s="140" t="str">
        <f>IFERROR(__xludf.DUMMYFUNCTION("""COMPUTED_VALUE"""),"")</f>
        <v/>
      </c>
    </row>
    <row r="553">
      <c r="A553" s="143">
        <f>IFERROR(__xludf.DUMMYFUNCTION("""COMPUTED_VALUE"""),43131.0)</f>
        <v>43131</v>
      </c>
      <c r="B553" s="140">
        <f>IFERROR(__xludf.DUMMYFUNCTION("""COMPUTED_VALUE"""),474246.0)</f>
        <v>474246</v>
      </c>
      <c r="C553" t="str">
        <f>IFERROR(__xludf.DUMMYFUNCTION("""COMPUTED_VALUE"""),"Management - Leadership, Negotiating, Assertiveness, Sales")</f>
        <v>Management - Leadership, Negotiating, Assertiveness, Sales</v>
      </c>
      <c r="D553" t="str">
        <f>IFERROR(__xludf.DUMMYFUNCTION("""COMPUTED_VALUE"""),"Louise Croft")</f>
        <v>Louise Croft</v>
      </c>
      <c r="E553" t="str">
        <f>IFERROR(__xludf.DUMMYFUNCTION("""COMPUTED_VALUE"""),"Below Quality Standards")</f>
        <v>Below Quality Standards</v>
      </c>
      <c r="F553" t="str">
        <f>IFERROR(__xludf.DUMMYFUNCTION("""COMPUTED_VALUE"""),"Management")</f>
        <v>Management</v>
      </c>
      <c r="G553" t="str">
        <f>IFERROR(__xludf.DUMMYFUNCTION("""COMPUTED_VALUE"""),"Influence")</f>
        <v>Influence</v>
      </c>
      <c r="H553">
        <f>IFERROR(__xludf.DUMMYFUNCTION("""COMPUTED_VALUE"""),482564.0)</f>
        <v>482564</v>
      </c>
      <c r="I553" s="140" t="str">
        <f>IFERROR(__xludf.DUMMYFUNCTION("""COMPUTED_VALUE"""),"")</f>
        <v/>
      </c>
      <c r="K553" s="140" t="str">
        <f>IFERROR(__xludf.DUMMYFUNCTION("""COMPUTED_VALUE"""),"")</f>
        <v/>
      </c>
      <c r="M553" t="str">
        <f>IFERROR(__xludf.DUMMYFUNCTION("""COMPUTED_VALUE"""),"Sales")</f>
        <v>Sales</v>
      </c>
      <c r="N553" s="143" t="str">
        <f>IFERROR(__xludf.DUMMYFUNCTION("""COMPUTED_VALUE"""),"Sales Tools and Techniques")</f>
        <v>Sales Tools and Techniques</v>
      </c>
    </row>
    <row r="554">
      <c r="A554" s="143">
        <f>IFERROR(__xludf.DUMMYFUNCTION("""COMPUTED_VALUE"""),43131.0)</f>
        <v>43131</v>
      </c>
      <c r="B554" s="140">
        <f>IFERROR(__xludf.DUMMYFUNCTION("""COMPUTED_VALUE"""),427140.0)</f>
        <v>427140</v>
      </c>
      <c r="C554" t="str">
        <f>IFERROR(__xludf.DUMMYFUNCTION("""COMPUTED_VALUE"""),"Management: Essential Skills for First Time Managers")</f>
        <v>Management: Essential Skills for First Time Managers</v>
      </c>
      <c r="D554" t="str">
        <f>IFERROR(__xludf.DUMMYFUNCTION("""COMPUTED_VALUE"""),"LearnSmart LLC")</f>
        <v>LearnSmart LLC</v>
      </c>
      <c r="E554" t="str">
        <f>IFERROR(__xludf.DUMMYFUNCTION("""COMPUTED_VALUE"""),"Below Quality Standards")</f>
        <v>Below Quality Standards</v>
      </c>
      <c r="F554" t="str">
        <f>IFERROR(__xludf.DUMMYFUNCTION("""COMPUTED_VALUE"""),"Management")</f>
        <v>Management</v>
      </c>
      <c r="G554" t="str">
        <f>IFERROR(__xludf.DUMMYFUNCTION("""COMPUTED_VALUE"""),"Leadership")</f>
        <v>Leadership</v>
      </c>
      <c r="H554">
        <f>IFERROR(__xludf.DUMMYFUNCTION("""COMPUTED_VALUE"""),429062.0)</f>
        <v>429062</v>
      </c>
      <c r="I554" s="140" t="str">
        <f>IFERROR(__xludf.DUMMYFUNCTION("""COMPUTED_VALUE"""),"")</f>
        <v/>
      </c>
      <c r="J554">
        <f>IFERROR(__xludf.DUMMYFUNCTION("""COMPUTED_VALUE"""),988524.0)</f>
        <v>988524</v>
      </c>
      <c r="K554" s="140" t="str">
        <f>IFERROR(__xludf.DUMMYFUNCTION("""COMPUTED_VALUE"""),"")</f>
        <v/>
      </c>
    </row>
    <row r="555">
      <c r="A555" s="143">
        <f>IFERROR(__xludf.DUMMYFUNCTION("""COMPUTED_VALUE"""),43131.0)</f>
        <v>43131</v>
      </c>
      <c r="B555" s="140">
        <f>IFERROR(__xludf.DUMMYFUNCTION("""COMPUTED_VALUE"""),235428.0)</f>
        <v>235428</v>
      </c>
      <c r="C555" t="str">
        <f>IFERROR(__xludf.DUMMYFUNCTION("""COMPUTED_VALUE"""),"App Marketing: How to Generate Pre-Launch Buzz")</f>
        <v>App Marketing: How to Generate Pre-Launch Buzz</v>
      </c>
      <c r="D555" t="str">
        <f>IFERROR(__xludf.DUMMYFUNCTION("""COMPUTED_VALUE"""),"Steve Young")</f>
        <v>Steve Young</v>
      </c>
      <c r="E555" t="str">
        <f>IFERROR(__xludf.DUMMYFUNCTION("""COMPUTED_VALUE"""),"Below Quality Standards")</f>
        <v>Below Quality Standards</v>
      </c>
      <c r="F555" t="str">
        <f>IFERROR(__xludf.DUMMYFUNCTION("""COMPUTED_VALUE"""),"Marketing")</f>
        <v>Marketing</v>
      </c>
      <c r="G555" t="str">
        <f>IFERROR(__xludf.DUMMYFUNCTION("""COMPUTED_VALUE"""),"Digital Marketing")</f>
        <v>Digital Marketing</v>
      </c>
      <c r="H555">
        <f>IFERROR(__xludf.DUMMYFUNCTION("""COMPUTED_VALUE"""),1185006.0)</f>
        <v>1185006</v>
      </c>
      <c r="I555" s="140" t="str">
        <f>IFERROR(__xludf.DUMMYFUNCTION("""COMPUTED_VALUE"""),"")</f>
        <v/>
      </c>
      <c r="K555" s="140" t="str">
        <f>IFERROR(__xludf.DUMMYFUNCTION("""COMPUTED_VALUE"""),"")</f>
        <v/>
      </c>
    </row>
    <row r="556">
      <c r="A556" s="143">
        <f>IFERROR(__xludf.DUMMYFUNCTION("""COMPUTED_VALUE"""),43131.0)</f>
        <v>43131</v>
      </c>
      <c r="B556" s="140">
        <f>IFERROR(__xludf.DUMMYFUNCTION("""COMPUTED_VALUE"""),19422.0)</f>
        <v>19422</v>
      </c>
      <c r="C556" s="142" t="str">
        <f>IFERROR(__xludf.DUMMYFUNCTION("""COMPUTED_VALUE"""),"Drupal 7 for Beginners")</f>
        <v>Drupal 7 for Beginners</v>
      </c>
      <c r="D556" t="str">
        <f>IFERROR(__xludf.DUMMYFUNCTION("""COMPUTED_VALUE"""),"OSTraining LLC")</f>
        <v>OSTraining LLC</v>
      </c>
      <c r="E556" t="str">
        <f>IFERROR(__xludf.DUMMYFUNCTION("""COMPUTED_VALUE"""),"Below Quality Standards- Outdated")</f>
        <v>Below Quality Standards- Outdated</v>
      </c>
      <c r="F556" t="str">
        <f>IFERROR(__xludf.DUMMYFUNCTION("""COMPUTED_VALUE"""),"Marketing")</f>
        <v>Marketing</v>
      </c>
      <c r="G556" t="str">
        <f>IFERROR(__xludf.DUMMYFUNCTION("""COMPUTED_VALUE"""),"Content and Email Marketing")</f>
        <v>Content and Email Marketing</v>
      </c>
      <c r="H556">
        <f>IFERROR(__xludf.DUMMYFUNCTION("""COMPUTED_VALUE"""),1112138.0)</f>
        <v>1112138</v>
      </c>
      <c r="I556" s="140" t="str">
        <f>IFERROR(__xludf.DUMMYFUNCTION("""COMPUTED_VALUE"""),"")</f>
        <v/>
      </c>
      <c r="K556" s="140" t="str">
        <f>IFERROR(__xludf.DUMMYFUNCTION("""COMPUTED_VALUE"""),"")</f>
        <v/>
      </c>
    </row>
    <row r="557">
      <c r="A557" s="143">
        <f>IFERROR(__xludf.DUMMYFUNCTION("""COMPUTED_VALUE"""),43131.0)</f>
        <v>43131</v>
      </c>
      <c r="B557" s="140">
        <f>IFERROR(__xludf.DUMMYFUNCTION("""COMPUTED_VALUE"""),19387.0)</f>
        <v>19387</v>
      </c>
      <c r="C557" s="142" t="str">
        <f>IFERROR(__xludf.DUMMYFUNCTION("""COMPUTED_VALUE"""),"Drupal 7 Intermediate")</f>
        <v>Drupal 7 Intermediate</v>
      </c>
      <c r="D557" t="str">
        <f>IFERROR(__xludf.DUMMYFUNCTION("""COMPUTED_VALUE"""),"OSTraining LLC")</f>
        <v>OSTraining LLC</v>
      </c>
      <c r="E557" t="str">
        <f>IFERROR(__xludf.DUMMYFUNCTION("""COMPUTED_VALUE"""),"Below Quality Standards- Outdated")</f>
        <v>Below Quality Standards- Outdated</v>
      </c>
      <c r="F557" t="str">
        <f>IFERROR(__xludf.DUMMYFUNCTION("""COMPUTED_VALUE"""),"Marketing")</f>
        <v>Marketing</v>
      </c>
      <c r="G557" t="str">
        <f>IFERROR(__xludf.DUMMYFUNCTION("""COMPUTED_VALUE"""),"Content and Email Marketing")</f>
        <v>Content and Email Marketing</v>
      </c>
      <c r="H557">
        <f>IFERROR(__xludf.DUMMYFUNCTION("""COMPUTED_VALUE"""),1112138.0)</f>
        <v>1112138</v>
      </c>
      <c r="I557" s="140" t="str">
        <f>IFERROR(__xludf.DUMMYFUNCTION("""COMPUTED_VALUE"""),"")</f>
        <v/>
      </c>
      <c r="K557" s="140" t="str">
        <f>IFERROR(__xludf.DUMMYFUNCTION("""COMPUTED_VALUE"""),"")</f>
        <v/>
      </c>
      <c r="Q557" t="str">
        <f>IFERROR(__xludf.DUMMYFUNCTION("""COMPUTED_VALUE"""),"Topic on Priority List- 1223472")</f>
        <v>Topic on Priority List- 1223472</v>
      </c>
    </row>
    <row r="558">
      <c r="A558" s="143">
        <f>IFERROR(__xludf.DUMMYFUNCTION("""COMPUTED_VALUE"""),43131.0)</f>
        <v>43131</v>
      </c>
      <c r="B558" s="140">
        <f>IFERROR(__xludf.DUMMYFUNCTION("""COMPUTED_VALUE"""),1047227.0)</f>
        <v>1047227</v>
      </c>
      <c r="C558" t="str">
        <f>IFERROR(__xludf.DUMMYFUNCTION("""COMPUTED_VALUE"""),"The Complete Digital Marketing Bootcamp")</f>
        <v>The Complete Digital Marketing Bootcamp</v>
      </c>
      <c r="D558" t="str">
        <f>IFERROR(__xludf.DUMMYFUNCTION("""COMPUTED_VALUE"""),"Seijin Jung")</f>
        <v>Seijin Jung</v>
      </c>
      <c r="E558" t="str">
        <f>IFERROR(__xludf.DUMMYFUNCTION("""COMPUTED_VALUE"""),"Below Quality Standards")</f>
        <v>Below Quality Standards</v>
      </c>
      <c r="F558" t="str">
        <f>IFERROR(__xludf.DUMMYFUNCTION("""COMPUTED_VALUE"""),"Marketing")</f>
        <v>Marketing</v>
      </c>
      <c r="G558" t="str">
        <f>IFERROR(__xludf.DUMMYFUNCTION("""COMPUTED_VALUE"""),"Digital Marketing")</f>
        <v>Digital Marketing</v>
      </c>
      <c r="H558">
        <f>IFERROR(__xludf.DUMMYFUNCTION("""COMPUTED_VALUE"""),914296.0)</f>
        <v>914296</v>
      </c>
      <c r="I558" s="140" t="str">
        <f>IFERROR(__xludf.DUMMYFUNCTION("""COMPUTED_VALUE"""),"")</f>
        <v/>
      </c>
      <c r="J558">
        <f>IFERROR(__xludf.DUMMYFUNCTION("""COMPUTED_VALUE"""),745050.0)</f>
        <v>745050</v>
      </c>
      <c r="K558" s="140" t="str">
        <f>IFERROR(__xludf.DUMMYFUNCTION("""COMPUTED_VALUE"""),"")</f>
        <v/>
      </c>
    </row>
    <row r="559">
      <c r="A559" s="143">
        <f>IFERROR(__xludf.DUMMYFUNCTION("""COMPUTED_VALUE"""),43131.0)</f>
        <v>43131</v>
      </c>
      <c r="B559" s="140">
        <f>IFERROR(__xludf.DUMMYFUNCTION("""COMPUTED_VALUE"""),649056.0)</f>
        <v>649056</v>
      </c>
      <c r="C559" t="str">
        <f>IFERROR(__xludf.DUMMYFUNCTION("""COMPUTED_VALUE"""),"The NEW 2018 Complete Growth Hacking &amp; Conversion Course")</f>
        <v>The NEW 2018 Complete Growth Hacking &amp; Conversion Course</v>
      </c>
      <c r="D559" t="str">
        <f>IFERROR(__xludf.DUMMYFUNCTION("""COMPUTED_VALUE"""),"iMarket XL")</f>
        <v>iMarket XL</v>
      </c>
      <c r="E559" t="str">
        <f>IFERROR(__xludf.DUMMYFUNCTION("""COMPUTED_VALUE"""),"Below Quality Standards")</f>
        <v>Below Quality Standards</v>
      </c>
      <c r="F559" t="str">
        <f>IFERROR(__xludf.DUMMYFUNCTION("""COMPUTED_VALUE"""),"Marketing")</f>
        <v>Marketing</v>
      </c>
      <c r="G559" t="str">
        <f>IFERROR(__xludf.DUMMYFUNCTION("""COMPUTED_VALUE"""),"Digital Marketing")</f>
        <v>Digital Marketing</v>
      </c>
      <c r="H559">
        <f>IFERROR(__xludf.DUMMYFUNCTION("""COMPUTED_VALUE"""),914296.0)</f>
        <v>914296</v>
      </c>
      <c r="I559" s="140" t="str">
        <f>IFERROR(__xludf.DUMMYFUNCTION("""COMPUTED_VALUE"""),"")</f>
        <v/>
      </c>
      <c r="J559">
        <f>IFERROR(__xludf.DUMMYFUNCTION("""COMPUTED_VALUE"""),745050.0)</f>
        <v>745050</v>
      </c>
      <c r="K559" s="140" t="str">
        <f>IFERROR(__xludf.DUMMYFUNCTION("""COMPUTED_VALUE"""),"")</f>
        <v/>
      </c>
    </row>
    <row r="560">
      <c r="A560" s="143">
        <f>IFERROR(__xludf.DUMMYFUNCTION("""COMPUTED_VALUE"""),43131.0)</f>
        <v>43131</v>
      </c>
      <c r="B560" s="140">
        <f>IFERROR(__xludf.DUMMYFUNCTION("""COMPUTED_VALUE"""),447312.0)</f>
        <v>447312</v>
      </c>
      <c r="C560" s="142" t="str">
        <f>IFERROR(__xludf.DUMMYFUNCTION("""COMPUTED_VALUE"""),"Introduction to Office 365")</f>
        <v>Introduction to Office 365</v>
      </c>
      <c r="D560" t="str">
        <f>IFERROR(__xludf.DUMMYFUNCTION("""COMPUTED_VALUE"""),"Intellezy Trainers")</f>
        <v>Intellezy Trainers</v>
      </c>
      <c r="E560" t="str">
        <f>IFERROR(__xludf.DUMMYFUNCTION("""COMPUTED_VALUE"""),"Below Quality Standards- Outdated")</f>
        <v>Below Quality Standards- Outdated</v>
      </c>
      <c r="F560" t="str">
        <f>IFERROR(__xludf.DUMMYFUNCTION("""COMPUTED_VALUE"""),"Office Productivity")</f>
        <v>Office Productivity</v>
      </c>
      <c r="G560" t="str">
        <f>IFERROR(__xludf.DUMMYFUNCTION("""COMPUTED_VALUE"""),"Presentations")</f>
        <v>Presentations</v>
      </c>
      <c r="H560">
        <f>IFERROR(__xludf.DUMMYFUNCTION("""COMPUTED_VALUE"""),30730.0)</f>
        <v>30730</v>
      </c>
      <c r="I560" s="140" t="str">
        <f>IFERROR(__xludf.DUMMYFUNCTION("""COMPUTED_VALUE"""),"")</f>
        <v/>
      </c>
      <c r="K560" s="140" t="str">
        <f>IFERROR(__xludf.DUMMYFUNCTION("""COMPUTED_VALUE"""),"")</f>
        <v/>
      </c>
      <c r="M560" t="str">
        <f>IFERROR(__xludf.DUMMYFUNCTION("""COMPUTED_VALUE"""),"Office Productivity")</f>
        <v>Office Productivity</v>
      </c>
      <c r="N560" s="143" t="str">
        <f>IFERROR(__xludf.DUMMYFUNCTION("""COMPUTED_VALUE"""),"Spreadsheets")</f>
        <v>Spreadsheets</v>
      </c>
      <c r="O560" t="str">
        <f>IFERROR(__xludf.DUMMYFUNCTION("""COMPUTED_VALUE"""),"Office Productivity")</f>
        <v>Office Productivity</v>
      </c>
      <c r="P560" t="str">
        <f>IFERROR(__xludf.DUMMYFUNCTION("""COMPUTED_VALUE"""),"Word Processing")</f>
        <v>Word Processing</v>
      </c>
    </row>
    <row r="561">
      <c r="A561" s="143">
        <f>IFERROR(__xludf.DUMMYFUNCTION("""COMPUTED_VALUE"""),43131.0)</f>
        <v>43131</v>
      </c>
      <c r="B561" s="140">
        <f>IFERROR(__xludf.DUMMYFUNCTION("""COMPUTED_VALUE"""),225904.0)</f>
        <v>225904</v>
      </c>
      <c r="C561" s="142" t="str">
        <f>IFERROR(__xludf.DUMMYFUNCTION("""COMPUTED_VALUE"""),"Mac Clarity - Master Your Mac")</f>
        <v>Mac Clarity - Master Your Mac</v>
      </c>
      <c r="D561" t="str">
        <f>IFERROR(__xludf.DUMMYFUNCTION("""COMPUTED_VALUE"""),"Arron Artikai")</f>
        <v>Arron Artikai</v>
      </c>
      <c r="E561" t="str">
        <f>IFERROR(__xludf.DUMMYFUNCTION("""COMPUTED_VALUE"""),"Below Quality Standards- Outdated")</f>
        <v>Below Quality Standards- Outdated</v>
      </c>
      <c r="F561" t="str">
        <f>IFERROR(__xludf.DUMMYFUNCTION("""COMPUTED_VALUE"""),"Office Productivity")</f>
        <v>Office Productivity</v>
      </c>
      <c r="G561" t="str">
        <f>IFERROR(__xludf.DUMMYFUNCTION("""COMPUTED_VALUE"""),"Operating Systems")</f>
        <v>Operating Systems</v>
      </c>
      <c r="H561">
        <f>IFERROR(__xludf.DUMMYFUNCTION("""COMPUTED_VALUE"""),708568.0)</f>
        <v>708568</v>
      </c>
      <c r="I561" s="140" t="str">
        <f>IFERROR(__xludf.DUMMYFUNCTION("""COMPUTED_VALUE"""),"")</f>
        <v/>
      </c>
      <c r="K561" s="140" t="str">
        <f>IFERROR(__xludf.DUMMYFUNCTION("""COMPUTED_VALUE"""),"")</f>
        <v/>
      </c>
    </row>
    <row r="562">
      <c r="A562" s="143">
        <f>IFERROR(__xludf.DUMMYFUNCTION("""COMPUTED_VALUE"""),43131.0)</f>
        <v>43131</v>
      </c>
      <c r="B562" s="140">
        <f>IFERROR(__xludf.DUMMYFUNCTION("""COMPUTED_VALUE"""),1014420.0)</f>
        <v>1014420</v>
      </c>
      <c r="C562" s="142" t="str">
        <f>IFERROR(__xludf.DUMMYFUNCTION("""COMPUTED_VALUE"""),"Dealing with Change and Building Resilience")</f>
        <v>Dealing with Change and Building Resilience</v>
      </c>
      <c r="D562" t="str">
        <f>IFERROR(__xludf.DUMMYFUNCTION("""COMPUTED_VALUE"""),"Ms Clare Edwards")</f>
        <v>Ms Clare Edwards</v>
      </c>
      <c r="E562" t="str">
        <f>IFERROR(__xludf.DUMMYFUNCTION("""COMPUTED_VALUE"""),"Instructor Request")</f>
        <v>Instructor Request</v>
      </c>
      <c r="F562" t="str">
        <f>IFERROR(__xludf.DUMMYFUNCTION("""COMPUTED_VALUE"""),"Personal Well-Being")</f>
        <v>Personal Well-Being</v>
      </c>
      <c r="G562" t="str">
        <f>IFERROR(__xludf.DUMMYFUNCTION("""COMPUTED_VALUE"""),"Personal Development")</f>
        <v>Personal Development</v>
      </c>
      <c r="H562">
        <f>IFERROR(__xludf.DUMMYFUNCTION("""COMPUTED_VALUE"""),172336.0)</f>
        <v>172336</v>
      </c>
      <c r="I562" s="140" t="str">
        <f>IFERROR(__xludf.DUMMYFUNCTION("""COMPUTED_VALUE"""),"")</f>
        <v/>
      </c>
      <c r="K562" s="140" t="str">
        <f>IFERROR(__xludf.DUMMYFUNCTION("""COMPUTED_VALUE"""),"")</f>
        <v/>
      </c>
      <c r="M562" t="str">
        <f>IFERROR(__xludf.DUMMYFUNCTION("""COMPUTED_VALUE"""),"Management")</f>
        <v>Management</v>
      </c>
      <c r="N562" s="143" t="str">
        <f>IFERROR(__xludf.DUMMYFUNCTION("""COMPUTED_VALUE"""),"Productivity")</f>
        <v>Productivity</v>
      </c>
      <c r="Q562" t="str">
        <f>IFERROR(__xludf.DUMMYFUNCTION("""COMPUTED_VALUE"""),"This course was not actually removed from the collection on this date. Reviewing with Erin. ")</f>
        <v>This course was not actually removed from the collection on this date. Reviewing with Erin. </v>
      </c>
    </row>
    <row r="563">
      <c r="A563" s="143">
        <f>IFERROR(__xludf.DUMMYFUNCTION("""COMPUTED_VALUE"""),43131.0)</f>
        <v>43131</v>
      </c>
      <c r="B563" s="140">
        <f>IFERROR(__xludf.DUMMYFUNCTION("""COMPUTED_VALUE"""),749354.0)</f>
        <v>749354</v>
      </c>
      <c r="C563" t="str">
        <f>IFERROR(__xludf.DUMMYFUNCTION("""COMPUTED_VALUE"""),"Emotional Intelligence for Project Managers - 5 PDUs")</f>
        <v>Emotional Intelligence for Project Managers - 5 PDUs</v>
      </c>
      <c r="D563" t="str">
        <f>IFERROR(__xludf.DUMMYFUNCTION("""COMPUTED_VALUE"""),"Joseph Phillips")</f>
        <v>Joseph Phillips</v>
      </c>
      <c r="E563" t="str">
        <f>IFERROR(__xludf.DUMMYFUNCTION("""COMPUTED_VALUE"""),"Below Quality Standards")</f>
        <v>Below Quality Standards</v>
      </c>
      <c r="F563" t="str">
        <f>IFERROR(__xludf.DUMMYFUNCTION("""COMPUTED_VALUE"""),"Project Management and Operations")</f>
        <v>Project Management and Operations</v>
      </c>
      <c r="G563" t="str">
        <f>IFERROR(__xludf.DUMMYFUNCTION("""COMPUTED_VALUE"""),"Project Management Tools")</f>
        <v>Project Management Tools</v>
      </c>
      <c r="H563">
        <f>IFERROR(__xludf.DUMMYFUNCTION("""COMPUTED_VALUE"""),373312.0)</f>
        <v>373312</v>
      </c>
      <c r="I563" s="140" t="str">
        <f>IFERROR(__xludf.DUMMYFUNCTION("""COMPUTED_VALUE"""),"")</f>
        <v/>
      </c>
      <c r="K563" s="140" t="str">
        <f>IFERROR(__xludf.DUMMYFUNCTION("""COMPUTED_VALUE"""),"")</f>
        <v/>
      </c>
      <c r="M563" t="str">
        <f>IFERROR(__xludf.DUMMYFUNCTION("""COMPUTED_VALUE"""),"Management")</f>
        <v>Management</v>
      </c>
      <c r="N563" s="143" t="str">
        <f>IFERROR(__xludf.DUMMYFUNCTION("""COMPUTED_VALUE"""),"Influence")</f>
        <v>Influence</v>
      </c>
    </row>
    <row r="564">
      <c r="A564" s="143">
        <f>IFERROR(__xludf.DUMMYFUNCTION("""COMPUTED_VALUE"""),43131.0)</f>
        <v>43131</v>
      </c>
      <c r="B564" s="140">
        <f>IFERROR(__xludf.DUMMYFUNCTION("""COMPUTED_VALUE"""),140976.0)</f>
        <v>140976</v>
      </c>
      <c r="C564" s="142" t="str">
        <f>IFERROR(__xludf.DUMMYFUNCTION("""COMPUTED_VALUE"""),"How To Install Your Own SAP Trial System Free")</f>
        <v>How To Install Your Own SAP Trial System Free</v>
      </c>
      <c r="D564" t="str">
        <f>IFERROR(__xludf.DUMMYFUNCTION("""COMPUTED_VALUE"""),"Peter Moxon")</f>
        <v>Peter Moxon</v>
      </c>
      <c r="E564" t="str">
        <f>IFERROR(__xludf.DUMMYFUNCTION("""COMPUTED_VALUE"""),"Below Quality Standards- Outdated")</f>
        <v>Below Quality Standards- Outdated</v>
      </c>
      <c r="F564" t="str">
        <f>IFERROR(__xludf.DUMMYFUNCTION("""COMPUTED_VALUE"""),"Project Management and Operations")</f>
        <v>Project Management and Operations</v>
      </c>
      <c r="G564" t="str">
        <f>IFERROR(__xludf.DUMMYFUNCTION("""COMPUTED_VALUE"""),"Operations Management")</f>
        <v>Operations Management</v>
      </c>
      <c r="H564">
        <f>IFERROR(__xludf.DUMMYFUNCTION("""COMPUTED_VALUE"""),1146984.0)</f>
        <v>1146984</v>
      </c>
      <c r="I564" s="140" t="str">
        <f>IFERROR(__xludf.DUMMYFUNCTION("""COMPUTED_VALUE"""),"")</f>
        <v/>
      </c>
      <c r="K564" s="140" t="str">
        <f>IFERROR(__xludf.DUMMYFUNCTION("""COMPUTED_VALUE"""),"")</f>
        <v/>
      </c>
    </row>
    <row r="565">
      <c r="A565" s="143">
        <f>IFERROR(__xludf.DUMMYFUNCTION("""COMPUTED_VALUE"""),43131.0)</f>
        <v>43131</v>
      </c>
      <c r="B565" s="140">
        <f>IFERROR(__xludf.DUMMYFUNCTION("""COMPUTED_VALUE"""),812586.0)</f>
        <v>812586</v>
      </c>
      <c r="C565" s="142" t="str">
        <f>IFERROR(__xludf.DUMMYFUNCTION("""COMPUTED_VALUE"""),"Risk Management Professional: Prep for the PMI-RMP Exam")</f>
        <v>Risk Management Professional: Prep for the PMI-RMP Exam</v>
      </c>
      <c r="D565" t="str">
        <f>IFERROR(__xludf.DUMMYFUNCTION("""COMPUTED_VALUE"""),"Fahad Saadah")</f>
        <v>Fahad Saadah</v>
      </c>
      <c r="E565" t="str">
        <f>IFERROR(__xludf.DUMMYFUNCTION("""COMPUTED_VALUE"""),"Below Quality Standards")</f>
        <v>Below Quality Standards</v>
      </c>
      <c r="F565" t="str">
        <f>IFERROR(__xludf.DUMMYFUNCTION("""COMPUTED_VALUE"""),"Project Management and Operations")</f>
        <v>Project Management and Operations</v>
      </c>
      <c r="G565" t="str">
        <f>IFERROR(__xludf.DUMMYFUNCTION("""COMPUTED_VALUE"""),"Project Management Certifications")</f>
        <v>Project Management Certifications</v>
      </c>
      <c r="H565">
        <f>IFERROR(__xludf.DUMMYFUNCTION("""COMPUTED_VALUE"""),539130.0)</f>
        <v>539130</v>
      </c>
      <c r="I565" s="140" t="str">
        <f>IFERROR(__xludf.DUMMYFUNCTION("""COMPUTED_VALUE"""),"")</f>
        <v/>
      </c>
      <c r="K565" s="140" t="str">
        <f>IFERROR(__xludf.DUMMYFUNCTION("""COMPUTED_VALUE"""),"")</f>
        <v/>
      </c>
    </row>
    <row r="566">
      <c r="A566" s="143">
        <f>IFERROR(__xludf.DUMMYFUNCTION("""COMPUTED_VALUE"""),43108.0)</f>
        <v>43108</v>
      </c>
      <c r="B566" s="140">
        <f>IFERROR(__xludf.DUMMYFUNCTION("""COMPUTED_VALUE"""),1324596.0)</f>
        <v>1324596</v>
      </c>
      <c r="C566" t="str">
        <f>IFERROR(__xludf.DUMMYFUNCTION("""COMPUTED_VALUE"""),"Certified Information Systems Security Professional - CISSP")</f>
        <v>Certified Information Systems Security Professional - CISSP</v>
      </c>
      <c r="D566" t="str">
        <f>IFERROR(__xludf.DUMMYFUNCTION("""COMPUTED_VALUE"""),"Mohamed Atef")</f>
        <v>Mohamed Atef</v>
      </c>
      <c r="E566" t="str">
        <f>IFERROR(__xludf.DUMMYFUNCTION("""COMPUTED_VALUE"""),"Instructor Practices")</f>
        <v>Instructor Practices</v>
      </c>
      <c r="F566" t="str">
        <f>IFERROR(__xludf.DUMMYFUNCTION("""COMPUTED_VALUE"""),"IT and Software")</f>
        <v>IT and Software</v>
      </c>
      <c r="G566" t="str">
        <f>IFERROR(__xludf.DUMMYFUNCTION("""COMPUTED_VALUE"""),"IT Certifications")</f>
        <v>IT Certifications</v>
      </c>
      <c r="H566">
        <f>IFERROR(__xludf.DUMMYFUNCTION("""COMPUTED_VALUE"""),497492.0)</f>
        <v>497492</v>
      </c>
      <c r="I566" s="140" t="str">
        <f>IFERROR(__xludf.DUMMYFUNCTION("""COMPUTED_VALUE"""),"")</f>
        <v/>
      </c>
      <c r="K566" s="140" t="str">
        <f>IFERROR(__xludf.DUMMYFUNCTION("""COMPUTED_VALUE"""),"")</f>
        <v/>
      </c>
    </row>
    <row r="567">
      <c r="A567" s="143">
        <f>IFERROR(__xludf.DUMMYFUNCTION("""COMPUTED_VALUE"""),43102.0)</f>
        <v>43102</v>
      </c>
      <c r="B567" s="140">
        <f>IFERROR(__xludf.DUMMYFUNCTION("""COMPUTED_VALUE"""),670114.0)</f>
        <v>670114</v>
      </c>
      <c r="C567" t="str">
        <f>IFERROR(__xludf.DUMMYFUNCTION("""COMPUTED_VALUE"""),"Hadoop on Azure. An Introduction to Big Data Using HDInsight")</f>
        <v>Hadoop on Azure. An Introduction to Big Data Using HDInsight</v>
      </c>
      <c r="D567" t="str">
        <f>IFERROR(__xludf.DUMMYFUNCTION("""COMPUTED_VALUE"""),"Mike West")</f>
        <v>Mike West</v>
      </c>
      <c r="E567" t="str">
        <f>IFERROR(__xludf.DUMMYFUNCTION("""COMPUTED_VALUE"""),"Instructor Request")</f>
        <v>Instructor Request</v>
      </c>
      <c r="F567" t="str">
        <f>IFERROR(__xludf.DUMMYFUNCTION("""COMPUTED_VALUE"""),"Data Science")</f>
        <v>Data Science</v>
      </c>
      <c r="G567" t="str">
        <f>IFERROR(__xludf.DUMMYFUNCTION("""COMPUTED_VALUE"""),"Big Data")</f>
        <v>Big Data</v>
      </c>
      <c r="I567" s="140" t="str">
        <f>IFERROR(__xludf.DUMMYFUNCTION("""COMPUTED_VALUE"""),"")</f>
        <v/>
      </c>
      <c r="K567" s="140" t="str">
        <f>IFERROR(__xludf.DUMMYFUNCTION("""COMPUTED_VALUE"""),"")</f>
        <v/>
      </c>
      <c r="M567" t="str">
        <f>IFERROR(__xludf.DUMMYFUNCTION("""COMPUTED_VALUE"""),"Development")</f>
        <v>Development</v>
      </c>
      <c r="N567" s="143" t="str">
        <f>IFERROR(__xludf.DUMMYFUNCTION("""COMPUTED_VALUE"""),"Databases")</f>
        <v>Databases</v>
      </c>
      <c r="Q567" t="str">
        <f>IFERROR(__xludf.DUMMYFUNCTION("""COMPUTED_VALUE"""),"Topic on Priority List- 1917918")</f>
        <v>Topic on Priority List- 1917918</v>
      </c>
    </row>
    <row r="568">
      <c r="A568" s="143">
        <f>IFERROR(__xludf.DUMMYFUNCTION("""COMPUTED_VALUE"""),43102.0)</f>
        <v>43102</v>
      </c>
      <c r="B568" s="140">
        <f>IFERROR(__xludf.DUMMYFUNCTION("""COMPUTED_VALUE"""),543054.0)</f>
        <v>543054</v>
      </c>
      <c r="C568" t="str">
        <f>IFERROR(__xludf.DUMMYFUNCTION("""COMPUTED_VALUE"""),"Create 3D Commercial in After Effects &amp; Element 3D")</f>
        <v>Create 3D Commercial in After Effects &amp; Element 3D</v>
      </c>
      <c r="D568" t="str">
        <f>IFERROR(__xludf.DUMMYFUNCTION("""COMPUTED_VALUE"""),"Uri Soglowek")</f>
        <v>Uri Soglowek</v>
      </c>
      <c r="E568" t="str">
        <f>IFERROR(__xludf.DUMMYFUNCTION("""COMPUTED_VALUE"""),"Below Quality Standards")</f>
        <v>Below Quality Standards</v>
      </c>
      <c r="F568" t="str">
        <f>IFERROR(__xludf.DUMMYFUNCTION("""COMPUTED_VALUE"""),"Design")</f>
        <v>Design</v>
      </c>
      <c r="G568" t="str">
        <f>IFERROR(__xludf.DUMMYFUNCTION("""COMPUTED_VALUE"""),"3D and Animation")</f>
        <v>3D and Animation</v>
      </c>
      <c r="H568">
        <f>IFERROR(__xludf.DUMMYFUNCTION("""COMPUTED_VALUE"""),627730.0)</f>
        <v>627730</v>
      </c>
      <c r="I568" s="140" t="str">
        <f>IFERROR(__xludf.DUMMYFUNCTION("""COMPUTED_VALUE"""),"")</f>
        <v/>
      </c>
      <c r="K568" s="140" t="str">
        <f>IFERROR(__xludf.DUMMYFUNCTION("""COMPUTED_VALUE"""),"")</f>
        <v/>
      </c>
      <c r="M568" t="str">
        <f>IFERROR(__xludf.DUMMYFUNCTION("""COMPUTED_VALUE"""),"Marketing")</f>
        <v>Marketing</v>
      </c>
      <c r="N568" s="143" t="str">
        <f>IFERROR(__xludf.DUMMYFUNCTION("""COMPUTED_VALUE"""),"Content and Email Marketing")</f>
        <v>Content and Email Marketing</v>
      </c>
    </row>
    <row r="569">
      <c r="A569" s="143">
        <f>IFERROR(__xludf.DUMMYFUNCTION("""COMPUTED_VALUE"""),43102.0)</f>
        <v>43102</v>
      </c>
      <c r="B569" s="140">
        <f>IFERROR(__xludf.DUMMYFUNCTION("""COMPUTED_VALUE"""),532936.0)</f>
        <v>532936</v>
      </c>
      <c r="C569" t="str">
        <f>IFERROR(__xludf.DUMMYFUNCTION("""COMPUTED_VALUE"""),"Creating a Quiz with AngularJS 1.x")</f>
        <v>Creating a Quiz with AngularJS 1.x</v>
      </c>
      <c r="D569" t="str">
        <f>IFERROR(__xludf.DUMMYFUNCTION("""COMPUTED_VALUE"""),"Chris Converse")</f>
        <v>Chris Converse</v>
      </c>
      <c r="E569" t="str">
        <f>IFERROR(__xludf.DUMMYFUNCTION("""COMPUTED_VALUE"""),"Below Quality Standards- Outdated")</f>
        <v>Below Quality Standards- Outdated</v>
      </c>
      <c r="F569" t="str">
        <f>IFERROR(__xludf.DUMMYFUNCTION("""COMPUTED_VALUE"""),"Design")</f>
        <v>Design</v>
      </c>
      <c r="G569" t="str">
        <f>IFERROR(__xludf.DUMMYFUNCTION("""COMPUTED_VALUE"""),"Web Design")</f>
        <v>Web Design</v>
      </c>
      <c r="H569">
        <f>IFERROR(__xludf.DUMMYFUNCTION("""COMPUTED_VALUE"""),756150.0)</f>
        <v>756150</v>
      </c>
      <c r="I569" s="140" t="str">
        <f>IFERROR(__xludf.DUMMYFUNCTION("""COMPUTED_VALUE"""),"")</f>
        <v/>
      </c>
      <c r="K569" s="140" t="str">
        <f>IFERROR(__xludf.DUMMYFUNCTION("""COMPUTED_VALUE"""),"")</f>
        <v/>
      </c>
    </row>
    <row r="570">
      <c r="A570" s="143">
        <f>IFERROR(__xludf.DUMMYFUNCTION("""COMPUTED_VALUE"""),43102.0)</f>
        <v>43102</v>
      </c>
      <c r="B570" s="140">
        <f>IFERROR(__xludf.DUMMYFUNCTION("""COMPUTED_VALUE"""),48044.0)</f>
        <v>48044</v>
      </c>
      <c r="C570" t="str">
        <f>IFERROR(__xludf.DUMMYFUNCTION("""COMPUTED_VALUE"""),"Designing Gamification Level 1 (Basic) + Certification")</f>
        <v>Designing Gamification Level 1 (Basic) + Certification</v>
      </c>
      <c r="D570" t="str">
        <f>IFERROR(__xludf.DUMMYFUNCTION("""COMPUTED_VALUE"""),"Gabe Zichermann")</f>
        <v>Gabe Zichermann</v>
      </c>
      <c r="E570" t="str">
        <f>IFERROR(__xludf.DUMMYFUNCTION("""COMPUTED_VALUE"""),"Below Quality Standards")</f>
        <v>Below Quality Standards</v>
      </c>
      <c r="F570" t="str">
        <f>IFERROR(__xludf.DUMMYFUNCTION("""COMPUTED_VALUE"""),"Design")</f>
        <v>Design</v>
      </c>
      <c r="G570" t="str">
        <f>IFERROR(__xludf.DUMMYFUNCTION("""COMPUTED_VALUE"""),"User Experience Design")</f>
        <v>User Experience Design</v>
      </c>
      <c r="H570">
        <f>IFERROR(__xludf.DUMMYFUNCTION("""COMPUTED_VALUE"""),852028.0)</f>
        <v>852028</v>
      </c>
      <c r="I570" s="140" t="str">
        <f>IFERROR(__xludf.DUMMYFUNCTION("""COMPUTED_VALUE"""),"")</f>
        <v/>
      </c>
      <c r="K570" s="140" t="str">
        <f>IFERROR(__xludf.DUMMYFUNCTION("""COMPUTED_VALUE"""),"")</f>
        <v/>
      </c>
    </row>
    <row r="571">
      <c r="A571" s="143">
        <f>IFERROR(__xludf.DUMMYFUNCTION("""COMPUTED_VALUE"""),43102.0)</f>
        <v>43102</v>
      </c>
      <c r="B571" s="140">
        <f>IFERROR(__xludf.DUMMYFUNCTION("""COMPUTED_VALUE"""),74074.0)</f>
        <v>74074</v>
      </c>
      <c r="C571" t="str">
        <f>IFERROR(__xludf.DUMMYFUNCTION("""COMPUTED_VALUE"""),"Designing Gamification Level2 (Intermediate) + Certification")</f>
        <v>Designing Gamification Level2 (Intermediate) + Certification</v>
      </c>
      <c r="D571" t="str">
        <f>IFERROR(__xludf.DUMMYFUNCTION("""COMPUTED_VALUE"""),"Gabe Zichermann")</f>
        <v>Gabe Zichermann</v>
      </c>
      <c r="E571" t="str">
        <f>IFERROR(__xludf.DUMMYFUNCTION("""COMPUTED_VALUE"""),"Below Quality Standards")</f>
        <v>Below Quality Standards</v>
      </c>
      <c r="F571" t="str">
        <f>IFERROR(__xludf.DUMMYFUNCTION("""COMPUTED_VALUE"""),"Design")</f>
        <v>Design</v>
      </c>
      <c r="G571" t="str">
        <f>IFERROR(__xludf.DUMMYFUNCTION("""COMPUTED_VALUE"""),"User Experience Design")</f>
        <v>User Experience Design</v>
      </c>
      <c r="H571">
        <f>IFERROR(__xludf.DUMMYFUNCTION("""COMPUTED_VALUE"""),852028.0)</f>
        <v>852028</v>
      </c>
      <c r="I571" s="140" t="str">
        <f>IFERROR(__xludf.DUMMYFUNCTION("""COMPUTED_VALUE"""),"")</f>
        <v/>
      </c>
      <c r="K571" s="140" t="str">
        <f>IFERROR(__xludf.DUMMYFUNCTION("""COMPUTED_VALUE"""),"")</f>
        <v/>
      </c>
    </row>
    <row r="572">
      <c r="A572" s="143">
        <f>IFERROR(__xludf.DUMMYFUNCTION("""COMPUTED_VALUE"""),43102.0)</f>
        <v>43102</v>
      </c>
      <c r="B572" s="140">
        <f>IFERROR(__xludf.DUMMYFUNCTION("""COMPUTED_VALUE"""),195274.0)</f>
        <v>195274</v>
      </c>
      <c r="C572" t="str">
        <f>IFERROR(__xludf.DUMMYFUNCTION("""COMPUTED_VALUE"""),"Start Now with Bootstrap 3 | Ebook Included")</f>
        <v>Start Now with Bootstrap 3 | Ebook Included</v>
      </c>
      <c r="D572" t="str">
        <f>IFERROR(__xludf.DUMMYFUNCTION("""COMPUTED_VALUE"""),"Andy Clarke")</f>
        <v>Andy Clarke</v>
      </c>
      <c r="E572" t="str">
        <f>IFERROR(__xludf.DUMMYFUNCTION("""COMPUTED_VALUE"""),"Instructor Request- Outdated")</f>
        <v>Instructor Request- Outdated</v>
      </c>
      <c r="F572" t="str">
        <f>IFERROR(__xludf.DUMMYFUNCTION("""COMPUTED_VALUE"""),"Design")</f>
        <v>Design</v>
      </c>
      <c r="G572" t="str">
        <f>IFERROR(__xludf.DUMMYFUNCTION("""COMPUTED_VALUE"""),"Web Design")</f>
        <v>Web Design</v>
      </c>
      <c r="H572">
        <f>IFERROR(__xludf.DUMMYFUNCTION("""COMPUTED_VALUE"""),708578.0)</f>
        <v>708578</v>
      </c>
      <c r="I572" s="140" t="str">
        <f>IFERROR(__xludf.DUMMYFUNCTION("""COMPUTED_VALUE"""),"")</f>
        <v/>
      </c>
      <c r="J572">
        <f>IFERROR(__xludf.DUMMYFUNCTION("""COMPUTED_VALUE"""),723878.0)</f>
        <v>723878</v>
      </c>
      <c r="K572" s="140" t="str">
        <f>IFERROR(__xludf.DUMMYFUNCTION("""COMPUTED_VALUE"""),"")</f>
        <v/>
      </c>
    </row>
    <row r="573">
      <c r="A573" s="143">
        <f>IFERROR(__xludf.DUMMYFUNCTION("""COMPUTED_VALUE"""),43102.0)</f>
        <v>43102</v>
      </c>
      <c r="B573" s="140">
        <f>IFERROR(__xludf.DUMMYFUNCTION("""COMPUTED_VALUE"""),279002.0)</f>
        <v>279002</v>
      </c>
      <c r="C573" t="str">
        <f>IFERROR(__xludf.DUMMYFUNCTION("""COMPUTED_VALUE"""),"Appium - Mobile Testing with Latest 1.7.1 and Live Projects")</f>
        <v>Appium - Mobile Testing with Latest 1.7.1 and Live Projects</v>
      </c>
      <c r="D573" t="str">
        <f>IFERROR(__xludf.DUMMYFUNCTION("""COMPUTED_VALUE"""),"Rahul Arora (Raman)")</f>
        <v>Rahul Arora (Raman)</v>
      </c>
      <c r="E573" t="str">
        <f>IFERROR(__xludf.DUMMYFUNCTION("""COMPUTED_VALUE"""),"Below Quality Standards")</f>
        <v>Below Quality Standards</v>
      </c>
      <c r="F573" t="str">
        <f>IFERROR(__xludf.DUMMYFUNCTION("""COMPUTED_VALUE"""),"Development")</f>
        <v>Development</v>
      </c>
      <c r="G573" t="str">
        <f>IFERROR(__xludf.DUMMYFUNCTION("""COMPUTED_VALUE"""),"Development Tools")</f>
        <v>Development Tools</v>
      </c>
      <c r="H573">
        <f>IFERROR(__xludf.DUMMYFUNCTION("""COMPUTED_VALUE"""),835604.0)</f>
        <v>835604</v>
      </c>
      <c r="I573" s="140" t="str">
        <f>IFERROR(__xludf.DUMMYFUNCTION("""COMPUTED_VALUE"""),"")</f>
        <v/>
      </c>
      <c r="K573" s="140" t="str">
        <f>IFERROR(__xludf.DUMMYFUNCTION("""COMPUTED_VALUE"""),"")</f>
        <v/>
      </c>
      <c r="M573" t="str">
        <f>IFERROR(__xludf.DUMMYFUNCTION("""COMPUTED_VALUE"""),"Development")</f>
        <v>Development</v>
      </c>
      <c r="N573" s="143" t="str">
        <f>IFERROR(__xludf.DUMMYFUNCTION("""COMPUTED_VALUE"""),"Mobile Development")</f>
        <v>Mobile Development</v>
      </c>
    </row>
    <row r="574">
      <c r="A574" s="143">
        <f>IFERROR(__xludf.DUMMYFUNCTION("""COMPUTED_VALUE"""),43102.0)</f>
        <v>43102</v>
      </c>
      <c r="B574" s="140">
        <f>IFERROR(__xludf.DUMMYFUNCTION("""COMPUTED_VALUE"""),939814.0)</f>
        <v>939814</v>
      </c>
      <c r="C574" t="str">
        <f>IFERROR(__xludf.DUMMYFUNCTION("""COMPUTED_VALUE"""),"Architect Android apps with MVP, Dagger, Retrofit &amp; RxJava")</f>
        <v>Architect Android apps with MVP, Dagger, Retrofit &amp; RxJava</v>
      </c>
      <c r="D574" t="str">
        <f>IFERROR(__xludf.DUMMYFUNCTION("""COMPUTED_VALUE"""),"Manuj Aggarwal")</f>
        <v>Manuj Aggarwal</v>
      </c>
      <c r="E574" t="str">
        <f>IFERROR(__xludf.DUMMYFUNCTION("""COMPUTED_VALUE"""),"Below Quality Standards")</f>
        <v>Below Quality Standards</v>
      </c>
      <c r="F574" t="str">
        <f>IFERROR(__xludf.DUMMYFUNCTION("""COMPUTED_VALUE"""),"Development")</f>
        <v>Development</v>
      </c>
      <c r="G574" t="str">
        <f>IFERROR(__xludf.DUMMYFUNCTION("""COMPUTED_VALUE"""),"Mobile Development")</f>
        <v>Mobile Development</v>
      </c>
      <c r="H574">
        <f>IFERROR(__xludf.DUMMYFUNCTION("""COMPUTED_VALUE"""),1196460.0)</f>
        <v>1196460</v>
      </c>
      <c r="I574" s="140" t="str">
        <f>IFERROR(__xludf.DUMMYFUNCTION("""COMPUTED_VALUE"""),"")</f>
        <v/>
      </c>
      <c r="K574" s="140" t="str">
        <f>IFERROR(__xludf.DUMMYFUNCTION("""COMPUTED_VALUE"""),"")</f>
        <v/>
      </c>
    </row>
    <row r="575">
      <c r="A575" s="143">
        <f>IFERROR(__xludf.DUMMYFUNCTION("""COMPUTED_VALUE"""),43102.0)</f>
        <v>43102</v>
      </c>
      <c r="B575" s="140">
        <f>IFERROR(__xludf.DUMMYFUNCTION("""COMPUTED_VALUE"""),648448.0)</f>
        <v>648448</v>
      </c>
      <c r="C575" t="str">
        <f>IFERROR(__xludf.DUMMYFUNCTION("""COMPUTED_VALUE"""),"Backend API Testing  with Python")</f>
        <v>Backend API Testing  with Python</v>
      </c>
      <c r="D575" t="str">
        <f>IFERROR(__xludf.DUMMYFUNCTION("""COMPUTED_VALUE"""),"Admas Kinfu")</f>
        <v>Admas Kinfu</v>
      </c>
      <c r="E575" t="str">
        <f>IFERROR(__xludf.DUMMYFUNCTION("""COMPUTED_VALUE"""),"Below Quality Standards")</f>
        <v>Below Quality Standards</v>
      </c>
      <c r="F575" t="str">
        <f>IFERROR(__xludf.DUMMYFUNCTION("""COMPUTED_VALUE"""),"Development")</f>
        <v>Development</v>
      </c>
      <c r="G575" t="str">
        <f>IFERROR(__xludf.DUMMYFUNCTION("""COMPUTED_VALUE"""),"Development Tools")</f>
        <v>Development Tools</v>
      </c>
      <c r="H575">
        <f>IFERROR(__xludf.DUMMYFUNCTION("""COMPUTED_VALUE"""),970600.0)</f>
        <v>970600</v>
      </c>
      <c r="I575" s="140" t="str">
        <f>IFERROR(__xludf.DUMMYFUNCTION("""COMPUTED_VALUE"""),"")</f>
        <v/>
      </c>
      <c r="K575" s="140" t="str">
        <f>IFERROR(__xludf.DUMMYFUNCTION("""COMPUTED_VALUE"""),"")</f>
        <v/>
      </c>
    </row>
    <row r="576">
      <c r="A576" s="143">
        <f>IFERROR(__xludf.DUMMYFUNCTION("""COMPUTED_VALUE"""),43102.0)</f>
        <v>43102</v>
      </c>
      <c r="B576" s="140">
        <f>IFERROR(__xludf.DUMMYFUNCTION("""COMPUTED_VALUE"""),398456.0)</f>
        <v>398456</v>
      </c>
      <c r="C576" t="str">
        <f>IFERROR(__xludf.DUMMYFUNCTION("""COMPUTED_VALUE"""),"Bootstrap 3 Introduction : Create RESPONSIVE Websites Fast")</f>
        <v>Bootstrap 3 Introduction : Create RESPONSIVE Websites Fast</v>
      </c>
      <c r="D576" t="str">
        <f>IFERROR(__xludf.DUMMYFUNCTION("""COMPUTED_VALUE"""),"Edwin Diaz")</f>
        <v>Edwin Diaz</v>
      </c>
      <c r="E576" t="str">
        <f>IFERROR(__xludf.DUMMYFUNCTION("""COMPUTED_VALUE"""),"Below Quality Standards")</f>
        <v>Below Quality Standards</v>
      </c>
      <c r="F576" t="str">
        <f>IFERROR(__xludf.DUMMYFUNCTION("""COMPUTED_VALUE"""),"Development")</f>
        <v>Development</v>
      </c>
      <c r="G576" t="str">
        <f>IFERROR(__xludf.DUMMYFUNCTION("""COMPUTED_VALUE"""),"Web Development")</f>
        <v>Web Development</v>
      </c>
      <c r="H576">
        <f>IFERROR(__xludf.DUMMYFUNCTION("""COMPUTED_VALUE"""),723878.0)</f>
        <v>723878</v>
      </c>
      <c r="I576" s="140" t="str">
        <f>IFERROR(__xludf.DUMMYFUNCTION("""COMPUTED_VALUE"""),"")</f>
        <v/>
      </c>
      <c r="K576" s="140" t="str">
        <f>IFERROR(__xludf.DUMMYFUNCTION("""COMPUTED_VALUE"""),"")</f>
        <v/>
      </c>
    </row>
    <row r="577">
      <c r="A577" s="143">
        <f>IFERROR(__xludf.DUMMYFUNCTION("""COMPUTED_VALUE"""),43102.0)</f>
        <v>43102</v>
      </c>
      <c r="B577" s="140">
        <f>IFERROR(__xludf.DUMMYFUNCTION("""COMPUTED_VALUE"""),53256.0)</f>
        <v>53256</v>
      </c>
      <c r="C577" t="str">
        <f>IFERROR(__xludf.DUMMYFUNCTION("""COMPUTED_VALUE"""),"Bootstrap Basics: Program Responsive Websites")</f>
        <v>Bootstrap Basics: Program Responsive Websites</v>
      </c>
      <c r="D577" t="str">
        <f>IFERROR(__xludf.DUMMYFUNCTION("""COMPUTED_VALUE"""),"Brad Hussey")</f>
        <v>Brad Hussey</v>
      </c>
      <c r="E577" t="str">
        <f>IFERROR(__xludf.DUMMYFUNCTION("""COMPUTED_VALUE"""),"Below Quality Standards- Outdated")</f>
        <v>Below Quality Standards- Outdated</v>
      </c>
      <c r="F577" t="str">
        <f>IFERROR(__xludf.DUMMYFUNCTION("""COMPUTED_VALUE"""),"Development")</f>
        <v>Development</v>
      </c>
      <c r="G577" t="str">
        <f>IFERROR(__xludf.DUMMYFUNCTION("""COMPUTED_VALUE"""),"Web Development")</f>
        <v>Web Development</v>
      </c>
      <c r="H577">
        <f>IFERROR(__xludf.DUMMYFUNCTION("""COMPUTED_VALUE"""),708578.0)</f>
        <v>708578</v>
      </c>
      <c r="I577" s="140" t="str">
        <f>IFERROR(__xludf.DUMMYFUNCTION("""COMPUTED_VALUE"""),"")</f>
        <v/>
      </c>
      <c r="J577">
        <f>IFERROR(__xludf.DUMMYFUNCTION("""COMPUTED_VALUE"""),723878.0)</f>
        <v>723878</v>
      </c>
      <c r="K577" s="140" t="str">
        <f>IFERROR(__xludf.DUMMYFUNCTION("""COMPUTED_VALUE"""),"")</f>
        <v/>
      </c>
    </row>
    <row r="578">
      <c r="A578" s="143">
        <f>IFERROR(__xludf.DUMMYFUNCTION("""COMPUTED_VALUE"""),43102.0)</f>
        <v>43102</v>
      </c>
      <c r="B578" s="140">
        <f>IFERROR(__xludf.DUMMYFUNCTION("""COMPUTED_VALUE"""),713468.0)</f>
        <v>713468</v>
      </c>
      <c r="C578" t="str">
        <f>IFERROR(__xludf.DUMMYFUNCTION("""COMPUTED_VALUE"""),"Creating a Calculation Tool with AngularJS 1.x")</f>
        <v>Creating a Calculation Tool with AngularJS 1.x</v>
      </c>
      <c r="D578" t="str">
        <f>IFERROR(__xludf.DUMMYFUNCTION("""COMPUTED_VALUE"""),"Chris Converse")</f>
        <v>Chris Converse</v>
      </c>
      <c r="E578" t="str">
        <f>IFERROR(__xludf.DUMMYFUNCTION("""COMPUTED_VALUE"""),"Below Quality Standards- Outdated")</f>
        <v>Below Quality Standards- Outdated</v>
      </c>
      <c r="F578" t="str">
        <f>IFERROR(__xludf.DUMMYFUNCTION("""COMPUTED_VALUE"""),"Development")</f>
        <v>Development</v>
      </c>
      <c r="G578" t="str">
        <f>IFERROR(__xludf.DUMMYFUNCTION("""COMPUTED_VALUE"""),"Web Development")</f>
        <v>Web Development</v>
      </c>
      <c r="H578">
        <f>IFERROR(__xludf.DUMMYFUNCTION("""COMPUTED_VALUE"""),756150.0)</f>
        <v>756150</v>
      </c>
      <c r="I578" s="140" t="str">
        <f>IFERROR(__xludf.DUMMYFUNCTION("""COMPUTED_VALUE"""),"")</f>
        <v/>
      </c>
      <c r="K578" s="140" t="str">
        <f>IFERROR(__xludf.DUMMYFUNCTION("""COMPUTED_VALUE"""),"")</f>
        <v/>
      </c>
    </row>
    <row r="579">
      <c r="A579" s="143">
        <f>IFERROR(__xludf.DUMMYFUNCTION("""COMPUTED_VALUE"""),43102.0)</f>
        <v>43102</v>
      </c>
      <c r="B579" s="140">
        <f>IFERROR(__xludf.DUMMYFUNCTION("""COMPUTED_VALUE"""),1102888.0)</f>
        <v>1102888</v>
      </c>
      <c r="C579" t="str">
        <f>IFERROR(__xludf.DUMMYFUNCTION("""COMPUTED_VALUE"""),"Hacking with macOS - Build 18 Desktop Apps with Swift 3")</f>
        <v>Hacking with macOS - Build 18 Desktop Apps with Swift 3</v>
      </c>
      <c r="D579" t="str">
        <f>IFERROR(__xludf.DUMMYFUNCTION("""COMPUTED_VALUE"""),"Stephen DeStefano")</f>
        <v>Stephen DeStefano</v>
      </c>
      <c r="E579" t="str">
        <f>IFERROR(__xludf.DUMMYFUNCTION("""COMPUTED_VALUE"""),"Below Quality Standards- Outdated")</f>
        <v>Below Quality Standards- Outdated</v>
      </c>
      <c r="F579" t="str">
        <f>IFERROR(__xludf.DUMMYFUNCTION("""COMPUTED_VALUE"""),"Development")</f>
        <v>Development</v>
      </c>
      <c r="G579" t="str">
        <f>IFERROR(__xludf.DUMMYFUNCTION("""COMPUTED_VALUE"""),"Mobile Development")</f>
        <v>Mobile Development</v>
      </c>
      <c r="H579">
        <f>IFERROR(__xludf.DUMMYFUNCTION("""COMPUTED_VALUE"""),994186.0)</f>
        <v>994186</v>
      </c>
      <c r="I579" s="140" t="str">
        <f>IFERROR(__xludf.DUMMYFUNCTION("""COMPUTED_VALUE"""),"")</f>
        <v/>
      </c>
      <c r="K579" s="140" t="str">
        <f>IFERROR(__xludf.DUMMYFUNCTION("""COMPUTED_VALUE"""),"")</f>
        <v/>
      </c>
    </row>
    <row r="580">
      <c r="A580" s="143">
        <f>IFERROR(__xludf.DUMMYFUNCTION("""COMPUTED_VALUE"""),43102.0)</f>
        <v>43102</v>
      </c>
      <c r="B580" s="140">
        <f>IFERROR(__xludf.DUMMYFUNCTION("""COMPUTED_VALUE"""),1184036.0)</f>
        <v>1184036</v>
      </c>
      <c r="C580" t="str">
        <f>IFERROR(__xludf.DUMMYFUNCTION("""COMPUTED_VALUE"""),"Intermediate iOS 10 - Advance Your Skills")</f>
        <v>Intermediate iOS 10 - Advance Your Skills</v>
      </c>
      <c r="D580" t="str">
        <f>IFERROR(__xludf.DUMMYFUNCTION("""COMPUTED_VALUE"""),"Nick Walter")</f>
        <v>Nick Walter</v>
      </c>
      <c r="E580" t="str">
        <f>IFERROR(__xludf.DUMMYFUNCTION("""COMPUTED_VALUE"""),"Below Quality Standards- Outdated")</f>
        <v>Below Quality Standards- Outdated</v>
      </c>
      <c r="F580" t="str">
        <f>IFERROR(__xludf.DUMMYFUNCTION("""COMPUTED_VALUE"""),"Development")</f>
        <v>Development</v>
      </c>
      <c r="G580" t="str">
        <f>IFERROR(__xludf.DUMMYFUNCTION("""COMPUTED_VALUE"""),"Mobile Development")</f>
        <v>Mobile Development</v>
      </c>
      <c r="H580">
        <f>IFERROR(__xludf.DUMMYFUNCTION("""COMPUTED_VALUE"""),1289478.0)</f>
        <v>1289478</v>
      </c>
      <c r="I580" s="140" t="str">
        <f>IFERROR(__xludf.DUMMYFUNCTION("""COMPUTED_VALUE"""),"")</f>
        <v/>
      </c>
      <c r="K580" s="140" t="str">
        <f>IFERROR(__xludf.DUMMYFUNCTION("""COMPUTED_VALUE"""),"")</f>
        <v/>
      </c>
    </row>
    <row r="581">
      <c r="A581" s="143">
        <f>IFERROR(__xludf.DUMMYFUNCTION("""COMPUTED_VALUE"""),43102.0)</f>
        <v>43102</v>
      </c>
      <c r="B581" s="140">
        <f>IFERROR(__xludf.DUMMYFUNCTION("""COMPUTED_VALUE"""),480494.0)</f>
        <v>480494</v>
      </c>
      <c r="C581" t="str">
        <f>IFERROR(__xludf.DUMMYFUNCTION("""COMPUTED_VALUE"""),"Ionic 1 by Example: Create Mobile Apps in HTML5")</f>
        <v>Ionic 1 by Example: Create Mobile Apps in HTML5</v>
      </c>
      <c r="D581" t="str">
        <f>IFERROR(__xludf.DUMMYFUNCTION("""COMPUTED_VALUE"""),"Mirko Nasato")</f>
        <v>Mirko Nasato</v>
      </c>
      <c r="E581" t="str">
        <f>IFERROR(__xludf.DUMMYFUNCTION("""COMPUTED_VALUE"""),"Instructor Request- Outdated")</f>
        <v>Instructor Request- Outdated</v>
      </c>
      <c r="F581" t="str">
        <f>IFERROR(__xludf.DUMMYFUNCTION("""COMPUTED_VALUE"""),"Development")</f>
        <v>Development</v>
      </c>
      <c r="G581" t="str">
        <f>IFERROR(__xludf.DUMMYFUNCTION("""COMPUTED_VALUE"""),"Mobile Development")</f>
        <v>Mobile Development</v>
      </c>
      <c r="H581">
        <f>IFERROR(__xludf.DUMMYFUNCTION("""COMPUTED_VALUE"""),1070124.0)</f>
        <v>1070124</v>
      </c>
      <c r="I581" s="140" t="str">
        <f>IFERROR(__xludf.DUMMYFUNCTION("""COMPUTED_VALUE"""),"")</f>
        <v/>
      </c>
      <c r="J581">
        <f>IFERROR(__xludf.DUMMYFUNCTION("""COMPUTED_VALUE"""),1168848.0)</f>
        <v>1168848</v>
      </c>
      <c r="K581" s="140" t="str">
        <f>IFERROR(__xludf.DUMMYFUNCTION("""COMPUTED_VALUE"""),"")</f>
        <v/>
      </c>
    </row>
    <row r="582">
      <c r="A582" s="143">
        <f>IFERROR(__xludf.DUMMYFUNCTION("""COMPUTED_VALUE"""),43102.0)</f>
        <v>43102</v>
      </c>
      <c r="B582" s="140">
        <f>IFERROR(__xludf.DUMMYFUNCTION("""COMPUTED_VALUE"""),486884.0)</f>
        <v>486884</v>
      </c>
      <c r="C582" t="str">
        <f>IFERROR(__xludf.DUMMYFUNCTION("""COMPUTED_VALUE"""),"Ionic 1: From Web to Mobile")</f>
        <v>Ionic 1: From Web to Mobile</v>
      </c>
      <c r="D582" t="str">
        <f>IFERROR(__xludf.DUMMYFUNCTION("""COMPUTED_VALUE"""),"Asim Hussain")</f>
        <v>Asim Hussain</v>
      </c>
      <c r="E582" t="str">
        <f>IFERROR(__xludf.DUMMYFUNCTION("""COMPUTED_VALUE"""),"Below Quality Standards- Outdated")</f>
        <v>Below Quality Standards- Outdated</v>
      </c>
      <c r="F582" t="str">
        <f>IFERROR(__xludf.DUMMYFUNCTION("""COMPUTED_VALUE"""),"Development")</f>
        <v>Development</v>
      </c>
      <c r="G582" t="str">
        <f>IFERROR(__xludf.DUMMYFUNCTION("""COMPUTED_VALUE"""),"Mobile Development")</f>
        <v>Mobile Development</v>
      </c>
      <c r="H582">
        <f>IFERROR(__xludf.DUMMYFUNCTION("""COMPUTED_VALUE"""),1070124.0)</f>
        <v>1070124</v>
      </c>
      <c r="I582" s="140" t="str">
        <f>IFERROR(__xludf.DUMMYFUNCTION("""COMPUTED_VALUE"""),"")</f>
        <v/>
      </c>
      <c r="J582">
        <f>IFERROR(__xludf.DUMMYFUNCTION("""COMPUTED_VALUE"""),1168848.0)</f>
        <v>1168848</v>
      </c>
      <c r="K582" s="140" t="str">
        <f>IFERROR(__xludf.DUMMYFUNCTION("""COMPUTED_VALUE"""),"")</f>
        <v/>
      </c>
    </row>
    <row r="583">
      <c r="A583" s="143">
        <f>IFERROR(__xludf.DUMMYFUNCTION("""COMPUTED_VALUE"""),43102.0)</f>
        <v>43102</v>
      </c>
      <c r="B583" s="140">
        <f>IFERROR(__xludf.DUMMYFUNCTION("""COMPUTED_VALUE"""),1056314.0)</f>
        <v>1056314</v>
      </c>
      <c r="C583" t="str">
        <f>IFERROR(__xludf.DUMMYFUNCTION("""COMPUTED_VALUE"""),"Ionic 2 by Example - Create Mobile Apps in HTML5")</f>
        <v>Ionic 2 by Example - Create Mobile Apps in HTML5</v>
      </c>
      <c r="D583" t="str">
        <f>IFERROR(__xludf.DUMMYFUNCTION("""COMPUTED_VALUE"""),"Mirko Nasato")</f>
        <v>Mirko Nasato</v>
      </c>
      <c r="E583" t="str">
        <f>IFERROR(__xludf.DUMMYFUNCTION("""COMPUTED_VALUE"""),"Below Quality Standards- Outdated")</f>
        <v>Below Quality Standards- Outdated</v>
      </c>
      <c r="F583" t="str">
        <f>IFERROR(__xludf.DUMMYFUNCTION("""COMPUTED_VALUE"""),"Development")</f>
        <v>Development</v>
      </c>
      <c r="G583" t="str">
        <f>IFERROR(__xludf.DUMMYFUNCTION("""COMPUTED_VALUE"""),"Mobile Development")</f>
        <v>Mobile Development</v>
      </c>
      <c r="H583">
        <f>IFERROR(__xludf.DUMMYFUNCTION("""COMPUTED_VALUE"""),1070124.0)</f>
        <v>1070124</v>
      </c>
      <c r="I583" s="140" t="str">
        <f>IFERROR(__xludf.DUMMYFUNCTION("""COMPUTED_VALUE"""),"")</f>
        <v/>
      </c>
      <c r="J583">
        <f>IFERROR(__xludf.DUMMYFUNCTION("""COMPUTED_VALUE"""),1168848.0)</f>
        <v>1168848</v>
      </c>
      <c r="K583" s="140" t="str">
        <f>IFERROR(__xludf.DUMMYFUNCTION("""COMPUTED_VALUE"""),"")</f>
        <v/>
      </c>
    </row>
    <row r="584">
      <c r="A584" s="143">
        <f>IFERROR(__xludf.DUMMYFUNCTION("""COMPUTED_VALUE"""),43102.0)</f>
        <v>43102</v>
      </c>
      <c r="B584" s="140">
        <f>IFERROR(__xludf.DUMMYFUNCTION("""COMPUTED_VALUE"""),892102.0)</f>
        <v>892102</v>
      </c>
      <c r="C584" t="str">
        <f>IFERROR(__xludf.DUMMYFUNCTION("""COMPUTED_VALUE"""),"iOS 10 &amp; Swift 3: From Beginner to Paid Professional™")</f>
        <v>iOS 10 &amp; Swift 3: From Beginner to Paid Professional™</v>
      </c>
      <c r="D584" t="str">
        <f>IFERROR(__xludf.DUMMYFUNCTION("""COMPUTED_VALUE"""),"Mark Price")</f>
        <v>Mark Price</v>
      </c>
      <c r="E584" t="str">
        <f>IFERROR(__xludf.DUMMYFUNCTION("""COMPUTED_VALUE"""),"Below Quality Standards- Outdated")</f>
        <v>Below Quality Standards- Outdated</v>
      </c>
      <c r="F584" t="str">
        <f>IFERROR(__xludf.DUMMYFUNCTION("""COMPUTED_VALUE"""),"Development")</f>
        <v>Development</v>
      </c>
      <c r="G584" t="str">
        <f>IFERROR(__xludf.DUMMYFUNCTION("""COMPUTED_VALUE"""),"Mobile Development")</f>
        <v>Mobile Development</v>
      </c>
      <c r="H584">
        <f>IFERROR(__xludf.DUMMYFUNCTION("""COMPUTED_VALUE"""),1253188.0)</f>
        <v>1253188</v>
      </c>
      <c r="I584" s="140" t="str">
        <f>IFERROR(__xludf.DUMMYFUNCTION("""COMPUTED_VALUE"""),"")</f>
        <v/>
      </c>
      <c r="J584">
        <f>IFERROR(__xludf.DUMMYFUNCTION("""COMPUTED_VALUE"""),1264880.0)</f>
        <v>1264880</v>
      </c>
      <c r="K584" s="140" t="str">
        <f>IFERROR(__xludf.DUMMYFUNCTION("""COMPUTED_VALUE"""),"")</f>
        <v/>
      </c>
    </row>
    <row r="585">
      <c r="A585" s="143">
        <f>IFERROR(__xludf.DUMMYFUNCTION("""COMPUTED_VALUE"""),43102.0)</f>
        <v>43102</v>
      </c>
      <c r="B585" s="140">
        <f>IFERROR(__xludf.DUMMYFUNCTION("""COMPUTED_VALUE"""),874474.0)</f>
        <v>874474</v>
      </c>
      <c r="C585" s="142" t="str">
        <f>IFERROR(__xludf.DUMMYFUNCTION("""COMPUTED_VALUE"""),"iOS 10 and Xcode 8 - Complete Swift 3 &amp; Objective-C Course")</f>
        <v>iOS 10 and Xcode 8 - Complete Swift 3 &amp; Objective-C Course</v>
      </c>
      <c r="D585" t="str">
        <f>IFERROR(__xludf.DUMMYFUNCTION("""COMPUTED_VALUE"""),"Aaron Caines")</f>
        <v>Aaron Caines</v>
      </c>
      <c r="E585" t="str">
        <f>IFERROR(__xludf.DUMMYFUNCTION("""COMPUTED_VALUE"""),"Below Quality Standards- Outdated")</f>
        <v>Below Quality Standards- Outdated</v>
      </c>
      <c r="F585" t="str">
        <f>IFERROR(__xludf.DUMMYFUNCTION("""COMPUTED_VALUE"""),"Development")</f>
        <v>Development</v>
      </c>
      <c r="G585" t="str">
        <f>IFERROR(__xludf.DUMMYFUNCTION("""COMPUTED_VALUE"""),"Mobile Development")</f>
        <v>Mobile Development</v>
      </c>
      <c r="H585">
        <f>IFERROR(__xludf.DUMMYFUNCTION("""COMPUTED_VALUE"""),1253188.0)</f>
        <v>1253188</v>
      </c>
      <c r="I585" s="140" t="str">
        <f>IFERROR(__xludf.DUMMYFUNCTION("""COMPUTED_VALUE"""),"")</f>
        <v/>
      </c>
      <c r="J585">
        <f>IFERROR(__xludf.DUMMYFUNCTION("""COMPUTED_VALUE"""),1264880.0)</f>
        <v>1264880</v>
      </c>
      <c r="K585" s="140" t="str">
        <f>IFERROR(__xludf.DUMMYFUNCTION("""COMPUTED_VALUE"""),"")</f>
        <v/>
      </c>
    </row>
    <row r="586">
      <c r="A586" s="143">
        <f>IFERROR(__xludf.DUMMYFUNCTION("""COMPUTED_VALUE"""),43102.0)</f>
        <v>43102</v>
      </c>
      <c r="B586" s="140">
        <f>IFERROR(__xludf.DUMMYFUNCTION("""COMPUTED_VALUE"""),828226.0)</f>
        <v>828226</v>
      </c>
      <c r="C586" t="str">
        <f>IFERROR(__xludf.DUMMYFUNCTION("""COMPUTED_VALUE"""),"iOS and CoreData: Create Data Driven Apps with Swift 3")</f>
        <v>iOS and CoreData: Create Data Driven Apps with Swift 3</v>
      </c>
      <c r="D586" t="str">
        <f>IFERROR(__xludf.DUMMYFUNCTION("""COMPUTED_VALUE"""),"Brian Advent")</f>
        <v>Brian Advent</v>
      </c>
      <c r="E586" t="str">
        <f>IFERROR(__xludf.DUMMYFUNCTION("""COMPUTED_VALUE"""),"Below Quality Standards- Outdated")</f>
        <v>Below Quality Standards- Outdated</v>
      </c>
      <c r="F586" t="str">
        <f>IFERROR(__xludf.DUMMYFUNCTION("""COMPUTED_VALUE"""),"Development")</f>
        <v>Development</v>
      </c>
      <c r="G586" t="str">
        <f>IFERROR(__xludf.DUMMYFUNCTION("""COMPUTED_VALUE"""),"Mobile Development")</f>
        <v>Mobile Development</v>
      </c>
      <c r="H586">
        <f>IFERROR(__xludf.DUMMYFUNCTION("""COMPUTED_VALUE"""),1253188.0)</f>
        <v>1253188</v>
      </c>
      <c r="I586" s="140" t="str">
        <f>IFERROR(__xludf.DUMMYFUNCTION("""COMPUTED_VALUE"""),"")</f>
        <v/>
      </c>
      <c r="J586">
        <f>IFERROR(__xludf.DUMMYFUNCTION("""COMPUTED_VALUE"""),1264880.0)</f>
        <v>1264880</v>
      </c>
      <c r="K586" s="140" t="str">
        <f>IFERROR(__xludf.DUMMYFUNCTION("""COMPUTED_VALUE"""),"")</f>
        <v/>
      </c>
    </row>
    <row r="587">
      <c r="A587" s="143">
        <f>IFERROR(__xludf.DUMMYFUNCTION("""COMPUTED_VALUE"""),43102.0)</f>
        <v>43102</v>
      </c>
      <c r="B587" s="140">
        <f>IFERROR(__xludf.DUMMYFUNCTION("""COMPUTED_VALUE"""),782224.0)</f>
        <v>782224</v>
      </c>
      <c r="C587" t="str">
        <f>IFERROR(__xludf.DUMMYFUNCTION("""COMPUTED_VALUE"""),"Learn Enterprise WPF with XAML from Scratch")</f>
        <v>Learn Enterprise WPF with XAML from Scratch</v>
      </c>
      <c r="D587" t="str">
        <f>IFERROR(__xludf.DUMMYFUNCTION("""COMPUTED_VALUE"""),"Elias Fofanov")</f>
        <v>Elias Fofanov</v>
      </c>
      <c r="E587" t="str">
        <f>IFERROR(__xludf.DUMMYFUNCTION("""COMPUTED_VALUE"""),"Below Quality Standards")</f>
        <v>Below Quality Standards</v>
      </c>
      <c r="F587" t="str">
        <f>IFERROR(__xludf.DUMMYFUNCTION("""COMPUTED_VALUE"""),"Development")</f>
        <v>Development</v>
      </c>
      <c r="G587" t="str">
        <f>IFERROR(__xludf.DUMMYFUNCTION("""COMPUTED_VALUE"""),"Programming")</f>
        <v>Programming</v>
      </c>
      <c r="H587">
        <f>IFERROR(__xludf.DUMMYFUNCTION("""COMPUTED_VALUE"""),1649714.0)</f>
        <v>1649714</v>
      </c>
      <c r="I587" s="140" t="str">
        <f>IFERROR(__xludf.DUMMYFUNCTION("""COMPUTED_VALUE"""),"")</f>
        <v/>
      </c>
      <c r="K587" s="140" t="str">
        <f>IFERROR(__xludf.DUMMYFUNCTION("""COMPUTED_VALUE"""),"")</f>
        <v/>
      </c>
    </row>
    <row r="588">
      <c r="A588" s="143">
        <f>IFERROR(__xludf.DUMMYFUNCTION("""COMPUTED_VALUE"""),43102.0)</f>
        <v>43102</v>
      </c>
      <c r="B588" s="140">
        <f>IFERROR(__xludf.DUMMYFUNCTION("""COMPUTED_VALUE"""),993146.0)</f>
        <v>993146</v>
      </c>
      <c r="C588" t="str">
        <f>IFERROR(__xludf.DUMMYFUNCTION("""COMPUTED_VALUE"""),"Learn JSON with JavaScript Objects and APIs in 1 hour")</f>
        <v>Learn JSON with JavaScript Objects and APIs in 1 hour</v>
      </c>
      <c r="D588" t="str">
        <f>IFERROR(__xludf.DUMMYFUNCTION("""COMPUTED_VALUE"""),"Laurence Svekis")</f>
        <v>Laurence Svekis</v>
      </c>
      <c r="E588" t="str">
        <f>IFERROR(__xludf.DUMMYFUNCTION("""COMPUTED_VALUE"""),"Below Quality Standards")</f>
        <v>Below Quality Standards</v>
      </c>
      <c r="F588" t="str">
        <f>IFERROR(__xludf.DUMMYFUNCTION("""COMPUTED_VALUE"""),"Development")</f>
        <v>Development</v>
      </c>
      <c r="G588" t="str">
        <f>IFERROR(__xludf.DUMMYFUNCTION("""COMPUTED_VALUE"""),"Web Development")</f>
        <v>Web Development</v>
      </c>
      <c r="H588">
        <f>IFERROR(__xludf.DUMMYFUNCTION("""COMPUTED_VALUE"""),446608.0)</f>
        <v>446608</v>
      </c>
      <c r="I588" s="140" t="str">
        <f>IFERROR(__xludf.DUMMYFUNCTION("""COMPUTED_VALUE"""),"")</f>
        <v/>
      </c>
      <c r="K588" s="140" t="str">
        <f>IFERROR(__xludf.DUMMYFUNCTION("""COMPUTED_VALUE"""),"")</f>
        <v/>
      </c>
    </row>
    <row r="589">
      <c r="A589" s="143">
        <f>IFERROR(__xludf.DUMMYFUNCTION("""COMPUTED_VALUE"""),43102.0)</f>
        <v>43102</v>
      </c>
      <c r="B589" s="140">
        <f>IFERROR(__xludf.DUMMYFUNCTION("""COMPUTED_VALUE"""),672008.0)</f>
        <v>672008</v>
      </c>
      <c r="C589" t="str">
        <f>IFERROR(__xludf.DUMMYFUNCTION("""COMPUTED_VALUE"""),"Learn To Code Like a Pro With VI Editor")</f>
        <v>Learn To Code Like a Pro With VI Editor</v>
      </c>
      <c r="D589" t="str">
        <f>IFERROR(__xludf.DUMMYFUNCTION("""COMPUTED_VALUE"""),"Eduonix Learning Solutions")</f>
        <v>Eduonix Learning Solutions</v>
      </c>
      <c r="E589" t="str">
        <f>IFERROR(__xludf.DUMMYFUNCTION("""COMPUTED_VALUE"""),"Below Quality Standards")</f>
        <v>Below Quality Standards</v>
      </c>
      <c r="F589" t="str">
        <f>IFERROR(__xludf.DUMMYFUNCTION("""COMPUTED_VALUE"""),"Development")</f>
        <v>Development</v>
      </c>
      <c r="G589" t="str">
        <f>IFERROR(__xludf.DUMMYFUNCTION("""COMPUTED_VALUE"""),"Development Tools")</f>
        <v>Development Tools</v>
      </c>
      <c r="H589">
        <f>IFERROR(__xludf.DUMMYFUNCTION("""COMPUTED_VALUE"""),1084120.0)</f>
        <v>1084120</v>
      </c>
      <c r="I589" s="140" t="str">
        <f>IFERROR(__xludf.DUMMYFUNCTION("""COMPUTED_VALUE"""),"")</f>
        <v/>
      </c>
      <c r="K589" s="140" t="str">
        <f>IFERROR(__xludf.DUMMYFUNCTION("""COMPUTED_VALUE"""),"")</f>
        <v/>
      </c>
    </row>
    <row r="590">
      <c r="A590" s="143">
        <f>IFERROR(__xludf.DUMMYFUNCTION("""COMPUTED_VALUE"""),43102.0)</f>
        <v>43102</v>
      </c>
      <c r="B590" s="140">
        <f>IFERROR(__xludf.DUMMYFUNCTION("""COMPUTED_VALUE"""),632414.0)</f>
        <v>632414</v>
      </c>
      <c r="C590" t="str">
        <f>IFERROR(__xludf.DUMMYFUNCTION("""COMPUTED_VALUE"""),"Make Mobile VR Games in Unity with C#  for Google Cardboard")</f>
        <v>Make Mobile VR Games in Unity with C#  for Google Cardboard</v>
      </c>
      <c r="D590" t="str">
        <f>IFERROR(__xludf.DUMMYFUNCTION("""COMPUTED_VALUE"""),"Ben Tristem")</f>
        <v>Ben Tristem</v>
      </c>
      <c r="E590" t="str">
        <f>IFERROR(__xludf.DUMMYFUNCTION("""COMPUTED_VALUE"""),"Instructor Request- Outdated")</f>
        <v>Instructor Request- Outdated</v>
      </c>
      <c r="F590" t="str">
        <f>IFERROR(__xludf.DUMMYFUNCTION("""COMPUTED_VALUE"""),"Development")</f>
        <v>Development</v>
      </c>
      <c r="G590" t="str">
        <f>IFERROR(__xludf.DUMMYFUNCTION("""COMPUTED_VALUE"""),"Mobile Development")</f>
        <v>Mobile Development</v>
      </c>
      <c r="I590" s="140" t="str">
        <f>IFERROR(__xludf.DUMMYFUNCTION("""COMPUTED_VALUE"""),"")</f>
        <v/>
      </c>
      <c r="K590" s="140" t="str">
        <f>IFERROR(__xludf.DUMMYFUNCTION("""COMPUTED_VALUE"""),"")</f>
        <v/>
      </c>
      <c r="Q590" t="str">
        <f>IFERROR(__xludf.DUMMYFUNCTION("""COMPUTED_VALUE"""),"Low Demand")</f>
        <v>Low Demand</v>
      </c>
    </row>
    <row r="591">
      <c r="A591" s="143">
        <f>IFERROR(__xludf.DUMMYFUNCTION("""COMPUTED_VALUE"""),43102.0)</f>
        <v>43102</v>
      </c>
      <c r="B591" s="140">
        <f>IFERROR(__xludf.DUMMYFUNCTION("""COMPUTED_VALUE"""),876738.0)</f>
        <v>876738</v>
      </c>
      <c r="C591" t="str">
        <f>IFERROR(__xludf.DUMMYFUNCTION("""COMPUTED_VALUE"""),"Advanced iOS: Volume 1 - Build Awesome, Real-World Projects")</f>
        <v>Advanced iOS: Volume 1 - Build Awesome, Real-World Projects</v>
      </c>
      <c r="D591" t="str">
        <f>IFERROR(__xludf.DUMMYFUNCTION("""COMPUTED_VALUE"""),"Stephen DeStefano")</f>
        <v>Stephen DeStefano</v>
      </c>
      <c r="E591" t="str">
        <f>IFERROR(__xludf.DUMMYFUNCTION("""COMPUTED_VALUE"""),"Below Quality Standards- Outdated")</f>
        <v>Below Quality Standards- Outdated</v>
      </c>
      <c r="F591" t="str">
        <f>IFERROR(__xludf.DUMMYFUNCTION("""COMPUTED_VALUE"""),"Development")</f>
        <v>Development</v>
      </c>
      <c r="G591" t="str">
        <f>IFERROR(__xludf.DUMMYFUNCTION("""COMPUTED_VALUE"""),"Mobile Development")</f>
        <v>Mobile Development</v>
      </c>
      <c r="H591">
        <f>IFERROR(__xludf.DUMMYFUNCTION("""COMPUTED_VALUE"""),1242412.0)</f>
        <v>1242412</v>
      </c>
      <c r="I591" s="140" t="str">
        <f>IFERROR(__xludf.DUMMYFUNCTION("""COMPUTED_VALUE"""),"")</f>
        <v/>
      </c>
      <c r="K591" s="140" t="str">
        <f>IFERROR(__xludf.DUMMYFUNCTION("""COMPUTED_VALUE"""),"")</f>
        <v/>
      </c>
    </row>
    <row r="592">
      <c r="A592" s="143">
        <f>IFERROR(__xludf.DUMMYFUNCTION("""COMPUTED_VALUE"""),43102.0)</f>
        <v>43102</v>
      </c>
      <c r="B592" s="140">
        <f>IFERROR(__xludf.DUMMYFUNCTION("""COMPUTED_VALUE"""),70640.0)</f>
        <v>70640</v>
      </c>
      <c r="C592" t="str">
        <f>IFERROR(__xludf.DUMMYFUNCTION("""COMPUTED_VALUE"""),"Python Programming: Create an Digital Marketplace in Django")</f>
        <v>Python Programming: Create an Digital Marketplace in Django</v>
      </c>
      <c r="D592" t="str">
        <f>IFERROR(__xludf.DUMMYFUNCTION("""COMPUTED_VALUE"""),"Justin Mitchel")</f>
        <v>Justin Mitchel</v>
      </c>
      <c r="E592" t="str">
        <f>IFERROR(__xludf.DUMMYFUNCTION("""COMPUTED_VALUE"""),"Below Quality Standards")</f>
        <v>Below Quality Standards</v>
      </c>
      <c r="F592" t="str">
        <f>IFERROR(__xludf.DUMMYFUNCTION("""COMPUTED_VALUE"""),"Development")</f>
        <v>Development</v>
      </c>
      <c r="G592" t="str">
        <f>IFERROR(__xludf.DUMMYFUNCTION("""COMPUTED_VALUE"""),"Web Development")</f>
        <v>Web Development</v>
      </c>
      <c r="H592">
        <f>IFERROR(__xludf.DUMMYFUNCTION("""COMPUTED_VALUE"""),822444.0)</f>
        <v>822444</v>
      </c>
      <c r="I592" s="140" t="str">
        <f>IFERROR(__xludf.DUMMYFUNCTION("""COMPUTED_VALUE"""),"")</f>
        <v/>
      </c>
      <c r="K592" s="140" t="str">
        <f>IFERROR(__xludf.DUMMYFUNCTION("""COMPUTED_VALUE"""),"")</f>
        <v/>
      </c>
    </row>
    <row r="593">
      <c r="A593" s="143">
        <f>IFERROR(__xludf.DUMMYFUNCTION("""COMPUTED_VALUE"""),43102.0)</f>
        <v>43102</v>
      </c>
      <c r="B593" s="140">
        <f>IFERROR(__xludf.DUMMYFUNCTION("""COMPUTED_VALUE"""),878382.0)</f>
        <v>878382</v>
      </c>
      <c r="C593" t="str">
        <f>IFERROR(__xludf.DUMMYFUNCTION("""COMPUTED_VALUE"""),"Swift 3 - Learn to Code with Apple's New Language")</f>
        <v>Swift 3 - Learn to Code with Apple's New Language</v>
      </c>
      <c r="D593" t="str">
        <f>IFERROR(__xludf.DUMMYFUNCTION("""COMPUTED_VALUE"""),"Nick Walter")</f>
        <v>Nick Walter</v>
      </c>
      <c r="E593" t="str">
        <f>IFERROR(__xludf.DUMMYFUNCTION("""COMPUTED_VALUE"""),"Below Quality Standards- Outdated")</f>
        <v>Below Quality Standards- Outdated</v>
      </c>
      <c r="F593" t="str">
        <f>IFERROR(__xludf.DUMMYFUNCTION("""COMPUTED_VALUE"""),"Development")</f>
        <v>Development</v>
      </c>
      <c r="G593" t="str">
        <f>IFERROR(__xludf.DUMMYFUNCTION("""COMPUTED_VALUE"""),"Mobile Development")</f>
        <v>Mobile Development</v>
      </c>
      <c r="H593">
        <f>IFERROR(__xludf.DUMMYFUNCTION("""COMPUTED_VALUE"""),1289478.0)</f>
        <v>1289478</v>
      </c>
      <c r="I593" s="140" t="str">
        <f>IFERROR(__xludf.DUMMYFUNCTION("""COMPUTED_VALUE"""),"")</f>
        <v/>
      </c>
      <c r="K593" s="140" t="str">
        <f>IFERROR(__xludf.DUMMYFUNCTION("""COMPUTED_VALUE"""),"")</f>
        <v/>
      </c>
    </row>
    <row r="594">
      <c r="A594" s="143">
        <f>IFERROR(__xludf.DUMMYFUNCTION("""COMPUTED_VALUE"""),43102.0)</f>
        <v>43102</v>
      </c>
      <c r="B594" s="140">
        <f>IFERROR(__xludf.DUMMYFUNCTION("""COMPUTED_VALUE"""),895786.0)</f>
        <v>895786</v>
      </c>
      <c r="C594" t="str">
        <f>IFERROR(__xludf.DUMMYFUNCTION("""COMPUTED_VALUE"""),"The Complete iOS 10 &amp; Swift 3 Developer Course")</f>
        <v>The Complete iOS 10 &amp; Swift 3 Developer Course</v>
      </c>
      <c r="D594" t="str">
        <f>IFERROR(__xludf.DUMMYFUNCTION("""COMPUTED_VALUE"""),"Rob Percival")</f>
        <v>Rob Percival</v>
      </c>
      <c r="E594" t="str">
        <f>IFERROR(__xludf.DUMMYFUNCTION("""COMPUTED_VALUE"""),"Below Quality Standards- Outdated")</f>
        <v>Below Quality Standards- Outdated</v>
      </c>
      <c r="F594" t="str">
        <f>IFERROR(__xludf.DUMMYFUNCTION("""COMPUTED_VALUE"""),"Development")</f>
        <v>Development</v>
      </c>
      <c r="G594" t="str">
        <f>IFERROR(__xludf.DUMMYFUNCTION("""COMPUTED_VALUE"""),"Mobile Development")</f>
        <v>Mobile Development</v>
      </c>
      <c r="H594">
        <f>IFERROR(__xludf.DUMMYFUNCTION("""COMPUTED_VALUE"""),1253188.0)</f>
        <v>1253188</v>
      </c>
      <c r="I594" s="140" t="str">
        <f>IFERROR(__xludf.DUMMYFUNCTION("""COMPUTED_VALUE"""),"")</f>
        <v/>
      </c>
      <c r="J594">
        <f>IFERROR(__xludf.DUMMYFUNCTION("""COMPUTED_VALUE"""),1264880.0)</f>
        <v>1264880</v>
      </c>
      <c r="K594" s="140" t="str">
        <f>IFERROR(__xludf.DUMMYFUNCTION("""COMPUTED_VALUE"""),"")</f>
        <v/>
      </c>
    </row>
    <row r="595">
      <c r="A595" s="143">
        <f>IFERROR(__xludf.DUMMYFUNCTION("""COMPUTED_VALUE"""),43102.0)</f>
        <v>43102</v>
      </c>
      <c r="B595" s="140">
        <f>IFERROR(__xludf.DUMMYFUNCTION("""COMPUTED_VALUE"""),773652.0)</f>
        <v>773652</v>
      </c>
      <c r="C595" t="str">
        <f>IFERROR(__xludf.DUMMYFUNCTION("""COMPUTED_VALUE"""),"The Complete iOS Game Course Using SpriteKit And Swift 3")</f>
        <v>The Complete iOS Game Course Using SpriteKit And Swift 3</v>
      </c>
      <c r="D595" t="str">
        <f>IFERROR(__xludf.DUMMYFUNCTION("""COMPUTED_VALUE"""),"Awesome Tuts")</f>
        <v>Awesome Tuts</v>
      </c>
      <c r="E595" t="str">
        <f>IFERROR(__xludf.DUMMYFUNCTION("""COMPUTED_VALUE"""),"Below Quality Standards- Outdated")</f>
        <v>Below Quality Standards- Outdated</v>
      </c>
      <c r="F595" t="str">
        <f>IFERROR(__xludf.DUMMYFUNCTION("""COMPUTED_VALUE"""),"Development")</f>
        <v>Development</v>
      </c>
      <c r="G595" t="str">
        <f>IFERROR(__xludf.DUMMYFUNCTION("""COMPUTED_VALUE"""),"Mobile Development")</f>
        <v>Mobile Development</v>
      </c>
      <c r="H595">
        <f>IFERROR(__xludf.DUMMYFUNCTION("""COMPUTED_VALUE"""),1289478.0)</f>
        <v>1289478</v>
      </c>
      <c r="I595" s="140" t="str">
        <f>IFERROR(__xludf.DUMMYFUNCTION("""COMPUTED_VALUE"""),"")</f>
        <v/>
      </c>
      <c r="J595">
        <f>IFERROR(__xludf.DUMMYFUNCTION("""COMPUTED_VALUE"""),739926.0)</f>
        <v>739926</v>
      </c>
      <c r="K595" s="140" t="str">
        <f>IFERROR(__xludf.DUMMYFUNCTION("""COMPUTED_VALUE"""),"")</f>
        <v/>
      </c>
    </row>
    <row r="596">
      <c r="A596" s="143">
        <f>IFERROR(__xludf.DUMMYFUNCTION("""COMPUTED_VALUE"""),43102.0)</f>
        <v>43102</v>
      </c>
      <c r="B596" s="140">
        <f>IFERROR(__xludf.DUMMYFUNCTION("""COMPUTED_VALUE"""),950758.0)</f>
        <v>950758</v>
      </c>
      <c r="C596" t="str">
        <f>IFERROR(__xludf.DUMMYFUNCTION("""COMPUTED_VALUE"""),"Using Advanced iOS Frameworks and Techniques with Swift 3")</f>
        <v>Using Advanced iOS Frameworks and Techniques with Swift 3</v>
      </c>
      <c r="D596" t="str">
        <f>IFERROR(__xludf.DUMMYFUNCTION("""COMPUTED_VALUE"""),"Brian Advent")</f>
        <v>Brian Advent</v>
      </c>
      <c r="E596" t="str">
        <f>IFERROR(__xludf.DUMMYFUNCTION("""COMPUTED_VALUE"""),"Below Quality Standards- Outdated")</f>
        <v>Below Quality Standards- Outdated</v>
      </c>
      <c r="F596" t="str">
        <f>IFERROR(__xludf.DUMMYFUNCTION("""COMPUTED_VALUE"""),"Development")</f>
        <v>Development</v>
      </c>
      <c r="G596" t="str">
        <f>IFERROR(__xludf.DUMMYFUNCTION("""COMPUTED_VALUE"""),"Mobile Development")</f>
        <v>Mobile Development</v>
      </c>
      <c r="H596">
        <f>IFERROR(__xludf.DUMMYFUNCTION("""COMPUTED_VALUE"""),1289478.0)</f>
        <v>1289478</v>
      </c>
      <c r="I596" s="140" t="str">
        <f>IFERROR(__xludf.DUMMYFUNCTION("""COMPUTED_VALUE"""),"")</f>
        <v/>
      </c>
      <c r="K596" s="140" t="str">
        <f>IFERROR(__xludf.DUMMYFUNCTION("""COMPUTED_VALUE"""),"")</f>
        <v/>
      </c>
    </row>
    <row r="597">
      <c r="A597" s="143">
        <f>IFERROR(__xludf.DUMMYFUNCTION("""COMPUTED_VALUE"""),43102.0)</f>
        <v>43102</v>
      </c>
      <c r="B597" s="140">
        <f>IFERROR(__xludf.DUMMYFUNCTION("""COMPUTED_VALUE"""),1084184.0)</f>
        <v>1084184</v>
      </c>
      <c r="C597" t="str">
        <f>IFERROR(__xludf.DUMMYFUNCTION("""COMPUTED_VALUE"""),"Cisco Application Centric Infrastructure - ACI")</f>
        <v>Cisco Application Centric Infrastructure - ACI</v>
      </c>
      <c r="D597" t="str">
        <f>IFERROR(__xludf.DUMMYFUNCTION("""COMPUTED_VALUE"""),"Jason Lunde")</f>
        <v>Jason Lunde</v>
      </c>
      <c r="E597" t="str">
        <f>IFERROR(__xludf.DUMMYFUNCTION("""COMPUTED_VALUE"""),"Instructor Request")</f>
        <v>Instructor Request</v>
      </c>
      <c r="F597" t="str">
        <f>IFERROR(__xludf.DUMMYFUNCTION("""COMPUTED_VALUE"""),"IT and Software")</f>
        <v>IT and Software</v>
      </c>
      <c r="G597" t="str">
        <f>IFERROR(__xludf.DUMMYFUNCTION("""COMPUTED_VALUE"""),"Network and Security")</f>
        <v>Network and Security</v>
      </c>
      <c r="H597">
        <f>IFERROR(__xludf.DUMMYFUNCTION("""COMPUTED_VALUE"""),1084184.0)</f>
        <v>1084184</v>
      </c>
      <c r="I597" s="140" t="str">
        <f>IFERROR(__xludf.DUMMYFUNCTION("""COMPUTED_VALUE"""),"")</f>
        <v/>
      </c>
      <c r="K597" s="140" t="str">
        <f>IFERROR(__xludf.DUMMYFUNCTION("""COMPUTED_VALUE"""),"")</f>
        <v/>
      </c>
      <c r="Q597" t="str">
        <f>IFERROR(__xludf.DUMMYFUNCTION("""COMPUTED_VALUE"""),"Course Readded by Instructor Request")</f>
        <v>Course Readded by Instructor Request</v>
      </c>
    </row>
    <row r="598">
      <c r="A598" s="143">
        <f>IFERROR(__xludf.DUMMYFUNCTION("""COMPUTED_VALUE"""),43102.0)</f>
        <v>43102</v>
      </c>
      <c r="B598" s="140">
        <f>IFERROR(__xludf.DUMMYFUNCTION("""COMPUTED_VALUE"""),1115984.0)</f>
        <v>1115984</v>
      </c>
      <c r="C598" t="str">
        <f>IFERROR(__xludf.DUMMYFUNCTION("""COMPUTED_VALUE"""),"Learning Cisco Unified Computing System - UCS")</f>
        <v>Learning Cisco Unified Computing System - UCS</v>
      </c>
      <c r="D598" t="str">
        <f>IFERROR(__xludf.DUMMYFUNCTION("""COMPUTED_VALUE"""),"Jason Lunde")</f>
        <v>Jason Lunde</v>
      </c>
      <c r="E598" t="str">
        <f>IFERROR(__xludf.DUMMYFUNCTION("""COMPUTED_VALUE"""),"Instructor Request")</f>
        <v>Instructor Request</v>
      </c>
      <c r="F598" t="str">
        <f>IFERROR(__xludf.DUMMYFUNCTION("""COMPUTED_VALUE"""),"IT and Software")</f>
        <v>IT and Software</v>
      </c>
      <c r="G598" t="str">
        <f>IFERROR(__xludf.DUMMYFUNCTION("""COMPUTED_VALUE"""),"Hardware")</f>
        <v>Hardware</v>
      </c>
      <c r="H598">
        <f>IFERROR(__xludf.DUMMYFUNCTION("""COMPUTED_VALUE"""),1115984.0)</f>
        <v>1115984</v>
      </c>
      <c r="I598" s="140" t="str">
        <f>IFERROR(__xludf.DUMMYFUNCTION("""COMPUTED_VALUE"""),"")</f>
        <v/>
      </c>
      <c r="K598" s="140" t="str">
        <f>IFERROR(__xludf.DUMMYFUNCTION("""COMPUTED_VALUE"""),"")</f>
        <v/>
      </c>
      <c r="Q598" t="str">
        <f>IFERROR(__xludf.DUMMYFUNCTION("""COMPUTED_VALUE"""),"Course Readded by Instructor Request")</f>
        <v>Course Readded by Instructor Request</v>
      </c>
    </row>
    <row r="599">
      <c r="A599" s="143">
        <f>IFERROR(__xludf.DUMMYFUNCTION("""COMPUTED_VALUE"""),43102.0)</f>
        <v>43102</v>
      </c>
      <c r="B599" s="140">
        <f>IFERROR(__xludf.DUMMYFUNCTION("""COMPUTED_VALUE"""),691912.0)</f>
        <v>691912</v>
      </c>
      <c r="C599" s="142" t="str">
        <f>IFERROR(__xludf.DUMMYFUNCTION("""COMPUTED_VALUE"""),"10 Soft Skills You Need To Be Successful")</f>
        <v>10 Soft Skills You Need To Be Successful</v>
      </c>
      <c r="D599" t="str">
        <f>IFERROR(__xludf.DUMMYFUNCTION("""COMPUTED_VALUE"""),"Adam Karsh")</f>
        <v>Adam Karsh</v>
      </c>
      <c r="E599" t="str">
        <f>IFERROR(__xludf.DUMMYFUNCTION("""COMPUTED_VALUE"""),"Below Quality Standards")</f>
        <v>Below Quality Standards</v>
      </c>
      <c r="F599" t="str">
        <f>IFERROR(__xludf.DUMMYFUNCTION("""COMPUTED_VALUE"""),"Management")</f>
        <v>Management</v>
      </c>
      <c r="G599" t="str">
        <f>IFERROR(__xludf.DUMMYFUNCTION("""COMPUTED_VALUE"""),"Leadership")</f>
        <v>Leadership</v>
      </c>
      <c r="H599">
        <f>IFERROR(__xludf.DUMMYFUNCTION("""COMPUTED_VALUE"""),1123940.0)</f>
        <v>1123940</v>
      </c>
      <c r="I599" s="140" t="str">
        <f>IFERROR(__xludf.DUMMYFUNCTION("""COMPUTED_VALUE"""),"")</f>
        <v/>
      </c>
      <c r="K599" s="140" t="str">
        <f>IFERROR(__xludf.DUMMYFUNCTION("""COMPUTED_VALUE"""),"")</f>
        <v/>
      </c>
    </row>
    <row r="600">
      <c r="A600" s="143">
        <f>IFERROR(__xludf.DUMMYFUNCTION("""COMPUTED_VALUE"""),43102.0)</f>
        <v>43102</v>
      </c>
      <c r="B600" s="140">
        <f>IFERROR(__xludf.DUMMYFUNCTION("""COMPUTED_VALUE"""),481434.0)</f>
        <v>481434</v>
      </c>
      <c r="C600" t="str">
        <f>IFERROR(__xludf.DUMMYFUNCTION("""COMPUTED_VALUE"""),"Communicate for Business: Write, Email, Close the Loop")</f>
        <v>Communicate for Business: Write, Email, Close the Loop</v>
      </c>
      <c r="D600" t="str">
        <f>IFERROR(__xludf.DUMMYFUNCTION("""COMPUTED_VALUE"""),"Eleventure Team")</f>
        <v>Eleventure Team</v>
      </c>
      <c r="E600" t="str">
        <f>IFERROR(__xludf.DUMMYFUNCTION("""COMPUTED_VALUE"""),"Below Quality Standards")</f>
        <v>Below Quality Standards</v>
      </c>
      <c r="F600" t="str">
        <f>IFERROR(__xludf.DUMMYFUNCTION("""COMPUTED_VALUE"""),"Management")</f>
        <v>Management</v>
      </c>
      <c r="G600" t="str">
        <f>IFERROR(__xludf.DUMMYFUNCTION("""COMPUTED_VALUE"""),"Communication")</f>
        <v>Communication</v>
      </c>
      <c r="H600">
        <f>IFERROR(__xludf.DUMMYFUNCTION("""COMPUTED_VALUE"""),946654.0)</f>
        <v>946654</v>
      </c>
      <c r="I600" s="140" t="str">
        <f>IFERROR(__xludf.DUMMYFUNCTION("""COMPUTED_VALUE"""),"")</f>
        <v/>
      </c>
      <c r="J600">
        <f>IFERROR(__xludf.DUMMYFUNCTION("""COMPUTED_VALUE"""),335610.0)</f>
        <v>335610</v>
      </c>
      <c r="K600" s="140" t="str">
        <f>IFERROR(__xludf.DUMMYFUNCTION("""COMPUTED_VALUE"""),"")</f>
        <v/>
      </c>
    </row>
    <row r="601">
      <c r="A601" s="143">
        <f>IFERROR(__xludf.DUMMYFUNCTION("""COMPUTED_VALUE"""),43102.0)</f>
        <v>43102</v>
      </c>
      <c r="B601" s="140">
        <f>IFERROR(__xludf.DUMMYFUNCTION("""COMPUTED_VALUE"""),571082.0)</f>
        <v>571082</v>
      </c>
      <c r="C601" t="str">
        <f>IFERROR(__xludf.DUMMYFUNCTION("""COMPUTED_VALUE"""),"Creating a Mindset for Change for Leaders")</f>
        <v>Creating a Mindset for Change for Leaders</v>
      </c>
      <c r="D601" t="str">
        <f>IFERROR(__xludf.DUMMYFUNCTION("""COMPUTED_VALUE"""),"Laura Goodrich")</f>
        <v>Laura Goodrich</v>
      </c>
      <c r="E601" t="str">
        <f>IFERROR(__xludf.DUMMYFUNCTION("""COMPUTED_VALUE"""),"Instructor Request- Outdated")</f>
        <v>Instructor Request- Outdated</v>
      </c>
      <c r="F601" t="str">
        <f>IFERROR(__xludf.DUMMYFUNCTION("""COMPUTED_VALUE"""),"Management")</f>
        <v>Management</v>
      </c>
      <c r="G601" t="str">
        <f>IFERROR(__xludf.DUMMYFUNCTION("""COMPUTED_VALUE"""),"Strategy")</f>
        <v>Strategy</v>
      </c>
      <c r="H601">
        <f>IFERROR(__xludf.DUMMYFUNCTION("""COMPUTED_VALUE"""),1256654.0)</f>
        <v>1256654</v>
      </c>
      <c r="I601" s="140" t="str">
        <f>IFERROR(__xludf.DUMMYFUNCTION("""COMPUTED_VALUE"""),"")</f>
        <v/>
      </c>
      <c r="K601" s="140" t="str">
        <f>IFERROR(__xludf.DUMMYFUNCTION("""COMPUTED_VALUE"""),"")</f>
        <v/>
      </c>
    </row>
    <row r="602">
      <c r="A602" s="143">
        <f>IFERROR(__xludf.DUMMYFUNCTION("""COMPUTED_VALUE"""),43102.0)</f>
        <v>43102</v>
      </c>
      <c r="B602" s="140">
        <f>IFERROR(__xludf.DUMMYFUNCTION("""COMPUTED_VALUE"""),558992.0)</f>
        <v>558992</v>
      </c>
      <c r="C602" t="str">
        <f>IFERROR(__xludf.DUMMYFUNCTION("""COMPUTED_VALUE"""),"Creating a Mindset for Change with Seeing Red Cars, Personal")</f>
        <v>Creating a Mindset for Change with Seeing Red Cars, Personal</v>
      </c>
      <c r="D602" t="str">
        <f>IFERROR(__xludf.DUMMYFUNCTION("""COMPUTED_VALUE"""),"Laura Goodrich")</f>
        <v>Laura Goodrich</v>
      </c>
      <c r="E602" t="str">
        <f>IFERROR(__xludf.DUMMYFUNCTION("""COMPUTED_VALUE"""),"Instructor Request- Outdated")</f>
        <v>Instructor Request- Outdated</v>
      </c>
      <c r="F602" t="str">
        <f>IFERROR(__xludf.DUMMYFUNCTION("""COMPUTED_VALUE"""),"Management")</f>
        <v>Management</v>
      </c>
      <c r="G602" t="str">
        <f>IFERROR(__xludf.DUMMYFUNCTION("""COMPUTED_VALUE"""),"Strategy")</f>
        <v>Strategy</v>
      </c>
      <c r="H602">
        <f>IFERROR(__xludf.DUMMYFUNCTION("""COMPUTED_VALUE"""),1256654.0)</f>
        <v>1256654</v>
      </c>
      <c r="I602" s="140" t="str">
        <f>IFERROR(__xludf.DUMMYFUNCTION("""COMPUTED_VALUE"""),"")</f>
        <v/>
      </c>
      <c r="K602" s="140" t="str">
        <f>IFERROR(__xludf.DUMMYFUNCTION("""COMPUTED_VALUE"""),"")</f>
        <v/>
      </c>
    </row>
    <row r="603">
      <c r="A603" s="143">
        <f>IFERROR(__xludf.DUMMYFUNCTION("""COMPUTED_VALUE"""),43102.0)</f>
        <v>43102</v>
      </c>
      <c r="B603" s="140">
        <f>IFERROR(__xludf.DUMMYFUNCTION("""COMPUTED_VALUE"""),418222.0)</f>
        <v>418222</v>
      </c>
      <c r="C603" s="142" t="str">
        <f>IFERROR(__xludf.DUMMYFUNCTION("""COMPUTED_VALUE"""),"Creative Thinking")</f>
        <v>Creative Thinking</v>
      </c>
      <c r="D603" t="str">
        <f>IFERROR(__xludf.DUMMYFUNCTION("""COMPUTED_VALUE"""),"Edite Amorim")</f>
        <v>Edite Amorim</v>
      </c>
      <c r="E603" t="str">
        <f>IFERROR(__xludf.DUMMYFUNCTION("""COMPUTED_VALUE"""),"Below Quality Standards")</f>
        <v>Below Quality Standards</v>
      </c>
      <c r="F603" t="str">
        <f>IFERROR(__xludf.DUMMYFUNCTION("""COMPUTED_VALUE"""),"Management")</f>
        <v>Management</v>
      </c>
      <c r="G603" t="str">
        <f>IFERROR(__xludf.DUMMYFUNCTION("""COMPUTED_VALUE"""),"Strategy")</f>
        <v>Strategy</v>
      </c>
      <c r="H603">
        <f>IFERROR(__xludf.DUMMYFUNCTION("""COMPUTED_VALUE"""),806626.0)</f>
        <v>806626</v>
      </c>
      <c r="I603" s="140" t="str">
        <f>IFERROR(__xludf.DUMMYFUNCTION("""COMPUTED_VALUE"""),"")</f>
        <v/>
      </c>
      <c r="K603" s="140" t="str">
        <f>IFERROR(__xludf.DUMMYFUNCTION("""COMPUTED_VALUE"""),"")</f>
        <v/>
      </c>
    </row>
    <row r="604">
      <c r="A604" s="143">
        <f>IFERROR(__xludf.DUMMYFUNCTION("""COMPUTED_VALUE"""),43102.0)</f>
        <v>43102</v>
      </c>
      <c r="B604" s="140">
        <f>IFERROR(__xludf.DUMMYFUNCTION("""COMPUTED_VALUE"""),615950.0)</f>
        <v>615950</v>
      </c>
      <c r="C604" t="str">
        <f>IFERROR(__xludf.DUMMYFUNCTION("""COMPUTED_VALUE"""),"How to Develop Leadership &amp; Influence Skills")</f>
        <v>How to Develop Leadership &amp; Influence Skills</v>
      </c>
      <c r="D604" t="str">
        <f>IFERROR(__xludf.DUMMYFUNCTION("""COMPUTED_VALUE"""),"Adam Karsh")</f>
        <v>Adam Karsh</v>
      </c>
      <c r="E604" t="str">
        <f>IFERROR(__xludf.DUMMYFUNCTION("""COMPUTED_VALUE"""),"Below Quality Standards")</f>
        <v>Below Quality Standards</v>
      </c>
      <c r="F604" t="str">
        <f>IFERROR(__xludf.DUMMYFUNCTION("""COMPUTED_VALUE"""),"Management")</f>
        <v>Management</v>
      </c>
      <c r="G604" t="str">
        <f>IFERROR(__xludf.DUMMYFUNCTION("""COMPUTED_VALUE"""),"Leadership")</f>
        <v>Leadership</v>
      </c>
      <c r="H604">
        <f>IFERROR(__xludf.DUMMYFUNCTION("""COMPUTED_VALUE"""),482564.0)</f>
        <v>482564</v>
      </c>
      <c r="I604" s="140" t="str">
        <f>IFERROR(__xludf.DUMMYFUNCTION("""COMPUTED_VALUE"""),"")</f>
        <v/>
      </c>
      <c r="K604" s="140" t="str">
        <f>IFERROR(__xludf.DUMMYFUNCTION("""COMPUTED_VALUE"""),"")</f>
        <v/>
      </c>
    </row>
    <row r="605">
      <c r="A605" s="143">
        <f>IFERROR(__xludf.DUMMYFUNCTION("""COMPUTED_VALUE"""),43102.0)</f>
        <v>43102</v>
      </c>
      <c r="B605" s="140">
        <f>IFERROR(__xludf.DUMMYFUNCTION("""COMPUTED_VALUE"""),362522.0)</f>
        <v>362522</v>
      </c>
      <c r="C605" t="str">
        <f>IFERROR(__xludf.DUMMYFUNCTION("""COMPUTED_VALUE"""),"Kick Start Your Digital Strategy and Transformation Program")</f>
        <v>Kick Start Your Digital Strategy and Transformation Program</v>
      </c>
      <c r="D605" t="str">
        <f>IFERROR(__xludf.DUMMYFUNCTION("""COMPUTED_VALUE"""),"Mike Connor")</f>
        <v>Mike Connor</v>
      </c>
      <c r="E605" t="str">
        <f>IFERROR(__xludf.DUMMYFUNCTION("""COMPUTED_VALUE"""),"Below Quality Standards")</f>
        <v>Below Quality Standards</v>
      </c>
      <c r="F605" t="str">
        <f>IFERROR(__xludf.DUMMYFUNCTION("""COMPUTED_VALUE"""),"Management")</f>
        <v>Management</v>
      </c>
      <c r="G605" t="str">
        <f>IFERROR(__xludf.DUMMYFUNCTION("""COMPUTED_VALUE"""),"Strategy")</f>
        <v>Strategy</v>
      </c>
      <c r="I605" s="140" t="str">
        <f>IFERROR(__xludf.DUMMYFUNCTION("""COMPUTED_VALUE"""),"")</f>
        <v/>
      </c>
      <c r="K605" s="140" t="str">
        <f>IFERROR(__xludf.DUMMYFUNCTION("""COMPUTED_VALUE"""),"")</f>
        <v/>
      </c>
      <c r="Q605" t="str">
        <f>IFERROR(__xludf.DUMMYFUNCTION("""COMPUTED_VALUE"""),"Topic on Priority List- 1781760")</f>
        <v>Topic on Priority List- 1781760</v>
      </c>
    </row>
    <row r="606">
      <c r="A606" s="143">
        <f>IFERROR(__xludf.DUMMYFUNCTION("""COMPUTED_VALUE"""),43102.0)</f>
        <v>43102</v>
      </c>
      <c r="B606" s="140">
        <f>IFERROR(__xludf.DUMMYFUNCTION("""COMPUTED_VALUE"""),543984.0)</f>
        <v>543984</v>
      </c>
      <c r="C606" s="142" t="str">
        <f>IFERROR(__xludf.DUMMYFUNCTION("""COMPUTED_VALUE"""),"Leadership | How to Commit to Self-Discovery")</f>
        <v>Leadership | How to Commit to Self-Discovery</v>
      </c>
      <c r="D606" t="str">
        <f>IFERROR(__xludf.DUMMYFUNCTION("""COMPUTED_VALUE"""),"Learoy Tonight")</f>
        <v>Learoy Tonight</v>
      </c>
      <c r="E606" t="str">
        <f>IFERROR(__xludf.DUMMYFUNCTION("""COMPUTED_VALUE"""),"Below Quality Standards")</f>
        <v>Below Quality Standards</v>
      </c>
      <c r="F606" t="str">
        <f>IFERROR(__xludf.DUMMYFUNCTION("""COMPUTED_VALUE"""),"Management")</f>
        <v>Management</v>
      </c>
      <c r="G606" t="str">
        <f>IFERROR(__xludf.DUMMYFUNCTION("""COMPUTED_VALUE"""),"Leadership")</f>
        <v>Leadership</v>
      </c>
      <c r="H606">
        <f>IFERROR(__xludf.DUMMYFUNCTION("""COMPUTED_VALUE"""),751602.0)</f>
        <v>751602</v>
      </c>
      <c r="I606" s="140" t="str">
        <f>IFERROR(__xludf.DUMMYFUNCTION("""COMPUTED_VALUE"""),"")</f>
        <v/>
      </c>
      <c r="K606" s="140" t="str">
        <f>IFERROR(__xludf.DUMMYFUNCTION("""COMPUTED_VALUE"""),"")</f>
        <v/>
      </c>
    </row>
    <row r="607">
      <c r="A607" s="143">
        <f>IFERROR(__xludf.DUMMYFUNCTION("""COMPUTED_VALUE"""),43102.0)</f>
        <v>43102</v>
      </c>
      <c r="B607" s="140">
        <f>IFERROR(__xludf.DUMMYFUNCTION("""COMPUTED_VALUE"""),830978.0)</f>
        <v>830978</v>
      </c>
      <c r="C607" t="str">
        <f>IFERROR(__xludf.DUMMYFUNCTION("""COMPUTED_VALUE"""),"Presentation Skills:  Create Killer Presentations to WoW")</f>
        <v>Presentation Skills:  Create Killer Presentations to WoW</v>
      </c>
      <c r="D607" t="str">
        <f>IFERROR(__xludf.DUMMYFUNCTION("""COMPUTED_VALUE"""),"Jeff Tan")</f>
        <v>Jeff Tan</v>
      </c>
      <c r="E607" t="str">
        <f>IFERROR(__xludf.DUMMYFUNCTION("""COMPUTED_VALUE"""),"Below Quality Standards")</f>
        <v>Below Quality Standards</v>
      </c>
      <c r="F607" t="str">
        <f>IFERROR(__xludf.DUMMYFUNCTION("""COMPUTED_VALUE"""),"Management")</f>
        <v>Management</v>
      </c>
      <c r="G607" t="str">
        <f>IFERROR(__xludf.DUMMYFUNCTION("""COMPUTED_VALUE"""),"Communication")</f>
        <v>Communication</v>
      </c>
      <c r="H607">
        <f>IFERROR(__xludf.DUMMYFUNCTION("""COMPUTED_VALUE"""),224138.0)</f>
        <v>224138</v>
      </c>
      <c r="I607" s="140" t="str">
        <f>IFERROR(__xludf.DUMMYFUNCTION("""COMPUTED_VALUE"""),"")</f>
        <v/>
      </c>
      <c r="K607" s="140" t="str">
        <f>IFERROR(__xludf.DUMMYFUNCTION("""COMPUTED_VALUE"""),"")</f>
        <v/>
      </c>
      <c r="M607" t="str">
        <f>IFERROR(__xludf.DUMMYFUNCTION("""COMPUTED_VALUE"""),"Office Productivity")</f>
        <v>Office Productivity</v>
      </c>
      <c r="N607" s="143" t="str">
        <f>IFERROR(__xludf.DUMMYFUNCTION("""COMPUTED_VALUE"""),"Presentations")</f>
        <v>Presentations</v>
      </c>
    </row>
    <row r="608">
      <c r="A608" s="143">
        <f>IFERROR(__xludf.DUMMYFUNCTION("""COMPUTED_VALUE"""),43102.0)</f>
        <v>43102</v>
      </c>
      <c r="B608" s="140">
        <f>IFERROR(__xludf.DUMMYFUNCTION("""COMPUTED_VALUE"""),450914.0)</f>
        <v>450914</v>
      </c>
      <c r="C608" t="str">
        <f>IFERROR(__xludf.DUMMYFUNCTION("""COMPUTED_VALUE"""),"Public Speaking Essentials: How to Craft Your Personal Story")</f>
        <v>Public Speaking Essentials: How to Craft Your Personal Story</v>
      </c>
      <c r="D608" t="str">
        <f>IFERROR(__xludf.DUMMYFUNCTION("""COMPUTED_VALUE"""),"Josh Withrow")</f>
        <v>Josh Withrow</v>
      </c>
      <c r="E608" t="str">
        <f>IFERROR(__xludf.DUMMYFUNCTION("""COMPUTED_VALUE"""),"Below Quality Standards")</f>
        <v>Below Quality Standards</v>
      </c>
      <c r="F608" t="str">
        <f>IFERROR(__xludf.DUMMYFUNCTION("""COMPUTED_VALUE"""),"Management")</f>
        <v>Management</v>
      </c>
      <c r="G608" t="str">
        <f>IFERROR(__xludf.DUMMYFUNCTION("""COMPUTED_VALUE"""),"Communication")</f>
        <v>Communication</v>
      </c>
      <c r="H608">
        <f>IFERROR(__xludf.DUMMYFUNCTION("""COMPUTED_VALUE"""),852192.0)</f>
        <v>852192</v>
      </c>
      <c r="I608" s="140" t="str">
        <f>IFERROR(__xludf.DUMMYFUNCTION("""COMPUTED_VALUE"""),"")</f>
        <v/>
      </c>
      <c r="K608" s="140" t="str">
        <f>IFERROR(__xludf.DUMMYFUNCTION("""COMPUTED_VALUE"""),"")</f>
        <v/>
      </c>
    </row>
    <row r="609">
      <c r="A609" s="143">
        <f>IFERROR(__xludf.DUMMYFUNCTION("""COMPUTED_VALUE"""),43102.0)</f>
        <v>43102</v>
      </c>
      <c r="B609" s="140">
        <f>IFERROR(__xludf.DUMMYFUNCTION("""COMPUTED_VALUE"""),941752.0)</f>
        <v>941752</v>
      </c>
      <c r="C609" t="str">
        <f>IFERROR(__xludf.DUMMYFUNCTION("""COMPUTED_VALUE"""),"Storytelling to Influence")</f>
        <v>Storytelling to Influence</v>
      </c>
      <c r="D609" t="str">
        <f>IFERROR(__xludf.DUMMYFUNCTION("""COMPUTED_VALUE"""),"Jeff Tan")</f>
        <v>Jeff Tan</v>
      </c>
      <c r="E609" t="str">
        <f>IFERROR(__xludf.DUMMYFUNCTION("""COMPUTED_VALUE"""),"Below Quality Standards")</f>
        <v>Below Quality Standards</v>
      </c>
      <c r="F609" t="str">
        <f>IFERROR(__xludf.DUMMYFUNCTION("""COMPUTED_VALUE"""),"Management")</f>
        <v>Management</v>
      </c>
      <c r="G609" t="str">
        <f>IFERROR(__xludf.DUMMYFUNCTION("""COMPUTED_VALUE"""),"Communication")</f>
        <v>Communication</v>
      </c>
      <c r="H609">
        <f>IFERROR(__xludf.DUMMYFUNCTION("""COMPUTED_VALUE"""),550604.0)</f>
        <v>550604</v>
      </c>
      <c r="I609" s="140" t="str">
        <f>IFERROR(__xludf.DUMMYFUNCTION("""COMPUTED_VALUE"""),"")</f>
        <v/>
      </c>
      <c r="K609" s="140" t="str">
        <f>IFERROR(__xludf.DUMMYFUNCTION("""COMPUTED_VALUE"""),"")</f>
        <v/>
      </c>
    </row>
    <row r="610">
      <c r="A610" s="143">
        <f>IFERROR(__xludf.DUMMYFUNCTION("""COMPUTED_VALUE"""),43102.0)</f>
        <v>43102</v>
      </c>
      <c r="B610" s="140">
        <f>IFERROR(__xludf.DUMMYFUNCTION("""COMPUTED_VALUE"""),672308.0)</f>
        <v>672308</v>
      </c>
      <c r="C610" t="str">
        <f>IFERROR(__xludf.DUMMYFUNCTION("""COMPUTED_VALUE"""),"Time Management Skills: Become the Master of your Time!")</f>
        <v>Time Management Skills: Become the Master of your Time!</v>
      </c>
      <c r="D610" t="str">
        <f>IFERROR(__xludf.DUMMYFUNCTION("""COMPUTED_VALUE"""),"Lecturio GmbH")</f>
        <v>Lecturio GmbH</v>
      </c>
      <c r="E610" t="str">
        <f>IFERROR(__xludf.DUMMYFUNCTION("""COMPUTED_VALUE"""),"Below Quality Standards")</f>
        <v>Below Quality Standards</v>
      </c>
      <c r="F610" t="str">
        <f>IFERROR(__xludf.DUMMYFUNCTION("""COMPUTED_VALUE"""),"Management")</f>
        <v>Management</v>
      </c>
      <c r="G610" t="str">
        <f>IFERROR(__xludf.DUMMYFUNCTION("""COMPUTED_VALUE"""),"Productivity")</f>
        <v>Productivity</v>
      </c>
      <c r="H610">
        <f>IFERROR(__xludf.DUMMYFUNCTION("""COMPUTED_VALUE"""),177706.0)</f>
        <v>177706</v>
      </c>
      <c r="I610" s="140" t="str">
        <f>IFERROR(__xludf.DUMMYFUNCTION("""COMPUTED_VALUE"""),"")</f>
        <v/>
      </c>
      <c r="K610" s="140" t="str">
        <f>IFERROR(__xludf.DUMMYFUNCTION("""COMPUTED_VALUE"""),"")</f>
        <v/>
      </c>
    </row>
    <row r="611">
      <c r="A611" s="143">
        <f>IFERROR(__xludf.DUMMYFUNCTION("""COMPUTED_VALUE"""),43102.0)</f>
        <v>43102</v>
      </c>
      <c r="B611" s="140">
        <f>IFERROR(__xludf.DUMMYFUNCTION("""COMPUTED_VALUE"""),357886.0)</f>
        <v>357886</v>
      </c>
      <c r="C611" t="str">
        <f>IFERROR(__xludf.DUMMYFUNCTION("""COMPUTED_VALUE"""),"Ultimate Communication Guide: How to Communicate at Work")</f>
        <v>Ultimate Communication Guide: How to Communicate at Work</v>
      </c>
      <c r="D611" t="str">
        <f>IFERROR(__xludf.DUMMYFUNCTION("""COMPUTED_VALUE"""),"LearnSmart LLC")</f>
        <v>LearnSmart LLC</v>
      </c>
      <c r="E611" t="str">
        <f>IFERROR(__xludf.DUMMYFUNCTION("""COMPUTED_VALUE"""),"Below Quality Standards")</f>
        <v>Below Quality Standards</v>
      </c>
      <c r="F611" t="str">
        <f>IFERROR(__xludf.DUMMYFUNCTION("""COMPUTED_VALUE"""),"Management")</f>
        <v>Management</v>
      </c>
      <c r="G611" t="str">
        <f>IFERROR(__xludf.DUMMYFUNCTION("""COMPUTED_VALUE"""),"Communication")</f>
        <v>Communication</v>
      </c>
      <c r="H611">
        <f>IFERROR(__xludf.DUMMYFUNCTION("""COMPUTED_VALUE"""),323448.0)</f>
        <v>323448</v>
      </c>
      <c r="I611" s="140" t="str">
        <f>IFERROR(__xludf.DUMMYFUNCTION("""COMPUTED_VALUE"""),"")</f>
        <v/>
      </c>
      <c r="K611" s="140" t="str">
        <f>IFERROR(__xludf.DUMMYFUNCTION("""COMPUTED_VALUE"""),"")</f>
        <v/>
      </c>
    </row>
    <row r="612">
      <c r="A612" s="143">
        <f>IFERROR(__xludf.DUMMYFUNCTION("""COMPUTED_VALUE"""),43102.0)</f>
        <v>43102</v>
      </c>
      <c r="B612" s="140">
        <f>IFERROR(__xludf.DUMMYFUNCTION("""COMPUTED_VALUE"""),369110.0)</f>
        <v>369110</v>
      </c>
      <c r="C612" t="str">
        <f>IFERROR(__xludf.DUMMYFUNCTION("""COMPUTED_VALUE"""),"Marketo Foundation Training Series by ShowMeLeads")</f>
        <v>Marketo Foundation Training Series by ShowMeLeads</v>
      </c>
      <c r="D612" t="str">
        <f>IFERROR(__xludf.DUMMYFUNCTION("""COMPUTED_VALUE"""),"Marketo Partner ShowMeLeads Inc")</f>
        <v>Marketo Partner ShowMeLeads Inc</v>
      </c>
      <c r="E612" t="str">
        <f>IFERROR(__xludf.DUMMYFUNCTION("""COMPUTED_VALUE"""),"Below Quality Standards")</f>
        <v>Below Quality Standards</v>
      </c>
      <c r="F612" t="str">
        <f>IFERROR(__xludf.DUMMYFUNCTION("""COMPUTED_VALUE"""),"Marketing")</f>
        <v>Marketing</v>
      </c>
      <c r="G612" t="str">
        <f>IFERROR(__xludf.DUMMYFUNCTION("""COMPUTED_VALUE"""),"Marketing Tools")</f>
        <v>Marketing Tools</v>
      </c>
      <c r="I612" s="140" t="str">
        <f>IFERROR(__xludf.DUMMYFUNCTION("""COMPUTED_VALUE"""),"")</f>
        <v/>
      </c>
      <c r="K612" s="140" t="str">
        <f>IFERROR(__xludf.DUMMYFUNCTION("""COMPUTED_VALUE"""),"")</f>
        <v/>
      </c>
      <c r="Q612" t="str">
        <f>IFERROR(__xludf.DUMMYFUNCTION("""COMPUTED_VALUE"""),"Topic on Priority List- 1212275")</f>
        <v>Topic on Priority List- 1212275</v>
      </c>
    </row>
    <row r="613">
      <c r="A613" s="143">
        <f>IFERROR(__xludf.DUMMYFUNCTION("""COMPUTED_VALUE"""),43102.0)</f>
        <v>43102</v>
      </c>
      <c r="B613" s="140">
        <f>IFERROR(__xludf.DUMMYFUNCTION("""COMPUTED_VALUE"""),29694.0)</f>
        <v>29694</v>
      </c>
      <c r="C613" t="str">
        <f>IFERROR(__xludf.DUMMYFUNCTION("""COMPUTED_VALUE"""),"Master Microsoft Visio 2010 Training the Easy Way")</f>
        <v>Master Microsoft Visio 2010 Training the Easy Way</v>
      </c>
      <c r="D613" t="str">
        <f>IFERROR(__xludf.DUMMYFUNCTION("""COMPUTED_VALUE"""),"Simon Sez IT")</f>
        <v>Simon Sez IT</v>
      </c>
      <c r="E613" t="str">
        <f>IFERROR(__xludf.DUMMYFUNCTION("""COMPUTED_VALUE"""),"Below Quality Standards- Outdated")</f>
        <v>Below Quality Standards- Outdated</v>
      </c>
      <c r="F613" t="str">
        <f>IFERROR(__xludf.DUMMYFUNCTION("""COMPUTED_VALUE"""),"Office Productivity")</f>
        <v>Office Productivity</v>
      </c>
      <c r="G613" t="str">
        <f>IFERROR(__xludf.DUMMYFUNCTION("""COMPUTED_VALUE"""),"Presentations")</f>
        <v>Presentations</v>
      </c>
      <c r="H613">
        <f>IFERROR(__xludf.DUMMYFUNCTION("""COMPUTED_VALUE"""),401708.0)</f>
        <v>401708</v>
      </c>
      <c r="I613" s="140" t="str">
        <f>IFERROR(__xludf.DUMMYFUNCTION("""COMPUTED_VALUE"""),"")</f>
        <v/>
      </c>
      <c r="K613" s="140" t="str">
        <f>IFERROR(__xludf.DUMMYFUNCTION("""COMPUTED_VALUE"""),"")</f>
        <v/>
      </c>
    </row>
    <row r="614">
      <c r="A614" s="143">
        <f>IFERROR(__xludf.DUMMYFUNCTION("""COMPUTED_VALUE"""),43102.0)</f>
        <v>43102</v>
      </c>
      <c r="B614" s="140">
        <f>IFERROR(__xludf.DUMMYFUNCTION("""COMPUTED_VALUE"""),51442.0)</f>
        <v>51442</v>
      </c>
      <c r="C614" t="str">
        <f>IFERROR(__xludf.DUMMYFUNCTION("""COMPUTED_VALUE"""),"Visio 2010 Introduction")</f>
        <v>Visio 2010 Introduction</v>
      </c>
      <c r="D614" t="str">
        <f>IFERROR(__xludf.DUMMYFUNCTION("""COMPUTED_VALUE"""),"Intellezy Trainers")</f>
        <v>Intellezy Trainers</v>
      </c>
      <c r="E614" t="str">
        <f>IFERROR(__xludf.DUMMYFUNCTION("""COMPUTED_VALUE"""),"Below Quality Standards- Outdated")</f>
        <v>Below Quality Standards- Outdated</v>
      </c>
      <c r="F614" t="str">
        <f>IFERROR(__xludf.DUMMYFUNCTION("""COMPUTED_VALUE"""),"Office Productivity")</f>
        <v>Office Productivity</v>
      </c>
      <c r="G614" t="str">
        <f>IFERROR(__xludf.DUMMYFUNCTION("""COMPUTED_VALUE"""),"Presentations")</f>
        <v>Presentations</v>
      </c>
      <c r="H614">
        <f>IFERROR(__xludf.DUMMYFUNCTION("""COMPUTED_VALUE"""),401708.0)</f>
        <v>401708</v>
      </c>
      <c r="I614" s="140" t="str">
        <f>IFERROR(__xludf.DUMMYFUNCTION("""COMPUTED_VALUE"""),"")</f>
        <v/>
      </c>
      <c r="K614" s="140" t="str">
        <f>IFERROR(__xludf.DUMMYFUNCTION("""COMPUTED_VALUE"""),"")</f>
        <v/>
      </c>
    </row>
    <row r="615">
      <c r="A615" s="143">
        <f>IFERROR(__xludf.DUMMYFUNCTION("""COMPUTED_VALUE"""),43102.0)</f>
        <v>43102</v>
      </c>
      <c r="B615" s="140">
        <f>IFERROR(__xludf.DUMMYFUNCTION("""COMPUTED_VALUE"""),1024854.0)</f>
        <v>1024854</v>
      </c>
      <c r="C615" t="str">
        <f>IFERROR(__xludf.DUMMYFUNCTION("""COMPUTED_VALUE"""),"CAPM Exam Prep: Earn Your CAPM Certification")</f>
        <v>CAPM Exam Prep: Earn Your CAPM Certification</v>
      </c>
      <c r="D615" t="str">
        <f>IFERROR(__xludf.DUMMYFUNCTION("""COMPUTED_VALUE"""),"Joseph Phillips")</f>
        <v>Joseph Phillips</v>
      </c>
      <c r="E615" t="str">
        <f>IFERROR(__xludf.DUMMYFUNCTION("""COMPUTED_VALUE"""),"Instructor Request- Outdated")</f>
        <v>Instructor Request- Outdated</v>
      </c>
      <c r="F615" t="str">
        <f>IFERROR(__xludf.DUMMYFUNCTION("""COMPUTED_VALUE"""),"Project Management and Operations")</f>
        <v>Project Management and Operations</v>
      </c>
      <c r="G615" t="str">
        <f>IFERROR(__xludf.DUMMYFUNCTION("""COMPUTED_VALUE"""),"Project Management Certifications")</f>
        <v>Project Management Certifications</v>
      </c>
      <c r="H615">
        <f>IFERROR(__xludf.DUMMYFUNCTION("""COMPUTED_VALUE"""),1411586.0)</f>
        <v>1411586</v>
      </c>
      <c r="I615" s="140" t="str">
        <f>IFERROR(__xludf.DUMMYFUNCTION("""COMPUTED_VALUE"""),"")</f>
        <v/>
      </c>
      <c r="K615" s="140" t="str">
        <f>IFERROR(__xludf.DUMMYFUNCTION("""COMPUTED_VALUE"""),"")</f>
        <v/>
      </c>
    </row>
    <row r="616">
      <c r="A616" s="143">
        <f>IFERROR(__xludf.DUMMYFUNCTION("""COMPUTED_VALUE"""),43102.0)</f>
        <v>43102</v>
      </c>
      <c r="B616" s="140">
        <f>IFERROR(__xludf.DUMMYFUNCTION("""COMPUTED_VALUE"""),757588.0)</f>
        <v>757588</v>
      </c>
      <c r="C616" t="str">
        <f>IFERROR(__xludf.DUMMYFUNCTION("""COMPUTED_VALUE"""),"How to Earn the Project Management Professional (PMP)")</f>
        <v>How to Earn the Project Management Professional (PMP)</v>
      </c>
      <c r="D616" t="str">
        <f>IFERROR(__xludf.DUMMYFUNCTION("""COMPUTED_VALUE"""),"Joseph Phillips")</f>
        <v>Joseph Phillips</v>
      </c>
      <c r="E616" t="str">
        <f>IFERROR(__xludf.DUMMYFUNCTION("""COMPUTED_VALUE"""),"Instructor Request- Outdated")</f>
        <v>Instructor Request- Outdated</v>
      </c>
      <c r="F616" t="str">
        <f>IFERROR(__xludf.DUMMYFUNCTION("""COMPUTED_VALUE"""),"Project Management and Operations")</f>
        <v>Project Management and Operations</v>
      </c>
      <c r="G616" t="str">
        <f>IFERROR(__xludf.DUMMYFUNCTION("""COMPUTED_VALUE"""),"Project Management Certifications")</f>
        <v>Project Management Certifications</v>
      </c>
      <c r="H616">
        <f>IFERROR(__xludf.DUMMYFUNCTION("""COMPUTED_VALUE"""),1361790.0)</f>
        <v>1361790</v>
      </c>
      <c r="I616" s="140" t="str">
        <f>IFERROR(__xludf.DUMMYFUNCTION("""COMPUTED_VALUE"""),"")</f>
        <v/>
      </c>
      <c r="K616" s="140" t="str">
        <f>IFERROR(__xludf.DUMMYFUNCTION("""COMPUTED_VALUE"""),"")</f>
        <v/>
      </c>
    </row>
    <row r="617">
      <c r="A617" s="143">
        <f>IFERROR(__xludf.DUMMYFUNCTION("""COMPUTED_VALUE"""),43102.0)</f>
        <v>43102</v>
      </c>
      <c r="B617" s="140">
        <f>IFERROR(__xludf.DUMMYFUNCTION("""COMPUTED_VALUE"""),729486.0)</f>
        <v>729486</v>
      </c>
      <c r="C617" t="str">
        <f>IFERROR(__xludf.DUMMYFUNCTION("""COMPUTED_VALUE"""),"Master Project Risk Management - 5 PDUs")</f>
        <v>Master Project Risk Management - 5 PDUs</v>
      </c>
      <c r="D617" t="str">
        <f>IFERROR(__xludf.DUMMYFUNCTION("""COMPUTED_VALUE"""),"Joseph Phillips")</f>
        <v>Joseph Phillips</v>
      </c>
      <c r="E617" t="str">
        <f>IFERROR(__xludf.DUMMYFUNCTION("""COMPUTED_VALUE"""),"Instructor Request- Outdated")</f>
        <v>Instructor Request- Outdated</v>
      </c>
      <c r="F617" t="str">
        <f>IFERROR(__xludf.DUMMYFUNCTION("""COMPUTED_VALUE"""),"Project Management and Operations")</f>
        <v>Project Management and Operations</v>
      </c>
      <c r="G617" t="str">
        <f>IFERROR(__xludf.DUMMYFUNCTION("""COMPUTED_VALUE"""),"Project Management Fundamentals")</f>
        <v>Project Management Fundamentals</v>
      </c>
      <c r="H617">
        <f>IFERROR(__xludf.DUMMYFUNCTION("""COMPUTED_VALUE"""),539130.0)</f>
        <v>539130</v>
      </c>
      <c r="I617" s="140" t="str">
        <f>IFERROR(__xludf.DUMMYFUNCTION("""COMPUTED_VALUE"""),"")</f>
        <v/>
      </c>
      <c r="K617" s="140" t="str">
        <f>IFERROR(__xludf.DUMMYFUNCTION("""COMPUTED_VALUE"""),"")</f>
        <v/>
      </c>
    </row>
    <row r="618">
      <c r="A618" s="143">
        <f>IFERROR(__xludf.DUMMYFUNCTION("""COMPUTED_VALUE"""),43102.0)</f>
        <v>43102</v>
      </c>
      <c r="B618" s="140">
        <f>IFERROR(__xludf.DUMMYFUNCTION("""COMPUTED_VALUE"""),719132.0)</f>
        <v>719132</v>
      </c>
      <c r="C618" t="str">
        <f>IFERROR(__xludf.DUMMYFUNCTION("""COMPUTED_VALUE"""),"Master the PMBOK Guide, Fifth Edition - 5 PDUs")</f>
        <v>Master the PMBOK Guide, Fifth Edition - 5 PDUs</v>
      </c>
      <c r="D618" t="str">
        <f>IFERROR(__xludf.DUMMYFUNCTION("""COMPUTED_VALUE"""),"Joseph Phillips")</f>
        <v>Joseph Phillips</v>
      </c>
      <c r="E618" t="str">
        <f>IFERROR(__xludf.DUMMYFUNCTION("""COMPUTED_VALUE"""),"Instructor Request- Outdated")</f>
        <v>Instructor Request- Outdated</v>
      </c>
      <c r="F618" t="str">
        <f>IFERROR(__xludf.DUMMYFUNCTION("""COMPUTED_VALUE"""),"Project Management and Operations")</f>
        <v>Project Management and Operations</v>
      </c>
      <c r="G618" t="str">
        <f>IFERROR(__xludf.DUMMYFUNCTION("""COMPUTED_VALUE"""),"Project Management Certifications")</f>
        <v>Project Management Certifications</v>
      </c>
      <c r="H618">
        <f>IFERROR(__xludf.DUMMYFUNCTION("""COMPUTED_VALUE"""),1361790.0)</f>
        <v>1361790</v>
      </c>
      <c r="I618" s="140" t="str">
        <f>IFERROR(__xludf.DUMMYFUNCTION("""COMPUTED_VALUE"""),"")</f>
        <v/>
      </c>
      <c r="J618">
        <f>IFERROR(__xludf.DUMMYFUNCTION("""COMPUTED_VALUE"""),1411586.0)</f>
        <v>1411586</v>
      </c>
      <c r="K618" s="140" t="str">
        <f>IFERROR(__xludf.DUMMYFUNCTION("""COMPUTED_VALUE"""),"")</f>
        <v/>
      </c>
    </row>
    <row r="619">
      <c r="A619" s="143">
        <f>IFERROR(__xludf.DUMMYFUNCTION("""COMPUTED_VALUE"""),43102.0)</f>
        <v>43102</v>
      </c>
      <c r="B619" s="140">
        <f>IFERROR(__xludf.DUMMYFUNCTION("""COMPUTED_VALUE"""),816622.0)</f>
        <v>816622</v>
      </c>
      <c r="C619" t="str">
        <f>IFERROR(__xludf.DUMMYFUNCTION("""COMPUTED_VALUE"""),"Mastering Project Communications Management- 5 PDUs")</f>
        <v>Mastering Project Communications Management- 5 PDUs</v>
      </c>
      <c r="D619" t="str">
        <f>IFERROR(__xludf.DUMMYFUNCTION("""COMPUTED_VALUE"""),"Joseph Phillips")</f>
        <v>Joseph Phillips</v>
      </c>
      <c r="E619" t="str">
        <f>IFERROR(__xludf.DUMMYFUNCTION("""COMPUTED_VALUE"""),"Instructor Request- Outdated")</f>
        <v>Instructor Request- Outdated</v>
      </c>
      <c r="F619" t="str">
        <f>IFERROR(__xludf.DUMMYFUNCTION("""COMPUTED_VALUE"""),"Project Management and Operations")</f>
        <v>Project Management and Operations</v>
      </c>
      <c r="G619" t="str">
        <f>IFERROR(__xludf.DUMMYFUNCTION("""COMPUTED_VALUE"""),"Project Management Certifications")</f>
        <v>Project Management Certifications</v>
      </c>
      <c r="I619" s="140" t="str">
        <f>IFERROR(__xludf.DUMMYFUNCTION("""COMPUTED_VALUE"""),"")</f>
        <v/>
      </c>
      <c r="K619" s="140" t="str">
        <f>IFERROR(__xludf.DUMMYFUNCTION("""COMPUTED_VALUE"""),"")</f>
        <v/>
      </c>
      <c r="Q619" t="str">
        <f>IFERROR(__xludf.DUMMYFUNCTION("""COMPUTED_VALUE"""),"Low Demand")</f>
        <v>Low Demand</v>
      </c>
    </row>
    <row r="620">
      <c r="A620" s="143">
        <f>IFERROR(__xludf.DUMMYFUNCTION("""COMPUTED_VALUE"""),43102.0)</f>
        <v>43102</v>
      </c>
      <c r="B620" s="140">
        <f>IFERROR(__xludf.DUMMYFUNCTION("""COMPUTED_VALUE"""),885605.0)</f>
        <v>885605</v>
      </c>
      <c r="C620" t="str">
        <f>IFERROR(__xludf.DUMMYFUNCTION("""COMPUTED_VALUE"""),"PMP Exam Cram Session - 8 PDUs from a PMI REP")</f>
        <v>PMP Exam Cram Session - 8 PDUs from a PMI REP</v>
      </c>
      <c r="D620" t="str">
        <f>IFERROR(__xludf.DUMMYFUNCTION("""COMPUTED_VALUE"""),"Joseph Phillips")</f>
        <v>Joseph Phillips</v>
      </c>
      <c r="E620" t="str">
        <f>IFERROR(__xludf.DUMMYFUNCTION("""COMPUTED_VALUE"""),"Instructor Request- Outdated")</f>
        <v>Instructor Request- Outdated</v>
      </c>
      <c r="F620" t="str">
        <f>IFERROR(__xludf.DUMMYFUNCTION("""COMPUTED_VALUE"""),"Project Management and Operations")</f>
        <v>Project Management and Operations</v>
      </c>
      <c r="G620" t="str">
        <f>IFERROR(__xludf.DUMMYFUNCTION("""COMPUTED_VALUE"""),"Project Management Certifications")</f>
        <v>Project Management Certifications</v>
      </c>
      <c r="H620">
        <f>IFERROR(__xludf.DUMMYFUNCTION("""COMPUTED_VALUE"""),1361790.0)</f>
        <v>1361790</v>
      </c>
      <c r="I620" s="140" t="str">
        <f>IFERROR(__xludf.DUMMYFUNCTION("""COMPUTED_VALUE"""),"")</f>
        <v/>
      </c>
      <c r="K620" s="140" t="str">
        <f>IFERROR(__xludf.DUMMYFUNCTION("""COMPUTED_VALUE"""),"")</f>
        <v/>
      </c>
    </row>
    <row r="621">
      <c r="A621" s="143">
        <f>IFERROR(__xludf.DUMMYFUNCTION("""COMPUTED_VALUE"""),43102.0)</f>
        <v>43102</v>
      </c>
      <c r="B621" s="140">
        <f>IFERROR(__xludf.DUMMYFUNCTION("""COMPUTED_VALUE"""),1002314.0)</f>
        <v>1002314</v>
      </c>
      <c r="C621" t="str">
        <f>IFERROR(__xludf.DUMMYFUNCTION("""COMPUTED_VALUE"""),"Project Management Certified Associate: CAPM Practice Tests")</f>
        <v>Project Management Certified Associate: CAPM Practice Tests</v>
      </c>
      <c r="D621" t="str">
        <f>IFERROR(__xludf.DUMMYFUNCTION("""COMPUTED_VALUE"""),"Joseph Phillips")</f>
        <v>Joseph Phillips</v>
      </c>
      <c r="E621" t="str">
        <f>IFERROR(__xludf.DUMMYFUNCTION("""COMPUTED_VALUE"""),"Instructor Request- Outdated")</f>
        <v>Instructor Request- Outdated</v>
      </c>
      <c r="F621" t="str">
        <f>IFERROR(__xludf.DUMMYFUNCTION("""COMPUTED_VALUE"""),"Project Management and Operations")</f>
        <v>Project Management and Operations</v>
      </c>
      <c r="G621" t="str">
        <f>IFERROR(__xludf.DUMMYFUNCTION("""COMPUTED_VALUE"""),"Project Management Certifications")</f>
        <v>Project Management Certifications</v>
      </c>
      <c r="H621">
        <f>IFERROR(__xludf.DUMMYFUNCTION("""COMPUTED_VALUE"""),1411586.0)</f>
        <v>1411586</v>
      </c>
      <c r="I621" s="140" t="str">
        <f>IFERROR(__xludf.DUMMYFUNCTION("""COMPUTED_VALUE"""),"")</f>
        <v/>
      </c>
      <c r="K621" s="140" t="str">
        <f>IFERROR(__xludf.DUMMYFUNCTION("""COMPUTED_VALUE"""),"")</f>
        <v/>
      </c>
    </row>
    <row r="622">
      <c r="A622" s="143">
        <f>IFERROR(__xludf.DUMMYFUNCTION("""COMPUTED_VALUE"""),43102.0)</f>
        <v>43102</v>
      </c>
      <c r="B622" s="140">
        <f>IFERROR(__xludf.DUMMYFUNCTION("""COMPUTED_VALUE"""),1000476.0)</f>
        <v>1000476</v>
      </c>
      <c r="C622" t="str">
        <f>IFERROR(__xludf.DUMMYFUNCTION("""COMPUTED_VALUE"""),"Project Management Professional: PMP Practice Tests")</f>
        <v>Project Management Professional: PMP Practice Tests</v>
      </c>
      <c r="D622" t="str">
        <f>IFERROR(__xludf.DUMMYFUNCTION("""COMPUTED_VALUE"""),"Joseph Phillips")</f>
        <v>Joseph Phillips</v>
      </c>
      <c r="E622" t="str">
        <f>IFERROR(__xludf.DUMMYFUNCTION("""COMPUTED_VALUE"""),"Instructor Request- Outdated")</f>
        <v>Instructor Request- Outdated</v>
      </c>
      <c r="F622" t="str">
        <f>IFERROR(__xludf.DUMMYFUNCTION("""COMPUTED_VALUE"""),"Project Management and Operations")</f>
        <v>Project Management and Operations</v>
      </c>
      <c r="G622" t="str">
        <f>IFERROR(__xludf.DUMMYFUNCTION("""COMPUTED_VALUE"""),"Project Management Certifications")</f>
        <v>Project Management Certifications</v>
      </c>
      <c r="H622">
        <f>IFERROR(__xludf.DUMMYFUNCTION("""COMPUTED_VALUE"""),1361790.0)</f>
        <v>1361790</v>
      </c>
      <c r="I622" s="140" t="str">
        <f>IFERROR(__xludf.DUMMYFUNCTION("""COMPUTED_VALUE"""),"")</f>
        <v/>
      </c>
      <c r="K622" s="140" t="str">
        <f>IFERROR(__xludf.DUMMYFUNCTION("""COMPUTED_VALUE"""),"")</f>
        <v/>
      </c>
    </row>
    <row r="623">
      <c r="A623" s="143">
        <f>IFERROR(__xludf.DUMMYFUNCTION("""COMPUTED_VALUE"""),43102.0)</f>
        <v>43102</v>
      </c>
      <c r="B623" s="140">
        <f>IFERROR(__xludf.DUMMYFUNCTION("""COMPUTED_VALUE"""),382522.0)</f>
        <v>382522</v>
      </c>
      <c r="C623" t="str">
        <f>IFERROR(__xludf.DUMMYFUNCTION("""COMPUTED_VALUE"""),"Project Management: Cost Management for Project Managers")</f>
        <v>Project Management: Cost Management for Project Managers</v>
      </c>
      <c r="D623" t="str">
        <f>IFERROR(__xludf.DUMMYFUNCTION("""COMPUTED_VALUE"""),"Joseph Phillips")</f>
        <v>Joseph Phillips</v>
      </c>
      <c r="E623" t="str">
        <f>IFERROR(__xludf.DUMMYFUNCTION("""COMPUTED_VALUE"""),"Instructor Request- Outdated")</f>
        <v>Instructor Request- Outdated</v>
      </c>
      <c r="F623" t="str">
        <f>IFERROR(__xludf.DUMMYFUNCTION("""COMPUTED_VALUE"""),"Project Management and Operations")</f>
        <v>Project Management and Operations</v>
      </c>
      <c r="G623" t="str">
        <f>IFERROR(__xludf.DUMMYFUNCTION("""COMPUTED_VALUE"""),"Project Management Fundamentals")</f>
        <v>Project Management Fundamentals</v>
      </c>
      <c r="H623">
        <f>IFERROR(__xludf.DUMMYFUNCTION("""COMPUTED_VALUE"""),1518696.0)</f>
        <v>1518696</v>
      </c>
      <c r="I623" s="140" t="str">
        <f>IFERROR(__xludf.DUMMYFUNCTION("""COMPUTED_VALUE"""),"")</f>
        <v/>
      </c>
      <c r="K623" s="140" t="str">
        <f>IFERROR(__xludf.DUMMYFUNCTION("""COMPUTED_VALUE"""),"")</f>
        <v/>
      </c>
    </row>
    <row r="624">
      <c r="A624" s="143">
        <f>IFERROR(__xludf.DUMMYFUNCTION("""COMPUTED_VALUE"""),43102.0)</f>
        <v>43102</v>
      </c>
      <c r="B624" s="140">
        <f>IFERROR(__xludf.DUMMYFUNCTION("""COMPUTED_VALUE"""),382596.0)</f>
        <v>382596</v>
      </c>
      <c r="C624" t="str">
        <f>IFERROR(__xludf.DUMMYFUNCTION("""COMPUTED_VALUE"""),"Project Management: Mastering HR for Project Management")</f>
        <v>Project Management: Mastering HR for Project Management</v>
      </c>
      <c r="D624" t="str">
        <f>IFERROR(__xludf.DUMMYFUNCTION("""COMPUTED_VALUE"""),"Joseph Phillips")</f>
        <v>Joseph Phillips</v>
      </c>
      <c r="E624" t="str">
        <f>IFERROR(__xludf.DUMMYFUNCTION("""COMPUTED_VALUE"""),"Instructor Request- Outdated")</f>
        <v>Instructor Request- Outdated</v>
      </c>
      <c r="F624" t="str">
        <f>IFERROR(__xludf.DUMMYFUNCTION("""COMPUTED_VALUE"""),"Project Management and Operations")</f>
        <v>Project Management and Operations</v>
      </c>
      <c r="G624" t="str">
        <f>IFERROR(__xludf.DUMMYFUNCTION("""COMPUTED_VALUE"""),"Project Management Fundamentals")</f>
        <v>Project Management Fundamentals</v>
      </c>
      <c r="H624">
        <f>IFERROR(__xludf.DUMMYFUNCTION("""COMPUTED_VALUE"""),189116.0)</f>
        <v>189116</v>
      </c>
      <c r="I624" s="140" t="str">
        <f>IFERROR(__xludf.DUMMYFUNCTION("""COMPUTED_VALUE"""),"")</f>
        <v/>
      </c>
      <c r="J624">
        <f>IFERROR(__xludf.DUMMYFUNCTION("""COMPUTED_VALUE"""),1295848.0)</f>
        <v>1295848</v>
      </c>
      <c r="K624" s="140" t="str">
        <f>IFERROR(__xludf.DUMMYFUNCTION("""COMPUTED_VALUE"""),"")</f>
        <v/>
      </c>
    </row>
    <row r="625">
      <c r="A625" s="143">
        <f>IFERROR(__xludf.DUMMYFUNCTION("""COMPUTED_VALUE"""),43102.0)</f>
        <v>43102</v>
      </c>
      <c r="B625" s="140">
        <f>IFERROR(__xludf.DUMMYFUNCTION("""COMPUTED_VALUE"""),382240.0)</f>
        <v>382240</v>
      </c>
      <c r="C625" t="str">
        <f>IFERROR(__xludf.DUMMYFUNCTION("""COMPUTED_VALUE"""),"Project Management: Scope Management for Project Managers")</f>
        <v>Project Management: Scope Management for Project Managers</v>
      </c>
      <c r="D625" t="str">
        <f>IFERROR(__xludf.DUMMYFUNCTION("""COMPUTED_VALUE"""),"Joseph Phillips")</f>
        <v>Joseph Phillips</v>
      </c>
      <c r="E625" t="str">
        <f>IFERROR(__xludf.DUMMYFUNCTION("""COMPUTED_VALUE"""),"Instructor Request- Outdated")</f>
        <v>Instructor Request- Outdated</v>
      </c>
      <c r="F625" t="str">
        <f>IFERROR(__xludf.DUMMYFUNCTION("""COMPUTED_VALUE"""),"Project Management and Operations")</f>
        <v>Project Management and Operations</v>
      </c>
      <c r="G625" t="str">
        <f>IFERROR(__xludf.DUMMYFUNCTION("""COMPUTED_VALUE"""),"Project Management Fundamentals")</f>
        <v>Project Management Fundamentals</v>
      </c>
      <c r="I625" s="140" t="str">
        <f>IFERROR(__xludf.DUMMYFUNCTION("""COMPUTED_VALUE"""),"")</f>
        <v/>
      </c>
      <c r="K625" s="140" t="str">
        <f>IFERROR(__xludf.DUMMYFUNCTION("""COMPUTED_VALUE"""),"")</f>
        <v/>
      </c>
      <c r="Q625" t="str">
        <f>IFERROR(__xludf.DUMMYFUNCTION("""COMPUTED_VALUE"""),"Low Demand")</f>
        <v>Low Demand</v>
      </c>
    </row>
    <row r="626">
      <c r="A626" s="143">
        <f>IFERROR(__xludf.DUMMYFUNCTION("""COMPUTED_VALUE"""),43102.0)</f>
        <v>43102</v>
      </c>
      <c r="B626" s="140">
        <f>IFERROR(__xludf.DUMMYFUNCTION("""COMPUTED_VALUE"""),382280.0)</f>
        <v>382280</v>
      </c>
      <c r="C626" t="str">
        <f>IFERROR(__xludf.DUMMYFUNCTION("""COMPUTED_VALUE"""),"Project Management: Time Management for Project Managers")</f>
        <v>Project Management: Time Management for Project Managers</v>
      </c>
      <c r="D626" t="str">
        <f>IFERROR(__xludf.DUMMYFUNCTION("""COMPUTED_VALUE"""),"Joseph Phillips")</f>
        <v>Joseph Phillips</v>
      </c>
      <c r="E626" t="str">
        <f>IFERROR(__xludf.DUMMYFUNCTION("""COMPUTED_VALUE"""),"Instructor Request- Outdated")</f>
        <v>Instructor Request- Outdated</v>
      </c>
      <c r="F626" t="str">
        <f>IFERROR(__xludf.DUMMYFUNCTION("""COMPUTED_VALUE"""),"Project Management and Operations")</f>
        <v>Project Management and Operations</v>
      </c>
      <c r="G626" t="str">
        <f>IFERROR(__xludf.DUMMYFUNCTION("""COMPUTED_VALUE"""),"Project Management Fundamentals")</f>
        <v>Project Management Fundamentals</v>
      </c>
      <c r="I626" s="140" t="str">
        <f>IFERROR(__xludf.DUMMYFUNCTION("""COMPUTED_VALUE"""),"")</f>
        <v/>
      </c>
      <c r="K626" s="140" t="str">
        <f>IFERROR(__xludf.DUMMYFUNCTION("""COMPUTED_VALUE"""),"")</f>
        <v/>
      </c>
      <c r="Q626" t="str">
        <f>IFERROR(__xludf.DUMMYFUNCTION("""COMPUTED_VALUE"""),"Low Demand")</f>
        <v>Low Demand</v>
      </c>
    </row>
    <row r="627">
      <c r="A627" s="143">
        <f>IFERROR(__xludf.DUMMYFUNCTION("""COMPUTED_VALUE"""),43102.0)</f>
        <v>43102</v>
      </c>
      <c r="B627" s="140">
        <f>IFERROR(__xludf.DUMMYFUNCTION("""COMPUTED_VALUE"""),1153366.0)</f>
        <v>1153366</v>
      </c>
      <c r="C627" t="str">
        <f>IFERROR(__xludf.DUMMYFUNCTION("""COMPUTED_VALUE"""),"Sexual Harassment Prevention for Employees - 2017")</f>
        <v>Sexual Harassment Prevention for Employees - 2017</v>
      </c>
      <c r="D627" t="str">
        <f>IFERROR(__xludf.DUMMYFUNCTION("""COMPUTED_VALUE"""),"LearnSmart LLC")</f>
        <v>LearnSmart LLC</v>
      </c>
      <c r="E627" t="str">
        <f>IFERROR(__xludf.DUMMYFUNCTION("""COMPUTED_VALUE"""),"Below Quality Standards- Outdated")</f>
        <v>Below Quality Standards- Outdated</v>
      </c>
      <c r="F627" t="str">
        <f>IFERROR(__xludf.DUMMYFUNCTION("""COMPUTED_VALUE"""),"Human Resources")</f>
        <v>Human Resources</v>
      </c>
      <c r="G627" t="str">
        <f>IFERROR(__xludf.DUMMYFUNCTION("""COMPUTED_VALUE"""),"Compliance")</f>
        <v>Compliance</v>
      </c>
      <c r="I627" s="140" t="str">
        <f>IFERROR(__xludf.DUMMYFUNCTION("""COMPUTED_VALUE"""),"")</f>
        <v/>
      </c>
      <c r="K627" s="140" t="str">
        <f>IFERROR(__xludf.DUMMYFUNCTION("""COMPUTED_VALUE"""),"")</f>
        <v/>
      </c>
      <c r="Q627" t="str">
        <f>IFERROR(__xludf.DUMMYFUNCTION("""COMPUTED_VALUE"""),"Not Alligned with Strategy")</f>
        <v>Not Alligned with Strategy</v>
      </c>
    </row>
    <row r="628">
      <c r="A628" s="143">
        <f>IFERROR(__xludf.DUMMYFUNCTION("""COMPUTED_VALUE"""),43102.0)</f>
        <v>43102</v>
      </c>
      <c r="B628" s="140">
        <f>IFERROR(__xludf.DUMMYFUNCTION("""COMPUTED_VALUE"""),494286.0)</f>
        <v>494286</v>
      </c>
      <c r="C628" s="142" t="str">
        <f>IFERROR(__xludf.DUMMYFUNCTION("""COMPUTED_VALUE"""),"Sexual Harassment Prevention for Managers")</f>
        <v>Sexual Harassment Prevention for Managers</v>
      </c>
      <c r="D628" t="str">
        <f>IFERROR(__xludf.DUMMYFUNCTION("""COMPUTED_VALUE"""),"LearnSmart LLC")</f>
        <v>LearnSmart LLC</v>
      </c>
      <c r="E628" t="str">
        <f>IFERROR(__xludf.DUMMYFUNCTION("""COMPUTED_VALUE"""),"Below Quality Standards- Outdated")</f>
        <v>Below Quality Standards- Outdated</v>
      </c>
      <c r="F628" t="str">
        <f>IFERROR(__xludf.DUMMYFUNCTION("""COMPUTED_VALUE"""),"Human Resources")</f>
        <v>Human Resources</v>
      </c>
      <c r="G628" t="str">
        <f>IFERROR(__xludf.DUMMYFUNCTION("""COMPUTED_VALUE"""),"Compliance")</f>
        <v>Compliance</v>
      </c>
      <c r="I628" s="140" t="str">
        <f>IFERROR(__xludf.DUMMYFUNCTION("""COMPUTED_VALUE"""),"")</f>
        <v/>
      </c>
      <c r="K628" s="140" t="str">
        <f>IFERROR(__xludf.DUMMYFUNCTION("""COMPUTED_VALUE"""),"")</f>
        <v/>
      </c>
      <c r="Q628" t="str">
        <f>IFERROR(__xludf.DUMMYFUNCTION("""COMPUTED_VALUE"""),"Not Alligned with Strategy")</f>
        <v>Not Alligned with Strategy</v>
      </c>
    </row>
    <row r="629">
      <c r="A629" s="143">
        <f>IFERROR(__xludf.DUMMYFUNCTION("""COMPUTED_VALUE"""),43102.0)</f>
        <v>43102</v>
      </c>
      <c r="B629" s="140">
        <f>IFERROR(__xludf.DUMMYFUNCTION("""COMPUTED_VALUE"""),1125992.0)</f>
        <v>1125992</v>
      </c>
      <c r="C629" t="str">
        <f>IFERROR(__xludf.DUMMYFUNCTION("""COMPUTED_VALUE"""),"Sexual Harassment Prevention Training for Managers - 2017")</f>
        <v>Sexual Harassment Prevention Training for Managers - 2017</v>
      </c>
      <c r="D629" t="str">
        <f>IFERROR(__xludf.DUMMYFUNCTION("""COMPUTED_VALUE"""),"Accelerate Learning &amp; Development")</f>
        <v>Accelerate Learning &amp; Development</v>
      </c>
      <c r="E629" t="str">
        <f>IFERROR(__xludf.DUMMYFUNCTION("""COMPUTED_VALUE"""),"Below Quality Standards- Outdated")</f>
        <v>Below Quality Standards- Outdated</v>
      </c>
      <c r="F629" t="str">
        <f>IFERROR(__xludf.DUMMYFUNCTION("""COMPUTED_VALUE"""),"Human Resources")</f>
        <v>Human Resources</v>
      </c>
      <c r="G629" t="str">
        <f>IFERROR(__xludf.DUMMYFUNCTION("""COMPUTED_VALUE"""),"Compliance")</f>
        <v>Compliance</v>
      </c>
      <c r="I629" s="140" t="str">
        <f>IFERROR(__xludf.DUMMYFUNCTION("""COMPUTED_VALUE"""),"")</f>
        <v/>
      </c>
      <c r="K629" s="140" t="str">
        <f>IFERROR(__xludf.DUMMYFUNCTION("""COMPUTED_VALUE"""),"")</f>
        <v/>
      </c>
      <c r="Q629" t="str">
        <f>IFERROR(__xludf.DUMMYFUNCTION("""COMPUTED_VALUE"""),"Not Alligned with Strategy")</f>
        <v>Not Alligned with Strategy</v>
      </c>
    </row>
  </sheetData>
  <hyperlinks>
    <hyperlink r:id="rId1" ref="Q26"/>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9" max="9" width="27.0"/>
    <col customWidth="1" min="10" max="10" width="25.57"/>
  </cols>
  <sheetData>
    <row r="1">
      <c r="A1" t="str">
        <f>IFERROR(__xludf.DUMMYFUNCTION("IMPORTRANGE(""https://docs.google.com/spreadsheets/d/1-PGtQfbeuiWnM5yK4JbSPcN2oBJ9Xk5oQx_g5stVnf0"",""Removed 2017!A:T"")"),"Date")</f>
        <v>Date</v>
      </c>
      <c r="B1" s="140" t="str">
        <f>IFERROR(__xludf.DUMMYFUNCTION("""COMPUTED_VALUE"""),"Course ID")</f>
        <v>Course ID</v>
      </c>
      <c r="C1" t="str">
        <f>IFERROR(__xludf.DUMMYFUNCTION("""COMPUTED_VALUE"""),"Course Title")</f>
        <v>Course Title</v>
      </c>
      <c r="D1" t="str">
        <f>IFERROR(__xludf.DUMMYFUNCTION("""COMPUTED_VALUE"""),"Instructor")</f>
        <v>Instructor</v>
      </c>
      <c r="E1" t="str">
        <f>IFERROR(__xludf.DUMMYFUNCTION("""COMPUTED_VALUE"""),"Removed - Collection")</f>
        <v>Removed - Collection</v>
      </c>
      <c r="F1" t="str">
        <f>IFERROR(__xludf.DUMMYFUNCTION("""COMPUTED_VALUE"""),"CSV")</f>
        <v>CSV</v>
      </c>
      <c r="G1" t="str">
        <f>IFERROR(__xludf.DUMMYFUNCTION("""COMPUTED_VALUE"""),"Removed")</f>
        <v>Removed</v>
      </c>
      <c r="H1" t="str">
        <f>IFERROR(__xludf.DUMMYFUNCTION("""COMPUTED_VALUE"""),"Reason")</f>
        <v>Reason</v>
      </c>
      <c r="I1" t="str">
        <f>IFERROR(__xludf.DUMMYFUNCTION("""COMPUTED_VALUE"""),"Topic 1")</f>
        <v>Topic 1</v>
      </c>
      <c r="J1" t="str">
        <f>IFERROR(__xludf.DUMMYFUNCTION("""COMPUTED_VALUE"""),"Subtopic 1")</f>
        <v>Subtopic 1</v>
      </c>
      <c r="K1" s="140" t="str">
        <f>IFERROR(__xludf.DUMMYFUNCTION("""COMPUTED_VALUE"""),"Replacement CourseID 1")</f>
        <v>Replacement CourseID 1</v>
      </c>
      <c r="L1" t="str">
        <f>IFERROR(__xludf.DUMMYFUNCTION("""COMPUTED_VALUE"""),"Replacement Course Title 1")</f>
        <v>Replacement Course Title 1</v>
      </c>
      <c r="M1" s="140" t="str">
        <f>IFERROR(__xludf.DUMMYFUNCTION("""COMPUTED_VALUE"""),"Replacement CourseID 2")</f>
        <v>Replacement CourseID 2</v>
      </c>
      <c r="N1" t="str">
        <f>IFERROR(__xludf.DUMMYFUNCTION("""COMPUTED_VALUE"""),"Replacement Course Title 2")</f>
        <v>Replacement Course Title 2</v>
      </c>
      <c r="O1" s="140" t="str">
        <f>IFERROR(__xludf.DUMMYFUNCTION("""COMPUTED_VALUE"""),"Replacement CourseID 3")</f>
        <v>Replacement CourseID 3</v>
      </c>
      <c r="P1" t="str">
        <f>IFERROR(__xludf.DUMMYFUNCTION("""COMPUTED_VALUE"""),"Replacement Course Title 3")</f>
        <v>Replacement Course Title 3</v>
      </c>
      <c r="Q1" t="str">
        <f>IFERROR(__xludf.DUMMYFUNCTION("""COMPUTED_VALUE"""),"Notes")</f>
        <v>Notes</v>
      </c>
      <c r="R1" t="str">
        <f>IFERROR(__xludf.DUMMYFUNCTION("""COMPUTED_VALUE"""),"Topic 2")</f>
        <v>Topic 2</v>
      </c>
      <c r="S1" t="str">
        <f>IFERROR(__xludf.DUMMYFUNCTION("""COMPUTED_VALUE"""),"Subtopic 2")</f>
        <v>Subtopic 2</v>
      </c>
      <c r="T1" t="str">
        <f>IFERROR(__xludf.DUMMYFUNCTION("""COMPUTED_VALUE"""),"Topic 3")</f>
        <v>Topic 3</v>
      </c>
    </row>
    <row r="2">
      <c r="A2" s="143">
        <f>IFERROR(__xludf.DUMMYFUNCTION("""COMPUTED_VALUE"""),43077.0)</f>
        <v>43077</v>
      </c>
      <c r="B2" s="140">
        <f>IFERROR(__xludf.DUMMYFUNCTION("""COMPUTED_VALUE"""),749838.0)</f>
        <v>749838</v>
      </c>
      <c r="C2" s="140" t="str">
        <f>IFERROR(__xludf.DUMMYFUNCTION("""COMPUTED_VALUE"""),"#N/A")</f>
        <v>#N/A</v>
      </c>
      <c r="D2" t="str">
        <f>IFERROR(__xludf.DUMMYFUNCTION("""COMPUTED_VALUE"""),"Mohamed Atef")</f>
        <v>Mohamed Atef</v>
      </c>
      <c r="G2" t="str">
        <f>IFERROR(__xludf.DUMMYFUNCTION("""COMPUTED_VALUE"""),"Y")</f>
        <v>Y</v>
      </c>
      <c r="H2" t="str">
        <f>IFERROR(__xludf.DUMMYFUNCTION("""COMPUTED_VALUE"""),"DMCA Removal")</f>
        <v>DMCA Removal</v>
      </c>
      <c r="I2" t="str">
        <f>IFERROR(__xludf.DUMMYFUNCTION("""COMPUTED_VALUE"""),"IT and Software")</f>
        <v>IT and Software</v>
      </c>
      <c r="J2" t="str">
        <f>IFERROR(__xludf.DUMMYFUNCTION("""COMPUTED_VALUE"""),"IT Certifications")</f>
        <v>IT Certifications</v>
      </c>
      <c r="L2" s="140" t="str">
        <f>IFERROR(__xludf.DUMMYFUNCTION("""COMPUTED_VALUE"""),"")</f>
        <v/>
      </c>
      <c r="N2" s="140" t="str">
        <f>IFERROR(__xludf.DUMMYFUNCTION("""COMPUTED_VALUE"""),"")</f>
        <v/>
      </c>
    </row>
    <row r="3">
      <c r="A3" s="143">
        <f>IFERROR(__xludf.DUMMYFUNCTION("""COMPUTED_VALUE"""),43069.0)</f>
        <v>43069</v>
      </c>
      <c r="B3" s="140">
        <f>IFERROR(__xludf.DUMMYFUNCTION("""COMPUTED_VALUE"""),153722.0)</f>
        <v>153722</v>
      </c>
      <c r="C3" s="140" t="str">
        <f>IFERROR(__xludf.DUMMYFUNCTION("""COMPUTED_VALUE"""),"#N/A")</f>
        <v>#N/A</v>
      </c>
      <c r="D3" t="str">
        <f>IFERROR(__xludf.DUMMYFUNCTION("""COMPUTED_VALUE"""),"John Wiley &amp; Sons, Inc.")</f>
        <v>John Wiley &amp; Sons, Inc.</v>
      </c>
      <c r="G3" t="str">
        <f>IFERROR(__xludf.DUMMYFUNCTION("""COMPUTED_VALUE"""),"Y")</f>
        <v>Y</v>
      </c>
      <c r="H3" t="str">
        <f>IFERROR(__xludf.DUMMYFUNCTION("""COMPUTED_VALUE"""),"Below Quality Standards")</f>
        <v>Below Quality Standards</v>
      </c>
      <c r="I3" t="str">
        <f>IFERROR(__xludf.DUMMYFUNCTION("""COMPUTED_VALUE"""),"Design")</f>
        <v>Design</v>
      </c>
      <c r="J3" t="str">
        <f>IFERROR(__xludf.DUMMYFUNCTION("""COMPUTED_VALUE"""),"Graphic Design")</f>
        <v>Graphic Design</v>
      </c>
      <c r="K3" s="140">
        <f>IFERROR(__xludf.DUMMYFUNCTION("""COMPUTED_VALUE"""),394968.0)</f>
        <v>394968</v>
      </c>
      <c r="L3" s="140" t="str">
        <f>IFERROR(__xludf.DUMMYFUNCTION("""COMPUTED_VALUE"""),"")</f>
        <v/>
      </c>
      <c r="N3" s="140" t="str">
        <f>IFERROR(__xludf.DUMMYFUNCTION("""COMPUTED_VALUE"""),"")</f>
        <v/>
      </c>
    </row>
    <row r="4">
      <c r="A4" s="143">
        <f>IFERROR(__xludf.DUMMYFUNCTION("""COMPUTED_VALUE"""),43069.0)</f>
        <v>43069</v>
      </c>
      <c r="B4" s="140">
        <f>IFERROR(__xludf.DUMMYFUNCTION("""COMPUTED_VALUE"""),953294.0)</f>
        <v>953294</v>
      </c>
      <c r="C4" s="140" t="str">
        <f>IFERROR(__xludf.DUMMYFUNCTION("""COMPUTED_VALUE"""),"#N/A")</f>
        <v>#N/A</v>
      </c>
      <c r="D4" t="str">
        <f>IFERROR(__xludf.DUMMYFUNCTION("""COMPUTED_VALUE"""),"Tom Serres")</f>
        <v>Tom Serres</v>
      </c>
      <c r="G4" t="str">
        <f>IFERROR(__xludf.DUMMYFUNCTION("""COMPUTED_VALUE"""),"Y")</f>
        <v>Y</v>
      </c>
      <c r="H4" t="str">
        <f>IFERROR(__xludf.DUMMYFUNCTION("""COMPUTED_VALUE"""),"Below Quality Standards")</f>
        <v>Below Quality Standards</v>
      </c>
      <c r="I4" t="str">
        <f>IFERROR(__xludf.DUMMYFUNCTION("""COMPUTED_VALUE"""),"Development")</f>
        <v>Development</v>
      </c>
      <c r="J4" t="str">
        <f>IFERROR(__xludf.DUMMYFUNCTION("""COMPUTED_VALUE"""),"Databases")</f>
        <v>Databases</v>
      </c>
      <c r="K4" s="140">
        <f>IFERROR(__xludf.DUMMYFUNCTION("""COMPUTED_VALUE"""),1151036.0)</f>
        <v>1151036</v>
      </c>
      <c r="L4" s="140" t="str">
        <f>IFERROR(__xludf.DUMMYFUNCTION("""COMPUTED_VALUE"""),"")</f>
        <v/>
      </c>
      <c r="N4" s="140" t="str">
        <f>IFERROR(__xludf.DUMMYFUNCTION("""COMPUTED_VALUE"""),"")</f>
        <v/>
      </c>
      <c r="R4" t="str">
        <f>IFERROR(__xludf.DUMMYFUNCTION("""COMPUTED_VALUE"""),"IT and Software")</f>
        <v>IT and Software</v>
      </c>
      <c r="S4" s="143" t="str">
        <f>IFERROR(__xludf.DUMMYFUNCTION("""COMPUTED_VALUE"""),"Databases")</f>
        <v>Databases</v>
      </c>
    </row>
    <row r="5">
      <c r="A5" s="143">
        <f>IFERROR(__xludf.DUMMYFUNCTION("""COMPUTED_VALUE"""),43069.0)</f>
        <v>43069</v>
      </c>
      <c r="B5" s="140">
        <f>IFERROR(__xludf.DUMMYFUNCTION("""COMPUTED_VALUE"""),672916.0)</f>
        <v>672916</v>
      </c>
      <c r="C5" s="140" t="str">
        <f>IFERROR(__xludf.DUMMYFUNCTION("""COMPUTED_VALUE"""),"#N/A")</f>
        <v>#N/A</v>
      </c>
      <c r="D5" t="str">
        <f>IFERROR(__xludf.DUMMYFUNCTION("""COMPUTED_VALUE"""),"Eduonix Learning Solutions")</f>
        <v>Eduonix Learning Solutions</v>
      </c>
      <c r="G5" t="str">
        <f>IFERROR(__xludf.DUMMYFUNCTION("""COMPUTED_VALUE"""),"Y")</f>
        <v>Y</v>
      </c>
      <c r="H5" t="str">
        <f>IFERROR(__xludf.DUMMYFUNCTION("""COMPUTED_VALUE"""),"Below Quality Standards")</f>
        <v>Below Quality Standards</v>
      </c>
      <c r="I5" t="str">
        <f>IFERROR(__xludf.DUMMYFUNCTION("""COMPUTED_VALUE"""),"Development")</f>
        <v>Development</v>
      </c>
      <c r="J5" t="str">
        <f>IFERROR(__xludf.DUMMYFUNCTION("""COMPUTED_VALUE"""),"Programming")</f>
        <v>Programming</v>
      </c>
      <c r="K5" s="140">
        <f>IFERROR(__xludf.DUMMYFUNCTION("""COMPUTED_VALUE"""),664052.0)</f>
        <v>664052</v>
      </c>
      <c r="L5" s="140" t="str">
        <f>IFERROR(__xludf.DUMMYFUNCTION("""COMPUTED_VALUE"""),"")</f>
        <v/>
      </c>
      <c r="M5" s="140">
        <f>IFERROR(__xludf.DUMMYFUNCTION("""COMPUTED_VALUE"""),791548.0)</f>
        <v>791548</v>
      </c>
      <c r="N5" s="140" t="str">
        <f>IFERROR(__xludf.DUMMYFUNCTION("""COMPUTED_VALUE"""),"")</f>
        <v/>
      </c>
      <c r="O5" s="140">
        <f>IFERROR(__xludf.DUMMYFUNCTION("""COMPUTED_VALUE"""),791836.0)</f>
        <v>791836</v>
      </c>
      <c r="P5" t="str">
        <f>IFERROR(__xludf.DUMMYFUNCTION("""COMPUTED_VALUE"""),"Stairway to Scala Applied, Part 2")</f>
        <v>Stairway to Scala Applied, Part 2</v>
      </c>
    </row>
    <row r="6">
      <c r="A6" s="143">
        <f>IFERROR(__xludf.DUMMYFUNCTION("""COMPUTED_VALUE"""),43069.0)</f>
        <v>43069</v>
      </c>
      <c r="B6" s="140">
        <f>IFERROR(__xludf.DUMMYFUNCTION("""COMPUTED_VALUE"""),153720.0)</f>
        <v>153720</v>
      </c>
      <c r="C6" s="140" t="str">
        <f>IFERROR(__xludf.DUMMYFUNCTION("""COMPUTED_VALUE"""),"#N/A")</f>
        <v>#N/A</v>
      </c>
      <c r="D6" t="str">
        <f>IFERROR(__xludf.DUMMYFUNCTION("""COMPUTED_VALUE"""),"John Wiley &amp; Sons, Inc.")</f>
        <v>John Wiley &amp; Sons, Inc.</v>
      </c>
      <c r="G6" t="str">
        <f>IFERROR(__xludf.DUMMYFUNCTION("""COMPUTED_VALUE"""),"Y")</f>
        <v>Y</v>
      </c>
      <c r="H6" t="str">
        <f>IFERROR(__xludf.DUMMYFUNCTION("""COMPUTED_VALUE"""),"Below Quality Standards")</f>
        <v>Below Quality Standards</v>
      </c>
      <c r="I6" t="str">
        <f>IFERROR(__xludf.DUMMYFUNCTION("""COMPUTED_VALUE"""),"Development")</f>
        <v>Development</v>
      </c>
      <c r="J6" t="str">
        <f>IFERROR(__xludf.DUMMYFUNCTION("""COMPUTED_VALUE"""),"Web Development")</f>
        <v>Web Development</v>
      </c>
      <c r="K6" s="140">
        <f>IFERROR(__xludf.DUMMYFUNCTION("""COMPUTED_VALUE"""),876850.0)</f>
        <v>876850</v>
      </c>
      <c r="L6" s="140" t="str">
        <f>IFERROR(__xludf.DUMMYFUNCTION("""COMPUTED_VALUE"""),"")</f>
        <v/>
      </c>
      <c r="N6" s="140" t="str">
        <f>IFERROR(__xludf.DUMMYFUNCTION("""COMPUTED_VALUE"""),"")</f>
        <v/>
      </c>
    </row>
    <row r="7">
      <c r="A7" s="143">
        <f>IFERROR(__xludf.DUMMYFUNCTION("""COMPUTED_VALUE"""),43069.0)</f>
        <v>43069</v>
      </c>
      <c r="B7" s="140">
        <f>IFERROR(__xludf.DUMMYFUNCTION("""COMPUTED_VALUE"""),194608.0)</f>
        <v>194608</v>
      </c>
      <c r="C7" s="140" t="str">
        <f>IFERROR(__xludf.DUMMYFUNCTION("""COMPUTED_VALUE"""),"#N/A")</f>
        <v>#N/A</v>
      </c>
      <c r="D7" t="str">
        <f>IFERROR(__xludf.DUMMYFUNCTION("""COMPUTED_VALUE"""),"Mark Charles Good, M.Ed.")</f>
        <v>Mark Charles Good, M.Ed.</v>
      </c>
      <c r="G7" t="str">
        <f>IFERROR(__xludf.DUMMYFUNCTION("""COMPUTED_VALUE"""),"Y")</f>
        <v>Y</v>
      </c>
      <c r="H7" t="str">
        <f>IFERROR(__xludf.DUMMYFUNCTION("""COMPUTED_VALUE"""),"Below Quality Standards")</f>
        <v>Below Quality Standards</v>
      </c>
      <c r="I7" t="str">
        <f>IFERROR(__xludf.DUMMYFUNCTION("""COMPUTED_VALUE"""),"Management")</f>
        <v>Management</v>
      </c>
      <c r="J7" t="str">
        <f>IFERROR(__xludf.DUMMYFUNCTION("""COMPUTED_VALUE"""),"Communication")</f>
        <v>Communication</v>
      </c>
      <c r="K7" s="140">
        <f>IFERROR(__xludf.DUMMYFUNCTION("""COMPUTED_VALUE"""),1140472.0)</f>
        <v>1140472</v>
      </c>
      <c r="L7" s="140" t="str">
        <f>IFERROR(__xludf.DUMMYFUNCTION("""COMPUTED_VALUE"""),"")</f>
        <v/>
      </c>
      <c r="N7" s="140" t="str">
        <f>IFERROR(__xludf.DUMMYFUNCTION("""COMPUTED_VALUE"""),"")</f>
        <v/>
      </c>
    </row>
    <row r="8">
      <c r="A8" s="143">
        <f>IFERROR(__xludf.DUMMYFUNCTION("""COMPUTED_VALUE"""),43069.0)</f>
        <v>43069</v>
      </c>
      <c r="B8" s="140">
        <f>IFERROR(__xludf.DUMMYFUNCTION("""COMPUTED_VALUE"""),48831.0)</f>
        <v>48831</v>
      </c>
      <c r="C8" s="140" t="str">
        <f>IFERROR(__xludf.DUMMYFUNCTION("""COMPUTED_VALUE"""),"#N/A")</f>
        <v>#N/A</v>
      </c>
      <c r="D8" t="str">
        <f>IFERROR(__xludf.DUMMYFUNCTION("""COMPUTED_VALUE"""),"Rob Cubbon")</f>
        <v>Rob Cubbon</v>
      </c>
      <c r="G8" t="str">
        <f>IFERROR(__xludf.DUMMYFUNCTION("""COMPUTED_VALUE"""),"Y")</f>
        <v>Y</v>
      </c>
      <c r="H8" t="str">
        <f>IFERROR(__xludf.DUMMYFUNCTION("""COMPUTED_VALUE"""),"Below Quality Standards")</f>
        <v>Below Quality Standards</v>
      </c>
      <c r="I8" t="str">
        <f>IFERROR(__xludf.DUMMYFUNCTION("""COMPUTED_VALUE"""),"Marketing")</f>
        <v>Marketing</v>
      </c>
      <c r="J8" t="str">
        <f>IFERROR(__xludf.DUMMYFUNCTION("""COMPUTED_VALUE"""),"Digital Marketing")</f>
        <v>Digital Marketing</v>
      </c>
      <c r="K8" s="140">
        <f>IFERROR(__xludf.DUMMYFUNCTION("""COMPUTED_VALUE"""),1196522.0)</f>
        <v>1196522</v>
      </c>
      <c r="L8" s="140" t="str">
        <f>IFERROR(__xludf.DUMMYFUNCTION("""COMPUTED_VALUE"""),"")</f>
        <v/>
      </c>
      <c r="N8" s="140" t="str">
        <f>IFERROR(__xludf.DUMMYFUNCTION("""COMPUTED_VALUE"""),"")</f>
        <v/>
      </c>
    </row>
    <row r="9">
      <c r="A9" s="143">
        <f>IFERROR(__xludf.DUMMYFUNCTION("""COMPUTED_VALUE"""),43069.0)</f>
        <v>43069</v>
      </c>
      <c r="B9" s="140">
        <f>IFERROR(__xludf.DUMMYFUNCTION("""COMPUTED_VALUE"""),629502.0)</f>
        <v>629502</v>
      </c>
      <c r="C9" s="140" t="str">
        <f>IFERROR(__xludf.DUMMYFUNCTION("""COMPUTED_VALUE"""),"#N/A")</f>
        <v>#N/A</v>
      </c>
      <c r="D9" t="str">
        <f>IFERROR(__xludf.DUMMYFUNCTION("""COMPUTED_VALUE"""),"Daragh Walsh")</f>
        <v>Daragh Walsh</v>
      </c>
      <c r="G9" t="str">
        <f>IFERROR(__xludf.DUMMYFUNCTION("""COMPUTED_VALUE"""),"Y")</f>
        <v>Y</v>
      </c>
      <c r="H9" t="str">
        <f>IFERROR(__xludf.DUMMYFUNCTION("""COMPUTED_VALUE"""),"Instructor Request")</f>
        <v>Instructor Request</v>
      </c>
      <c r="I9" t="str">
        <f>IFERROR(__xludf.DUMMYFUNCTION("""COMPUTED_VALUE"""),"Marketing")</f>
        <v>Marketing</v>
      </c>
      <c r="J9" t="str">
        <f>IFERROR(__xludf.DUMMYFUNCTION("""COMPUTED_VALUE"""),"Search Engine Optimization")</f>
        <v>Search Engine Optimization</v>
      </c>
      <c r="K9" s="140">
        <f>IFERROR(__xludf.DUMMYFUNCTION("""COMPUTED_VALUE"""),365176.0)</f>
        <v>365176</v>
      </c>
      <c r="L9" s="140" t="str">
        <f>IFERROR(__xludf.DUMMYFUNCTION("""COMPUTED_VALUE"""),"")</f>
        <v/>
      </c>
      <c r="N9" s="140" t="str">
        <f>IFERROR(__xludf.DUMMYFUNCTION("""COMPUTED_VALUE"""),"")</f>
        <v/>
      </c>
    </row>
    <row r="10">
      <c r="A10" s="143">
        <f>IFERROR(__xludf.DUMMYFUNCTION("""COMPUTED_VALUE"""),43069.0)</f>
        <v>43069</v>
      </c>
      <c r="B10" s="140">
        <f>IFERROR(__xludf.DUMMYFUNCTION("""COMPUTED_VALUE"""),493896.0)</f>
        <v>493896</v>
      </c>
      <c r="C10" s="140" t="str">
        <f>IFERROR(__xludf.DUMMYFUNCTION("""COMPUTED_VALUE"""),"#N/A")</f>
        <v>#N/A</v>
      </c>
      <c r="D10" t="str">
        <f>IFERROR(__xludf.DUMMYFUNCTION("""COMPUTED_VALUE"""),"Vladimir Raykov")</f>
        <v>Vladimir Raykov</v>
      </c>
      <c r="G10" t="str">
        <f>IFERROR(__xludf.DUMMYFUNCTION("""COMPUTED_VALUE"""),"Y")</f>
        <v>Y</v>
      </c>
      <c r="H10" t="str">
        <f>IFERROR(__xludf.DUMMYFUNCTION("""COMPUTED_VALUE"""),"Instructor Request")</f>
        <v>Instructor Request</v>
      </c>
      <c r="I10" t="str">
        <f>IFERROR(__xludf.DUMMYFUNCTION("""COMPUTED_VALUE"""),"Office Productivity")</f>
        <v>Office Productivity</v>
      </c>
      <c r="J10" t="str">
        <f>IFERROR(__xludf.DUMMYFUNCTION("""COMPUTED_VALUE"""),"Email and Productivity")</f>
        <v>Email and Productivity</v>
      </c>
      <c r="K10" s="140">
        <f>IFERROR(__xludf.DUMMYFUNCTION("""COMPUTED_VALUE"""),726230.0)</f>
        <v>726230</v>
      </c>
      <c r="L10" s="140" t="str">
        <f>IFERROR(__xludf.DUMMYFUNCTION("""COMPUTED_VALUE"""),"")</f>
        <v/>
      </c>
      <c r="N10" s="140" t="str">
        <f>IFERROR(__xludf.DUMMYFUNCTION("""COMPUTED_VALUE"""),"")</f>
        <v/>
      </c>
    </row>
    <row r="11">
      <c r="A11" s="143">
        <f>IFERROR(__xludf.DUMMYFUNCTION("""COMPUTED_VALUE"""),43069.0)</f>
        <v>43069</v>
      </c>
      <c r="B11" s="140">
        <f>IFERROR(__xludf.DUMMYFUNCTION("""COMPUTED_VALUE"""),987786.0)</f>
        <v>987786</v>
      </c>
      <c r="C11" s="140" t="str">
        <f>IFERROR(__xludf.DUMMYFUNCTION("""COMPUTED_VALUE"""),"#N/A")</f>
        <v>#N/A</v>
      </c>
      <c r="D11" t="str">
        <f>IFERROR(__xludf.DUMMYFUNCTION("""COMPUTED_VALUE"""),"Paula Guilfoyle")</f>
        <v>Paula Guilfoyle</v>
      </c>
      <c r="G11" t="str">
        <f>IFERROR(__xludf.DUMMYFUNCTION("""COMPUTED_VALUE"""),"Y")</f>
        <v>Y</v>
      </c>
      <c r="H11" t="str">
        <f>IFERROR(__xludf.DUMMYFUNCTION("""COMPUTED_VALUE"""),"Below Quality Standards")</f>
        <v>Below Quality Standards</v>
      </c>
      <c r="I11" t="str">
        <f>IFERROR(__xludf.DUMMYFUNCTION("""COMPUTED_VALUE"""),"Office Productivity")</f>
        <v>Office Productivity</v>
      </c>
      <c r="J11" t="str">
        <f>IFERROR(__xludf.DUMMYFUNCTION("""COMPUTED_VALUE"""),"Spreadsheets")</f>
        <v>Spreadsheets</v>
      </c>
      <c r="K11" s="140">
        <f>IFERROR(__xludf.DUMMYFUNCTION("""COMPUTED_VALUE"""),817764.0)</f>
        <v>817764</v>
      </c>
      <c r="L11" s="140" t="str">
        <f>IFERROR(__xludf.DUMMYFUNCTION("""COMPUTED_VALUE"""),"")</f>
        <v/>
      </c>
      <c r="N11" s="140" t="str">
        <f>IFERROR(__xludf.DUMMYFUNCTION("""COMPUTED_VALUE"""),"")</f>
        <v/>
      </c>
    </row>
    <row r="12">
      <c r="A12" s="143">
        <f>IFERROR(__xludf.DUMMYFUNCTION("""COMPUTED_VALUE"""),43069.0)</f>
        <v>43069</v>
      </c>
      <c r="B12" s="140">
        <f>IFERROR(__xludf.DUMMYFUNCTION("""COMPUTED_VALUE"""),979552.0)</f>
        <v>979552</v>
      </c>
      <c r="C12" s="140" t="str">
        <f>IFERROR(__xludf.DUMMYFUNCTION("""COMPUTED_VALUE"""),"#N/A")</f>
        <v>#N/A</v>
      </c>
      <c r="D12" t="str">
        <f>IFERROR(__xludf.DUMMYFUNCTION("""COMPUTED_VALUE"""),"Joseph Phillips")</f>
        <v>Joseph Phillips</v>
      </c>
      <c r="G12" t="str">
        <f>IFERROR(__xludf.DUMMYFUNCTION("""COMPUTED_VALUE"""),"Y")</f>
        <v>Y</v>
      </c>
      <c r="H12" t="str">
        <f>IFERROR(__xludf.DUMMYFUNCTION("""COMPUTED_VALUE"""),"Instructor Request, Updated")</f>
        <v>Instructor Request, Updated</v>
      </c>
      <c r="I12" t="str">
        <f>IFERROR(__xludf.DUMMYFUNCTION("""COMPUTED_VALUE"""),"Project Management and Operations")</f>
        <v>Project Management and Operations</v>
      </c>
      <c r="J12" t="str">
        <f>IFERROR(__xludf.DUMMYFUNCTION("""COMPUTED_VALUE"""),"Project Management Certifications")</f>
        <v>Project Management Certifications</v>
      </c>
      <c r="K12" s="140">
        <f>IFERROR(__xludf.DUMMYFUNCTION("""COMPUTED_VALUE"""),1361790.0)</f>
        <v>1361790</v>
      </c>
      <c r="L12" s="140" t="str">
        <f>IFERROR(__xludf.DUMMYFUNCTION("""COMPUTED_VALUE"""),"")</f>
        <v/>
      </c>
      <c r="N12" s="140" t="str">
        <f>IFERROR(__xludf.DUMMYFUNCTION("""COMPUTED_VALUE"""),"")</f>
        <v/>
      </c>
    </row>
    <row r="13">
      <c r="A13" s="143">
        <f>IFERROR(__xludf.DUMMYFUNCTION("""COMPUTED_VALUE"""),43060.0)</f>
        <v>43060</v>
      </c>
      <c r="B13" s="140">
        <f>IFERROR(__xludf.DUMMYFUNCTION("""COMPUTED_VALUE"""),868432.0)</f>
        <v>868432</v>
      </c>
      <c r="C13" s="140" t="str">
        <f>IFERROR(__xludf.DUMMYFUNCTION("""COMPUTED_VALUE"""),"#N/A")</f>
        <v>#N/A</v>
      </c>
      <c r="D13" t="str">
        <f>IFERROR(__xludf.DUMMYFUNCTION("""COMPUTED_VALUE"""),"Akshay Goel")</f>
        <v>Akshay Goel</v>
      </c>
      <c r="G13" t="str">
        <f>IFERROR(__xludf.DUMMYFUNCTION("""COMPUTED_VALUE"""),"Y")</f>
        <v>Y</v>
      </c>
      <c r="H13" t="str">
        <f>IFERROR(__xludf.DUMMYFUNCTION("""COMPUTED_VALUE"""),"DMCA Removal")</f>
        <v>DMCA Removal</v>
      </c>
      <c r="I13" t="str">
        <f>IFERROR(__xludf.DUMMYFUNCTION("""COMPUTED_VALUE"""),"Management")</f>
        <v>Management</v>
      </c>
      <c r="J13" t="str">
        <f>IFERROR(__xludf.DUMMYFUNCTION("""COMPUTED_VALUE"""),"Influence")</f>
        <v>Influence</v>
      </c>
      <c r="K13" s="140">
        <f>IFERROR(__xludf.DUMMYFUNCTION("""COMPUTED_VALUE"""),274222.0)</f>
        <v>274222</v>
      </c>
      <c r="L13" s="140" t="str">
        <f>IFERROR(__xludf.DUMMYFUNCTION("""COMPUTED_VALUE"""),"")</f>
        <v/>
      </c>
      <c r="N13" s="140" t="str">
        <f>IFERROR(__xludf.DUMMYFUNCTION("""COMPUTED_VALUE"""),"")</f>
        <v/>
      </c>
    </row>
    <row r="14">
      <c r="A14" s="143">
        <f>IFERROR(__xludf.DUMMYFUNCTION("""COMPUTED_VALUE"""),43039.0)</f>
        <v>43039</v>
      </c>
      <c r="B14" s="140">
        <f>IFERROR(__xludf.DUMMYFUNCTION("""COMPUTED_VALUE"""),849804.0)</f>
        <v>849804</v>
      </c>
      <c r="C14" s="140" t="str">
        <f>IFERROR(__xludf.DUMMYFUNCTION("""COMPUTED_VALUE"""),"#N/A")</f>
        <v>#N/A</v>
      </c>
      <c r="D14" t="str">
        <f>IFERROR(__xludf.DUMMYFUNCTION("""COMPUTED_VALUE"""),"Adam Karsh")</f>
        <v>Adam Karsh</v>
      </c>
      <c r="G14" t="str">
        <f>IFERROR(__xludf.DUMMYFUNCTION("""COMPUTED_VALUE"""),"Y")</f>
        <v>Y</v>
      </c>
      <c r="H14" t="str">
        <f>IFERROR(__xludf.DUMMYFUNCTION("""COMPUTED_VALUE"""),"Below Quality Standards")</f>
        <v>Below Quality Standards</v>
      </c>
      <c r="I14" t="str">
        <f>IFERROR(__xludf.DUMMYFUNCTION("""COMPUTED_VALUE"""),"Project Management and Operations")</f>
        <v>Project Management and Operations</v>
      </c>
      <c r="J14" t="str">
        <f>IFERROR(__xludf.DUMMYFUNCTION("""COMPUTED_VALUE"""),"Operations Management")</f>
        <v>Operations Management</v>
      </c>
      <c r="L14" s="140" t="str">
        <f>IFERROR(__xludf.DUMMYFUNCTION("""COMPUTED_VALUE"""),"")</f>
        <v/>
      </c>
      <c r="N14" s="140" t="str">
        <f>IFERROR(__xludf.DUMMYFUNCTION("""COMPUTED_VALUE"""),"")</f>
        <v/>
      </c>
    </row>
    <row r="15">
      <c r="A15" s="143">
        <f>IFERROR(__xludf.DUMMYFUNCTION("""COMPUTED_VALUE"""),43039.0)</f>
        <v>43039</v>
      </c>
      <c r="B15" s="140">
        <f>IFERROR(__xludf.DUMMYFUNCTION("""COMPUTED_VALUE"""),853948.0)</f>
        <v>853948</v>
      </c>
      <c r="C15" s="140" t="str">
        <f>IFERROR(__xludf.DUMMYFUNCTION("""COMPUTED_VALUE"""),"#N/A")</f>
        <v>#N/A</v>
      </c>
      <c r="D15" t="str">
        <f>IFERROR(__xludf.DUMMYFUNCTION("""COMPUTED_VALUE"""),"Adam Karsh")</f>
        <v>Adam Karsh</v>
      </c>
      <c r="G15" t="str">
        <f>IFERROR(__xludf.DUMMYFUNCTION("""COMPUTED_VALUE"""),"Y")</f>
        <v>Y</v>
      </c>
      <c r="H15" t="str">
        <f>IFERROR(__xludf.DUMMYFUNCTION("""COMPUTED_VALUE"""),"Below Quality Standards")</f>
        <v>Below Quality Standards</v>
      </c>
      <c r="I15" t="str">
        <f>IFERROR(__xludf.DUMMYFUNCTION("""COMPUTED_VALUE"""),"Project Management and Operations")</f>
        <v>Project Management and Operations</v>
      </c>
      <c r="J15" t="str">
        <f>IFERROR(__xludf.DUMMYFUNCTION("""COMPUTED_VALUE"""),"Operations Management")</f>
        <v>Operations Management</v>
      </c>
      <c r="L15" s="140" t="str">
        <f>IFERROR(__xludf.DUMMYFUNCTION("""COMPUTED_VALUE"""),"")</f>
        <v/>
      </c>
      <c r="N15" s="140" t="str">
        <f>IFERROR(__xludf.DUMMYFUNCTION("""COMPUTED_VALUE"""),"")</f>
        <v/>
      </c>
    </row>
    <row r="16">
      <c r="A16" s="143">
        <f>IFERROR(__xludf.DUMMYFUNCTION("""COMPUTED_VALUE"""),43039.0)</f>
        <v>43039</v>
      </c>
      <c r="B16" s="140">
        <f>IFERROR(__xludf.DUMMYFUNCTION("""COMPUTED_VALUE"""),755128.0)</f>
        <v>755128</v>
      </c>
      <c r="C16" s="140" t="str">
        <f>IFERROR(__xludf.DUMMYFUNCTION("""COMPUTED_VALUE"""),"#N/A")</f>
        <v>#N/A</v>
      </c>
      <c r="D16" t="str">
        <f>IFERROR(__xludf.DUMMYFUNCTION("""COMPUTED_VALUE"""),"Andrew Mead")</f>
        <v>Andrew Mead</v>
      </c>
      <c r="G16" t="str">
        <f>IFERROR(__xludf.DUMMYFUNCTION("""COMPUTED_VALUE"""),"Y")</f>
        <v>Y</v>
      </c>
      <c r="H16" t="str">
        <f>IFERROR(__xludf.DUMMYFUNCTION("""COMPUTED_VALUE"""),"Instructor Request, Updated")</f>
        <v>Instructor Request, Updated</v>
      </c>
      <c r="I16" t="str">
        <f>IFERROR(__xludf.DUMMYFUNCTION("""COMPUTED_VALUE"""),"Development")</f>
        <v>Development</v>
      </c>
      <c r="J16" t="str">
        <f>IFERROR(__xludf.DUMMYFUNCTION("""COMPUTED_VALUE"""),"Web Development")</f>
        <v>Web Development</v>
      </c>
      <c r="K16" s="140">
        <f>IFERROR(__xludf.DUMMYFUNCTION("""COMPUTED_VALUE"""),1286908.0)</f>
        <v>1286908</v>
      </c>
      <c r="L16" s="140" t="str">
        <f>IFERROR(__xludf.DUMMYFUNCTION("""COMPUTED_VALUE"""),"")</f>
        <v/>
      </c>
      <c r="N16" s="140" t="str">
        <f>IFERROR(__xludf.DUMMYFUNCTION("""COMPUTED_VALUE"""),"")</f>
        <v/>
      </c>
    </row>
    <row r="17">
      <c r="A17" s="143">
        <f>IFERROR(__xludf.DUMMYFUNCTION("""COMPUTED_VALUE"""),43039.0)</f>
        <v>43039</v>
      </c>
      <c r="B17" s="140">
        <f>IFERROR(__xludf.DUMMYFUNCTION("""COMPUTED_VALUE"""),441914.0)</f>
        <v>441914</v>
      </c>
      <c r="C17" s="140" t="str">
        <f>IFERROR(__xludf.DUMMYFUNCTION("""COMPUTED_VALUE"""),"#N/A")</f>
        <v>#N/A</v>
      </c>
      <c r="D17" t="str">
        <f>IFERROR(__xludf.DUMMYFUNCTION("""COMPUTED_VALUE"""),"Compaq learning")</f>
        <v>Compaq learning</v>
      </c>
      <c r="G17" t="str">
        <f>IFERROR(__xludf.DUMMYFUNCTION("""COMPUTED_VALUE"""),"Y")</f>
        <v>Y</v>
      </c>
      <c r="H17" t="str">
        <f>IFERROR(__xludf.DUMMYFUNCTION("""COMPUTED_VALUE"""),"Below Quality Standards")</f>
        <v>Below Quality Standards</v>
      </c>
      <c r="I17" t="str">
        <f>IFERROR(__xludf.DUMMYFUNCTION("""COMPUTED_VALUE"""),"Project Management and Operations")</f>
        <v>Project Management and Operations</v>
      </c>
      <c r="J17" t="str">
        <f>IFERROR(__xludf.DUMMYFUNCTION("""COMPUTED_VALUE"""),"Operations Management")</f>
        <v>Operations Management</v>
      </c>
      <c r="L17" s="140" t="str">
        <f>IFERROR(__xludf.DUMMYFUNCTION("""COMPUTED_VALUE"""),"")</f>
        <v/>
      </c>
      <c r="N17" s="140" t="str">
        <f>IFERROR(__xludf.DUMMYFUNCTION("""COMPUTED_VALUE"""),"")</f>
        <v/>
      </c>
    </row>
    <row r="18">
      <c r="A18" s="143">
        <f>IFERROR(__xludf.DUMMYFUNCTION("""COMPUTED_VALUE"""),43039.0)</f>
        <v>43039</v>
      </c>
      <c r="B18" s="140">
        <f>IFERROR(__xludf.DUMMYFUNCTION("""COMPUTED_VALUE"""),467294.0)</f>
        <v>467294</v>
      </c>
      <c r="C18" s="140" t="str">
        <f>IFERROR(__xludf.DUMMYFUNCTION("""COMPUTED_VALUE"""),"#N/A")</f>
        <v>#N/A</v>
      </c>
      <c r="D18" t="str">
        <f>IFERROR(__xludf.DUMMYFUNCTION("""COMPUTED_VALUE"""),"David Bombal")</f>
        <v>David Bombal</v>
      </c>
      <c r="G18" t="str">
        <f>IFERROR(__xludf.DUMMYFUNCTION("""COMPUTED_VALUE"""),"Y")</f>
        <v>Y</v>
      </c>
      <c r="H18" t="str">
        <f>IFERROR(__xludf.DUMMYFUNCTION("""COMPUTED_VALUE"""),"Instructor Request, Outdated")</f>
        <v>Instructor Request, Outdated</v>
      </c>
      <c r="I18" t="str">
        <f>IFERROR(__xludf.DUMMYFUNCTION("""COMPUTED_VALUE"""),"IT and Software")</f>
        <v>IT and Software</v>
      </c>
      <c r="J18" t="str">
        <f>IFERROR(__xludf.DUMMYFUNCTION("""COMPUTED_VALUE"""),"Network and Security")</f>
        <v>Network and Security</v>
      </c>
      <c r="K18" s="140">
        <f>IFERROR(__xludf.DUMMYFUNCTION("""COMPUTED_VALUE"""),689338.0)</f>
        <v>689338</v>
      </c>
      <c r="L18" s="140" t="str">
        <f>IFERROR(__xludf.DUMMYFUNCTION("""COMPUTED_VALUE"""),"")</f>
        <v/>
      </c>
      <c r="N18" s="140" t="str">
        <f>IFERROR(__xludf.DUMMYFUNCTION("""COMPUTED_VALUE"""),"")</f>
        <v/>
      </c>
    </row>
    <row r="19">
      <c r="A19" s="143">
        <f>IFERROR(__xludf.DUMMYFUNCTION("""COMPUTED_VALUE"""),43039.0)</f>
        <v>43039</v>
      </c>
      <c r="B19" s="140">
        <f>IFERROR(__xludf.DUMMYFUNCTION("""COMPUTED_VALUE"""),88440.0)</f>
        <v>88440</v>
      </c>
      <c r="C19" s="140" t="str">
        <f>IFERROR(__xludf.DUMMYFUNCTION("""COMPUTED_VALUE"""),"#N/A")</f>
        <v>#N/A</v>
      </c>
      <c r="D19" t="str">
        <f>IFERROR(__xludf.DUMMYFUNCTION("""COMPUTED_VALUE"""),"Deltina Hay")</f>
        <v>Deltina Hay</v>
      </c>
      <c r="G19" t="str">
        <f>IFERROR(__xludf.DUMMYFUNCTION("""COMPUTED_VALUE"""),"Y")</f>
        <v>Y</v>
      </c>
      <c r="H19" t="str">
        <f>IFERROR(__xludf.DUMMYFUNCTION("""COMPUTED_VALUE"""),"Outdated")</f>
        <v>Outdated</v>
      </c>
      <c r="I19" t="str">
        <f>IFERROR(__xludf.DUMMYFUNCTION("""COMPUTED_VALUE"""),"Marketing")</f>
        <v>Marketing</v>
      </c>
      <c r="J19" t="str">
        <f>IFERROR(__xludf.DUMMYFUNCTION("""COMPUTED_VALUE"""),"Social Media Marketing")</f>
        <v>Social Media Marketing</v>
      </c>
      <c r="K19" s="140">
        <f>IFERROR(__xludf.DUMMYFUNCTION("""COMPUTED_VALUE"""),403314.0)</f>
        <v>403314</v>
      </c>
      <c r="L19" s="140" t="str">
        <f>IFERROR(__xludf.DUMMYFUNCTION("""COMPUTED_VALUE"""),"")</f>
        <v/>
      </c>
      <c r="M19" s="140">
        <f>IFERROR(__xludf.DUMMYFUNCTION("""COMPUTED_VALUE"""),987428.0)</f>
        <v>987428</v>
      </c>
      <c r="N19" s="140" t="str">
        <f>IFERROR(__xludf.DUMMYFUNCTION("""COMPUTED_VALUE"""),"")</f>
        <v/>
      </c>
    </row>
    <row r="20">
      <c r="A20" s="143">
        <f>IFERROR(__xludf.DUMMYFUNCTION("""COMPUTED_VALUE"""),43039.0)</f>
        <v>43039</v>
      </c>
      <c r="B20" s="140">
        <f>IFERROR(__xludf.DUMMYFUNCTION("""COMPUTED_VALUE"""),226440.0)</f>
        <v>226440</v>
      </c>
      <c r="C20" s="140" t="str">
        <f>IFERROR(__xludf.DUMMYFUNCTION("""COMPUTED_VALUE"""),"#N/A")</f>
        <v>#N/A</v>
      </c>
      <c r="D20" t="str">
        <f>IFERROR(__xludf.DUMMYFUNCTION("""COMPUTED_VALUE"""),"Doug H")</f>
        <v>Doug H</v>
      </c>
      <c r="G20" t="str">
        <f>IFERROR(__xludf.DUMMYFUNCTION("""COMPUTED_VALUE"""),"Y")</f>
        <v>Y</v>
      </c>
      <c r="H20" t="str">
        <f>IFERROR(__xludf.DUMMYFUNCTION("""COMPUTED_VALUE"""),"Below Quality Standards")</f>
        <v>Below Quality Standards</v>
      </c>
      <c r="I20" t="str">
        <f>IFERROR(__xludf.DUMMYFUNCTION("""COMPUTED_VALUE"""),"Project Management and Operations")</f>
        <v>Project Management and Operations</v>
      </c>
      <c r="J20" t="str">
        <f>IFERROR(__xludf.DUMMYFUNCTION("""COMPUTED_VALUE"""),"Project Management Tools")</f>
        <v>Project Management Tools</v>
      </c>
      <c r="K20" s="140">
        <f>IFERROR(__xludf.DUMMYFUNCTION("""COMPUTED_VALUE"""),806710.0)</f>
        <v>806710</v>
      </c>
      <c r="L20" s="140" t="str">
        <f>IFERROR(__xludf.DUMMYFUNCTION("""COMPUTED_VALUE"""),"")</f>
        <v/>
      </c>
      <c r="N20" s="140" t="str">
        <f>IFERROR(__xludf.DUMMYFUNCTION("""COMPUTED_VALUE"""),"")</f>
        <v/>
      </c>
      <c r="R20" t="str">
        <f>IFERROR(__xludf.DUMMYFUNCTION("""COMPUTED_VALUE"""),"Office Productivity")</f>
        <v>Office Productivity</v>
      </c>
      <c r="S20" s="143" t="str">
        <f>IFERROR(__xludf.DUMMYFUNCTION("""COMPUTED_VALUE"""),"Spreadsheets")</f>
        <v>Spreadsheets</v>
      </c>
    </row>
    <row r="21">
      <c r="A21" s="143">
        <f>IFERROR(__xludf.DUMMYFUNCTION("""COMPUTED_VALUE"""),43039.0)</f>
        <v>43039</v>
      </c>
      <c r="B21" s="140">
        <f>IFERROR(__xludf.DUMMYFUNCTION("""COMPUTED_VALUE"""),988624.0)</f>
        <v>988624</v>
      </c>
      <c r="C21" s="140" t="str">
        <f>IFERROR(__xludf.DUMMYFUNCTION("""COMPUTED_VALUE"""),"#N/A")</f>
        <v>#N/A</v>
      </c>
      <c r="D21" t="str">
        <f>IFERROR(__xludf.DUMMYFUNCTION("""COMPUTED_VALUE"""),"Dr. Luke Angel")</f>
        <v>Dr. Luke Angel</v>
      </c>
      <c r="G21" t="str">
        <f>IFERROR(__xludf.DUMMYFUNCTION("""COMPUTED_VALUE"""),"Y")</f>
        <v>Y</v>
      </c>
      <c r="H21" t="str">
        <f>IFERROR(__xludf.DUMMYFUNCTION("""COMPUTED_VALUE"""),"Below Quality Standards")</f>
        <v>Below Quality Standards</v>
      </c>
      <c r="I21" t="str">
        <f>IFERROR(__xludf.DUMMYFUNCTION("""COMPUTED_VALUE"""),"Project Management and Operations")</f>
        <v>Project Management and Operations</v>
      </c>
      <c r="J21" t="str">
        <f>IFERROR(__xludf.DUMMYFUNCTION("""COMPUTED_VALUE"""),"Agile and Scrum")</f>
        <v>Agile and Scrum</v>
      </c>
      <c r="K21" s="140">
        <f>IFERROR(__xludf.DUMMYFUNCTION("""COMPUTED_VALUE"""),1204360.0)</f>
        <v>1204360</v>
      </c>
      <c r="L21" s="140" t="str">
        <f>IFERROR(__xludf.DUMMYFUNCTION("""COMPUTED_VALUE"""),"")</f>
        <v/>
      </c>
      <c r="M21" s="140">
        <f>IFERROR(__xludf.DUMMYFUNCTION("""COMPUTED_VALUE"""),1379786.0)</f>
        <v>1379786</v>
      </c>
      <c r="N21" s="140" t="str">
        <f>IFERROR(__xludf.DUMMYFUNCTION("""COMPUTED_VALUE"""),"")</f>
        <v/>
      </c>
      <c r="R21" t="str">
        <f>IFERROR(__xludf.DUMMYFUNCTION("""COMPUTED_VALUE"""),"Management")</f>
        <v>Management</v>
      </c>
      <c r="S21" s="143" t="str">
        <f>IFERROR(__xludf.DUMMYFUNCTION("""COMPUTED_VALUE"""),"Productivity")</f>
        <v>Productivity</v>
      </c>
    </row>
    <row r="22">
      <c r="A22" s="143">
        <f>IFERROR(__xludf.DUMMYFUNCTION("""COMPUTED_VALUE"""),43039.0)</f>
        <v>43039</v>
      </c>
      <c r="B22" s="140">
        <f>IFERROR(__xludf.DUMMYFUNCTION("""COMPUTED_VALUE"""),508822.0)</f>
        <v>508822</v>
      </c>
      <c r="C22" s="140" t="str">
        <f>IFERROR(__xludf.DUMMYFUNCTION("""COMPUTED_VALUE"""),"#N/A")</f>
        <v>#N/A</v>
      </c>
      <c r="D22" t="str">
        <f>IFERROR(__xludf.DUMMYFUNCTION("""COMPUTED_VALUE"""),"Dragos Stefanescu")</f>
        <v>Dragos Stefanescu</v>
      </c>
      <c r="G22" t="str">
        <f>IFERROR(__xludf.DUMMYFUNCTION("""COMPUTED_VALUE"""),"Y")</f>
        <v>Y</v>
      </c>
      <c r="H22" t="str">
        <f>IFERROR(__xludf.DUMMYFUNCTION("""COMPUTED_VALUE"""),"Outdated")</f>
        <v>Outdated</v>
      </c>
      <c r="I22" t="str">
        <f>IFERROR(__xludf.DUMMYFUNCTION("""COMPUTED_VALUE"""),"Marketing")</f>
        <v>Marketing</v>
      </c>
      <c r="J22" t="str">
        <f>IFERROR(__xludf.DUMMYFUNCTION("""COMPUTED_VALUE"""),"Social Media Marketing")</f>
        <v>Social Media Marketing</v>
      </c>
      <c r="K22" s="140">
        <f>IFERROR(__xludf.DUMMYFUNCTION("""COMPUTED_VALUE"""),403314.0)</f>
        <v>403314</v>
      </c>
      <c r="L22" s="140" t="str">
        <f>IFERROR(__xludf.DUMMYFUNCTION("""COMPUTED_VALUE"""),"")</f>
        <v/>
      </c>
      <c r="M22" s="140">
        <f>IFERROR(__xludf.DUMMYFUNCTION("""COMPUTED_VALUE"""),987428.0)</f>
        <v>987428</v>
      </c>
      <c r="N22" s="140" t="str">
        <f>IFERROR(__xludf.DUMMYFUNCTION("""COMPUTED_VALUE"""),"")</f>
        <v/>
      </c>
    </row>
    <row r="23">
      <c r="A23" s="143">
        <f>IFERROR(__xludf.DUMMYFUNCTION("""COMPUTED_VALUE"""),43039.0)</f>
        <v>43039</v>
      </c>
      <c r="B23" s="140">
        <f>IFERROR(__xludf.DUMMYFUNCTION("""COMPUTED_VALUE"""),57946.0)</f>
        <v>57946</v>
      </c>
      <c r="C23" s="140" t="str">
        <f>IFERROR(__xludf.DUMMYFUNCTION("""COMPUTED_VALUE"""),"#N/A")</f>
        <v>#N/A</v>
      </c>
      <c r="D23" t="str">
        <f>IFERROR(__xludf.DUMMYFUNCTION("""COMPUTED_VALUE"""),"Frank Turley")</f>
        <v>Frank Turley</v>
      </c>
      <c r="G23" t="str">
        <f>IFERROR(__xludf.DUMMYFUNCTION("""COMPUTED_VALUE"""),"Y")</f>
        <v>Y</v>
      </c>
      <c r="H23" t="str">
        <f>IFERROR(__xludf.DUMMYFUNCTION("""COMPUTED_VALUE"""),"Below Quality Standards")</f>
        <v>Below Quality Standards</v>
      </c>
      <c r="I23" t="str">
        <f>IFERROR(__xludf.DUMMYFUNCTION("""COMPUTED_VALUE"""),"Project Management and Operations")</f>
        <v>Project Management and Operations</v>
      </c>
      <c r="J23" t="str">
        <f>IFERROR(__xludf.DUMMYFUNCTION("""COMPUTED_VALUE"""),"Project Management Certifications")</f>
        <v>Project Management Certifications</v>
      </c>
      <c r="K23" s="140">
        <f>IFERROR(__xludf.DUMMYFUNCTION("""COMPUTED_VALUE"""),324736.0)</f>
        <v>324736</v>
      </c>
      <c r="L23" s="140" t="str">
        <f>IFERROR(__xludf.DUMMYFUNCTION("""COMPUTED_VALUE"""),"")</f>
        <v/>
      </c>
      <c r="N23" s="140" t="str">
        <f>IFERROR(__xludf.DUMMYFUNCTION("""COMPUTED_VALUE"""),"")</f>
        <v/>
      </c>
    </row>
    <row r="24">
      <c r="A24" s="143">
        <f>IFERROR(__xludf.DUMMYFUNCTION("""COMPUTED_VALUE"""),43039.0)</f>
        <v>43039</v>
      </c>
      <c r="B24" s="140">
        <f>IFERROR(__xludf.DUMMYFUNCTION("""COMPUTED_VALUE"""),177214.0)</f>
        <v>177214</v>
      </c>
      <c r="C24" s="140" t="str">
        <f>IFERROR(__xludf.DUMMYFUNCTION("""COMPUTED_VALUE"""),"#N/A")</f>
        <v>#N/A</v>
      </c>
      <c r="D24" t="str">
        <f>IFERROR(__xludf.DUMMYFUNCTION("""COMPUTED_VALUE"""),"Frank Turley")</f>
        <v>Frank Turley</v>
      </c>
      <c r="G24" t="str">
        <f>IFERROR(__xludf.DUMMYFUNCTION("""COMPUTED_VALUE"""),"Y")</f>
        <v>Y</v>
      </c>
      <c r="H24" t="str">
        <f>IFERROR(__xludf.DUMMYFUNCTION("""COMPUTED_VALUE"""),"Below Quality Standards")</f>
        <v>Below Quality Standards</v>
      </c>
      <c r="I24" t="str">
        <f>IFERROR(__xludf.DUMMYFUNCTION("""COMPUTED_VALUE"""),"Project Management and Operations")</f>
        <v>Project Management and Operations</v>
      </c>
      <c r="J24" t="str">
        <f>IFERROR(__xludf.DUMMYFUNCTION("""COMPUTED_VALUE"""),"Project Management Tools")</f>
        <v>Project Management Tools</v>
      </c>
      <c r="L24" s="140" t="str">
        <f>IFERROR(__xludf.DUMMYFUNCTION("""COMPUTED_VALUE"""),"")</f>
        <v/>
      </c>
      <c r="N24" s="140" t="str">
        <f>IFERROR(__xludf.DUMMYFUNCTION("""COMPUTED_VALUE"""),"")</f>
        <v/>
      </c>
    </row>
    <row r="25">
      <c r="A25" s="143">
        <f>IFERROR(__xludf.DUMMYFUNCTION("""COMPUTED_VALUE"""),43039.0)</f>
        <v>43039</v>
      </c>
      <c r="B25" s="140">
        <f>IFERROR(__xludf.DUMMYFUNCTION("""COMPUTED_VALUE"""),274480.0)</f>
        <v>274480</v>
      </c>
      <c r="C25" s="140" t="str">
        <f>IFERROR(__xludf.DUMMYFUNCTION("""COMPUTED_VALUE"""),"#N/A")</f>
        <v>#N/A</v>
      </c>
      <c r="D25" t="str">
        <f>IFERROR(__xludf.DUMMYFUNCTION("""COMPUTED_VALUE"""),"GreyCampus Inc.")</f>
        <v>GreyCampus Inc.</v>
      </c>
      <c r="G25" t="str">
        <f>IFERROR(__xludf.DUMMYFUNCTION("""COMPUTED_VALUE"""),"Y")</f>
        <v>Y</v>
      </c>
      <c r="H25" t="str">
        <f>IFERROR(__xludf.DUMMYFUNCTION("""COMPUTED_VALUE"""),"Below Quality Standards")</f>
        <v>Below Quality Standards</v>
      </c>
      <c r="I25" t="str">
        <f>IFERROR(__xludf.DUMMYFUNCTION("""COMPUTED_VALUE"""),"Project Management and Operations")</f>
        <v>Project Management and Operations</v>
      </c>
      <c r="J25" t="str">
        <f>IFERROR(__xludf.DUMMYFUNCTION("""COMPUTED_VALUE"""),"Project Management Certifications")</f>
        <v>Project Management Certifications</v>
      </c>
      <c r="K25" s="140">
        <f>IFERROR(__xludf.DUMMYFUNCTION("""COMPUTED_VALUE"""),324736.0)</f>
        <v>324736</v>
      </c>
      <c r="L25" s="140" t="str">
        <f>IFERROR(__xludf.DUMMYFUNCTION("""COMPUTED_VALUE"""),"")</f>
        <v/>
      </c>
      <c r="N25" s="140" t="str">
        <f>IFERROR(__xludf.DUMMYFUNCTION("""COMPUTED_VALUE"""),"")</f>
        <v/>
      </c>
    </row>
    <row r="26">
      <c r="A26" s="143">
        <f>IFERROR(__xludf.DUMMYFUNCTION("""COMPUTED_VALUE"""),43039.0)</f>
        <v>43039</v>
      </c>
      <c r="B26" s="140">
        <f>IFERROR(__xludf.DUMMYFUNCTION("""COMPUTED_VALUE"""),124732.0)</f>
        <v>124732</v>
      </c>
      <c r="C26" s="140" t="str">
        <f>IFERROR(__xludf.DUMMYFUNCTION("""COMPUTED_VALUE"""),"#N/A")</f>
        <v>#N/A</v>
      </c>
      <c r="D26" t="str">
        <f>IFERROR(__xludf.DUMMYFUNCTION("""COMPUTED_VALUE"""),"Joseph Anthony")</f>
        <v>Joseph Anthony</v>
      </c>
      <c r="G26" t="str">
        <f>IFERROR(__xludf.DUMMYFUNCTION("""COMPUTED_VALUE"""),"Y")</f>
        <v>Y</v>
      </c>
      <c r="H26" t="str">
        <f>IFERROR(__xludf.DUMMYFUNCTION("""COMPUTED_VALUE"""),"Below Quality Standards")</f>
        <v>Below Quality Standards</v>
      </c>
      <c r="I26" t="str">
        <f>IFERROR(__xludf.DUMMYFUNCTION("""COMPUTED_VALUE"""),"Project Management and Operations")</f>
        <v>Project Management and Operations</v>
      </c>
      <c r="J26" t="str">
        <f>IFERROR(__xludf.DUMMYFUNCTION("""COMPUTED_VALUE"""),"Agile and Scrum")</f>
        <v>Agile and Scrum</v>
      </c>
      <c r="K26" s="140">
        <f>IFERROR(__xludf.DUMMYFUNCTION("""COMPUTED_VALUE"""),281672.0)</f>
        <v>281672</v>
      </c>
      <c r="L26" s="140" t="str">
        <f>IFERROR(__xludf.DUMMYFUNCTION("""COMPUTED_VALUE"""),"")</f>
        <v/>
      </c>
      <c r="N26" s="140" t="str">
        <f>IFERROR(__xludf.DUMMYFUNCTION("""COMPUTED_VALUE"""),"")</f>
        <v/>
      </c>
    </row>
    <row r="27">
      <c r="A27" s="143">
        <f>IFERROR(__xludf.DUMMYFUNCTION("""COMPUTED_VALUE"""),43039.0)</f>
        <v>43039</v>
      </c>
      <c r="B27" s="140">
        <f>IFERROR(__xludf.DUMMYFUNCTION("""COMPUTED_VALUE"""),387498.0)</f>
        <v>387498</v>
      </c>
      <c r="C27" s="140" t="str">
        <f>IFERROR(__xludf.DUMMYFUNCTION("""COMPUTED_VALUE"""),"#N/A")</f>
        <v>#N/A</v>
      </c>
      <c r="D27" t="str">
        <f>IFERROR(__xludf.DUMMYFUNCTION("""COMPUTED_VALUE"""),"Laurel Papworth")</f>
        <v>Laurel Papworth</v>
      </c>
      <c r="G27" t="str">
        <f>IFERROR(__xludf.DUMMYFUNCTION("""COMPUTED_VALUE"""),"Y")</f>
        <v>Y</v>
      </c>
      <c r="H27" t="str">
        <f>IFERROR(__xludf.DUMMYFUNCTION("""COMPUTED_VALUE"""),"Outdated")</f>
        <v>Outdated</v>
      </c>
      <c r="I27" t="str">
        <f>IFERROR(__xludf.DUMMYFUNCTION("""COMPUTED_VALUE"""),"Marketing")</f>
        <v>Marketing</v>
      </c>
      <c r="J27" t="str">
        <f>IFERROR(__xludf.DUMMYFUNCTION("""COMPUTED_VALUE"""),"Social Media Marketing")</f>
        <v>Social Media Marketing</v>
      </c>
      <c r="K27" s="140">
        <f>IFERROR(__xludf.DUMMYFUNCTION("""COMPUTED_VALUE"""),403314.0)</f>
        <v>403314</v>
      </c>
      <c r="L27" s="140" t="str">
        <f>IFERROR(__xludf.DUMMYFUNCTION("""COMPUTED_VALUE"""),"")</f>
        <v/>
      </c>
      <c r="M27" s="140">
        <f>IFERROR(__xludf.DUMMYFUNCTION("""COMPUTED_VALUE"""),987428.0)</f>
        <v>987428</v>
      </c>
      <c r="N27" s="140" t="str">
        <f>IFERROR(__xludf.DUMMYFUNCTION("""COMPUTED_VALUE"""),"")</f>
        <v/>
      </c>
    </row>
    <row r="28">
      <c r="A28" s="143">
        <f>IFERROR(__xludf.DUMMYFUNCTION("""COMPUTED_VALUE"""),43039.0)</f>
        <v>43039</v>
      </c>
      <c r="B28" s="140">
        <f>IFERROR(__xludf.DUMMYFUNCTION("""COMPUTED_VALUE"""),727526.0)</f>
        <v>727526</v>
      </c>
      <c r="C28" s="140" t="str">
        <f>IFERROR(__xludf.DUMMYFUNCTION("""COMPUTED_VALUE"""),"#N/A")</f>
        <v>#N/A</v>
      </c>
      <c r="D28" t="str">
        <f>IFERROR(__xludf.DUMMYFUNCTION("""COMPUTED_VALUE"""),"LearnSmart LLC")</f>
        <v>LearnSmart LLC</v>
      </c>
      <c r="G28" t="str">
        <f>IFERROR(__xludf.DUMMYFUNCTION("""COMPUTED_VALUE"""),"Y")</f>
        <v>Y</v>
      </c>
      <c r="H28" t="str">
        <f>IFERROR(__xludf.DUMMYFUNCTION("""COMPUTED_VALUE"""),"Below Quality Standards")</f>
        <v>Below Quality Standards</v>
      </c>
      <c r="I28" t="str">
        <f>IFERROR(__xludf.DUMMYFUNCTION("""COMPUTED_VALUE"""),"Project Management and Operations")</f>
        <v>Project Management and Operations</v>
      </c>
      <c r="J28" t="str">
        <f>IFERROR(__xludf.DUMMYFUNCTION("""COMPUTED_VALUE"""),"Project Management Certifications")</f>
        <v>Project Management Certifications</v>
      </c>
      <c r="K28" s="140">
        <f>IFERROR(__xludf.DUMMYFUNCTION("""COMPUTED_VALUE"""),856992.0)</f>
        <v>856992</v>
      </c>
      <c r="L28" s="140" t="str">
        <f>IFERROR(__xludf.DUMMYFUNCTION("""COMPUTED_VALUE"""),"")</f>
        <v/>
      </c>
      <c r="N28" s="140" t="str">
        <f>IFERROR(__xludf.DUMMYFUNCTION("""COMPUTED_VALUE"""),"")</f>
        <v/>
      </c>
      <c r="R28" t="str">
        <f>IFERROR(__xludf.DUMMYFUNCTION("""COMPUTED_VALUE"""),"Project Management and Operations")</f>
        <v>Project Management and Operations</v>
      </c>
      <c r="S28" s="143" t="str">
        <f>IFERROR(__xludf.DUMMYFUNCTION("""COMPUTED_VALUE"""),"Agile and Scrum")</f>
        <v>Agile and Scrum</v>
      </c>
    </row>
    <row r="29">
      <c r="A29" s="143">
        <f>IFERROR(__xludf.DUMMYFUNCTION("""COMPUTED_VALUE"""),43039.0)</f>
        <v>43039</v>
      </c>
      <c r="B29" s="140">
        <f>IFERROR(__xludf.DUMMYFUNCTION("""COMPUTED_VALUE"""),361810.0)</f>
        <v>361810</v>
      </c>
      <c r="C29" s="140" t="str">
        <f>IFERROR(__xludf.DUMMYFUNCTION("""COMPUTED_VALUE"""),"#N/A")</f>
        <v>#N/A</v>
      </c>
      <c r="D29" t="str">
        <f>IFERROR(__xludf.DUMMYFUNCTION("""COMPUTED_VALUE"""),"Marious Kuriata")</f>
        <v>Marious Kuriata</v>
      </c>
      <c r="G29" t="str">
        <f>IFERROR(__xludf.DUMMYFUNCTION("""COMPUTED_VALUE"""),"Y")</f>
        <v>Y</v>
      </c>
      <c r="H29" t="str">
        <f>IFERROR(__xludf.DUMMYFUNCTION("""COMPUTED_VALUE"""),"Below Quality Standards")</f>
        <v>Below Quality Standards</v>
      </c>
      <c r="I29" t="str">
        <f>IFERROR(__xludf.DUMMYFUNCTION("""COMPUTED_VALUE"""),"IT and Software")</f>
        <v>IT and Software</v>
      </c>
      <c r="J29" t="str">
        <f>IFERROR(__xludf.DUMMYFUNCTION("""COMPUTED_VALUE"""),"IT Certifications")</f>
        <v>IT Certifications</v>
      </c>
      <c r="L29" s="140" t="str">
        <f>IFERROR(__xludf.DUMMYFUNCTION("""COMPUTED_VALUE"""),"")</f>
        <v/>
      </c>
      <c r="N29" s="140" t="str">
        <f>IFERROR(__xludf.DUMMYFUNCTION("""COMPUTED_VALUE"""),"")</f>
        <v/>
      </c>
      <c r="R29" t="str">
        <f>IFERROR(__xludf.DUMMYFUNCTION("""COMPUTED_VALUE"""),"IT and Software")</f>
        <v>IT and Software</v>
      </c>
      <c r="S29" s="143" t="str">
        <f>IFERROR(__xludf.DUMMYFUNCTION("""COMPUTED_VALUE"""),"Network and Security")</f>
        <v>Network and Security</v>
      </c>
    </row>
    <row r="30">
      <c r="A30" s="143">
        <f>IFERROR(__xludf.DUMMYFUNCTION("""COMPUTED_VALUE"""),43039.0)</f>
        <v>43039</v>
      </c>
      <c r="B30" s="140">
        <f>IFERROR(__xludf.DUMMYFUNCTION("""COMPUTED_VALUE"""),329746.0)</f>
        <v>329746</v>
      </c>
      <c r="C30" s="140" t="str">
        <f>IFERROR(__xludf.DUMMYFUNCTION("""COMPUTED_VALUE"""),"#N/A")</f>
        <v>#N/A</v>
      </c>
      <c r="D30" t="str">
        <f>IFERROR(__xludf.DUMMYFUNCTION("""COMPUTED_VALUE"""),"Marious Kuriata")</f>
        <v>Marious Kuriata</v>
      </c>
      <c r="G30" t="str">
        <f>IFERROR(__xludf.DUMMYFUNCTION("""COMPUTED_VALUE"""),"Y")</f>
        <v>Y</v>
      </c>
      <c r="H30" t="str">
        <f>IFERROR(__xludf.DUMMYFUNCTION("""COMPUTED_VALUE"""),"Below Quality Standards")</f>
        <v>Below Quality Standards</v>
      </c>
      <c r="I30" t="str">
        <f>IFERROR(__xludf.DUMMYFUNCTION("""COMPUTED_VALUE"""),"IT and Software")</f>
        <v>IT and Software</v>
      </c>
      <c r="J30" t="str">
        <f>IFERROR(__xludf.DUMMYFUNCTION("""COMPUTED_VALUE"""),"IT Certifications")</f>
        <v>IT Certifications</v>
      </c>
      <c r="L30" s="140" t="str">
        <f>IFERROR(__xludf.DUMMYFUNCTION("""COMPUTED_VALUE"""),"")</f>
        <v/>
      </c>
      <c r="N30" s="140" t="str">
        <f>IFERROR(__xludf.DUMMYFUNCTION("""COMPUTED_VALUE"""),"")</f>
        <v/>
      </c>
      <c r="R30" t="str">
        <f>IFERROR(__xludf.DUMMYFUNCTION("""COMPUTED_VALUE"""),"IT and Software")</f>
        <v>IT and Software</v>
      </c>
      <c r="S30" s="143" t="str">
        <f>IFERROR(__xludf.DUMMYFUNCTION("""COMPUTED_VALUE"""),"Operating Systems and Servers")</f>
        <v>Operating Systems and Servers</v>
      </c>
    </row>
    <row r="31">
      <c r="A31" s="143">
        <f>IFERROR(__xludf.DUMMYFUNCTION("""COMPUTED_VALUE"""),43039.0)</f>
        <v>43039</v>
      </c>
      <c r="B31" s="140">
        <f>IFERROR(__xludf.DUMMYFUNCTION("""COMPUTED_VALUE"""),325852.0)</f>
        <v>325852</v>
      </c>
      <c r="C31" s="140" t="str">
        <f>IFERROR(__xludf.DUMMYFUNCTION("""COMPUTED_VALUE"""),"#N/A")</f>
        <v>#N/A</v>
      </c>
      <c r="D31" t="str">
        <f>IFERROR(__xludf.DUMMYFUNCTION("""COMPUTED_VALUE"""),"Marious Kuriata")</f>
        <v>Marious Kuriata</v>
      </c>
      <c r="G31" t="str">
        <f>IFERROR(__xludf.DUMMYFUNCTION("""COMPUTED_VALUE"""),"Y")</f>
        <v>Y</v>
      </c>
      <c r="H31" t="str">
        <f>IFERROR(__xludf.DUMMYFUNCTION("""COMPUTED_VALUE"""),"Below Quality Standards")</f>
        <v>Below Quality Standards</v>
      </c>
      <c r="I31" t="str">
        <f>IFERROR(__xludf.DUMMYFUNCTION("""COMPUTED_VALUE"""),"IT and Software")</f>
        <v>IT and Software</v>
      </c>
      <c r="J31" t="str">
        <f>IFERROR(__xludf.DUMMYFUNCTION("""COMPUTED_VALUE"""),"IT Certifications")</f>
        <v>IT Certifications</v>
      </c>
      <c r="L31" s="140" t="str">
        <f>IFERROR(__xludf.DUMMYFUNCTION("""COMPUTED_VALUE"""),"")</f>
        <v/>
      </c>
      <c r="N31" s="140" t="str">
        <f>IFERROR(__xludf.DUMMYFUNCTION("""COMPUTED_VALUE"""),"")</f>
        <v/>
      </c>
      <c r="R31" t="str">
        <f>IFERROR(__xludf.DUMMYFUNCTION("""COMPUTED_VALUE"""),"IT and Software")</f>
        <v>IT and Software</v>
      </c>
      <c r="S31" s="143" t="str">
        <f>IFERROR(__xludf.DUMMYFUNCTION("""COMPUTED_VALUE"""),"Network and Security")</f>
        <v>Network and Security</v>
      </c>
    </row>
    <row r="32">
      <c r="A32" s="143">
        <f>IFERROR(__xludf.DUMMYFUNCTION("""COMPUTED_VALUE"""),43039.0)</f>
        <v>43039</v>
      </c>
      <c r="B32" s="140">
        <f>IFERROR(__xludf.DUMMYFUNCTION("""COMPUTED_VALUE"""),315996.0)</f>
        <v>315996</v>
      </c>
      <c r="C32" s="140" t="str">
        <f>IFERROR(__xludf.DUMMYFUNCTION("""COMPUTED_VALUE"""),"#N/A")</f>
        <v>#N/A</v>
      </c>
      <c r="D32" t="str">
        <f>IFERROR(__xludf.DUMMYFUNCTION("""COMPUTED_VALUE"""),"Marious Kuriata")</f>
        <v>Marious Kuriata</v>
      </c>
      <c r="G32" t="str">
        <f>IFERROR(__xludf.DUMMYFUNCTION("""COMPUTED_VALUE"""),"Y")</f>
        <v>Y</v>
      </c>
      <c r="H32" t="str">
        <f>IFERROR(__xludf.DUMMYFUNCTION("""COMPUTED_VALUE"""),"Below Quality Standards")</f>
        <v>Below Quality Standards</v>
      </c>
      <c r="I32" t="str">
        <f>IFERROR(__xludf.DUMMYFUNCTION("""COMPUTED_VALUE"""),"IT and Software")</f>
        <v>IT and Software</v>
      </c>
      <c r="J32" t="str">
        <f>IFERROR(__xludf.DUMMYFUNCTION("""COMPUTED_VALUE"""),"IT Certifications")</f>
        <v>IT Certifications</v>
      </c>
      <c r="L32" s="140" t="str">
        <f>IFERROR(__xludf.DUMMYFUNCTION("""COMPUTED_VALUE"""),"")</f>
        <v/>
      </c>
      <c r="N32" s="140" t="str">
        <f>IFERROR(__xludf.DUMMYFUNCTION("""COMPUTED_VALUE"""),"")</f>
        <v/>
      </c>
      <c r="R32" t="str">
        <f>IFERROR(__xludf.DUMMYFUNCTION("""COMPUTED_VALUE"""),"IT and Software")</f>
        <v>IT and Software</v>
      </c>
      <c r="S32" s="143" t="str">
        <f>IFERROR(__xludf.DUMMYFUNCTION("""COMPUTED_VALUE"""),"Operating Systems and Servers")</f>
        <v>Operating Systems and Servers</v>
      </c>
    </row>
    <row r="33">
      <c r="A33" s="143">
        <f>IFERROR(__xludf.DUMMYFUNCTION("""COMPUTED_VALUE"""),43039.0)</f>
        <v>43039</v>
      </c>
      <c r="B33" s="140">
        <f>IFERROR(__xludf.DUMMYFUNCTION("""COMPUTED_VALUE"""),342122.0)</f>
        <v>342122</v>
      </c>
      <c r="C33" s="140" t="str">
        <f>IFERROR(__xludf.DUMMYFUNCTION("""COMPUTED_VALUE"""),"#N/A")</f>
        <v>#N/A</v>
      </c>
      <c r="D33" t="str">
        <f>IFERROR(__xludf.DUMMYFUNCTION("""COMPUTED_VALUE"""),"Peter Dalmaris")</f>
        <v>Peter Dalmaris</v>
      </c>
      <c r="G33" t="str">
        <f>IFERROR(__xludf.DUMMYFUNCTION("""COMPUTED_VALUE"""),"Y")</f>
        <v>Y</v>
      </c>
      <c r="H33" t="str">
        <f>IFERROR(__xludf.DUMMYFUNCTION("""COMPUTED_VALUE"""),"Redundant")</f>
        <v>Redundant</v>
      </c>
      <c r="I33" t="str">
        <f>IFERROR(__xludf.DUMMYFUNCTION("""COMPUTED_VALUE"""),"IT and Software")</f>
        <v>IT and Software</v>
      </c>
      <c r="J33" t="str">
        <f>IFERROR(__xludf.DUMMYFUNCTION("""COMPUTED_VALUE"""),"Hardware")</f>
        <v>Hardware</v>
      </c>
      <c r="K33" s="140">
        <f>IFERROR(__xludf.DUMMYFUNCTION("""COMPUTED_VALUE"""),1121560.0)</f>
        <v>1121560</v>
      </c>
      <c r="L33" s="140" t="str">
        <f>IFERROR(__xludf.DUMMYFUNCTION("""COMPUTED_VALUE"""),"")</f>
        <v/>
      </c>
      <c r="N33" s="140" t="str">
        <f>IFERROR(__xludf.DUMMYFUNCTION("""COMPUTED_VALUE"""),"")</f>
        <v/>
      </c>
    </row>
    <row r="34">
      <c r="A34" s="143">
        <f>IFERROR(__xludf.DUMMYFUNCTION("""COMPUTED_VALUE"""),43039.0)</f>
        <v>43039</v>
      </c>
      <c r="B34" s="140">
        <f>IFERROR(__xludf.DUMMYFUNCTION("""COMPUTED_VALUE"""),378662.0)</f>
        <v>378662</v>
      </c>
      <c r="C34" s="140" t="str">
        <f>IFERROR(__xludf.DUMMYFUNCTION("""COMPUTED_VALUE"""),"#N/A")</f>
        <v>#N/A</v>
      </c>
      <c r="D34" t="str">
        <f>IFERROR(__xludf.DUMMYFUNCTION("""COMPUTED_VALUE"""),"Peter Dalmaris")</f>
        <v>Peter Dalmaris</v>
      </c>
      <c r="G34" t="str">
        <f>IFERROR(__xludf.DUMMYFUNCTION("""COMPUTED_VALUE"""),"Y")</f>
        <v>Y</v>
      </c>
      <c r="H34" t="str">
        <f>IFERROR(__xludf.DUMMYFUNCTION("""COMPUTED_VALUE"""),"Redundant")</f>
        <v>Redundant</v>
      </c>
      <c r="I34" t="str">
        <f>IFERROR(__xludf.DUMMYFUNCTION("""COMPUTED_VALUE"""),"IT and Software")</f>
        <v>IT and Software</v>
      </c>
      <c r="J34" t="str">
        <f>IFERROR(__xludf.DUMMYFUNCTION("""COMPUTED_VALUE"""),"Hardware")</f>
        <v>Hardware</v>
      </c>
      <c r="K34" s="140">
        <f>IFERROR(__xludf.DUMMYFUNCTION("""COMPUTED_VALUE"""),1121560.0)</f>
        <v>1121560</v>
      </c>
      <c r="L34" s="140" t="str">
        <f>IFERROR(__xludf.DUMMYFUNCTION("""COMPUTED_VALUE"""),"")</f>
        <v/>
      </c>
      <c r="N34" s="140" t="str">
        <f>IFERROR(__xludf.DUMMYFUNCTION("""COMPUTED_VALUE"""),"")</f>
        <v/>
      </c>
    </row>
    <row r="35">
      <c r="A35" s="143">
        <f>IFERROR(__xludf.DUMMYFUNCTION("""COMPUTED_VALUE"""),43039.0)</f>
        <v>43039</v>
      </c>
      <c r="B35" s="140">
        <f>IFERROR(__xludf.DUMMYFUNCTION("""COMPUTED_VALUE"""),564598.0)</f>
        <v>564598</v>
      </c>
      <c r="C35" s="140" t="str">
        <f>IFERROR(__xludf.DUMMYFUNCTION("""COMPUTED_VALUE"""),"#N/A")</f>
        <v>#N/A</v>
      </c>
      <c r="D35" t="str">
        <f>IFERROR(__xludf.DUMMYFUNCTION("""COMPUTED_VALUE"""),"Phillip Burton")</f>
        <v>Phillip Burton</v>
      </c>
      <c r="G35" t="str">
        <f>IFERROR(__xludf.DUMMYFUNCTION("""COMPUTED_VALUE"""),"Y")</f>
        <v>Y</v>
      </c>
      <c r="H35" t="str">
        <f>IFERROR(__xludf.DUMMYFUNCTION("""COMPUTED_VALUE"""),"Below Quality Standards")</f>
        <v>Below Quality Standards</v>
      </c>
      <c r="I35" t="str">
        <f>IFERROR(__xludf.DUMMYFUNCTION("""COMPUTED_VALUE"""),"Project Management and Operations")</f>
        <v>Project Management and Operations</v>
      </c>
      <c r="J35" t="str">
        <f>IFERROR(__xludf.DUMMYFUNCTION("""COMPUTED_VALUE"""),"Operations Management")</f>
        <v>Operations Management</v>
      </c>
      <c r="L35" s="140" t="str">
        <f>IFERROR(__xludf.DUMMYFUNCTION("""COMPUTED_VALUE"""),"")</f>
        <v/>
      </c>
      <c r="N35" s="140" t="str">
        <f>IFERROR(__xludf.DUMMYFUNCTION("""COMPUTED_VALUE"""),"")</f>
        <v/>
      </c>
    </row>
    <row r="36">
      <c r="A36" s="143">
        <f>IFERROR(__xludf.DUMMYFUNCTION("""COMPUTED_VALUE"""),43039.0)</f>
        <v>43039</v>
      </c>
      <c r="B36" s="140">
        <f>IFERROR(__xludf.DUMMYFUNCTION("""COMPUTED_VALUE"""),34268.0)</f>
        <v>34268</v>
      </c>
      <c r="C36" s="140" t="str">
        <f>IFERROR(__xludf.DUMMYFUNCTION("""COMPUTED_VALUE"""),"#N/A")</f>
        <v>#N/A</v>
      </c>
      <c r="D36" t="str">
        <f>IFERROR(__xludf.DUMMYFUNCTION("""COMPUTED_VALUE"""),"Sandeep Kumar ­")</f>
        <v>Sandeep Kumar ­</v>
      </c>
      <c r="G36" t="str">
        <f>IFERROR(__xludf.DUMMYFUNCTION("""COMPUTED_VALUE"""),"Y")</f>
        <v>Y</v>
      </c>
      <c r="H36" t="str">
        <f>IFERROR(__xludf.DUMMYFUNCTION("""COMPUTED_VALUE"""),"Outdated")</f>
        <v>Outdated</v>
      </c>
      <c r="I36" t="str">
        <f>IFERROR(__xludf.DUMMYFUNCTION("""COMPUTED_VALUE"""),"Project Management and Operations")</f>
        <v>Project Management and Operations</v>
      </c>
      <c r="J36" t="str">
        <f>IFERROR(__xludf.DUMMYFUNCTION("""COMPUTED_VALUE"""),"Operations Management")</f>
        <v>Operations Management</v>
      </c>
      <c r="K36" s="140">
        <f>IFERROR(__xludf.DUMMYFUNCTION("""COMPUTED_VALUE"""),292038.0)</f>
        <v>292038</v>
      </c>
      <c r="L36" s="140" t="str">
        <f>IFERROR(__xludf.DUMMYFUNCTION("""COMPUTED_VALUE"""),"")</f>
        <v/>
      </c>
      <c r="N36" s="140" t="str">
        <f>IFERROR(__xludf.DUMMYFUNCTION("""COMPUTED_VALUE"""),"")</f>
        <v/>
      </c>
    </row>
    <row r="37">
      <c r="A37" s="143">
        <f>IFERROR(__xludf.DUMMYFUNCTION("""COMPUTED_VALUE"""),43039.0)</f>
        <v>43039</v>
      </c>
      <c r="B37" s="140">
        <f>IFERROR(__xludf.DUMMYFUNCTION("""COMPUTED_VALUE"""),383708.0)</f>
        <v>383708</v>
      </c>
      <c r="C37" s="140" t="str">
        <f>IFERROR(__xludf.DUMMYFUNCTION("""COMPUTED_VALUE"""),"#N/A")</f>
        <v>#N/A</v>
      </c>
      <c r="D37" t="str">
        <f>IFERROR(__xludf.DUMMYFUNCTION("""COMPUTED_VALUE"""),"Sandeep Kumar ­")</f>
        <v>Sandeep Kumar ­</v>
      </c>
      <c r="G37" t="str">
        <f>IFERROR(__xludf.DUMMYFUNCTION("""COMPUTED_VALUE"""),"Y")</f>
        <v>Y</v>
      </c>
      <c r="H37" t="str">
        <f>IFERROR(__xludf.DUMMYFUNCTION("""COMPUTED_VALUE"""),"Below Quality Standards")</f>
        <v>Below Quality Standards</v>
      </c>
      <c r="I37" t="str">
        <f>IFERROR(__xludf.DUMMYFUNCTION("""COMPUTED_VALUE"""),"Project Management and Operations")</f>
        <v>Project Management and Operations</v>
      </c>
      <c r="J37" t="str">
        <f>IFERROR(__xludf.DUMMYFUNCTION("""COMPUTED_VALUE"""),"Operations Management")</f>
        <v>Operations Management</v>
      </c>
      <c r="K37" s="140">
        <f>IFERROR(__xludf.DUMMYFUNCTION("""COMPUTED_VALUE"""),708134.0)</f>
        <v>708134</v>
      </c>
      <c r="L37" s="140" t="str">
        <f>IFERROR(__xludf.DUMMYFUNCTION("""COMPUTED_VALUE"""),"")</f>
        <v/>
      </c>
      <c r="N37" s="140" t="str">
        <f>IFERROR(__xludf.DUMMYFUNCTION("""COMPUTED_VALUE"""),"")</f>
        <v/>
      </c>
    </row>
    <row r="38">
      <c r="A38" s="143">
        <f>IFERROR(__xludf.DUMMYFUNCTION("""COMPUTED_VALUE"""),43039.0)</f>
        <v>43039</v>
      </c>
      <c r="B38" s="140">
        <f>IFERROR(__xludf.DUMMYFUNCTION("""COMPUTED_VALUE"""),354886.0)</f>
        <v>354886</v>
      </c>
      <c r="C38" s="140" t="str">
        <f>IFERROR(__xludf.DUMMYFUNCTION("""COMPUTED_VALUE"""),"#N/A")</f>
        <v>#N/A</v>
      </c>
      <c r="D38" t="str">
        <f>IFERROR(__xludf.DUMMYFUNCTION("""COMPUTED_VALUE"""),"Sandeep Kumar ­")</f>
        <v>Sandeep Kumar ­</v>
      </c>
      <c r="G38" t="str">
        <f>IFERROR(__xludf.DUMMYFUNCTION("""COMPUTED_VALUE"""),"Y")</f>
        <v>Y</v>
      </c>
      <c r="H38" t="str">
        <f>IFERROR(__xludf.DUMMYFUNCTION("""COMPUTED_VALUE"""),"Outdated")</f>
        <v>Outdated</v>
      </c>
      <c r="I38" t="str">
        <f>IFERROR(__xludf.DUMMYFUNCTION("""COMPUTED_VALUE"""),"Project Management and Operations")</f>
        <v>Project Management and Operations</v>
      </c>
      <c r="J38" t="str">
        <f>IFERROR(__xludf.DUMMYFUNCTION("""COMPUTED_VALUE"""),"Operations Management")</f>
        <v>Operations Management</v>
      </c>
      <c r="K38" s="140">
        <f>IFERROR(__xludf.DUMMYFUNCTION("""COMPUTED_VALUE"""),708134.0)</f>
        <v>708134</v>
      </c>
      <c r="L38" s="140" t="str">
        <f>IFERROR(__xludf.DUMMYFUNCTION("""COMPUTED_VALUE"""),"")</f>
        <v/>
      </c>
      <c r="N38" s="140" t="str">
        <f>IFERROR(__xludf.DUMMYFUNCTION("""COMPUTED_VALUE"""),"")</f>
        <v/>
      </c>
    </row>
    <row r="39">
      <c r="A39" s="143">
        <f>IFERROR(__xludf.DUMMYFUNCTION("""COMPUTED_VALUE"""),43039.0)</f>
        <v>43039</v>
      </c>
      <c r="B39" s="140">
        <f>IFERROR(__xludf.DUMMYFUNCTION("""COMPUTED_VALUE"""),692176.0)</f>
        <v>692176</v>
      </c>
      <c r="C39" s="140" t="str">
        <f>IFERROR(__xludf.DUMMYFUNCTION("""COMPUTED_VALUE"""),"#N/A")</f>
        <v>#N/A</v>
      </c>
      <c r="D39" t="str">
        <f>IFERROR(__xludf.DUMMYFUNCTION("""COMPUTED_VALUE"""),"Shilpa Khire")</f>
        <v>Shilpa Khire</v>
      </c>
      <c r="G39" t="str">
        <f>IFERROR(__xludf.DUMMYFUNCTION("""COMPUTED_VALUE"""),"Y")</f>
        <v>Y</v>
      </c>
      <c r="H39" t="str">
        <f>IFERROR(__xludf.DUMMYFUNCTION("""COMPUTED_VALUE"""),"Below Quality Standards")</f>
        <v>Below Quality Standards</v>
      </c>
      <c r="I39" t="str">
        <f>IFERROR(__xludf.DUMMYFUNCTION("""COMPUTED_VALUE"""),"Project Management and Operations")</f>
        <v>Project Management and Operations</v>
      </c>
      <c r="J39" t="str">
        <f>IFERROR(__xludf.DUMMYFUNCTION("""COMPUTED_VALUE"""),"Project Management Fundamentals")</f>
        <v>Project Management Fundamentals</v>
      </c>
      <c r="K39" s="140">
        <f>IFERROR(__xludf.DUMMYFUNCTION("""COMPUTED_VALUE"""),1361790.0)</f>
        <v>1361790</v>
      </c>
      <c r="L39" s="140" t="str">
        <f>IFERROR(__xludf.DUMMYFUNCTION("""COMPUTED_VALUE"""),"")</f>
        <v/>
      </c>
      <c r="N39" s="140" t="str">
        <f>IFERROR(__xludf.DUMMYFUNCTION("""COMPUTED_VALUE"""),"")</f>
        <v/>
      </c>
      <c r="R39" t="str">
        <f>IFERROR(__xludf.DUMMYFUNCTION("""COMPUTED_VALUE"""),"Finance and Accounting")</f>
        <v>Finance and Accounting</v>
      </c>
      <c r="S39" s="143" t="str">
        <f>IFERROR(__xludf.DUMMYFUNCTION("""COMPUTED_VALUE"""),"Financial Modeling and Analysis")</f>
        <v>Financial Modeling and Analysis</v>
      </c>
    </row>
    <row r="40">
      <c r="A40" s="143">
        <f>IFERROR(__xludf.DUMMYFUNCTION("""COMPUTED_VALUE"""),43039.0)</f>
        <v>43039</v>
      </c>
      <c r="B40" s="140">
        <f>IFERROR(__xludf.DUMMYFUNCTION("""COMPUTED_VALUE"""),113312.0)</f>
        <v>113312</v>
      </c>
      <c r="C40" s="140" t="str">
        <f>IFERROR(__xludf.DUMMYFUNCTION("""COMPUTED_VALUE"""),"#N/A")</f>
        <v>#N/A</v>
      </c>
      <c r="D40" t="str">
        <f>IFERROR(__xludf.DUMMYFUNCTION("""COMPUTED_VALUE"""),"Simon Sez IT")</f>
        <v>Simon Sez IT</v>
      </c>
      <c r="G40" t="str">
        <f>IFERROR(__xludf.DUMMYFUNCTION("""COMPUTED_VALUE"""),"Y")</f>
        <v>Y</v>
      </c>
      <c r="H40" t="str">
        <f>IFERROR(__xludf.DUMMYFUNCTION("""COMPUTED_VALUE"""),"Outdated")</f>
        <v>Outdated</v>
      </c>
      <c r="I40" t="str">
        <f>IFERROR(__xludf.DUMMYFUNCTION("""COMPUTED_VALUE"""),"Project Management and Operations")</f>
        <v>Project Management and Operations</v>
      </c>
      <c r="J40" t="str">
        <f>IFERROR(__xludf.DUMMYFUNCTION("""COMPUTED_VALUE"""),"Project Management Tools")</f>
        <v>Project Management Tools</v>
      </c>
      <c r="K40" s="140">
        <f>IFERROR(__xludf.DUMMYFUNCTION("""COMPUTED_VALUE"""),638292.0)</f>
        <v>638292</v>
      </c>
      <c r="L40" s="140" t="str">
        <f>IFERROR(__xludf.DUMMYFUNCTION("""COMPUTED_VALUE"""),"")</f>
        <v/>
      </c>
      <c r="M40" s="140">
        <f>IFERROR(__xludf.DUMMYFUNCTION("""COMPUTED_VALUE"""),831116.0)</f>
        <v>831116</v>
      </c>
      <c r="N40" s="140" t="str">
        <f>IFERROR(__xludf.DUMMYFUNCTION("""COMPUTED_VALUE"""),"")</f>
        <v/>
      </c>
    </row>
    <row r="41">
      <c r="A41" s="143">
        <f>IFERROR(__xludf.DUMMYFUNCTION("""COMPUTED_VALUE"""),43039.0)</f>
        <v>43039</v>
      </c>
      <c r="B41" s="140">
        <f>IFERROR(__xludf.DUMMYFUNCTION("""COMPUTED_VALUE"""),21660.0)</f>
        <v>21660</v>
      </c>
      <c r="C41" s="140" t="str">
        <f>IFERROR(__xludf.DUMMYFUNCTION("""COMPUTED_VALUE"""),"#N/A")</f>
        <v>#N/A</v>
      </c>
      <c r="D41" t="str">
        <f>IFERROR(__xludf.DUMMYFUNCTION("""COMPUTED_VALUE"""),"Simon Sez IT")</f>
        <v>Simon Sez IT</v>
      </c>
      <c r="G41" t="str">
        <f>IFERROR(__xludf.DUMMYFUNCTION("""COMPUTED_VALUE"""),"Y")</f>
        <v>Y</v>
      </c>
      <c r="H41" t="str">
        <f>IFERROR(__xludf.DUMMYFUNCTION("""COMPUTED_VALUE"""),"Outdated")</f>
        <v>Outdated</v>
      </c>
      <c r="I41" t="str">
        <f>IFERROR(__xludf.DUMMYFUNCTION("""COMPUTED_VALUE"""),"Project Management and Operations")</f>
        <v>Project Management and Operations</v>
      </c>
      <c r="J41" t="str">
        <f>IFERROR(__xludf.DUMMYFUNCTION("""COMPUTED_VALUE"""),"Project Management Tools")</f>
        <v>Project Management Tools</v>
      </c>
      <c r="K41" s="140">
        <f>IFERROR(__xludf.DUMMYFUNCTION("""COMPUTED_VALUE"""),638292.0)</f>
        <v>638292</v>
      </c>
      <c r="L41" s="140" t="str">
        <f>IFERROR(__xludf.DUMMYFUNCTION("""COMPUTED_VALUE"""),"")</f>
        <v/>
      </c>
      <c r="M41" s="140">
        <f>IFERROR(__xludf.DUMMYFUNCTION("""COMPUTED_VALUE"""),831116.0)</f>
        <v>831116</v>
      </c>
      <c r="N41" s="140" t="str">
        <f>IFERROR(__xludf.DUMMYFUNCTION("""COMPUTED_VALUE"""),"")</f>
        <v/>
      </c>
    </row>
    <row r="42">
      <c r="A42" s="143">
        <f>IFERROR(__xludf.DUMMYFUNCTION("""COMPUTED_VALUE"""),43039.0)</f>
        <v>43039</v>
      </c>
      <c r="B42" s="140">
        <f>IFERROR(__xludf.DUMMYFUNCTION("""COMPUTED_VALUE"""),21659.0)</f>
        <v>21659</v>
      </c>
      <c r="C42" s="140" t="str">
        <f>IFERROR(__xludf.DUMMYFUNCTION("""COMPUTED_VALUE"""),"#N/A")</f>
        <v>#N/A</v>
      </c>
      <c r="D42" t="str">
        <f>IFERROR(__xludf.DUMMYFUNCTION("""COMPUTED_VALUE"""),"Simon Sez IT")</f>
        <v>Simon Sez IT</v>
      </c>
      <c r="G42" t="str">
        <f>IFERROR(__xludf.DUMMYFUNCTION("""COMPUTED_VALUE"""),"Y")</f>
        <v>Y</v>
      </c>
      <c r="H42" t="str">
        <f>IFERROR(__xludf.DUMMYFUNCTION("""COMPUTED_VALUE"""),"Outdated")</f>
        <v>Outdated</v>
      </c>
      <c r="I42" t="str">
        <f>IFERROR(__xludf.DUMMYFUNCTION("""COMPUTED_VALUE"""),"Project Management and Operations")</f>
        <v>Project Management and Operations</v>
      </c>
      <c r="J42" t="str">
        <f>IFERROR(__xludf.DUMMYFUNCTION("""COMPUTED_VALUE"""),"Project Management Tools")</f>
        <v>Project Management Tools</v>
      </c>
      <c r="K42" s="140">
        <f>IFERROR(__xludf.DUMMYFUNCTION("""COMPUTED_VALUE"""),638292.0)</f>
        <v>638292</v>
      </c>
      <c r="L42" s="140" t="str">
        <f>IFERROR(__xludf.DUMMYFUNCTION("""COMPUTED_VALUE"""),"")</f>
        <v/>
      </c>
      <c r="M42" s="140">
        <f>IFERROR(__xludf.DUMMYFUNCTION("""COMPUTED_VALUE"""),831116.0)</f>
        <v>831116</v>
      </c>
      <c r="N42" s="140" t="str">
        <f>IFERROR(__xludf.DUMMYFUNCTION("""COMPUTED_VALUE"""),"")</f>
        <v/>
      </c>
    </row>
    <row r="43">
      <c r="A43" s="143">
        <f>IFERROR(__xludf.DUMMYFUNCTION("""COMPUTED_VALUE"""),43032.0)</f>
        <v>43032</v>
      </c>
      <c r="B43" s="140">
        <f>IFERROR(__xludf.DUMMYFUNCTION("""COMPUTED_VALUE"""),667122.0)</f>
        <v>667122</v>
      </c>
      <c r="C43" s="140" t="str">
        <f>IFERROR(__xludf.DUMMYFUNCTION("""COMPUTED_VALUE"""),"#N/A")</f>
        <v>#N/A</v>
      </c>
      <c r="D43" t="str">
        <f>IFERROR(__xludf.DUMMYFUNCTION("""COMPUTED_VALUE"""),"Tom O.")</f>
        <v>Tom O.</v>
      </c>
      <c r="F43" t="str">
        <f>IFERROR(__xludf.DUMMYFUNCTION("""COMPUTED_VALUE"""),"667122,Development,Web Development")</f>
        <v>667122,Development,Web Development</v>
      </c>
      <c r="G43" t="str">
        <f>IFERROR(__xludf.DUMMYFUNCTION("""COMPUTED_VALUE"""),"Y")</f>
        <v>Y</v>
      </c>
      <c r="H43" t="str">
        <f>IFERROR(__xludf.DUMMYFUNCTION("""COMPUTED_VALUE"""),"Instructor Request - Outdated")</f>
        <v>Instructor Request - Outdated</v>
      </c>
      <c r="I43" t="str">
        <f>IFERROR(__xludf.DUMMYFUNCTION("""COMPUTED_VALUE"""),"Development")</f>
        <v>Development</v>
      </c>
      <c r="J43" t="str">
        <f>IFERROR(__xludf.DUMMYFUNCTION("""COMPUTED_VALUE"""),"Web Development")</f>
        <v>Web Development</v>
      </c>
      <c r="K43" s="140">
        <f>IFERROR(__xludf.DUMMYFUNCTION("""COMPUTED_VALUE"""),300316.0)</f>
        <v>300316</v>
      </c>
      <c r="L43" s="140" t="str">
        <f>IFERROR(__xludf.DUMMYFUNCTION("""COMPUTED_VALUE"""),"")</f>
        <v/>
      </c>
      <c r="N43" s="140" t="str">
        <f>IFERROR(__xludf.DUMMYFUNCTION("""COMPUTED_VALUE"""),"")</f>
        <v/>
      </c>
    </row>
    <row r="44">
      <c r="A44" s="143">
        <f>IFERROR(__xludf.DUMMYFUNCTION("""COMPUTED_VALUE"""),43007.0)</f>
        <v>43007</v>
      </c>
      <c r="B44" s="140">
        <f>IFERROR(__xludf.DUMMYFUNCTION("""COMPUTED_VALUE"""),484894.0)</f>
        <v>484894</v>
      </c>
      <c r="C44" s="140" t="str">
        <f>IFERROR(__xludf.DUMMYFUNCTION("""COMPUTED_VALUE"""),"#N/A")</f>
        <v>#N/A</v>
      </c>
      <c r="D44" t="str">
        <f>IFERROR(__xludf.DUMMYFUNCTION("""COMPUTED_VALUE"""),"3D BUZZ Programming and Digital Art training")</f>
        <v>3D BUZZ Programming and Digital Art training</v>
      </c>
      <c r="F44" t="str">
        <f>IFERROR(__xludf.DUMMYFUNCTION("""COMPUTED_VALUE"""),"484894,Design,Mobile Design")</f>
        <v>484894,Design,Mobile Design</v>
      </c>
      <c r="G44" t="str">
        <f>IFERROR(__xludf.DUMMYFUNCTION("""COMPUTED_VALUE"""),"Y")</f>
        <v>Y</v>
      </c>
      <c r="H44" t="str">
        <f>IFERROR(__xludf.DUMMYFUNCTION("""COMPUTED_VALUE"""),"Below Quality Standards")</f>
        <v>Below Quality Standards</v>
      </c>
      <c r="I44" t="str">
        <f>IFERROR(__xludf.DUMMYFUNCTION("""COMPUTED_VALUE"""),"Design")</f>
        <v>Design</v>
      </c>
      <c r="J44" t="str">
        <f>IFERROR(__xludf.DUMMYFUNCTION("""COMPUTED_VALUE"""),"Mobile Design")</f>
        <v>Mobile Design</v>
      </c>
      <c r="K44" s="140">
        <f>IFERROR(__xludf.DUMMYFUNCTION("""COMPUTED_VALUE"""),707876.0)</f>
        <v>707876</v>
      </c>
      <c r="L44" s="140" t="str">
        <f>IFERROR(__xludf.DUMMYFUNCTION("""COMPUTED_VALUE"""),"")</f>
        <v/>
      </c>
      <c r="N44" s="140" t="str">
        <f>IFERROR(__xludf.DUMMYFUNCTION("""COMPUTED_VALUE"""),"")</f>
        <v/>
      </c>
    </row>
    <row r="45">
      <c r="A45" s="143">
        <f>IFERROR(__xludf.DUMMYFUNCTION("""COMPUTED_VALUE"""),43007.0)</f>
        <v>43007</v>
      </c>
      <c r="B45" s="140">
        <f>IFERROR(__xludf.DUMMYFUNCTION("""COMPUTED_VALUE"""),328832.0)</f>
        <v>328832</v>
      </c>
      <c r="C45" s="140" t="str">
        <f>IFERROR(__xludf.DUMMYFUNCTION("""COMPUTED_VALUE"""),"#N/A")</f>
        <v>#N/A</v>
      </c>
      <c r="D45" t="str">
        <f>IFERROR(__xludf.DUMMYFUNCTION("""COMPUTED_VALUE"""),"Pablo Stanley")</f>
        <v>Pablo Stanley</v>
      </c>
      <c r="F45" t="str">
        <f>IFERROR(__xludf.DUMMYFUNCTION("""COMPUTED_VALUE"""),"328832,Design,Mobile Design")</f>
        <v>328832,Design,Mobile Design</v>
      </c>
      <c r="G45" t="str">
        <f>IFERROR(__xludf.DUMMYFUNCTION("""COMPUTED_VALUE"""),"Y")</f>
        <v>Y</v>
      </c>
      <c r="H45" t="str">
        <f>IFERROR(__xludf.DUMMYFUNCTION("""COMPUTED_VALUE"""),"Below Quality Standards")</f>
        <v>Below Quality Standards</v>
      </c>
      <c r="I45" t="str">
        <f>IFERROR(__xludf.DUMMYFUNCTION("""COMPUTED_VALUE"""),"Design")</f>
        <v>Design</v>
      </c>
      <c r="J45" t="str">
        <f>IFERROR(__xludf.DUMMYFUNCTION("""COMPUTED_VALUE"""),"Mobile Design")</f>
        <v>Mobile Design</v>
      </c>
      <c r="K45" s="140">
        <f>IFERROR(__xludf.DUMMYFUNCTION("""COMPUTED_VALUE"""),371074.0)</f>
        <v>371074</v>
      </c>
      <c r="L45" s="140" t="str">
        <f>IFERROR(__xludf.DUMMYFUNCTION("""COMPUTED_VALUE"""),"")</f>
        <v/>
      </c>
      <c r="N45" s="140" t="str">
        <f>IFERROR(__xludf.DUMMYFUNCTION("""COMPUTED_VALUE"""),"")</f>
        <v/>
      </c>
    </row>
    <row r="46">
      <c r="A46" s="143">
        <f>IFERROR(__xludf.DUMMYFUNCTION("""COMPUTED_VALUE"""),43007.0)</f>
        <v>43007</v>
      </c>
      <c r="B46" s="140">
        <f>IFERROR(__xludf.DUMMYFUNCTION("""COMPUTED_VALUE"""),353140.0)</f>
        <v>353140</v>
      </c>
      <c r="C46" s="140" t="str">
        <f>IFERROR(__xludf.DUMMYFUNCTION("""COMPUTED_VALUE"""),"#N/A")</f>
        <v>#N/A</v>
      </c>
      <c r="D46" t="str">
        <f>IFERROR(__xludf.DUMMYFUNCTION("""COMPUTED_VALUE"""),"Andrew Eddy")</f>
        <v>Andrew Eddy</v>
      </c>
      <c r="F46" t="str">
        <f>IFERROR(__xludf.DUMMYFUNCTION("""COMPUTED_VALUE"""),"353140,Design,Mobile Design")</f>
        <v>353140,Design,Mobile Design</v>
      </c>
      <c r="G46" t="str">
        <f>IFERROR(__xludf.DUMMYFUNCTION("""COMPUTED_VALUE"""),"Y")</f>
        <v>Y</v>
      </c>
      <c r="H46" t="str">
        <f>IFERROR(__xludf.DUMMYFUNCTION("""COMPUTED_VALUE"""),"Below Quality Standards")</f>
        <v>Below Quality Standards</v>
      </c>
      <c r="I46" t="str">
        <f>IFERROR(__xludf.DUMMYFUNCTION("""COMPUTED_VALUE"""),"Design")</f>
        <v>Design</v>
      </c>
      <c r="J46" t="str">
        <f>IFERROR(__xludf.DUMMYFUNCTION("""COMPUTED_VALUE"""),"Mobile Design")</f>
        <v>Mobile Design</v>
      </c>
      <c r="K46" s="140">
        <f>IFERROR(__xludf.DUMMYFUNCTION("""COMPUTED_VALUE"""),371074.0)</f>
        <v>371074</v>
      </c>
      <c r="L46" s="140" t="str">
        <f>IFERROR(__xludf.DUMMYFUNCTION("""COMPUTED_VALUE"""),"")</f>
        <v/>
      </c>
      <c r="N46" s="140" t="str">
        <f>IFERROR(__xludf.DUMMYFUNCTION("""COMPUTED_VALUE"""),"")</f>
        <v/>
      </c>
      <c r="R46" t="str">
        <f>IFERROR(__xludf.DUMMYFUNCTION("""COMPUTED_VALUE"""),"Design")</f>
        <v>Design</v>
      </c>
      <c r="S46" s="143" t="str">
        <f>IFERROR(__xludf.DUMMYFUNCTION("""COMPUTED_VALUE"""),"User Experience Design")</f>
        <v>User Experience Design</v>
      </c>
    </row>
    <row r="47">
      <c r="A47" s="143">
        <f>IFERROR(__xludf.DUMMYFUNCTION("""COMPUTED_VALUE"""),43007.0)</f>
        <v>43007</v>
      </c>
      <c r="B47" s="140">
        <f>IFERROR(__xludf.DUMMYFUNCTION("""COMPUTED_VALUE"""),402508.0)</f>
        <v>402508</v>
      </c>
      <c r="C47" s="140" t="str">
        <f>IFERROR(__xludf.DUMMYFUNCTION("""COMPUTED_VALUE"""),"#N/A")</f>
        <v>#N/A</v>
      </c>
      <c r="D47" t="str">
        <f>IFERROR(__xludf.DUMMYFUNCTION("""COMPUTED_VALUE"""),"LearnToProgram, Inc.")</f>
        <v>LearnToProgram, Inc.</v>
      </c>
      <c r="F47" t="str">
        <f>IFERROR(__xludf.DUMMYFUNCTION("""COMPUTED_VALUE"""),"402508,Design,Web Design")</f>
        <v>402508,Design,Web Design</v>
      </c>
      <c r="G47" t="str">
        <f>IFERROR(__xludf.DUMMYFUNCTION("""COMPUTED_VALUE"""),"Y")</f>
        <v>Y</v>
      </c>
      <c r="H47" t="str">
        <f>IFERROR(__xludf.DUMMYFUNCTION("""COMPUTED_VALUE"""),"Below Quality Standards")</f>
        <v>Below Quality Standards</v>
      </c>
      <c r="I47" t="str">
        <f>IFERROR(__xludf.DUMMYFUNCTION("""COMPUTED_VALUE"""),"Design")</f>
        <v>Design</v>
      </c>
      <c r="J47" t="str">
        <f>IFERROR(__xludf.DUMMYFUNCTION("""COMPUTED_VALUE"""),"Web Design")</f>
        <v>Web Design</v>
      </c>
      <c r="K47" s="140">
        <f>IFERROR(__xludf.DUMMYFUNCTION("""COMPUTED_VALUE"""),1038568.0)</f>
        <v>1038568</v>
      </c>
      <c r="L47" s="140" t="str">
        <f>IFERROR(__xludf.DUMMYFUNCTION("""COMPUTED_VALUE"""),"")</f>
        <v/>
      </c>
      <c r="N47" s="140" t="str">
        <f>IFERROR(__xludf.DUMMYFUNCTION("""COMPUTED_VALUE"""),"")</f>
        <v/>
      </c>
    </row>
    <row r="48">
      <c r="A48" s="143">
        <f>IFERROR(__xludf.DUMMYFUNCTION("""COMPUTED_VALUE"""),43007.0)</f>
        <v>43007</v>
      </c>
      <c r="B48" s="140">
        <f>IFERROR(__xludf.DUMMYFUNCTION("""COMPUTED_VALUE"""),426838.0)</f>
        <v>426838</v>
      </c>
      <c r="C48" s="140" t="str">
        <f>IFERROR(__xludf.DUMMYFUNCTION("""COMPUTED_VALUE"""),"#N/A")</f>
        <v>#N/A</v>
      </c>
      <c r="D48" t="str">
        <f>IFERROR(__xludf.DUMMYFUNCTION("""COMPUTED_VALUE"""),"Rahul Singh Rathore")</f>
        <v>Rahul Singh Rathore</v>
      </c>
      <c r="F48" t="str">
        <f>IFERROR(__xludf.DUMMYFUNCTION("""COMPUTED_VALUE"""),"426838,Development,Development Tools")</f>
        <v>426838,Development,Development Tools</v>
      </c>
      <c r="G48" t="str">
        <f>IFERROR(__xludf.DUMMYFUNCTION("""COMPUTED_VALUE"""),"Y")</f>
        <v>Y</v>
      </c>
      <c r="H48" t="str">
        <f>IFERROR(__xludf.DUMMYFUNCTION("""COMPUTED_VALUE"""),"Below Quality Standards")</f>
        <v>Below Quality Standards</v>
      </c>
      <c r="I48" t="str">
        <f>IFERROR(__xludf.DUMMYFUNCTION("""COMPUTED_VALUE"""),"Development")</f>
        <v>Development</v>
      </c>
      <c r="J48" t="str">
        <f>IFERROR(__xludf.DUMMYFUNCTION("""COMPUTED_VALUE"""),"Development Tools")</f>
        <v>Development Tools</v>
      </c>
      <c r="K48" s="140">
        <f>IFERROR(__xludf.DUMMYFUNCTION("""COMPUTED_VALUE"""),679242.0)</f>
        <v>679242</v>
      </c>
      <c r="L48" s="140" t="str">
        <f>IFERROR(__xludf.DUMMYFUNCTION("""COMPUTED_VALUE"""),"")</f>
        <v/>
      </c>
      <c r="N48" s="140" t="str">
        <f>IFERROR(__xludf.DUMMYFUNCTION("""COMPUTED_VALUE"""),"")</f>
        <v/>
      </c>
      <c r="R48" t="str">
        <f>IFERROR(__xludf.DUMMYFUNCTION("""COMPUTED_VALUE"""),"Development")</f>
        <v>Development</v>
      </c>
      <c r="S48" s="143" t="str">
        <f>IFERROR(__xludf.DUMMYFUNCTION("""COMPUTED_VALUE"""),"Programming")</f>
        <v>Programming</v>
      </c>
    </row>
    <row r="49">
      <c r="A49" s="143">
        <f>IFERROR(__xludf.DUMMYFUNCTION("""COMPUTED_VALUE"""),43007.0)</f>
        <v>43007</v>
      </c>
      <c r="B49" s="140">
        <f>IFERROR(__xludf.DUMMYFUNCTION("""COMPUTED_VALUE"""),776938.0)</f>
        <v>776938</v>
      </c>
      <c r="C49" s="140" t="str">
        <f>IFERROR(__xludf.DUMMYFUNCTION("""COMPUTED_VALUE"""),"#N/A")</f>
        <v>#N/A</v>
      </c>
      <c r="D49" t="str">
        <f>IFERROR(__xludf.DUMMYFUNCTION("""COMPUTED_VALUE"""),"Manuj Aggarwal")</f>
        <v>Manuj Aggarwal</v>
      </c>
      <c r="F49" t="str">
        <f>IFERROR(__xludf.DUMMYFUNCTION("""COMPUTED_VALUE"""),"776938,Development,Development Tools")</f>
        <v>776938,Development,Development Tools</v>
      </c>
      <c r="G49" t="str">
        <f>IFERROR(__xludf.DUMMYFUNCTION("""COMPUTED_VALUE"""),"Y")</f>
        <v>Y</v>
      </c>
      <c r="H49" t="str">
        <f>IFERROR(__xludf.DUMMYFUNCTION("""COMPUTED_VALUE"""),"Below Quality Standards")</f>
        <v>Below Quality Standards</v>
      </c>
      <c r="I49" t="str">
        <f>IFERROR(__xludf.DUMMYFUNCTION("""COMPUTED_VALUE"""),"Development")</f>
        <v>Development</v>
      </c>
      <c r="J49" t="str">
        <f>IFERROR(__xludf.DUMMYFUNCTION("""COMPUTED_VALUE"""),"Development Tools")</f>
        <v>Development Tools</v>
      </c>
      <c r="K49" s="140">
        <f>IFERROR(__xludf.DUMMYFUNCTION("""COMPUTED_VALUE"""),1034400.0)</f>
        <v>1034400</v>
      </c>
      <c r="L49" s="140" t="str">
        <f>IFERROR(__xludf.DUMMYFUNCTION("""COMPUTED_VALUE"""),"")</f>
        <v/>
      </c>
      <c r="N49" s="140" t="str">
        <f>IFERROR(__xludf.DUMMYFUNCTION("""COMPUTED_VALUE"""),"")</f>
        <v/>
      </c>
    </row>
    <row r="50">
      <c r="A50" s="143">
        <f>IFERROR(__xludf.DUMMYFUNCTION("""COMPUTED_VALUE"""),43007.0)</f>
        <v>43007</v>
      </c>
      <c r="B50" s="140">
        <f>IFERROR(__xludf.DUMMYFUNCTION("""COMPUTED_VALUE"""),581036.0)</f>
        <v>581036</v>
      </c>
      <c r="C50" s="140" t="str">
        <f>IFERROR(__xludf.DUMMYFUNCTION("""COMPUTED_VALUE"""),"#N/A")</f>
        <v>#N/A</v>
      </c>
      <c r="D50" t="str">
        <f>IFERROR(__xludf.DUMMYFUNCTION("""COMPUTED_VALUE"""),"Eduonix Learning Solutions")</f>
        <v>Eduonix Learning Solutions</v>
      </c>
      <c r="F50" t="str">
        <f>IFERROR(__xludf.DUMMYFUNCTION("""COMPUTED_VALUE"""),"581036,Development,Development Tools")</f>
        <v>581036,Development,Development Tools</v>
      </c>
      <c r="G50" t="str">
        <f>IFERROR(__xludf.DUMMYFUNCTION("""COMPUTED_VALUE"""),"Y")</f>
        <v>Y</v>
      </c>
      <c r="H50" t="str">
        <f>IFERROR(__xludf.DUMMYFUNCTION("""COMPUTED_VALUE"""),"Below Quality Standards")</f>
        <v>Below Quality Standards</v>
      </c>
      <c r="I50" t="str">
        <f>IFERROR(__xludf.DUMMYFUNCTION("""COMPUTED_VALUE"""),"Development")</f>
        <v>Development</v>
      </c>
      <c r="J50" t="str">
        <f>IFERROR(__xludf.DUMMYFUNCTION("""COMPUTED_VALUE"""),"Development Tools")</f>
        <v>Development Tools</v>
      </c>
      <c r="K50" s="140">
        <f>IFERROR(__xludf.DUMMYFUNCTION("""COMPUTED_VALUE"""),53670.0)</f>
        <v>53670</v>
      </c>
      <c r="L50" s="140" t="str">
        <f>IFERROR(__xludf.DUMMYFUNCTION("""COMPUTED_VALUE"""),"")</f>
        <v/>
      </c>
      <c r="N50" s="140" t="str">
        <f>IFERROR(__xludf.DUMMYFUNCTION("""COMPUTED_VALUE"""),"")</f>
        <v/>
      </c>
      <c r="R50" t="str">
        <f>IFERROR(__xludf.DUMMYFUNCTION("""COMPUTED_VALUE"""),"Development")</f>
        <v>Development</v>
      </c>
      <c r="S50" s="143" t="str">
        <f>IFERROR(__xludf.DUMMYFUNCTION("""COMPUTED_VALUE"""),"Web Development")</f>
        <v>Web Development</v>
      </c>
    </row>
    <row r="51">
      <c r="A51" s="143">
        <f>IFERROR(__xludf.DUMMYFUNCTION("""COMPUTED_VALUE"""),43007.0)</f>
        <v>43007</v>
      </c>
      <c r="B51" s="140">
        <f>IFERROR(__xludf.DUMMYFUNCTION("""COMPUTED_VALUE"""),921474.0)</f>
        <v>921474</v>
      </c>
      <c r="C51" s="140" t="str">
        <f>IFERROR(__xludf.DUMMYFUNCTION("""COMPUTED_VALUE"""),"#N/A")</f>
        <v>#N/A</v>
      </c>
      <c r="D51" t="str">
        <f>IFERROR(__xludf.DUMMYFUNCTION("""COMPUTED_VALUE"""),"Syed Raza")</f>
        <v>Syed Raza</v>
      </c>
      <c r="F51" t="str">
        <f>IFERROR(__xludf.DUMMYFUNCTION("""COMPUTED_VALUE"""),"921474,Development,Development Tools")</f>
        <v>921474,Development,Development Tools</v>
      </c>
      <c r="G51" t="str">
        <f>IFERROR(__xludf.DUMMYFUNCTION("""COMPUTED_VALUE"""),"Y")</f>
        <v>Y</v>
      </c>
      <c r="H51" t="str">
        <f>IFERROR(__xludf.DUMMYFUNCTION("""COMPUTED_VALUE"""),"Below Quality Standards")</f>
        <v>Below Quality Standards</v>
      </c>
      <c r="I51" t="str">
        <f>IFERROR(__xludf.DUMMYFUNCTION("""COMPUTED_VALUE"""),"Development")</f>
        <v>Development</v>
      </c>
      <c r="J51" t="str">
        <f>IFERROR(__xludf.DUMMYFUNCTION("""COMPUTED_VALUE"""),"Development Tools")</f>
        <v>Development Tools</v>
      </c>
      <c r="K51" s="140">
        <f>IFERROR(__xludf.DUMMYFUNCTION("""COMPUTED_VALUE"""),1007250.0)</f>
        <v>1007250</v>
      </c>
      <c r="L51" s="140" t="str">
        <f>IFERROR(__xludf.DUMMYFUNCTION("""COMPUTED_VALUE"""),"")</f>
        <v/>
      </c>
      <c r="M51" s="140">
        <f>IFERROR(__xludf.DUMMYFUNCTION("""COMPUTED_VALUE"""),714724.0)</f>
        <v>714724</v>
      </c>
      <c r="N51" s="140" t="str">
        <f>IFERROR(__xludf.DUMMYFUNCTION("""COMPUTED_VALUE"""),"")</f>
        <v/>
      </c>
      <c r="O51" s="140">
        <f>IFERROR(__xludf.DUMMYFUNCTION("""COMPUTED_VALUE"""),533682.0)</f>
        <v>533682</v>
      </c>
      <c r="P51" s="145" t="str">
        <f>IFERROR(__xludf.DUMMYFUNCTION("""COMPUTED_VALUE"""),"Complete Java Masterclass")</f>
        <v>Complete Java Masterclass</v>
      </c>
    </row>
    <row r="52">
      <c r="A52" s="143">
        <f>IFERROR(__xludf.DUMMYFUNCTION("""COMPUTED_VALUE"""),43007.0)</f>
        <v>43007</v>
      </c>
      <c r="B52" s="140">
        <f>IFERROR(__xludf.DUMMYFUNCTION("""COMPUTED_VALUE"""),1005602.0)</f>
        <v>1005602</v>
      </c>
      <c r="C52" s="140" t="str">
        <f>IFERROR(__xludf.DUMMYFUNCTION("""COMPUTED_VALUE"""),"#N/A")</f>
        <v>#N/A</v>
      </c>
      <c r="D52" t="str">
        <f>IFERROR(__xludf.DUMMYFUNCTION("""COMPUTED_VALUE"""),"Ben Tristem")</f>
        <v>Ben Tristem</v>
      </c>
      <c r="F52" t="str">
        <f>IFERROR(__xludf.DUMMYFUNCTION("""COMPUTED_VALUE"""),"1005602,Development,Mobile Development")</f>
        <v>1005602,Development,Mobile Development</v>
      </c>
      <c r="G52" t="str">
        <f>IFERROR(__xludf.DUMMYFUNCTION("""COMPUTED_VALUE"""),"Y")</f>
        <v>Y</v>
      </c>
      <c r="H52" t="str">
        <f>IFERROR(__xludf.DUMMYFUNCTION("""COMPUTED_VALUE"""),"Instructor Request")</f>
        <v>Instructor Request</v>
      </c>
      <c r="I52" t="str">
        <f>IFERROR(__xludf.DUMMYFUNCTION("""COMPUTED_VALUE"""),"Development")</f>
        <v>Development</v>
      </c>
      <c r="J52" t="str">
        <f>IFERROR(__xludf.DUMMYFUNCTION("""COMPUTED_VALUE"""),"Mobile Development")</f>
        <v>Mobile Development</v>
      </c>
      <c r="K52" s="140">
        <f>IFERROR(__xludf.DUMMYFUNCTION("""COMPUTED_VALUE"""),438522.0)</f>
        <v>438522</v>
      </c>
      <c r="L52" s="140" t="str">
        <f>IFERROR(__xludf.DUMMYFUNCTION("""COMPUTED_VALUE"""),"")</f>
        <v/>
      </c>
      <c r="N52" s="140" t="str">
        <f>IFERROR(__xludf.DUMMYFUNCTION("""COMPUTED_VALUE"""),"")</f>
        <v/>
      </c>
    </row>
    <row r="53">
      <c r="A53" s="143">
        <f>IFERROR(__xludf.DUMMYFUNCTION("""COMPUTED_VALUE"""),43007.0)</f>
        <v>43007</v>
      </c>
      <c r="B53" s="140">
        <f>IFERROR(__xludf.DUMMYFUNCTION("""COMPUTED_VALUE"""),920890.0)</f>
        <v>920890</v>
      </c>
      <c r="C53" s="140" t="str">
        <f>IFERROR(__xludf.DUMMYFUNCTION("""COMPUTED_VALUE"""),"#N/A")</f>
        <v>#N/A</v>
      </c>
      <c r="D53" t="str">
        <f>IFERROR(__xludf.DUMMYFUNCTION("""COMPUTED_VALUE"""),"Ryan Kroonenburg")</f>
        <v>Ryan Kroonenburg</v>
      </c>
      <c r="F53" t="str">
        <f>IFERROR(__xludf.DUMMYFUNCTION("""COMPUTED_VALUE"""),"920890,Development,Mobile Development")</f>
        <v>920890,Development,Mobile Development</v>
      </c>
      <c r="G53" t="str">
        <f>IFERROR(__xludf.DUMMYFUNCTION("""COMPUTED_VALUE"""),"Y")</f>
        <v>Y</v>
      </c>
      <c r="H53" t="str">
        <f>IFERROR(__xludf.DUMMYFUNCTION("""COMPUTED_VALUE"""),"Instructor Request")</f>
        <v>Instructor Request</v>
      </c>
      <c r="I53" t="str">
        <f>IFERROR(__xludf.DUMMYFUNCTION("""COMPUTED_VALUE"""),"Development")</f>
        <v>Development</v>
      </c>
      <c r="J53" t="str">
        <f>IFERROR(__xludf.DUMMYFUNCTION("""COMPUTED_VALUE"""),"Mobile Development")</f>
        <v>Mobile Development</v>
      </c>
      <c r="L53" s="140" t="str">
        <f>IFERROR(__xludf.DUMMYFUNCTION("""COMPUTED_VALUE"""),"")</f>
        <v/>
      </c>
      <c r="N53" s="140" t="str">
        <f>IFERROR(__xludf.DUMMYFUNCTION("""COMPUTED_VALUE"""),"")</f>
        <v/>
      </c>
    </row>
    <row r="54">
      <c r="A54" s="143">
        <f>IFERROR(__xludf.DUMMYFUNCTION("""COMPUTED_VALUE"""),43007.0)</f>
        <v>43007</v>
      </c>
      <c r="B54" s="140">
        <f>IFERROR(__xludf.DUMMYFUNCTION("""COMPUTED_VALUE"""),720550.0)</f>
        <v>720550</v>
      </c>
      <c r="C54" s="140" t="str">
        <f>IFERROR(__xludf.DUMMYFUNCTION("""COMPUTED_VALUE"""),"#N/A")</f>
        <v>#N/A</v>
      </c>
      <c r="D54" t="str">
        <f>IFERROR(__xludf.DUMMYFUNCTION("""COMPUTED_VALUE"""),"in28Minutes Official")</f>
        <v>in28Minutes Official</v>
      </c>
      <c r="F54" t="str">
        <f>IFERROR(__xludf.DUMMYFUNCTION("""COMPUTED_VALUE"""),"720550,Development,Programming")</f>
        <v>720550,Development,Programming</v>
      </c>
      <c r="G54" t="str">
        <f>IFERROR(__xludf.DUMMYFUNCTION("""COMPUTED_VALUE"""),"Y")</f>
        <v>Y</v>
      </c>
      <c r="H54" t="str">
        <f>IFERROR(__xludf.DUMMYFUNCTION("""COMPUTED_VALUE"""),"Below Quality Standards")</f>
        <v>Below Quality Standards</v>
      </c>
      <c r="I54" t="str">
        <f>IFERROR(__xludf.DUMMYFUNCTION("""COMPUTED_VALUE"""),"Development")</f>
        <v>Development</v>
      </c>
      <c r="J54" t="str">
        <f>IFERROR(__xludf.DUMMYFUNCTION("""COMPUTED_VALUE"""),"Programming")</f>
        <v>Programming</v>
      </c>
      <c r="K54" s="140">
        <f>IFERROR(__xludf.DUMMYFUNCTION("""COMPUTED_VALUE"""),222628.0)</f>
        <v>222628</v>
      </c>
      <c r="L54" s="140" t="str">
        <f>IFERROR(__xludf.DUMMYFUNCTION("""COMPUTED_VALUE"""),"")</f>
        <v/>
      </c>
      <c r="N54" s="140" t="str">
        <f>IFERROR(__xludf.DUMMYFUNCTION("""COMPUTED_VALUE"""),"")</f>
        <v/>
      </c>
    </row>
    <row r="55">
      <c r="A55" s="143">
        <f>IFERROR(__xludf.DUMMYFUNCTION("""COMPUTED_VALUE"""),43007.0)</f>
        <v>43007</v>
      </c>
      <c r="B55" s="140">
        <f>IFERROR(__xludf.DUMMYFUNCTION("""COMPUTED_VALUE"""),993142.0)</f>
        <v>993142</v>
      </c>
      <c r="C55" s="140" t="str">
        <f>IFERROR(__xludf.DUMMYFUNCTION("""COMPUTED_VALUE"""),"#N/A")</f>
        <v>#N/A</v>
      </c>
      <c r="D55" t="str">
        <f>IFERROR(__xludf.DUMMYFUNCTION("""COMPUTED_VALUE"""),"Laurence Svekis")</f>
        <v>Laurence Svekis</v>
      </c>
      <c r="F55" t="str">
        <f>IFERROR(__xludf.DUMMYFUNCTION("""COMPUTED_VALUE"""),"993142,Development,Web Development")</f>
        <v>993142,Development,Web Development</v>
      </c>
      <c r="G55" t="str">
        <f>IFERROR(__xludf.DUMMYFUNCTION("""COMPUTED_VALUE"""),"Y")</f>
        <v>Y</v>
      </c>
      <c r="H55" t="str">
        <f>IFERROR(__xludf.DUMMYFUNCTION("""COMPUTED_VALUE"""),"Below Quality Standards")</f>
        <v>Below Quality Standards</v>
      </c>
      <c r="I55" t="str">
        <f>IFERROR(__xludf.DUMMYFUNCTION("""COMPUTED_VALUE"""),"Development")</f>
        <v>Development</v>
      </c>
      <c r="J55" t="str">
        <f>IFERROR(__xludf.DUMMYFUNCTION("""COMPUTED_VALUE"""),"Web Development")</f>
        <v>Web Development</v>
      </c>
      <c r="K55" s="140">
        <f>IFERROR(__xludf.DUMMYFUNCTION("""COMPUTED_VALUE"""),446608.0)</f>
        <v>446608</v>
      </c>
      <c r="L55" s="140" t="str">
        <f>IFERROR(__xludf.DUMMYFUNCTION("""COMPUTED_VALUE"""),"")</f>
        <v/>
      </c>
      <c r="N55" s="140" t="str">
        <f>IFERROR(__xludf.DUMMYFUNCTION("""COMPUTED_VALUE"""),"")</f>
        <v/>
      </c>
    </row>
    <row r="56">
      <c r="A56" s="143">
        <f>IFERROR(__xludf.DUMMYFUNCTION("""COMPUTED_VALUE"""),43007.0)</f>
        <v>43007</v>
      </c>
      <c r="B56" s="140">
        <f>IFERROR(__xludf.DUMMYFUNCTION("""COMPUTED_VALUE"""),495414.0)</f>
        <v>495414</v>
      </c>
      <c r="C56" s="140" t="str">
        <f>IFERROR(__xludf.DUMMYFUNCTION("""COMPUTED_VALUE"""),"#N/A")</f>
        <v>#N/A</v>
      </c>
      <c r="D56" t="str">
        <f>IFERROR(__xludf.DUMMYFUNCTION("""COMPUTED_VALUE"""),"LearnSmart LLC")</f>
        <v>LearnSmart LLC</v>
      </c>
      <c r="F56" t="str">
        <f>IFERROR(__xludf.DUMMYFUNCTION("""COMPUTED_VALUE"""),"495414,Human Resources,Compliance")</f>
        <v>495414,Human Resources,Compliance</v>
      </c>
      <c r="G56" t="str">
        <f>IFERROR(__xludf.DUMMYFUNCTION("""COMPUTED_VALUE"""),"Y")</f>
        <v>Y</v>
      </c>
      <c r="H56" t="str">
        <f>IFERROR(__xludf.DUMMYFUNCTION("""COMPUTED_VALUE"""),"Instructor Request, Updated")</f>
        <v>Instructor Request, Updated</v>
      </c>
      <c r="I56" t="str">
        <f>IFERROR(__xludf.DUMMYFUNCTION("""COMPUTED_VALUE"""),"Human Resources")</f>
        <v>Human Resources</v>
      </c>
      <c r="J56" t="str">
        <f>IFERROR(__xludf.DUMMYFUNCTION("""COMPUTED_VALUE"""),"Compliance")</f>
        <v>Compliance</v>
      </c>
      <c r="K56" s="140">
        <f>IFERROR(__xludf.DUMMYFUNCTION("""COMPUTED_VALUE"""),1153366.0)</f>
        <v>1153366</v>
      </c>
      <c r="L56" s="140" t="str">
        <f>IFERROR(__xludf.DUMMYFUNCTION("""COMPUTED_VALUE"""),"")</f>
        <v/>
      </c>
      <c r="N56" s="140" t="str">
        <f>IFERROR(__xludf.DUMMYFUNCTION("""COMPUTED_VALUE"""),"")</f>
        <v/>
      </c>
    </row>
    <row r="57">
      <c r="A57" s="143">
        <f>IFERROR(__xludf.DUMMYFUNCTION("""COMPUTED_VALUE"""),43007.0)</f>
        <v>43007</v>
      </c>
      <c r="B57" s="140">
        <f>IFERROR(__xludf.DUMMYFUNCTION("""COMPUTED_VALUE"""),42317.0)</f>
        <v>42317</v>
      </c>
      <c r="C57" s="140" t="str">
        <f>IFERROR(__xludf.DUMMYFUNCTION("""COMPUTED_VALUE"""),"#N/A")</f>
        <v>#N/A</v>
      </c>
      <c r="D57" t="str">
        <f>IFERROR(__xludf.DUMMYFUNCTION("""COMPUTED_VALUE"""),"Lazaro Diaz")</f>
        <v>Lazaro Diaz</v>
      </c>
      <c r="F57" t="str">
        <f>IFERROR(__xludf.DUMMYFUNCTION("""COMPUTED_VALUE"""),"42317,IT and Software,IT Certifications")</f>
        <v>42317,IT and Software,IT Certifications</v>
      </c>
      <c r="G57" t="str">
        <f>IFERROR(__xludf.DUMMYFUNCTION("""COMPUTED_VALUE"""),"Y")</f>
        <v>Y</v>
      </c>
      <c r="H57" t="str">
        <f>IFERROR(__xludf.DUMMYFUNCTION("""COMPUTED_VALUE"""),"Instructor Request, Updated")</f>
        <v>Instructor Request, Updated</v>
      </c>
      <c r="I57" t="str">
        <f>IFERROR(__xludf.DUMMYFUNCTION("""COMPUTED_VALUE"""),"IT and Software")</f>
        <v>IT and Software</v>
      </c>
      <c r="J57" t="str">
        <f>IFERROR(__xludf.DUMMYFUNCTION("""COMPUTED_VALUE"""),"IT Certifications")</f>
        <v>IT Certifications</v>
      </c>
      <c r="K57" s="140">
        <f>IFERROR(__xludf.DUMMYFUNCTION("""COMPUTED_VALUE"""),1171824.0)</f>
        <v>1171824</v>
      </c>
      <c r="L57" s="140" t="str">
        <f>IFERROR(__xludf.DUMMYFUNCTION("""COMPUTED_VALUE"""),"")</f>
        <v/>
      </c>
      <c r="N57" s="140" t="str">
        <f>IFERROR(__xludf.DUMMYFUNCTION("""COMPUTED_VALUE"""),"")</f>
        <v/>
      </c>
    </row>
    <row r="58">
      <c r="A58" s="143">
        <f>IFERROR(__xludf.DUMMYFUNCTION("""COMPUTED_VALUE"""),43007.0)</f>
        <v>43007</v>
      </c>
      <c r="B58" s="140">
        <f>IFERROR(__xludf.DUMMYFUNCTION("""COMPUTED_VALUE"""),609178.0)</f>
        <v>609178</v>
      </c>
      <c r="C58" s="140" t="str">
        <f>IFERROR(__xludf.DUMMYFUNCTION("""COMPUTED_VALUE"""),"#N/A")</f>
        <v>#N/A</v>
      </c>
      <c r="D58" t="str">
        <f>IFERROR(__xludf.DUMMYFUNCTION("""COMPUTED_VALUE"""),"LearnSmart LLC")</f>
        <v>LearnSmart LLC</v>
      </c>
      <c r="F58" t="str">
        <f>IFERROR(__xludf.DUMMYFUNCTION("""COMPUTED_VALUE"""),"609178,IT and Software,IT Certifications")</f>
        <v>609178,IT and Software,IT Certifications</v>
      </c>
      <c r="G58" t="str">
        <f>IFERROR(__xludf.DUMMYFUNCTION("""COMPUTED_VALUE"""),"Y")</f>
        <v>Y</v>
      </c>
      <c r="H58" t="str">
        <f>IFERROR(__xludf.DUMMYFUNCTION("""COMPUTED_VALUE"""),"Below Quality Standards")</f>
        <v>Below Quality Standards</v>
      </c>
      <c r="I58" t="str">
        <f>IFERROR(__xludf.DUMMYFUNCTION("""COMPUTED_VALUE"""),"IT and Software")</f>
        <v>IT and Software</v>
      </c>
      <c r="J58" t="str">
        <f>IFERROR(__xludf.DUMMYFUNCTION("""COMPUTED_VALUE"""),"IT Certifications")</f>
        <v>IT Certifications</v>
      </c>
      <c r="K58" s="140">
        <f>IFERROR(__xludf.DUMMYFUNCTION("""COMPUTED_VALUE"""),1117202.0)</f>
        <v>1117202</v>
      </c>
      <c r="L58" s="140" t="str">
        <f>IFERROR(__xludf.DUMMYFUNCTION("""COMPUTED_VALUE"""),"")</f>
        <v/>
      </c>
      <c r="N58" s="140" t="str">
        <f>IFERROR(__xludf.DUMMYFUNCTION("""COMPUTED_VALUE"""),"")</f>
        <v/>
      </c>
      <c r="R58" t="str">
        <f>IFERROR(__xludf.DUMMYFUNCTION("""COMPUTED_VALUE"""),"IT and Software")</f>
        <v>IT and Software</v>
      </c>
      <c r="S58" s="143" t="str">
        <f>IFERROR(__xludf.DUMMYFUNCTION("""COMPUTED_VALUE"""),"Network and Security")</f>
        <v>Network and Security</v>
      </c>
    </row>
    <row r="59">
      <c r="A59" s="143">
        <f>IFERROR(__xludf.DUMMYFUNCTION("""COMPUTED_VALUE"""),43007.0)</f>
        <v>43007</v>
      </c>
      <c r="B59" s="140">
        <f>IFERROR(__xludf.DUMMYFUNCTION("""COMPUTED_VALUE"""),661602.0)</f>
        <v>661602</v>
      </c>
      <c r="C59" s="140" t="str">
        <f>IFERROR(__xludf.DUMMYFUNCTION("""COMPUTED_VALUE"""),"#N/A")</f>
        <v>#N/A</v>
      </c>
      <c r="D59" t="str">
        <f>IFERROR(__xludf.DUMMYFUNCTION("""COMPUTED_VALUE"""),"Interface Technical Training")</f>
        <v>Interface Technical Training</v>
      </c>
      <c r="F59" t="str">
        <f>IFERROR(__xludf.DUMMYFUNCTION("""COMPUTED_VALUE"""),"661602,IT and Software,IT Certifications")</f>
        <v>661602,IT and Software,IT Certifications</v>
      </c>
      <c r="G59" t="str">
        <f>IFERROR(__xludf.DUMMYFUNCTION("""COMPUTED_VALUE"""),"Y")</f>
        <v>Y</v>
      </c>
      <c r="H59" t="str">
        <f>IFERROR(__xludf.DUMMYFUNCTION("""COMPUTED_VALUE"""),"Below Quality Standards")</f>
        <v>Below Quality Standards</v>
      </c>
      <c r="I59" t="str">
        <f>IFERROR(__xludf.DUMMYFUNCTION("""COMPUTED_VALUE"""),"IT and Software")</f>
        <v>IT and Software</v>
      </c>
      <c r="J59" t="str">
        <f>IFERROR(__xludf.DUMMYFUNCTION("""COMPUTED_VALUE"""),"IT Certifications")</f>
        <v>IT Certifications</v>
      </c>
      <c r="K59" s="140">
        <f>IFERROR(__xludf.DUMMYFUNCTION("""COMPUTED_VALUE"""),1127784.0)</f>
        <v>1127784</v>
      </c>
      <c r="L59" s="140" t="str">
        <f>IFERROR(__xludf.DUMMYFUNCTION("""COMPUTED_VALUE"""),"")</f>
        <v/>
      </c>
      <c r="N59" s="140" t="str">
        <f>IFERROR(__xludf.DUMMYFUNCTION("""COMPUTED_VALUE"""),"")</f>
        <v/>
      </c>
    </row>
    <row r="60">
      <c r="A60" s="143">
        <f>IFERROR(__xludf.DUMMYFUNCTION("""COMPUTED_VALUE"""),43007.0)</f>
        <v>43007</v>
      </c>
      <c r="B60" s="140">
        <f>IFERROR(__xludf.DUMMYFUNCTION("""COMPUTED_VALUE"""),484088.0)</f>
        <v>484088</v>
      </c>
      <c r="C60" s="140" t="str">
        <f>IFERROR(__xludf.DUMMYFUNCTION("""COMPUTED_VALUE"""),"#N/A")</f>
        <v>#N/A</v>
      </c>
      <c r="D60" t="str">
        <f>IFERROR(__xludf.DUMMYFUNCTION("""COMPUTED_VALUE"""),"Adam Karsh")</f>
        <v>Adam Karsh</v>
      </c>
      <c r="F60" t="str">
        <f>IFERROR(__xludf.DUMMYFUNCTION("""COMPUTED_VALUE"""),"484088,Management,Communication")</f>
        <v>484088,Management,Communication</v>
      </c>
      <c r="G60" t="str">
        <f>IFERROR(__xludf.DUMMYFUNCTION("""COMPUTED_VALUE"""),"Y")</f>
        <v>Y</v>
      </c>
      <c r="H60" t="str">
        <f>IFERROR(__xludf.DUMMYFUNCTION("""COMPUTED_VALUE"""),"Below Quality Standards")</f>
        <v>Below Quality Standards</v>
      </c>
      <c r="I60" t="str">
        <f>IFERROR(__xludf.DUMMYFUNCTION("""COMPUTED_VALUE"""),"Management")</f>
        <v>Management</v>
      </c>
      <c r="J60" t="str">
        <f>IFERROR(__xludf.DUMMYFUNCTION("""COMPUTED_VALUE"""),"Communication")</f>
        <v>Communication</v>
      </c>
      <c r="K60" s="140">
        <f>IFERROR(__xludf.DUMMYFUNCTION("""COMPUTED_VALUE"""),323448.0)</f>
        <v>323448</v>
      </c>
      <c r="L60" s="140" t="str">
        <f>IFERROR(__xludf.DUMMYFUNCTION("""COMPUTED_VALUE"""),"")</f>
        <v/>
      </c>
      <c r="N60" s="140" t="str">
        <f>IFERROR(__xludf.DUMMYFUNCTION("""COMPUTED_VALUE"""),"")</f>
        <v/>
      </c>
    </row>
    <row r="61">
      <c r="A61" s="143">
        <f>IFERROR(__xludf.DUMMYFUNCTION("""COMPUTED_VALUE"""),43007.0)</f>
        <v>43007</v>
      </c>
      <c r="B61" s="140">
        <f>IFERROR(__xludf.DUMMYFUNCTION("""COMPUTED_VALUE"""),773952.0)</f>
        <v>773952</v>
      </c>
      <c r="C61" s="140" t="str">
        <f>IFERROR(__xludf.DUMMYFUNCTION("""COMPUTED_VALUE"""),"#N/A")</f>
        <v>#N/A</v>
      </c>
      <c r="D61" t="str">
        <f>IFERROR(__xludf.DUMMYFUNCTION("""COMPUTED_VALUE"""),"Libby Seery - Founder of Renaissance Life Therapies")</f>
        <v>Libby Seery - Founder of Renaissance Life Therapies</v>
      </c>
      <c r="F61" t="str">
        <f>IFERROR(__xludf.DUMMYFUNCTION("""COMPUTED_VALUE"""),"773952,Management,Influence")</f>
        <v>773952,Management,Influence</v>
      </c>
      <c r="G61" t="str">
        <f>IFERROR(__xludf.DUMMYFUNCTION("""COMPUTED_VALUE"""),"Y")</f>
        <v>Y</v>
      </c>
      <c r="H61" t="str">
        <f>IFERROR(__xludf.DUMMYFUNCTION("""COMPUTED_VALUE"""),"Below Quality Standards")</f>
        <v>Below Quality Standards</v>
      </c>
      <c r="I61" t="str">
        <f>IFERROR(__xludf.DUMMYFUNCTION("""COMPUTED_VALUE"""),"Management")</f>
        <v>Management</v>
      </c>
      <c r="J61" t="str">
        <f>IFERROR(__xludf.DUMMYFUNCTION("""COMPUTED_VALUE"""),"Influence")</f>
        <v>Influence</v>
      </c>
      <c r="K61" s="140">
        <f>IFERROR(__xludf.DUMMYFUNCTION("""COMPUTED_VALUE"""),38266.0)</f>
        <v>38266</v>
      </c>
      <c r="L61" s="140" t="str">
        <f>IFERROR(__xludf.DUMMYFUNCTION("""COMPUTED_VALUE"""),"")</f>
        <v/>
      </c>
      <c r="N61" s="140" t="str">
        <f>IFERROR(__xludf.DUMMYFUNCTION("""COMPUTED_VALUE"""),"")</f>
        <v/>
      </c>
      <c r="Q61" t="str">
        <f>IFERROR(__xludf.DUMMYFUNCTION("""COMPUTED_VALUE"""),"Updated removal date because of customer complaint")</f>
        <v>Updated removal date because of customer complaint</v>
      </c>
    </row>
    <row r="62">
      <c r="A62" s="143">
        <f>IFERROR(__xludf.DUMMYFUNCTION("""COMPUTED_VALUE"""),43007.0)</f>
        <v>43007</v>
      </c>
      <c r="B62" s="140">
        <f>IFERROR(__xludf.DUMMYFUNCTION("""COMPUTED_VALUE"""),498254.0)</f>
        <v>498254</v>
      </c>
      <c r="C62" s="140" t="str">
        <f>IFERROR(__xludf.DUMMYFUNCTION("""COMPUTED_VALUE"""),"#N/A")</f>
        <v>#N/A</v>
      </c>
      <c r="D62" t="str">
        <f>IFERROR(__xludf.DUMMYFUNCTION("""COMPUTED_VALUE"""),"Vladimir Raykov")</f>
        <v>Vladimir Raykov</v>
      </c>
      <c r="F62" t="str">
        <f>IFERROR(__xludf.DUMMYFUNCTION("""COMPUTED_VALUE"""),"498254,Marketing,Social Media Marketing")</f>
        <v>498254,Marketing,Social Media Marketing</v>
      </c>
      <c r="G62" t="str">
        <f>IFERROR(__xludf.DUMMYFUNCTION("""COMPUTED_VALUE"""),"Y")</f>
        <v>Y</v>
      </c>
      <c r="H62" t="str">
        <f>IFERROR(__xludf.DUMMYFUNCTION("""COMPUTED_VALUE"""),"Instructor Request")</f>
        <v>Instructor Request</v>
      </c>
      <c r="I62" t="str">
        <f>IFERROR(__xludf.DUMMYFUNCTION("""COMPUTED_VALUE"""),"Marketing")</f>
        <v>Marketing</v>
      </c>
      <c r="J62" t="str">
        <f>IFERROR(__xludf.DUMMYFUNCTION("""COMPUTED_VALUE"""),"Social Media Marketing")</f>
        <v>Social Media Marketing</v>
      </c>
      <c r="K62" s="140">
        <f>IFERROR(__xludf.DUMMYFUNCTION("""COMPUTED_VALUE"""),914296.0)</f>
        <v>914296</v>
      </c>
      <c r="L62" s="140" t="str">
        <f>IFERROR(__xludf.DUMMYFUNCTION("""COMPUTED_VALUE"""),"")</f>
        <v/>
      </c>
      <c r="N62" s="140" t="str">
        <f>IFERROR(__xludf.DUMMYFUNCTION("""COMPUTED_VALUE"""),"")</f>
        <v/>
      </c>
    </row>
    <row r="63">
      <c r="A63" s="143">
        <f>IFERROR(__xludf.DUMMYFUNCTION("""COMPUTED_VALUE"""),43007.0)</f>
        <v>43007</v>
      </c>
      <c r="B63" s="140">
        <f>IFERROR(__xludf.DUMMYFUNCTION("""COMPUTED_VALUE"""),949346.0)</f>
        <v>949346</v>
      </c>
      <c r="C63" s="140" t="str">
        <f>IFERROR(__xludf.DUMMYFUNCTION("""COMPUTED_VALUE"""),"#N/A")</f>
        <v>#N/A</v>
      </c>
      <c r="D63" t="str">
        <f>IFERROR(__xludf.DUMMYFUNCTION("""COMPUTED_VALUE"""),"Jack Singh")</f>
        <v>Jack Singh</v>
      </c>
      <c r="F63" t="str">
        <f>IFERROR(__xludf.DUMMYFUNCTION("""COMPUTED_VALUE"""),"949346,Office Productivity,Collaboration")</f>
        <v>949346,Office Productivity,Collaboration</v>
      </c>
      <c r="G63" t="str">
        <f>IFERROR(__xludf.DUMMYFUNCTION("""COMPUTED_VALUE"""),"Y")</f>
        <v>Y</v>
      </c>
      <c r="H63" t="str">
        <f>IFERROR(__xludf.DUMMYFUNCTION("""COMPUTED_VALUE"""),"Below Quality Standards")</f>
        <v>Below Quality Standards</v>
      </c>
      <c r="I63" t="str">
        <f>IFERROR(__xludf.DUMMYFUNCTION("""COMPUTED_VALUE"""),"Office Productivity")</f>
        <v>Office Productivity</v>
      </c>
      <c r="J63" t="str">
        <f>IFERROR(__xludf.DUMMYFUNCTION("""COMPUTED_VALUE"""),"Collaboration")</f>
        <v>Collaboration</v>
      </c>
      <c r="K63" s="140">
        <f>IFERROR(__xludf.DUMMYFUNCTION("""COMPUTED_VALUE"""),891882.0)</f>
        <v>891882</v>
      </c>
      <c r="L63" s="140" t="str">
        <f>IFERROR(__xludf.DUMMYFUNCTION("""COMPUTED_VALUE"""),"")</f>
        <v/>
      </c>
      <c r="N63" s="140" t="str">
        <f>IFERROR(__xludf.DUMMYFUNCTION("""COMPUTED_VALUE"""),"")</f>
        <v/>
      </c>
    </row>
    <row r="64">
      <c r="A64" s="143">
        <f>IFERROR(__xludf.DUMMYFUNCTION("""COMPUTED_VALUE"""),43007.0)</f>
        <v>43007</v>
      </c>
      <c r="B64" s="140">
        <f>IFERROR(__xludf.DUMMYFUNCTION("""COMPUTED_VALUE"""),729220.0)</f>
        <v>729220</v>
      </c>
      <c r="C64" s="140" t="str">
        <f>IFERROR(__xludf.DUMMYFUNCTION("""COMPUTED_VALUE"""),"#N/A")</f>
        <v>#N/A</v>
      </c>
      <c r="D64" t="str">
        <f>IFERROR(__xludf.DUMMYFUNCTION("""COMPUTED_VALUE"""),"Adam Karsh")</f>
        <v>Adam Karsh</v>
      </c>
      <c r="F64" t="str">
        <f>IFERROR(__xludf.DUMMYFUNCTION("""COMPUTED_VALUE"""),"729220,Personal Well-Being,Stress Management")</f>
        <v>729220,Personal Well-Being,Stress Management</v>
      </c>
      <c r="G64" t="str">
        <f>IFERROR(__xludf.DUMMYFUNCTION("""COMPUTED_VALUE"""),"Y")</f>
        <v>Y</v>
      </c>
      <c r="H64" t="str">
        <f>IFERROR(__xludf.DUMMYFUNCTION("""COMPUTED_VALUE"""),"Below Quality Standards")</f>
        <v>Below Quality Standards</v>
      </c>
      <c r="I64" t="str">
        <f>IFERROR(__xludf.DUMMYFUNCTION("""COMPUTED_VALUE"""),"Personal Well-Being")</f>
        <v>Personal Well-Being</v>
      </c>
      <c r="J64" t="str">
        <f>IFERROR(__xludf.DUMMYFUNCTION("""COMPUTED_VALUE"""),"Stress Management")</f>
        <v>Stress Management</v>
      </c>
      <c r="K64" s="140">
        <f>IFERROR(__xludf.DUMMYFUNCTION("""COMPUTED_VALUE"""),802642.0)</f>
        <v>802642</v>
      </c>
      <c r="L64" s="140" t="str">
        <f>IFERROR(__xludf.DUMMYFUNCTION("""COMPUTED_VALUE"""),"")</f>
        <v/>
      </c>
      <c r="N64" s="140" t="str">
        <f>IFERROR(__xludf.DUMMYFUNCTION("""COMPUTED_VALUE"""),"")</f>
        <v/>
      </c>
      <c r="R64" t="str">
        <f>IFERROR(__xludf.DUMMYFUNCTION("""COMPUTED_VALUE"""),"Personal Well-Being")</f>
        <v>Personal Well-Being</v>
      </c>
      <c r="S64" s="143" t="str">
        <f>IFERROR(__xludf.DUMMYFUNCTION("""COMPUTED_VALUE"""),"Personal Development")</f>
        <v>Personal Development</v>
      </c>
    </row>
    <row r="65">
      <c r="A65" s="143">
        <f>IFERROR(__xludf.DUMMYFUNCTION("""COMPUTED_VALUE"""),43007.0)</f>
        <v>43007</v>
      </c>
      <c r="B65" s="140">
        <f>IFERROR(__xludf.DUMMYFUNCTION("""COMPUTED_VALUE"""),377218.0)</f>
        <v>377218</v>
      </c>
      <c r="C65" s="140" t="str">
        <f>IFERROR(__xludf.DUMMYFUNCTION("""COMPUTED_VALUE"""),"#N/A")</f>
        <v>#N/A</v>
      </c>
      <c r="D65" t="str">
        <f>IFERROR(__xludf.DUMMYFUNCTION("""COMPUTED_VALUE"""),"Don Hussey")</f>
        <v>Don Hussey</v>
      </c>
      <c r="F65" t="str">
        <f>IFERROR(__xludf.DUMMYFUNCTION("""COMPUTED_VALUE"""),"377218,Project Management and Operations,Project Management Fundamentals")</f>
        <v>377218,Project Management and Operations,Project Management Fundamentals</v>
      </c>
      <c r="G65" t="str">
        <f>IFERROR(__xludf.DUMMYFUNCTION("""COMPUTED_VALUE"""),"Y")</f>
        <v>Y</v>
      </c>
      <c r="H65" t="str">
        <f>IFERROR(__xludf.DUMMYFUNCTION("""COMPUTED_VALUE"""),"Below Quality Standards")</f>
        <v>Below Quality Standards</v>
      </c>
      <c r="I65" t="str">
        <f>IFERROR(__xludf.DUMMYFUNCTION("""COMPUTED_VALUE"""),"Project Management and Operations")</f>
        <v>Project Management and Operations</v>
      </c>
      <c r="J65" t="str">
        <f>IFERROR(__xludf.DUMMYFUNCTION("""COMPUTED_VALUE"""),"Project Management Fundamentals")</f>
        <v>Project Management Fundamentals</v>
      </c>
      <c r="K65" s="140">
        <f>IFERROR(__xludf.DUMMYFUNCTION("""COMPUTED_VALUE"""),946742.0)</f>
        <v>946742</v>
      </c>
      <c r="L65" s="140" t="str">
        <f>IFERROR(__xludf.DUMMYFUNCTION("""COMPUTED_VALUE"""),"")</f>
        <v/>
      </c>
      <c r="N65" s="140" t="str">
        <f>IFERROR(__xludf.DUMMYFUNCTION("""COMPUTED_VALUE"""),"")</f>
        <v/>
      </c>
    </row>
    <row r="66">
      <c r="A66" s="143">
        <f>IFERROR(__xludf.DUMMYFUNCTION("""COMPUTED_VALUE"""),42991.0)</f>
        <v>42991</v>
      </c>
      <c r="B66" s="140">
        <f>IFERROR(__xludf.DUMMYFUNCTION("""COMPUTED_VALUE"""),387212.0)</f>
        <v>387212</v>
      </c>
      <c r="C66" s="140" t="str">
        <f>IFERROR(__xludf.DUMMYFUNCTION("""COMPUTED_VALUE"""),"#N/A")</f>
        <v>#N/A</v>
      </c>
      <c r="D66" t="str">
        <f>IFERROR(__xludf.DUMMYFUNCTION("""COMPUTED_VALUE"""),"Marketo Partner ShowMeLeads Inc")</f>
        <v>Marketo Partner ShowMeLeads Inc</v>
      </c>
      <c r="F66" t="str">
        <f>IFERROR(__xludf.DUMMYFUNCTION("""COMPUTED_VALUE"""),"387212,Marketing,Marketing Tools")</f>
        <v>387212,Marketing,Marketing Tools</v>
      </c>
      <c r="G66" t="str">
        <f>IFERROR(__xludf.DUMMYFUNCTION("""COMPUTED_VALUE"""),"Y")</f>
        <v>Y</v>
      </c>
      <c r="H66" t="str">
        <f>IFERROR(__xludf.DUMMYFUNCTION("""COMPUTED_VALUE"""),"DMCA Removal")</f>
        <v>DMCA Removal</v>
      </c>
      <c r="I66" t="str">
        <f>IFERROR(__xludf.DUMMYFUNCTION("""COMPUTED_VALUE"""),"Marketing")</f>
        <v>Marketing</v>
      </c>
      <c r="J66" t="str">
        <f>IFERROR(__xludf.DUMMYFUNCTION("""COMPUTED_VALUE"""),"Marketing Tools")</f>
        <v>Marketing Tools</v>
      </c>
      <c r="L66" s="140" t="str">
        <f>IFERROR(__xludf.DUMMYFUNCTION("""COMPUTED_VALUE"""),"")</f>
        <v/>
      </c>
      <c r="N66" s="140" t="str">
        <f>IFERROR(__xludf.DUMMYFUNCTION("""COMPUTED_VALUE"""),"")</f>
        <v/>
      </c>
      <c r="R66" t="str">
        <f>IFERROR(__xludf.DUMMYFUNCTION("""COMPUTED_VALUE"""),"Marketing")</f>
        <v>Marketing</v>
      </c>
      <c r="S66" s="143" t="str">
        <f>IFERROR(__xludf.DUMMYFUNCTION("""COMPUTED_VALUE"""),"Content and Email Marketing")</f>
        <v>Content and Email Marketing</v>
      </c>
    </row>
    <row r="67">
      <c r="A67" s="143">
        <f>IFERROR(__xludf.DUMMYFUNCTION("""COMPUTED_VALUE"""),42989.0)</f>
        <v>42989</v>
      </c>
      <c r="B67" s="140">
        <f>IFERROR(__xludf.DUMMYFUNCTION("""COMPUTED_VALUE"""),129570.0)</f>
        <v>129570</v>
      </c>
      <c r="C67" s="140" t="str">
        <f>IFERROR(__xludf.DUMMYFUNCTION("""COMPUTED_VALUE"""),"#N/A")</f>
        <v>#N/A</v>
      </c>
      <c r="D67" t="str">
        <f>IFERROR(__xludf.DUMMYFUNCTION("""COMPUTED_VALUE"""),"Simon Sez IT")</f>
        <v>Simon Sez IT</v>
      </c>
      <c r="F67" t="str">
        <f>IFERROR(__xludf.DUMMYFUNCTION("""COMPUTED_VALUE"""),"129570,Design,Graphic Design")</f>
        <v>129570,Design,Graphic Design</v>
      </c>
      <c r="G67" t="str">
        <f>IFERROR(__xludf.DUMMYFUNCTION("""COMPUTED_VALUE"""),"Y")</f>
        <v>Y</v>
      </c>
      <c r="H67" t="str">
        <f>IFERROR(__xludf.DUMMYFUNCTION("""COMPUTED_VALUE"""),"Instructor Request")</f>
        <v>Instructor Request</v>
      </c>
      <c r="I67" t="str">
        <f>IFERROR(__xludf.DUMMYFUNCTION("""COMPUTED_VALUE"""),"Design")</f>
        <v>Design</v>
      </c>
      <c r="J67" t="str">
        <f>IFERROR(__xludf.DUMMYFUNCTION("""COMPUTED_VALUE"""),"Graphic Design")</f>
        <v>Graphic Design</v>
      </c>
      <c r="K67" s="140">
        <f>IFERROR(__xludf.DUMMYFUNCTION("""COMPUTED_VALUE"""),354186.0)</f>
        <v>354186</v>
      </c>
      <c r="L67" s="140" t="str">
        <f>IFERROR(__xludf.DUMMYFUNCTION("""COMPUTED_VALUE"""),"")</f>
        <v/>
      </c>
      <c r="N67" s="140" t="str">
        <f>IFERROR(__xludf.DUMMYFUNCTION("""COMPUTED_VALUE"""),"")</f>
        <v/>
      </c>
    </row>
    <row r="68">
      <c r="A68" s="143">
        <f>IFERROR(__xludf.DUMMYFUNCTION("""COMPUTED_VALUE"""),42989.0)</f>
        <v>42989</v>
      </c>
      <c r="B68" s="140">
        <f>IFERROR(__xludf.DUMMYFUNCTION("""COMPUTED_VALUE"""),640426.0)</f>
        <v>640426</v>
      </c>
      <c r="C68" s="140" t="str">
        <f>IFERROR(__xludf.DUMMYFUNCTION("""COMPUTED_VALUE"""),"#N/A")</f>
        <v>#N/A</v>
      </c>
      <c r="D68" t="str">
        <f>IFERROR(__xludf.DUMMYFUNCTION("""COMPUTED_VALUE"""),"John Bura")</f>
        <v>John Bura</v>
      </c>
      <c r="F68" t="str">
        <f>IFERROR(__xludf.DUMMYFUNCTION("""COMPUTED_VALUE"""),"640426,Design,Graphic Design")</f>
        <v>640426,Design,Graphic Design</v>
      </c>
      <c r="G68" t="str">
        <f>IFERROR(__xludf.DUMMYFUNCTION("""COMPUTED_VALUE"""),"Y")</f>
        <v>Y</v>
      </c>
      <c r="H68" t="str">
        <f>IFERROR(__xludf.DUMMYFUNCTION("""COMPUTED_VALUE"""),"Redundant + low usage")</f>
        <v>Redundant + low usage</v>
      </c>
      <c r="I68" t="str">
        <f>IFERROR(__xludf.DUMMYFUNCTION("""COMPUTED_VALUE"""),"Design")</f>
        <v>Design</v>
      </c>
      <c r="J68" t="str">
        <f>IFERROR(__xludf.DUMMYFUNCTION("""COMPUTED_VALUE"""),"Graphic Design")</f>
        <v>Graphic Design</v>
      </c>
      <c r="K68" s="140">
        <f>IFERROR(__xludf.DUMMYFUNCTION("""COMPUTED_VALUE"""),348116.0)</f>
        <v>348116</v>
      </c>
      <c r="L68" s="140" t="str">
        <f>IFERROR(__xludf.DUMMYFUNCTION("""COMPUTED_VALUE"""),"")</f>
        <v/>
      </c>
      <c r="N68" s="140" t="str">
        <f>IFERROR(__xludf.DUMMYFUNCTION("""COMPUTED_VALUE"""),"")</f>
        <v/>
      </c>
    </row>
    <row r="69">
      <c r="A69" s="143">
        <f>IFERROR(__xludf.DUMMYFUNCTION("""COMPUTED_VALUE"""),42989.0)</f>
        <v>42989</v>
      </c>
      <c r="B69" s="140">
        <f>IFERROR(__xludf.DUMMYFUNCTION("""COMPUTED_VALUE"""),625920.0)</f>
        <v>625920</v>
      </c>
      <c r="C69" s="140" t="str">
        <f>IFERROR(__xludf.DUMMYFUNCTION("""COMPUTED_VALUE"""),"#N/A")</f>
        <v>#N/A</v>
      </c>
      <c r="D69" t="str">
        <f>IFERROR(__xludf.DUMMYFUNCTION("""COMPUTED_VALUE"""),"John Bura")</f>
        <v>John Bura</v>
      </c>
      <c r="F69" t="str">
        <f>IFERROR(__xludf.DUMMYFUNCTION("""COMPUTED_VALUE"""),"625920,Design,Graphic Design")</f>
        <v>625920,Design,Graphic Design</v>
      </c>
      <c r="G69" t="str">
        <f>IFERROR(__xludf.DUMMYFUNCTION("""COMPUTED_VALUE"""),"Y")</f>
        <v>Y</v>
      </c>
      <c r="H69" t="str">
        <f>IFERROR(__xludf.DUMMYFUNCTION("""COMPUTED_VALUE"""),"Redundant + low usage")</f>
        <v>Redundant + low usage</v>
      </c>
      <c r="I69" t="str">
        <f>IFERROR(__xludf.DUMMYFUNCTION("""COMPUTED_VALUE"""),"Design")</f>
        <v>Design</v>
      </c>
      <c r="J69" t="str">
        <f>IFERROR(__xludf.DUMMYFUNCTION("""COMPUTED_VALUE"""),"Graphic Design")</f>
        <v>Graphic Design</v>
      </c>
      <c r="K69" s="140">
        <f>IFERROR(__xludf.DUMMYFUNCTION("""COMPUTED_VALUE"""),348116.0)</f>
        <v>348116</v>
      </c>
      <c r="L69" s="140" t="str">
        <f>IFERROR(__xludf.DUMMYFUNCTION("""COMPUTED_VALUE"""),"")</f>
        <v/>
      </c>
      <c r="N69" s="140" t="str">
        <f>IFERROR(__xludf.DUMMYFUNCTION("""COMPUTED_VALUE"""),"")</f>
        <v/>
      </c>
    </row>
    <row r="70">
      <c r="A70" s="143">
        <f>IFERROR(__xludf.DUMMYFUNCTION("""COMPUTED_VALUE"""),42989.0)</f>
        <v>42989</v>
      </c>
      <c r="B70" s="140">
        <f>IFERROR(__xludf.DUMMYFUNCTION("""COMPUTED_VALUE"""),56258.0)</f>
        <v>56258</v>
      </c>
      <c r="C70" s="140" t="str">
        <f>IFERROR(__xludf.DUMMYFUNCTION("""COMPUTED_VALUE"""),"#N/A")</f>
        <v>#N/A</v>
      </c>
      <c r="D70" t="str">
        <f>IFERROR(__xludf.DUMMYFUNCTION("""COMPUTED_VALUE"""),"Learn iT! Anytime")</f>
        <v>Learn iT! Anytime</v>
      </c>
      <c r="F70" t="str">
        <f>IFERROR(__xludf.DUMMYFUNCTION("""COMPUTED_VALUE"""),"56258,Design,Graphic Design")</f>
        <v>56258,Design,Graphic Design</v>
      </c>
      <c r="G70" t="str">
        <f>IFERROR(__xludf.DUMMYFUNCTION("""COMPUTED_VALUE"""),"Y")</f>
        <v>Y</v>
      </c>
      <c r="H70" t="str">
        <f>IFERROR(__xludf.DUMMYFUNCTION("""COMPUTED_VALUE"""),"Outdated")</f>
        <v>Outdated</v>
      </c>
      <c r="I70" t="str">
        <f>IFERROR(__xludf.DUMMYFUNCTION("""COMPUTED_VALUE"""),"Design")</f>
        <v>Design</v>
      </c>
      <c r="J70" t="str">
        <f>IFERROR(__xludf.DUMMYFUNCTION("""COMPUTED_VALUE"""),"Graphic Design")</f>
        <v>Graphic Design</v>
      </c>
      <c r="K70" s="140">
        <f>IFERROR(__xludf.DUMMYFUNCTION("""COMPUTED_VALUE"""),348146.0)</f>
        <v>348146</v>
      </c>
      <c r="L70" s="140" t="str">
        <f>IFERROR(__xludf.DUMMYFUNCTION("""COMPUTED_VALUE"""),"")</f>
        <v/>
      </c>
      <c r="M70" s="140">
        <f>IFERROR(__xludf.DUMMYFUNCTION("""COMPUTED_VALUE"""),1046722.0)</f>
        <v>1046722</v>
      </c>
      <c r="N70" s="140" t="str">
        <f>IFERROR(__xludf.DUMMYFUNCTION("""COMPUTED_VALUE"""),"")</f>
        <v/>
      </c>
    </row>
    <row r="71">
      <c r="A71" s="143">
        <f>IFERROR(__xludf.DUMMYFUNCTION("""COMPUTED_VALUE"""),42989.0)</f>
        <v>42989</v>
      </c>
      <c r="B71" s="140">
        <f>IFERROR(__xludf.DUMMYFUNCTION("""COMPUTED_VALUE"""),699266.0)</f>
        <v>699266</v>
      </c>
      <c r="C71" s="140" t="str">
        <f>IFERROR(__xludf.DUMMYFUNCTION("""COMPUTED_VALUE"""),"#N/A")</f>
        <v>#N/A</v>
      </c>
      <c r="D71" t="str">
        <f>IFERROR(__xludf.DUMMYFUNCTION("""COMPUTED_VALUE"""),"3D BUZZ Programming and Digital Art training")</f>
        <v>3D BUZZ Programming and Digital Art training</v>
      </c>
      <c r="F71" t="str">
        <f>IFERROR(__xludf.DUMMYFUNCTION("""COMPUTED_VALUE"""),"699266,Design,Graphic Design")</f>
        <v>699266,Design,Graphic Design</v>
      </c>
      <c r="G71" t="str">
        <f>IFERROR(__xludf.DUMMYFUNCTION("""COMPUTED_VALUE"""),"Y")</f>
        <v>Y</v>
      </c>
      <c r="H71" t="str">
        <f>IFERROR(__xludf.DUMMYFUNCTION("""COMPUTED_VALUE"""),"Redundant + low usage")</f>
        <v>Redundant + low usage</v>
      </c>
      <c r="I71" t="str">
        <f>IFERROR(__xludf.DUMMYFUNCTION("""COMPUTED_VALUE"""),"Design")</f>
        <v>Design</v>
      </c>
      <c r="J71" t="str">
        <f>IFERROR(__xludf.DUMMYFUNCTION("""COMPUTED_VALUE"""),"Graphic Design")</f>
        <v>Graphic Design</v>
      </c>
      <c r="K71" s="140">
        <f>IFERROR(__xludf.DUMMYFUNCTION("""COMPUTED_VALUE"""),348116.0)</f>
        <v>348116</v>
      </c>
      <c r="L71" s="140" t="str">
        <f>IFERROR(__xludf.DUMMYFUNCTION("""COMPUTED_VALUE"""),"")</f>
        <v/>
      </c>
      <c r="N71" s="140" t="str">
        <f>IFERROR(__xludf.DUMMYFUNCTION("""COMPUTED_VALUE"""),"")</f>
        <v/>
      </c>
    </row>
    <row r="72">
      <c r="A72" s="143">
        <f>IFERROR(__xludf.DUMMYFUNCTION("""COMPUTED_VALUE"""),42989.0)</f>
        <v>42989</v>
      </c>
      <c r="B72" s="140">
        <f>IFERROR(__xludf.DUMMYFUNCTION("""COMPUTED_VALUE"""),555112.0)</f>
        <v>555112</v>
      </c>
      <c r="C72" s="140" t="str">
        <f>IFERROR(__xludf.DUMMYFUNCTION("""COMPUTED_VALUE"""),"#N/A")</f>
        <v>#N/A</v>
      </c>
      <c r="D72" t="str">
        <f>IFERROR(__xludf.DUMMYFUNCTION("""COMPUTED_VALUE"""),"3D BUZZ Programming and Digital Art training")</f>
        <v>3D BUZZ Programming and Digital Art training</v>
      </c>
      <c r="F72" t="str">
        <f>IFERROR(__xludf.DUMMYFUNCTION("""COMPUTED_VALUE"""),"555112,Design,Graphic Design")</f>
        <v>555112,Design,Graphic Design</v>
      </c>
      <c r="G72" t="str">
        <f>IFERROR(__xludf.DUMMYFUNCTION("""COMPUTED_VALUE"""),"Y")</f>
        <v>Y</v>
      </c>
      <c r="H72" t="str">
        <f>IFERROR(__xludf.DUMMYFUNCTION("""COMPUTED_VALUE"""),"Below Quality Standards")</f>
        <v>Below Quality Standards</v>
      </c>
      <c r="I72" t="str">
        <f>IFERROR(__xludf.DUMMYFUNCTION("""COMPUTED_VALUE"""),"Design")</f>
        <v>Design</v>
      </c>
      <c r="J72" t="str">
        <f>IFERROR(__xludf.DUMMYFUNCTION("""COMPUTED_VALUE"""),"Graphic Design")</f>
        <v>Graphic Design</v>
      </c>
      <c r="K72" s="140">
        <f>IFERROR(__xludf.DUMMYFUNCTION("""COMPUTED_VALUE"""),348146.0)</f>
        <v>348146</v>
      </c>
      <c r="L72" s="140" t="str">
        <f>IFERROR(__xludf.DUMMYFUNCTION("""COMPUTED_VALUE"""),"")</f>
        <v/>
      </c>
      <c r="M72" s="140">
        <f>IFERROR(__xludf.DUMMYFUNCTION("""COMPUTED_VALUE"""),1046722.0)</f>
        <v>1046722</v>
      </c>
      <c r="N72" s="140" t="str">
        <f>IFERROR(__xludf.DUMMYFUNCTION("""COMPUTED_VALUE"""),"")</f>
        <v/>
      </c>
    </row>
    <row r="73">
      <c r="A73" s="143">
        <f>IFERROR(__xludf.DUMMYFUNCTION("""COMPUTED_VALUE"""),42989.0)</f>
        <v>42989</v>
      </c>
      <c r="B73" s="140">
        <f>IFERROR(__xludf.DUMMYFUNCTION("""COMPUTED_VALUE"""),475858.0)</f>
        <v>475858</v>
      </c>
      <c r="C73" s="140" t="str">
        <f>IFERROR(__xludf.DUMMYFUNCTION("""COMPUTED_VALUE"""),"#N/A")</f>
        <v>#N/A</v>
      </c>
      <c r="D73" t="str">
        <f>IFERROR(__xludf.DUMMYFUNCTION("""COMPUTED_VALUE"""),"ThunderSteed Ltd.")</f>
        <v>ThunderSteed Ltd.</v>
      </c>
      <c r="F73" t="str">
        <f>IFERROR(__xludf.DUMMYFUNCTION("""COMPUTED_VALUE"""),"475858,Design,Mobile Design")</f>
        <v>475858,Design,Mobile Design</v>
      </c>
      <c r="G73" t="str">
        <f>IFERROR(__xludf.DUMMYFUNCTION("""COMPUTED_VALUE"""),"Y")</f>
        <v>Y</v>
      </c>
      <c r="H73" t="str">
        <f>IFERROR(__xludf.DUMMYFUNCTION("""COMPUTED_VALUE"""),"Redundant + low usage")</f>
        <v>Redundant + low usage</v>
      </c>
      <c r="I73" t="str">
        <f>IFERROR(__xludf.DUMMYFUNCTION("""COMPUTED_VALUE"""),"Design")</f>
        <v>Design</v>
      </c>
      <c r="J73" t="str">
        <f>IFERROR(__xludf.DUMMYFUNCTION("""COMPUTED_VALUE"""),"Mobile Design")</f>
        <v>Mobile Design</v>
      </c>
      <c r="K73" s="140">
        <f>IFERROR(__xludf.DUMMYFUNCTION("""COMPUTED_VALUE"""),1035484.0)</f>
        <v>1035484</v>
      </c>
      <c r="L73" s="140" t="str">
        <f>IFERROR(__xludf.DUMMYFUNCTION("""COMPUTED_VALUE"""),"")</f>
        <v/>
      </c>
      <c r="N73" s="140" t="str">
        <f>IFERROR(__xludf.DUMMYFUNCTION("""COMPUTED_VALUE"""),"")</f>
        <v/>
      </c>
    </row>
    <row r="74">
      <c r="A74" s="143">
        <f>IFERROR(__xludf.DUMMYFUNCTION("""COMPUTED_VALUE"""),42989.0)</f>
        <v>42989</v>
      </c>
      <c r="B74" s="140">
        <f>IFERROR(__xludf.DUMMYFUNCTION("""COMPUTED_VALUE"""),495900.0)</f>
        <v>495900</v>
      </c>
      <c r="C74" s="140" t="str">
        <f>IFERROR(__xludf.DUMMYFUNCTION("""COMPUTED_VALUE"""),"#N/A")</f>
        <v>#N/A</v>
      </c>
      <c r="D74" t="str">
        <f>IFERROR(__xludf.DUMMYFUNCTION("""COMPUTED_VALUE"""),"ThunderSteed Ltd.")</f>
        <v>ThunderSteed Ltd.</v>
      </c>
      <c r="F74" t="str">
        <f>IFERROR(__xludf.DUMMYFUNCTION("""COMPUTED_VALUE"""),"495900,Design,Mobile Design")</f>
        <v>495900,Design,Mobile Design</v>
      </c>
      <c r="G74" t="str">
        <f>IFERROR(__xludf.DUMMYFUNCTION("""COMPUTED_VALUE"""),"Y")</f>
        <v>Y</v>
      </c>
      <c r="H74" t="str">
        <f>IFERROR(__xludf.DUMMYFUNCTION("""COMPUTED_VALUE"""),"Redundant + low usage")</f>
        <v>Redundant + low usage</v>
      </c>
      <c r="I74" t="str">
        <f>IFERROR(__xludf.DUMMYFUNCTION("""COMPUTED_VALUE"""),"Design")</f>
        <v>Design</v>
      </c>
      <c r="J74" t="str">
        <f>IFERROR(__xludf.DUMMYFUNCTION("""COMPUTED_VALUE"""),"Mobile Design")</f>
        <v>Mobile Design</v>
      </c>
      <c r="K74" s="140">
        <f>IFERROR(__xludf.DUMMYFUNCTION("""COMPUTED_VALUE"""),1035484.0)</f>
        <v>1035484</v>
      </c>
      <c r="L74" s="140" t="str">
        <f>IFERROR(__xludf.DUMMYFUNCTION("""COMPUTED_VALUE"""),"")</f>
        <v/>
      </c>
      <c r="N74" s="140" t="str">
        <f>IFERROR(__xludf.DUMMYFUNCTION("""COMPUTED_VALUE"""),"")</f>
        <v/>
      </c>
    </row>
    <row r="75">
      <c r="A75" s="143">
        <f>IFERROR(__xludf.DUMMYFUNCTION("""COMPUTED_VALUE"""),42989.0)</f>
        <v>42989</v>
      </c>
      <c r="B75" s="140">
        <f>IFERROR(__xludf.DUMMYFUNCTION("""COMPUTED_VALUE"""),738040.0)</f>
        <v>738040</v>
      </c>
      <c r="C75" s="140" t="str">
        <f>IFERROR(__xludf.DUMMYFUNCTION("""COMPUTED_VALUE"""),"#N/A")</f>
        <v>#N/A</v>
      </c>
      <c r="D75" t="str">
        <f>IFERROR(__xludf.DUMMYFUNCTION("""COMPUTED_VALUE"""),"Stone River eLearning")</f>
        <v>Stone River eLearning</v>
      </c>
      <c r="F75" t="str">
        <f>IFERROR(__xludf.DUMMYFUNCTION("""COMPUTED_VALUE"""),"738040,Development,Development Tools")</f>
        <v>738040,Development,Development Tools</v>
      </c>
      <c r="G75" t="str">
        <f>IFERROR(__xludf.DUMMYFUNCTION("""COMPUTED_VALUE"""),"Y")</f>
        <v>Y</v>
      </c>
      <c r="H75" t="str">
        <f>IFERROR(__xludf.DUMMYFUNCTION("""COMPUTED_VALUE"""),"Below Quality Standards")</f>
        <v>Below Quality Standards</v>
      </c>
      <c r="I75" t="str">
        <f>IFERROR(__xludf.DUMMYFUNCTION("""COMPUTED_VALUE"""),"Development")</f>
        <v>Development</v>
      </c>
      <c r="J75" t="str">
        <f>IFERROR(__xludf.DUMMYFUNCTION("""COMPUTED_VALUE"""),"Development Tools")</f>
        <v>Development Tools</v>
      </c>
      <c r="K75" s="140">
        <f>IFERROR(__xludf.DUMMYFUNCTION("""COMPUTED_VALUE"""),714724.0)</f>
        <v>714724</v>
      </c>
      <c r="L75" s="140" t="str">
        <f>IFERROR(__xludf.DUMMYFUNCTION("""COMPUTED_VALUE"""),"")</f>
        <v/>
      </c>
      <c r="N75" s="140" t="str">
        <f>IFERROR(__xludf.DUMMYFUNCTION("""COMPUTED_VALUE"""),"")</f>
        <v/>
      </c>
      <c r="R75" t="str">
        <f>IFERROR(__xludf.DUMMYFUNCTION("""COMPUTED_VALUE"""),"IT and Software")</f>
        <v>IT and Software</v>
      </c>
      <c r="S75" s="143" t="str">
        <f>IFERROR(__xludf.DUMMYFUNCTION("""COMPUTED_VALUE"""),"Operating Systems and Servers")</f>
        <v>Operating Systems and Servers</v>
      </c>
    </row>
    <row r="76">
      <c r="A76" s="143">
        <f>IFERROR(__xludf.DUMMYFUNCTION("""COMPUTED_VALUE"""),42989.0)</f>
        <v>42989</v>
      </c>
      <c r="B76" s="140">
        <f>IFERROR(__xludf.DUMMYFUNCTION("""COMPUTED_VALUE"""),520022.0)</f>
        <v>520022</v>
      </c>
      <c r="C76" s="140" t="str">
        <f>IFERROR(__xludf.DUMMYFUNCTION("""COMPUTED_VALUE"""),"#N/A")</f>
        <v>#N/A</v>
      </c>
      <c r="D76" t="str">
        <f>IFERROR(__xludf.DUMMYFUNCTION("""COMPUTED_VALUE"""),"Eduonix Learning Solutions")</f>
        <v>Eduonix Learning Solutions</v>
      </c>
      <c r="F76" t="str">
        <f>IFERROR(__xludf.DUMMYFUNCTION("""COMPUTED_VALUE"""),"520022,Development,Development Tools")</f>
        <v>520022,Development,Development Tools</v>
      </c>
      <c r="G76" t="str">
        <f>IFERROR(__xludf.DUMMYFUNCTION("""COMPUTED_VALUE"""),"Y")</f>
        <v>Y</v>
      </c>
      <c r="H76" t="str">
        <f>IFERROR(__xludf.DUMMYFUNCTION("""COMPUTED_VALUE"""),"Below Quality Standards")</f>
        <v>Below Quality Standards</v>
      </c>
      <c r="I76" t="str">
        <f>IFERROR(__xludf.DUMMYFUNCTION("""COMPUTED_VALUE"""),"Development")</f>
        <v>Development</v>
      </c>
      <c r="J76" t="str">
        <f>IFERROR(__xludf.DUMMYFUNCTION("""COMPUTED_VALUE"""),"Development Tools")</f>
        <v>Development Tools</v>
      </c>
      <c r="K76" s="140">
        <f>IFERROR(__xludf.DUMMYFUNCTION("""COMPUTED_VALUE"""),714724.0)</f>
        <v>714724</v>
      </c>
      <c r="L76" s="140" t="str">
        <f>IFERROR(__xludf.DUMMYFUNCTION("""COMPUTED_VALUE"""),"")</f>
        <v/>
      </c>
      <c r="N76" s="140" t="str">
        <f>IFERROR(__xludf.DUMMYFUNCTION("""COMPUTED_VALUE"""),"")</f>
        <v/>
      </c>
      <c r="R76" t="str">
        <f>IFERROR(__xludf.DUMMYFUNCTION("""COMPUTED_VALUE"""),"IT and Software")</f>
        <v>IT and Software</v>
      </c>
      <c r="S76" s="143" t="str">
        <f>IFERROR(__xludf.DUMMYFUNCTION("""COMPUTED_VALUE"""),"Operating Systems and Servers")</f>
        <v>Operating Systems and Servers</v>
      </c>
    </row>
    <row r="77">
      <c r="A77" s="143">
        <f>IFERROR(__xludf.DUMMYFUNCTION("""COMPUTED_VALUE"""),42989.0)</f>
        <v>42989</v>
      </c>
      <c r="B77" s="140">
        <f>IFERROR(__xludf.DUMMYFUNCTION("""COMPUTED_VALUE"""),354078.0)</f>
        <v>354078</v>
      </c>
      <c r="C77" s="140" t="str">
        <f>IFERROR(__xludf.DUMMYFUNCTION("""COMPUTED_VALUE"""),"#N/A")</f>
        <v>#N/A</v>
      </c>
      <c r="D77" t="str">
        <f>IFERROR(__xludf.DUMMYFUNCTION("""COMPUTED_VALUE"""),"Yatit Thakker")</f>
        <v>Yatit Thakker</v>
      </c>
      <c r="F77" t="str">
        <f>IFERROR(__xludf.DUMMYFUNCTION("""COMPUTED_VALUE"""),"354078,Development,Development Tools")</f>
        <v>354078,Development,Development Tools</v>
      </c>
      <c r="G77" t="str">
        <f>IFERROR(__xludf.DUMMYFUNCTION("""COMPUTED_VALUE"""),"Y")</f>
        <v>Y</v>
      </c>
      <c r="H77" t="str">
        <f>IFERROR(__xludf.DUMMYFUNCTION("""COMPUTED_VALUE"""),"Below Quality Standards")</f>
        <v>Below Quality Standards</v>
      </c>
      <c r="I77" t="str">
        <f>IFERROR(__xludf.DUMMYFUNCTION("""COMPUTED_VALUE"""),"Development")</f>
        <v>Development</v>
      </c>
      <c r="J77" t="str">
        <f>IFERROR(__xludf.DUMMYFUNCTION("""COMPUTED_VALUE"""),"Development Tools")</f>
        <v>Development Tools</v>
      </c>
      <c r="K77" s="140">
        <f>IFERROR(__xludf.DUMMYFUNCTION("""COMPUTED_VALUE"""),714724.0)</f>
        <v>714724</v>
      </c>
      <c r="L77" s="140" t="str">
        <f>IFERROR(__xludf.DUMMYFUNCTION("""COMPUTED_VALUE"""),"")</f>
        <v/>
      </c>
      <c r="M77" s="140">
        <f>IFERROR(__xludf.DUMMYFUNCTION("""COMPUTED_VALUE"""),785388.0)</f>
        <v>785388</v>
      </c>
      <c r="N77" s="140" t="str">
        <f>IFERROR(__xludf.DUMMYFUNCTION("""COMPUTED_VALUE"""),"")</f>
        <v/>
      </c>
      <c r="R77" t="str">
        <f>IFERROR(__xludf.DUMMYFUNCTION("""COMPUTED_VALUE"""),"IT and Software")</f>
        <v>IT and Software</v>
      </c>
      <c r="S77" s="143" t="str">
        <f>IFERROR(__xludf.DUMMYFUNCTION("""COMPUTED_VALUE"""),"Operating Systems and Servers")</f>
        <v>Operating Systems and Servers</v>
      </c>
    </row>
    <row r="78">
      <c r="A78" s="143">
        <f>IFERROR(__xludf.DUMMYFUNCTION("""COMPUTED_VALUE"""),42989.0)</f>
        <v>42989</v>
      </c>
      <c r="B78" s="140">
        <f>IFERROR(__xludf.DUMMYFUNCTION("""COMPUTED_VALUE"""),544616.0)</f>
        <v>544616</v>
      </c>
      <c r="C78" s="140" t="str">
        <f>IFERROR(__xludf.DUMMYFUNCTION("""COMPUTED_VALUE"""),"#N/A")</f>
        <v>#N/A</v>
      </c>
      <c r="D78" t="str">
        <f>IFERROR(__xludf.DUMMYFUNCTION("""COMPUTED_VALUE"""),"Kunal Ghosh")</f>
        <v>Kunal Ghosh</v>
      </c>
      <c r="F78" t="str">
        <f>IFERROR(__xludf.DUMMYFUNCTION("""COMPUTED_VALUE"""),"544616,Development,Development Tools")</f>
        <v>544616,Development,Development Tools</v>
      </c>
      <c r="G78" t="str">
        <f>IFERROR(__xludf.DUMMYFUNCTION("""COMPUTED_VALUE"""),"Y")</f>
        <v>Y</v>
      </c>
      <c r="H78" t="str">
        <f>IFERROR(__xludf.DUMMYFUNCTION("""COMPUTED_VALUE"""),"Instructor Opted Out")</f>
        <v>Instructor Opted Out</v>
      </c>
      <c r="I78" t="str">
        <f>IFERROR(__xludf.DUMMYFUNCTION("""COMPUTED_VALUE"""),"Development")</f>
        <v>Development</v>
      </c>
      <c r="J78" t="str">
        <f>IFERROR(__xludf.DUMMYFUNCTION("""COMPUTED_VALUE"""),"Development Tools")</f>
        <v>Development Tools</v>
      </c>
      <c r="L78" s="140" t="str">
        <f>IFERROR(__xludf.DUMMYFUNCTION("""COMPUTED_VALUE"""),"")</f>
        <v/>
      </c>
      <c r="N78" s="140" t="str">
        <f>IFERROR(__xludf.DUMMYFUNCTION("""COMPUTED_VALUE"""),"")</f>
        <v/>
      </c>
    </row>
    <row r="79">
      <c r="A79" s="143">
        <f>IFERROR(__xludf.DUMMYFUNCTION("""COMPUTED_VALUE"""),42989.0)</f>
        <v>42989</v>
      </c>
      <c r="B79" s="140">
        <f>IFERROR(__xludf.DUMMYFUNCTION("""COMPUTED_VALUE"""),774474.0)</f>
        <v>774474</v>
      </c>
      <c r="C79" s="140" t="str">
        <f>IFERROR(__xludf.DUMMYFUNCTION("""COMPUTED_VALUE"""),"#N/A")</f>
        <v>#N/A</v>
      </c>
      <c r="D79" t="str">
        <f>IFERROR(__xludf.DUMMYFUNCTION("""COMPUTED_VALUE"""),"Accelerate Learning &amp; Development")</f>
        <v>Accelerate Learning &amp; Development</v>
      </c>
      <c r="F79" t="str">
        <f>IFERROR(__xludf.DUMMYFUNCTION("""COMPUTED_VALUE"""),"774474,Human Resources,Compliance")</f>
        <v>774474,Human Resources,Compliance</v>
      </c>
      <c r="G79" t="str">
        <f>IFERROR(__xludf.DUMMYFUNCTION("""COMPUTED_VALUE"""),"Y")</f>
        <v>Y</v>
      </c>
      <c r="H79" t="str">
        <f>IFERROR(__xludf.DUMMYFUNCTION("""COMPUTED_VALUE"""),"Instructor Request, Updated")</f>
        <v>Instructor Request, Updated</v>
      </c>
      <c r="I79" t="str">
        <f>IFERROR(__xludf.DUMMYFUNCTION("""COMPUTED_VALUE"""),"Human Resources")</f>
        <v>Human Resources</v>
      </c>
      <c r="J79" t="str">
        <f>IFERROR(__xludf.DUMMYFUNCTION("""COMPUTED_VALUE"""),"Compliance")</f>
        <v>Compliance</v>
      </c>
      <c r="L79" s="140" t="str">
        <f>IFERROR(__xludf.DUMMYFUNCTION("""COMPUTED_VALUE"""),"")</f>
        <v/>
      </c>
      <c r="N79" s="140" t="str">
        <f>IFERROR(__xludf.DUMMYFUNCTION("""COMPUTED_VALUE"""),"")</f>
        <v/>
      </c>
    </row>
    <row r="80">
      <c r="A80" s="143">
        <f>IFERROR(__xludf.DUMMYFUNCTION("""COMPUTED_VALUE"""),42989.0)</f>
        <v>42989</v>
      </c>
      <c r="B80" s="140">
        <f>IFERROR(__xludf.DUMMYFUNCTION("""COMPUTED_VALUE"""),171734.0)</f>
        <v>171734</v>
      </c>
      <c r="C80" s="140" t="str">
        <f>IFERROR(__xludf.DUMMYFUNCTION("""COMPUTED_VALUE"""),"#N/A")</f>
        <v>#N/A</v>
      </c>
      <c r="D80" t="str">
        <f>IFERROR(__xludf.DUMMYFUNCTION("""COMPUTED_VALUE"""),"Parallel Branch Inc")</f>
        <v>Parallel Branch Inc</v>
      </c>
      <c r="F80" t="str">
        <f>IFERROR(__xludf.DUMMYFUNCTION("""COMPUTED_VALUE"""),"171734,IT and Software,Databases")</f>
        <v>171734,IT and Software,Databases</v>
      </c>
      <c r="G80" t="str">
        <f>IFERROR(__xludf.DUMMYFUNCTION("""COMPUTED_VALUE"""),"Y")</f>
        <v>Y</v>
      </c>
      <c r="H80" t="str">
        <f>IFERROR(__xludf.DUMMYFUNCTION("""COMPUTED_VALUE"""),"Below Quality Standards")</f>
        <v>Below Quality Standards</v>
      </c>
      <c r="I80" t="str">
        <f>IFERROR(__xludf.DUMMYFUNCTION("""COMPUTED_VALUE"""),"IT and Software")</f>
        <v>IT and Software</v>
      </c>
      <c r="J80" t="str">
        <f>IFERROR(__xludf.DUMMYFUNCTION("""COMPUTED_VALUE"""),"Databases")</f>
        <v>Databases</v>
      </c>
      <c r="L80" s="140" t="str">
        <f>IFERROR(__xludf.DUMMYFUNCTION("""COMPUTED_VALUE"""),"")</f>
        <v/>
      </c>
      <c r="N80" s="140" t="str">
        <f>IFERROR(__xludf.DUMMYFUNCTION("""COMPUTED_VALUE"""),"")</f>
        <v/>
      </c>
    </row>
    <row r="81">
      <c r="A81" s="143">
        <f>IFERROR(__xludf.DUMMYFUNCTION("""COMPUTED_VALUE"""),42989.0)</f>
        <v>42989</v>
      </c>
      <c r="B81" s="140">
        <f>IFERROR(__xludf.DUMMYFUNCTION("""COMPUTED_VALUE"""),513468.0)</f>
        <v>513468</v>
      </c>
      <c r="C81" s="140" t="str">
        <f>IFERROR(__xludf.DUMMYFUNCTION("""COMPUTED_VALUE"""),"#N/A")</f>
        <v>#N/A</v>
      </c>
      <c r="D81" t="str">
        <f>IFERROR(__xludf.DUMMYFUNCTION("""COMPUTED_VALUE"""),"Parallel Branch Inc")</f>
        <v>Parallel Branch Inc</v>
      </c>
      <c r="F81" t="str">
        <f>IFERROR(__xludf.DUMMYFUNCTION("""COMPUTED_VALUE"""),"513468,IT and Software,Databases")</f>
        <v>513468,IT and Software,Databases</v>
      </c>
      <c r="G81" t="str">
        <f>IFERROR(__xludf.DUMMYFUNCTION("""COMPUTED_VALUE"""),"Y")</f>
        <v>Y</v>
      </c>
      <c r="H81" t="str">
        <f>IFERROR(__xludf.DUMMYFUNCTION("""COMPUTED_VALUE"""),"Below Quality Standards")</f>
        <v>Below Quality Standards</v>
      </c>
      <c r="I81" t="str">
        <f>IFERROR(__xludf.DUMMYFUNCTION("""COMPUTED_VALUE"""),"IT and Software")</f>
        <v>IT and Software</v>
      </c>
      <c r="J81" t="str">
        <f>IFERROR(__xludf.DUMMYFUNCTION("""COMPUTED_VALUE"""),"Databases")</f>
        <v>Databases</v>
      </c>
      <c r="L81" s="140" t="str">
        <f>IFERROR(__xludf.DUMMYFUNCTION("""COMPUTED_VALUE"""),"")</f>
        <v/>
      </c>
      <c r="N81" s="140" t="str">
        <f>IFERROR(__xludf.DUMMYFUNCTION("""COMPUTED_VALUE"""),"")</f>
        <v/>
      </c>
      <c r="R81" t="str">
        <f>IFERROR(__xludf.DUMMYFUNCTION("""COMPUTED_VALUE"""),"Development")</f>
        <v>Development</v>
      </c>
      <c r="S81" s="143" t="str">
        <f>IFERROR(__xludf.DUMMYFUNCTION("""COMPUTED_VALUE"""),"Databases")</f>
        <v>Databases</v>
      </c>
    </row>
    <row r="82">
      <c r="A82" s="143">
        <f>IFERROR(__xludf.DUMMYFUNCTION("""COMPUTED_VALUE"""),42989.0)</f>
        <v>42989</v>
      </c>
      <c r="B82" s="140">
        <f>IFERROR(__xludf.DUMMYFUNCTION("""COMPUTED_VALUE"""),157106.0)</f>
        <v>157106</v>
      </c>
      <c r="C82" s="140" t="str">
        <f>IFERROR(__xludf.DUMMYFUNCTION("""COMPUTED_VALUE"""),"#N/A")</f>
        <v>#N/A</v>
      </c>
      <c r="D82" t="str">
        <f>IFERROR(__xludf.DUMMYFUNCTION("""COMPUTED_VALUE"""),"Parallel Branch Inc")</f>
        <v>Parallel Branch Inc</v>
      </c>
      <c r="F82" t="str">
        <f>IFERROR(__xludf.DUMMYFUNCTION("""COMPUTED_VALUE"""),"157106,IT and Software,Databases")</f>
        <v>157106,IT and Software,Databases</v>
      </c>
      <c r="G82" t="str">
        <f>IFERROR(__xludf.DUMMYFUNCTION("""COMPUTED_VALUE"""),"Y")</f>
        <v>Y</v>
      </c>
      <c r="H82" t="str">
        <f>IFERROR(__xludf.DUMMYFUNCTION("""COMPUTED_VALUE"""),"Below Quality Standards")</f>
        <v>Below Quality Standards</v>
      </c>
      <c r="I82" t="str">
        <f>IFERROR(__xludf.DUMMYFUNCTION("""COMPUTED_VALUE"""),"IT and Software")</f>
        <v>IT and Software</v>
      </c>
      <c r="J82" t="str">
        <f>IFERROR(__xludf.DUMMYFUNCTION("""COMPUTED_VALUE"""),"Databases")</f>
        <v>Databases</v>
      </c>
      <c r="K82" s="140">
        <f>IFERROR(__xludf.DUMMYFUNCTION("""COMPUTED_VALUE"""),126134.0)</f>
        <v>126134</v>
      </c>
      <c r="L82" s="140" t="str">
        <f>IFERROR(__xludf.DUMMYFUNCTION("""COMPUTED_VALUE"""),"")</f>
        <v/>
      </c>
      <c r="N82" s="140" t="str">
        <f>IFERROR(__xludf.DUMMYFUNCTION("""COMPUTED_VALUE"""),"")</f>
        <v/>
      </c>
    </row>
    <row r="83">
      <c r="A83" s="143">
        <f>IFERROR(__xludf.DUMMYFUNCTION("""COMPUTED_VALUE"""),42989.0)</f>
        <v>42989</v>
      </c>
      <c r="B83" s="140">
        <f>IFERROR(__xludf.DUMMYFUNCTION("""COMPUTED_VALUE"""),172694.0)</f>
        <v>172694</v>
      </c>
      <c r="C83" s="140" t="str">
        <f>IFERROR(__xludf.DUMMYFUNCTION("""COMPUTED_VALUE"""),"#N/A")</f>
        <v>#N/A</v>
      </c>
      <c r="D83" t="str">
        <f>IFERROR(__xludf.DUMMYFUNCTION("""COMPUTED_VALUE"""),"Parallel Branch Inc")</f>
        <v>Parallel Branch Inc</v>
      </c>
      <c r="F83" t="str">
        <f>IFERROR(__xludf.DUMMYFUNCTION("""COMPUTED_VALUE"""),"172694,IT and Software,Databases")</f>
        <v>172694,IT and Software,Databases</v>
      </c>
      <c r="G83" t="str">
        <f>IFERROR(__xludf.DUMMYFUNCTION("""COMPUTED_VALUE"""),"Y")</f>
        <v>Y</v>
      </c>
      <c r="H83" t="str">
        <f>IFERROR(__xludf.DUMMYFUNCTION("""COMPUTED_VALUE"""),"Below Quality Standards")</f>
        <v>Below Quality Standards</v>
      </c>
      <c r="I83" t="str">
        <f>IFERROR(__xludf.DUMMYFUNCTION("""COMPUTED_VALUE"""),"IT and Software")</f>
        <v>IT and Software</v>
      </c>
      <c r="J83" t="str">
        <f>IFERROR(__xludf.DUMMYFUNCTION("""COMPUTED_VALUE"""),"Databases")</f>
        <v>Databases</v>
      </c>
      <c r="K83" s="140">
        <f>IFERROR(__xludf.DUMMYFUNCTION("""COMPUTED_VALUE"""),54557.0)</f>
        <v>54557</v>
      </c>
      <c r="L83" s="140" t="str">
        <f>IFERROR(__xludf.DUMMYFUNCTION("""COMPUTED_VALUE"""),"")</f>
        <v/>
      </c>
      <c r="N83" s="140" t="str">
        <f>IFERROR(__xludf.DUMMYFUNCTION("""COMPUTED_VALUE"""),"")</f>
        <v/>
      </c>
    </row>
    <row r="84">
      <c r="A84" s="143">
        <f>IFERROR(__xludf.DUMMYFUNCTION("""COMPUTED_VALUE"""),42989.0)</f>
        <v>42989</v>
      </c>
      <c r="B84" s="140">
        <f>IFERROR(__xludf.DUMMYFUNCTION("""COMPUTED_VALUE"""),39551.0)</f>
        <v>39551</v>
      </c>
      <c r="C84" s="140" t="str">
        <f>IFERROR(__xludf.DUMMYFUNCTION("""COMPUTED_VALUE"""),"#N/A")</f>
        <v>#N/A</v>
      </c>
      <c r="D84" t="str">
        <f>IFERROR(__xludf.DUMMYFUNCTION("""COMPUTED_VALUE"""),"Kunal Ghosh")</f>
        <v>Kunal Ghosh</v>
      </c>
      <c r="F84" t="str">
        <f>IFERROR(__xludf.DUMMYFUNCTION("""COMPUTED_VALUE"""),"39551,IT and Software,Hardware")</f>
        <v>39551,IT and Software,Hardware</v>
      </c>
      <c r="G84" t="str">
        <f>IFERROR(__xludf.DUMMYFUNCTION("""COMPUTED_VALUE"""),"Y")</f>
        <v>Y</v>
      </c>
      <c r="H84" t="str">
        <f>IFERROR(__xludf.DUMMYFUNCTION("""COMPUTED_VALUE"""),"Below Quality Standards")</f>
        <v>Below Quality Standards</v>
      </c>
      <c r="I84" t="str">
        <f>IFERROR(__xludf.DUMMYFUNCTION("""COMPUTED_VALUE"""),"IT and Software")</f>
        <v>IT and Software</v>
      </c>
      <c r="J84" t="str">
        <f>IFERROR(__xludf.DUMMYFUNCTION("""COMPUTED_VALUE"""),"Hardware")</f>
        <v>Hardware</v>
      </c>
      <c r="L84" s="140" t="str">
        <f>IFERROR(__xludf.DUMMYFUNCTION("""COMPUTED_VALUE"""),"")</f>
        <v/>
      </c>
      <c r="N84" s="140" t="str">
        <f>IFERROR(__xludf.DUMMYFUNCTION("""COMPUTED_VALUE"""),"")</f>
        <v/>
      </c>
    </row>
    <row r="85">
      <c r="A85" s="143">
        <f>IFERROR(__xludf.DUMMYFUNCTION("""COMPUTED_VALUE"""),42989.0)</f>
        <v>42989</v>
      </c>
      <c r="B85" s="140">
        <f>IFERROR(__xludf.DUMMYFUNCTION("""COMPUTED_VALUE"""),149644.0)</f>
        <v>149644</v>
      </c>
      <c r="C85" s="140" t="str">
        <f>IFERROR(__xludf.DUMMYFUNCTION("""COMPUTED_VALUE"""),"#N/A")</f>
        <v>#N/A</v>
      </c>
      <c r="D85" t="str">
        <f>IFERROR(__xludf.DUMMYFUNCTION("""COMPUTED_VALUE"""),"Kunal Ghosh")</f>
        <v>Kunal Ghosh</v>
      </c>
      <c r="F85" t="str">
        <f>IFERROR(__xludf.DUMMYFUNCTION("""COMPUTED_VALUE"""),"149644,IT and Software,Hardware")</f>
        <v>149644,IT and Software,Hardware</v>
      </c>
      <c r="G85" t="str">
        <f>IFERROR(__xludf.DUMMYFUNCTION("""COMPUTED_VALUE"""),"Y")</f>
        <v>Y</v>
      </c>
      <c r="H85" t="str">
        <f>IFERROR(__xludf.DUMMYFUNCTION("""COMPUTED_VALUE"""),"Below Quality Standards")</f>
        <v>Below Quality Standards</v>
      </c>
      <c r="I85" t="str">
        <f>IFERROR(__xludf.DUMMYFUNCTION("""COMPUTED_VALUE"""),"IT and Software")</f>
        <v>IT and Software</v>
      </c>
      <c r="J85" t="str">
        <f>IFERROR(__xludf.DUMMYFUNCTION("""COMPUTED_VALUE"""),"Hardware")</f>
        <v>Hardware</v>
      </c>
      <c r="L85" s="140" t="str">
        <f>IFERROR(__xludf.DUMMYFUNCTION("""COMPUTED_VALUE"""),"")</f>
        <v/>
      </c>
      <c r="N85" s="140" t="str">
        <f>IFERROR(__xludf.DUMMYFUNCTION("""COMPUTED_VALUE"""),"")</f>
        <v/>
      </c>
    </row>
    <row r="86">
      <c r="A86" s="143">
        <f>IFERROR(__xludf.DUMMYFUNCTION("""COMPUTED_VALUE"""),42989.0)</f>
        <v>42989</v>
      </c>
      <c r="B86" s="140">
        <f>IFERROR(__xludf.DUMMYFUNCTION("""COMPUTED_VALUE"""),382714.0)</f>
        <v>382714</v>
      </c>
      <c r="C86" s="140" t="str">
        <f>IFERROR(__xludf.DUMMYFUNCTION("""COMPUTED_VALUE"""),"#N/A")</f>
        <v>#N/A</v>
      </c>
      <c r="D86" t="str">
        <f>IFERROR(__xludf.DUMMYFUNCTION("""COMPUTED_VALUE"""),"Kunal Ghosh")</f>
        <v>Kunal Ghosh</v>
      </c>
      <c r="F86" t="str">
        <f>IFERROR(__xludf.DUMMYFUNCTION("""COMPUTED_VALUE"""),"382714,IT and Software,Hardware")</f>
        <v>382714,IT and Software,Hardware</v>
      </c>
      <c r="G86" t="str">
        <f>IFERROR(__xludf.DUMMYFUNCTION("""COMPUTED_VALUE"""),"Y")</f>
        <v>Y</v>
      </c>
      <c r="H86" t="str">
        <f>IFERROR(__xludf.DUMMYFUNCTION("""COMPUTED_VALUE"""),"Instructor Opted Out")</f>
        <v>Instructor Opted Out</v>
      </c>
      <c r="I86" t="str">
        <f>IFERROR(__xludf.DUMMYFUNCTION("""COMPUTED_VALUE"""),"IT and Software")</f>
        <v>IT and Software</v>
      </c>
      <c r="J86" t="str">
        <f>IFERROR(__xludf.DUMMYFUNCTION("""COMPUTED_VALUE"""),"Hardware")</f>
        <v>Hardware</v>
      </c>
      <c r="L86" s="140" t="str">
        <f>IFERROR(__xludf.DUMMYFUNCTION("""COMPUTED_VALUE"""),"")</f>
        <v/>
      </c>
      <c r="N86" s="140" t="str">
        <f>IFERROR(__xludf.DUMMYFUNCTION("""COMPUTED_VALUE"""),"")</f>
        <v/>
      </c>
    </row>
    <row r="87">
      <c r="A87" s="143">
        <f>IFERROR(__xludf.DUMMYFUNCTION("""COMPUTED_VALUE"""),42989.0)</f>
        <v>42989</v>
      </c>
      <c r="B87" s="140">
        <f>IFERROR(__xludf.DUMMYFUNCTION("""COMPUTED_VALUE"""),283556.0)</f>
        <v>283556</v>
      </c>
      <c r="C87" s="140" t="str">
        <f>IFERROR(__xludf.DUMMYFUNCTION("""COMPUTED_VALUE"""),"#N/A")</f>
        <v>#N/A</v>
      </c>
      <c r="D87" t="str">
        <f>IFERROR(__xludf.DUMMYFUNCTION("""COMPUTED_VALUE"""),"Kunal Ghosh")</f>
        <v>Kunal Ghosh</v>
      </c>
      <c r="F87" t="str">
        <f>IFERROR(__xludf.DUMMYFUNCTION("""COMPUTED_VALUE"""),"283556,IT and Software,Hardware")</f>
        <v>283556,IT and Software,Hardware</v>
      </c>
      <c r="G87" t="str">
        <f>IFERROR(__xludf.DUMMYFUNCTION("""COMPUTED_VALUE"""),"Y")</f>
        <v>Y</v>
      </c>
      <c r="H87" t="str">
        <f>IFERROR(__xludf.DUMMYFUNCTION("""COMPUTED_VALUE"""),"Below Quality Standards")</f>
        <v>Below Quality Standards</v>
      </c>
      <c r="I87" t="str">
        <f>IFERROR(__xludf.DUMMYFUNCTION("""COMPUTED_VALUE"""),"IT and Software")</f>
        <v>IT and Software</v>
      </c>
      <c r="J87" t="str">
        <f>IFERROR(__xludf.DUMMYFUNCTION("""COMPUTED_VALUE"""),"Hardware")</f>
        <v>Hardware</v>
      </c>
      <c r="L87" s="140" t="str">
        <f>IFERROR(__xludf.DUMMYFUNCTION("""COMPUTED_VALUE"""),"")</f>
        <v/>
      </c>
      <c r="N87" s="140" t="str">
        <f>IFERROR(__xludf.DUMMYFUNCTION("""COMPUTED_VALUE"""),"")</f>
        <v/>
      </c>
    </row>
    <row r="88">
      <c r="A88" s="143">
        <f>IFERROR(__xludf.DUMMYFUNCTION("""COMPUTED_VALUE"""),42989.0)</f>
        <v>42989</v>
      </c>
      <c r="B88" s="140">
        <f>IFERROR(__xludf.DUMMYFUNCTION("""COMPUTED_VALUE"""),751226.0)</f>
        <v>751226</v>
      </c>
      <c r="C88" s="140" t="str">
        <f>IFERROR(__xludf.DUMMYFUNCTION("""COMPUTED_VALUE"""),"#N/A")</f>
        <v>#N/A</v>
      </c>
      <c r="D88" t="str">
        <f>IFERROR(__xludf.DUMMYFUNCTION("""COMPUTED_VALUE"""),"Kunal Ghosh")</f>
        <v>Kunal Ghosh</v>
      </c>
      <c r="F88" t="str">
        <f>IFERROR(__xludf.DUMMYFUNCTION("""COMPUTED_VALUE"""),"751226,IT and Software,Hardware")</f>
        <v>751226,IT and Software,Hardware</v>
      </c>
      <c r="G88" t="str">
        <f>IFERROR(__xludf.DUMMYFUNCTION("""COMPUTED_VALUE"""),"Y")</f>
        <v>Y</v>
      </c>
      <c r="H88" t="str">
        <f>IFERROR(__xludf.DUMMYFUNCTION("""COMPUTED_VALUE"""),"Below Quality Standards")</f>
        <v>Below Quality Standards</v>
      </c>
      <c r="I88" t="str">
        <f>IFERROR(__xludf.DUMMYFUNCTION("""COMPUTED_VALUE"""),"IT and Software")</f>
        <v>IT and Software</v>
      </c>
      <c r="J88" t="str">
        <f>IFERROR(__xludf.DUMMYFUNCTION("""COMPUTED_VALUE"""),"Hardware")</f>
        <v>Hardware</v>
      </c>
      <c r="L88" s="140" t="str">
        <f>IFERROR(__xludf.DUMMYFUNCTION("""COMPUTED_VALUE"""),"")</f>
        <v/>
      </c>
      <c r="N88" s="140" t="str">
        <f>IFERROR(__xludf.DUMMYFUNCTION("""COMPUTED_VALUE"""),"")</f>
        <v/>
      </c>
    </row>
    <row r="89">
      <c r="A89" s="143">
        <f>IFERROR(__xludf.DUMMYFUNCTION("""COMPUTED_VALUE"""),42989.0)</f>
        <v>42989</v>
      </c>
      <c r="B89" s="140">
        <f>IFERROR(__xludf.DUMMYFUNCTION("""COMPUTED_VALUE"""),171532.0)</f>
        <v>171532</v>
      </c>
      <c r="C89" s="140" t="str">
        <f>IFERROR(__xludf.DUMMYFUNCTION("""COMPUTED_VALUE"""),"#N/A")</f>
        <v>#N/A</v>
      </c>
      <c r="D89" t="str">
        <f>IFERROR(__xludf.DUMMYFUNCTION("""COMPUTED_VALUE"""),"Marious Kuriata")</f>
        <v>Marious Kuriata</v>
      </c>
      <c r="F89" t="str">
        <f>IFERROR(__xludf.DUMMYFUNCTION("""COMPUTED_VALUE"""),"171532,IT and Software,IT Certifications")</f>
        <v>171532,IT and Software,IT Certifications</v>
      </c>
      <c r="G89" t="str">
        <f>IFERROR(__xludf.DUMMYFUNCTION("""COMPUTED_VALUE"""),"Y")</f>
        <v>Y</v>
      </c>
      <c r="H89" t="str">
        <f>IFERROR(__xludf.DUMMYFUNCTION("""COMPUTED_VALUE"""),"Below Quality Standards")</f>
        <v>Below Quality Standards</v>
      </c>
      <c r="I89" t="str">
        <f>IFERROR(__xludf.DUMMYFUNCTION("""COMPUTED_VALUE"""),"IT and Software")</f>
        <v>IT and Software</v>
      </c>
      <c r="J89" t="str">
        <f>IFERROR(__xludf.DUMMYFUNCTION("""COMPUTED_VALUE"""),"IT Certifications")</f>
        <v>IT Certifications</v>
      </c>
      <c r="K89" s="140">
        <f>IFERROR(__xludf.DUMMYFUNCTION("""COMPUTED_VALUE"""),889978.0)</f>
        <v>889978</v>
      </c>
      <c r="L89" s="140" t="str">
        <f>IFERROR(__xludf.DUMMYFUNCTION("""COMPUTED_VALUE"""),"")</f>
        <v/>
      </c>
      <c r="M89" s="140">
        <f>IFERROR(__xludf.DUMMYFUNCTION("""COMPUTED_VALUE"""),10812.0)</f>
        <v>10812</v>
      </c>
      <c r="N89" s="140" t="str">
        <f>IFERROR(__xludf.DUMMYFUNCTION("""COMPUTED_VALUE"""),"")</f>
        <v/>
      </c>
    </row>
    <row r="90">
      <c r="A90" s="143">
        <f>IFERROR(__xludf.DUMMYFUNCTION("""COMPUTED_VALUE"""),42989.0)</f>
        <v>42989</v>
      </c>
      <c r="B90" s="140">
        <f>IFERROR(__xludf.DUMMYFUNCTION("""COMPUTED_VALUE"""),359100.0)</f>
        <v>359100</v>
      </c>
      <c r="C90" s="140" t="str">
        <f>IFERROR(__xludf.DUMMYFUNCTION("""COMPUTED_VALUE"""),"#N/A")</f>
        <v>#N/A</v>
      </c>
      <c r="D90" t="str">
        <f>IFERROR(__xludf.DUMMYFUNCTION("""COMPUTED_VALUE"""),"Marious Kuriata")</f>
        <v>Marious Kuriata</v>
      </c>
      <c r="F90" t="str">
        <f>IFERROR(__xludf.DUMMYFUNCTION("""COMPUTED_VALUE"""),"359100,IT and Software,IT Certifications")</f>
        <v>359100,IT and Software,IT Certifications</v>
      </c>
      <c r="G90" t="str">
        <f>IFERROR(__xludf.DUMMYFUNCTION("""COMPUTED_VALUE"""),"Y")</f>
        <v>Y</v>
      </c>
      <c r="H90" t="str">
        <f>IFERROR(__xludf.DUMMYFUNCTION("""COMPUTED_VALUE"""),"Below Quality Standards")</f>
        <v>Below Quality Standards</v>
      </c>
      <c r="I90" t="str">
        <f>IFERROR(__xludf.DUMMYFUNCTION("""COMPUTED_VALUE"""),"IT and Software")</f>
        <v>IT and Software</v>
      </c>
      <c r="J90" t="str">
        <f>IFERROR(__xludf.DUMMYFUNCTION("""COMPUTED_VALUE"""),"IT Certifications")</f>
        <v>IT Certifications</v>
      </c>
      <c r="K90" s="140">
        <f>IFERROR(__xludf.DUMMYFUNCTION("""COMPUTED_VALUE"""),10812.0)</f>
        <v>10812</v>
      </c>
      <c r="L90" s="140" t="str">
        <f>IFERROR(__xludf.DUMMYFUNCTION("""COMPUTED_VALUE"""),"")</f>
        <v/>
      </c>
      <c r="M90" s="140">
        <f>IFERROR(__xludf.DUMMYFUNCTION("""COMPUTED_VALUE"""),948368.0)</f>
        <v>948368</v>
      </c>
      <c r="N90" s="140" t="str">
        <f>IFERROR(__xludf.DUMMYFUNCTION("""COMPUTED_VALUE"""),"")</f>
        <v/>
      </c>
    </row>
    <row r="91">
      <c r="A91" s="143">
        <f>IFERROR(__xludf.DUMMYFUNCTION("""COMPUTED_VALUE"""),42989.0)</f>
        <v>42989</v>
      </c>
      <c r="B91" s="140">
        <f>IFERROR(__xludf.DUMMYFUNCTION("""COMPUTED_VALUE"""),567176.0)</f>
        <v>567176</v>
      </c>
      <c r="C91" s="140" t="str">
        <f>IFERROR(__xludf.DUMMYFUNCTION("""COMPUTED_VALUE"""),"#N/A")</f>
        <v>#N/A</v>
      </c>
      <c r="D91" t="str">
        <f>IFERROR(__xludf.DUMMYFUNCTION("""COMPUTED_VALUE"""),"Marious Kuriata")</f>
        <v>Marious Kuriata</v>
      </c>
      <c r="F91" t="str">
        <f>IFERROR(__xludf.DUMMYFUNCTION("""COMPUTED_VALUE"""),"567176,IT and Software,IT Certifications")</f>
        <v>567176,IT and Software,IT Certifications</v>
      </c>
      <c r="G91" t="str">
        <f>IFERROR(__xludf.DUMMYFUNCTION("""COMPUTED_VALUE"""),"Y")</f>
        <v>Y</v>
      </c>
      <c r="H91" t="str">
        <f>IFERROR(__xludf.DUMMYFUNCTION("""COMPUTED_VALUE"""),"Below Quality Standards")</f>
        <v>Below Quality Standards</v>
      </c>
      <c r="I91" t="str">
        <f>IFERROR(__xludf.DUMMYFUNCTION("""COMPUTED_VALUE"""),"IT and Software")</f>
        <v>IT and Software</v>
      </c>
      <c r="J91" t="str">
        <f>IFERROR(__xludf.DUMMYFUNCTION("""COMPUTED_VALUE"""),"IT Certifications")</f>
        <v>IT Certifications</v>
      </c>
      <c r="K91" s="140">
        <f>IFERROR(__xludf.DUMMYFUNCTION("""COMPUTED_VALUE"""),889978.0)</f>
        <v>889978</v>
      </c>
      <c r="L91" s="140" t="str">
        <f>IFERROR(__xludf.DUMMYFUNCTION("""COMPUTED_VALUE"""),"")</f>
        <v/>
      </c>
      <c r="N91" s="140" t="str">
        <f>IFERROR(__xludf.DUMMYFUNCTION("""COMPUTED_VALUE"""),"")</f>
        <v/>
      </c>
    </row>
    <row r="92">
      <c r="A92" s="143">
        <f>IFERROR(__xludf.DUMMYFUNCTION("""COMPUTED_VALUE"""),42989.0)</f>
        <v>42989</v>
      </c>
      <c r="B92" s="140">
        <f>IFERROR(__xludf.DUMMYFUNCTION("""COMPUTED_VALUE"""),244170.0)</f>
        <v>244170</v>
      </c>
      <c r="C92" s="140" t="str">
        <f>IFERROR(__xludf.DUMMYFUNCTION("""COMPUTED_VALUE"""),"#N/A")</f>
        <v>#N/A</v>
      </c>
      <c r="D92" t="str">
        <f>IFERROR(__xludf.DUMMYFUNCTION("""COMPUTED_VALUE"""),"Marious Kuriata")</f>
        <v>Marious Kuriata</v>
      </c>
      <c r="F92" t="str">
        <f>IFERROR(__xludf.DUMMYFUNCTION("""COMPUTED_VALUE"""),"244170,IT and Software,IT Certifications")</f>
        <v>244170,IT and Software,IT Certifications</v>
      </c>
      <c r="G92" t="str">
        <f>IFERROR(__xludf.DUMMYFUNCTION("""COMPUTED_VALUE"""),"Y")</f>
        <v>Y</v>
      </c>
      <c r="H92" t="str">
        <f>IFERROR(__xludf.DUMMYFUNCTION("""COMPUTED_VALUE"""),"Below Quality Standards")</f>
        <v>Below Quality Standards</v>
      </c>
      <c r="I92" t="str">
        <f>IFERROR(__xludf.DUMMYFUNCTION("""COMPUTED_VALUE"""),"IT and Software")</f>
        <v>IT and Software</v>
      </c>
      <c r="J92" t="str">
        <f>IFERROR(__xludf.DUMMYFUNCTION("""COMPUTED_VALUE"""),"IT Certifications")</f>
        <v>IT Certifications</v>
      </c>
      <c r="K92" s="140">
        <f>IFERROR(__xludf.DUMMYFUNCTION("""COMPUTED_VALUE"""),986016.0)</f>
        <v>986016</v>
      </c>
      <c r="L92" s="140" t="str">
        <f>IFERROR(__xludf.DUMMYFUNCTION("""COMPUTED_VALUE"""),"")</f>
        <v/>
      </c>
      <c r="N92" s="140" t="str">
        <f>IFERROR(__xludf.DUMMYFUNCTION("""COMPUTED_VALUE"""),"")</f>
        <v/>
      </c>
    </row>
    <row r="93">
      <c r="A93" s="143">
        <f>IFERROR(__xludf.DUMMYFUNCTION("""COMPUTED_VALUE"""),42989.0)</f>
        <v>42989</v>
      </c>
      <c r="B93" s="140">
        <f>IFERROR(__xludf.DUMMYFUNCTION("""COMPUTED_VALUE"""),438736.0)</f>
        <v>438736</v>
      </c>
      <c r="C93" s="140" t="str">
        <f>IFERROR(__xludf.DUMMYFUNCTION("""COMPUTED_VALUE"""),"#N/A")</f>
        <v>#N/A</v>
      </c>
      <c r="D93" t="str">
        <f>IFERROR(__xludf.DUMMYFUNCTION("""COMPUTED_VALUE"""),"LearnSmart LLC")</f>
        <v>LearnSmart LLC</v>
      </c>
      <c r="F93" t="str">
        <f>IFERROR(__xludf.DUMMYFUNCTION("""COMPUTED_VALUE"""),"438736,IT and Software,IT Certifications")</f>
        <v>438736,IT and Software,IT Certifications</v>
      </c>
      <c r="G93" t="str">
        <f>IFERROR(__xludf.DUMMYFUNCTION("""COMPUTED_VALUE"""),"Y")</f>
        <v>Y</v>
      </c>
      <c r="H93" t="str">
        <f>IFERROR(__xludf.DUMMYFUNCTION("""COMPUTED_VALUE"""),"Below Quality Standards")</f>
        <v>Below Quality Standards</v>
      </c>
      <c r="I93" t="str">
        <f>IFERROR(__xludf.DUMMYFUNCTION("""COMPUTED_VALUE"""),"IT and Software")</f>
        <v>IT and Software</v>
      </c>
      <c r="J93" t="str">
        <f>IFERROR(__xludf.DUMMYFUNCTION("""COMPUTED_VALUE"""),"IT Certifications")</f>
        <v>IT Certifications</v>
      </c>
      <c r="K93" s="140">
        <f>IFERROR(__xludf.DUMMYFUNCTION("""COMPUTED_VALUE"""),10812.0)</f>
        <v>10812</v>
      </c>
      <c r="L93" s="140" t="str">
        <f>IFERROR(__xludf.DUMMYFUNCTION("""COMPUTED_VALUE"""),"")</f>
        <v/>
      </c>
      <c r="M93" s="140">
        <f>IFERROR(__xludf.DUMMYFUNCTION("""COMPUTED_VALUE"""),948368.0)</f>
        <v>948368</v>
      </c>
      <c r="N93" s="140" t="str">
        <f>IFERROR(__xludf.DUMMYFUNCTION("""COMPUTED_VALUE"""),"")</f>
        <v/>
      </c>
    </row>
    <row r="94">
      <c r="A94" s="143">
        <f>IFERROR(__xludf.DUMMYFUNCTION("""COMPUTED_VALUE"""),42989.0)</f>
        <v>42989</v>
      </c>
      <c r="B94" s="140">
        <f>IFERROR(__xludf.DUMMYFUNCTION("""COMPUTED_VALUE"""),438968.0)</f>
        <v>438968</v>
      </c>
      <c r="C94" s="140" t="str">
        <f>IFERROR(__xludf.DUMMYFUNCTION("""COMPUTED_VALUE"""),"#N/A")</f>
        <v>#N/A</v>
      </c>
      <c r="D94" t="str">
        <f>IFERROR(__xludf.DUMMYFUNCTION("""COMPUTED_VALUE"""),"LearnSmart LLC")</f>
        <v>LearnSmart LLC</v>
      </c>
      <c r="F94" t="str">
        <f>IFERROR(__xludf.DUMMYFUNCTION("""COMPUTED_VALUE"""),"438968,IT and Software,IT Certifications")</f>
        <v>438968,IT and Software,IT Certifications</v>
      </c>
      <c r="G94" t="str">
        <f>IFERROR(__xludf.DUMMYFUNCTION("""COMPUTED_VALUE"""),"Y")</f>
        <v>Y</v>
      </c>
      <c r="H94" t="str">
        <f>IFERROR(__xludf.DUMMYFUNCTION("""COMPUTED_VALUE"""),"Exam Obsolete")</f>
        <v>Exam Obsolete</v>
      </c>
      <c r="I94" t="str">
        <f>IFERROR(__xludf.DUMMYFUNCTION("""COMPUTED_VALUE"""),"IT and Software")</f>
        <v>IT and Software</v>
      </c>
      <c r="J94" t="str">
        <f>IFERROR(__xludf.DUMMYFUNCTION("""COMPUTED_VALUE"""),"IT Certifications")</f>
        <v>IT Certifications</v>
      </c>
      <c r="L94" s="140" t="str">
        <f>IFERROR(__xludf.DUMMYFUNCTION("""COMPUTED_VALUE"""),"")</f>
        <v/>
      </c>
      <c r="N94" s="140" t="str">
        <f>IFERROR(__xludf.DUMMYFUNCTION("""COMPUTED_VALUE"""),"")</f>
        <v/>
      </c>
      <c r="R94" t="str">
        <f>IFERROR(__xludf.DUMMYFUNCTION("""COMPUTED_VALUE"""),"IT and Software")</f>
        <v>IT and Software</v>
      </c>
      <c r="S94" t="str">
        <f>IFERROR(__xludf.DUMMYFUNCTION("""COMPUTED_VALUE"""),"Network and Security")</f>
        <v>Network and Security</v>
      </c>
    </row>
    <row r="95">
      <c r="A95" s="143">
        <f>IFERROR(__xludf.DUMMYFUNCTION("""COMPUTED_VALUE"""),42989.0)</f>
        <v>42989</v>
      </c>
      <c r="B95" s="140">
        <f>IFERROR(__xludf.DUMMYFUNCTION("""COMPUTED_VALUE"""),322966.0)</f>
        <v>322966</v>
      </c>
      <c r="C95" s="140" t="str">
        <f>IFERROR(__xludf.DUMMYFUNCTION("""COMPUTED_VALUE"""),"#N/A")</f>
        <v>#N/A</v>
      </c>
      <c r="D95" t="str">
        <f>IFERROR(__xludf.DUMMYFUNCTION("""COMPUTED_VALUE"""),"Simplilearn")</f>
        <v>Simplilearn</v>
      </c>
      <c r="F95" t="str">
        <f>IFERROR(__xludf.DUMMYFUNCTION("""COMPUTED_VALUE"""),"322966,IT and Software,IT Certifications")</f>
        <v>322966,IT and Software,IT Certifications</v>
      </c>
      <c r="G95" t="str">
        <f>IFERROR(__xludf.DUMMYFUNCTION("""COMPUTED_VALUE"""),"Y")</f>
        <v>Y</v>
      </c>
      <c r="H95" t="str">
        <f>IFERROR(__xludf.DUMMYFUNCTION("""COMPUTED_VALUE"""),"Below Quality Standards")</f>
        <v>Below Quality Standards</v>
      </c>
      <c r="I95" t="str">
        <f>IFERROR(__xludf.DUMMYFUNCTION("""COMPUTED_VALUE"""),"IT and Software")</f>
        <v>IT and Software</v>
      </c>
      <c r="J95" t="str">
        <f>IFERROR(__xludf.DUMMYFUNCTION("""COMPUTED_VALUE"""),"IT Certifications")</f>
        <v>IT Certifications</v>
      </c>
      <c r="K95" s="140">
        <f>IFERROR(__xludf.DUMMYFUNCTION("""COMPUTED_VALUE"""),1127784.0)</f>
        <v>1127784</v>
      </c>
      <c r="L95" s="140" t="str">
        <f>IFERROR(__xludf.DUMMYFUNCTION("""COMPUTED_VALUE"""),"")</f>
        <v/>
      </c>
      <c r="N95" s="140" t="str">
        <f>IFERROR(__xludf.DUMMYFUNCTION("""COMPUTED_VALUE"""),"")</f>
        <v/>
      </c>
    </row>
    <row r="96">
      <c r="A96" s="143">
        <f>IFERROR(__xludf.DUMMYFUNCTION("""COMPUTED_VALUE"""),42989.0)</f>
        <v>42989</v>
      </c>
      <c r="B96" s="140">
        <f>IFERROR(__xludf.DUMMYFUNCTION("""COMPUTED_VALUE"""),58580.0)</f>
        <v>58580</v>
      </c>
      <c r="C96" s="140" t="str">
        <f>IFERROR(__xludf.DUMMYFUNCTION("""COMPUTED_VALUE"""),"#N/A")</f>
        <v>#N/A</v>
      </c>
      <c r="D96" t="str">
        <f>IFERROR(__xludf.DUMMYFUNCTION("""COMPUTED_VALUE"""),"David Bombal")</f>
        <v>David Bombal</v>
      </c>
      <c r="F96" t="str">
        <f>IFERROR(__xludf.DUMMYFUNCTION("""COMPUTED_VALUE"""),"58580,IT and Software,IT Certifications")</f>
        <v>58580,IT and Software,IT Certifications</v>
      </c>
      <c r="G96" t="str">
        <f>IFERROR(__xludf.DUMMYFUNCTION("""COMPUTED_VALUE"""),"Y")</f>
        <v>Y</v>
      </c>
      <c r="H96" t="str">
        <f>IFERROR(__xludf.DUMMYFUNCTION("""COMPUTED_VALUE"""),"Exam Obsolete")</f>
        <v>Exam Obsolete</v>
      </c>
      <c r="I96" t="str">
        <f>IFERROR(__xludf.DUMMYFUNCTION("""COMPUTED_VALUE"""),"IT and Software")</f>
        <v>IT and Software</v>
      </c>
      <c r="J96" t="str">
        <f>IFERROR(__xludf.DUMMYFUNCTION("""COMPUTED_VALUE"""),"IT Certifications")</f>
        <v>IT Certifications</v>
      </c>
      <c r="L96" s="140" t="str">
        <f>IFERROR(__xludf.DUMMYFUNCTION("""COMPUTED_VALUE"""),"")</f>
        <v/>
      </c>
      <c r="N96" s="140" t="str">
        <f>IFERROR(__xludf.DUMMYFUNCTION("""COMPUTED_VALUE"""),"")</f>
        <v/>
      </c>
    </row>
    <row r="97">
      <c r="A97" s="143">
        <f>IFERROR(__xludf.DUMMYFUNCTION("""COMPUTED_VALUE"""),42989.0)</f>
        <v>42989</v>
      </c>
      <c r="B97" s="140">
        <f>IFERROR(__xludf.DUMMYFUNCTION("""COMPUTED_VALUE"""),57153.0)</f>
        <v>57153</v>
      </c>
      <c r="C97" s="140" t="str">
        <f>IFERROR(__xludf.DUMMYFUNCTION("""COMPUTED_VALUE"""),"#N/A")</f>
        <v>#N/A</v>
      </c>
      <c r="D97" t="str">
        <f>IFERROR(__xludf.DUMMYFUNCTION("""COMPUTED_VALUE"""),"David Bombal")</f>
        <v>David Bombal</v>
      </c>
      <c r="F97" t="str">
        <f>IFERROR(__xludf.DUMMYFUNCTION("""COMPUTED_VALUE"""),"57153,IT and Software,IT Certifications")</f>
        <v>57153,IT and Software,IT Certifications</v>
      </c>
      <c r="G97" t="str">
        <f>IFERROR(__xludf.DUMMYFUNCTION("""COMPUTED_VALUE"""),"Y")</f>
        <v>Y</v>
      </c>
      <c r="H97" t="str">
        <f>IFERROR(__xludf.DUMMYFUNCTION("""COMPUTED_VALUE"""),"Exam Obsolete")</f>
        <v>Exam Obsolete</v>
      </c>
      <c r="I97" t="str">
        <f>IFERROR(__xludf.DUMMYFUNCTION("""COMPUTED_VALUE"""),"IT and Software")</f>
        <v>IT and Software</v>
      </c>
      <c r="J97" t="str">
        <f>IFERROR(__xludf.DUMMYFUNCTION("""COMPUTED_VALUE"""),"IT Certifications")</f>
        <v>IT Certifications</v>
      </c>
      <c r="L97" s="140" t="str">
        <f>IFERROR(__xludf.DUMMYFUNCTION("""COMPUTED_VALUE"""),"")</f>
        <v/>
      </c>
      <c r="N97" s="140" t="str">
        <f>IFERROR(__xludf.DUMMYFUNCTION("""COMPUTED_VALUE"""),"")</f>
        <v/>
      </c>
    </row>
    <row r="98">
      <c r="A98" s="143">
        <f>IFERROR(__xludf.DUMMYFUNCTION("""COMPUTED_VALUE"""),42989.0)</f>
        <v>42989</v>
      </c>
      <c r="B98" s="140">
        <f>IFERROR(__xludf.DUMMYFUNCTION("""COMPUTED_VALUE"""),573978.0)</f>
        <v>573978</v>
      </c>
      <c r="C98" s="140" t="str">
        <f>IFERROR(__xludf.DUMMYFUNCTION("""COMPUTED_VALUE"""),"#N/A")</f>
        <v>#N/A</v>
      </c>
      <c r="D98" t="str">
        <f>IFERROR(__xludf.DUMMYFUNCTION("""COMPUTED_VALUE"""),"Justin OBrien")</f>
        <v>Justin OBrien</v>
      </c>
      <c r="F98" t="str">
        <f>IFERROR(__xludf.DUMMYFUNCTION("""COMPUTED_VALUE"""),"573978,IT and Software,IT Certifications")</f>
        <v>573978,IT and Software,IT Certifications</v>
      </c>
      <c r="G98" t="str">
        <f>IFERROR(__xludf.DUMMYFUNCTION("""COMPUTED_VALUE"""),"Y")</f>
        <v>Y</v>
      </c>
      <c r="H98" t="str">
        <f>IFERROR(__xludf.DUMMYFUNCTION("""COMPUTED_VALUE"""),"Below Quality Standards")</f>
        <v>Below Quality Standards</v>
      </c>
      <c r="I98" t="str">
        <f>IFERROR(__xludf.DUMMYFUNCTION("""COMPUTED_VALUE"""),"IT and Software")</f>
        <v>IT and Software</v>
      </c>
      <c r="J98" t="str">
        <f>IFERROR(__xludf.DUMMYFUNCTION("""COMPUTED_VALUE"""),"IT Certifications")</f>
        <v>IT Certifications</v>
      </c>
      <c r="K98" s="140">
        <f>IFERROR(__xludf.DUMMYFUNCTION("""COMPUTED_VALUE"""),929844.0)</f>
        <v>929844</v>
      </c>
      <c r="L98" s="140" t="str">
        <f>IFERROR(__xludf.DUMMYFUNCTION("""COMPUTED_VALUE"""),"")</f>
        <v/>
      </c>
      <c r="N98" s="140" t="str">
        <f>IFERROR(__xludf.DUMMYFUNCTION("""COMPUTED_VALUE"""),"")</f>
        <v/>
      </c>
    </row>
    <row r="99">
      <c r="A99" s="143">
        <f>IFERROR(__xludf.DUMMYFUNCTION("""COMPUTED_VALUE"""),42989.0)</f>
        <v>42989</v>
      </c>
      <c r="B99" s="140">
        <f>IFERROR(__xludf.DUMMYFUNCTION("""COMPUTED_VALUE"""),193290.0)</f>
        <v>193290</v>
      </c>
      <c r="C99" s="140" t="str">
        <f>IFERROR(__xludf.DUMMYFUNCTION("""COMPUTED_VALUE"""),"#N/A")</f>
        <v>#N/A</v>
      </c>
      <c r="D99" t="str">
        <f>IFERROR(__xludf.DUMMYFUNCTION("""COMPUTED_VALUE"""),"Marious Kuriata")</f>
        <v>Marious Kuriata</v>
      </c>
      <c r="F99" t="str">
        <f>IFERROR(__xludf.DUMMYFUNCTION("""COMPUTED_VALUE"""),"193290,IT and Software,Network and Security")</f>
        <v>193290,IT and Software,Network and Security</v>
      </c>
      <c r="G99" t="str">
        <f>IFERROR(__xludf.DUMMYFUNCTION("""COMPUTED_VALUE"""),"Y")</f>
        <v>Y</v>
      </c>
      <c r="H99" t="str">
        <f>IFERROR(__xludf.DUMMYFUNCTION("""COMPUTED_VALUE"""),"Below Quality Standards")</f>
        <v>Below Quality Standards</v>
      </c>
      <c r="I99" t="str">
        <f>IFERROR(__xludf.DUMMYFUNCTION("""COMPUTED_VALUE"""),"IT and Software")</f>
        <v>IT and Software</v>
      </c>
      <c r="J99" t="str">
        <f>IFERROR(__xludf.DUMMYFUNCTION("""COMPUTED_VALUE"""),"Network and Security")</f>
        <v>Network and Security</v>
      </c>
      <c r="K99" s="140">
        <f>IFERROR(__xludf.DUMMYFUNCTION("""COMPUTED_VALUE"""),751094.0)</f>
        <v>751094</v>
      </c>
      <c r="L99" s="140" t="str">
        <f>IFERROR(__xludf.DUMMYFUNCTION("""COMPUTED_VALUE"""),"")</f>
        <v/>
      </c>
      <c r="M99" s="140">
        <f>IFERROR(__xludf.DUMMYFUNCTION("""COMPUTED_VALUE"""),875974.0)</f>
        <v>875974</v>
      </c>
      <c r="N99" s="140" t="str">
        <f>IFERROR(__xludf.DUMMYFUNCTION("""COMPUTED_VALUE"""),"")</f>
        <v/>
      </c>
    </row>
    <row r="100">
      <c r="A100" s="143">
        <f>IFERROR(__xludf.DUMMYFUNCTION("""COMPUTED_VALUE"""),42989.0)</f>
        <v>42989</v>
      </c>
      <c r="B100" s="140">
        <f>IFERROR(__xludf.DUMMYFUNCTION("""COMPUTED_VALUE"""),422634.0)</f>
        <v>422634</v>
      </c>
      <c r="C100" s="140" t="str">
        <f>IFERROR(__xludf.DUMMYFUNCTION("""COMPUTED_VALUE"""),"#N/A")</f>
        <v>#N/A</v>
      </c>
      <c r="D100" t="str">
        <f>IFERROR(__xludf.DUMMYFUNCTION("""COMPUTED_VALUE"""),"Khalid Hamadeh")</f>
        <v>Khalid Hamadeh</v>
      </c>
      <c r="F100" t="str">
        <f>IFERROR(__xludf.DUMMYFUNCTION("""COMPUTED_VALUE"""),"422634,IT and Software,Network and Security")</f>
        <v>422634,IT and Software,Network and Security</v>
      </c>
      <c r="G100" t="str">
        <f>IFERROR(__xludf.DUMMYFUNCTION("""COMPUTED_VALUE"""),"Y")</f>
        <v>Y</v>
      </c>
      <c r="H100" t="str">
        <f>IFERROR(__xludf.DUMMYFUNCTION("""COMPUTED_VALUE"""),"Below Quality Standards")</f>
        <v>Below Quality Standards</v>
      </c>
      <c r="I100" t="str">
        <f>IFERROR(__xludf.DUMMYFUNCTION("""COMPUTED_VALUE"""),"IT and Software")</f>
        <v>IT and Software</v>
      </c>
      <c r="J100" t="str">
        <f>IFERROR(__xludf.DUMMYFUNCTION("""COMPUTED_VALUE"""),"Network and Security")</f>
        <v>Network and Security</v>
      </c>
      <c r="K100" s="140">
        <f>IFERROR(__xludf.DUMMYFUNCTION("""COMPUTED_VALUE"""),614772.0)</f>
        <v>614772</v>
      </c>
      <c r="L100" s="140" t="str">
        <f>IFERROR(__xludf.DUMMYFUNCTION("""COMPUTED_VALUE"""),"")</f>
        <v/>
      </c>
      <c r="N100" s="140" t="str">
        <f>IFERROR(__xludf.DUMMYFUNCTION("""COMPUTED_VALUE"""),"")</f>
        <v/>
      </c>
    </row>
    <row r="101">
      <c r="A101" s="143">
        <f>IFERROR(__xludf.DUMMYFUNCTION("""COMPUTED_VALUE"""),42989.0)</f>
        <v>42989</v>
      </c>
      <c r="B101" s="140">
        <f>IFERROR(__xludf.DUMMYFUNCTION("""COMPUTED_VALUE"""),788304.0)</f>
        <v>788304</v>
      </c>
      <c r="C101" s="140" t="str">
        <f>IFERROR(__xludf.DUMMYFUNCTION("""COMPUTED_VALUE"""),"#N/A")</f>
        <v>#N/A</v>
      </c>
      <c r="D101" t="str">
        <f>IFERROR(__xludf.DUMMYFUNCTION("""COMPUTED_VALUE"""),"Hussam Khrais")</f>
        <v>Hussam Khrais</v>
      </c>
      <c r="F101" t="str">
        <f>IFERROR(__xludf.DUMMYFUNCTION("""COMPUTED_VALUE"""),"788304,IT and Software,Network and Security")</f>
        <v>788304,IT and Software,Network and Security</v>
      </c>
      <c r="G101" t="str">
        <f>IFERROR(__xludf.DUMMYFUNCTION("""COMPUTED_VALUE"""),"Y")</f>
        <v>Y</v>
      </c>
      <c r="H101" t="str">
        <f>IFERROR(__xludf.DUMMYFUNCTION("""COMPUTED_VALUE"""),"Below Quality Standards")</f>
        <v>Below Quality Standards</v>
      </c>
      <c r="I101" t="str">
        <f>IFERROR(__xludf.DUMMYFUNCTION("""COMPUTED_VALUE"""),"IT and Software")</f>
        <v>IT and Software</v>
      </c>
      <c r="J101" t="str">
        <f>IFERROR(__xludf.DUMMYFUNCTION("""COMPUTED_VALUE"""),"Network and Security")</f>
        <v>Network and Security</v>
      </c>
      <c r="K101" s="140">
        <f>IFERROR(__xludf.DUMMYFUNCTION("""COMPUTED_VALUE"""),377716.0)</f>
        <v>377716</v>
      </c>
      <c r="L101" s="140" t="str">
        <f>IFERROR(__xludf.DUMMYFUNCTION("""COMPUTED_VALUE"""),"")</f>
        <v/>
      </c>
      <c r="N101" s="140" t="str">
        <f>IFERROR(__xludf.DUMMYFUNCTION("""COMPUTED_VALUE"""),"")</f>
        <v/>
      </c>
    </row>
    <row r="102">
      <c r="A102" s="143">
        <f>IFERROR(__xludf.DUMMYFUNCTION("""COMPUTED_VALUE"""),42989.0)</f>
        <v>42989</v>
      </c>
      <c r="B102" s="140">
        <f>IFERROR(__xludf.DUMMYFUNCTION("""COMPUTED_VALUE"""),635450.0)</f>
        <v>635450</v>
      </c>
      <c r="C102" s="140" t="str">
        <f>IFERROR(__xludf.DUMMYFUNCTION("""COMPUTED_VALUE"""),"#N/A")</f>
        <v>#N/A</v>
      </c>
      <c r="D102" t="str">
        <f>IFERROR(__xludf.DUMMYFUNCTION("""COMPUTED_VALUE"""),"Lets Kode It")</f>
        <v>Lets Kode It</v>
      </c>
      <c r="F102" t="str">
        <f>IFERROR(__xludf.DUMMYFUNCTION("""COMPUTED_VALUE"""),"635450,IT and Software,Operating Systems and Servers")</f>
        <v>635450,IT and Software,Operating Systems and Servers</v>
      </c>
      <c r="G102" t="str">
        <f>IFERROR(__xludf.DUMMYFUNCTION("""COMPUTED_VALUE"""),"Y")</f>
        <v>Y</v>
      </c>
      <c r="H102" t="str">
        <f>IFERROR(__xludf.DUMMYFUNCTION("""COMPUTED_VALUE"""),"Below Quality Standards")</f>
        <v>Below Quality Standards</v>
      </c>
      <c r="I102" t="str">
        <f>IFERROR(__xludf.DUMMYFUNCTION("""COMPUTED_VALUE"""),"IT and Software")</f>
        <v>IT and Software</v>
      </c>
      <c r="J102" t="str">
        <f>IFERROR(__xludf.DUMMYFUNCTION("""COMPUTED_VALUE"""),"Operating Systems and Servers")</f>
        <v>Operating Systems and Servers</v>
      </c>
      <c r="K102" s="140">
        <f>IFERROR(__xludf.DUMMYFUNCTION("""COMPUTED_VALUE"""),479776.0)</f>
        <v>479776</v>
      </c>
      <c r="L102" s="140" t="str">
        <f>IFERROR(__xludf.DUMMYFUNCTION("""COMPUTED_VALUE"""),"")</f>
        <v/>
      </c>
      <c r="N102" s="140" t="str">
        <f>IFERROR(__xludf.DUMMYFUNCTION("""COMPUTED_VALUE"""),"")</f>
        <v/>
      </c>
    </row>
    <row r="103">
      <c r="A103" s="143">
        <f>IFERROR(__xludf.DUMMYFUNCTION("""COMPUTED_VALUE"""),42989.0)</f>
        <v>42989</v>
      </c>
      <c r="B103" s="140">
        <f>IFERROR(__xludf.DUMMYFUNCTION("""COMPUTED_VALUE"""),491924.0)</f>
        <v>491924</v>
      </c>
      <c r="C103" s="140" t="str">
        <f>IFERROR(__xludf.DUMMYFUNCTION("""COMPUTED_VALUE"""),"#N/A")</f>
        <v>#N/A</v>
      </c>
      <c r="D103" t="str">
        <f>IFERROR(__xludf.DUMMYFUNCTION("""COMPUTED_VALUE"""),"Compaq learning")</f>
        <v>Compaq learning</v>
      </c>
      <c r="F103" t="str">
        <f>IFERROR(__xludf.DUMMYFUNCTION("""COMPUTED_VALUE"""),"491924,IT and Software,Operating Systems and Servers")</f>
        <v>491924,IT and Software,Operating Systems and Servers</v>
      </c>
      <c r="G103" t="str">
        <f>IFERROR(__xludf.DUMMYFUNCTION("""COMPUTED_VALUE"""),"Y")</f>
        <v>Y</v>
      </c>
      <c r="H103" t="str">
        <f>IFERROR(__xludf.DUMMYFUNCTION("""COMPUTED_VALUE"""),"Below Quality Standards + Outdated")</f>
        <v>Below Quality Standards + Outdated</v>
      </c>
      <c r="I103" t="str">
        <f>IFERROR(__xludf.DUMMYFUNCTION("""COMPUTED_VALUE"""),"IT and Software")</f>
        <v>IT and Software</v>
      </c>
      <c r="J103" t="str">
        <f>IFERROR(__xludf.DUMMYFUNCTION("""COMPUTED_VALUE"""),"Operating Systems and Servers")</f>
        <v>Operating Systems and Servers</v>
      </c>
      <c r="K103" s="140">
        <f>IFERROR(__xludf.DUMMYFUNCTION("""COMPUTED_VALUE"""),742114.0)</f>
        <v>742114</v>
      </c>
      <c r="L103" s="140" t="str">
        <f>IFERROR(__xludf.DUMMYFUNCTION("""COMPUTED_VALUE"""),"")</f>
        <v/>
      </c>
      <c r="M103" s="140">
        <f>IFERROR(__xludf.DUMMYFUNCTION("""COMPUTED_VALUE"""),959128.0)</f>
        <v>959128</v>
      </c>
      <c r="N103" s="140" t="str">
        <f>IFERROR(__xludf.DUMMYFUNCTION("""COMPUTED_VALUE"""),"")</f>
        <v/>
      </c>
      <c r="O103" s="140">
        <f>IFERROR(__xludf.DUMMYFUNCTION("""COMPUTED_VALUE"""),513244.0)</f>
        <v>513244</v>
      </c>
      <c r="P103" t="str">
        <f>IFERROR(__xludf.DUMMYFUNCTION("""COMPUTED_VALUE"""),"Data Science A-Z™: Real-Life Data Science Exercises Included")</f>
        <v>Data Science A-Z™: Real-Life Data Science Exercises Included</v>
      </c>
      <c r="R103" t="str">
        <f>IFERROR(__xludf.DUMMYFUNCTION("""COMPUTED_VALUE"""),"Marketing")</f>
        <v>Marketing</v>
      </c>
      <c r="S103" s="143" t="str">
        <f>IFERROR(__xludf.DUMMYFUNCTION("""COMPUTED_VALUE"""),"Social Media Marketing")</f>
        <v>Social Media Marketing</v>
      </c>
    </row>
    <row r="104">
      <c r="A104" s="143">
        <f>IFERROR(__xludf.DUMMYFUNCTION("""COMPUTED_VALUE"""),42989.0)</f>
        <v>42989</v>
      </c>
      <c r="B104" s="140">
        <f>IFERROR(__xludf.DUMMYFUNCTION("""COMPUTED_VALUE"""),355218.0)</f>
        <v>355218</v>
      </c>
      <c r="C104" s="140" t="str">
        <f>IFERROR(__xludf.DUMMYFUNCTION("""COMPUTED_VALUE"""),"#N/A")</f>
        <v>#N/A</v>
      </c>
      <c r="D104" t="str">
        <f>IFERROR(__xludf.DUMMYFUNCTION("""COMPUTED_VALUE"""),"Packt Publishing")</f>
        <v>Packt Publishing</v>
      </c>
      <c r="F104" t="str">
        <f>IFERROR(__xludf.DUMMYFUNCTION("""COMPUTED_VALUE"""),"355218,IT and Software,Operating Systems and Servers")</f>
        <v>355218,IT and Software,Operating Systems and Servers</v>
      </c>
      <c r="G104" t="str">
        <f>IFERROR(__xludf.DUMMYFUNCTION("""COMPUTED_VALUE"""),"Y")</f>
        <v>Y</v>
      </c>
      <c r="H104" t="str">
        <f>IFERROR(__xludf.DUMMYFUNCTION("""COMPUTED_VALUE"""),"Below Quality Standards")</f>
        <v>Below Quality Standards</v>
      </c>
      <c r="I104" t="str">
        <f>IFERROR(__xludf.DUMMYFUNCTION("""COMPUTED_VALUE"""),"IT and Software")</f>
        <v>IT and Software</v>
      </c>
      <c r="J104" t="str">
        <f>IFERROR(__xludf.DUMMYFUNCTION("""COMPUTED_VALUE"""),"Operating Systems and Servers")</f>
        <v>Operating Systems and Servers</v>
      </c>
      <c r="L104" s="140" t="str">
        <f>IFERROR(__xludf.DUMMYFUNCTION("""COMPUTED_VALUE"""),"")</f>
        <v/>
      </c>
      <c r="N104" s="140" t="str">
        <f>IFERROR(__xludf.DUMMYFUNCTION("""COMPUTED_VALUE"""),"")</f>
        <v/>
      </c>
    </row>
    <row r="105">
      <c r="A105" s="143">
        <f>IFERROR(__xludf.DUMMYFUNCTION("""COMPUTED_VALUE"""),42989.0)</f>
        <v>42989</v>
      </c>
      <c r="B105" s="140">
        <f>IFERROR(__xludf.DUMMYFUNCTION("""COMPUTED_VALUE"""),544082.0)</f>
        <v>544082</v>
      </c>
      <c r="C105" s="140" t="str">
        <f>IFERROR(__xludf.DUMMYFUNCTION("""COMPUTED_VALUE"""),"#N/A")</f>
        <v>#N/A</v>
      </c>
      <c r="D105" t="str">
        <f>IFERROR(__xludf.DUMMYFUNCTION("""COMPUTED_VALUE"""),"Pilar Orti")</f>
        <v>Pilar Orti</v>
      </c>
      <c r="F105" t="str">
        <f>IFERROR(__xludf.DUMMYFUNCTION("""COMPUTED_VALUE"""),"544082,Management,Leadership")</f>
        <v>544082,Management,Leadership</v>
      </c>
      <c r="G105" t="str">
        <f>IFERROR(__xludf.DUMMYFUNCTION("""COMPUTED_VALUE"""),"Y")</f>
        <v>Y</v>
      </c>
      <c r="H105" t="str">
        <f>IFERROR(__xludf.DUMMYFUNCTION("""COMPUTED_VALUE"""),"Instructor Request")</f>
        <v>Instructor Request</v>
      </c>
      <c r="I105" t="str">
        <f>IFERROR(__xludf.DUMMYFUNCTION("""COMPUTED_VALUE"""),"Management")</f>
        <v>Management</v>
      </c>
      <c r="J105" t="str">
        <f>IFERROR(__xludf.DUMMYFUNCTION("""COMPUTED_VALUE"""),"Leadership")</f>
        <v>Leadership</v>
      </c>
      <c r="K105" s="140">
        <f>IFERROR(__xludf.DUMMYFUNCTION("""COMPUTED_VALUE"""),481148.0)</f>
        <v>481148</v>
      </c>
      <c r="L105" s="140" t="str">
        <f>IFERROR(__xludf.DUMMYFUNCTION("""COMPUTED_VALUE"""),"")</f>
        <v/>
      </c>
      <c r="N105" s="140" t="str">
        <f>IFERROR(__xludf.DUMMYFUNCTION("""COMPUTED_VALUE"""),"")</f>
        <v/>
      </c>
      <c r="R105" t="str">
        <f>IFERROR(__xludf.DUMMYFUNCTION("""COMPUTED_VALUE"""),"Management")</f>
        <v>Management</v>
      </c>
      <c r="S105" s="143" t="str">
        <f>IFERROR(__xludf.DUMMYFUNCTION("""COMPUTED_VALUE"""),"Communication")</f>
        <v>Communication</v>
      </c>
    </row>
    <row r="106">
      <c r="A106" s="143">
        <f>IFERROR(__xludf.DUMMYFUNCTION("""COMPUTED_VALUE"""),42989.0)</f>
        <v>42989</v>
      </c>
      <c r="B106" s="140">
        <f>IFERROR(__xludf.DUMMYFUNCTION("""COMPUTED_VALUE"""),452230.0)</f>
        <v>452230</v>
      </c>
      <c r="C106" s="140" t="str">
        <f>IFERROR(__xludf.DUMMYFUNCTION("""COMPUTED_VALUE"""),"#N/A")</f>
        <v>#N/A</v>
      </c>
      <c r="D106" t="str">
        <f>IFERROR(__xludf.DUMMYFUNCTION("""COMPUTED_VALUE"""),"Dr. Chad Neuman")</f>
        <v>Dr. Chad Neuman</v>
      </c>
      <c r="F106" t="str">
        <f>IFERROR(__xludf.DUMMYFUNCTION("""COMPUTED_VALUE"""),"452230,Management,Network and Security")</f>
        <v>452230,Management,Network and Security</v>
      </c>
      <c r="G106" t="str">
        <f>IFERROR(__xludf.DUMMYFUNCTION("""COMPUTED_VALUE"""),"Y")</f>
        <v>Y</v>
      </c>
      <c r="H106" t="str">
        <f>IFERROR(__xludf.DUMMYFUNCTION("""COMPUTED_VALUE"""),"Instructor Request")</f>
        <v>Instructor Request</v>
      </c>
      <c r="I106" t="str">
        <f>IFERROR(__xludf.DUMMYFUNCTION("""COMPUTED_VALUE"""),"Management")</f>
        <v>Management</v>
      </c>
      <c r="J106" t="str">
        <f>IFERROR(__xludf.DUMMYFUNCTION("""COMPUTED_VALUE"""),"Network and Security")</f>
        <v>Network and Security</v>
      </c>
      <c r="K106" s="140">
        <f>IFERROR(__xludf.DUMMYFUNCTION("""COMPUTED_VALUE"""),806626.0)</f>
        <v>806626</v>
      </c>
      <c r="L106" s="140" t="str">
        <f>IFERROR(__xludf.DUMMYFUNCTION("""COMPUTED_VALUE"""),"")</f>
        <v/>
      </c>
      <c r="N106" s="140" t="str">
        <f>IFERROR(__xludf.DUMMYFUNCTION("""COMPUTED_VALUE"""),"")</f>
        <v/>
      </c>
    </row>
    <row r="107">
      <c r="A107" s="143">
        <f>IFERROR(__xludf.DUMMYFUNCTION("""COMPUTED_VALUE"""),42989.0)</f>
        <v>42989</v>
      </c>
      <c r="B107" s="140">
        <f>IFERROR(__xludf.DUMMYFUNCTION("""COMPUTED_VALUE"""),442738.0)</f>
        <v>442738</v>
      </c>
      <c r="C107" s="140" t="str">
        <f>IFERROR(__xludf.DUMMYFUNCTION("""COMPUTED_VALUE"""),"#N/A")</f>
        <v>#N/A</v>
      </c>
      <c r="D107" t="str">
        <f>IFERROR(__xludf.DUMMYFUNCTION("""COMPUTED_VALUE"""),"Simon Sez IT")</f>
        <v>Simon Sez IT</v>
      </c>
      <c r="F107" t="str">
        <f>IFERROR(__xludf.DUMMYFUNCTION("""COMPUTED_VALUE"""),"442738,Office Productivity,Collaboration")</f>
        <v>442738,Office Productivity,Collaboration</v>
      </c>
      <c r="G107" t="str">
        <f>IFERROR(__xludf.DUMMYFUNCTION("""COMPUTED_VALUE"""),"Y")</f>
        <v>Y</v>
      </c>
      <c r="H107" t="str">
        <f>IFERROR(__xludf.DUMMYFUNCTION("""COMPUTED_VALUE"""),"Below Quality Standards")</f>
        <v>Below Quality Standards</v>
      </c>
      <c r="I107" t="str">
        <f>IFERROR(__xludf.DUMMYFUNCTION("""COMPUTED_VALUE"""),"Office Productivity")</f>
        <v>Office Productivity</v>
      </c>
      <c r="J107" t="str">
        <f>IFERROR(__xludf.DUMMYFUNCTION("""COMPUTED_VALUE"""),"Collaboration")</f>
        <v>Collaboration</v>
      </c>
      <c r="K107" s="140">
        <f>IFERROR(__xludf.DUMMYFUNCTION("""COMPUTED_VALUE"""),442474.0)</f>
        <v>442474</v>
      </c>
      <c r="L107" s="140" t="str">
        <f>IFERROR(__xludf.DUMMYFUNCTION("""COMPUTED_VALUE"""),"")</f>
        <v/>
      </c>
      <c r="N107" s="140" t="str">
        <f>IFERROR(__xludf.DUMMYFUNCTION("""COMPUTED_VALUE"""),"")</f>
        <v/>
      </c>
    </row>
    <row r="108">
      <c r="A108" s="143">
        <f>IFERROR(__xludf.DUMMYFUNCTION("""COMPUTED_VALUE"""),42989.0)</f>
        <v>42989</v>
      </c>
      <c r="B108" s="140">
        <f>IFERROR(__xludf.DUMMYFUNCTION("""COMPUTED_VALUE"""),243966.0)</f>
        <v>243966</v>
      </c>
      <c r="C108" s="140" t="str">
        <f>IFERROR(__xludf.DUMMYFUNCTION("""COMPUTED_VALUE"""),"#N/A")</f>
        <v>#N/A</v>
      </c>
      <c r="D108" t="str">
        <f>IFERROR(__xludf.DUMMYFUNCTION("""COMPUTED_VALUE"""),"Simon Sez IT")</f>
        <v>Simon Sez IT</v>
      </c>
      <c r="F108" t="str">
        <f>IFERROR(__xludf.DUMMYFUNCTION("""COMPUTED_VALUE"""),"243966,Office Productivity,Collaboration")</f>
        <v>243966,Office Productivity,Collaboration</v>
      </c>
      <c r="G108" t="str">
        <f>IFERROR(__xludf.DUMMYFUNCTION("""COMPUTED_VALUE"""),"Y")</f>
        <v>Y</v>
      </c>
      <c r="H108" t="str">
        <f>IFERROR(__xludf.DUMMYFUNCTION("""COMPUTED_VALUE"""),"Redundant + low usage")</f>
        <v>Redundant + low usage</v>
      </c>
      <c r="I108" t="str">
        <f>IFERROR(__xludf.DUMMYFUNCTION("""COMPUTED_VALUE"""),"Office Productivity")</f>
        <v>Office Productivity</v>
      </c>
      <c r="J108" t="str">
        <f>IFERROR(__xludf.DUMMYFUNCTION("""COMPUTED_VALUE"""),"Collaboration")</f>
        <v>Collaboration</v>
      </c>
      <c r="K108" s="140">
        <f>IFERROR(__xludf.DUMMYFUNCTION("""COMPUTED_VALUE"""),442474.0)</f>
        <v>442474</v>
      </c>
      <c r="L108" s="140" t="str">
        <f>IFERROR(__xludf.DUMMYFUNCTION("""COMPUTED_VALUE"""),"")</f>
        <v/>
      </c>
      <c r="N108" s="140" t="str">
        <f>IFERROR(__xludf.DUMMYFUNCTION("""COMPUTED_VALUE"""),"")</f>
        <v/>
      </c>
    </row>
    <row r="109">
      <c r="A109" s="143">
        <f>IFERROR(__xludf.DUMMYFUNCTION("""COMPUTED_VALUE"""),42989.0)</f>
        <v>42989</v>
      </c>
      <c r="B109" s="140">
        <f>IFERROR(__xludf.DUMMYFUNCTION("""COMPUTED_VALUE"""),171738.0)</f>
        <v>171738</v>
      </c>
      <c r="C109" s="140" t="str">
        <f>IFERROR(__xludf.DUMMYFUNCTION("""COMPUTED_VALUE"""),"#N/A")</f>
        <v>#N/A</v>
      </c>
      <c r="D109" t="str">
        <f>IFERROR(__xludf.DUMMYFUNCTION("""COMPUTED_VALUE"""),"Parallel Branch Inc")</f>
        <v>Parallel Branch Inc</v>
      </c>
      <c r="F109" t="str">
        <f>IFERROR(__xludf.DUMMYFUNCTION("""COMPUTED_VALUE"""),"171738,Office Productivity,Collaboration")</f>
        <v>171738,Office Productivity,Collaboration</v>
      </c>
      <c r="G109" t="str">
        <f>IFERROR(__xludf.DUMMYFUNCTION("""COMPUTED_VALUE"""),"Y")</f>
        <v>Y</v>
      </c>
      <c r="H109" t="str">
        <f>IFERROR(__xludf.DUMMYFUNCTION("""COMPUTED_VALUE"""),"Redundant + low usage")</f>
        <v>Redundant + low usage</v>
      </c>
      <c r="I109" t="str">
        <f>IFERROR(__xludf.DUMMYFUNCTION("""COMPUTED_VALUE"""),"Office Productivity")</f>
        <v>Office Productivity</v>
      </c>
      <c r="J109" t="str">
        <f>IFERROR(__xludf.DUMMYFUNCTION("""COMPUTED_VALUE"""),"Collaboration")</f>
        <v>Collaboration</v>
      </c>
      <c r="K109" s="140">
        <f>IFERROR(__xludf.DUMMYFUNCTION("""COMPUTED_VALUE"""),505516.0)</f>
        <v>505516</v>
      </c>
      <c r="L109" s="140" t="str">
        <f>IFERROR(__xludf.DUMMYFUNCTION("""COMPUTED_VALUE"""),"")</f>
        <v/>
      </c>
      <c r="N109" s="140" t="str">
        <f>IFERROR(__xludf.DUMMYFUNCTION("""COMPUTED_VALUE"""),"")</f>
        <v/>
      </c>
    </row>
    <row r="110">
      <c r="A110" s="143">
        <f>IFERROR(__xludf.DUMMYFUNCTION("""COMPUTED_VALUE"""),42989.0)</f>
        <v>42989</v>
      </c>
      <c r="B110" s="140">
        <f>IFERROR(__xludf.DUMMYFUNCTION("""COMPUTED_VALUE"""),251756.0)</f>
        <v>251756</v>
      </c>
      <c r="C110" s="140" t="str">
        <f>IFERROR(__xludf.DUMMYFUNCTION("""COMPUTED_VALUE"""),"#N/A")</f>
        <v>#N/A</v>
      </c>
      <c r="D110" t="str">
        <f>IFERROR(__xludf.DUMMYFUNCTION("""COMPUTED_VALUE"""),"Intellezy Trainers")</f>
        <v>Intellezy Trainers</v>
      </c>
      <c r="F110" t="str">
        <f>IFERROR(__xludf.DUMMYFUNCTION("""COMPUTED_VALUE"""),"251756,Office Productivity,Collaboration")</f>
        <v>251756,Office Productivity,Collaboration</v>
      </c>
      <c r="G110" t="str">
        <f>IFERROR(__xludf.DUMMYFUNCTION("""COMPUTED_VALUE"""),"Y")</f>
        <v>Y</v>
      </c>
      <c r="H110" t="str">
        <f>IFERROR(__xludf.DUMMYFUNCTION("""COMPUTED_VALUE"""),"Redundant + low usage")</f>
        <v>Redundant + low usage</v>
      </c>
      <c r="I110" t="str">
        <f>IFERROR(__xludf.DUMMYFUNCTION("""COMPUTED_VALUE"""),"Office Productivity")</f>
        <v>Office Productivity</v>
      </c>
      <c r="J110" t="str">
        <f>IFERROR(__xludf.DUMMYFUNCTION("""COMPUTED_VALUE"""),"Collaboration")</f>
        <v>Collaboration</v>
      </c>
      <c r="K110" s="140">
        <f>IFERROR(__xludf.DUMMYFUNCTION("""COMPUTED_VALUE"""),442474.0)</f>
        <v>442474</v>
      </c>
      <c r="L110" s="140" t="str">
        <f>IFERROR(__xludf.DUMMYFUNCTION("""COMPUTED_VALUE"""),"")</f>
        <v/>
      </c>
      <c r="N110" s="140" t="str">
        <f>IFERROR(__xludf.DUMMYFUNCTION("""COMPUTED_VALUE"""),"")</f>
        <v/>
      </c>
    </row>
    <row r="111">
      <c r="A111" s="143">
        <f>IFERROR(__xludf.DUMMYFUNCTION("""COMPUTED_VALUE"""),42965.0)</f>
        <v>42965</v>
      </c>
      <c r="B111" s="140">
        <f>IFERROR(__xludf.DUMMYFUNCTION("""COMPUTED_VALUE"""),1125896.0)</f>
        <v>1125896</v>
      </c>
      <c r="C111" s="140" t="str">
        <f>IFERROR(__xludf.DUMMYFUNCTION("""COMPUTED_VALUE"""),"#N/A")</f>
        <v>#N/A</v>
      </c>
      <c r="D111" t="str">
        <f>IFERROR(__xludf.DUMMYFUNCTION("""COMPUTED_VALUE"""),"Seth Godin")</f>
        <v>Seth Godin</v>
      </c>
      <c r="E111" t="str">
        <f>IFERROR(__xludf.DUMMYFUNCTION("""COMPUTED_VALUE"""),"N/A")</f>
        <v>N/A</v>
      </c>
      <c r="F111" t="str">
        <f>IFERROR(__xludf.DUMMYFUNCTION("""COMPUTED_VALUE"""),"1125896,Marketing,Marketing Fundamentals")</f>
        <v>1125896,Marketing,Marketing Fundamentals</v>
      </c>
      <c r="G111" t="str">
        <f>IFERROR(__xludf.DUMMYFUNCTION("""COMPUTED_VALUE"""),"Y")</f>
        <v>Y</v>
      </c>
      <c r="H111" t="str">
        <f>IFERROR(__xludf.DUMMYFUNCTION("""COMPUTED_VALUE"""),"Instructor Request")</f>
        <v>Instructor Request</v>
      </c>
      <c r="I111" t="str">
        <f>IFERROR(__xludf.DUMMYFUNCTION("""COMPUTED_VALUE"""),"Marketing")</f>
        <v>Marketing</v>
      </c>
      <c r="J111" t="str">
        <f>IFERROR(__xludf.DUMMYFUNCTION("""COMPUTED_VALUE"""),"Marketing Fundamentals")</f>
        <v>Marketing Fundamentals</v>
      </c>
      <c r="K111" s="140">
        <f>IFERROR(__xludf.DUMMYFUNCTION("""COMPUTED_VALUE"""),332662.0)</f>
        <v>332662</v>
      </c>
      <c r="L111" s="140" t="str">
        <f>IFERROR(__xludf.DUMMYFUNCTION("""COMPUTED_VALUE"""),"")</f>
        <v/>
      </c>
      <c r="N111" s="140" t="str">
        <f>IFERROR(__xludf.DUMMYFUNCTION("""COMPUTED_VALUE"""),"")</f>
        <v/>
      </c>
    </row>
    <row r="112">
      <c r="A112" s="143">
        <f>IFERROR(__xludf.DUMMYFUNCTION("""COMPUTED_VALUE"""),42951.0)</f>
        <v>42951</v>
      </c>
      <c r="B112" s="140">
        <f>IFERROR(__xludf.DUMMYFUNCTION("""COMPUTED_VALUE"""),985690.0)</f>
        <v>985690</v>
      </c>
      <c r="C112" s="140" t="str">
        <f>IFERROR(__xludf.DUMMYFUNCTION("""COMPUTED_VALUE"""),"#N/A")</f>
        <v>#N/A</v>
      </c>
      <c r="D112" t="str">
        <f>IFERROR(__xludf.DUMMYFUNCTION("""COMPUTED_VALUE"""),"Roland Costea")</f>
        <v>Roland Costea</v>
      </c>
      <c r="E112" t="str">
        <f>IFERROR(__xludf.DUMMYFUNCTION("""COMPUTED_VALUE"""),"Y")</f>
        <v>Y</v>
      </c>
      <c r="F112" t="str">
        <f>IFERROR(__xludf.DUMMYFUNCTION("""COMPUTED_VALUE"""),"985690,IT and Software,Network and Security")</f>
        <v>985690,IT and Software,Network and Security</v>
      </c>
      <c r="G112" t="str">
        <f>IFERROR(__xludf.DUMMYFUNCTION("""COMPUTED_VALUE"""),"Y")</f>
        <v>Y</v>
      </c>
      <c r="H112" t="str">
        <f>IFERROR(__xludf.DUMMYFUNCTION("""COMPUTED_VALUE"""),"Copyright Violation")</f>
        <v>Copyright Violation</v>
      </c>
      <c r="I112" t="str">
        <f>IFERROR(__xludf.DUMMYFUNCTION("""COMPUTED_VALUE"""),"IT and Software")</f>
        <v>IT and Software</v>
      </c>
      <c r="J112" t="str">
        <f>IFERROR(__xludf.DUMMYFUNCTION("""COMPUTED_VALUE"""),"Network and Security")</f>
        <v>Network and Security</v>
      </c>
      <c r="L112" s="140" t="str">
        <f>IFERROR(__xludf.DUMMYFUNCTION("""COMPUTED_VALUE"""),"")</f>
        <v/>
      </c>
      <c r="N112" s="140" t="str">
        <f>IFERROR(__xludf.DUMMYFUNCTION("""COMPUTED_VALUE"""),"")</f>
        <v/>
      </c>
    </row>
    <row r="113">
      <c r="A113" s="143">
        <f>IFERROR(__xludf.DUMMYFUNCTION("""COMPUTED_VALUE"""),42947.0)</f>
        <v>42947</v>
      </c>
      <c r="B113" s="140">
        <f>IFERROR(__xludf.DUMMYFUNCTION("""COMPUTED_VALUE"""),33215.0)</f>
        <v>33215</v>
      </c>
      <c r="C113" s="140" t="str">
        <f>IFERROR(__xludf.DUMMYFUNCTION("""COMPUTED_VALUE"""),"#N/A")</f>
        <v>#N/A</v>
      </c>
      <c r="D113" t="str">
        <f>IFERROR(__xludf.DUMMYFUNCTION("""COMPUTED_VALUE"""),"Tim Chartier")</f>
        <v>Tim Chartier</v>
      </c>
      <c r="E113" t="str">
        <f>IFERROR(__xludf.DUMMYFUNCTION("""COMPUTED_VALUE"""),"Y")</f>
        <v>Y</v>
      </c>
      <c r="F113" t="str">
        <f>IFERROR(__xludf.DUMMYFUNCTION("""COMPUTED_VALUE"""),"33215,Data Science,Analytics")</f>
        <v>33215,Data Science,Analytics</v>
      </c>
      <c r="G113" t="str">
        <f>IFERROR(__xludf.DUMMYFUNCTION("""COMPUTED_VALUE"""),"Y")</f>
        <v>Y</v>
      </c>
      <c r="H113" t="str">
        <f>IFERROR(__xludf.DUMMYFUNCTION("""COMPUTED_VALUE"""),"Instructor Opted Out -- never accepted new Terms")</f>
        <v>Instructor Opted Out -- never accepted new Terms</v>
      </c>
      <c r="I113" t="str">
        <f>IFERROR(__xludf.DUMMYFUNCTION("""COMPUTED_VALUE"""),"Data Science")</f>
        <v>Data Science</v>
      </c>
      <c r="J113" t="str">
        <f>IFERROR(__xludf.DUMMYFUNCTION("""COMPUTED_VALUE"""),"Analytics")</f>
        <v>Analytics</v>
      </c>
      <c r="K113" s="140">
        <f>IFERROR(__xludf.DUMMYFUNCTION("""COMPUTED_VALUE"""),116286.0)</f>
        <v>116286</v>
      </c>
      <c r="L113" s="140" t="str">
        <f>IFERROR(__xludf.DUMMYFUNCTION("""COMPUTED_VALUE"""),"")</f>
        <v/>
      </c>
      <c r="N113" s="140" t="str">
        <f>IFERROR(__xludf.DUMMYFUNCTION("""COMPUTED_VALUE"""),"")</f>
        <v/>
      </c>
    </row>
    <row r="114">
      <c r="A114" s="143">
        <f>IFERROR(__xludf.DUMMYFUNCTION("""COMPUTED_VALUE"""),42947.0)</f>
        <v>42947</v>
      </c>
      <c r="B114" s="140">
        <f>IFERROR(__xludf.DUMMYFUNCTION("""COMPUTED_VALUE"""),747292.0)</f>
        <v>747292</v>
      </c>
      <c r="C114" s="140" t="str">
        <f>IFERROR(__xludf.DUMMYFUNCTION("""COMPUTED_VALUE"""),"#N/A")</f>
        <v>#N/A</v>
      </c>
      <c r="D114" t="str">
        <f>IFERROR(__xludf.DUMMYFUNCTION("""COMPUTED_VALUE"""),"Vertechs .IO")</f>
        <v>Vertechs .IO</v>
      </c>
      <c r="E114" t="str">
        <f>IFERROR(__xludf.DUMMYFUNCTION("""COMPUTED_VALUE"""),"Y")</f>
        <v>Y</v>
      </c>
      <c r="F114" t="str">
        <f>IFERROR(__xludf.DUMMYFUNCTION("""COMPUTED_VALUE"""),"747292,Data Science,Analytics")</f>
        <v>747292,Data Science,Analytics</v>
      </c>
      <c r="G114" t="str">
        <f>IFERROR(__xludf.DUMMYFUNCTION("""COMPUTED_VALUE"""),"Y")</f>
        <v>Y</v>
      </c>
      <c r="H114" t="str">
        <f>IFERROR(__xludf.DUMMYFUNCTION("""COMPUTED_VALUE"""),"Instructor Opted Out")</f>
        <v>Instructor Opted Out</v>
      </c>
      <c r="I114" t="str">
        <f>IFERROR(__xludf.DUMMYFUNCTION("""COMPUTED_VALUE"""),"Data Science")</f>
        <v>Data Science</v>
      </c>
      <c r="J114" t="str">
        <f>IFERROR(__xludf.DUMMYFUNCTION("""COMPUTED_VALUE"""),"Analytics")</f>
        <v>Analytics</v>
      </c>
      <c r="L114" s="140" t="str">
        <f>IFERROR(__xludf.DUMMYFUNCTION("""COMPUTED_VALUE"""),"")</f>
        <v/>
      </c>
      <c r="N114" s="140" t="str">
        <f>IFERROR(__xludf.DUMMYFUNCTION("""COMPUTED_VALUE"""),"")</f>
        <v/>
      </c>
    </row>
    <row r="115">
      <c r="A115" s="143">
        <f>IFERROR(__xludf.DUMMYFUNCTION("""COMPUTED_VALUE"""),42947.0)</f>
        <v>42947</v>
      </c>
      <c r="B115" s="140">
        <f>IFERROR(__xludf.DUMMYFUNCTION("""COMPUTED_VALUE"""),16170.0)</f>
        <v>16170</v>
      </c>
      <c r="C115" s="140" t="str">
        <f>IFERROR(__xludf.DUMMYFUNCTION("""COMPUTED_VALUE"""),"#N/A")</f>
        <v>#N/A</v>
      </c>
      <c r="D115" t="str">
        <f>IFERROR(__xludf.DUMMYFUNCTION("""COMPUTED_VALUE"""),"Tim Chartier")</f>
        <v>Tim Chartier</v>
      </c>
      <c r="E115" t="str">
        <f>IFERROR(__xludf.DUMMYFUNCTION("""COMPUTED_VALUE"""),"Y")</f>
        <v>Y</v>
      </c>
      <c r="F115" t="str">
        <f>IFERROR(__xludf.DUMMYFUNCTION("""COMPUTED_VALUE"""),"16170,Data Science,Analytics")</f>
        <v>16170,Data Science,Analytics</v>
      </c>
      <c r="G115" t="str">
        <f>IFERROR(__xludf.DUMMYFUNCTION("""COMPUTED_VALUE"""),"Y")</f>
        <v>Y</v>
      </c>
      <c r="H115" t="str">
        <f>IFERROR(__xludf.DUMMYFUNCTION("""COMPUTED_VALUE"""),"Instructor Opted Out -- never accepted new Terms")</f>
        <v>Instructor Opted Out -- never accepted new Terms</v>
      </c>
      <c r="I115" t="str">
        <f>IFERROR(__xludf.DUMMYFUNCTION("""COMPUTED_VALUE"""),"Data Science")</f>
        <v>Data Science</v>
      </c>
      <c r="J115" t="str">
        <f>IFERROR(__xludf.DUMMYFUNCTION("""COMPUTED_VALUE"""),"Analytics")</f>
        <v>Analytics</v>
      </c>
      <c r="L115" s="140" t="str">
        <f>IFERROR(__xludf.DUMMYFUNCTION("""COMPUTED_VALUE"""),"")</f>
        <v/>
      </c>
      <c r="N115" s="140" t="str">
        <f>IFERROR(__xludf.DUMMYFUNCTION("""COMPUTED_VALUE"""),"")</f>
        <v/>
      </c>
    </row>
    <row r="116">
      <c r="A116" s="143">
        <f>IFERROR(__xludf.DUMMYFUNCTION("""COMPUTED_VALUE"""),42947.0)</f>
        <v>42947</v>
      </c>
      <c r="B116" s="140">
        <f>IFERROR(__xludf.DUMMYFUNCTION("""COMPUTED_VALUE"""),550612.0)</f>
        <v>550612</v>
      </c>
      <c r="C116" s="140" t="str">
        <f>IFERROR(__xludf.DUMMYFUNCTION("""COMPUTED_VALUE"""),"#N/A")</f>
        <v>#N/A</v>
      </c>
      <c r="D116" t="str">
        <f>IFERROR(__xludf.DUMMYFUNCTION("""COMPUTED_VALUE"""),"Luke Greenacre")</f>
        <v>Luke Greenacre</v>
      </c>
      <c r="E116" t="str">
        <f>IFERROR(__xludf.DUMMYFUNCTION("""COMPUTED_VALUE"""),"Y")</f>
        <v>Y</v>
      </c>
      <c r="F116" t="str">
        <f>IFERROR(__xludf.DUMMYFUNCTION("""COMPUTED_VALUE"""),"550612,Data Science,Analytics")</f>
        <v>550612,Data Science,Analytics</v>
      </c>
      <c r="G116" t="str">
        <f>IFERROR(__xludf.DUMMYFUNCTION("""COMPUTED_VALUE"""),"Y")</f>
        <v>Y</v>
      </c>
      <c r="H116" t="str">
        <f>IFERROR(__xludf.DUMMYFUNCTION("""COMPUTED_VALUE"""),"Non-English")</f>
        <v>Non-English</v>
      </c>
      <c r="I116" t="str">
        <f>IFERROR(__xludf.DUMMYFUNCTION("""COMPUTED_VALUE"""),"Data Science")</f>
        <v>Data Science</v>
      </c>
      <c r="J116" t="str">
        <f>IFERROR(__xludf.DUMMYFUNCTION("""COMPUTED_VALUE"""),"Analytics")</f>
        <v>Analytics</v>
      </c>
      <c r="L116" s="140" t="str">
        <f>IFERROR(__xludf.DUMMYFUNCTION("""COMPUTED_VALUE"""),"")</f>
        <v/>
      </c>
      <c r="N116" s="140" t="str">
        <f>IFERROR(__xludf.DUMMYFUNCTION("""COMPUTED_VALUE"""),"")</f>
        <v/>
      </c>
    </row>
    <row r="117">
      <c r="A117" s="143">
        <f>IFERROR(__xludf.DUMMYFUNCTION("""COMPUTED_VALUE"""),42947.0)</f>
        <v>42947</v>
      </c>
      <c r="B117" s="140">
        <f>IFERROR(__xludf.DUMMYFUNCTION("""COMPUTED_VALUE"""),522140.0)</f>
        <v>522140</v>
      </c>
      <c r="C117" s="140" t="str">
        <f>IFERROR(__xludf.DUMMYFUNCTION("""COMPUTED_VALUE"""),"#N/A")</f>
        <v>#N/A</v>
      </c>
      <c r="D117" t="str">
        <f>IFERROR(__xludf.DUMMYFUNCTION("""COMPUTED_VALUE"""),"Vertechs .IO")</f>
        <v>Vertechs .IO</v>
      </c>
      <c r="E117" t="str">
        <f>IFERROR(__xludf.DUMMYFUNCTION("""COMPUTED_VALUE"""),"Y")</f>
        <v>Y</v>
      </c>
      <c r="F117" t="str">
        <f>IFERROR(__xludf.DUMMYFUNCTION("""COMPUTED_VALUE"""),"522140,Data Science,Analytics")</f>
        <v>522140,Data Science,Analytics</v>
      </c>
      <c r="G117" t="str">
        <f>IFERROR(__xludf.DUMMYFUNCTION("""COMPUTED_VALUE"""),"Y")</f>
        <v>Y</v>
      </c>
      <c r="H117" t="str">
        <f>IFERROR(__xludf.DUMMYFUNCTION("""COMPUTED_VALUE"""),"Instructor Opted Out")</f>
        <v>Instructor Opted Out</v>
      </c>
      <c r="I117" t="str">
        <f>IFERROR(__xludf.DUMMYFUNCTION("""COMPUTED_VALUE"""),"Data Science")</f>
        <v>Data Science</v>
      </c>
      <c r="J117" t="str">
        <f>IFERROR(__xludf.DUMMYFUNCTION("""COMPUTED_VALUE"""),"Analytics")</f>
        <v>Analytics</v>
      </c>
      <c r="L117" s="140" t="str">
        <f>IFERROR(__xludf.DUMMYFUNCTION("""COMPUTED_VALUE"""),"")</f>
        <v/>
      </c>
      <c r="N117" s="140" t="str">
        <f>IFERROR(__xludf.DUMMYFUNCTION("""COMPUTED_VALUE"""),"")</f>
        <v/>
      </c>
    </row>
    <row r="118">
      <c r="A118" s="143">
        <f>IFERROR(__xludf.DUMMYFUNCTION("""COMPUTED_VALUE"""),42947.0)</f>
        <v>42947</v>
      </c>
      <c r="B118" s="140">
        <f>IFERROR(__xludf.DUMMYFUNCTION("""COMPUTED_VALUE"""),614620.0)</f>
        <v>614620</v>
      </c>
      <c r="C118" s="140" t="str">
        <f>IFERROR(__xludf.DUMMYFUNCTION("""COMPUTED_VALUE"""),"#N/A")</f>
        <v>#N/A</v>
      </c>
      <c r="D118" t="str">
        <f>IFERROR(__xludf.DUMMYFUNCTION("""COMPUTED_VALUE"""),"Kirill Eremenko")</f>
        <v>Kirill Eremenko</v>
      </c>
      <c r="E118" t="str">
        <f>IFERROR(__xludf.DUMMYFUNCTION("""COMPUTED_VALUE"""),"Y")</f>
        <v>Y</v>
      </c>
      <c r="F118" t="str">
        <f>IFERROR(__xludf.DUMMYFUNCTION("""COMPUTED_VALUE"""),"614620,Data Science,Analytics")</f>
        <v>614620,Data Science,Analytics</v>
      </c>
      <c r="G118" t="str">
        <f>IFERROR(__xludf.DUMMYFUNCTION("""COMPUTED_VALUE"""),"Y")</f>
        <v>Y</v>
      </c>
      <c r="H118" t="str">
        <f>IFERROR(__xludf.DUMMYFUNCTION("""COMPUTED_VALUE"""),"Instructor Request, Updated")</f>
        <v>Instructor Request, Updated</v>
      </c>
      <c r="I118" t="str">
        <f>IFERROR(__xludf.DUMMYFUNCTION("""COMPUTED_VALUE"""),"Data Science")</f>
        <v>Data Science</v>
      </c>
      <c r="J118" t="str">
        <f>IFERROR(__xludf.DUMMYFUNCTION("""COMPUTED_VALUE"""),"Analytics")</f>
        <v>Analytics</v>
      </c>
      <c r="K118" s="140">
        <f>IFERROR(__xludf.DUMMYFUNCTION("""COMPUTED_VALUE"""),946194.0)</f>
        <v>946194</v>
      </c>
      <c r="L118" s="140" t="str">
        <f>IFERROR(__xludf.DUMMYFUNCTION("""COMPUTED_VALUE"""),"")</f>
        <v/>
      </c>
      <c r="N118" s="140" t="str">
        <f>IFERROR(__xludf.DUMMYFUNCTION("""COMPUTED_VALUE"""),"")</f>
        <v/>
      </c>
    </row>
    <row r="119">
      <c r="A119" s="143">
        <f>IFERROR(__xludf.DUMMYFUNCTION("""COMPUTED_VALUE"""),42947.0)</f>
        <v>42947</v>
      </c>
      <c r="B119" s="140">
        <f>IFERROR(__xludf.DUMMYFUNCTION("""COMPUTED_VALUE"""),527848.0)</f>
        <v>527848</v>
      </c>
      <c r="C119" s="140" t="str">
        <f>IFERROR(__xludf.DUMMYFUNCTION("""COMPUTED_VALUE"""),"#N/A")</f>
        <v>#N/A</v>
      </c>
      <c r="D119" t="str">
        <f>IFERROR(__xludf.DUMMYFUNCTION("""COMPUTED_VALUE"""),"Kirill Eremenko")</f>
        <v>Kirill Eremenko</v>
      </c>
      <c r="E119" t="str">
        <f>IFERROR(__xludf.DUMMYFUNCTION("""COMPUTED_VALUE"""),"Y")</f>
        <v>Y</v>
      </c>
      <c r="F119" t="str">
        <f>IFERROR(__xludf.DUMMYFUNCTION("""COMPUTED_VALUE"""),"527848,Data Science,Analytics")</f>
        <v>527848,Data Science,Analytics</v>
      </c>
      <c r="G119" t="str">
        <f>IFERROR(__xludf.DUMMYFUNCTION("""COMPUTED_VALUE"""),"Y")</f>
        <v>Y</v>
      </c>
      <c r="H119" t="str">
        <f>IFERROR(__xludf.DUMMYFUNCTION("""COMPUTED_VALUE"""),"Instructor Request, Updated")</f>
        <v>Instructor Request, Updated</v>
      </c>
      <c r="I119" t="str">
        <f>IFERROR(__xludf.DUMMYFUNCTION("""COMPUTED_VALUE"""),"Data Science")</f>
        <v>Data Science</v>
      </c>
      <c r="J119" t="str">
        <f>IFERROR(__xludf.DUMMYFUNCTION("""COMPUTED_VALUE"""),"Analytics")</f>
        <v>Analytics</v>
      </c>
      <c r="K119" s="140">
        <f>IFERROR(__xludf.DUMMYFUNCTION("""COMPUTED_VALUE"""),937678.0)</f>
        <v>937678</v>
      </c>
      <c r="L119" s="140" t="str">
        <f>IFERROR(__xludf.DUMMYFUNCTION("""COMPUTED_VALUE"""),"")</f>
        <v/>
      </c>
      <c r="N119" s="140" t="str">
        <f>IFERROR(__xludf.DUMMYFUNCTION("""COMPUTED_VALUE"""),"")</f>
        <v/>
      </c>
    </row>
    <row r="120">
      <c r="A120" s="143">
        <f>IFERROR(__xludf.DUMMYFUNCTION("""COMPUTED_VALUE"""),42947.0)</f>
        <v>42947</v>
      </c>
      <c r="B120" s="140">
        <f>IFERROR(__xludf.DUMMYFUNCTION("""COMPUTED_VALUE"""),898552.0)</f>
        <v>898552</v>
      </c>
      <c r="C120" s="140" t="str">
        <f>IFERROR(__xludf.DUMMYFUNCTION("""COMPUTED_VALUE"""),"#N/A")</f>
        <v>#N/A</v>
      </c>
      <c r="D120" t="str">
        <f>IFERROR(__xludf.DUMMYFUNCTION("""COMPUTED_VALUE"""),"Packt Publishing")</f>
        <v>Packt Publishing</v>
      </c>
      <c r="E120" t="str">
        <f>IFERROR(__xludf.DUMMYFUNCTION("""COMPUTED_VALUE"""),"Y")</f>
        <v>Y</v>
      </c>
      <c r="F120" t="str">
        <f>IFERROR(__xludf.DUMMYFUNCTION("""COMPUTED_VALUE"""),"898552,Data Science,Big Data")</f>
        <v>898552,Data Science,Big Data</v>
      </c>
      <c r="G120" t="str">
        <f>IFERROR(__xludf.DUMMYFUNCTION("""COMPUTED_VALUE"""),"Y")</f>
        <v>Y</v>
      </c>
      <c r="H120" t="str">
        <f>IFERROR(__xludf.DUMMYFUNCTION("""COMPUTED_VALUE"""),"Below Quality Standards")</f>
        <v>Below Quality Standards</v>
      </c>
      <c r="I120" t="str">
        <f>IFERROR(__xludf.DUMMYFUNCTION("""COMPUTED_VALUE"""),"Data Science")</f>
        <v>Data Science</v>
      </c>
      <c r="J120" t="str">
        <f>IFERROR(__xludf.DUMMYFUNCTION("""COMPUTED_VALUE"""),"Big Data")</f>
        <v>Big Data</v>
      </c>
      <c r="K120" s="140">
        <f>IFERROR(__xludf.DUMMYFUNCTION("""COMPUTED_VALUE"""),772462.0)</f>
        <v>772462</v>
      </c>
      <c r="L120" s="140" t="str">
        <f>IFERROR(__xludf.DUMMYFUNCTION("""COMPUTED_VALUE"""),"")</f>
        <v/>
      </c>
      <c r="N120" s="140" t="str">
        <f>IFERROR(__xludf.DUMMYFUNCTION("""COMPUTED_VALUE"""),"")</f>
        <v/>
      </c>
    </row>
    <row r="121">
      <c r="A121" s="143">
        <f>IFERROR(__xludf.DUMMYFUNCTION("""COMPUTED_VALUE"""),42947.0)</f>
        <v>42947</v>
      </c>
      <c r="B121" s="140">
        <f>IFERROR(__xludf.DUMMYFUNCTION("""COMPUTED_VALUE"""),368874.0)</f>
        <v>368874</v>
      </c>
      <c r="C121" s="140" t="str">
        <f>IFERROR(__xludf.DUMMYFUNCTION("""COMPUTED_VALUE"""),"#N/A")</f>
        <v>#N/A</v>
      </c>
      <c r="D121" t="str">
        <f>IFERROR(__xludf.DUMMYFUNCTION("""COMPUTED_VALUE"""),"Autodesk Education")</f>
        <v>Autodesk Education</v>
      </c>
      <c r="E121" t="str">
        <f>IFERROR(__xludf.DUMMYFUNCTION("""COMPUTED_VALUE"""),"Y")</f>
        <v>Y</v>
      </c>
      <c r="F121" t="str">
        <f>IFERROR(__xludf.DUMMYFUNCTION("""COMPUTED_VALUE"""),"368874,Design,3D and Animation")</f>
        <v>368874,Design,3D and Animation</v>
      </c>
      <c r="G121" t="str">
        <f>IFERROR(__xludf.DUMMYFUNCTION("""COMPUTED_VALUE"""),"Y")</f>
        <v>Y</v>
      </c>
      <c r="H121" t="str">
        <f>IFERROR(__xludf.DUMMYFUNCTION("""COMPUTED_VALUE"""),"Instructor Opted Out")</f>
        <v>Instructor Opted Out</v>
      </c>
      <c r="I121" t="str">
        <f>IFERROR(__xludf.DUMMYFUNCTION("""COMPUTED_VALUE"""),"Design")</f>
        <v>Design</v>
      </c>
      <c r="J121" t="str">
        <f>IFERROR(__xludf.DUMMYFUNCTION("""COMPUTED_VALUE"""),"3D and Animation")</f>
        <v>3D and Animation</v>
      </c>
      <c r="K121" s="140">
        <f>IFERROR(__xludf.DUMMYFUNCTION("""COMPUTED_VALUE"""),9513.0)</f>
        <v>9513</v>
      </c>
      <c r="L121" s="140" t="str">
        <f>IFERROR(__xludf.DUMMYFUNCTION("""COMPUTED_VALUE"""),"")</f>
        <v/>
      </c>
      <c r="N121" s="140" t="str">
        <f>IFERROR(__xludf.DUMMYFUNCTION("""COMPUTED_VALUE"""),"")</f>
        <v/>
      </c>
    </row>
    <row r="122">
      <c r="A122" s="143">
        <f>IFERROR(__xludf.DUMMYFUNCTION("""COMPUTED_VALUE"""),42947.0)</f>
        <v>42947</v>
      </c>
      <c r="B122" s="140">
        <f>IFERROR(__xludf.DUMMYFUNCTION("""COMPUTED_VALUE"""),425504.0)</f>
        <v>425504</v>
      </c>
      <c r="C122" s="140" t="str">
        <f>IFERROR(__xludf.DUMMYFUNCTION("""COMPUTED_VALUE"""),"#N/A")</f>
        <v>#N/A</v>
      </c>
      <c r="D122" t="str">
        <f>IFERROR(__xludf.DUMMYFUNCTION("""COMPUTED_VALUE"""),"Business Intelligence Guru")</f>
        <v>Business Intelligence Guru</v>
      </c>
      <c r="E122" t="str">
        <f>IFERROR(__xludf.DUMMYFUNCTION("""COMPUTED_VALUE"""),"Y")</f>
        <v>Y</v>
      </c>
      <c r="F122" t="str">
        <f>IFERROR(__xludf.DUMMYFUNCTION("""COMPUTED_VALUE"""),"425504,Development,Databases")</f>
        <v>425504,Development,Databases</v>
      </c>
      <c r="G122" t="str">
        <f>IFERROR(__xludf.DUMMYFUNCTION("""COMPUTED_VALUE"""),"Y")</f>
        <v>Y</v>
      </c>
      <c r="H122" t="str">
        <f>IFERROR(__xludf.DUMMYFUNCTION("""COMPUTED_VALUE"""),"Below Quality Standards")</f>
        <v>Below Quality Standards</v>
      </c>
      <c r="I122" t="str">
        <f>IFERROR(__xludf.DUMMYFUNCTION("""COMPUTED_VALUE"""),"Development")</f>
        <v>Development</v>
      </c>
      <c r="J122" t="str">
        <f>IFERROR(__xludf.DUMMYFUNCTION("""COMPUTED_VALUE"""),"Databases")</f>
        <v>Databases</v>
      </c>
      <c r="K122" s="140">
        <f>IFERROR(__xludf.DUMMYFUNCTION("""COMPUTED_VALUE"""),905246.0)</f>
        <v>905246</v>
      </c>
      <c r="L122" s="140" t="str">
        <f>IFERROR(__xludf.DUMMYFUNCTION("""COMPUTED_VALUE"""),"")</f>
        <v/>
      </c>
      <c r="N122" s="140" t="str">
        <f>IFERROR(__xludf.DUMMYFUNCTION("""COMPUTED_VALUE"""),"")</f>
        <v/>
      </c>
      <c r="R122" t="str">
        <f>IFERROR(__xludf.DUMMYFUNCTION("""COMPUTED_VALUE"""),"IT and Software")</f>
        <v>IT and Software</v>
      </c>
      <c r="S122" s="143" t="str">
        <f>IFERROR(__xludf.DUMMYFUNCTION("""COMPUTED_VALUE"""),"Databases")</f>
        <v>Databases</v>
      </c>
    </row>
    <row r="123">
      <c r="A123" s="143">
        <f>IFERROR(__xludf.DUMMYFUNCTION("""COMPUTED_VALUE"""),42947.0)</f>
        <v>42947</v>
      </c>
      <c r="B123" s="140">
        <f>IFERROR(__xludf.DUMMYFUNCTION("""COMPUTED_VALUE"""),260766.0)</f>
        <v>260766</v>
      </c>
      <c r="C123" s="140" t="str">
        <f>IFERROR(__xludf.DUMMYFUNCTION("""COMPUTED_VALUE"""),"#N/A")</f>
        <v>#N/A</v>
      </c>
      <c r="D123" t="str">
        <f>IFERROR(__xludf.DUMMYFUNCTION("""COMPUTED_VALUE"""),"QAEversity .")</f>
        <v>QAEversity .</v>
      </c>
      <c r="E123" t="str">
        <f>IFERROR(__xludf.DUMMYFUNCTION("""COMPUTED_VALUE"""),"Y")</f>
        <v>Y</v>
      </c>
      <c r="F123" t="str">
        <f>IFERROR(__xludf.DUMMYFUNCTION("""COMPUTED_VALUE"""),"260766,Development,Development Tools")</f>
        <v>260766,Development,Development Tools</v>
      </c>
      <c r="G123" t="str">
        <f>IFERROR(__xludf.DUMMYFUNCTION("""COMPUTED_VALUE"""),"Y")</f>
        <v>Y</v>
      </c>
      <c r="H123" t="str">
        <f>IFERROR(__xludf.DUMMYFUNCTION("""COMPUTED_VALUE"""),"Below Quality Standards")</f>
        <v>Below Quality Standards</v>
      </c>
      <c r="I123" t="str">
        <f>IFERROR(__xludf.DUMMYFUNCTION("""COMPUTED_VALUE"""),"Development")</f>
        <v>Development</v>
      </c>
      <c r="J123" t="str">
        <f>IFERROR(__xludf.DUMMYFUNCTION("""COMPUTED_VALUE"""),"Development Tools")</f>
        <v>Development Tools</v>
      </c>
      <c r="K123" s="140">
        <f>IFERROR(__xludf.DUMMYFUNCTION("""COMPUTED_VALUE"""),375054.0)</f>
        <v>375054</v>
      </c>
      <c r="L123" s="140" t="str">
        <f>IFERROR(__xludf.DUMMYFUNCTION("""COMPUTED_VALUE"""),"")</f>
        <v/>
      </c>
      <c r="N123" s="140" t="str">
        <f>IFERROR(__xludf.DUMMYFUNCTION("""COMPUTED_VALUE"""),"")</f>
        <v/>
      </c>
    </row>
    <row r="124">
      <c r="A124" s="143">
        <f>IFERROR(__xludf.DUMMYFUNCTION("""COMPUTED_VALUE"""),42947.0)</f>
        <v>42947</v>
      </c>
      <c r="B124" s="140">
        <f>IFERROR(__xludf.DUMMYFUNCTION("""COMPUTED_VALUE"""),989854.0)</f>
        <v>989854</v>
      </c>
      <c r="C124" s="140" t="str">
        <f>IFERROR(__xludf.DUMMYFUNCTION("""COMPUTED_VALUE"""),"#N/A")</f>
        <v>#N/A</v>
      </c>
      <c r="D124" t="str">
        <f>IFERROR(__xludf.DUMMYFUNCTION("""COMPUTED_VALUE"""),"Ben Tristem")</f>
        <v>Ben Tristem</v>
      </c>
      <c r="E124" t="str">
        <f>IFERROR(__xludf.DUMMYFUNCTION("""COMPUTED_VALUE"""),"Y")</f>
        <v>Y</v>
      </c>
      <c r="F124" t="str">
        <f>IFERROR(__xludf.DUMMYFUNCTION("""COMPUTED_VALUE"""),"989854,Development,Mobile Development")</f>
        <v>989854,Development,Mobile Development</v>
      </c>
      <c r="G124" t="str">
        <f>IFERROR(__xludf.DUMMYFUNCTION("""COMPUTED_VALUE"""),"Y")</f>
        <v>Y</v>
      </c>
      <c r="H124" t="str">
        <f>IFERROR(__xludf.DUMMYFUNCTION("""COMPUTED_VALUE"""),"Instructor Request")</f>
        <v>Instructor Request</v>
      </c>
      <c r="I124" t="str">
        <f>IFERROR(__xludf.DUMMYFUNCTION("""COMPUTED_VALUE"""),"Development")</f>
        <v>Development</v>
      </c>
      <c r="J124" t="str">
        <f>IFERROR(__xludf.DUMMYFUNCTION("""COMPUTED_VALUE"""),"Mobile Development")</f>
        <v>Mobile Development</v>
      </c>
      <c r="K124" s="140">
        <f>IFERROR(__xludf.DUMMYFUNCTION("""COMPUTED_VALUE"""),438522.0)</f>
        <v>438522</v>
      </c>
      <c r="L124" s="140" t="str">
        <f>IFERROR(__xludf.DUMMYFUNCTION("""COMPUTED_VALUE"""),"")</f>
        <v/>
      </c>
      <c r="N124" s="140" t="str">
        <f>IFERROR(__xludf.DUMMYFUNCTION("""COMPUTED_VALUE"""),"")</f>
        <v/>
      </c>
    </row>
    <row r="125">
      <c r="A125" s="143">
        <f>IFERROR(__xludf.DUMMYFUNCTION("""COMPUTED_VALUE"""),42947.0)</f>
        <v>42947</v>
      </c>
      <c r="B125" s="140">
        <f>IFERROR(__xludf.DUMMYFUNCTION("""COMPUTED_VALUE"""),99274.0)</f>
        <v>99274</v>
      </c>
      <c r="C125" s="140" t="str">
        <f>IFERROR(__xludf.DUMMYFUNCTION("""COMPUTED_VALUE"""),"#N/A")</f>
        <v>#N/A</v>
      </c>
      <c r="D125" t="str">
        <f>IFERROR(__xludf.DUMMYFUNCTION("""COMPUTED_VALUE"""),"Adam Bertram")</f>
        <v>Adam Bertram</v>
      </c>
      <c r="E125" t="str">
        <f>IFERROR(__xludf.DUMMYFUNCTION("""COMPUTED_VALUE"""),"Y")</f>
        <v>Y</v>
      </c>
      <c r="F125" t="str">
        <f>IFERROR(__xludf.DUMMYFUNCTION("""COMPUTED_VALUE"""),"99274,Development,Programming")</f>
        <v>99274,Development,Programming</v>
      </c>
      <c r="G125" t="str">
        <f>IFERROR(__xludf.DUMMYFUNCTION("""COMPUTED_VALUE"""),"Y")</f>
        <v>Y</v>
      </c>
      <c r="H125" t="str">
        <f>IFERROR(__xludf.DUMMYFUNCTION("""COMPUTED_VALUE"""),"Below Quality Standards")</f>
        <v>Below Quality Standards</v>
      </c>
      <c r="I125" t="str">
        <f>IFERROR(__xludf.DUMMYFUNCTION("""COMPUTED_VALUE"""),"Development")</f>
        <v>Development</v>
      </c>
      <c r="J125" t="str">
        <f>IFERROR(__xludf.DUMMYFUNCTION("""COMPUTED_VALUE"""),"Programming")</f>
        <v>Programming</v>
      </c>
      <c r="K125" s="140">
        <f>IFERROR(__xludf.DUMMYFUNCTION("""COMPUTED_VALUE"""),915782.0)</f>
        <v>915782</v>
      </c>
      <c r="L125" s="140" t="str">
        <f>IFERROR(__xludf.DUMMYFUNCTION("""COMPUTED_VALUE"""),"")</f>
        <v/>
      </c>
      <c r="N125" s="140" t="str">
        <f>IFERROR(__xludf.DUMMYFUNCTION("""COMPUTED_VALUE"""),"")</f>
        <v/>
      </c>
      <c r="R125" t="str">
        <f>IFERROR(__xludf.DUMMYFUNCTION("""COMPUTED_VALUE"""),"IT and Software")</f>
        <v>IT and Software</v>
      </c>
      <c r="S125" s="143" t="str">
        <f>IFERROR(__xludf.DUMMYFUNCTION("""COMPUTED_VALUE"""),"Operating Systems and Servers")</f>
        <v>Operating Systems and Servers</v>
      </c>
    </row>
    <row r="126">
      <c r="A126" s="143">
        <f>IFERROR(__xludf.DUMMYFUNCTION("""COMPUTED_VALUE"""),42947.0)</f>
        <v>42947</v>
      </c>
      <c r="B126" s="140">
        <f>IFERROR(__xludf.DUMMYFUNCTION("""COMPUTED_VALUE"""),520122.0)</f>
        <v>520122</v>
      </c>
      <c r="C126" s="140" t="str">
        <f>IFERROR(__xludf.DUMMYFUNCTION("""COMPUTED_VALUE"""),"#N/A")</f>
        <v>#N/A</v>
      </c>
      <c r="D126" t="str">
        <f>IFERROR(__xludf.DUMMYFUNCTION("""COMPUTED_VALUE"""),"Rob Percival")</f>
        <v>Rob Percival</v>
      </c>
      <c r="E126" t="str">
        <f>IFERROR(__xludf.DUMMYFUNCTION("""COMPUTED_VALUE"""),"Y")</f>
        <v>Y</v>
      </c>
      <c r="F126" t="str">
        <f>IFERROR(__xludf.DUMMYFUNCTION("""COMPUTED_VALUE"""),"520122,Development,Web Development")</f>
        <v>520122,Development,Web Development</v>
      </c>
      <c r="G126" t="str">
        <f>IFERROR(__xludf.DUMMYFUNCTION("""COMPUTED_VALUE"""),"Y")</f>
        <v>Y</v>
      </c>
      <c r="H126" t="str">
        <f>IFERROR(__xludf.DUMMYFUNCTION("""COMPUTED_VALUE"""),"Instructor Request, Updated")</f>
        <v>Instructor Request, Updated</v>
      </c>
      <c r="I126" t="str">
        <f>IFERROR(__xludf.DUMMYFUNCTION("""COMPUTED_VALUE"""),"Development")</f>
        <v>Development</v>
      </c>
      <c r="J126" t="str">
        <f>IFERROR(__xludf.DUMMYFUNCTION("""COMPUTED_VALUE"""),"Web Development")</f>
        <v>Web Development</v>
      </c>
      <c r="K126" s="140">
        <f>IFERROR(__xludf.DUMMYFUNCTION("""COMPUTED_VALUE"""),922484.0)</f>
        <v>922484</v>
      </c>
      <c r="L126" s="140" t="str">
        <f>IFERROR(__xludf.DUMMYFUNCTION("""COMPUTED_VALUE"""),"")</f>
        <v/>
      </c>
      <c r="N126" s="140" t="str">
        <f>IFERROR(__xludf.DUMMYFUNCTION("""COMPUTED_VALUE"""),"")</f>
        <v/>
      </c>
    </row>
    <row r="127">
      <c r="A127" s="143">
        <f>IFERROR(__xludf.DUMMYFUNCTION("""COMPUTED_VALUE"""),42947.0)</f>
        <v>42947</v>
      </c>
      <c r="B127" s="140">
        <f>IFERROR(__xludf.DUMMYFUNCTION("""COMPUTED_VALUE"""),372188.0)</f>
        <v>372188</v>
      </c>
      <c r="C127" s="140" t="str">
        <f>IFERROR(__xludf.DUMMYFUNCTION("""COMPUTED_VALUE"""),"#N/A")</f>
        <v>#N/A</v>
      </c>
      <c r="D127" t="str">
        <f>IFERROR(__xludf.DUMMYFUNCTION("""COMPUTED_VALUE"""),"Simon Sez IT")</f>
        <v>Simon Sez IT</v>
      </c>
      <c r="E127" t="str">
        <f>IFERROR(__xludf.DUMMYFUNCTION("""COMPUTED_VALUE"""),"Y")</f>
        <v>Y</v>
      </c>
      <c r="F127" t="str">
        <f>IFERROR(__xludf.DUMMYFUNCTION("""COMPUTED_VALUE"""),"372188,Finance and Accounting,Accounting")</f>
        <v>372188,Finance and Accounting,Accounting</v>
      </c>
      <c r="G127" t="str">
        <f>IFERROR(__xludf.DUMMYFUNCTION("""COMPUTED_VALUE"""),"Y")</f>
        <v>Y</v>
      </c>
      <c r="H127" t="str">
        <f>IFERROR(__xludf.DUMMYFUNCTION("""COMPUTED_VALUE"""),"Low Usage")</f>
        <v>Low Usage</v>
      </c>
      <c r="I127" t="str">
        <f>IFERROR(__xludf.DUMMYFUNCTION("""COMPUTED_VALUE"""),"Finance and Accounting")</f>
        <v>Finance and Accounting</v>
      </c>
      <c r="J127" t="str">
        <f>IFERROR(__xludf.DUMMYFUNCTION("""COMPUTED_VALUE"""),"Accounting")</f>
        <v>Accounting</v>
      </c>
      <c r="K127" s="140">
        <f>IFERROR(__xludf.DUMMYFUNCTION("""COMPUTED_VALUE"""),627760.0)</f>
        <v>627760</v>
      </c>
      <c r="L127" s="140" t="str">
        <f>IFERROR(__xludf.DUMMYFUNCTION("""COMPUTED_VALUE"""),"")</f>
        <v/>
      </c>
      <c r="N127" s="140" t="str">
        <f>IFERROR(__xludf.DUMMYFUNCTION("""COMPUTED_VALUE"""),"")</f>
        <v/>
      </c>
    </row>
    <row r="128">
      <c r="A128" s="143">
        <f>IFERROR(__xludf.DUMMYFUNCTION("""COMPUTED_VALUE"""),42947.0)</f>
        <v>42947</v>
      </c>
      <c r="B128" s="140">
        <f>IFERROR(__xludf.DUMMYFUNCTION("""COMPUTED_VALUE"""),653556.0)</f>
        <v>653556</v>
      </c>
      <c r="C128" s="140" t="str">
        <f>IFERROR(__xludf.DUMMYFUNCTION("""COMPUTED_VALUE"""),"#N/A")</f>
        <v>#N/A</v>
      </c>
      <c r="D128" t="str">
        <f>IFERROR(__xludf.DUMMYFUNCTION("""COMPUTED_VALUE"""),"TeachUcomp, Inc.")</f>
        <v>TeachUcomp, Inc.</v>
      </c>
      <c r="E128" t="str">
        <f>IFERROR(__xludf.DUMMYFUNCTION("""COMPUTED_VALUE"""),"Y")</f>
        <v>Y</v>
      </c>
      <c r="F128" t="str">
        <f>IFERROR(__xludf.DUMMYFUNCTION("""COMPUTED_VALUE"""),"653556,Finance and Accounting,Accounting")</f>
        <v>653556,Finance and Accounting,Accounting</v>
      </c>
      <c r="G128" t="str">
        <f>IFERROR(__xludf.DUMMYFUNCTION("""COMPUTED_VALUE"""),"Y")</f>
        <v>Y</v>
      </c>
      <c r="H128" t="str">
        <f>IFERROR(__xludf.DUMMYFUNCTION("""COMPUTED_VALUE"""),"Low Usage")</f>
        <v>Low Usage</v>
      </c>
      <c r="I128" t="str">
        <f>IFERROR(__xludf.DUMMYFUNCTION("""COMPUTED_VALUE"""),"Finance and Accounting")</f>
        <v>Finance and Accounting</v>
      </c>
      <c r="J128" t="str">
        <f>IFERROR(__xludf.DUMMYFUNCTION("""COMPUTED_VALUE"""),"Accounting")</f>
        <v>Accounting</v>
      </c>
      <c r="K128" s="140">
        <f>IFERROR(__xludf.DUMMYFUNCTION("""COMPUTED_VALUE"""),627760.0)</f>
        <v>627760</v>
      </c>
      <c r="L128" s="140" t="str">
        <f>IFERROR(__xludf.DUMMYFUNCTION("""COMPUTED_VALUE"""),"")</f>
        <v/>
      </c>
      <c r="M128" s="140">
        <f>IFERROR(__xludf.DUMMYFUNCTION("""COMPUTED_VALUE"""),665698.0)</f>
        <v>665698</v>
      </c>
      <c r="N128" s="140" t="str">
        <f>IFERROR(__xludf.DUMMYFUNCTION("""COMPUTED_VALUE"""),"")</f>
        <v/>
      </c>
    </row>
    <row r="129">
      <c r="A129" s="143">
        <f>IFERROR(__xludf.DUMMYFUNCTION("""COMPUTED_VALUE"""),42947.0)</f>
        <v>42947</v>
      </c>
      <c r="B129" s="140">
        <f>IFERROR(__xludf.DUMMYFUNCTION("""COMPUTED_VALUE"""),651288.0)</f>
        <v>651288</v>
      </c>
      <c r="C129" s="140" t="str">
        <f>IFERROR(__xludf.DUMMYFUNCTION("""COMPUTED_VALUE"""),"#N/A")</f>
        <v>#N/A</v>
      </c>
      <c r="D129" t="str">
        <f>IFERROR(__xludf.DUMMYFUNCTION("""COMPUTED_VALUE"""),"TeachUcomp, Inc.")</f>
        <v>TeachUcomp, Inc.</v>
      </c>
      <c r="E129" t="str">
        <f>IFERROR(__xludf.DUMMYFUNCTION("""COMPUTED_VALUE"""),"Y")</f>
        <v>Y</v>
      </c>
      <c r="F129" t="str">
        <f>IFERROR(__xludf.DUMMYFUNCTION("""COMPUTED_VALUE"""),"651288,Finance and Accounting,Accounting")</f>
        <v>651288,Finance and Accounting,Accounting</v>
      </c>
      <c r="G129" t="str">
        <f>IFERROR(__xludf.DUMMYFUNCTION("""COMPUTED_VALUE"""),"Y")</f>
        <v>Y</v>
      </c>
      <c r="H129" t="str">
        <f>IFERROR(__xludf.DUMMYFUNCTION("""COMPUTED_VALUE"""),"Low Usage")</f>
        <v>Low Usage</v>
      </c>
      <c r="I129" t="str">
        <f>IFERROR(__xludf.DUMMYFUNCTION("""COMPUTED_VALUE"""),"Finance and Accounting")</f>
        <v>Finance and Accounting</v>
      </c>
      <c r="J129" t="str">
        <f>IFERROR(__xludf.DUMMYFUNCTION("""COMPUTED_VALUE"""),"Accounting")</f>
        <v>Accounting</v>
      </c>
      <c r="K129" s="140">
        <f>IFERROR(__xludf.DUMMYFUNCTION("""COMPUTED_VALUE"""),627760.0)</f>
        <v>627760</v>
      </c>
      <c r="L129" s="140" t="str">
        <f>IFERROR(__xludf.DUMMYFUNCTION("""COMPUTED_VALUE"""),"")</f>
        <v/>
      </c>
      <c r="M129" s="140">
        <f>IFERROR(__xludf.DUMMYFUNCTION("""COMPUTED_VALUE"""),665698.0)</f>
        <v>665698</v>
      </c>
      <c r="N129" s="140" t="str">
        <f>IFERROR(__xludf.DUMMYFUNCTION("""COMPUTED_VALUE"""),"")</f>
        <v/>
      </c>
    </row>
    <row r="130">
      <c r="A130" s="143">
        <f>IFERROR(__xludf.DUMMYFUNCTION("""COMPUTED_VALUE"""),42947.0)</f>
        <v>42947</v>
      </c>
      <c r="B130" s="140">
        <f>IFERROR(__xludf.DUMMYFUNCTION("""COMPUTED_VALUE"""),544522.0)</f>
        <v>544522</v>
      </c>
      <c r="C130" s="140" t="str">
        <f>IFERROR(__xludf.DUMMYFUNCTION("""COMPUTED_VALUE"""),"#N/A")</f>
        <v>#N/A</v>
      </c>
      <c r="D130" t="str">
        <f>IFERROR(__xludf.DUMMYFUNCTION("""COMPUTED_VALUE"""),"TeachUcomp, Inc.")</f>
        <v>TeachUcomp, Inc.</v>
      </c>
      <c r="E130" t="str">
        <f>IFERROR(__xludf.DUMMYFUNCTION("""COMPUTED_VALUE"""),"Y")</f>
        <v>Y</v>
      </c>
      <c r="F130" t="str">
        <f>IFERROR(__xludf.DUMMYFUNCTION("""COMPUTED_VALUE"""),"544522,Finance and Accounting,Accounting")</f>
        <v>544522,Finance and Accounting,Accounting</v>
      </c>
      <c r="G130" t="str">
        <f>IFERROR(__xludf.DUMMYFUNCTION("""COMPUTED_VALUE"""),"Y")</f>
        <v>Y</v>
      </c>
      <c r="H130" t="str">
        <f>IFERROR(__xludf.DUMMYFUNCTION("""COMPUTED_VALUE"""),"Low Usage")</f>
        <v>Low Usage</v>
      </c>
      <c r="I130" t="str">
        <f>IFERROR(__xludf.DUMMYFUNCTION("""COMPUTED_VALUE"""),"Finance and Accounting")</f>
        <v>Finance and Accounting</v>
      </c>
      <c r="J130" t="str">
        <f>IFERROR(__xludf.DUMMYFUNCTION("""COMPUTED_VALUE"""),"Accounting")</f>
        <v>Accounting</v>
      </c>
      <c r="K130" s="140">
        <f>IFERROR(__xludf.DUMMYFUNCTION("""COMPUTED_VALUE"""),627760.0)</f>
        <v>627760</v>
      </c>
      <c r="L130" s="140" t="str">
        <f>IFERROR(__xludf.DUMMYFUNCTION("""COMPUTED_VALUE"""),"")</f>
        <v/>
      </c>
      <c r="N130" s="140" t="str">
        <f>IFERROR(__xludf.DUMMYFUNCTION("""COMPUTED_VALUE"""),"")</f>
        <v/>
      </c>
    </row>
    <row r="131">
      <c r="A131" s="143">
        <f>IFERROR(__xludf.DUMMYFUNCTION("""COMPUTED_VALUE"""),42947.0)</f>
        <v>42947</v>
      </c>
      <c r="B131" s="140">
        <f>IFERROR(__xludf.DUMMYFUNCTION("""COMPUTED_VALUE"""),23412.0)</f>
        <v>23412</v>
      </c>
      <c r="C131" s="140" t="str">
        <f>IFERROR(__xludf.DUMMYFUNCTION("""COMPUTED_VALUE"""),"#N/A")</f>
        <v>#N/A</v>
      </c>
      <c r="D131" t="str">
        <f>IFERROR(__xludf.DUMMYFUNCTION("""COMPUTED_VALUE"""),"Simon Sez IT")</f>
        <v>Simon Sez IT</v>
      </c>
      <c r="E131" t="str">
        <f>IFERROR(__xludf.DUMMYFUNCTION("""COMPUTED_VALUE"""),"Y")</f>
        <v>Y</v>
      </c>
      <c r="F131" t="str">
        <f>IFERROR(__xludf.DUMMYFUNCTION("""COMPUTED_VALUE"""),"23412,Finance and Accounting,Accounting")</f>
        <v>23412,Finance and Accounting,Accounting</v>
      </c>
      <c r="G131" t="str">
        <f>IFERROR(__xludf.DUMMYFUNCTION("""COMPUTED_VALUE"""),"Y")</f>
        <v>Y</v>
      </c>
      <c r="H131" t="str">
        <f>IFERROR(__xludf.DUMMYFUNCTION("""COMPUTED_VALUE"""),"Outdated")</f>
        <v>Outdated</v>
      </c>
      <c r="I131" t="str">
        <f>IFERROR(__xludf.DUMMYFUNCTION("""COMPUTED_VALUE"""),"Finance and Accounting")</f>
        <v>Finance and Accounting</v>
      </c>
      <c r="J131" t="str">
        <f>IFERROR(__xludf.DUMMYFUNCTION("""COMPUTED_VALUE"""),"Accounting")</f>
        <v>Accounting</v>
      </c>
      <c r="K131" s="140">
        <f>IFERROR(__xludf.DUMMYFUNCTION("""COMPUTED_VALUE"""),28947.0)</f>
        <v>28947</v>
      </c>
      <c r="L131" s="140" t="str">
        <f>IFERROR(__xludf.DUMMYFUNCTION("""COMPUTED_VALUE"""),"")</f>
        <v/>
      </c>
      <c r="N131" s="140" t="str">
        <f>IFERROR(__xludf.DUMMYFUNCTION("""COMPUTED_VALUE"""),"")</f>
        <v/>
      </c>
    </row>
    <row r="132">
      <c r="A132" s="143">
        <f>IFERROR(__xludf.DUMMYFUNCTION("""COMPUTED_VALUE"""),42947.0)</f>
        <v>42947</v>
      </c>
      <c r="B132" s="140">
        <f>IFERROR(__xludf.DUMMYFUNCTION("""COMPUTED_VALUE"""),363908.0)</f>
        <v>363908</v>
      </c>
      <c r="C132" s="140" t="str">
        <f>IFERROR(__xludf.DUMMYFUNCTION("""COMPUTED_VALUE"""),"#N/A")</f>
        <v>#N/A</v>
      </c>
      <c r="D132" t="str">
        <f>IFERROR(__xludf.DUMMYFUNCTION("""COMPUTED_VALUE"""),"Stone River eLearning")</f>
        <v>Stone River eLearning</v>
      </c>
      <c r="E132" t="str">
        <f>IFERROR(__xludf.DUMMYFUNCTION("""COMPUTED_VALUE"""),"Y")</f>
        <v>Y</v>
      </c>
      <c r="F132" t="str">
        <f>IFERROR(__xludf.DUMMYFUNCTION("""COMPUTED_VALUE"""),"363908,Human Resources,Compliance")</f>
        <v>363908,Human Resources,Compliance</v>
      </c>
      <c r="G132" t="str">
        <f>IFERROR(__xludf.DUMMYFUNCTION("""COMPUTED_VALUE"""),"Y")</f>
        <v>Y</v>
      </c>
      <c r="H132" t="str">
        <f>IFERROR(__xludf.DUMMYFUNCTION("""COMPUTED_VALUE"""),"Instructor Request")</f>
        <v>Instructor Request</v>
      </c>
      <c r="I132" t="str">
        <f>IFERROR(__xludf.DUMMYFUNCTION("""COMPUTED_VALUE"""),"Human Resources")</f>
        <v>Human Resources</v>
      </c>
      <c r="J132" t="str">
        <f>IFERROR(__xludf.DUMMYFUNCTION("""COMPUTED_VALUE"""),"Compliance")</f>
        <v>Compliance</v>
      </c>
      <c r="L132" s="140" t="str">
        <f>IFERROR(__xludf.DUMMYFUNCTION("""COMPUTED_VALUE"""),"")</f>
        <v/>
      </c>
      <c r="N132" s="140" t="str">
        <f>IFERROR(__xludf.DUMMYFUNCTION("""COMPUTED_VALUE"""),"")</f>
        <v/>
      </c>
    </row>
    <row r="133">
      <c r="A133" s="143">
        <f>IFERROR(__xludf.DUMMYFUNCTION("""COMPUTED_VALUE"""),42947.0)</f>
        <v>42947</v>
      </c>
      <c r="B133" s="140">
        <f>IFERROR(__xludf.DUMMYFUNCTION("""COMPUTED_VALUE"""),753500.0)</f>
        <v>753500</v>
      </c>
      <c r="C133" s="140" t="str">
        <f>IFERROR(__xludf.DUMMYFUNCTION("""COMPUTED_VALUE"""),"#N/A")</f>
        <v>#N/A</v>
      </c>
      <c r="D133" t="str">
        <f>IFERROR(__xludf.DUMMYFUNCTION("""COMPUTED_VALUE"""),"Mike West")</f>
        <v>Mike West</v>
      </c>
      <c r="E133" t="str">
        <f>IFERROR(__xludf.DUMMYFUNCTION("""COMPUTED_VALUE"""),"Y")</f>
        <v>Y</v>
      </c>
      <c r="F133" t="str">
        <f>IFERROR(__xludf.DUMMYFUNCTION("""COMPUTED_VALUE"""),"753500,IT and Software,Databases")</f>
        <v>753500,IT and Software,Databases</v>
      </c>
      <c r="G133" t="str">
        <f>IFERROR(__xludf.DUMMYFUNCTION("""COMPUTED_VALUE"""),"Y")</f>
        <v>Y</v>
      </c>
      <c r="H133" t="str">
        <f>IFERROR(__xludf.DUMMYFUNCTION("""COMPUTED_VALUE"""),"Below Quality Standards")</f>
        <v>Below Quality Standards</v>
      </c>
      <c r="I133" t="str">
        <f>IFERROR(__xludf.DUMMYFUNCTION("""COMPUTED_VALUE"""),"IT and Software")</f>
        <v>IT and Software</v>
      </c>
      <c r="J133" t="str">
        <f>IFERROR(__xludf.DUMMYFUNCTION("""COMPUTED_VALUE"""),"Databases")</f>
        <v>Databases</v>
      </c>
      <c r="K133" s="140">
        <f>IFERROR(__xludf.DUMMYFUNCTION("""COMPUTED_VALUE"""),905246.0)</f>
        <v>905246</v>
      </c>
      <c r="L133" s="140" t="str">
        <f>IFERROR(__xludf.DUMMYFUNCTION("""COMPUTED_VALUE"""),"")</f>
        <v/>
      </c>
      <c r="N133" s="140" t="str">
        <f>IFERROR(__xludf.DUMMYFUNCTION("""COMPUTED_VALUE"""),"")</f>
        <v/>
      </c>
    </row>
    <row r="134">
      <c r="A134" s="143">
        <f>IFERROR(__xludf.DUMMYFUNCTION("""COMPUTED_VALUE"""),42947.0)</f>
        <v>42947</v>
      </c>
      <c r="B134" s="140">
        <f>IFERROR(__xludf.DUMMYFUNCTION("""COMPUTED_VALUE"""),386766.0)</f>
        <v>386766</v>
      </c>
      <c r="C134" s="140" t="str">
        <f>IFERROR(__xludf.DUMMYFUNCTION("""COMPUTED_VALUE"""),"#N/A")</f>
        <v>#N/A</v>
      </c>
      <c r="D134" t="str">
        <f>IFERROR(__xludf.DUMMYFUNCTION("""COMPUTED_VALUE"""),"Stone River eLearning")</f>
        <v>Stone River eLearning</v>
      </c>
      <c r="E134" t="str">
        <f>IFERROR(__xludf.DUMMYFUNCTION("""COMPUTED_VALUE"""),"Y")</f>
        <v>Y</v>
      </c>
      <c r="F134" t="str">
        <f>IFERROR(__xludf.DUMMYFUNCTION("""COMPUTED_VALUE"""),"386766,IT and Software,IT Certifications")</f>
        <v>386766,IT and Software,IT Certifications</v>
      </c>
      <c r="G134" t="str">
        <f>IFERROR(__xludf.DUMMYFUNCTION("""COMPUTED_VALUE"""),"Y")</f>
        <v>Y</v>
      </c>
      <c r="H134" t="str">
        <f>IFERROR(__xludf.DUMMYFUNCTION("""COMPUTED_VALUE"""),"Instructor Request")</f>
        <v>Instructor Request</v>
      </c>
      <c r="I134" t="str">
        <f>IFERROR(__xludf.DUMMYFUNCTION("""COMPUTED_VALUE"""),"IT and Software")</f>
        <v>IT and Software</v>
      </c>
      <c r="J134" t="str">
        <f>IFERROR(__xludf.DUMMYFUNCTION("""COMPUTED_VALUE"""),"IT Certifications")</f>
        <v>IT Certifications</v>
      </c>
      <c r="L134" s="140" t="str">
        <f>IFERROR(__xludf.DUMMYFUNCTION("""COMPUTED_VALUE"""),"")</f>
        <v/>
      </c>
      <c r="N134" s="140" t="str">
        <f>IFERROR(__xludf.DUMMYFUNCTION("""COMPUTED_VALUE"""),"")</f>
        <v/>
      </c>
    </row>
    <row r="135">
      <c r="A135" s="143">
        <f>IFERROR(__xludf.DUMMYFUNCTION("""COMPUTED_VALUE"""),42947.0)</f>
        <v>42947</v>
      </c>
      <c r="B135" s="140">
        <f>IFERROR(__xludf.DUMMYFUNCTION("""COMPUTED_VALUE"""),553748.0)</f>
        <v>553748</v>
      </c>
      <c r="C135" s="140" t="str">
        <f>IFERROR(__xludf.DUMMYFUNCTION("""COMPUTED_VALUE"""),"#N/A")</f>
        <v>#N/A</v>
      </c>
      <c r="D135" t="str">
        <f>IFERROR(__xludf.DUMMYFUNCTION("""COMPUTED_VALUE"""),"Kevin McIntosh")</f>
        <v>Kevin McIntosh</v>
      </c>
      <c r="E135" t="str">
        <f>IFERROR(__xludf.DUMMYFUNCTION("""COMPUTED_VALUE"""),"Y")</f>
        <v>Y</v>
      </c>
      <c r="F135" t="str">
        <f>IFERROR(__xludf.DUMMYFUNCTION("""COMPUTED_VALUE"""),"553748,Management,Communication")</f>
        <v>553748,Management,Communication</v>
      </c>
      <c r="G135" t="str">
        <f>IFERROR(__xludf.DUMMYFUNCTION("""COMPUTED_VALUE"""),"Y")</f>
        <v>Y</v>
      </c>
      <c r="H135" t="str">
        <f>IFERROR(__xludf.DUMMYFUNCTION("""COMPUTED_VALUE"""),"Export Compliance")</f>
        <v>Export Compliance</v>
      </c>
      <c r="I135" t="str">
        <f>IFERROR(__xludf.DUMMYFUNCTION("""COMPUTED_VALUE"""),"Management")</f>
        <v>Management</v>
      </c>
      <c r="J135" t="str">
        <f>IFERROR(__xludf.DUMMYFUNCTION("""COMPUTED_VALUE"""),"Communication")</f>
        <v>Communication</v>
      </c>
      <c r="K135" s="140">
        <f>IFERROR(__xludf.DUMMYFUNCTION("""COMPUTED_VALUE"""),550604.0)</f>
        <v>550604</v>
      </c>
      <c r="L135" s="140" t="str">
        <f>IFERROR(__xludf.DUMMYFUNCTION("""COMPUTED_VALUE"""),"")</f>
        <v/>
      </c>
      <c r="M135" s="140">
        <f>IFERROR(__xludf.DUMMYFUNCTION("""COMPUTED_VALUE"""),550604.0)</f>
        <v>550604</v>
      </c>
      <c r="N135" s="140" t="str">
        <f>IFERROR(__xludf.DUMMYFUNCTION("""COMPUTED_VALUE"""),"")</f>
        <v/>
      </c>
    </row>
    <row r="136">
      <c r="A136" s="143">
        <f>IFERROR(__xludf.DUMMYFUNCTION("""COMPUTED_VALUE"""),42947.0)</f>
        <v>42947</v>
      </c>
      <c r="B136" s="140">
        <f>IFERROR(__xludf.DUMMYFUNCTION("""COMPUTED_VALUE"""),640976.0)</f>
        <v>640976</v>
      </c>
      <c r="C136" s="140" t="str">
        <f>IFERROR(__xludf.DUMMYFUNCTION("""COMPUTED_VALUE"""),"#N/A")</f>
        <v>#N/A</v>
      </c>
      <c r="D136" t="str">
        <f>IFERROR(__xludf.DUMMYFUNCTION("""COMPUTED_VALUE"""),"Learoy Tonight")</f>
        <v>Learoy Tonight</v>
      </c>
      <c r="E136" t="str">
        <f>IFERROR(__xludf.DUMMYFUNCTION("""COMPUTED_VALUE"""),"Y")</f>
        <v>Y</v>
      </c>
      <c r="F136" t="str">
        <f>IFERROR(__xludf.DUMMYFUNCTION("""COMPUTED_VALUE"""),"640976,Management,Customer Service")</f>
        <v>640976,Management,Customer Service</v>
      </c>
      <c r="G136" t="str">
        <f>IFERROR(__xludf.DUMMYFUNCTION("""COMPUTED_VALUE"""),"Y")</f>
        <v>Y</v>
      </c>
      <c r="H136" t="str">
        <f>IFERROR(__xludf.DUMMYFUNCTION("""COMPUTED_VALUE"""),"Export Compliance")</f>
        <v>Export Compliance</v>
      </c>
      <c r="I136" t="str">
        <f>IFERROR(__xludf.DUMMYFUNCTION("""COMPUTED_VALUE"""),"Management")</f>
        <v>Management</v>
      </c>
      <c r="J136" t="str">
        <f>IFERROR(__xludf.DUMMYFUNCTION("""COMPUTED_VALUE"""),"Customer Service")</f>
        <v>Customer Service</v>
      </c>
      <c r="K136" s="140">
        <f>IFERROR(__xludf.DUMMYFUNCTION("""COMPUTED_VALUE"""),120976.0)</f>
        <v>120976</v>
      </c>
      <c r="L136" s="140" t="str">
        <f>IFERROR(__xludf.DUMMYFUNCTION("""COMPUTED_VALUE"""),"")</f>
        <v/>
      </c>
      <c r="M136" s="140">
        <f>IFERROR(__xludf.DUMMYFUNCTION("""COMPUTED_VALUE"""),672290.0)</f>
        <v>672290</v>
      </c>
      <c r="N136" s="140" t="str">
        <f>IFERROR(__xludf.DUMMYFUNCTION("""COMPUTED_VALUE"""),"")</f>
        <v/>
      </c>
    </row>
    <row r="137">
      <c r="A137" s="143">
        <f>IFERROR(__xludf.DUMMYFUNCTION("""COMPUTED_VALUE"""),42947.0)</f>
        <v>42947</v>
      </c>
      <c r="B137" s="140">
        <f>IFERROR(__xludf.DUMMYFUNCTION("""COMPUTED_VALUE"""),585984.0)</f>
        <v>585984</v>
      </c>
      <c r="C137" s="140" t="str">
        <f>IFERROR(__xludf.DUMMYFUNCTION("""COMPUTED_VALUE"""),"#N/A")</f>
        <v>#N/A</v>
      </c>
      <c r="D137" t="str">
        <f>IFERROR(__xludf.DUMMYFUNCTION("""COMPUTED_VALUE"""),"Learoy Tonight")</f>
        <v>Learoy Tonight</v>
      </c>
      <c r="E137" t="str">
        <f>IFERROR(__xludf.DUMMYFUNCTION("""COMPUTED_VALUE"""),"Y")</f>
        <v>Y</v>
      </c>
      <c r="F137" t="str">
        <f>IFERROR(__xludf.DUMMYFUNCTION("""COMPUTED_VALUE"""),"585984,Management,Leadership")</f>
        <v>585984,Management,Leadership</v>
      </c>
      <c r="G137" t="str">
        <f>IFERROR(__xludf.DUMMYFUNCTION("""COMPUTED_VALUE"""),"Y")</f>
        <v>Y</v>
      </c>
      <c r="H137" t="str">
        <f>IFERROR(__xludf.DUMMYFUNCTION("""COMPUTED_VALUE"""),"Export Compliance")</f>
        <v>Export Compliance</v>
      </c>
      <c r="I137" t="str">
        <f>IFERROR(__xludf.DUMMYFUNCTION("""COMPUTED_VALUE"""),"Management")</f>
        <v>Management</v>
      </c>
      <c r="J137" t="str">
        <f>IFERROR(__xludf.DUMMYFUNCTION("""COMPUTED_VALUE"""),"Leadership")</f>
        <v>Leadership</v>
      </c>
      <c r="K137" s="140">
        <f>IFERROR(__xludf.DUMMYFUNCTION("""COMPUTED_VALUE"""),189116.0)</f>
        <v>189116</v>
      </c>
      <c r="L137" s="140" t="str">
        <f>IFERROR(__xludf.DUMMYFUNCTION("""COMPUTED_VALUE"""),"")</f>
        <v/>
      </c>
      <c r="M137" s="140">
        <f>IFERROR(__xludf.DUMMYFUNCTION("""COMPUTED_VALUE"""),661114.0)</f>
        <v>661114</v>
      </c>
      <c r="N137" s="140" t="str">
        <f>IFERROR(__xludf.DUMMYFUNCTION("""COMPUTED_VALUE"""),"")</f>
        <v/>
      </c>
      <c r="R137" t="str">
        <f>IFERROR(__xludf.DUMMYFUNCTION("""COMPUTED_VALUE"""),"Management")</f>
        <v>Management</v>
      </c>
      <c r="S137" s="143" t="str">
        <f>IFERROR(__xludf.DUMMYFUNCTION("""COMPUTED_VALUE"""),"Influence")</f>
        <v>Influence</v>
      </c>
    </row>
    <row r="138">
      <c r="A138" s="143">
        <f>IFERROR(__xludf.DUMMYFUNCTION("""COMPUTED_VALUE"""),42947.0)</f>
        <v>42947</v>
      </c>
      <c r="B138" s="140">
        <f>IFERROR(__xludf.DUMMYFUNCTION("""COMPUTED_VALUE"""),546736.0)</f>
        <v>546736</v>
      </c>
      <c r="C138" s="140" t="str">
        <f>IFERROR(__xludf.DUMMYFUNCTION("""COMPUTED_VALUE"""),"#N/A")</f>
        <v>#N/A</v>
      </c>
      <c r="D138" t="str">
        <f>IFERROR(__xludf.DUMMYFUNCTION("""COMPUTED_VALUE"""),"Learoy Tonight")</f>
        <v>Learoy Tonight</v>
      </c>
      <c r="E138" t="str">
        <f>IFERROR(__xludf.DUMMYFUNCTION("""COMPUTED_VALUE"""),"Y")</f>
        <v>Y</v>
      </c>
      <c r="F138" t="str">
        <f>IFERROR(__xludf.DUMMYFUNCTION("""COMPUTED_VALUE"""),"546736,Management,Leadership")</f>
        <v>546736,Management,Leadership</v>
      </c>
      <c r="G138" t="str">
        <f>IFERROR(__xludf.DUMMYFUNCTION("""COMPUTED_VALUE"""),"Y")</f>
        <v>Y</v>
      </c>
      <c r="H138" t="str">
        <f>IFERROR(__xludf.DUMMYFUNCTION("""COMPUTED_VALUE"""),"Export Compliance")</f>
        <v>Export Compliance</v>
      </c>
      <c r="I138" t="str">
        <f>IFERROR(__xludf.DUMMYFUNCTION("""COMPUTED_VALUE"""),"Management")</f>
        <v>Management</v>
      </c>
      <c r="J138" t="str">
        <f>IFERROR(__xludf.DUMMYFUNCTION("""COMPUTED_VALUE"""),"Leadership")</f>
        <v>Leadership</v>
      </c>
      <c r="K138" s="140">
        <f>IFERROR(__xludf.DUMMYFUNCTION("""COMPUTED_VALUE"""),751602.0)</f>
        <v>751602</v>
      </c>
      <c r="L138" s="140" t="str">
        <f>IFERROR(__xludf.DUMMYFUNCTION("""COMPUTED_VALUE"""),"")</f>
        <v/>
      </c>
      <c r="N138" s="140" t="str">
        <f>IFERROR(__xludf.DUMMYFUNCTION("""COMPUTED_VALUE"""),"")</f>
        <v/>
      </c>
    </row>
    <row r="139">
      <c r="A139" s="143">
        <f>IFERROR(__xludf.DUMMYFUNCTION("""COMPUTED_VALUE"""),42947.0)</f>
        <v>42947</v>
      </c>
      <c r="B139" s="140">
        <f>IFERROR(__xludf.DUMMYFUNCTION("""COMPUTED_VALUE"""),13019.0)</f>
        <v>13019</v>
      </c>
      <c r="C139" s="140" t="str">
        <f>IFERROR(__xludf.DUMMYFUNCTION("""COMPUTED_VALUE"""),"#N/A")</f>
        <v>#N/A</v>
      </c>
      <c r="D139" t="str">
        <f>IFERROR(__xludf.DUMMYFUNCTION("""COMPUTED_VALUE"""),"Michael Lenox")</f>
        <v>Michael Lenox</v>
      </c>
      <c r="E139" t="str">
        <f>IFERROR(__xludf.DUMMYFUNCTION("""COMPUTED_VALUE"""),"Y")</f>
        <v>Y</v>
      </c>
      <c r="F139" t="str">
        <f>IFERROR(__xludf.DUMMYFUNCTION("""COMPUTED_VALUE"""),"13019,Management,Strategy")</f>
        <v>13019,Management,Strategy</v>
      </c>
      <c r="G139" t="str">
        <f>IFERROR(__xludf.DUMMYFUNCTION("""COMPUTED_VALUE"""),"Y")</f>
        <v>Y</v>
      </c>
      <c r="H139" t="str">
        <f>IFERROR(__xludf.DUMMYFUNCTION("""COMPUTED_VALUE"""),"Instructor Opted Out -- never accepted new Terms")</f>
        <v>Instructor Opted Out -- never accepted new Terms</v>
      </c>
      <c r="I139" t="str">
        <f>IFERROR(__xludf.DUMMYFUNCTION("""COMPUTED_VALUE"""),"Management")</f>
        <v>Management</v>
      </c>
      <c r="J139" t="str">
        <f>IFERROR(__xludf.DUMMYFUNCTION("""COMPUTED_VALUE"""),"Strategy")</f>
        <v>Strategy</v>
      </c>
      <c r="K139" s="140">
        <f>IFERROR(__xludf.DUMMYFUNCTION("""COMPUTED_VALUE"""),240450.0)</f>
        <v>240450</v>
      </c>
      <c r="L139" s="140" t="str">
        <f>IFERROR(__xludf.DUMMYFUNCTION("""COMPUTED_VALUE"""),"")</f>
        <v/>
      </c>
      <c r="N139" s="140" t="str">
        <f>IFERROR(__xludf.DUMMYFUNCTION("""COMPUTED_VALUE"""),"")</f>
        <v/>
      </c>
    </row>
    <row r="140">
      <c r="A140" s="143">
        <f>IFERROR(__xludf.DUMMYFUNCTION("""COMPUTED_VALUE"""),42947.0)</f>
        <v>42947</v>
      </c>
      <c r="B140" s="140">
        <f>IFERROR(__xludf.DUMMYFUNCTION("""COMPUTED_VALUE"""),343528.0)</f>
        <v>343528</v>
      </c>
      <c r="C140" s="140" t="str">
        <f>IFERROR(__xludf.DUMMYFUNCTION("""COMPUTED_VALUE"""),"#N/A")</f>
        <v>#N/A</v>
      </c>
      <c r="D140" t="str">
        <f>IFERROR(__xludf.DUMMYFUNCTION("""COMPUTED_VALUE"""),"iMarket XL")</f>
        <v>iMarket XL</v>
      </c>
      <c r="E140" t="str">
        <f>IFERROR(__xludf.DUMMYFUNCTION("""COMPUTED_VALUE"""),"Y")</f>
        <v>Y</v>
      </c>
      <c r="F140" t="str">
        <f>IFERROR(__xludf.DUMMYFUNCTION("""COMPUTED_VALUE"""),"343528,Marketing,Social Media Marketing")</f>
        <v>343528,Marketing,Social Media Marketing</v>
      </c>
      <c r="G140" t="str">
        <f>IFERROR(__xludf.DUMMYFUNCTION("""COMPUTED_VALUE"""),"Y")</f>
        <v>Y</v>
      </c>
      <c r="H140" t="str">
        <f>IFERROR(__xludf.DUMMYFUNCTION("""COMPUTED_VALUE"""),"Below Quality Standards")</f>
        <v>Below Quality Standards</v>
      </c>
      <c r="I140" t="str">
        <f>IFERROR(__xludf.DUMMYFUNCTION("""COMPUTED_VALUE"""),"Marketing")</f>
        <v>Marketing</v>
      </c>
      <c r="J140" t="str">
        <f>IFERROR(__xludf.DUMMYFUNCTION("""COMPUTED_VALUE"""),"Social Media Marketing")</f>
        <v>Social Media Marketing</v>
      </c>
      <c r="K140" s="140">
        <f>IFERROR(__xludf.DUMMYFUNCTION("""COMPUTED_VALUE"""),959128.0)</f>
        <v>959128</v>
      </c>
      <c r="L140" s="140" t="str">
        <f>IFERROR(__xludf.DUMMYFUNCTION("""COMPUTED_VALUE"""),"")</f>
        <v/>
      </c>
      <c r="N140" s="140" t="str">
        <f>IFERROR(__xludf.DUMMYFUNCTION("""COMPUTED_VALUE"""),"")</f>
        <v/>
      </c>
    </row>
    <row r="141">
      <c r="A141" s="143">
        <f>IFERROR(__xludf.DUMMYFUNCTION("""COMPUTED_VALUE"""),42947.0)</f>
        <v>42947</v>
      </c>
      <c r="B141" s="140">
        <f>IFERROR(__xludf.DUMMYFUNCTION("""COMPUTED_VALUE"""),437538.0)</f>
        <v>437538</v>
      </c>
      <c r="C141" s="140" t="str">
        <f>IFERROR(__xludf.DUMMYFUNCTION("""COMPUTED_VALUE"""),"#N/A")</f>
        <v>#N/A</v>
      </c>
      <c r="D141" t="str">
        <f>IFERROR(__xludf.DUMMYFUNCTION("""COMPUTED_VALUE"""),"John Meixner")</f>
        <v>John Meixner</v>
      </c>
      <c r="E141" t="str">
        <f>IFERROR(__xludf.DUMMYFUNCTION("""COMPUTED_VALUE"""),"Y")</f>
        <v>Y</v>
      </c>
      <c r="F141" t="str">
        <f>IFERROR(__xludf.DUMMYFUNCTION("""COMPUTED_VALUE"""),"437538,Office Productivity,Collaboration")</f>
        <v>437538,Office Productivity,Collaboration</v>
      </c>
      <c r="G141" t="str">
        <f>IFERROR(__xludf.DUMMYFUNCTION("""COMPUTED_VALUE"""),"Y")</f>
        <v>Y</v>
      </c>
      <c r="H141" t="str">
        <f>IFERROR(__xludf.DUMMYFUNCTION("""COMPUTED_VALUE"""),"Instructor Request (Outdated)")</f>
        <v>Instructor Request (Outdated)</v>
      </c>
      <c r="I141" t="str">
        <f>IFERROR(__xludf.DUMMYFUNCTION("""COMPUTED_VALUE"""),"Office Productivity")</f>
        <v>Office Productivity</v>
      </c>
      <c r="J141" t="str">
        <f>IFERROR(__xludf.DUMMYFUNCTION("""COMPUTED_VALUE"""),"Collaboration")</f>
        <v>Collaboration</v>
      </c>
      <c r="K141" s="140">
        <f>IFERROR(__xludf.DUMMYFUNCTION("""COMPUTED_VALUE"""),529278.0)</f>
        <v>529278</v>
      </c>
      <c r="L141" s="140" t="str">
        <f>IFERROR(__xludf.DUMMYFUNCTION("""COMPUTED_VALUE"""),"")</f>
        <v/>
      </c>
      <c r="N141" s="140" t="str">
        <f>IFERROR(__xludf.DUMMYFUNCTION("""COMPUTED_VALUE"""),"")</f>
        <v/>
      </c>
      <c r="R141" t="str">
        <f>IFERROR(__xludf.DUMMYFUNCTION("""COMPUTED_VALUE"""),"Office Productivity")</f>
        <v>Office Productivity</v>
      </c>
      <c r="S141" s="143" t="str">
        <f>IFERROR(__xludf.DUMMYFUNCTION("""COMPUTED_VALUE"""),"Email and Productivity")</f>
        <v>Email and Productivity</v>
      </c>
    </row>
    <row r="142">
      <c r="A142" s="143">
        <f>IFERROR(__xludf.DUMMYFUNCTION("""COMPUTED_VALUE"""),42947.0)</f>
        <v>42947</v>
      </c>
      <c r="B142" s="140">
        <f>IFERROR(__xludf.DUMMYFUNCTION("""COMPUTED_VALUE"""),765778.0)</f>
        <v>765778</v>
      </c>
      <c r="C142" s="140" t="str">
        <f>IFERROR(__xludf.DUMMYFUNCTION("""COMPUTED_VALUE"""),"#N/A")</f>
        <v>#N/A</v>
      </c>
      <c r="D142" t="str">
        <f>IFERROR(__xludf.DUMMYFUNCTION("""COMPUTED_VALUE"""),"Phillip Burton")</f>
        <v>Phillip Burton</v>
      </c>
      <c r="E142" t="str">
        <f>IFERROR(__xludf.DUMMYFUNCTION("""COMPUTED_VALUE"""),"Y")</f>
        <v>Y</v>
      </c>
      <c r="F142" t="str">
        <f>IFERROR(__xludf.DUMMYFUNCTION("""COMPUTED_VALUE"""),"765778,Office Productivity,Word Processing")</f>
        <v>765778,Office Productivity,Word Processing</v>
      </c>
      <c r="G142" t="str">
        <f>IFERROR(__xludf.DUMMYFUNCTION("""COMPUTED_VALUE"""),"Y")</f>
        <v>Y</v>
      </c>
      <c r="H142" t="str">
        <f>IFERROR(__xludf.DUMMYFUNCTION("""COMPUTED_VALUE"""),"Instructor Request")</f>
        <v>Instructor Request</v>
      </c>
      <c r="I142" t="str">
        <f>IFERROR(__xludf.DUMMYFUNCTION("""COMPUTED_VALUE"""),"Office Productivity")</f>
        <v>Office Productivity</v>
      </c>
      <c r="J142" t="str">
        <f>IFERROR(__xludf.DUMMYFUNCTION("""COMPUTED_VALUE"""),"Word Processing")</f>
        <v>Word Processing</v>
      </c>
      <c r="K142" s="140">
        <f>IFERROR(__xludf.DUMMYFUNCTION("""COMPUTED_VALUE"""),36431.0)</f>
        <v>36431</v>
      </c>
      <c r="L142" s="140" t="str">
        <f>IFERROR(__xludf.DUMMYFUNCTION("""COMPUTED_VALUE"""),"")</f>
        <v/>
      </c>
      <c r="N142" s="140" t="str">
        <f>IFERROR(__xludf.DUMMYFUNCTION("""COMPUTED_VALUE"""),"")</f>
        <v/>
      </c>
    </row>
    <row r="143">
      <c r="A143" s="143">
        <f>IFERROR(__xludf.DUMMYFUNCTION("""COMPUTED_VALUE"""),42947.0)</f>
        <v>42947</v>
      </c>
      <c r="B143" s="140">
        <f>IFERROR(__xludf.DUMMYFUNCTION("""COMPUTED_VALUE"""),612684.0)</f>
        <v>612684</v>
      </c>
      <c r="C143" s="140" t="str">
        <f>IFERROR(__xludf.DUMMYFUNCTION("""COMPUTED_VALUE"""),"#N/A")</f>
        <v>#N/A</v>
      </c>
      <c r="D143" t="str">
        <f>IFERROR(__xludf.DUMMYFUNCTION("""COMPUTED_VALUE"""),"John Meixner")</f>
        <v>John Meixner</v>
      </c>
      <c r="E143" t="str">
        <f>IFERROR(__xludf.DUMMYFUNCTION("""COMPUTED_VALUE"""),"Y")</f>
        <v>Y</v>
      </c>
      <c r="F143" t="str">
        <f>IFERROR(__xludf.DUMMYFUNCTION("""COMPUTED_VALUE"""),"612684,Operating Systems and Servers,Office Productivity")</f>
        <v>612684,Operating Systems and Servers,Office Productivity</v>
      </c>
      <c r="G143" t="str">
        <f>IFERROR(__xludf.DUMMYFUNCTION("""COMPUTED_VALUE"""),"Y")</f>
        <v>Y</v>
      </c>
      <c r="H143" t="str">
        <f>IFERROR(__xludf.DUMMYFUNCTION("""COMPUTED_VALUE"""),"Instructor Request (Outdated)")</f>
        <v>Instructor Request (Outdated)</v>
      </c>
      <c r="I143" t="str">
        <f>IFERROR(__xludf.DUMMYFUNCTION("""COMPUTED_VALUE"""),"Operating Systems and Servers")</f>
        <v>Operating Systems and Servers</v>
      </c>
      <c r="J143" t="str">
        <f>IFERROR(__xludf.DUMMYFUNCTION("""COMPUTED_VALUE"""),"Office Productivity")</f>
        <v>Office Productivity</v>
      </c>
      <c r="K143" s="140">
        <f>IFERROR(__xludf.DUMMYFUNCTION("""COMPUTED_VALUE"""),529278.0)</f>
        <v>529278</v>
      </c>
      <c r="L143" s="140" t="str">
        <f>IFERROR(__xludf.DUMMYFUNCTION("""COMPUTED_VALUE"""),"")</f>
        <v/>
      </c>
      <c r="N143" s="140" t="str">
        <f>IFERROR(__xludf.DUMMYFUNCTION("""COMPUTED_VALUE"""),"")</f>
        <v/>
      </c>
      <c r="R143" t="str">
        <f>IFERROR(__xludf.DUMMYFUNCTION("""COMPUTED_VALUE"""),"Collaboration")</f>
        <v>Collaboration</v>
      </c>
    </row>
    <row r="144">
      <c r="A144" s="143">
        <f>IFERROR(__xludf.DUMMYFUNCTION("""COMPUTED_VALUE"""),42947.0)</f>
        <v>42947</v>
      </c>
      <c r="B144" s="140">
        <f>IFERROR(__xludf.DUMMYFUNCTION("""COMPUTED_VALUE"""),56699.0)</f>
        <v>56699</v>
      </c>
      <c r="C144" s="140" t="str">
        <f>IFERROR(__xludf.DUMMYFUNCTION("""COMPUTED_VALUE"""),"#N/A")</f>
        <v>#N/A</v>
      </c>
      <c r="D144" t="str">
        <f>IFERROR(__xludf.DUMMYFUNCTION("""COMPUTED_VALUE"""),"Nicholas Muldoon")</f>
        <v>Nicholas Muldoon</v>
      </c>
      <c r="E144" t="str">
        <f>IFERROR(__xludf.DUMMYFUNCTION("""COMPUTED_VALUE"""),"Y")</f>
        <v>Y</v>
      </c>
      <c r="F144" t="str">
        <f>IFERROR(__xludf.DUMMYFUNCTION("""COMPUTED_VALUE"""),"56699,Project Management and Operations,Agile and Scrum")</f>
        <v>56699,Project Management and Operations,Agile and Scrum</v>
      </c>
      <c r="G144" t="str">
        <f>IFERROR(__xludf.DUMMYFUNCTION("""COMPUTED_VALUE"""),"Y")</f>
        <v>Y</v>
      </c>
      <c r="H144" t="str">
        <f>IFERROR(__xludf.DUMMYFUNCTION("""COMPUTED_VALUE"""),"Export Compliance")</f>
        <v>Export Compliance</v>
      </c>
      <c r="I144" t="str">
        <f>IFERROR(__xludf.DUMMYFUNCTION("""COMPUTED_VALUE"""),"Project Management and Operations")</f>
        <v>Project Management and Operations</v>
      </c>
      <c r="J144" t="str">
        <f>IFERROR(__xludf.DUMMYFUNCTION("""COMPUTED_VALUE"""),"Agile and Scrum")</f>
        <v>Agile and Scrum</v>
      </c>
      <c r="K144" s="140">
        <f>IFERROR(__xludf.DUMMYFUNCTION("""COMPUTED_VALUE"""),770336.0)</f>
        <v>770336</v>
      </c>
      <c r="L144" s="140" t="str">
        <f>IFERROR(__xludf.DUMMYFUNCTION("""COMPUTED_VALUE"""),"")</f>
        <v/>
      </c>
      <c r="N144" s="140" t="str">
        <f>IFERROR(__xludf.DUMMYFUNCTION("""COMPUTED_VALUE"""),"")</f>
        <v/>
      </c>
    </row>
    <row r="145">
      <c r="A145" s="143">
        <f>IFERROR(__xludf.DUMMYFUNCTION("""COMPUTED_VALUE"""),42947.0)</f>
        <v>42947</v>
      </c>
      <c r="B145" s="140">
        <f>IFERROR(__xludf.DUMMYFUNCTION("""COMPUTED_VALUE"""),48292.0)</f>
        <v>48292</v>
      </c>
      <c r="C145" s="140" t="str">
        <f>IFERROR(__xludf.DUMMYFUNCTION("""COMPUTED_VALUE"""),"#N/A")</f>
        <v>#N/A</v>
      </c>
      <c r="D145" t="str">
        <f>IFERROR(__xludf.DUMMYFUNCTION("""COMPUTED_VALUE"""),"Jeffrey Gitomer")</f>
        <v>Jeffrey Gitomer</v>
      </c>
      <c r="E145" t="str">
        <f>IFERROR(__xludf.DUMMYFUNCTION("""COMPUTED_VALUE"""),"Y")</f>
        <v>Y</v>
      </c>
      <c r="F145" t="str">
        <f>IFERROR(__xludf.DUMMYFUNCTION("""COMPUTED_VALUE"""),"48292,Sales,Sales Tools and Techniques")</f>
        <v>48292,Sales,Sales Tools and Techniques</v>
      </c>
      <c r="G145" t="str">
        <f>IFERROR(__xludf.DUMMYFUNCTION("""COMPUTED_VALUE"""),"Y")</f>
        <v>Y</v>
      </c>
      <c r="H145" t="str">
        <f>IFERROR(__xludf.DUMMYFUNCTION("""COMPUTED_VALUE"""),"Export Compliance")</f>
        <v>Export Compliance</v>
      </c>
      <c r="I145" t="str">
        <f>IFERROR(__xludf.DUMMYFUNCTION("""COMPUTED_VALUE"""),"Sales")</f>
        <v>Sales</v>
      </c>
      <c r="J145" t="str">
        <f>IFERROR(__xludf.DUMMYFUNCTION("""COMPUTED_VALUE"""),"Sales Tools and Techniques")</f>
        <v>Sales Tools and Techniques</v>
      </c>
      <c r="K145" s="140">
        <f>IFERROR(__xludf.DUMMYFUNCTION("""COMPUTED_VALUE"""),619692.0)</f>
        <v>619692</v>
      </c>
      <c r="L145" s="140" t="str">
        <f>IFERROR(__xludf.DUMMYFUNCTION("""COMPUTED_VALUE"""),"")</f>
        <v/>
      </c>
      <c r="M145" s="140">
        <f>IFERROR(__xludf.DUMMYFUNCTION("""COMPUTED_VALUE"""),563478.0)</f>
        <v>563478</v>
      </c>
      <c r="N145" s="140" t="str">
        <f>IFERROR(__xludf.DUMMYFUNCTION("""COMPUTED_VALUE"""),"")</f>
        <v/>
      </c>
    </row>
    <row r="146">
      <c r="A146" s="143">
        <f>IFERROR(__xludf.DUMMYFUNCTION("""COMPUTED_VALUE"""),42947.0)</f>
        <v>42947</v>
      </c>
      <c r="B146" s="140">
        <f>IFERROR(__xludf.DUMMYFUNCTION("""COMPUTED_VALUE"""),49279.0)</f>
        <v>49279</v>
      </c>
      <c r="C146" s="140" t="str">
        <f>IFERROR(__xludf.DUMMYFUNCTION("""COMPUTED_VALUE"""),"#N/A")</f>
        <v>#N/A</v>
      </c>
      <c r="D146" t="str">
        <f>IFERROR(__xludf.DUMMYFUNCTION("""COMPUTED_VALUE"""),"Jeffrey Gitomer")</f>
        <v>Jeffrey Gitomer</v>
      </c>
      <c r="E146" t="str">
        <f>IFERROR(__xludf.DUMMYFUNCTION("""COMPUTED_VALUE"""),"Y")</f>
        <v>Y</v>
      </c>
      <c r="F146" t="str">
        <f>IFERROR(__xludf.DUMMYFUNCTION("""COMPUTED_VALUE"""),"49279,Sales,Sales Tools and Techniques")</f>
        <v>49279,Sales,Sales Tools and Techniques</v>
      </c>
      <c r="G146" t="str">
        <f>IFERROR(__xludf.DUMMYFUNCTION("""COMPUTED_VALUE"""),"Y")</f>
        <v>Y</v>
      </c>
      <c r="H146" t="str">
        <f>IFERROR(__xludf.DUMMYFUNCTION("""COMPUTED_VALUE"""),"Export Compliance")</f>
        <v>Export Compliance</v>
      </c>
      <c r="I146" t="str">
        <f>IFERROR(__xludf.DUMMYFUNCTION("""COMPUTED_VALUE"""),"Sales")</f>
        <v>Sales</v>
      </c>
      <c r="J146" t="str">
        <f>IFERROR(__xludf.DUMMYFUNCTION("""COMPUTED_VALUE"""),"Sales Tools and Techniques")</f>
        <v>Sales Tools and Techniques</v>
      </c>
      <c r="K146" s="140">
        <f>IFERROR(__xludf.DUMMYFUNCTION("""COMPUTED_VALUE"""),619692.0)</f>
        <v>619692</v>
      </c>
      <c r="L146" s="140" t="str">
        <f>IFERROR(__xludf.DUMMYFUNCTION("""COMPUTED_VALUE"""),"")</f>
        <v/>
      </c>
      <c r="M146" s="140">
        <f>IFERROR(__xludf.DUMMYFUNCTION("""COMPUTED_VALUE"""),563478.0)</f>
        <v>563478</v>
      </c>
      <c r="N146" s="140" t="str">
        <f>IFERROR(__xludf.DUMMYFUNCTION("""COMPUTED_VALUE"""),"")</f>
        <v/>
      </c>
    </row>
    <row r="147">
      <c r="A147" s="143">
        <f>IFERROR(__xludf.DUMMYFUNCTION("""COMPUTED_VALUE"""),42916.0)</f>
        <v>42916</v>
      </c>
      <c r="B147" s="140">
        <f>IFERROR(__xludf.DUMMYFUNCTION("""COMPUTED_VALUE"""),50224.0)</f>
        <v>50224</v>
      </c>
      <c r="C147" s="140" t="str">
        <f>IFERROR(__xludf.DUMMYFUNCTION("""COMPUTED_VALUE"""),"#N/A")</f>
        <v>#N/A</v>
      </c>
      <c r="D147" t="str">
        <f>IFERROR(__xludf.DUMMYFUNCTION("""COMPUTED_VALUE"""),"Intellezy Trainers")</f>
        <v>Intellezy Trainers</v>
      </c>
      <c r="E147" t="str">
        <f>IFERROR(__xludf.DUMMYFUNCTION("""COMPUTED_VALUE"""),"Y")</f>
        <v>Y</v>
      </c>
      <c r="F147" t="str">
        <f>IFERROR(__xludf.DUMMYFUNCTION("""COMPUTED_VALUE"""),"50224,Office Productivity,Email and Productivity")</f>
        <v>50224,Office Productivity,Email and Productivity</v>
      </c>
      <c r="G147" t="str">
        <f>IFERROR(__xludf.DUMMYFUNCTION("""COMPUTED_VALUE"""),"Y")</f>
        <v>Y</v>
      </c>
      <c r="H147" t="str">
        <f>IFERROR(__xludf.DUMMYFUNCTION("""COMPUTED_VALUE"""),"Outdated")</f>
        <v>Outdated</v>
      </c>
      <c r="I147" t="str">
        <f>IFERROR(__xludf.DUMMYFUNCTION("""COMPUTED_VALUE"""),"Office Productivity")</f>
        <v>Office Productivity</v>
      </c>
      <c r="J147" t="str">
        <f>IFERROR(__xludf.DUMMYFUNCTION("""COMPUTED_VALUE"""),"Email and Productivity")</f>
        <v>Email and Productivity</v>
      </c>
      <c r="K147" s="140">
        <f>IFERROR(__xludf.DUMMYFUNCTION("""COMPUTED_VALUE"""),51797.0)</f>
        <v>51797</v>
      </c>
      <c r="L147" s="140" t="str">
        <f>IFERROR(__xludf.DUMMYFUNCTION("""COMPUTED_VALUE"""),"")</f>
        <v/>
      </c>
      <c r="N147" s="140" t="str">
        <f>IFERROR(__xludf.DUMMYFUNCTION("""COMPUTED_VALUE"""),"")</f>
        <v/>
      </c>
    </row>
    <row r="148">
      <c r="A148" s="143">
        <f>IFERROR(__xludf.DUMMYFUNCTION("""COMPUTED_VALUE"""),42916.0)</f>
        <v>42916</v>
      </c>
      <c r="B148" s="140">
        <f>IFERROR(__xludf.DUMMYFUNCTION("""COMPUTED_VALUE"""),621022.0)</f>
        <v>621022</v>
      </c>
      <c r="C148" s="140" t="str">
        <f>IFERROR(__xludf.DUMMYFUNCTION("""COMPUTED_VALUE"""),"#N/A")</f>
        <v>#N/A</v>
      </c>
      <c r="D148" t="str">
        <f>IFERROR(__xludf.DUMMYFUNCTION("""COMPUTED_VALUE"""),"Eduonix Learning Solutions")</f>
        <v>Eduonix Learning Solutions</v>
      </c>
      <c r="E148" t="str">
        <f>IFERROR(__xludf.DUMMYFUNCTION("""COMPUTED_VALUE"""),"Y")</f>
        <v>Y</v>
      </c>
      <c r="F148" t="str">
        <f>IFERROR(__xludf.DUMMYFUNCTION("""COMPUTED_VALUE"""),"621022,Development,Databases")</f>
        <v>621022,Development,Databases</v>
      </c>
      <c r="G148" t="str">
        <f>IFERROR(__xludf.DUMMYFUNCTION("""COMPUTED_VALUE"""),"Y")</f>
        <v>Y</v>
      </c>
      <c r="H148" t="str">
        <f>IFERROR(__xludf.DUMMYFUNCTION("""COMPUTED_VALUE"""),"Below Quality Standards")</f>
        <v>Below Quality Standards</v>
      </c>
      <c r="I148" t="str">
        <f>IFERROR(__xludf.DUMMYFUNCTION("""COMPUTED_VALUE"""),"Development")</f>
        <v>Development</v>
      </c>
      <c r="J148" t="str">
        <f>IFERROR(__xludf.DUMMYFUNCTION("""COMPUTED_VALUE"""),"Databases")</f>
        <v>Databases</v>
      </c>
      <c r="K148" s="140">
        <f>IFERROR(__xludf.DUMMYFUNCTION("""COMPUTED_VALUE"""),1000574.0)</f>
        <v>1000574</v>
      </c>
      <c r="L148" s="140" t="str">
        <f>IFERROR(__xludf.DUMMYFUNCTION("""COMPUTED_VALUE"""),"")</f>
        <v/>
      </c>
      <c r="N148" s="140" t="str">
        <f>IFERROR(__xludf.DUMMYFUNCTION("""COMPUTED_VALUE"""),"")</f>
        <v/>
      </c>
    </row>
    <row r="149">
      <c r="A149" s="143">
        <f>IFERROR(__xludf.DUMMYFUNCTION("""COMPUTED_VALUE"""),42916.0)</f>
        <v>42916</v>
      </c>
      <c r="B149" s="140">
        <f>IFERROR(__xludf.DUMMYFUNCTION("""COMPUTED_VALUE"""),64422.0)</f>
        <v>64422</v>
      </c>
      <c r="C149" s="140" t="str">
        <f>IFERROR(__xludf.DUMMYFUNCTION("""COMPUTED_VALUE"""),"#N/A")</f>
        <v>#N/A</v>
      </c>
      <c r="D149" t="str">
        <f>IFERROR(__xludf.DUMMYFUNCTION("""COMPUTED_VALUE"""),"John Bura")</f>
        <v>John Bura</v>
      </c>
      <c r="E149" t="str">
        <f>IFERROR(__xludf.DUMMYFUNCTION("""COMPUTED_VALUE"""),"Y")</f>
        <v>Y</v>
      </c>
      <c r="F149" t="str">
        <f>IFERROR(__xludf.DUMMYFUNCTION("""COMPUTED_VALUE"""),"64422,Development,Web Development")</f>
        <v>64422,Development,Web Development</v>
      </c>
      <c r="G149" t="str">
        <f>IFERROR(__xludf.DUMMYFUNCTION("""COMPUTED_VALUE"""),"Y")</f>
        <v>Y</v>
      </c>
      <c r="H149" t="str">
        <f>IFERROR(__xludf.DUMMYFUNCTION("""COMPUTED_VALUE"""),"Below Quality Standards")</f>
        <v>Below Quality Standards</v>
      </c>
      <c r="I149" t="str">
        <f>IFERROR(__xludf.DUMMYFUNCTION("""COMPUTED_VALUE"""),"Development")</f>
        <v>Development</v>
      </c>
      <c r="J149" t="str">
        <f>IFERROR(__xludf.DUMMYFUNCTION("""COMPUTED_VALUE"""),"Web Development")</f>
        <v>Web Development</v>
      </c>
      <c r="K149" s="140">
        <f>IFERROR(__xludf.DUMMYFUNCTION("""COMPUTED_VALUE"""),876850.0)</f>
        <v>876850</v>
      </c>
      <c r="L149" s="140" t="str">
        <f>IFERROR(__xludf.DUMMYFUNCTION("""COMPUTED_VALUE"""),"")</f>
        <v/>
      </c>
      <c r="N149" s="140" t="str">
        <f>IFERROR(__xludf.DUMMYFUNCTION("""COMPUTED_VALUE"""),"")</f>
        <v/>
      </c>
    </row>
    <row r="150">
      <c r="A150" s="143">
        <f>IFERROR(__xludf.DUMMYFUNCTION("""COMPUTED_VALUE"""),42916.0)</f>
        <v>42916</v>
      </c>
      <c r="B150" s="140">
        <f>IFERROR(__xludf.DUMMYFUNCTION("""COMPUTED_VALUE"""),128948.0)</f>
        <v>128948</v>
      </c>
      <c r="C150" s="140" t="str">
        <f>IFERROR(__xludf.DUMMYFUNCTION("""COMPUTED_VALUE"""),"#N/A")</f>
        <v>#N/A</v>
      </c>
      <c r="D150" t="str">
        <f>IFERROR(__xludf.DUMMYFUNCTION("""COMPUTED_VALUE"""),"Eduonix Learning Solutions")</f>
        <v>Eduonix Learning Solutions</v>
      </c>
      <c r="E150" t="str">
        <f>IFERROR(__xludf.DUMMYFUNCTION("""COMPUTED_VALUE"""),"Y")</f>
        <v>Y</v>
      </c>
      <c r="F150" t="str">
        <f>IFERROR(__xludf.DUMMYFUNCTION("""COMPUTED_VALUE"""),"128948,Development,Web Development")</f>
        <v>128948,Development,Web Development</v>
      </c>
      <c r="G150" t="str">
        <f>IFERROR(__xludf.DUMMYFUNCTION("""COMPUTED_VALUE"""),"Y")</f>
        <v>Y</v>
      </c>
      <c r="H150" t="str">
        <f>IFERROR(__xludf.DUMMYFUNCTION("""COMPUTED_VALUE"""),"Below Quality Standards")</f>
        <v>Below Quality Standards</v>
      </c>
      <c r="I150" t="str">
        <f>IFERROR(__xludf.DUMMYFUNCTION("""COMPUTED_VALUE"""),"Development")</f>
        <v>Development</v>
      </c>
      <c r="J150" t="str">
        <f>IFERROR(__xludf.DUMMYFUNCTION("""COMPUTED_VALUE"""),"Web Development")</f>
        <v>Web Development</v>
      </c>
      <c r="K150" s="140">
        <f>IFERROR(__xludf.DUMMYFUNCTION("""COMPUTED_VALUE"""),915986.0)</f>
        <v>915986</v>
      </c>
      <c r="L150" s="140" t="str">
        <f>IFERROR(__xludf.DUMMYFUNCTION("""COMPUTED_VALUE"""),"")</f>
        <v/>
      </c>
      <c r="N150" s="140" t="str">
        <f>IFERROR(__xludf.DUMMYFUNCTION("""COMPUTED_VALUE"""),"")</f>
        <v/>
      </c>
    </row>
    <row r="151">
      <c r="A151" s="143">
        <f>IFERROR(__xludf.DUMMYFUNCTION("""COMPUTED_VALUE"""),42916.0)</f>
        <v>42916</v>
      </c>
      <c r="B151" s="140">
        <f>IFERROR(__xludf.DUMMYFUNCTION("""COMPUTED_VALUE"""),405878.0)</f>
        <v>405878</v>
      </c>
      <c r="C151" s="140" t="str">
        <f>IFERROR(__xludf.DUMMYFUNCTION("""COMPUTED_VALUE"""),"#N/A")</f>
        <v>#N/A</v>
      </c>
      <c r="D151" t="str">
        <f>IFERROR(__xludf.DUMMYFUNCTION("""COMPUTED_VALUE"""),"Edwin Diaz")</f>
        <v>Edwin Diaz</v>
      </c>
      <c r="E151" t="str">
        <f>IFERROR(__xludf.DUMMYFUNCTION("""COMPUTED_VALUE"""),"Y")</f>
        <v>Y</v>
      </c>
      <c r="F151" t="str">
        <f>IFERROR(__xludf.DUMMYFUNCTION("""COMPUTED_VALUE"""),"405878,Development,Web Development")</f>
        <v>405878,Development,Web Development</v>
      </c>
      <c r="G151" t="str">
        <f>IFERROR(__xludf.DUMMYFUNCTION("""COMPUTED_VALUE"""),"Y")</f>
        <v>Y</v>
      </c>
      <c r="H151" t="str">
        <f>IFERROR(__xludf.DUMMYFUNCTION("""COMPUTED_VALUE"""),"Below Quality Standards")</f>
        <v>Below Quality Standards</v>
      </c>
      <c r="I151" t="str">
        <f>IFERROR(__xludf.DUMMYFUNCTION("""COMPUTED_VALUE"""),"Development")</f>
        <v>Development</v>
      </c>
      <c r="J151" t="str">
        <f>IFERROR(__xludf.DUMMYFUNCTION("""COMPUTED_VALUE"""),"Web Development")</f>
        <v>Web Development</v>
      </c>
      <c r="K151" s="140">
        <f>IFERROR(__xludf.DUMMYFUNCTION("""COMPUTED_VALUE"""),629302.0)</f>
        <v>629302</v>
      </c>
      <c r="L151" s="140" t="str">
        <f>IFERROR(__xludf.DUMMYFUNCTION("""COMPUTED_VALUE"""),"")</f>
        <v/>
      </c>
      <c r="N151" s="140" t="str">
        <f>IFERROR(__xludf.DUMMYFUNCTION("""COMPUTED_VALUE"""),"")</f>
        <v/>
      </c>
    </row>
    <row r="152">
      <c r="A152" s="143">
        <f>IFERROR(__xludf.DUMMYFUNCTION("""COMPUTED_VALUE"""),42916.0)</f>
        <v>42916</v>
      </c>
      <c r="B152" s="140">
        <f>IFERROR(__xludf.DUMMYFUNCTION("""COMPUTED_VALUE"""),542332.0)</f>
        <v>542332</v>
      </c>
      <c r="C152" s="140" t="str">
        <f>IFERROR(__xludf.DUMMYFUNCTION("""COMPUTED_VALUE"""),"#N/A")</f>
        <v>#N/A</v>
      </c>
      <c r="D152" t="str">
        <f>IFERROR(__xludf.DUMMYFUNCTION("""COMPUTED_VALUE"""),"Fitch Learning")</f>
        <v>Fitch Learning</v>
      </c>
      <c r="E152" t="str">
        <f>IFERROR(__xludf.DUMMYFUNCTION("""COMPUTED_VALUE"""),"Y")</f>
        <v>Y</v>
      </c>
      <c r="F152" t="str">
        <f>IFERROR(__xludf.DUMMYFUNCTION("""COMPUTED_VALUE"""),"542332,Finance and Accounting,Financial Modeling and Analysis")</f>
        <v>542332,Finance and Accounting,Financial Modeling and Analysis</v>
      </c>
      <c r="G152" t="str">
        <f>IFERROR(__xludf.DUMMYFUNCTION("""COMPUTED_VALUE"""),"Y")</f>
        <v>Y</v>
      </c>
      <c r="H152" t="str">
        <f>IFERROR(__xludf.DUMMYFUNCTION("""COMPUTED_VALUE"""),"Below Quality Standards")</f>
        <v>Below Quality Standards</v>
      </c>
      <c r="I152" t="str">
        <f>IFERROR(__xludf.DUMMYFUNCTION("""COMPUTED_VALUE"""),"Finance and Accounting")</f>
        <v>Finance and Accounting</v>
      </c>
      <c r="J152" t="str">
        <f>IFERROR(__xludf.DUMMYFUNCTION("""COMPUTED_VALUE"""),"Financial Modeling and Analysis")</f>
        <v>Financial Modeling and Analysis</v>
      </c>
      <c r="K152" s="140">
        <f>IFERROR(__xludf.DUMMYFUNCTION("""COMPUTED_VALUE"""),72014.0)</f>
        <v>72014</v>
      </c>
      <c r="L152" s="140" t="str">
        <f>IFERROR(__xludf.DUMMYFUNCTION("""COMPUTED_VALUE"""),"")</f>
        <v/>
      </c>
      <c r="N152" s="140" t="str">
        <f>IFERROR(__xludf.DUMMYFUNCTION("""COMPUTED_VALUE"""),"")</f>
        <v/>
      </c>
    </row>
    <row r="153">
      <c r="A153" s="143">
        <f>IFERROR(__xludf.DUMMYFUNCTION("""COMPUTED_VALUE"""),42916.0)</f>
        <v>42916</v>
      </c>
      <c r="B153" s="140">
        <f>IFERROR(__xludf.DUMMYFUNCTION("""COMPUTED_VALUE"""),73046.0)</f>
        <v>73046</v>
      </c>
      <c r="C153" s="140" t="str">
        <f>IFERROR(__xludf.DUMMYFUNCTION("""COMPUTED_VALUE"""),"#N/A")</f>
        <v>#N/A</v>
      </c>
      <c r="D153" t="str">
        <f>IFERROR(__xludf.DUMMYFUNCTION("""COMPUTED_VALUE"""),"Fitch Learning")</f>
        <v>Fitch Learning</v>
      </c>
      <c r="E153" t="str">
        <f>IFERROR(__xludf.DUMMYFUNCTION("""COMPUTED_VALUE"""),"Y")</f>
        <v>Y</v>
      </c>
      <c r="F153" t="str">
        <f>IFERROR(__xludf.DUMMYFUNCTION("""COMPUTED_VALUE"""),"73046,Finance and Accounting,Financial Modeling and Analysis")</f>
        <v>73046,Finance and Accounting,Financial Modeling and Analysis</v>
      </c>
      <c r="G153" t="str">
        <f>IFERROR(__xludf.DUMMYFUNCTION("""COMPUTED_VALUE"""),"Y")</f>
        <v>Y</v>
      </c>
      <c r="H153" t="str">
        <f>IFERROR(__xludf.DUMMYFUNCTION("""COMPUTED_VALUE"""),"Below Quality Standards")</f>
        <v>Below Quality Standards</v>
      </c>
      <c r="I153" t="str">
        <f>IFERROR(__xludf.DUMMYFUNCTION("""COMPUTED_VALUE"""),"Finance and Accounting")</f>
        <v>Finance and Accounting</v>
      </c>
      <c r="J153" t="str">
        <f>IFERROR(__xludf.DUMMYFUNCTION("""COMPUTED_VALUE"""),"Financial Modeling and Analysis")</f>
        <v>Financial Modeling and Analysis</v>
      </c>
      <c r="K153" s="140">
        <f>IFERROR(__xludf.DUMMYFUNCTION("""COMPUTED_VALUE"""),72014.0)</f>
        <v>72014</v>
      </c>
      <c r="L153" s="140" t="str">
        <f>IFERROR(__xludf.DUMMYFUNCTION("""COMPUTED_VALUE"""),"")</f>
        <v/>
      </c>
      <c r="N153" s="140" t="str">
        <f>IFERROR(__xludf.DUMMYFUNCTION("""COMPUTED_VALUE"""),"")</f>
        <v/>
      </c>
    </row>
    <row r="154">
      <c r="A154" s="143">
        <f>IFERROR(__xludf.DUMMYFUNCTION("""COMPUTED_VALUE"""),42916.0)</f>
        <v>42916</v>
      </c>
      <c r="B154" s="140">
        <f>IFERROR(__xludf.DUMMYFUNCTION("""COMPUTED_VALUE"""),73044.0)</f>
        <v>73044</v>
      </c>
      <c r="C154" s="140" t="str">
        <f>IFERROR(__xludf.DUMMYFUNCTION("""COMPUTED_VALUE"""),"#N/A")</f>
        <v>#N/A</v>
      </c>
      <c r="D154" t="str">
        <f>IFERROR(__xludf.DUMMYFUNCTION("""COMPUTED_VALUE"""),"Fitch Learning")</f>
        <v>Fitch Learning</v>
      </c>
      <c r="E154" t="str">
        <f>IFERROR(__xludf.DUMMYFUNCTION("""COMPUTED_VALUE"""),"Y")</f>
        <v>Y</v>
      </c>
      <c r="F154" t="str">
        <f>IFERROR(__xludf.DUMMYFUNCTION("""COMPUTED_VALUE"""),"73044,Finance and Accounting,Financial Modeling and Analysis")</f>
        <v>73044,Finance and Accounting,Financial Modeling and Analysis</v>
      </c>
      <c r="G154" t="str">
        <f>IFERROR(__xludf.DUMMYFUNCTION("""COMPUTED_VALUE"""),"Y")</f>
        <v>Y</v>
      </c>
      <c r="H154" t="str">
        <f>IFERROR(__xludf.DUMMYFUNCTION("""COMPUTED_VALUE"""),"Below Quality Standards")</f>
        <v>Below Quality Standards</v>
      </c>
      <c r="I154" t="str">
        <f>IFERROR(__xludf.DUMMYFUNCTION("""COMPUTED_VALUE"""),"Finance and Accounting")</f>
        <v>Finance and Accounting</v>
      </c>
      <c r="J154" t="str">
        <f>IFERROR(__xludf.DUMMYFUNCTION("""COMPUTED_VALUE"""),"Financial Modeling and Analysis")</f>
        <v>Financial Modeling and Analysis</v>
      </c>
      <c r="K154" s="140">
        <f>IFERROR(__xludf.DUMMYFUNCTION("""COMPUTED_VALUE"""),72014.0)</f>
        <v>72014</v>
      </c>
      <c r="L154" s="140" t="str">
        <f>IFERROR(__xludf.DUMMYFUNCTION("""COMPUTED_VALUE"""),"")</f>
        <v/>
      </c>
      <c r="N154" s="140" t="str">
        <f>IFERROR(__xludf.DUMMYFUNCTION("""COMPUTED_VALUE"""),"")</f>
        <v/>
      </c>
    </row>
    <row r="155">
      <c r="A155" s="143">
        <f>IFERROR(__xludf.DUMMYFUNCTION("""COMPUTED_VALUE"""),42916.0)</f>
        <v>42916</v>
      </c>
      <c r="B155" s="140">
        <f>IFERROR(__xludf.DUMMYFUNCTION("""COMPUTED_VALUE"""),542306.0)</f>
        <v>542306</v>
      </c>
      <c r="C155" s="140" t="str">
        <f>IFERROR(__xludf.DUMMYFUNCTION("""COMPUTED_VALUE"""),"#N/A")</f>
        <v>#N/A</v>
      </c>
      <c r="D155" t="str">
        <f>IFERROR(__xludf.DUMMYFUNCTION("""COMPUTED_VALUE"""),"Fitch Learning")</f>
        <v>Fitch Learning</v>
      </c>
      <c r="E155" t="str">
        <f>IFERROR(__xludf.DUMMYFUNCTION("""COMPUTED_VALUE"""),"Y")</f>
        <v>Y</v>
      </c>
      <c r="F155" t="str">
        <f>IFERROR(__xludf.DUMMYFUNCTION("""COMPUTED_VALUE"""),"542306,Finance and Accounting,Financial Modeling and Analysis")</f>
        <v>542306,Finance and Accounting,Financial Modeling and Analysis</v>
      </c>
      <c r="G155" t="str">
        <f>IFERROR(__xludf.DUMMYFUNCTION("""COMPUTED_VALUE"""),"Y")</f>
        <v>Y</v>
      </c>
      <c r="H155" t="str">
        <f>IFERROR(__xludf.DUMMYFUNCTION("""COMPUTED_VALUE"""),"Below Quality Standards")</f>
        <v>Below Quality Standards</v>
      </c>
      <c r="I155" t="str">
        <f>IFERROR(__xludf.DUMMYFUNCTION("""COMPUTED_VALUE"""),"Finance and Accounting")</f>
        <v>Finance and Accounting</v>
      </c>
      <c r="J155" t="str">
        <f>IFERROR(__xludf.DUMMYFUNCTION("""COMPUTED_VALUE"""),"Financial Modeling and Analysis")</f>
        <v>Financial Modeling and Analysis</v>
      </c>
      <c r="K155" s="140">
        <f>IFERROR(__xludf.DUMMYFUNCTION("""COMPUTED_VALUE"""),72014.0)</f>
        <v>72014</v>
      </c>
      <c r="L155" s="140" t="str">
        <f>IFERROR(__xludf.DUMMYFUNCTION("""COMPUTED_VALUE"""),"")</f>
        <v/>
      </c>
      <c r="N155" s="140" t="str">
        <f>IFERROR(__xludf.DUMMYFUNCTION("""COMPUTED_VALUE"""),"")</f>
        <v/>
      </c>
    </row>
    <row r="156">
      <c r="A156" s="143">
        <f>IFERROR(__xludf.DUMMYFUNCTION("""COMPUTED_VALUE"""),42916.0)</f>
        <v>42916</v>
      </c>
      <c r="B156" s="140">
        <f>IFERROR(__xludf.DUMMYFUNCTION("""COMPUTED_VALUE"""),500046.0)</f>
        <v>500046</v>
      </c>
      <c r="C156" s="140" t="str">
        <f>IFERROR(__xludf.DUMMYFUNCTION("""COMPUTED_VALUE"""),"#N/A")</f>
        <v>#N/A</v>
      </c>
      <c r="D156" t="str">
        <f>IFERROR(__xludf.DUMMYFUNCTION("""COMPUTED_VALUE"""),"Fitch Learning")</f>
        <v>Fitch Learning</v>
      </c>
      <c r="E156" t="str">
        <f>IFERROR(__xludf.DUMMYFUNCTION("""COMPUTED_VALUE"""),"Y")</f>
        <v>Y</v>
      </c>
      <c r="F156" t="str">
        <f>IFERROR(__xludf.DUMMYFUNCTION("""COMPUTED_VALUE"""),"500046,Finance and Accounting,Financial Modeling and Analysis")</f>
        <v>500046,Finance and Accounting,Financial Modeling and Analysis</v>
      </c>
      <c r="G156" t="str">
        <f>IFERROR(__xludf.DUMMYFUNCTION("""COMPUTED_VALUE"""),"Y")</f>
        <v>Y</v>
      </c>
      <c r="H156" t="str">
        <f>IFERROR(__xludf.DUMMYFUNCTION("""COMPUTED_VALUE"""),"Below Quality Standards")</f>
        <v>Below Quality Standards</v>
      </c>
      <c r="I156" t="str">
        <f>IFERROR(__xludf.DUMMYFUNCTION("""COMPUTED_VALUE"""),"Finance and Accounting")</f>
        <v>Finance and Accounting</v>
      </c>
      <c r="J156" t="str">
        <f>IFERROR(__xludf.DUMMYFUNCTION("""COMPUTED_VALUE"""),"Financial Modeling and Analysis")</f>
        <v>Financial Modeling and Analysis</v>
      </c>
      <c r="K156" s="140">
        <f>IFERROR(__xludf.DUMMYFUNCTION("""COMPUTED_VALUE"""),72014.0)</f>
        <v>72014</v>
      </c>
      <c r="L156" s="140" t="str">
        <f>IFERROR(__xludf.DUMMYFUNCTION("""COMPUTED_VALUE"""),"")</f>
        <v/>
      </c>
      <c r="N156" s="140" t="str">
        <f>IFERROR(__xludf.DUMMYFUNCTION("""COMPUTED_VALUE"""),"")</f>
        <v/>
      </c>
    </row>
    <row r="157">
      <c r="A157" s="143">
        <f>IFERROR(__xludf.DUMMYFUNCTION("""COMPUTED_VALUE"""),42916.0)</f>
        <v>42916</v>
      </c>
      <c r="B157" s="140">
        <f>IFERROR(__xludf.DUMMYFUNCTION("""COMPUTED_VALUE"""),73898.0)</f>
        <v>73898</v>
      </c>
      <c r="C157" s="140" t="str">
        <f>IFERROR(__xludf.DUMMYFUNCTION("""COMPUTED_VALUE"""),"#N/A")</f>
        <v>#N/A</v>
      </c>
      <c r="D157" t="str">
        <f>IFERROR(__xludf.DUMMYFUNCTION("""COMPUTED_VALUE"""),"Fitch Learning")</f>
        <v>Fitch Learning</v>
      </c>
      <c r="E157" t="str">
        <f>IFERROR(__xludf.DUMMYFUNCTION("""COMPUTED_VALUE"""),"Y")</f>
        <v>Y</v>
      </c>
      <c r="F157" t="str">
        <f>IFERROR(__xludf.DUMMYFUNCTION("""COMPUTED_VALUE"""),"73898,Finance and Accounting,Financial Modeling and Analysis")</f>
        <v>73898,Finance and Accounting,Financial Modeling and Analysis</v>
      </c>
      <c r="G157" t="str">
        <f>IFERROR(__xludf.DUMMYFUNCTION("""COMPUTED_VALUE"""),"Y")</f>
        <v>Y</v>
      </c>
      <c r="H157" t="str">
        <f>IFERROR(__xludf.DUMMYFUNCTION("""COMPUTED_VALUE"""),"Below Quality Standards")</f>
        <v>Below Quality Standards</v>
      </c>
      <c r="I157" t="str">
        <f>IFERROR(__xludf.DUMMYFUNCTION("""COMPUTED_VALUE"""),"Finance and Accounting")</f>
        <v>Finance and Accounting</v>
      </c>
      <c r="J157" t="str">
        <f>IFERROR(__xludf.DUMMYFUNCTION("""COMPUTED_VALUE"""),"Financial Modeling and Analysis")</f>
        <v>Financial Modeling and Analysis</v>
      </c>
      <c r="K157" s="140">
        <f>IFERROR(__xludf.DUMMYFUNCTION("""COMPUTED_VALUE"""),72014.0)</f>
        <v>72014</v>
      </c>
      <c r="L157" s="140" t="str">
        <f>IFERROR(__xludf.DUMMYFUNCTION("""COMPUTED_VALUE"""),"")</f>
        <v/>
      </c>
      <c r="N157" s="140" t="str">
        <f>IFERROR(__xludf.DUMMYFUNCTION("""COMPUTED_VALUE"""),"")</f>
        <v/>
      </c>
    </row>
    <row r="158">
      <c r="A158" s="143">
        <f>IFERROR(__xludf.DUMMYFUNCTION("""COMPUTED_VALUE"""),42916.0)</f>
        <v>42916</v>
      </c>
      <c r="B158" s="140">
        <f>IFERROR(__xludf.DUMMYFUNCTION("""COMPUTED_VALUE"""),73938.0)</f>
        <v>73938</v>
      </c>
      <c r="C158" s="140" t="str">
        <f>IFERROR(__xludf.DUMMYFUNCTION("""COMPUTED_VALUE"""),"#N/A")</f>
        <v>#N/A</v>
      </c>
      <c r="D158" t="str">
        <f>IFERROR(__xludf.DUMMYFUNCTION("""COMPUTED_VALUE"""),"Fitch Learning")</f>
        <v>Fitch Learning</v>
      </c>
      <c r="E158" t="str">
        <f>IFERROR(__xludf.DUMMYFUNCTION("""COMPUTED_VALUE"""),"Y")</f>
        <v>Y</v>
      </c>
      <c r="F158" t="str">
        <f>IFERROR(__xludf.DUMMYFUNCTION("""COMPUTED_VALUE"""),"73938,Finance and Accounting,Financial Modeling and Analysis")</f>
        <v>73938,Finance and Accounting,Financial Modeling and Analysis</v>
      </c>
      <c r="G158" t="str">
        <f>IFERROR(__xludf.DUMMYFUNCTION("""COMPUTED_VALUE"""),"Y")</f>
        <v>Y</v>
      </c>
      <c r="H158" t="str">
        <f>IFERROR(__xludf.DUMMYFUNCTION("""COMPUTED_VALUE"""),"Below Quality Standards")</f>
        <v>Below Quality Standards</v>
      </c>
      <c r="I158" t="str">
        <f>IFERROR(__xludf.DUMMYFUNCTION("""COMPUTED_VALUE"""),"Finance and Accounting")</f>
        <v>Finance and Accounting</v>
      </c>
      <c r="J158" t="str">
        <f>IFERROR(__xludf.DUMMYFUNCTION("""COMPUTED_VALUE"""),"Financial Modeling and Analysis")</f>
        <v>Financial Modeling and Analysis</v>
      </c>
      <c r="K158" s="140">
        <f>IFERROR(__xludf.DUMMYFUNCTION("""COMPUTED_VALUE"""),72014.0)</f>
        <v>72014</v>
      </c>
      <c r="L158" s="140" t="str">
        <f>IFERROR(__xludf.DUMMYFUNCTION("""COMPUTED_VALUE"""),"")</f>
        <v/>
      </c>
      <c r="N158" s="140" t="str">
        <f>IFERROR(__xludf.DUMMYFUNCTION("""COMPUTED_VALUE"""),"")</f>
        <v/>
      </c>
    </row>
    <row r="159">
      <c r="A159" s="143">
        <f>IFERROR(__xludf.DUMMYFUNCTION("""COMPUTED_VALUE"""),42916.0)</f>
        <v>42916</v>
      </c>
      <c r="B159" s="140">
        <f>IFERROR(__xludf.DUMMYFUNCTION("""COMPUTED_VALUE"""),73962.0)</f>
        <v>73962</v>
      </c>
      <c r="C159" s="140" t="str">
        <f>IFERROR(__xludf.DUMMYFUNCTION("""COMPUTED_VALUE"""),"#N/A")</f>
        <v>#N/A</v>
      </c>
      <c r="D159" t="str">
        <f>IFERROR(__xludf.DUMMYFUNCTION("""COMPUTED_VALUE"""),"Fitch Learning")</f>
        <v>Fitch Learning</v>
      </c>
      <c r="E159" t="str">
        <f>IFERROR(__xludf.DUMMYFUNCTION("""COMPUTED_VALUE"""),"Y")</f>
        <v>Y</v>
      </c>
      <c r="F159" t="str">
        <f>IFERROR(__xludf.DUMMYFUNCTION("""COMPUTED_VALUE"""),"73962,Finance and Accounting,Financial Modeling and Analysis")</f>
        <v>73962,Finance and Accounting,Financial Modeling and Analysis</v>
      </c>
      <c r="G159" t="str">
        <f>IFERROR(__xludf.DUMMYFUNCTION("""COMPUTED_VALUE"""),"Y")</f>
        <v>Y</v>
      </c>
      <c r="H159" t="str">
        <f>IFERROR(__xludf.DUMMYFUNCTION("""COMPUTED_VALUE"""),"Below Quality Standards")</f>
        <v>Below Quality Standards</v>
      </c>
      <c r="I159" t="str">
        <f>IFERROR(__xludf.DUMMYFUNCTION("""COMPUTED_VALUE"""),"Finance and Accounting")</f>
        <v>Finance and Accounting</v>
      </c>
      <c r="J159" t="str">
        <f>IFERROR(__xludf.DUMMYFUNCTION("""COMPUTED_VALUE"""),"Financial Modeling and Analysis")</f>
        <v>Financial Modeling and Analysis</v>
      </c>
      <c r="K159" s="140">
        <f>IFERROR(__xludf.DUMMYFUNCTION("""COMPUTED_VALUE"""),72014.0)</f>
        <v>72014</v>
      </c>
      <c r="L159" s="140" t="str">
        <f>IFERROR(__xludf.DUMMYFUNCTION("""COMPUTED_VALUE"""),"")</f>
        <v/>
      </c>
      <c r="N159" s="140" t="str">
        <f>IFERROR(__xludf.DUMMYFUNCTION("""COMPUTED_VALUE"""),"")</f>
        <v/>
      </c>
    </row>
    <row r="160">
      <c r="A160" s="143">
        <f>IFERROR(__xludf.DUMMYFUNCTION("""COMPUTED_VALUE"""),42916.0)</f>
        <v>42916</v>
      </c>
      <c r="B160" s="140">
        <f>IFERROR(__xludf.DUMMYFUNCTION("""COMPUTED_VALUE"""),74004.0)</f>
        <v>74004</v>
      </c>
      <c r="C160" s="140" t="str">
        <f>IFERROR(__xludf.DUMMYFUNCTION("""COMPUTED_VALUE"""),"#N/A")</f>
        <v>#N/A</v>
      </c>
      <c r="D160" t="str">
        <f>IFERROR(__xludf.DUMMYFUNCTION("""COMPUTED_VALUE"""),"Fitch Learning")</f>
        <v>Fitch Learning</v>
      </c>
      <c r="E160" t="str">
        <f>IFERROR(__xludf.DUMMYFUNCTION("""COMPUTED_VALUE"""),"Y")</f>
        <v>Y</v>
      </c>
      <c r="F160" t="str">
        <f>IFERROR(__xludf.DUMMYFUNCTION("""COMPUTED_VALUE"""),"74004,Finance and Accounting,Financial Modeling and Analysis")</f>
        <v>74004,Finance and Accounting,Financial Modeling and Analysis</v>
      </c>
      <c r="G160" t="str">
        <f>IFERROR(__xludf.DUMMYFUNCTION("""COMPUTED_VALUE"""),"Y")</f>
        <v>Y</v>
      </c>
      <c r="H160" t="str">
        <f>IFERROR(__xludf.DUMMYFUNCTION("""COMPUTED_VALUE"""),"Below Quality Standards")</f>
        <v>Below Quality Standards</v>
      </c>
      <c r="I160" t="str">
        <f>IFERROR(__xludf.DUMMYFUNCTION("""COMPUTED_VALUE"""),"Finance and Accounting")</f>
        <v>Finance and Accounting</v>
      </c>
      <c r="J160" t="str">
        <f>IFERROR(__xludf.DUMMYFUNCTION("""COMPUTED_VALUE"""),"Financial Modeling and Analysis")</f>
        <v>Financial Modeling and Analysis</v>
      </c>
      <c r="K160" s="140">
        <f>IFERROR(__xludf.DUMMYFUNCTION("""COMPUTED_VALUE"""),72014.0)</f>
        <v>72014</v>
      </c>
      <c r="L160" s="140" t="str">
        <f>IFERROR(__xludf.DUMMYFUNCTION("""COMPUTED_VALUE"""),"")</f>
        <v/>
      </c>
      <c r="N160" s="140" t="str">
        <f>IFERROR(__xludf.DUMMYFUNCTION("""COMPUTED_VALUE"""),"")</f>
        <v/>
      </c>
    </row>
    <row r="161">
      <c r="A161" s="143">
        <f>IFERROR(__xludf.DUMMYFUNCTION("""COMPUTED_VALUE"""),42916.0)</f>
        <v>42916</v>
      </c>
      <c r="B161" s="140">
        <f>IFERROR(__xludf.DUMMYFUNCTION("""COMPUTED_VALUE"""),74016.0)</f>
        <v>74016</v>
      </c>
      <c r="C161" s="140" t="str">
        <f>IFERROR(__xludf.DUMMYFUNCTION("""COMPUTED_VALUE"""),"#N/A")</f>
        <v>#N/A</v>
      </c>
      <c r="D161" t="str">
        <f>IFERROR(__xludf.DUMMYFUNCTION("""COMPUTED_VALUE"""),"Fitch Learning")</f>
        <v>Fitch Learning</v>
      </c>
      <c r="E161" t="str">
        <f>IFERROR(__xludf.DUMMYFUNCTION("""COMPUTED_VALUE"""),"Y")</f>
        <v>Y</v>
      </c>
      <c r="F161" t="str">
        <f>IFERROR(__xludf.DUMMYFUNCTION("""COMPUTED_VALUE"""),"74016,Finance and Accounting,Financial Modeling and Analysis")</f>
        <v>74016,Finance and Accounting,Financial Modeling and Analysis</v>
      </c>
      <c r="G161" t="str">
        <f>IFERROR(__xludf.DUMMYFUNCTION("""COMPUTED_VALUE"""),"Y")</f>
        <v>Y</v>
      </c>
      <c r="H161" t="str">
        <f>IFERROR(__xludf.DUMMYFUNCTION("""COMPUTED_VALUE"""),"Below Quality Standards")</f>
        <v>Below Quality Standards</v>
      </c>
      <c r="I161" t="str">
        <f>IFERROR(__xludf.DUMMYFUNCTION("""COMPUTED_VALUE"""),"Finance and Accounting")</f>
        <v>Finance and Accounting</v>
      </c>
      <c r="J161" t="str">
        <f>IFERROR(__xludf.DUMMYFUNCTION("""COMPUTED_VALUE"""),"Financial Modeling and Analysis")</f>
        <v>Financial Modeling and Analysis</v>
      </c>
      <c r="K161" s="140">
        <f>IFERROR(__xludf.DUMMYFUNCTION("""COMPUTED_VALUE"""),72014.0)</f>
        <v>72014</v>
      </c>
      <c r="L161" s="140" t="str">
        <f>IFERROR(__xludf.DUMMYFUNCTION("""COMPUTED_VALUE"""),"")</f>
        <v/>
      </c>
      <c r="N161" s="140" t="str">
        <f>IFERROR(__xludf.DUMMYFUNCTION("""COMPUTED_VALUE"""),"")</f>
        <v/>
      </c>
    </row>
    <row r="162">
      <c r="A162" s="143">
        <f>IFERROR(__xludf.DUMMYFUNCTION("""COMPUTED_VALUE"""),42916.0)</f>
        <v>42916</v>
      </c>
      <c r="B162" s="140">
        <f>IFERROR(__xludf.DUMMYFUNCTION("""COMPUTED_VALUE"""),74028.0)</f>
        <v>74028</v>
      </c>
      <c r="C162" s="140" t="str">
        <f>IFERROR(__xludf.DUMMYFUNCTION("""COMPUTED_VALUE"""),"#N/A")</f>
        <v>#N/A</v>
      </c>
      <c r="D162" t="str">
        <f>IFERROR(__xludf.DUMMYFUNCTION("""COMPUTED_VALUE"""),"Fitch Learning")</f>
        <v>Fitch Learning</v>
      </c>
      <c r="E162" t="str">
        <f>IFERROR(__xludf.DUMMYFUNCTION("""COMPUTED_VALUE"""),"Y")</f>
        <v>Y</v>
      </c>
      <c r="F162" t="str">
        <f>IFERROR(__xludf.DUMMYFUNCTION("""COMPUTED_VALUE"""),"74028,Finance and Accounting,Financial Modeling and Analysis")</f>
        <v>74028,Finance and Accounting,Financial Modeling and Analysis</v>
      </c>
      <c r="G162" t="str">
        <f>IFERROR(__xludf.DUMMYFUNCTION("""COMPUTED_VALUE"""),"Y")</f>
        <v>Y</v>
      </c>
      <c r="H162" t="str">
        <f>IFERROR(__xludf.DUMMYFUNCTION("""COMPUTED_VALUE"""),"Below Quality Standards")</f>
        <v>Below Quality Standards</v>
      </c>
      <c r="I162" t="str">
        <f>IFERROR(__xludf.DUMMYFUNCTION("""COMPUTED_VALUE"""),"Finance and Accounting")</f>
        <v>Finance and Accounting</v>
      </c>
      <c r="J162" t="str">
        <f>IFERROR(__xludf.DUMMYFUNCTION("""COMPUTED_VALUE"""),"Financial Modeling and Analysis")</f>
        <v>Financial Modeling and Analysis</v>
      </c>
      <c r="K162" s="140">
        <f>IFERROR(__xludf.DUMMYFUNCTION("""COMPUTED_VALUE"""),72014.0)</f>
        <v>72014</v>
      </c>
      <c r="L162" s="140" t="str">
        <f>IFERROR(__xludf.DUMMYFUNCTION("""COMPUTED_VALUE"""),"")</f>
        <v/>
      </c>
      <c r="N162" s="140" t="str">
        <f>IFERROR(__xludf.DUMMYFUNCTION("""COMPUTED_VALUE"""),"")</f>
        <v/>
      </c>
    </row>
    <row r="163">
      <c r="A163" s="143">
        <f>IFERROR(__xludf.DUMMYFUNCTION("""COMPUTED_VALUE"""),42916.0)</f>
        <v>42916</v>
      </c>
      <c r="B163" s="140">
        <f>IFERROR(__xludf.DUMMYFUNCTION("""COMPUTED_VALUE"""),102438.0)</f>
        <v>102438</v>
      </c>
      <c r="C163" s="140" t="str">
        <f>IFERROR(__xludf.DUMMYFUNCTION("""COMPUTED_VALUE"""),"#N/A")</f>
        <v>#N/A</v>
      </c>
      <c r="D163" t="str">
        <f>IFERROR(__xludf.DUMMYFUNCTION("""COMPUTED_VALUE"""),"Fitch Learning")</f>
        <v>Fitch Learning</v>
      </c>
      <c r="E163" t="str">
        <f>IFERROR(__xludf.DUMMYFUNCTION("""COMPUTED_VALUE"""),"Y")</f>
        <v>Y</v>
      </c>
      <c r="F163" t="str">
        <f>IFERROR(__xludf.DUMMYFUNCTION("""COMPUTED_VALUE"""),"102438,Finance and Accounting,Financial Modeling and Analysis")</f>
        <v>102438,Finance and Accounting,Financial Modeling and Analysis</v>
      </c>
      <c r="G163" t="str">
        <f>IFERROR(__xludf.DUMMYFUNCTION("""COMPUTED_VALUE"""),"Y")</f>
        <v>Y</v>
      </c>
      <c r="H163" t="str">
        <f>IFERROR(__xludf.DUMMYFUNCTION("""COMPUTED_VALUE"""),"Non-English")</f>
        <v>Non-English</v>
      </c>
      <c r="I163" t="str">
        <f>IFERROR(__xludf.DUMMYFUNCTION("""COMPUTED_VALUE"""),"Finance and Accounting")</f>
        <v>Finance and Accounting</v>
      </c>
      <c r="J163" t="str">
        <f>IFERROR(__xludf.DUMMYFUNCTION("""COMPUTED_VALUE"""),"Financial Modeling and Analysis")</f>
        <v>Financial Modeling and Analysis</v>
      </c>
      <c r="K163" s="140">
        <f>IFERROR(__xludf.DUMMYFUNCTION("""COMPUTED_VALUE"""),72014.0)</f>
        <v>72014</v>
      </c>
      <c r="L163" s="140" t="str">
        <f>IFERROR(__xludf.DUMMYFUNCTION("""COMPUTED_VALUE"""),"")</f>
        <v/>
      </c>
      <c r="N163" s="140" t="str">
        <f>IFERROR(__xludf.DUMMYFUNCTION("""COMPUTED_VALUE"""),"")</f>
        <v/>
      </c>
    </row>
    <row r="164">
      <c r="A164" s="143">
        <f>IFERROR(__xludf.DUMMYFUNCTION("""COMPUTED_VALUE"""),42916.0)</f>
        <v>42916</v>
      </c>
      <c r="B164" s="140">
        <f>IFERROR(__xludf.DUMMYFUNCTION("""COMPUTED_VALUE"""),196164.0)</f>
        <v>196164</v>
      </c>
      <c r="C164" s="140" t="str">
        <f>IFERROR(__xludf.DUMMYFUNCTION("""COMPUTED_VALUE"""),"#N/A")</f>
        <v>#N/A</v>
      </c>
      <c r="D164" t="str">
        <f>IFERROR(__xludf.DUMMYFUNCTION("""COMPUTED_VALUE"""),"Fitch Learning")</f>
        <v>Fitch Learning</v>
      </c>
      <c r="E164" t="str">
        <f>IFERROR(__xludf.DUMMYFUNCTION("""COMPUTED_VALUE"""),"Y")</f>
        <v>Y</v>
      </c>
      <c r="F164" t="str">
        <f>IFERROR(__xludf.DUMMYFUNCTION("""COMPUTED_VALUE"""),"196164,Finance and Accounting,Financial Modeling and Analysis")</f>
        <v>196164,Finance and Accounting,Financial Modeling and Analysis</v>
      </c>
      <c r="G164" t="str">
        <f>IFERROR(__xludf.DUMMYFUNCTION("""COMPUTED_VALUE"""),"Y")</f>
        <v>Y</v>
      </c>
      <c r="H164" t="str">
        <f>IFERROR(__xludf.DUMMYFUNCTION("""COMPUTED_VALUE"""),"Non-English")</f>
        <v>Non-English</v>
      </c>
      <c r="I164" t="str">
        <f>IFERROR(__xludf.DUMMYFUNCTION("""COMPUTED_VALUE"""),"Finance and Accounting")</f>
        <v>Finance and Accounting</v>
      </c>
      <c r="J164" t="str">
        <f>IFERROR(__xludf.DUMMYFUNCTION("""COMPUTED_VALUE"""),"Financial Modeling and Analysis")</f>
        <v>Financial Modeling and Analysis</v>
      </c>
      <c r="K164" s="140">
        <f>IFERROR(__xludf.DUMMYFUNCTION("""COMPUTED_VALUE"""),72014.0)</f>
        <v>72014</v>
      </c>
      <c r="L164" s="140" t="str">
        <f>IFERROR(__xludf.DUMMYFUNCTION("""COMPUTED_VALUE"""),"")</f>
        <v/>
      </c>
      <c r="N164" s="140" t="str">
        <f>IFERROR(__xludf.DUMMYFUNCTION("""COMPUTED_VALUE"""),"")</f>
        <v/>
      </c>
    </row>
    <row r="165">
      <c r="A165" s="143">
        <f>IFERROR(__xludf.DUMMYFUNCTION("""COMPUTED_VALUE"""),42916.0)</f>
        <v>42916</v>
      </c>
      <c r="B165" s="140">
        <f>IFERROR(__xludf.DUMMYFUNCTION("""COMPUTED_VALUE"""),73092.0)</f>
        <v>73092</v>
      </c>
      <c r="C165" s="140" t="str">
        <f>IFERROR(__xludf.DUMMYFUNCTION("""COMPUTED_VALUE"""),"#N/A")</f>
        <v>#N/A</v>
      </c>
      <c r="D165" t="str">
        <f>IFERROR(__xludf.DUMMYFUNCTION("""COMPUTED_VALUE"""),"Fitch Learning")</f>
        <v>Fitch Learning</v>
      </c>
      <c r="E165" t="str">
        <f>IFERROR(__xludf.DUMMYFUNCTION("""COMPUTED_VALUE"""),"Y")</f>
        <v>Y</v>
      </c>
      <c r="F165" t="str">
        <f>IFERROR(__xludf.DUMMYFUNCTION("""COMPUTED_VALUE"""),"73092,Finance and Accounting,Investing and Trading")</f>
        <v>73092,Finance and Accounting,Investing and Trading</v>
      </c>
      <c r="G165" t="str">
        <f>IFERROR(__xludf.DUMMYFUNCTION("""COMPUTED_VALUE"""),"Y")</f>
        <v>Y</v>
      </c>
      <c r="H165" t="str">
        <f>IFERROR(__xludf.DUMMYFUNCTION("""COMPUTED_VALUE"""),"Outdated")</f>
        <v>Outdated</v>
      </c>
      <c r="I165" t="str">
        <f>IFERROR(__xludf.DUMMYFUNCTION("""COMPUTED_VALUE"""),"Finance and Accounting")</f>
        <v>Finance and Accounting</v>
      </c>
      <c r="J165" t="str">
        <f>IFERROR(__xludf.DUMMYFUNCTION("""COMPUTED_VALUE"""),"Investing and Trading")</f>
        <v>Investing and Trading</v>
      </c>
      <c r="K165" s="140">
        <f>IFERROR(__xludf.DUMMYFUNCTION("""COMPUTED_VALUE"""),72644.0)</f>
        <v>72644</v>
      </c>
      <c r="L165" s="140" t="str">
        <f>IFERROR(__xludf.DUMMYFUNCTION("""COMPUTED_VALUE"""),"")</f>
        <v/>
      </c>
      <c r="N165" s="140" t="str">
        <f>IFERROR(__xludf.DUMMYFUNCTION("""COMPUTED_VALUE"""),"")</f>
        <v/>
      </c>
    </row>
    <row r="166">
      <c r="A166" s="143">
        <f>IFERROR(__xludf.DUMMYFUNCTION("""COMPUTED_VALUE"""),42916.0)</f>
        <v>42916</v>
      </c>
      <c r="B166" s="140">
        <f>IFERROR(__xludf.DUMMYFUNCTION("""COMPUTED_VALUE"""),48699.0)</f>
        <v>48699</v>
      </c>
      <c r="C166" s="140" t="str">
        <f>IFERROR(__xludf.DUMMYFUNCTION("""COMPUTED_VALUE"""),"#N/A")</f>
        <v>#N/A</v>
      </c>
      <c r="D166" t="str">
        <f>IFERROR(__xludf.DUMMYFUNCTION("""COMPUTED_VALUE"""),"Intellezy Trainers")</f>
        <v>Intellezy Trainers</v>
      </c>
      <c r="E166" t="str">
        <f>IFERROR(__xludf.DUMMYFUNCTION("""COMPUTED_VALUE"""),"Y")</f>
        <v>Y</v>
      </c>
      <c r="F166" t="str">
        <f>IFERROR(__xludf.DUMMYFUNCTION("""COMPUTED_VALUE"""),"48699,IT and Software,Databases")</f>
        <v>48699,IT and Software,Databases</v>
      </c>
      <c r="G166" t="str">
        <f>IFERROR(__xludf.DUMMYFUNCTION("""COMPUTED_VALUE"""),"Y")</f>
        <v>Y</v>
      </c>
      <c r="H166" t="str">
        <f>IFERROR(__xludf.DUMMYFUNCTION("""COMPUTED_VALUE"""),"Outdated")</f>
        <v>Outdated</v>
      </c>
      <c r="I166" t="str">
        <f>IFERROR(__xludf.DUMMYFUNCTION("""COMPUTED_VALUE"""),"IT and Software")</f>
        <v>IT and Software</v>
      </c>
      <c r="J166" t="str">
        <f>IFERROR(__xludf.DUMMYFUNCTION("""COMPUTED_VALUE"""),"Databases")</f>
        <v>Databases</v>
      </c>
      <c r="K166" s="140">
        <f>IFERROR(__xludf.DUMMYFUNCTION("""COMPUTED_VALUE"""),506788.0)</f>
        <v>506788</v>
      </c>
      <c r="L166" s="140" t="str">
        <f>IFERROR(__xludf.DUMMYFUNCTION("""COMPUTED_VALUE"""),"")</f>
        <v/>
      </c>
      <c r="M166" s="140">
        <f>IFERROR(__xludf.DUMMYFUNCTION("""COMPUTED_VALUE"""),845284.0)</f>
        <v>845284</v>
      </c>
      <c r="N166" s="140" t="str">
        <f>IFERROR(__xludf.DUMMYFUNCTION("""COMPUTED_VALUE"""),"")</f>
        <v/>
      </c>
    </row>
    <row r="167">
      <c r="A167" s="143">
        <f>IFERROR(__xludf.DUMMYFUNCTION("""COMPUTED_VALUE"""),42916.0)</f>
        <v>42916</v>
      </c>
      <c r="B167" s="140">
        <f>IFERROR(__xludf.DUMMYFUNCTION("""COMPUTED_VALUE"""),49664.0)</f>
        <v>49664</v>
      </c>
      <c r="C167" s="140" t="str">
        <f>IFERROR(__xludf.DUMMYFUNCTION("""COMPUTED_VALUE"""),"#N/A")</f>
        <v>#N/A</v>
      </c>
      <c r="D167" t="str">
        <f>IFERROR(__xludf.DUMMYFUNCTION("""COMPUTED_VALUE"""),"Intellezy Trainers")</f>
        <v>Intellezy Trainers</v>
      </c>
      <c r="E167" t="str">
        <f>IFERROR(__xludf.DUMMYFUNCTION("""COMPUTED_VALUE"""),"Y")</f>
        <v>Y</v>
      </c>
      <c r="F167" t="str">
        <f>IFERROR(__xludf.DUMMYFUNCTION("""COMPUTED_VALUE"""),"49664,IT and Software,Databases")</f>
        <v>49664,IT and Software,Databases</v>
      </c>
      <c r="G167" t="str">
        <f>IFERROR(__xludf.DUMMYFUNCTION("""COMPUTED_VALUE"""),"Y")</f>
        <v>Y</v>
      </c>
      <c r="H167" t="str">
        <f>IFERROR(__xludf.DUMMYFUNCTION("""COMPUTED_VALUE"""),"Outdated")</f>
        <v>Outdated</v>
      </c>
      <c r="I167" t="str">
        <f>IFERROR(__xludf.DUMMYFUNCTION("""COMPUTED_VALUE"""),"IT and Software")</f>
        <v>IT and Software</v>
      </c>
      <c r="J167" t="str">
        <f>IFERROR(__xludf.DUMMYFUNCTION("""COMPUTED_VALUE"""),"Databases")</f>
        <v>Databases</v>
      </c>
      <c r="K167" s="140">
        <f>IFERROR(__xludf.DUMMYFUNCTION("""COMPUTED_VALUE"""),506788.0)</f>
        <v>506788</v>
      </c>
      <c r="L167" s="140" t="str">
        <f>IFERROR(__xludf.DUMMYFUNCTION("""COMPUTED_VALUE"""),"")</f>
        <v/>
      </c>
      <c r="M167" s="140">
        <f>IFERROR(__xludf.DUMMYFUNCTION("""COMPUTED_VALUE"""),845284.0)</f>
        <v>845284</v>
      </c>
      <c r="N167" s="140" t="str">
        <f>IFERROR(__xludf.DUMMYFUNCTION("""COMPUTED_VALUE"""),"")</f>
        <v/>
      </c>
    </row>
    <row r="168">
      <c r="A168" s="143">
        <f>IFERROR(__xludf.DUMMYFUNCTION("""COMPUTED_VALUE"""),42916.0)</f>
        <v>42916</v>
      </c>
      <c r="B168" s="140">
        <f>IFERROR(__xludf.DUMMYFUNCTION("""COMPUTED_VALUE"""),49662.0)</f>
        <v>49662</v>
      </c>
      <c r="C168" s="140" t="str">
        <f>IFERROR(__xludf.DUMMYFUNCTION("""COMPUTED_VALUE"""),"#N/A")</f>
        <v>#N/A</v>
      </c>
      <c r="D168" t="str">
        <f>IFERROR(__xludf.DUMMYFUNCTION("""COMPUTED_VALUE"""),"Intellezy Trainers")</f>
        <v>Intellezy Trainers</v>
      </c>
      <c r="E168" t="str">
        <f>IFERROR(__xludf.DUMMYFUNCTION("""COMPUTED_VALUE"""),"Y")</f>
        <v>Y</v>
      </c>
      <c r="F168" t="str">
        <f>IFERROR(__xludf.DUMMYFUNCTION("""COMPUTED_VALUE"""),"49662,IT and Software,Databases")</f>
        <v>49662,IT and Software,Databases</v>
      </c>
      <c r="G168" t="str">
        <f>IFERROR(__xludf.DUMMYFUNCTION("""COMPUTED_VALUE"""),"Y")</f>
        <v>Y</v>
      </c>
      <c r="H168" t="str">
        <f>IFERROR(__xludf.DUMMYFUNCTION("""COMPUTED_VALUE"""),"Outdated")</f>
        <v>Outdated</v>
      </c>
      <c r="I168" t="str">
        <f>IFERROR(__xludf.DUMMYFUNCTION("""COMPUTED_VALUE"""),"IT and Software")</f>
        <v>IT and Software</v>
      </c>
      <c r="J168" t="str">
        <f>IFERROR(__xludf.DUMMYFUNCTION("""COMPUTED_VALUE"""),"Databases")</f>
        <v>Databases</v>
      </c>
      <c r="K168" s="140">
        <f>IFERROR(__xludf.DUMMYFUNCTION("""COMPUTED_VALUE"""),506788.0)</f>
        <v>506788</v>
      </c>
      <c r="L168" s="140" t="str">
        <f>IFERROR(__xludf.DUMMYFUNCTION("""COMPUTED_VALUE"""),"")</f>
        <v/>
      </c>
      <c r="M168" s="140">
        <f>IFERROR(__xludf.DUMMYFUNCTION("""COMPUTED_VALUE"""),845284.0)</f>
        <v>845284</v>
      </c>
      <c r="N168" s="140" t="str">
        <f>IFERROR(__xludf.DUMMYFUNCTION("""COMPUTED_VALUE"""),"")</f>
        <v/>
      </c>
    </row>
    <row r="169">
      <c r="A169" s="143">
        <f>IFERROR(__xludf.DUMMYFUNCTION("""COMPUTED_VALUE"""),42916.0)</f>
        <v>42916</v>
      </c>
      <c r="B169" s="140">
        <f>IFERROR(__xludf.DUMMYFUNCTION("""COMPUTED_VALUE"""),216294.0)</f>
        <v>216294</v>
      </c>
      <c r="C169" s="140" t="str">
        <f>IFERROR(__xludf.DUMMYFUNCTION("""COMPUTED_VALUE"""),"#N/A")</f>
        <v>#N/A</v>
      </c>
      <c r="D169" t="str">
        <f>IFERROR(__xludf.DUMMYFUNCTION("""COMPUTED_VALUE"""),"Simon Sez IT")</f>
        <v>Simon Sez IT</v>
      </c>
      <c r="E169" t="str">
        <f>IFERROR(__xludf.DUMMYFUNCTION("""COMPUTED_VALUE"""),"Y")</f>
        <v>Y</v>
      </c>
      <c r="F169" t="str">
        <f>IFERROR(__xludf.DUMMYFUNCTION("""COMPUTED_VALUE"""),"216294,IT and Software,Databases")</f>
        <v>216294,IT and Software,Databases</v>
      </c>
      <c r="G169" t="str">
        <f>IFERROR(__xludf.DUMMYFUNCTION("""COMPUTED_VALUE"""),"Y")</f>
        <v>Y</v>
      </c>
      <c r="H169" t="str">
        <f>IFERROR(__xludf.DUMMYFUNCTION("""COMPUTED_VALUE"""),"Outdated")</f>
        <v>Outdated</v>
      </c>
      <c r="I169" t="str">
        <f>IFERROR(__xludf.DUMMYFUNCTION("""COMPUTED_VALUE"""),"IT and Software")</f>
        <v>IT and Software</v>
      </c>
      <c r="J169" t="str">
        <f>IFERROR(__xludf.DUMMYFUNCTION("""COMPUTED_VALUE"""),"Databases")</f>
        <v>Databases</v>
      </c>
      <c r="K169" s="140">
        <f>IFERROR(__xludf.DUMMYFUNCTION("""COMPUTED_VALUE"""),506788.0)</f>
        <v>506788</v>
      </c>
      <c r="L169" s="140" t="str">
        <f>IFERROR(__xludf.DUMMYFUNCTION("""COMPUTED_VALUE"""),"")</f>
        <v/>
      </c>
      <c r="M169" s="140">
        <f>IFERROR(__xludf.DUMMYFUNCTION("""COMPUTED_VALUE"""),845284.0)</f>
        <v>845284</v>
      </c>
      <c r="N169" s="140" t="str">
        <f>IFERROR(__xludf.DUMMYFUNCTION("""COMPUTED_VALUE"""),"")</f>
        <v/>
      </c>
    </row>
    <row r="170">
      <c r="A170" s="143">
        <f>IFERROR(__xludf.DUMMYFUNCTION("""COMPUTED_VALUE"""),42916.0)</f>
        <v>42916</v>
      </c>
      <c r="B170" s="140">
        <f>IFERROR(__xludf.DUMMYFUNCTION("""COMPUTED_VALUE"""),474314.0)</f>
        <v>474314</v>
      </c>
      <c r="C170" s="140" t="str">
        <f>IFERROR(__xludf.DUMMYFUNCTION("""COMPUTED_VALUE"""),"#N/A")</f>
        <v>#N/A</v>
      </c>
      <c r="D170" t="str">
        <f>IFERROR(__xludf.DUMMYFUNCTION("""COMPUTED_VALUE"""),"Shawn Tierney")</f>
        <v>Shawn Tierney</v>
      </c>
      <c r="E170" t="str">
        <f>IFERROR(__xludf.DUMMYFUNCTION("""COMPUTED_VALUE"""),"Y")</f>
        <v>Y</v>
      </c>
      <c r="F170" t="str">
        <f>IFERROR(__xludf.DUMMYFUNCTION("""COMPUTED_VALUE"""),"474314,IT and Software,Hardware")</f>
        <v>474314,IT and Software,Hardware</v>
      </c>
      <c r="G170" t="str">
        <f>IFERROR(__xludf.DUMMYFUNCTION("""COMPUTED_VALUE"""),"Y")</f>
        <v>Y</v>
      </c>
      <c r="H170" t="str">
        <f>IFERROR(__xludf.DUMMYFUNCTION("""COMPUTED_VALUE"""),"Instructor Opted Out")</f>
        <v>Instructor Opted Out</v>
      </c>
      <c r="I170" t="str">
        <f>IFERROR(__xludf.DUMMYFUNCTION("""COMPUTED_VALUE"""),"IT and Software")</f>
        <v>IT and Software</v>
      </c>
      <c r="J170" t="str">
        <f>IFERROR(__xludf.DUMMYFUNCTION("""COMPUTED_VALUE"""),"Hardware")</f>
        <v>Hardware</v>
      </c>
      <c r="K170" s="140">
        <f>IFERROR(__xludf.DUMMYFUNCTION("""COMPUTED_VALUE"""),849116.0)</f>
        <v>849116</v>
      </c>
      <c r="L170" s="140" t="str">
        <f>IFERROR(__xludf.DUMMYFUNCTION("""COMPUTED_VALUE"""),"")</f>
        <v/>
      </c>
      <c r="N170" s="140" t="str">
        <f>IFERROR(__xludf.DUMMYFUNCTION("""COMPUTED_VALUE"""),"")</f>
        <v/>
      </c>
    </row>
    <row r="171">
      <c r="A171" s="143">
        <f>IFERROR(__xludf.DUMMYFUNCTION("""COMPUTED_VALUE"""),42916.0)</f>
        <v>42916</v>
      </c>
      <c r="B171" s="140">
        <f>IFERROR(__xludf.DUMMYFUNCTION("""COMPUTED_VALUE"""),20743.0)</f>
        <v>20743</v>
      </c>
      <c r="C171" s="140" t="str">
        <f>IFERROR(__xludf.DUMMYFUNCTION("""COMPUTED_VALUE"""),"#N/A")</f>
        <v>#N/A</v>
      </c>
      <c r="D171" t="str">
        <f>IFERROR(__xludf.DUMMYFUNCTION("""COMPUTED_VALUE"""),"Len Smith")</f>
        <v>Len Smith</v>
      </c>
      <c r="E171" t="str">
        <f>IFERROR(__xludf.DUMMYFUNCTION("""COMPUTED_VALUE"""),"Y")</f>
        <v>Y</v>
      </c>
      <c r="F171" t="str">
        <f>IFERROR(__xludf.DUMMYFUNCTION("""COMPUTED_VALUE"""),"20743,Management,Communication")</f>
        <v>20743,Management,Communication</v>
      </c>
      <c r="G171" t="str">
        <f>IFERROR(__xludf.DUMMYFUNCTION("""COMPUTED_VALUE"""),"Y")</f>
        <v>Y</v>
      </c>
      <c r="H171" t="str">
        <f>IFERROR(__xludf.DUMMYFUNCTION("""COMPUTED_VALUE"""),"Below Quality Standards")</f>
        <v>Below Quality Standards</v>
      </c>
      <c r="I171" t="str">
        <f>IFERROR(__xludf.DUMMYFUNCTION("""COMPUTED_VALUE"""),"Management")</f>
        <v>Management</v>
      </c>
      <c r="J171" t="str">
        <f>IFERROR(__xludf.DUMMYFUNCTION("""COMPUTED_VALUE"""),"Communication")</f>
        <v>Communication</v>
      </c>
      <c r="K171" s="140">
        <f>IFERROR(__xludf.DUMMYFUNCTION("""COMPUTED_VALUE"""),852192.0)</f>
        <v>852192</v>
      </c>
      <c r="L171" s="140" t="str">
        <f>IFERROR(__xludf.DUMMYFUNCTION("""COMPUTED_VALUE"""),"")</f>
        <v/>
      </c>
      <c r="N171" s="140" t="str">
        <f>IFERROR(__xludf.DUMMYFUNCTION("""COMPUTED_VALUE"""),"")</f>
        <v/>
      </c>
    </row>
    <row r="172">
      <c r="A172" s="143">
        <f>IFERROR(__xludf.DUMMYFUNCTION("""COMPUTED_VALUE"""),42916.0)</f>
        <v>42916</v>
      </c>
      <c r="B172" s="140">
        <f>IFERROR(__xludf.DUMMYFUNCTION("""COMPUTED_VALUE"""),433790.0)</f>
        <v>433790</v>
      </c>
      <c r="C172" s="140" t="str">
        <f>IFERROR(__xludf.DUMMYFUNCTION("""COMPUTED_VALUE"""),"#N/A")</f>
        <v>#N/A</v>
      </c>
      <c r="D172" t="str">
        <f>IFERROR(__xludf.DUMMYFUNCTION("""COMPUTED_VALUE"""),"Steve McDonald")</f>
        <v>Steve McDonald</v>
      </c>
      <c r="E172" t="str">
        <f>IFERROR(__xludf.DUMMYFUNCTION("""COMPUTED_VALUE"""),"Y")</f>
        <v>Y</v>
      </c>
      <c r="F172" t="str">
        <f>IFERROR(__xludf.DUMMYFUNCTION("""COMPUTED_VALUE"""),"433790,Marketing,Content and Email Marketing")</f>
        <v>433790,Marketing,Content and Email Marketing</v>
      </c>
      <c r="G172" t="str">
        <f>IFERROR(__xludf.DUMMYFUNCTION("""COMPUTED_VALUE"""),"Y")</f>
        <v>Y</v>
      </c>
      <c r="H172" t="str">
        <f>IFERROR(__xludf.DUMMYFUNCTION("""COMPUTED_VALUE"""),"Below Quality Standards")</f>
        <v>Below Quality Standards</v>
      </c>
      <c r="I172" t="str">
        <f>IFERROR(__xludf.DUMMYFUNCTION("""COMPUTED_VALUE"""),"Marketing")</f>
        <v>Marketing</v>
      </c>
      <c r="J172" t="str">
        <f>IFERROR(__xludf.DUMMYFUNCTION("""COMPUTED_VALUE"""),"Content and Email Marketing")</f>
        <v>Content and Email Marketing</v>
      </c>
      <c r="K172" s="140">
        <f>IFERROR(__xludf.DUMMYFUNCTION("""COMPUTED_VALUE"""),810196.0)</f>
        <v>810196</v>
      </c>
      <c r="L172" s="140" t="str">
        <f>IFERROR(__xludf.DUMMYFUNCTION("""COMPUTED_VALUE"""),"")</f>
        <v/>
      </c>
      <c r="N172" s="140" t="str">
        <f>IFERROR(__xludf.DUMMYFUNCTION("""COMPUTED_VALUE"""),"")</f>
        <v/>
      </c>
    </row>
    <row r="173">
      <c r="A173" s="143">
        <f>IFERROR(__xludf.DUMMYFUNCTION("""COMPUTED_VALUE"""),42916.0)</f>
        <v>42916</v>
      </c>
      <c r="B173" s="140">
        <f>IFERROR(__xludf.DUMMYFUNCTION("""COMPUTED_VALUE"""),30297.0)</f>
        <v>30297</v>
      </c>
      <c r="C173" s="140" t="str">
        <f>IFERROR(__xludf.DUMMYFUNCTION("""COMPUTED_VALUE"""),"#N/A")</f>
        <v>#N/A</v>
      </c>
      <c r="D173" t="str">
        <f>IFERROR(__xludf.DUMMYFUNCTION("""COMPUTED_VALUE"""),"Simon Sez IT")</f>
        <v>Simon Sez IT</v>
      </c>
      <c r="E173" t="str">
        <f>IFERROR(__xludf.DUMMYFUNCTION("""COMPUTED_VALUE"""),"Y")</f>
        <v>Y</v>
      </c>
      <c r="F173" t="str">
        <f>IFERROR(__xludf.DUMMYFUNCTION("""COMPUTED_VALUE"""),"30297,Office Productivity,Collaboration")</f>
        <v>30297,Office Productivity,Collaboration</v>
      </c>
      <c r="G173" t="str">
        <f>IFERROR(__xludf.DUMMYFUNCTION("""COMPUTED_VALUE"""),"Y")</f>
        <v>Y</v>
      </c>
      <c r="H173" t="str">
        <f>IFERROR(__xludf.DUMMYFUNCTION("""COMPUTED_VALUE"""),"Outdated")</f>
        <v>Outdated</v>
      </c>
      <c r="I173" t="str">
        <f>IFERROR(__xludf.DUMMYFUNCTION("""COMPUTED_VALUE"""),"Office Productivity")</f>
        <v>Office Productivity</v>
      </c>
      <c r="J173" t="str">
        <f>IFERROR(__xludf.DUMMYFUNCTION("""COMPUTED_VALUE"""),"Collaboration")</f>
        <v>Collaboration</v>
      </c>
      <c r="K173" s="140">
        <f>IFERROR(__xludf.DUMMYFUNCTION("""COMPUTED_VALUE"""),51284.0)</f>
        <v>51284</v>
      </c>
      <c r="L173" s="140" t="str">
        <f>IFERROR(__xludf.DUMMYFUNCTION("""COMPUTED_VALUE"""),"")</f>
        <v/>
      </c>
      <c r="N173" s="140" t="str">
        <f>IFERROR(__xludf.DUMMYFUNCTION("""COMPUTED_VALUE"""),"")</f>
        <v/>
      </c>
    </row>
    <row r="174">
      <c r="A174" s="143">
        <f>IFERROR(__xludf.DUMMYFUNCTION("""COMPUTED_VALUE"""),42916.0)</f>
        <v>42916</v>
      </c>
      <c r="B174" s="140">
        <f>IFERROR(__xludf.DUMMYFUNCTION("""COMPUTED_VALUE"""),50406.0)</f>
        <v>50406</v>
      </c>
      <c r="C174" s="140" t="str">
        <f>IFERROR(__xludf.DUMMYFUNCTION("""COMPUTED_VALUE"""),"#N/A")</f>
        <v>#N/A</v>
      </c>
      <c r="D174" t="str">
        <f>IFERROR(__xludf.DUMMYFUNCTION("""COMPUTED_VALUE"""),"Intellezy Trainers")</f>
        <v>Intellezy Trainers</v>
      </c>
      <c r="E174" t="str">
        <f>IFERROR(__xludf.DUMMYFUNCTION("""COMPUTED_VALUE"""),"Y")</f>
        <v>Y</v>
      </c>
      <c r="F174" t="str">
        <f>IFERROR(__xludf.DUMMYFUNCTION("""COMPUTED_VALUE"""),"50406,Office Productivity,Collaboration")</f>
        <v>50406,Office Productivity,Collaboration</v>
      </c>
      <c r="G174" t="str">
        <f>IFERROR(__xludf.DUMMYFUNCTION("""COMPUTED_VALUE"""),"Y")</f>
        <v>Y</v>
      </c>
      <c r="H174" t="str">
        <f>IFERROR(__xludf.DUMMYFUNCTION("""COMPUTED_VALUE"""),"Outdated")</f>
        <v>Outdated</v>
      </c>
      <c r="I174" t="str">
        <f>IFERROR(__xludf.DUMMYFUNCTION("""COMPUTED_VALUE"""),"Office Productivity")</f>
        <v>Office Productivity</v>
      </c>
      <c r="J174" t="str">
        <f>IFERROR(__xludf.DUMMYFUNCTION("""COMPUTED_VALUE"""),"Collaboration")</f>
        <v>Collaboration</v>
      </c>
      <c r="K174" s="140">
        <f>IFERROR(__xludf.DUMMYFUNCTION("""COMPUTED_VALUE"""),72644.0)</f>
        <v>72644</v>
      </c>
      <c r="L174" s="140" t="str">
        <f>IFERROR(__xludf.DUMMYFUNCTION("""COMPUTED_VALUE"""),"")</f>
        <v/>
      </c>
      <c r="N174" s="140" t="str">
        <f>IFERROR(__xludf.DUMMYFUNCTION("""COMPUTED_VALUE"""),"")</f>
        <v/>
      </c>
    </row>
    <row r="175">
      <c r="A175" s="143">
        <f>IFERROR(__xludf.DUMMYFUNCTION("""COMPUTED_VALUE"""),42916.0)</f>
        <v>42916</v>
      </c>
      <c r="B175" s="140">
        <f>IFERROR(__xludf.DUMMYFUNCTION("""COMPUTED_VALUE"""),51273.0)</f>
        <v>51273</v>
      </c>
      <c r="C175" s="140" t="str">
        <f>IFERROR(__xludf.DUMMYFUNCTION("""COMPUTED_VALUE"""),"#N/A")</f>
        <v>#N/A</v>
      </c>
      <c r="D175" t="str">
        <f>IFERROR(__xludf.DUMMYFUNCTION("""COMPUTED_VALUE"""),"Intellezy Trainers")</f>
        <v>Intellezy Trainers</v>
      </c>
      <c r="E175" t="str">
        <f>IFERROR(__xludf.DUMMYFUNCTION("""COMPUTED_VALUE"""),"Y")</f>
        <v>Y</v>
      </c>
      <c r="F175" t="str">
        <f>IFERROR(__xludf.DUMMYFUNCTION("""COMPUTED_VALUE"""),"51273,Office Productivity,Collaboration")</f>
        <v>51273,Office Productivity,Collaboration</v>
      </c>
      <c r="G175" t="str">
        <f>IFERROR(__xludf.DUMMYFUNCTION("""COMPUTED_VALUE"""),"Y")</f>
        <v>Y</v>
      </c>
      <c r="H175" t="str">
        <f>IFERROR(__xludf.DUMMYFUNCTION("""COMPUTED_VALUE"""),"Outdated")</f>
        <v>Outdated</v>
      </c>
      <c r="I175" t="str">
        <f>IFERROR(__xludf.DUMMYFUNCTION("""COMPUTED_VALUE"""),"Office Productivity")</f>
        <v>Office Productivity</v>
      </c>
      <c r="J175" t="str">
        <f>IFERROR(__xludf.DUMMYFUNCTION("""COMPUTED_VALUE"""),"Collaboration")</f>
        <v>Collaboration</v>
      </c>
      <c r="K175" s="140">
        <f>IFERROR(__xludf.DUMMYFUNCTION("""COMPUTED_VALUE"""),51284.0)</f>
        <v>51284</v>
      </c>
      <c r="L175" s="140" t="str">
        <f>IFERROR(__xludf.DUMMYFUNCTION("""COMPUTED_VALUE"""),"")</f>
        <v/>
      </c>
      <c r="N175" s="140" t="str">
        <f>IFERROR(__xludf.DUMMYFUNCTION("""COMPUTED_VALUE"""),"")</f>
        <v/>
      </c>
    </row>
    <row r="176">
      <c r="A176" s="143">
        <f>IFERROR(__xludf.DUMMYFUNCTION("""COMPUTED_VALUE"""),42916.0)</f>
        <v>42916</v>
      </c>
      <c r="B176" s="140">
        <f>IFERROR(__xludf.DUMMYFUNCTION("""COMPUTED_VALUE"""),806474.0)</f>
        <v>806474</v>
      </c>
      <c r="C176" s="140" t="str">
        <f>IFERROR(__xludf.DUMMYFUNCTION("""COMPUTED_VALUE"""),"#N/A")</f>
        <v>#N/A</v>
      </c>
      <c r="D176" t="str">
        <f>IFERROR(__xludf.DUMMYFUNCTION("""COMPUTED_VALUE"""),"Kyle Pew")</f>
        <v>Kyle Pew</v>
      </c>
      <c r="E176" t="str">
        <f>IFERROR(__xludf.DUMMYFUNCTION("""COMPUTED_VALUE"""),"Y")</f>
        <v>Y</v>
      </c>
      <c r="F176" t="str">
        <f>IFERROR(__xludf.DUMMYFUNCTION("""COMPUTED_VALUE"""),"806474,Office Productivity,Collaboration")</f>
        <v>806474,Office Productivity,Collaboration</v>
      </c>
      <c r="G176" t="str">
        <f>IFERROR(__xludf.DUMMYFUNCTION("""COMPUTED_VALUE"""),"Y")</f>
        <v>Y</v>
      </c>
      <c r="H176" t="str">
        <f>IFERROR(__xludf.DUMMYFUNCTION("""COMPUTED_VALUE"""),"Below Quality Standards")</f>
        <v>Below Quality Standards</v>
      </c>
      <c r="I176" t="str">
        <f>IFERROR(__xludf.DUMMYFUNCTION("""COMPUTED_VALUE"""),"Office Productivity")</f>
        <v>Office Productivity</v>
      </c>
      <c r="J176" t="str">
        <f>IFERROR(__xludf.DUMMYFUNCTION("""COMPUTED_VALUE"""),"Collaboration")</f>
        <v>Collaboration</v>
      </c>
      <c r="K176" s="140">
        <f>IFERROR(__xludf.DUMMYFUNCTION("""COMPUTED_VALUE"""),775346.0)</f>
        <v>775346</v>
      </c>
      <c r="L176" s="140" t="str">
        <f>IFERROR(__xludf.DUMMYFUNCTION("""COMPUTED_VALUE"""),"")</f>
        <v/>
      </c>
      <c r="N176" s="140" t="str">
        <f>IFERROR(__xludf.DUMMYFUNCTION("""COMPUTED_VALUE"""),"")</f>
        <v/>
      </c>
    </row>
    <row r="177">
      <c r="A177" s="143">
        <f>IFERROR(__xludf.DUMMYFUNCTION("""COMPUTED_VALUE"""),42916.0)</f>
        <v>42916</v>
      </c>
      <c r="B177" s="140">
        <f>IFERROR(__xludf.DUMMYFUNCTION("""COMPUTED_VALUE"""),50845.0)</f>
        <v>50845</v>
      </c>
      <c r="C177" s="140" t="str">
        <f>IFERROR(__xludf.DUMMYFUNCTION("""COMPUTED_VALUE"""),"#N/A")</f>
        <v>#N/A</v>
      </c>
      <c r="D177" t="str">
        <f>IFERROR(__xludf.DUMMYFUNCTION("""COMPUTED_VALUE"""),"Intellezy Trainers")</f>
        <v>Intellezy Trainers</v>
      </c>
      <c r="E177" t="str">
        <f>IFERROR(__xludf.DUMMYFUNCTION("""COMPUTED_VALUE"""),"Y")</f>
        <v>Y</v>
      </c>
      <c r="F177" t="str">
        <f>IFERROR(__xludf.DUMMYFUNCTION("""COMPUTED_VALUE"""),"50845,Office Productivity,Email and Productivity")</f>
        <v>50845,Office Productivity,Email and Productivity</v>
      </c>
      <c r="G177" t="str">
        <f>IFERROR(__xludf.DUMMYFUNCTION("""COMPUTED_VALUE"""),"Y")</f>
        <v>Y</v>
      </c>
      <c r="H177" t="str">
        <f>IFERROR(__xludf.DUMMYFUNCTION("""COMPUTED_VALUE"""),"Outdated")</f>
        <v>Outdated</v>
      </c>
      <c r="I177" t="str">
        <f>IFERROR(__xludf.DUMMYFUNCTION("""COMPUTED_VALUE"""),"Office Productivity")</f>
        <v>Office Productivity</v>
      </c>
      <c r="J177" t="str">
        <f>IFERROR(__xludf.DUMMYFUNCTION("""COMPUTED_VALUE"""),"Email and Productivity")</f>
        <v>Email and Productivity</v>
      </c>
      <c r="K177" s="140">
        <f>IFERROR(__xludf.DUMMYFUNCTION("""COMPUTED_VALUE"""),51797.0)</f>
        <v>51797</v>
      </c>
      <c r="L177" s="140" t="str">
        <f>IFERROR(__xludf.DUMMYFUNCTION("""COMPUTED_VALUE"""),"")</f>
        <v/>
      </c>
      <c r="N177" s="140" t="str">
        <f>IFERROR(__xludf.DUMMYFUNCTION("""COMPUTED_VALUE"""),"")</f>
        <v/>
      </c>
    </row>
    <row r="178">
      <c r="A178" s="143">
        <f>IFERROR(__xludf.DUMMYFUNCTION("""COMPUTED_VALUE"""),42916.0)</f>
        <v>42916</v>
      </c>
      <c r="B178" s="140">
        <f>IFERROR(__xludf.DUMMYFUNCTION("""COMPUTED_VALUE"""),50450.0)</f>
        <v>50450</v>
      </c>
      <c r="C178" s="140" t="str">
        <f>IFERROR(__xludf.DUMMYFUNCTION("""COMPUTED_VALUE"""),"#N/A")</f>
        <v>#N/A</v>
      </c>
      <c r="D178" t="str">
        <f>IFERROR(__xludf.DUMMYFUNCTION("""COMPUTED_VALUE"""),"Intellezy Trainers")</f>
        <v>Intellezy Trainers</v>
      </c>
      <c r="E178" t="str">
        <f>IFERROR(__xludf.DUMMYFUNCTION("""COMPUTED_VALUE"""),"Y")</f>
        <v>Y</v>
      </c>
      <c r="F178" t="str">
        <f>IFERROR(__xludf.DUMMYFUNCTION("""COMPUTED_VALUE"""),"50450,Office Productivity,Email and Productivity")</f>
        <v>50450,Office Productivity,Email and Productivity</v>
      </c>
      <c r="G178" t="str">
        <f>IFERROR(__xludf.DUMMYFUNCTION("""COMPUTED_VALUE"""),"Y")</f>
        <v>Y</v>
      </c>
      <c r="H178" t="str">
        <f>IFERROR(__xludf.DUMMYFUNCTION("""COMPUTED_VALUE"""),"Outdated")</f>
        <v>Outdated</v>
      </c>
      <c r="I178" t="str">
        <f>IFERROR(__xludf.DUMMYFUNCTION("""COMPUTED_VALUE"""),"Office Productivity")</f>
        <v>Office Productivity</v>
      </c>
      <c r="J178" t="str">
        <f>IFERROR(__xludf.DUMMYFUNCTION("""COMPUTED_VALUE"""),"Email and Productivity")</f>
        <v>Email and Productivity</v>
      </c>
      <c r="K178" s="140">
        <f>IFERROR(__xludf.DUMMYFUNCTION("""COMPUTED_VALUE"""),51797.0)</f>
        <v>51797</v>
      </c>
      <c r="L178" s="140" t="str">
        <f>IFERROR(__xludf.DUMMYFUNCTION("""COMPUTED_VALUE"""),"")</f>
        <v/>
      </c>
      <c r="N178" s="140" t="str">
        <f>IFERROR(__xludf.DUMMYFUNCTION("""COMPUTED_VALUE"""),"")</f>
        <v/>
      </c>
    </row>
    <row r="179">
      <c r="A179" s="143">
        <f>IFERROR(__xludf.DUMMYFUNCTION("""COMPUTED_VALUE"""),42916.0)</f>
        <v>42916</v>
      </c>
      <c r="B179" s="140">
        <f>IFERROR(__xludf.DUMMYFUNCTION("""COMPUTED_VALUE"""),58700.0)</f>
        <v>58700</v>
      </c>
      <c r="C179" s="140" t="str">
        <f>IFERROR(__xludf.DUMMYFUNCTION("""COMPUTED_VALUE"""),"#N/A")</f>
        <v>#N/A</v>
      </c>
      <c r="D179" s="142" t="str">
        <f>IFERROR(__xludf.DUMMYFUNCTION("""COMPUTED_VALUE"""),"Learn iT! Anytime")</f>
        <v>Learn iT! Anytime</v>
      </c>
      <c r="E179" t="str">
        <f>IFERROR(__xludf.DUMMYFUNCTION("""COMPUTED_VALUE"""),"Y")</f>
        <v>Y</v>
      </c>
      <c r="F179" t="str">
        <f>IFERROR(__xludf.DUMMYFUNCTION("""COMPUTED_VALUE"""),"58700,Office Productivity,Email and Productivity")</f>
        <v>58700,Office Productivity,Email and Productivity</v>
      </c>
      <c r="G179" t="str">
        <f>IFERROR(__xludf.DUMMYFUNCTION("""COMPUTED_VALUE"""),"Y")</f>
        <v>Y</v>
      </c>
      <c r="H179" t="str">
        <f>IFERROR(__xludf.DUMMYFUNCTION("""COMPUTED_VALUE"""),"Outdated")</f>
        <v>Outdated</v>
      </c>
      <c r="I179" t="str">
        <f>IFERROR(__xludf.DUMMYFUNCTION("""COMPUTED_VALUE"""),"Office Productivity")</f>
        <v>Office Productivity</v>
      </c>
      <c r="J179" t="str">
        <f>IFERROR(__xludf.DUMMYFUNCTION("""COMPUTED_VALUE"""),"Email and Productivity")</f>
        <v>Email and Productivity</v>
      </c>
      <c r="K179" s="140">
        <f>IFERROR(__xludf.DUMMYFUNCTION("""COMPUTED_VALUE"""),51797.0)</f>
        <v>51797</v>
      </c>
      <c r="L179" s="140" t="str">
        <f>IFERROR(__xludf.DUMMYFUNCTION("""COMPUTED_VALUE"""),"")</f>
        <v/>
      </c>
      <c r="N179" s="140" t="str">
        <f>IFERROR(__xludf.DUMMYFUNCTION("""COMPUTED_VALUE"""),"")</f>
        <v/>
      </c>
    </row>
    <row r="180">
      <c r="A180" s="143">
        <f>IFERROR(__xludf.DUMMYFUNCTION("""COMPUTED_VALUE"""),42916.0)</f>
        <v>42916</v>
      </c>
      <c r="B180" s="140">
        <f>IFERROR(__xludf.DUMMYFUNCTION("""COMPUTED_VALUE"""),50212.0)</f>
        <v>50212</v>
      </c>
      <c r="C180" s="140" t="str">
        <f>IFERROR(__xludf.DUMMYFUNCTION("""COMPUTED_VALUE"""),"#N/A")</f>
        <v>#N/A</v>
      </c>
      <c r="D180" t="str">
        <f>IFERROR(__xludf.DUMMYFUNCTION("""COMPUTED_VALUE"""),"Intellezy Trainers")</f>
        <v>Intellezy Trainers</v>
      </c>
      <c r="E180" t="str">
        <f>IFERROR(__xludf.DUMMYFUNCTION("""COMPUTED_VALUE"""),"Y")</f>
        <v>Y</v>
      </c>
      <c r="F180" t="str">
        <f>IFERROR(__xludf.DUMMYFUNCTION("""COMPUTED_VALUE"""),"50212,Office Productivity,Presentations")</f>
        <v>50212,Office Productivity,Presentations</v>
      </c>
      <c r="G180" t="str">
        <f>IFERROR(__xludf.DUMMYFUNCTION("""COMPUTED_VALUE"""),"Y")</f>
        <v>Y</v>
      </c>
      <c r="H180" t="str">
        <f>IFERROR(__xludf.DUMMYFUNCTION("""COMPUTED_VALUE"""),"Outdated")</f>
        <v>Outdated</v>
      </c>
      <c r="I180" t="str">
        <f>IFERROR(__xludf.DUMMYFUNCTION("""COMPUTED_VALUE"""),"Office Productivity")</f>
        <v>Office Productivity</v>
      </c>
      <c r="J180" t="str">
        <f>IFERROR(__xludf.DUMMYFUNCTION("""COMPUTED_VALUE"""),"Presentations")</f>
        <v>Presentations</v>
      </c>
      <c r="K180" s="140">
        <f>IFERROR(__xludf.DUMMYFUNCTION("""COMPUTED_VALUE"""),50563.0)</f>
        <v>50563</v>
      </c>
      <c r="L180" s="140" t="str">
        <f>IFERROR(__xludf.DUMMYFUNCTION("""COMPUTED_VALUE"""),"")</f>
        <v/>
      </c>
      <c r="N180" s="140" t="str">
        <f>IFERROR(__xludf.DUMMYFUNCTION("""COMPUTED_VALUE"""),"")</f>
        <v/>
      </c>
      <c r="R180" t="str">
        <f>IFERROR(__xludf.DUMMYFUNCTION("""COMPUTED_VALUE"""),"Office Productivity")</f>
        <v>Office Productivity</v>
      </c>
      <c r="S180" t="str">
        <f>IFERROR(__xludf.DUMMYFUNCTION("""COMPUTED_VALUE"""),"Spreadsheets")</f>
        <v>Spreadsheets</v>
      </c>
      <c r="T180" t="str">
        <f>IFERROR(__xludf.DUMMYFUNCTION("""COMPUTED_VALUE"""),"Office Productivity")</f>
        <v>Office Productivity</v>
      </c>
    </row>
    <row r="181">
      <c r="A181" s="143">
        <f>IFERROR(__xludf.DUMMYFUNCTION("""COMPUTED_VALUE"""),42916.0)</f>
        <v>42916</v>
      </c>
      <c r="B181" s="140">
        <f>IFERROR(__xludf.DUMMYFUNCTION("""COMPUTED_VALUE"""),343602.0)</f>
        <v>343602</v>
      </c>
      <c r="C181" s="140" t="str">
        <f>IFERROR(__xludf.DUMMYFUNCTION("""COMPUTED_VALUE"""),"#N/A")</f>
        <v>#N/A</v>
      </c>
      <c r="D181" t="str">
        <f>IFERROR(__xludf.DUMMYFUNCTION("""COMPUTED_VALUE"""),"John Wiley &amp; Sons, Inc.")</f>
        <v>John Wiley &amp; Sons, Inc.</v>
      </c>
      <c r="E181" t="str">
        <f>IFERROR(__xludf.DUMMYFUNCTION("""COMPUTED_VALUE"""),"Y")</f>
        <v>Y</v>
      </c>
      <c r="F181" t="str">
        <f>IFERROR(__xludf.DUMMYFUNCTION("""COMPUTED_VALUE"""),"343602,Office Productivity,Presentations")</f>
        <v>343602,Office Productivity,Presentations</v>
      </c>
      <c r="G181" t="str">
        <f>IFERROR(__xludf.DUMMYFUNCTION("""COMPUTED_VALUE"""),"Y")</f>
        <v>Y</v>
      </c>
      <c r="H181" t="str">
        <f>IFERROR(__xludf.DUMMYFUNCTION("""COMPUTED_VALUE"""),"Outdated")</f>
        <v>Outdated</v>
      </c>
      <c r="I181" t="str">
        <f>IFERROR(__xludf.DUMMYFUNCTION("""COMPUTED_VALUE"""),"Office Productivity")</f>
        <v>Office Productivity</v>
      </c>
      <c r="J181" t="str">
        <f>IFERROR(__xludf.DUMMYFUNCTION("""COMPUTED_VALUE"""),"Presentations")</f>
        <v>Presentations</v>
      </c>
      <c r="K181" s="140">
        <f>IFERROR(__xludf.DUMMYFUNCTION("""COMPUTED_VALUE"""),50563.0)</f>
        <v>50563</v>
      </c>
      <c r="L181" s="140" t="str">
        <f>IFERROR(__xludf.DUMMYFUNCTION("""COMPUTED_VALUE"""),"")</f>
        <v/>
      </c>
      <c r="N181" s="140" t="str">
        <f>IFERROR(__xludf.DUMMYFUNCTION("""COMPUTED_VALUE"""),"")</f>
        <v/>
      </c>
      <c r="R181" t="str">
        <f>IFERROR(__xludf.DUMMYFUNCTION("""COMPUTED_VALUE"""),"Office Productivity")</f>
        <v>Office Productivity</v>
      </c>
      <c r="S181" t="str">
        <f>IFERROR(__xludf.DUMMYFUNCTION("""COMPUTED_VALUE"""),"Spreadsheets")</f>
        <v>Spreadsheets</v>
      </c>
      <c r="T181" t="str">
        <f>IFERROR(__xludf.DUMMYFUNCTION("""COMPUTED_VALUE"""),"Office Productivity")</f>
        <v>Office Productivity</v>
      </c>
    </row>
    <row r="182">
      <c r="A182" s="143">
        <f>IFERROR(__xludf.DUMMYFUNCTION("""COMPUTED_VALUE"""),42916.0)</f>
        <v>42916</v>
      </c>
      <c r="B182" s="140">
        <f>IFERROR(__xludf.DUMMYFUNCTION("""COMPUTED_VALUE"""),109518.0)</f>
        <v>109518</v>
      </c>
      <c r="C182" s="140" t="str">
        <f>IFERROR(__xludf.DUMMYFUNCTION("""COMPUTED_VALUE"""),"#N/A")</f>
        <v>#N/A</v>
      </c>
      <c r="D182" t="str">
        <f>IFERROR(__xludf.DUMMYFUNCTION("""COMPUTED_VALUE"""),"Simon Sez IT")</f>
        <v>Simon Sez IT</v>
      </c>
      <c r="E182" t="str">
        <f>IFERROR(__xludf.DUMMYFUNCTION("""COMPUTED_VALUE"""),"Y")</f>
        <v>Y</v>
      </c>
      <c r="F182" t="str">
        <f>IFERROR(__xludf.DUMMYFUNCTION("""COMPUTED_VALUE"""),"109518,Office Productivity,Presentations")</f>
        <v>109518,Office Productivity,Presentations</v>
      </c>
      <c r="G182" t="str">
        <f>IFERROR(__xludf.DUMMYFUNCTION("""COMPUTED_VALUE"""),"Y")</f>
        <v>Y</v>
      </c>
      <c r="H182" t="str">
        <f>IFERROR(__xludf.DUMMYFUNCTION("""COMPUTED_VALUE"""),"Outdated")</f>
        <v>Outdated</v>
      </c>
      <c r="I182" t="str">
        <f>IFERROR(__xludf.DUMMYFUNCTION("""COMPUTED_VALUE"""),"Office Productivity")</f>
        <v>Office Productivity</v>
      </c>
      <c r="J182" t="str">
        <f>IFERROR(__xludf.DUMMYFUNCTION("""COMPUTED_VALUE"""),"Presentations")</f>
        <v>Presentations</v>
      </c>
      <c r="K182" s="140">
        <f>IFERROR(__xludf.DUMMYFUNCTION("""COMPUTED_VALUE"""),50563.0)</f>
        <v>50563</v>
      </c>
      <c r="L182" s="140" t="str">
        <f>IFERROR(__xludf.DUMMYFUNCTION("""COMPUTED_VALUE"""),"")</f>
        <v/>
      </c>
      <c r="N182" s="140" t="str">
        <f>IFERROR(__xludf.DUMMYFUNCTION("""COMPUTED_VALUE"""),"")</f>
        <v/>
      </c>
      <c r="R182" t="str">
        <f>IFERROR(__xludf.DUMMYFUNCTION("""COMPUTED_VALUE"""),"Office Productivity")</f>
        <v>Office Productivity</v>
      </c>
      <c r="S182" t="str">
        <f>IFERROR(__xludf.DUMMYFUNCTION("""COMPUTED_VALUE"""),"Spreadsheets")</f>
        <v>Spreadsheets</v>
      </c>
      <c r="T182" t="str">
        <f>IFERROR(__xludf.DUMMYFUNCTION("""COMPUTED_VALUE"""),"Office Productivity")</f>
        <v>Office Productivity</v>
      </c>
    </row>
    <row r="183">
      <c r="A183" s="143">
        <f>IFERROR(__xludf.DUMMYFUNCTION("""COMPUTED_VALUE"""),42916.0)</f>
        <v>42916</v>
      </c>
      <c r="B183" s="140">
        <f>IFERROR(__xludf.DUMMYFUNCTION("""COMPUTED_VALUE"""),518910.0)</f>
        <v>518910</v>
      </c>
      <c r="C183" s="140" t="str">
        <f>IFERROR(__xludf.DUMMYFUNCTION("""COMPUTED_VALUE"""),"#N/A")</f>
        <v>#N/A</v>
      </c>
      <c r="D183" t="str">
        <f>IFERROR(__xludf.DUMMYFUNCTION("""COMPUTED_VALUE"""),"Simon Sez IT")</f>
        <v>Simon Sez IT</v>
      </c>
      <c r="E183" t="str">
        <f>IFERROR(__xludf.DUMMYFUNCTION("""COMPUTED_VALUE"""),"Y")</f>
        <v>Y</v>
      </c>
      <c r="F183" t="str">
        <f>IFERROR(__xludf.DUMMYFUNCTION("""COMPUTED_VALUE"""),"518910,Office Productivity,Presentations")</f>
        <v>518910,Office Productivity,Presentations</v>
      </c>
      <c r="G183" t="str">
        <f>IFERROR(__xludf.DUMMYFUNCTION("""COMPUTED_VALUE"""),"Y")</f>
        <v>Y</v>
      </c>
      <c r="H183" t="str">
        <f>IFERROR(__xludf.DUMMYFUNCTION("""COMPUTED_VALUE"""),"Outdated")</f>
        <v>Outdated</v>
      </c>
      <c r="I183" t="str">
        <f>IFERROR(__xludf.DUMMYFUNCTION("""COMPUTED_VALUE"""),"Office Productivity")</f>
        <v>Office Productivity</v>
      </c>
      <c r="J183" t="str">
        <f>IFERROR(__xludf.DUMMYFUNCTION("""COMPUTED_VALUE"""),"Presentations")</f>
        <v>Presentations</v>
      </c>
      <c r="K183" s="140">
        <f>IFERROR(__xludf.DUMMYFUNCTION("""COMPUTED_VALUE"""),401708.0)</f>
        <v>401708</v>
      </c>
      <c r="L183" s="140" t="str">
        <f>IFERROR(__xludf.DUMMYFUNCTION("""COMPUTED_VALUE"""),"")</f>
        <v/>
      </c>
      <c r="N183" s="140" t="str">
        <f>IFERROR(__xludf.DUMMYFUNCTION("""COMPUTED_VALUE"""),"")</f>
        <v/>
      </c>
    </row>
    <row r="184">
      <c r="A184" s="143">
        <f>IFERROR(__xludf.DUMMYFUNCTION("""COMPUTED_VALUE"""),42916.0)</f>
        <v>42916</v>
      </c>
      <c r="B184" s="140">
        <f>IFERROR(__xludf.DUMMYFUNCTION("""COMPUTED_VALUE"""),50875.0)</f>
        <v>50875</v>
      </c>
      <c r="C184" s="140" t="str">
        <f>IFERROR(__xludf.DUMMYFUNCTION("""COMPUTED_VALUE"""),"#N/A")</f>
        <v>#N/A</v>
      </c>
      <c r="D184" t="str">
        <f>IFERROR(__xludf.DUMMYFUNCTION("""COMPUTED_VALUE"""),"Intellezy Trainers")</f>
        <v>Intellezy Trainers</v>
      </c>
      <c r="E184" t="str">
        <f>IFERROR(__xludf.DUMMYFUNCTION("""COMPUTED_VALUE"""),"Y")</f>
        <v>Y</v>
      </c>
      <c r="F184" t="str">
        <f>IFERROR(__xludf.DUMMYFUNCTION("""COMPUTED_VALUE"""),"50875,Office Productivity,Spreadsheets")</f>
        <v>50875,Office Productivity,Spreadsheets</v>
      </c>
      <c r="G184" t="str">
        <f>IFERROR(__xludf.DUMMYFUNCTION("""COMPUTED_VALUE"""),"Y")</f>
        <v>Y</v>
      </c>
      <c r="H184" t="str">
        <f>IFERROR(__xludf.DUMMYFUNCTION("""COMPUTED_VALUE"""),"Outdated")</f>
        <v>Outdated</v>
      </c>
      <c r="I184" t="str">
        <f>IFERROR(__xludf.DUMMYFUNCTION("""COMPUTED_VALUE"""),"Office Productivity")</f>
        <v>Office Productivity</v>
      </c>
      <c r="J184" t="str">
        <f>IFERROR(__xludf.DUMMYFUNCTION("""COMPUTED_VALUE"""),"Spreadsheets")</f>
        <v>Spreadsheets</v>
      </c>
      <c r="K184" s="140">
        <f>IFERROR(__xludf.DUMMYFUNCTION("""COMPUTED_VALUE"""),948866.0)</f>
        <v>948866</v>
      </c>
      <c r="L184" s="140" t="str">
        <f>IFERROR(__xludf.DUMMYFUNCTION("""COMPUTED_VALUE"""),"")</f>
        <v/>
      </c>
      <c r="M184" s="140">
        <f>IFERROR(__xludf.DUMMYFUNCTION("""COMPUTED_VALUE"""),49250.0)</f>
        <v>49250</v>
      </c>
      <c r="N184" s="140" t="str">
        <f>IFERROR(__xludf.DUMMYFUNCTION("""COMPUTED_VALUE"""),"")</f>
        <v/>
      </c>
    </row>
    <row r="185">
      <c r="A185" s="143">
        <f>IFERROR(__xludf.DUMMYFUNCTION("""COMPUTED_VALUE"""),42916.0)</f>
        <v>42916</v>
      </c>
      <c r="B185" s="140">
        <f>IFERROR(__xludf.DUMMYFUNCTION("""COMPUTED_VALUE"""),50867.0)</f>
        <v>50867</v>
      </c>
      <c r="C185" s="140" t="str">
        <f>IFERROR(__xludf.DUMMYFUNCTION("""COMPUTED_VALUE"""),"#N/A")</f>
        <v>#N/A</v>
      </c>
      <c r="D185" t="str">
        <f>IFERROR(__xludf.DUMMYFUNCTION("""COMPUTED_VALUE"""),"Intellezy Trainers")</f>
        <v>Intellezy Trainers</v>
      </c>
      <c r="E185" t="str">
        <f>IFERROR(__xludf.DUMMYFUNCTION("""COMPUTED_VALUE"""),"Y")</f>
        <v>Y</v>
      </c>
      <c r="F185" t="str">
        <f>IFERROR(__xludf.DUMMYFUNCTION("""COMPUTED_VALUE"""),"50867,Office Productivity,Spreadsheets")</f>
        <v>50867,Office Productivity,Spreadsheets</v>
      </c>
      <c r="G185" t="str">
        <f>IFERROR(__xludf.DUMMYFUNCTION("""COMPUTED_VALUE"""),"Y")</f>
        <v>Y</v>
      </c>
      <c r="H185" t="str">
        <f>IFERROR(__xludf.DUMMYFUNCTION("""COMPUTED_VALUE"""),"Outdated")</f>
        <v>Outdated</v>
      </c>
      <c r="I185" t="str">
        <f>IFERROR(__xludf.DUMMYFUNCTION("""COMPUTED_VALUE"""),"Office Productivity")</f>
        <v>Office Productivity</v>
      </c>
      <c r="J185" t="str">
        <f>IFERROR(__xludf.DUMMYFUNCTION("""COMPUTED_VALUE"""),"Spreadsheets")</f>
        <v>Spreadsheets</v>
      </c>
      <c r="K185" s="140">
        <f>IFERROR(__xludf.DUMMYFUNCTION("""COMPUTED_VALUE"""),948866.0)</f>
        <v>948866</v>
      </c>
      <c r="L185" s="140" t="str">
        <f>IFERROR(__xludf.DUMMYFUNCTION("""COMPUTED_VALUE"""),"")</f>
        <v/>
      </c>
      <c r="M185" s="140">
        <f>IFERROR(__xludf.DUMMYFUNCTION("""COMPUTED_VALUE"""),49250.0)</f>
        <v>49250</v>
      </c>
      <c r="N185" s="140" t="str">
        <f>IFERROR(__xludf.DUMMYFUNCTION("""COMPUTED_VALUE"""),"")</f>
        <v/>
      </c>
    </row>
    <row r="186">
      <c r="A186" s="143">
        <f>IFERROR(__xludf.DUMMYFUNCTION("""COMPUTED_VALUE"""),42916.0)</f>
        <v>42916</v>
      </c>
      <c r="B186" s="140">
        <f>IFERROR(__xludf.DUMMYFUNCTION("""COMPUTED_VALUE"""),50373.0)</f>
        <v>50373</v>
      </c>
      <c r="C186" s="140" t="str">
        <f>IFERROR(__xludf.DUMMYFUNCTION("""COMPUTED_VALUE"""),"#N/A")</f>
        <v>#N/A</v>
      </c>
      <c r="D186" t="str">
        <f>IFERROR(__xludf.DUMMYFUNCTION("""COMPUTED_VALUE"""),"Intellezy Trainers")</f>
        <v>Intellezy Trainers</v>
      </c>
      <c r="E186" t="str">
        <f>IFERROR(__xludf.DUMMYFUNCTION("""COMPUTED_VALUE"""),"Y")</f>
        <v>Y</v>
      </c>
      <c r="F186" t="str">
        <f>IFERROR(__xludf.DUMMYFUNCTION("""COMPUTED_VALUE"""),"50373,Office Productivity,Spreadsheets")</f>
        <v>50373,Office Productivity,Spreadsheets</v>
      </c>
      <c r="G186" t="str">
        <f>IFERROR(__xludf.DUMMYFUNCTION("""COMPUTED_VALUE"""),"Y")</f>
        <v>Y</v>
      </c>
      <c r="H186" t="str">
        <f>IFERROR(__xludf.DUMMYFUNCTION("""COMPUTED_VALUE"""),"Outdated")</f>
        <v>Outdated</v>
      </c>
      <c r="I186" t="str">
        <f>IFERROR(__xludf.DUMMYFUNCTION("""COMPUTED_VALUE"""),"Office Productivity")</f>
        <v>Office Productivity</v>
      </c>
      <c r="J186" t="str">
        <f>IFERROR(__xludf.DUMMYFUNCTION("""COMPUTED_VALUE"""),"Spreadsheets")</f>
        <v>Spreadsheets</v>
      </c>
      <c r="K186" s="140">
        <f>IFERROR(__xludf.DUMMYFUNCTION("""COMPUTED_VALUE"""),948866.0)</f>
        <v>948866</v>
      </c>
      <c r="L186" s="140" t="str">
        <f>IFERROR(__xludf.DUMMYFUNCTION("""COMPUTED_VALUE"""),"")</f>
        <v/>
      </c>
      <c r="M186" s="140">
        <f>IFERROR(__xludf.DUMMYFUNCTION("""COMPUTED_VALUE"""),49250.0)</f>
        <v>49250</v>
      </c>
      <c r="N186" s="140" t="str">
        <f>IFERROR(__xludf.DUMMYFUNCTION("""COMPUTED_VALUE"""),"")</f>
        <v/>
      </c>
    </row>
    <row r="187">
      <c r="A187" s="143">
        <f>IFERROR(__xludf.DUMMYFUNCTION("""COMPUTED_VALUE"""),42916.0)</f>
        <v>42916</v>
      </c>
      <c r="B187" s="140">
        <f>IFERROR(__xludf.DUMMYFUNCTION("""COMPUTED_VALUE"""),51003.0)</f>
        <v>51003</v>
      </c>
      <c r="C187" s="140" t="str">
        <f>IFERROR(__xludf.DUMMYFUNCTION("""COMPUTED_VALUE"""),"#N/A")</f>
        <v>#N/A</v>
      </c>
      <c r="D187" t="str">
        <f>IFERROR(__xludf.DUMMYFUNCTION("""COMPUTED_VALUE"""),"Intellezy Trainers")</f>
        <v>Intellezy Trainers</v>
      </c>
      <c r="E187" t="str">
        <f>IFERROR(__xludf.DUMMYFUNCTION("""COMPUTED_VALUE"""),"Y")</f>
        <v>Y</v>
      </c>
      <c r="F187" t="str">
        <f>IFERROR(__xludf.DUMMYFUNCTION("""COMPUTED_VALUE"""),"51003,Office Productivity,Spreadsheets")</f>
        <v>51003,Office Productivity,Spreadsheets</v>
      </c>
      <c r="G187" t="str">
        <f>IFERROR(__xludf.DUMMYFUNCTION("""COMPUTED_VALUE"""),"Y")</f>
        <v>Y</v>
      </c>
      <c r="H187" t="str">
        <f>IFERROR(__xludf.DUMMYFUNCTION("""COMPUTED_VALUE"""),"Outdated")</f>
        <v>Outdated</v>
      </c>
      <c r="I187" t="str">
        <f>IFERROR(__xludf.DUMMYFUNCTION("""COMPUTED_VALUE"""),"Office Productivity")</f>
        <v>Office Productivity</v>
      </c>
      <c r="J187" t="str">
        <f>IFERROR(__xludf.DUMMYFUNCTION("""COMPUTED_VALUE"""),"Spreadsheets")</f>
        <v>Spreadsheets</v>
      </c>
      <c r="K187" s="140">
        <f>IFERROR(__xludf.DUMMYFUNCTION("""COMPUTED_VALUE"""),948866.0)</f>
        <v>948866</v>
      </c>
      <c r="L187" s="140" t="str">
        <f>IFERROR(__xludf.DUMMYFUNCTION("""COMPUTED_VALUE"""),"")</f>
        <v/>
      </c>
      <c r="M187" s="140">
        <f>IFERROR(__xludf.DUMMYFUNCTION("""COMPUTED_VALUE"""),49250.0)</f>
        <v>49250</v>
      </c>
      <c r="N187" s="140" t="str">
        <f>IFERROR(__xludf.DUMMYFUNCTION("""COMPUTED_VALUE"""),"")</f>
        <v/>
      </c>
    </row>
    <row r="188">
      <c r="A188" s="143">
        <f>IFERROR(__xludf.DUMMYFUNCTION("""COMPUTED_VALUE"""),42916.0)</f>
        <v>42916</v>
      </c>
      <c r="B188" s="140">
        <f>IFERROR(__xludf.DUMMYFUNCTION("""COMPUTED_VALUE"""),58615.0)</f>
        <v>58615</v>
      </c>
      <c r="C188" s="140" t="str">
        <f>IFERROR(__xludf.DUMMYFUNCTION("""COMPUTED_VALUE"""),"#N/A")</f>
        <v>#N/A</v>
      </c>
      <c r="D188" s="142" t="str">
        <f>IFERROR(__xludf.DUMMYFUNCTION("""COMPUTED_VALUE"""),"Learn iT! Anytime")</f>
        <v>Learn iT! Anytime</v>
      </c>
      <c r="E188" t="str">
        <f>IFERROR(__xludf.DUMMYFUNCTION("""COMPUTED_VALUE"""),"Y")</f>
        <v>Y</v>
      </c>
      <c r="F188" t="str">
        <f>IFERROR(__xludf.DUMMYFUNCTION("""COMPUTED_VALUE"""),"58615,Office Productivity,Spreadsheets")</f>
        <v>58615,Office Productivity,Spreadsheets</v>
      </c>
      <c r="G188" t="str">
        <f>IFERROR(__xludf.DUMMYFUNCTION("""COMPUTED_VALUE"""),"Y")</f>
        <v>Y</v>
      </c>
      <c r="H188" t="str">
        <f>IFERROR(__xludf.DUMMYFUNCTION("""COMPUTED_VALUE"""),"Outdated")</f>
        <v>Outdated</v>
      </c>
      <c r="I188" t="str">
        <f>IFERROR(__xludf.DUMMYFUNCTION("""COMPUTED_VALUE"""),"Office Productivity")</f>
        <v>Office Productivity</v>
      </c>
      <c r="J188" t="str">
        <f>IFERROR(__xludf.DUMMYFUNCTION("""COMPUTED_VALUE"""),"Spreadsheets")</f>
        <v>Spreadsheets</v>
      </c>
      <c r="K188" s="140">
        <f>IFERROR(__xludf.DUMMYFUNCTION("""COMPUTED_VALUE"""),948866.0)</f>
        <v>948866</v>
      </c>
      <c r="L188" s="140" t="str">
        <f>IFERROR(__xludf.DUMMYFUNCTION("""COMPUTED_VALUE"""),"")</f>
        <v/>
      </c>
      <c r="M188" s="140">
        <f>IFERROR(__xludf.DUMMYFUNCTION("""COMPUTED_VALUE"""),49250.0)</f>
        <v>49250</v>
      </c>
      <c r="N188" s="140" t="str">
        <f>IFERROR(__xludf.DUMMYFUNCTION("""COMPUTED_VALUE"""),"")</f>
        <v/>
      </c>
    </row>
    <row r="189">
      <c r="A189" s="143">
        <f>IFERROR(__xludf.DUMMYFUNCTION("""COMPUTED_VALUE"""),42916.0)</f>
        <v>42916</v>
      </c>
      <c r="B189" s="140">
        <f>IFERROR(__xludf.DUMMYFUNCTION("""COMPUTED_VALUE"""),51126.0)</f>
        <v>51126</v>
      </c>
      <c r="C189" s="140" t="str">
        <f>IFERROR(__xludf.DUMMYFUNCTION("""COMPUTED_VALUE"""),"#N/A")</f>
        <v>#N/A</v>
      </c>
      <c r="D189" t="str">
        <f>IFERROR(__xludf.DUMMYFUNCTION("""COMPUTED_VALUE"""),"Intellezy Trainers")</f>
        <v>Intellezy Trainers</v>
      </c>
      <c r="E189" t="str">
        <f>IFERROR(__xludf.DUMMYFUNCTION("""COMPUTED_VALUE"""),"Y")</f>
        <v>Y</v>
      </c>
      <c r="F189" t="str">
        <f>IFERROR(__xludf.DUMMYFUNCTION("""COMPUTED_VALUE"""),"51126,Office Productivity,Spreadsheets")</f>
        <v>51126,Office Productivity,Spreadsheets</v>
      </c>
      <c r="G189" t="str">
        <f>IFERROR(__xludf.DUMMYFUNCTION("""COMPUTED_VALUE"""),"Y")</f>
        <v>Y</v>
      </c>
      <c r="H189" t="str">
        <f>IFERROR(__xludf.DUMMYFUNCTION("""COMPUTED_VALUE"""),"Outdated")</f>
        <v>Outdated</v>
      </c>
      <c r="I189" t="str">
        <f>IFERROR(__xludf.DUMMYFUNCTION("""COMPUTED_VALUE"""),"Office Productivity")</f>
        <v>Office Productivity</v>
      </c>
      <c r="J189" t="str">
        <f>IFERROR(__xludf.DUMMYFUNCTION("""COMPUTED_VALUE"""),"Spreadsheets")</f>
        <v>Spreadsheets</v>
      </c>
      <c r="K189" s="140">
        <f>IFERROR(__xludf.DUMMYFUNCTION("""COMPUTED_VALUE"""),114564.0)</f>
        <v>114564</v>
      </c>
      <c r="L189" s="140" t="str">
        <f>IFERROR(__xludf.DUMMYFUNCTION("""COMPUTED_VALUE"""),"")</f>
        <v/>
      </c>
      <c r="N189" s="140" t="str">
        <f>IFERROR(__xludf.DUMMYFUNCTION("""COMPUTED_VALUE"""),"")</f>
        <v/>
      </c>
    </row>
    <row r="190">
      <c r="A190" s="143">
        <f>IFERROR(__xludf.DUMMYFUNCTION("""COMPUTED_VALUE"""),42916.0)</f>
        <v>42916</v>
      </c>
      <c r="B190" s="140">
        <f>IFERROR(__xludf.DUMMYFUNCTION("""COMPUTED_VALUE"""),101082.0)</f>
        <v>101082</v>
      </c>
      <c r="C190" s="140" t="str">
        <f>IFERROR(__xludf.DUMMYFUNCTION("""COMPUTED_VALUE"""),"#N/A")</f>
        <v>#N/A</v>
      </c>
      <c r="D190" t="str">
        <f>IFERROR(__xludf.DUMMYFUNCTION("""COMPUTED_VALUE"""),"Simon Sez IT")</f>
        <v>Simon Sez IT</v>
      </c>
      <c r="E190" t="str">
        <f>IFERROR(__xludf.DUMMYFUNCTION("""COMPUTED_VALUE"""),"Y")</f>
        <v>Y</v>
      </c>
      <c r="F190" t="str">
        <f>IFERROR(__xludf.DUMMYFUNCTION("""COMPUTED_VALUE"""),"101082,Office Productivity,Spreadsheets")</f>
        <v>101082,Office Productivity,Spreadsheets</v>
      </c>
      <c r="G190" t="str">
        <f>IFERROR(__xludf.DUMMYFUNCTION("""COMPUTED_VALUE"""),"Y")</f>
        <v>Y</v>
      </c>
      <c r="H190" t="str">
        <f>IFERROR(__xludf.DUMMYFUNCTION("""COMPUTED_VALUE"""),"Outdated")</f>
        <v>Outdated</v>
      </c>
      <c r="I190" t="str">
        <f>IFERROR(__xludf.DUMMYFUNCTION("""COMPUTED_VALUE"""),"Office Productivity")</f>
        <v>Office Productivity</v>
      </c>
      <c r="J190" t="str">
        <f>IFERROR(__xludf.DUMMYFUNCTION("""COMPUTED_VALUE"""),"Spreadsheets")</f>
        <v>Spreadsheets</v>
      </c>
      <c r="K190" s="140">
        <f>IFERROR(__xludf.DUMMYFUNCTION("""COMPUTED_VALUE"""),472214.0)</f>
        <v>472214</v>
      </c>
      <c r="L190" s="140" t="str">
        <f>IFERROR(__xludf.DUMMYFUNCTION("""COMPUTED_VALUE"""),"")</f>
        <v/>
      </c>
      <c r="N190" s="140" t="str">
        <f>IFERROR(__xludf.DUMMYFUNCTION("""COMPUTED_VALUE"""),"")</f>
        <v/>
      </c>
    </row>
    <row r="191">
      <c r="A191" s="143">
        <f>IFERROR(__xludf.DUMMYFUNCTION("""COMPUTED_VALUE"""),42916.0)</f>
        <v>42916</v>
      </c>
      <c r="B191" s="140">
        <f>IFERROR(__xludf.DUMMYFUNCTION("""COMPUTED_VALUE"""),339438.0)</f>
        <v>339438</v>
      </c>
      <c r="C191" s="140" t="str">
        <f>IFERROR(__xludf.DUMMYFUNCTION("""COMPUTED_VALUE"""),"#N/A")</f>
        <v>#N/A</v>
      </c>
      <c r="D191" t="str">
        <f>IFERROR(__xludf.DUMMYFUNCTION("""COMPUTED_VALUE"""),"Todd McLeod")</f>
        <v>Todd McLeod</v>
      </c>
      <c r="E191" t="str">
        <f>IFERROR(__xludf.DUMMYFUNCTION("""COMPUTED_VALUE"""),"Y")</f>
        <v>Y</v>
      </c>
      <c r="F191" t="str">
        <f>IFERROR(__xludf.DUMMYFUNCTION("""COMPUTED_VALUE"""),"339438,Office Productivity,Spreadsheets")</f>
        <v>339438,Office Productivity,Spreadsheets</v>
      </c>
      <c r="G191" t="str">
        <f>IFERROR(__xludf.DUMMYFUNCTION("""COMPUTED_VALUE"""),"Y")</f>
        <v>Y</v>
      </c>
      <c r="H191" t="str">
        <f>IFERROR(__xludf.DUMMYFUNCTION("""COMPUTED_VALUE"""),"Below Quality Standards")</f>
        <v>Below Quality Standards</v>
      </c>
      <c r="I191" t="str">
        <f>IFERROR(__xludf.DUMMYFUNCTION("""COMPUTED_VALUE"""),"Office Productivity")</f>
        <v>Office Productivity</v>
      </c>
      <c r="J191" t="str">
        <f>IFERROR(__xludf.DUMMYFUNCTION("""COMPUTED_VALUE"""),"Spreadsheets")</f>
        <v>Spreadsheets</v>
      </c>
      <c r="K191" s="140">
        <f>IFERROR(__xludf.DUMMYFUNCTION("""COMPUTED_VALUE"""),49250.0)</f>
        <v>49250</v>
      </c>
      <c r="L191" s="140" t="str">
        <f>IFERROR(__xludf.DUMMYFUNCTION("""COMPUTED_VALUE"""),"")</f>
        <v/>
      </c>
      <c r="N191" s="140" t="str">
        <f>IFERROR(__xludf.DUMMYFUNCTION("""COMPUTED_VALUE"""),"")</f>
        <v/>
      </c>
    </row>
    <row r="192">
      <c r="A192" s="143">
        <f>IFERROR(__xludf.DUMMYFUNCTION("""COMPUTED_VALUE"""),42916.0)</f>
        <v>42916</v>
      </c>
      <c r="B192" s="140">
        <f>IFERROR(__xludf.DUMMYFUNCTION("""COMPUTED_VALUE"""),107344.0)</f>
        <v>107344</v>
      </c>
      <c r="C192" s="140" t="str">
        <f>IFERROR(__xludf.DUMMYFUNCTION("""COMPUTED_VALUE"""),"#N/A")</f>
        <v>#N/A</v>
      </c>
      <c r="D192" t="str">
        <f>IFERROR(__xludf.DUMMYFUNCTION("""COMPUTED_VALUE"""),"Simon Sez IT")</f>
        <v>Simon Sez IT</v>
      </c>
      <c r="E192" t="str">
        <f>IFERROR(__xludf.DUMMYFUNCTION("""COMPUTED_VALUE"""),"Y")</f>
        <v>Y</v>
      </c>
      <c r="F192" t="str">
        <f>IFERROR(__xludf.DUMMYFUNCTION("""COMPUTED_VALUE"""),"107344,Office Productivity,Spreadsheets")</f>
        <v>107344,Office Productivity,Spreadsheets</v>
      </c>
      <c r="G192" t="str">
        <f>IFERROR(__xludf.DUMMYFUNCTION("""COMPUTED_VALUE"""),"Y")</f>
        <v>Y</v>
      </c>
      <c r="H192" t="str">
        <f>IFERROR(__xludf.DUMMYFUNCTION("""COMPUTED_VALUE"""),"Outdated")</f>
        <v>Outdated</v>
      </c>
      <c r="I192" t="str">
        <f>IFERROR(__xludf.DUMMYFUNCTION("""COMPUTED_VALUE"""),"Office Productivity")</f>
        <v>Office Productivity</v>
      </c>
      <c r="J192" t="str">
        <f>IFERROR(__xludf.DUMMYFUNCTION("""COMPUTED_VALUE"""),"Spreadsheets")</f>
        <v>Spreadsheets</v>
      </c>
      <c r="K192" s="140">
        <f>IFERROR(__xludf.DUMMYFUNCTION("""COMPUTED_VALUE"""),948866.0)</f>
        <v>948866</v>
      </c>
      <c r="L192" s="140" t="str">
        <f>IFERROR(__xludf.DUMMYFUNCTION("""COMPUTED_VALUE"""),"")</f>
        <v/>
      </c>
      <c r="N192" s="140" t="str">
        <f>IFERROR(__xludf.DUMMYFUNCTION("""COMPUTED_VALUE"""),"")</f>
        <v/>
      </c>
    </row>
    <row r="193">
      <c r="A193" s="143">
        <f>IFERROR(__xludf.DUMMYFUNCTION("""COMPUTED_VALUE"""),42916.0)</f>
        <v>42916</v>
      </c>
      <c r="B193" s="140">
        <f>IFERROR(__xludf.DUMMYFUNCTION("""COMPUTED_VALUE"""),217584.0)</f>
        <v>217584</v>
      </c>
      <c r="C193" s="140" t="str">
        <f>IFERROR(__xludf.DUMMYFUNCTION("""COMPUTED_VALUE"""),"#N/A")</f>
        <v>#N/A</v>
      </c>
      <c r="D193" t="str">
        <f>IFERROR(__xludf.DUMMYFUNCTION("""COMPUTED_VALUE"""),"Simon Sez IT")</f>
        <v>Simon Sez IT</v>
      </c>
      <c r="E193" t="str">
        <f>IFERROR(__xludf.DUMMYFUNCTION("""COMPUTED_VALUE"""),"Y")</f>
        <v>Y</v>
      </c>
      <c r="F193" t="str">
        <f>IFERROR(__xludf.DUMMYFUNCTION("""COMPUTED_VALUE"""),"217584,Office Productivity,Spreadsheets")</f>
        <v>217584,Office Productivity,Spreadsheets</v>
      </c>
      <c r="G193" t="str">
        <f>IFERROR(__xludf.DUMMYFUNCTION("""COMPUTED_VALUE"""),"Y")</f>
        <v>Y</v>
      </c>
      <c r="H193" t="str">
        <f>IFERROR(__xludf.DUMMYFUNCTION("""COMPUTED_VALUE"""),"Outdated")</f>
        <v>Outdated</v>
      </c>
      <c r="I193" t="str">
        <f>IFERROR(__xludf.DUMMYFUNCTION("""COMPUTED_VALUE"""),"Office Productivity")</f>
        <v>Office Productivity</v>
      </c>
      <c r="J193" t="str">
        <f>IFERROR(__xludf.DUMMYFUNCTION("""COMPUTED_VALUE"""),"Spreadsheets")</f>
        <v>Spreadsheets</v>
      </c>
      <c r="K193" s="140">
        <f>IFERROR(__xludf.DUMMYFUNCTION("""COMPUTED_VALUE"""),948866.0)</f>
        <v>948866</v>
      </c>
      <c r="L193" s="140" t="str">
        <f>IFERROR(__xludf.DUMMYFUNCTION("""COMPUTED_VALUE"""),"")</f>
        <v/>
      </c>
      <c r="N193" s="140" t="str">
        <f>IFERROR(__xludf.DUMMYFUNCTION("""COMPUTED_VALUE"""),"")</f>
        <v/>
      </c>
    </row>
    <row r="194">
      <c r="A194" s="143">
        <f>IFERROR(__xludf.DUMMYFUNCTION("""COMPUTED_VALUE"""),42916.0)</f>
        <v>42916</v>
      </c>
      <c r="B194" s="140">
        <f>IFERROR(__xludf.DUMMYFUNCTION("""COMPUTED_VALUE"""),100904.0)</f>
        <v>100904</v>
      </c>
      <c r="C194" s="140" t="str">
        <f>IFERROR(__xludf.DUMMYFUNCTION("""COMPUTED_VALUE"""),"#N/A")</f>
        <v>#N/A</v>
      </c>
      <c r="D194" t="str">
        <f>IFERROR(__xludf.DUMMYFUNCTION("""COMPUTED_VALUE"""),"Business Productivity")</f>
        <v>Business Productivity</v>
      </c>
      <c r="E194" t="str">
        <f>IFERROR(__xludf.DUMMYFUNCTION("""COMPUTED_VALUE"""),"Y")</f>
        <v>Y</v>
      </c>
      <c r="F194" t="str">
        <f>IFERROR(__xludf.DUMMYFUNCTION("""COMPUTED_VALUE"""),"100904,Office Productivity,Word Processing")</f>
        <v>100904,Office Productivity,Word Processing</v>
      </c>
      <c r="G194" t="str">
        <f>IFERROR(__xludf.DUMMYFUNCTION("""COMPUTED_VALUE"""),"Y")</f>
        <v>Y</v>
      </c>
      <c r="H194" t="str">
        <f>IFERROR(__xludf.DUMMYFUNCTION("""COMPUTED_VALUE"""),"Outdated")</f>
        <v>Outdated</v>
      </c>
      <c r="I194" t="str">
        <f>IFERROR(__xludf.DUMMYFUNCTION("""COMPUTED_VALUE"""),"Office Productivity")</f>
        <v>Office Productivity</v>
      </c>
      <c r="J194" t="str">
        <f>IFERROR(__xludf.DUMMYFUNCTION("""COMPUTED_VALUE"""),"Word Processing")</f>
        <v>Word Processing</v>
      </c>
      <c r="K194" s="140">
        <f>IFERROR(__xludf.DUMMYFUNCTION("""COMPUTED_VALUE"""),29551.0)</f>
        <v>29551</v>
      </c>
      <c r="L194" s="140" t="str">
        <f>IFERROR(__xludf.DUMMYFUNCTION("""COMPUTED_VALUE"""),"")</f>
        <v/>
      </c>
      <c r="M194" s="140">
        <f>IFERROR(__xludf.DUMMYFUNCTION("""COMPUTED_VALUE"""),36431.0)</f>
        <v>36431</v>
      </c>
      <c r="N194" s="140" t="str">
        <f>IFERROR(__xludf.DUMMYFUNCTION("""COMPUTED_VALUE"""),"")</f>
        <v/>
      </c>
    </row>
    <row r="195">
      <c r="A195" s="143">
        <f>IFERROR(__xludf.DUMMYFUNCTION("""COMPUTED_VALUE"""),42916.0)</f>
        <v>42916</v>
      </c>
      <c r="B195" s="140">
        <f>IFERROR(__xludf.DUMMYFUNCTION("""COMPUTED_VALUE"""),50987.0)</f>
        <v>50987</v>
      </c>
      <c r="C195" s="140" t="str">
        <f>IFERROR(__xludf.DUMMYFUNCTION("""COMPUTED_VALUE"""),"#N/A")</f>
        <v>#N/A</v>
      </c>
      <c r="D195" t="str">
        <f>IFERROR(__xludf.DUMMYFUNCTION("""COMPUTED_VALUE"""),"Intellezy Trainers")</f>
        <v>Intellezy Trainers</v>
      </c>
      <c r="E195" t="str">
        <f>IFERROR(__xludf.DUMMYFUNCTION("""COMPUTED_VALUE"""),"Y")</f>
        <v>Y</v>
      </c>
      <c r="F195" t="str">
        <f>IFERROR(__xludf.DUMMYFUNCTION("""COMPUTED_VALUE"""),"50987,Office Productivity,Word Processing")</f>
        <v>50987,Office Productivity,Word Processing</v>
      </c>
      <c r="G195" t="str">
        <f>IFERROR(__xludf.DUMMYFUNCTION("""COMPUTED_VALUE"""),"Y")</f>
        <v>Y</v>
      </c>
      <c r="H195" t="str">
        <f>IFERROR(__xludf.DUMMYFUNCTION("""COMPUTED_VALUE"""),"Outdated")</f>
        <v>Outdated</v>
      </c>
      <c r="I195" t="str">
        <f>IFERROR(__xludf.DUMMYFUNCTION("""COMPUTED_VALUE"""),"Office Productivity")</f>
        <v>Office Productivity</v>
      </c>
      <c r="J195" t="str">
        <f>IFERROR(__xludf.DUMMYFUNCTION("""COMPUTED_VALUE"""),"Word Processing")</f>
        <v>Word Processing</v>
      </c>
      <c r="K195" s="140">
        <f>IFERROR(__xludf.DUMMYFUNCTION("""COMPUTED_VALUE"""),29551.0)</f>
        <v>29551</v>
      </c>
      <c r="L195" s="140" t="str">
        <f>IFERROR(__xludf.DUMMYFUNCTION("""COMPUTED_VALUE"""),"")</f>
        <v/>
      </c>
      <c r="M195" s="140">
        <f>IFERROR(__xludf.DUMMYFUNCTION("""COMPUTED_VALUE"""),36431.0)</f>
        <v>36431</v>
      </c>
      <c r="N195" s="140" t="str">
        <f>IFERROR(__xludf.DUMMYFUNCTION("""COMPUTED_VALUE"""),"")</f>
        <v/>
      </c>
    </row>
    <row r="196">
      <c r="A196" s="143">
        <f>IFERROR(__xludf.DUMMYFUNCTION("""COMPUTED_VALUE"""),42916.0)</f>
        <v>42916</v>
      </c>
      <c r="B196" s="140">
        <f>IFERROR(__xludf.DUMMYFUNCTION("""COMPUTED_VALUE"""),50877.0)</f>
        <v>50877</v>
      </c>
      <c r="C196" s="140" t="str">
        <f>IFERROR(__xludf.DUMMYFUNCTION("""COMPUTED_VALUE"""),"#N/A")</f>
        <v>#N/A</v>
      </c>
      <c r="D196" t="str">
        <f>IFERROR(__xludf.DUMMYFUNCTION("""COMPUTED_VALUE"""),"Intellezy Trainers")</f>
        <v>Intellezy Trainers</v>
      </c>
      <c r="E196" t="str">
        <f>IFERROR(__xludf.DUMMYFUNCTION("""COMPUTED_VALUE"""),"Y")</f>
        <v>Y</v>
      </c>
      <c r="F196" t="str">
        <f>IFERROR(__xludf.DUMMYFUNCTION("""COMPUTED_VALUE"""),"50877,Office Productivity,Word Processing")</f>
        <v>50877,Office Productivity,Word Processing</v>
      </c>
      <c r="G196" t="str">
        <f>IFERROR(__xludf.DUMMYFUNCTION("""COMPUTED_VALUE"""),"Y")</f>
        <v>Y</v>
      </c>
      <c r="H196" t="str">
        <f>IFERROR(__xludf.DUMMYFUNCTION("""COMPUTED_VALUE"""),"Outdated")</f>
        <v>Outdated</v>
      </c>
      <c r="I196" t="str">
        <f>IFERROR(__xludf.DUMMYFUNCTION("""COMPUTED_VALUE"""),"Office Productivity")</f>
        <v>Office Productivity</v>
      </c>
      <c r="J196" t="str">
        <f>IFERROR(__xludf.DUMMYFUNCTION("""COMPUTED_VALUE"""),"Word Processing")</f>
        <v>Word Processing</v>
      </c>
      <c r="K196" s="140">
        <f>IFERROR(__xludf.DUMMYFUNCTION("""COMPUTED_VALUE"""),29551.0)</f>
        <v>29551</v>
      </c>
      <c r="L196" s="140" t="str">
        <f>IFERROR(__xludf.DUMMYFUNCTION("""COMPUTED_VALUE"""),"")</f>
        <v/>
      </c>
      <c r="M196" s="140">
        <f>IFERROR(__xludf.DUMMYFUNCTION("""COMPUTED_VALUE"""),36431.0)</f>
        <v>36431</v>
      </c>
      <c r="N196" s="140" t="str">
        <f>IFERROR(__xludf.DUMMYFUNCTION("""COMPUTED_VALUE"""),"")</f>
        <v/>
      </c>
    </row>
    <row r="197">
      <c r="A197" s="143">
        <f>IFERROR(__xludf.DUMMYFUNCTION("""COMPUTED_VALUE"""),42916.0)</f>
        <v>42916</v>
      </c>
      <c r="B197" s="140">
        <f>IFERROR(__xludf.DUMMYFUNCTION("""COMPUTED_VALUE"""),50116.0)</f>
        <v>50116</v>
      </c>
      <c r="C197" s="140" t="str">
        <f>IFERROR(__xludf.DUMMYFUNCTION("""COMPUTED_VALUE"""),"#N/A")</f>
        <v>#N/A</v>
      </c>
      <c r="D197" t="str">
        <f>IFERROR(__xludf.DUMMYFUNCTION("""COMPUTED_VALUE"""),"Intellezy Trainers")</f>
        <v>Intellezy Trainers</v>
      </c>
      <c r="E197" t="str">
        <f>IFERROR(__xludf.DUMMYFUNCTION("""COMPUTED_VALUE"""),"Y")</f>
        <v>Y</v>
      </c>
      <c r="F197" t="str">
        <f>IFERROR(__xludf.DUMMYFUNCTION("""COMPUTED_VALUE"""),"50116,Office Productivity,Word Processing")</f>
        <v>50116,Office Productivity,Word Processing</v>
      </c>
      <c r="G197" t="str">
        <f>IFERROR(__xludf.DUMMYFUNCTION("""COMPUTED_VALUE"""),"Y")</f>
        <v>Y</v>
      </c>
      <c r="H197" t="str">
        <f>IFERROR(__xludf.DUMMYFUNCTION("""COMPUTED_VALUE"""),"Outdated")</f>
        <v>Outdated</v>
      </c>
      <c r="I197" t="str">
        <f>IFERROR(__xludf.DUMMYFUNCTION("""COMPUTED_VALUE"""),"Office Productivity")</f>
        <v>Office Productivity</v>
      </c>
      <c r="J197" t="str">
        <f>IFERROR(__xludf.DUMMYFUNCTION("""COMPUTED_VALUE"""),"Word Processing")</f>
        <v>Word Processing</v>
      </c>
      <c r="K197" s="140">
        <f>IFERROR(__xludf.DUMMYFUNCTION("""COMPUTED_VALUE"""),29551.0)</f>
        <v>29551</v>
      </c>
      <c r="L197" s="140" t="str">
        <f>IFERROR(__xludf.DUMMYFUNCTION("""COMPUTED_VALUE"""),"")</f>
        <v/>
      </c>
      <c r="M197" s="140">
        <f>IFERROR(__xludf.DUMMYFUNCTION("""COMPUTED_VALUE"""),36431.0)</f>
        <v>36431</v>
      </c>
      <c r="N197" s="140" t="str">
        <f>IFERROR(__xludf.DUMMYFUNCTION("""COMPUTED_VALUE"""),"")</f>
        <v/>
      </c>
    </row>
    <row r="198">
      <c r="A198" s="143">
        <f>IFERROR(__xludf.DUMMYFUNCTION("""COMPUTED_VALUE"""),42916.0)</f>
        <v>42916</v>
      </c>
      <c r="B198" s="140">
        <f>IFERROR(__xludf.DUMMYFUNCTION("""COMPUTED_VALUE"""),343636.0)</f>
        <v>343636</v>
      </c>
      <c r="C198" s="140" t="str">
        <f>IFERROR(__xludf.DUMMYFUNCTION("""COMPUTED_VALUE"""),"#N/A")</f>
        <v>#N/A</v>
      </c>
      <c r="D198" t="str">
        <f>IFERROR(__xludf.DUMMYFUNCTION("""COMPUTED_VALUE"""),"John Wiley &amp; Sons, Inc.")</f>
        <v>John Wiley &amp; Sons, Inc.</v>
      </c>
      <c r="E198" t="str">
        <f>IFERROR(__xludf.DUMMYFUNCTION("""COMPUTED_VALUE"""),"Y")</f>
        <v>Y</v>
      </c>
      <c r="F198" t="str">
        <f>IFERROR(__xludf.DUMMYFUNCTION("""COMPUTED_VALUE"""),"343636,Office Productivity,Word Processing")</f>
        <v>343636,Office Productivity,Word Processing</v>
      </c>
      <c r="G198" t="str">
        <f>IFERROR(__xludf.DUMMYFUNCTION("""COMPUTED_VALUE"""),"Y")</f>
        <v>Y</v>
      </c>
      <c r="H198" t="str">
        <f>IFERROR(__xludf.DUMMYFUNCTION("""COMPUTED_VALUE"""),"Outdated")</f>
        <v>Outdated</v>
      </c>
      <c r="I198" t="str">
        <f>IFERROR(__xludf.DUMMYFUNCTION("""COMPUTED_VALUE"""),"Office Productivity")</f>
        <v>Office Productivity</v>
      </c>
      <c r="J198" t="str">
        <f>IFERROR(__xludf.DUMMYFUNCTION("""COMPUTED_VALUE"""),"Word Processing")</f>
        <v>Word Processing</v>
      </c>
      <c r="K198" s="140">
        <f>IFERROR(__xludf.DUMMYFUNCTION("""COMPUTED_VALUE"""),29551.0)</f>
        <v>29551</v>
      </c>
      <c r="L198" s="140" t="str">
        <f>IFERROR(__xludf.DUMMYFUNCTION("""COMPUTED_VALUE"""),"")</f>
        <v/>
      </c>
      <c r="M198" s="140">
        <f>IFERROR(__xludf.DUMMYFUNCTION("""COMPUTED_VALUE"""),36431.0)</f>
        <v>36431</v>
      </c>
      <c r="N198" s="140" t="str">
        <f>IFERROR(__xludf.DUMMYFUNCTION("""COMPUTED_VALUE"""),"")</f>
        <v/>
      </c>
    </row>
    <row r="199">
      <c r="A199" s="143">
        <f>IFERROR(__xludf.DUMMYFUNCTION("""COMPUTED_VALUE"""),42916.0)</f>
        <v>42916</v>
      </c>
      <c r="B199" s="140">
        <f>IFERROR(__xludf.DUMMYFUNCTION("""COMPUTED_VALUE"""),50107.0)</f>
        <v>50107</v>
      </c>
      <c r="C199" s="140" t="str">
        <f>IFERROR(__xludf.DUMMYFUNCTION("""COMPUTED_VALUE"""),"#N/A")</f>
        <v>#N/A</v>
      </c>
      <c r="D199" t="str">
        <f>IFERROR(__xludf.DUMMYFUNCTION("""COMPUTED_VALUE"""),"Intellezy Trainers")</f>
        <v>Intellezy Trainers</v>
      </c>
      <c r="E199" t="str">
        <f>IFERROR(__xludf.DUMMYFUNCTION("""COMPUTED_VALUE"""),"Y")</f>
        <v>Y</v>
      </c>
      <c r="F199" t="str">
        <f>IFERROR(__xludf.DUMMYFUNCTION("""COMPUTED_VALUE"""),"50107,Office Productivity,Word Processing")</f>
        <v>50107,Office Productivity,Word Processing</v>
      </c>
      <c r="G199" t="str">
        <f>IFERROR(__xludf.DUMMYFUNCTION("""COMPUTED_VALUE"""),"Y")</f>
        <v>Y</v>
      </c>
      <c r="H199" t="str">
        <f>IFERROR(__xludf.DUMMYFUNCTION("""COMPUTED_VALUE"""),"Outdated")</f>
        <v>Outdated</v>
      </c>
      <c r="I199" t="str">
        <f>IFERROR(__xludf.DUMMYFUNCTION("""COMPUTED_VALUE"""),"Office Productivity")</f>
        <v>Office Productivity</v>
      </c>
      <c r="J199" t="str">
        <f>IFERROR(__xludf.DUMMYFUNCTION("""COMPUTED_VALUE"""),"Word Processing")</f>
        <v>Word Processing</v>
      </c>
      <c r="K199" s="140">
        <f>IFERROR(__xludf.DUMMYFUNCTION("""COMPUTED_VALUE"""),29551.0)</f>
        <v>29551</v>
      </c>
      <c r="L199" s="140" t="str">
        <f>IFERROR(__xludf.DUMMYFUNCTION("""COMPUTED_VALUE"""),"")</f>
        <v/>
      </c>
      <c r="M199" s="140">
        <f>IFERROR(__xludf.DUMMYFUNCTION("""COMPUTED_VALUE"""),36431.0)</f>
        <v>36431</v>
      </c>
      <c r="N199" s="140" t="str">
        <f>IFERROR(__xludf.DUMMYFUNCTION("""COMPUTED_VALUE"""),"")</f>
        <v/>
      </c>
    </row>
    <row r="200">
      <c r="A200" s="143">
        <f>IFERROR(__xludf.DUMMYFUNCTION("""COMPUTED_VALUE"""),42916.0)</f>
        <v>42916</v>
      </c>
      <c r="B200" s="140">
        <f>IFERROR(__xludf.DUMMYFUNCTION("""COMPUTED_VALUE"""),50084.0)</f>
        <v>50084</v>
      </c>
      <c r="C200" s="140" t="str">
        <f>IFERROR(__xludf.DUMMYFUNCTION("""COMPUTED_VALUE"""),"#N/A")</f>
        <v>#N/A</v>
      </c>
      <c r="D200" s="142" t="str">
        <f>IFERROR(__xludf.DUMMYFUNCTION("""COMPUTED_VALUE"""),"Intellezy Trainers")</f>
        <v>Intellezy Trainers</v>
      </c>
      <c r="E200" t="str">
        <f>IFERROR(__xludf.DUMMYFUNCTION("""COMPUTED_VALUE"""),"Y")</f>
        <v>Y</v>
      </c>
      <c r="F200" t="str">
        <f>IFERROR(__xludf.DUMMYFUNCTION("""COMPUTED_VALUE"""),"50084,Office Productivity,Word Processing")</f>
        <v>50084,Office Productivity,Word Processing</v>
      </c>
      <c r="G200" t="str">
        <f>IFERROR(__xludf.DUMMYFUNCTION("""COMPUTED_VALUE"""),"Y")</f>
        <v>Y</v>
      </c>
      <c r="H200" t="str">
        <f>IFERROR(__xludf.DUMMYFUNCTION("""COMPUTED_VALUE"""),"Outdated")</f>
        <v>Outdated</v>
      </c>
      <c r="I200" t="str">
        <f>IFERROR(__xludf.DUMMYFUNCTION("""COMPUTED_VALUE"""),"Office Productivity")</f>
        <v>Office Productivity</v>
      </c>
      <c r="J200" t="str">
        <f>IFERROR(__xludf.DUMMYFUNCTION("""COMPUTED_VALUE"""),"Word Processing")</f>
        <v>Word Processing</v>
      </c>
      <c r="K200" s="140">
        <f>IFERROR(__xludf.DUMMYFUNCTION("""COMPUTED_VALUE"""),29551.0)</f>
        <v>29551</v>
      </c>
      <c r="L200" s="140" t="str">
        <f>IFERROR(__xludf.DUMMYFUNCTION("""COMPUTED_VALUE"""),"")</f>
        <v/>
      </c>
      <c r="M200" s="140">
        <f>IFERROR(__xludf.DUMMYFUNCTION("""COMPUTED_VALUE"""),36431.0)</f>
        <v>36431</v>
      </c>
      <c r="N200" s="140" t="str">
        <f>IFERROR(__xludf.DUMMYFUNCTION("""COMPUTED_VALUE"""),"")</f>
        <v/>
      </c>
    </row>
    <row r="201">
      <c r="A201" s="143">
        <f>IFERROR(__xludf.DUMMYFUNCTION("""COMPUTED_VALUE"""),42916.0)</f>
        <v>42916</v>
      </c>
      <c r="B201" s="140">
        <f>IFERROR(__xludf.DUMMYFUNCTION("""COMPUTED_VALUE"""),57390.0)</f>
        <v>57390</v>
      </c>
      <c r="C201" s="140" t="str">
        <f>IFERROR(__xludf.DUMMYFUNCTION("""COMPUTED_VALUE"""),"#N/A")</f>
        <v>#N/A</v>
      </c>
      <c r="D201" s="142" t="str">
        <f>IFERROR(__xludf.DUMMYFUNCTION("""COMPUTED_VALUE"""),"Learn iT! Anytime")</f>
        <v>Learn iT! Anytime</v>
      </c>
      <c r="E201" t="str">
        <f>IFERROR(__xludf.DUMMYFUNCTION("""COMPUTED_VALUE"""),"Y")</f>
        <v>Y</v>
      </c>
      <c r="F201" t="str">
        <f>IFERROR(__xludf.DUMMYFUNCTION("""COMPUTED_VALUE"""),"57390,Office Productivity,Word Processing")</f>
        <v>57390,Office Productivity,Word Processing</v>
      </c>
      <c r="G201" t="str">
        <f>IFERROR(__xludf.DUMMYFUNCTION("""COMPUTED_VALUE"""),"Y")</f>
        <v>Y</v>
      </c>
      <c r="H201" t="str">
        <f>IFERROR(__xludf.DUMMYFUNCTION("""COMPUTED_VALUE"""),"Outdated")</f>
        <v>Outdated</v>
      </c>
      <c r="I201" t="str">
        <f>IFERROR(__xludf.DUMMYFUNCTION("""COMPUTED_VALUE"""),"Office Productivity")</f>
        <v>Office Productivity</v>
      </c>
      <c r="J201" t="str">
        <f>IFERROR(__xludf.DUMMYFUNCTION("""COMPUTED_VALUE"""),"Word Processing")</f>
        <v>Word Processing</v>
      </c>
      <c r="K201" s="140">
        <f>IFERROR(__xludf.DUMMYFUNCTION("""COMPUTED_VALUE"""),29551.0)</f>
        <v>29551</v>
      </c>
      <c r="L201" s="140" t="str">
        <f>IFERROR(__xludf.DUMMYFUNCTION("""COMPUTED_VALUE"""),"")</f>
        <v/>
      </c>
      <c r="M201" s="140">
        <f>IFERROR(__xludf.DUMMYFUNCTION("""COMPUTED_VALUE"""),36431.0)</f>
        <v>36431</v>
      </c>
      <c r="N201" s="140" t="str">
        <f>IFERROR(__xludf.DUMMYFUNCTION("""COMPUTED_VALUE"""),"")</f>
        <v/>
      </c>
    </row>
    <row r="202">
      <c r="A202" s="143">
        <f>IFERROR(__xludf.DUMMYFUNCTION("""COMPUTED_VALUE"""),42916.0)</f>
        <v>42916</v>
      </c>
      <c r="B202" s="140">
        <f>IFERROR(__xludf.DUMMYFUNCTION("""COMPUTED_VALUE"""),701150.0)</f>
        <v>701150</v>
      </c>
      <c r="C202" s="140" t="str">
        <f>IFERROR(__xludf.DUMMYFUNCTION("""COMPUTED_VALUE"""),"#N/A")</f>
        <v>#N/A</v>
      </c>
      <c r="D202" t="str">
        <f>IFERROR(__xludf.DUMMYFUNCTION("""COMPUTED_VALUE"""),"Siva Prasad")</f>
        <v>Siva Prasad</v>
      </c>
      <c r="E202" t="str">
        <f>IFERROR(__xludf.DUMMYFUNCTION("""COMPUTED_VALUE"""),"Y")</f>
        <v>Y</v>
      </c>
      <c r="F202" t="str">
        <f>IFERROR(__xludf.DUMMYFUNCTION("""COMPUTED_VALUE"""),"701150,Project Management and Operations,Operations Management")</f>
        <v>701150,Project Management and Operations,Operations Management</v>
      </c>
      <c r="G202" t="str">
        <f>IFERROR(__xludf.DUMMYFUNCTION("""COMPUTED_VALUE"""),"Y")</f>
        <v>Y</v>
      </c>
      <c r="H202" t="str">
        <f>IFERROR(__xludf.DUMMYFUNCTION("""COMPUTED_VALUE"""),"Instructor Request")</f>
        <v>Instructor Request</v>
      </c>
      <c r="I202" t="str">
        <f>IFERROR(__xludf.DUMMYFUNCTION("""COMPUTED_VALUE"""),"Project Management and Operations")</f>
        <v>Project Management and Operations</v>
      </c>
      <c r="J202" t="str">
        <f>IFERROR(__xludf.DUMMYFUNCTION("""COMPUTED_VALUE"""),"Operations Management")</f>
        <v>Operations Management</v>
      </c>
      <c r="K202" s="140">
        <f>IFERROR(__xludf.DUMMYFUNCTION("""COMPUTED_VALUE"""),1014340.0)</f>
        <v>1014340</v>
      </c>
      <c r="L202" s="140" t="str">
        <f>IFERROR(__xludf.DUMMYFUNCTION("""COMPUTED_VALUE"""),"")</f>
        <v/>
      </c>
      <c r="N202" s="140" t="str">
        <f>IFERROR(__xludf.DUMMYFUNCTION("""COMPUTED_VALUE"""),"")</f>
        <v/>
      </c>
    </row>
    <row r="203">
      <c r="A203" s="143">
        <f>IFERROR(__xludf.DUMMYFUNCTION("""COMPUTED_VALUE"""),42916.0)</f>
        <v>42916</v>
      </c>
      <c r="B203" s="140">
        <f>IFERROR(__xludf.DUMMYFUNCTION("""COMPUTED_VALUE"""),938574.0)</f>
        <v>938574</v>
      </c>
      <c r="C203" s="140" t="str">
        <f>IFERROR(__xludf.DUMMYFUNCTION("""COMPUTED_VALUE"""),"#N/A")</f>
        <v>#N/A</v>
      </c>
      <c r="D203" t="str">
        <f>IFERROR(__xludf.DUMMYFUNCTION("""COMPUTED_VALUE"""),"Siva Prasad")</f>
        <v>Siva Prasad</v>
      </c>
      <c r="E203" t="str">
        <f>IFERROR(__xludf.DUMMYFUNCTION("""COMPUTED_VALUE"""),"Y")</f>
        <v>Y</v>
      </c>
      <c r="F203" t="str">
        <f>IFERROR(__xludf.DUMMYFUNCTION("""COMPUTED_VALUE"""),"938574,Project Management and Operations,Operations Management")</f>
        <v>938574,Project Management and Operations,Operations Management</v>
      </c>
      <c r="G203" t="str">
        <f>IFERROR(__xludf.DUMMYFUNCTION("""COMPUTED_VALUE"""),"Y")</f>
        <v>Y</v>
      </c>
      <c r="H203" t="str">
        <f>IFERROR(__xludf.DUMMYFUNCTION("""COMPUTED_VALUE"""),"Instructor Request")</f>
        <v>Instructor Request</v>
      </c>
      <c r="I203" t="str">
        <f>IFERROR(__xludf.DUMMYFUNCTION("""COMPUTED_VALUE"""),"Project Management and Operations")</f>
        <v>Project Management and Operations</v>
      </c>
      <c r="J203" t="str">
        <f>IFERROR(__xludf.DUMMYFUNCTION("""COMPUTED_VALUE"""),"Operations Management")</f>
        <v>Operations Management</v>
      </c>
      <c r="K203" s="140">
        <f>IFERROR(__xludf.DUMMYFUNCTION("""COMPUTED_VALUE"""),1014340.0)</f>
        <v>1014340</v>
      </c>
      <c r="L203" s="140" t="str">
        <f>IFERROR(__xludf.DUMMYFUNCTION("""COMPUTED_VALUE"""),"")</f>
        <v/>
      </c>
      <c r="N203" s="140" t="str">
        <f>IFERROR(__xludf.DUMMYFUNCTION("""COMPUTED_VALUE"""),"")</f>
        <v/>
      </c>
    </row>
    <row r="204">
      <c r="A204" s="143">
        <f>IFERROR(__xludf.DUMMYFUNCTION("""COMPUTED_VALUE"""),42916.0)</f>
        <v>42916</v>
      </c>
      <c r="B204" s="140">
        <f>IFERROR(__xludf.DUMMYFUNCTION("""COMPUTED_VALUE"""),552086.0)</f>
        <v>552086</v>
      </c>
      <c r="C204" s="140" t="str">
        <f>IFERROR(__xludf.DUMMYFUNCTION("""COMPUTED_VALUE"""),"#N/A")</f>
        <v>#N/A</v>
      </c>
      <c r="D204" t="str">
        <f>IFERROR(__xludf.DUMMYFUNCTION("""COMPUTED_VALUE"""),"Joseph Phillips")</f>
        <v>Joseph Phillips</v>
      </c>
      <c r="E204" t="str">
        <f>IFERROR(__xludf.DUMMYFUNCTION("""COMPUTED_VALUE"""),"Y")</f>
        <v>Y</v>
      </c>
      <c r="F204" t="str">
        <f>IFERROR(__xludf.DUMMYFUNCTION("""COMPUTED_VALUE"""),"552086,Project Management and Operations,Project Management Certifications")</f>
        <v>552086,Project Management and Operations,Project Management Certifications</v>
      </c>
      <c r="G204" t="str">
        <f>IFERROR(__xludf.DUMMYFUNCTION("""COMPUTED_VALUE"""),"Y")</f>
        <v>Y</v>
      </c>
      <c r="H204" t="str">
        <f>IFERROR(__xludf.DUMMYFUNCTION("""COMPUTED_VALUE"""),"Instructor Request, Updated")</f>
        <v>Instructor Request, Updated</v>
      </c>
      <c r="I204" t="str">
        <f>IFERROR(__xludf.DUMMYFUNCTION("""COMPUTED_VALUE"""),"Project Management and Operations")</f>
        <v>Project Management and Operations</v>
      </c>
      <c r="J204" t="str">
        <f>IFERROR(__xludf.DUMMYFUNCTION("""COMPUTED_VALUE"""),"Project Management Certifications")</f>
        <v>Project Management Certifications</v>
      </c>
      <c r="K204" s="140">
        <f>IFERROR(__xludf.DUMMYFUNCTION("""COMPUTED_VALUE"""),1411586.0)</f>
        <v>1411586</v>
      </c>
      <c r="L204" s="140" t="str">
        <f>IFERROR(__xludf.DUMMYFUNCTION("""COMPUTED_VALUE"""),"")</f>
        <v/>
      </c>
      <c r="N204" s="140" t="str">
        <f>IFERROR(__xludf.DUMMYFUNCTION("""COMPUTED_VALUE"""),"")</f>
        <v/>
      </c>
    </row>
    <row r="205">
      <c r="A205" s="143">
        <f>IFERROR(__xludf.DUMMYFUNCTION("""COMPUTED_VALUE"""),42916.0)</f>
        <v>42916</v>
      </c>
      <c r="B205" s="140">
        <f>IFERROR(__xludf.DUMMYFUNCTION("""COMPUTED_VALUE"""),50221.0)</f>
        <v>50221</v>
      </c>
      <c r="C205" s="140" t="str">
        <f>IFERROR(__xludf.DUMMYFUNCTION("""COMPUTED_VALUE"""),"#N/A")</f>
        <v>#N/A</v>
      </c>
      <c r="D205" t="str">
        <f>IFERROR(__xludf.DUMMYFUNCTION("""COMPUTED_VALUE"""),"Intellezy Trainers")</f>
        <v>Intellezy Trainers</v>
      </c>
      <c r="E205" t="str">
        <f>IFERROR(__xludf.DUMMYFUNCTION("""COMPUTED_VALUE"""),"Y")</f>
        <v>Y</v>
      </c>
      <c r="F205" t="str">
        <f>IFERROR(__xludf.DUMMYFUNCTION("""COMPUTED_VALUE"""),"50221,Project Management and Operations,Project Management Tools")</f>
        <v>50221,Project Management and Operations,Project Management Tools</v>
      </c>
      <c r="G205" t="str">
        <f>IFERROR(__xludf.DUMMYFUNCTION("""COMPUTED_VALUE"""),"Y")</f>
        <v>Y</v>
      </c>
      <c r="H205" t="str">
        <f>IFERROR(__xludf.DUMMYFUNCTION("""COMPUTED_VALUE"""),"Outdated")</f>
        <v>Outdated</v>
      </c>
      <c r="I205" t="str">
        <f>IFERROR(__xludf.DUMMYFUNCTION("""COMPUTED_VALUE"""),"Project Management and Operations")</f>
        <v>Project Management and Operations</v>
      </c>
      <c r="J205" t="str">
        <f>IFERROR(__xludf.DUMMYFUNCTION("""COMPUTED_VALUE"""),"Project Management Tools")</f>
        <v>Project Management Tools</v>
      </c>
      <c r="K205" s="140">
        <f>IFERROR(__xludf.DUMMYFUNCTION("""COMPUTED_VALUE"""),638292.0)</f>
        <v>638292</v>
      </c>
      <c r="L205" s="140" t="str">
        <f>IFERROR(__xludf.DUMMYFUNCTION("""COMPUTED_VALUE"""),"")</f>
        <v/>
      </c>
      <c r="N205" s="140" t="str">
        <f>IFERROR(__xludf.DUMMYFUNCTION("""COMPUTED_VALUE"""),"")</f>
        <v/>
      </c>
    </row>
    <row r="206">
      <c r="A206" s="143">
        <f>IFERROR(__xludf.DUMMYFUNCTION("""COMPUTED_VALUE"""),42916.0)</f>
        <v>42916</v>
      </c>
      <c r="B206" s="140">
        <f>IFERROR(__xludf.DUMMYFUNCTION("""COMPUTED_VALUE"""),50430.0)</f>
        <v>50430</v>
      </c>
      <c r="C206" s="140" t="str">
        <f>IFERROR(__xludf.DUMMYFUNCTION("""COMPUTED_VALUE"""),"#N/A")</f>
        <v>#N/A</v>
      </c>
      <c r="D206" t="str">
        <f>IFERROR(__xludf.DUMMYFUNCTION("""COMPUTED_VALUE"""),"Intellezy Trainers")</f>
        <v>Intellezy Trainers</v>
      </c>
      <c r="E206" t="str">
        <f>IFERROR(__xludf.DUMMYFUNCTION("""COMPUTED_VALUE"""),"Y")</f>
        <v>Y</v>
      </c>
      <c r="F206" t="str">
        <f>IFERROR(__xludf.DUMMYFUNCTION("""COMPUTED_VALUE"""),"50430,Project Management and Operations,Project Management Tools")</f>
        <v>50430,Project Management and Operations,Project Management Tools</v>
      </c>
      <c r="G206" t="str">
        <f>IFERROR(__xludf.DUMMYFUNCTION("""COMPUTED_VALUE"""),"Y")</f>
        <v>Y</v>
      </c>
      <c r="H206" t="str">
        <f>IFERROR(__xludf.DUMMYFUNCTION("""COMPUTED_VALUE"""),"Outdated")</f>
        <v>Outdated</v>
      </c>
      <c r="I206" t="str">
        <f>IFERROR(__xludf.DUMMYFUNCTION("""COMPUTED_VALUE"""),"Project Management and Operations")</f>
        <v>Project Management and Operations</v>
      </c>
      <c r="J206" t="str">
        <f>IFERROR(__xludf.DUMMYFUNCTION("""COMPUTED_VALUE"""),"Project Management Tools")</f>
        <v>Project Management Tools</v>
      </c>
      <c r="K206" s="140">
        <f>IFERROR(__xludf.DUMMYFUNCTION("""COMPUTED_VALUE"""),638292.0)</f>
        <v>638292</v>
      </c>
      <c r="L206" s="140" t="str">
        <f>IFERROR(__xludf.DUMMYFUNCTION("""COMPUTED_VALUE"""),"")</f>
        <v/>
      </c>
      <c r="N206" s="140" t="str">
        <f>IFERROR(__xludf.DUMMYFUNCTION("""COMPUTED_VALUE"""),"")</f>
        <v/>
      </c>
    </row>
    <row r="207">
      <c r="A207" s="143">
        <f>IFERROR(__xludf.DUMMYFUNCTION("""COMPUTED_VALUE"""),42916.0)</f>
        <v>42916</v>
      </c>
      <c r="B207" s="140">
        <f>IFERROR(__xludf.DUMMYFUNCTION("""COMPUTED_VALUE"""),109822.0)</f>
        <v>109822</v>
      </c>
      <c r="C207" s="140" t="str">
        <f>IFERROR(__xludf.DUMMYFUNCTION("""COMPUTED_VALUE"""),"#N/A")</f>
        <v>#N/A</v>
      </c>
      <c r="D207" t="str">
        <f>IFERROR(__xludf.DUMMYFUNCTION("""COMPUTED_VALUE"""),"Simon Sez IT")</f>
        <v>Simon Sez IT</v>
      </c>
      <c r="E207" t="str">
        <f>IFERROR(__xludf.DUMMYFUNCTION("""COMPUTED_VALUE"""),"Y")</f>
        <v>Y</v>
      </c>
      <c r="F207" t="str">
        <f>IFERROR(__xludf.DUMMYFUNCTION("""COMPUTED_VALUE"""),"109822,Project Management and Operations,Project Management Tools")</f>
        <v>109822,Project Management and Operations,Project Management Tools</v>
      </c>
      <c r="G207" t="str">
        <f>IFERROR(__xludf.DUMMYFUNCTION("""COMPUTED_VALUE"""),"Y")</f>
        <v>Y</v>
      </c>
      <c r="H207" t="str">
        <f>IFERROR(__xludf.DUMMYFUNCTION("""COMPUTED_VALUE"""),"Outdated")</f>
        <v>Outdated</v>
      </c>
      <c r="I207" t="str">
        <f>IFERROR(__xludf.DUMMYFUNCTION("""COMPUTED_VALUE"""),"Project Management and Operations")</f>
        <v>Project Management and Operations</v>
      </c>
      <c r="J207" t="str">
        <f>IFERROR(__xludf.DUMMYFUNCTION("""COMPUTED_VALUE"""),"Project Management Tools")</f>
        <v>Project Management Tools</v>
      </c>
      <c r="K207" s="140">
        <f>IFERROR(__xludf.DUMMYFUNCTION("""COMPUTED_VALUE"""),432638.0)</f>
        <v>432638</v>
      </c>
      <c r="L207" s="140" t="str">
        <f>IFERROR(__xludf.DUMMYFUNCTION("""COMPUTED_VALUE"""),"")</f>
        <v/>
      </c>
      <c r="M207" s="140">
        <f>IFERROR(__xludf.DUMMYFUNCTION("""COMPUTED_VALUE"""),638292.0)</f>
        <v>638292</v>
      </c>
      <c r="N207" s="140" t="str">
        <f>IFERROR(__xludf.DUMMYFUNCTION("""COMPUTED_VALUE"""),"")</f>
        <v/>
      </c>
    </row>
    <row r="208">
      <c r="A208" s="143">
        <f>IFERROR(__xludf.DUMMYFUNCTION("""COMPUTED_VALUE"""),42916.0)</f>
        <v>42916</v>
      </c>
      <c r="B208" s="140">
        <f>IFERROR(__xludf.DUMMYFUNCTION("""COMPUTED_VALUE"""),241608.0)</f>
        <v>241608</v>
      </c>
      <c r="C208" s="140" t="str">
        <f>IFERROR(__xludf.DUMMYFUNCTION("""COMPUTED_VALUE"""),"#N/A")</f>
        <v>#N/A</v>
      </c>
      <c r="D208" t="str">
        <f>IFERROR(__xludf.DUMMYFUNCTION("""COMPUTED_VALUE"""),"Simon Sez IT")</f>
        <v>Simon Sez IT</v>
      </c>
      <c r="E208" t="str">
        <f>IFERROR(__xludf.DUMMYFUNCTION("""COMPUTED_VALUE"""),"Y")</f>
        <v>Y</v>
      </c>
      <c r="F208" t="str">
        <f>IFERROR(__xludf.DUMMYFUNCTION("""COMPUTED_VALUE"""),"241608,Project Management and Operations,Project Management Tools")</f>
        <v>241608,Project Management and Operations,Project Management Tools</v>
      </c>
      <c r="G208" t="str">
        <f>IFERROR(__xludf.DUMMYFUNCTION("""COMPUTED_VALUE"""),"Y")</f>
        <v>Y</v>
      </c>
      <c r="H208" t="str">
        <f>IFERROR(__xludf.DUMMYFUNCTION("""COMPUTED_VALUE"""),"Outdated")</f>
        <v>Outdated</v>
      </c>
      <c r="I208" t="str">
        <f>IFERROR(__xludf.DUMMYFUNCTION("""COMPUTED_VALUE"""),"Project Management and Operations")</f>
        <v>Project Management and Operations</v>
      </c>
      <c r="J208" t="str">
        <f>IFERROR(__xludf.DUMMYFUNCTION("""COMPUTED_VALUE"""),"Project Management Tools")</f>
        <v>Project Management Tools</v>
      </c>
      <c r="K208" s="140">
        <f>IFERROR(__xludf.DUMMYFUNCTION("""COMPUTED_VALUE"""),432638.0)</f>
        <v>432638</v>
      </c>
      <c r="L208" s="140" t="str">
        <f>IFERROR(__xludf.DUMMYFUNCTION("""COMPUTED_VALUE"""),"")</f>
        <v/>
      </c>
      <c r="M208" s="140">
        <f>IFERROR(__xludf.DUMMYFUNCTION("""COMPUTED_VALUE"""),638292.0)</f>
        <v>638292</v>
      </c>
      <c r="N208" s="140" t="str">
        <f>IFERROR(__xludf.DUMMYFUNCTION("""COMPUTED_VALUE"""),"")</f>
        <v/>
      </c>
    </row>
    <row r="209">
      <c r="A209" s="143">
        <f>IFERROR(__xludf.DUMMYFUNCTION("""COMPUTED_VALUE"""),42888.0)</f>
        <v>42888</v>
      </c>
      <c r="B209" s="140">
        <f>IFERROR(__xludf.DUMMYFUNCTION("""COMPUTED_VALUE"""),853694.0)</f>
        <v>853694</v>
      </c>
      <c r="C209" s="140" t="str">
        <f>IFERROR(__xludf.DUMMYFUNCTION("""COMPUTED_VALUE"""),"#N/A")</f>
        <v>#N/A</v>
      </c>
      <c r="D209" t="str">
        <f>IFERROR(__xludf.DUMMYFUNCTION("""COMPUTED_VALUE"""),"Sapbrief &amp; Company")</f>
        <v>Sapbrief &amp; Company</v>
      </c>
      <c r="E209" t="str">
        <f>IFERROR(__xludf.DUMMYFUNCTION("""COMPUTED_VALUE"""),"Y")</f>
        <v>Y</v>
      </c>
      <c r="G209" t="str">
        <f>IFERROR(__xludf.DUMMYFUNCTION("""COMPUTED_VALUE"""),"Y")</f>
        <v>Y</v>
      </c>
      <c r="H209" t="str">
        <f>IFERROR(__xludf.DUMMYFUNCTION("""COMPUTED_VALUE"""),"Copyright Violation")</f>
        <v>Copyright Violation</v>
      </c>
      <c r="I209" t="str">
        <f>IFERROR(__xludf.DUMMYFUNCTION("""COMPUTED_VALUE"""),"Project Management and Operations")</f>
        <v>Project Management and Operations</v>
      </c>
      <c r="J209" t="str">
        <f>IFERROR(__xludf.DUMMYFUNCTION("""COMPUTED_VALUE"""),"Operations Management")</f>
        <v>Operations Management</v>
      </c>
      <c r="L209" s="140" t="str">
        <f>IFERROR(__xludf.DUMMYFUNCTION("""COMPUTED_VALUE"""),"")</f>
        <v/>
      </c>
      <c r="N209" s="140" t="str">
        <f>IFERROR(__xludf.DUMMYFUNCTION("""COMPUTED_VALUE"""),"")</f>
        <v/>
      </c>
    </row>
    <row r="210">
      <c r="A210" s="143">
        <f>IFERROR(__xludf.DUMMYFUNCTION("""COMPUTED_VALUE"""),42888.0)</f>
        <v>42888</v>
      </c>
      <c r="B210" s="140">
        <f>IFERROR(__xludf.DUMMYFUNCTION("""COMPUTED_VALUE"""),793258.0)</f>
        <v>793258</v>
      </c>
      <c r="C210" s="140" t="str">
        <f>IFERROR(__xludf.DUMMYFUNCTION("""COMPUTED_VALUE"""),"#N/A")</f>
        <v>#N/A</v>
      </c>
      <c r="D210" t="str">
        <f>IFERROR(__xludf.DUMMYFUNCTION("""COMPUTED_VALUE"""),"Sapbrief &amp; Company")</f>
        <v>Sapbrief &amp; Company</v>
      </c>
      <c r="E210" t="str">
        <f>IFERROR(__xludf.DUMMYFUNCTION("""COMPUTED_VALUE"""),"Y")</f>
        <v>Y</v>
      </c>
      <c r="G210" t="str">
        <f>IFERROR(__xludf.DUMMYFUNCTION("""COMPUTED_VALUE"""),"Y")</f>
        <v>Y</v>
      </c>
      <c r="H210" t="str">
        <f>IFERROR(__xludf.DUMMYFUNCTION("""COMPUTED_VALUE"""),"Copyright Violation")</f>
        <v>Copyright Violation</v>
      </c>
      <c r="I210" t="str">
        <f>IFERROR(__xludf.DUMMYFUNCTION("""COMPUTED_VALUE"""),"Project Management and Operations")</f>
        <v>Project Management and Operations</v>
      </c>
      <c r="J210" t="str">
        <f>IFERROR(__xludf.DUMMYFUNCTION("""COMPUTED_VALUE"""),"Operations Management")</f>
        <v>Operations Management</v>
      </c>
      <c r="L210" s="140" t="str">
        <f>IFERROR(__xludf.DUMMYFUNCTION("""COMPUTED_VALUE"""),"")</f>
        <v/>
      </c>
      <c r="N210" s="140" t="str">
        <f>IFERROR(__xludf.DUMMYFUNCTION("""COMPUTED_VALUE"""),"")</f>
        <v/>
      </c>
    </row>
    <row r="211">
      <c r="A211" s="143">
        <f>IFERROR(__xludf.DUMMYFUNCTION("""COMPUTED_VALUE"""),42888.0)</f>
        <v>42888</v>
      </c>
      <c r="B211" s="140">
        <f>IFERROR(__xludf.DUMMYFUNCTION("""COMPUTED_VALUE"""),747756.0)</f>
        <v>747756</v>
      </c>
      <c r="C211" s="140" t="str">
        <f>IFERROR(__xludf.DUMMYFUNCTION("""COMPUTED_VALUE"""),"#N/A")</f>
        <v>#N/A</v>
      </c>
      <c r="D211" t="str">
        <f>IFERROR(__xludf.DUMMYFUNCTION("""COMPUTED_VALUE"""),"Sapbrief &amp; Company")</f>
        <v>Sapbrief &amp; Company</v>
      </c>
      <c r="E211" t="str">
        <f>IFERROR(__xludf.DUMMYFUNCTION("""COMPUTED_VALUE"""),"Y")</f>
        <v>Y</v>
      </c>
      <c r="G211" t="str">
        <f>IFERROR(__xludf.DUMMYFUNCTION("""COMPUTED_VALUE"""),"Y")</f>
        <v>Y</v>
      </c>
      <c r="H211" t="str">
        <f>IFERROR(__xludf.DUMMYFUNCTION("""COMPUTED_VALUE"""),"Copyright Violation")</f>
        <v>Copyright Violation</v>
      </c>
      <c r="I211" t="str">
        <f>IFERROR(__xludf.DUMMYFUNCTION("""COMPUTED_VALUE"""),"Project Management and Operations")</f>
        <v>Project Management and Operations</v>
      </c>
      <c r="J211" t="str">
        <f>IFERROR(__xludf.DUMMYFUNCTION("""COMPUTED_VALUE"""),"Operations Management")</f>
        <v>Operations Management</v>
      </c>
      <c r="L211" s="140" t="str">
        <f>IFERROR(__xludf.DUMMYFUNCTION("""COMPUTED_VALUE"""),"")</f>
        <v/>
      </c>
      <c r="N211" s="140" t="str">
        <f>IFERROR(__xludf.DUMMYFUNCTION("""COMPUTED_VALUE"""),"")</f>
        <v/>
      </c>
    </row>
    <row r="212">
      <c r="A212" s="143">
        <f>IFERROR(__xludf.DUMMYFUNCTION("""COMPUTED_VALUE"""),42888.0)</f>
        <v>42888</v>
      </c>
      <c r="B212" s="140">
        <f>IFERROR(__xludf.DUMMYFUNCTION("""COMPUTED_VALUE"""),772576.0)</f>
        <v>772576</v>
      </c>
      <c r="C212" s="140" t="str">
        <f>IFERROR(__xludf.DUMMYFUNCTION("""COMPUTED_VALUE"""),"#N/A")</f>
        <v>#N/A</v>
      </c>
      <c r="D212" t="str">
        <f>IFERROR(__xludf.DUMMYFUNCTION("""COMPUTED_VALUE"""),"Sapbrief &amp; Company")</f>
        <v>Sapbrief &amp; Company</v>
      </c>
      <c r="E212" t="str">
        <f>IFERROR(__xludf.DUMMYFUNCTION("""COMPUTED_VALUE"""),"Y")</f>
        <v>Y</v>
      </c>
      <c r="G212" t="str">
        <f>IFERROR(__xludf.DUMMYFUNCTION("""COMPUTED_VALUE"""),"Y")</f>
        <v>Y</v>
      </c>
      <c r="H212" t="str">
        <f>IFERROR(__xludf.DUMMYFUNCTION("""COMPUTED_VALUE"""),"Copyright Violation")</f>
        <v>Copyright Violation</v>
      </c>
      <c r="I212" t="str">
        <f>IFERROR(__xludf.DUMMYFUNCTION("""COMPUTED_VALUE"""),"Project Management and Operations")</f>
        <v>Project Management and Operations</v>
      </c>
      <c r="J212" t="str">
        <f>IFERROR(__xludf.DUMMYFUNCTION("""COMPUTED_VALUE"""),"Operations Management")</f>
        <v>Operations Management</v>
      </c>
      <c r="L212" s="140" t="str">
        <f>IFERROR(__xludf.DUMMYFUNCTION("""COMPUTED_VALUE"""),"")</f>
        <v/>
      </c>
      <c r="N212" s="140" t="str">
        <f>IFERROR(__xludf.DUMMYFUNCTION("""COMPUTED_VALUE"""),"")</f>
        <v/>
      </c>
    </row>
    <row r="213">
      <c r="A213" s="143">
        <f>IFERROR(__xludf.DUMMYFUNCTION("""COMPUTED_VALUE"""),42888.0)</f>
        <v>42888</v>
      </c>
      <c r="B213" s="140">
        <f>IFERROR(__xludf.DUMMYFUNCTION("""COMPUTED_VALUE"""),825530.0)</f>
        <v>825530</v>
      </c>
      <c r="C213" s="140" t="str">
        <f>IFERROR(__xludf.DUMMYFUNCTION("""COMPUTED_VALUE"""),"#N/A")</f>
        <v>#N/A</v>
      </c>
      <c r="D213" t="str">
        <f>IFERROR(__xludf.DUMMYFUNCTION("""COMPUTED_VALUE"""),"Sapbrief &amp; Company")</f>
        <v>Sapbrief &amp; Company</v>
      </c>
      <c r="E213" t="str">
        <f>IFERROR(__xludf.DUMMYFUNCTION("""COMPUTED_VALUE"""),"Y")</f>
        <v>Y</v>
      </c>
      <c r="G213" t="str">
        <f>IFERROR(__xludf.DUMMYFUNCTION("""COMPUTED_VALUE"""),"Y")</f>
        <v>Y</v>
      </c>
      <c r="H213" t="str">
        <f>IFERROR(__xludf.DUMMYFUNCTION("""COMPUTED_VALUE"""),"Copyright Violation")</f>
        <v>Copyright Violation</v>
      </c>
      <c r="I213" t="str">
        <f>IFERROR(__xludf.DUMMYFUNCTION("""COMPUTED_VALUE"""),"Project Management and Operations")</f>
        <v>Project Management and Operations</v>
      </c>
      <c r="J213" t="str">
        <f>IFERROR(__xludf.DUMMYFUNCTION("""COMPUTED_VALUE"""),"Operations Management")</f>
        <v>Operations Management</v>
      </c>
      <c r="K213" s="140">
        <f>IFERROR(__xludf.DUMMYFUNCTION("""COMPUTED_VALUE"""),177706.0)</f>
        <v>177706</v>
      </c>
      <c r="L213" s="140" t="str">
        <f>IFERROR(__xludf.DUMMYFUNCTION("""COMPUTED_VALUE"""),"")</f>
        <v/>
      </c>
      <c r="N213" s="140" t="str">
        <f>IFERROR(__xludf.DUMMYFUNCTION("""COMPUTED_VALUE"""),"")</f>
        <v/>
      </c>
    </row>
    <row r="214">
      <c r="A214" s="143">
        <f>IFERROR(__xludf.DUMMYFUNCTION("""COMPUTED_VALUE"""),42888.0)</f>
        <v>42888</v>
      </c>
      <c r="B214" s="140">
        <f>IFERROR(__xludf.DUMMYFUNCTION("""COMPUTED_VALUE"""),470404.0)</f>
        <v>470404</v>
      </c>
      <c r="C214" s="140" t="str">
        <f>IFERROR(__xludf.DUMMYFUNCTION("""COMPUTED_VALUE"""),"#N/A")</f>
        <v>#N/A</v>
      </c>
      <c r="D214" t="str">
        <f>IFERROR(__xludf.DUMMYFUNCTION("""COMPUTED_VALUE"""),"Sapbrief &amp; Company")</f>
        <v>Sapbrief &amp; Company</v>
      </c>
      <c r="E214" t="str">
        <f>IFERROR(__xludf.DUMMYFUNCTION("""COMPUTED_VALUE"""),"Y")</f>
        <v>Y</v>
      </c>
      <c r="G214" t="str">
        <f>IFERROR(__xludf.DUMMYFUNCTION("""COMPUTED_VALUE"""),"Y")</f>
        <v>Y</v>
      </c>
      <c r="H214" t="str">
        <f>IFERROR(__xludf.DUMMYFUNCTION("""COMPUTED_VALUE"""),"Copyright Violation")</f>
        <v>Copyright Violation</v>
      </c>
      <c r="I214" t="str">
        <f>IFERROR(__xludf.DUMMYFUNCTION("""COMPUTED_VALUE"""),"Project Management and Operations")</f>
        <v>Project Management and Operations</v>
      </c>
      <c r="J214" t="str">
        <f>IFERROR(__xludf.DUMMYFUNCTION("""COMPUTED_VALUE"""),"Operations Management")</f>
        <v>Operations Management</v>
      </c>
      <c r="L214" s="140" t="str">
        <f>IFERROR(__xludf.DUMMYFUNCTION("""COMPUTED_VALUE"""),"")</f>
        <v/>
      </c>
      <c r="N214" s="140" t="str">
        <f>IFERROR(__xludf.DUMMYFUNCTION("""COMPUTED_VALUE"""),"")</f>
        <v/>
      </c>
    </row>
    <row r="215">
      <c r="A215" s="143">
        <f>IFERROR(__xludf.DUMMYFUNCTION("""COMPUTED_VALUE"""),42888.0)</f>
        <v>42888</v>
      </c>
      <c r="B215" s="140">
        <f>IFERROR(__xludf.DUMMYFUNCTION("""COMPUTED_VALUE"""),597898.0)</f>
        <v>597898</v>
      </c>
      <c r="C215" s="140" t="str">
        <f>IFERROR(__xludf.DUMMYFUNCTION("""COMPUTED_VALUE"""),"#N/A")</f>
        <v>#N/A</v>
      </c>
      <c r="D215" t="str">
        <f>IFERROR(__xludf.DUMMYFUNCTION("""COMPUTED_VALUE"""),"Sapbrief &amp; Company")</f>
        <v>Sapbrief &amp; Company</v>
      </c>
      <c r="E215" t="str">
        <f>IFERROR(__xludf.DUMMYFUNCTION("""COMPUTED_VALUE"""),"Y")</f>
        <v>Y</v>
      </c>
      <c r="G215" t="str">
        <f>IFERROR(__xludf.DUMMYFUNCTION("""COMPUTED_VALUE"""),"Y")</f>
        <v>Y</v>
      </c>
      <c r="H215" t="str">
        <f>IFERROR(__xludf.DUMMYFUNCTION("""COMPUTED_VALUE"""),"Copyright Violation")</f>
        <v>Copyright Violation</v>
      </c>
      <c r="I215" t="str">
        <f>IFERROR(__xludf.DUMMYFUNCTION("""COMPUTED_VALUE"""),"Project Management and Operations")</f>
        <v>Project Management and Operations</v>
      </c>
      <c r="J215" t="str">
        <f>IFERROR(__xludf.DUMMYFUNCTION("""COMPUTED_VALUE"""),"Operations Management")</f>
        <v>Operations Management</v>
      </c>
      <c r="L215" s="140" t="str">
        <f>IFERROR(__xludf.DUMMYFUNCTION("""COMPUTED_VALUE"""),"")</f>
        <v/>
      </c>
      <c r="N215" s="140" t="str">
        <f>IFERROR(__xludf.DUMMYFUNCTION("""COMPUTED_VALUE"""),"")</f>
        <v/>
      </c>
    </row>
    <row r="216">
      <c r="A216" s="143">
        <f>IFERROR(__xludf.DUMMYFUNCTION("""COMPUTED_VALUE"""),42888.0)</f>
        <v>42888</v>
      </c>
      <c r="B216" s="140">
        <f>IFERROR(__xludf.DUMMYFUNCTION("""COMPUTED_VALUE"""),163184.0)</f>
        <v>163184</v>
      </c>
      <c r="C216" s="140" t="str">
        <f>IFERROR(__xludf.DUMMYFUNCTION("""COMPUTED_VALUE"""),"#N/A")</f>
        <v>#N/A</v>
      </c>
      <c r="D216" t="str">
        <f>IFERROR(__xludf.DUMMYFUNCTION("""COMPUTED_VALUE"""),"Sapbrief &amp; Company")</f>
        <v>Sapbrief &amp; Company</v>
      </c>
      <c r="E216" t="str">
        <f>IFERROR(__xludf.DUMMYFUNCTION("""COMPUTED_VALUE"""),"Y")</f>
        <v>Y</v>
      </c>
      <c r="G216" t="str">
        <f>IFERROR(__xludf.DUMMYFUNCTION("""COMPUTED_VALUE"""),"Y")</f>
        <v>Y</v>
      </c>
      <c r="H216" t="str">
        <f>IFERROR(__xludf.DUMMYFUNCTION("""COMPUTED_VALUE"""),"Copyright Violation")</f>
        <v>Copyright Violation</v>
      </c>
      <c r="I216" t="str">
        <f>IFERROR(__xludf.DUMMYFUNCTION("""COMPUTED_VALUE"""),"Project Management and Operations")</f>
        <v>Project Management and Operations</v>
      </c>
      <c r="J216" t="str">
        <f>IFERROR(__xludf.DUMMYFUNCTION("""COMPUTED_VALUE"""),"Operations Management")</f>
        <v>Operations Management</v>
      </c>
      <c r="L216" s="140" t="str">
        <f>IFERROR(__xludf.DUMMYFUNCTION("""COMPUTED_VALUE"""),"")</f>
        <v/>
      </c>
      <c r="N216" s="140" t="str">
        <f>IFERROR(__xludf.DUMMYFUNCTION("""COMPUTED_VALUE"""),"")</f>
        <v/>
      </c>
    </row>
    <row r="217">
      <c r="A217" s="143">
        <f>IFERROR(__xludf.DUMMYFUNCTION("""COMPUTED_VALUE"""),42888.0)</f>
        <v>42888</v>
      </c>
      <c r="B217" s="140">
        <f>IFERROR(__xludf.DUMMYFUNCTION("""COMPUTED_VALUE"""),636468.0)</f>
        <v>636468</v>
      </c>
      <c r="C217" s="140" t="str">
        <f>IFERROR(__xludf.DUMMYFUNCTION("""COMPUTED_VALUE"""),"#N/A")</f>
        <v>#N/A</v>
      </c>
      <c r="D217" t="str">
        <f>IFERROR(__xludf.DUMMYFUNCTION("""COMPUTED_VALUE"""),"Sapbrief &amp; Company")</f>
        <v>Sapbrief &amp; Company</v>
      </c>
      <c r="E217" t="str">
        <f>IFERROR(__xludf.DUMMYFUNCTION("""COMPUTED_VALUE"""),"Y")</f>
        <v>Y</v>
      </c>
      <c r="G217" t="str">
        <f>IFERROR(__xludf.DUMMYFUNCTION("""COMPUTED_VALUE"""),"Y")</f>
        <v>Y</v>
      </c>
      <c r="H217" t="str">
        <f>IFERROR(__xludf.DUMMYFUNCTION("""COMPUTED_VALUE"""),"Copyright Violation")</f>
        <v>Copyright Violation</v>
      </c>
      <c r="I217" t="str">
        <f>IFERROR(__xludf.DUMMYFUNCTION("""COMPUTED_VALUE"""),"Project Management and Operations")</f>
        <v>Project Management and Operations</v>
      </c>
      <c r="J217" t="str">
        <f>IFERROR(__xludf.DUMMYFUNCTION("""COMPUTED_VALUE"""),"Operations Management")</f>
        <v>Operations Management</v>
      </c>
      <c r="L217" s="140" t="str">
        <f>IFERROR(__xludf.DUMMYFUNCTION("""COMPUTED_VALUE"""),"")</f>
        <v/>
      </c>
      <c r="N217" s="140" t="str">
        <f>IFERROR(__xludf.DUMMYFUNCTION("""COMPUTED_VALUE"""),"")</f>
        <v/>
      </c>
    </row>
    <row r="218">
      <c r="A218" s="143">
        <f>IFERROR(__xludf.DUMMYFUNCTION("""COMPUTED_VALUE"""),42888.0)</f>
        <v>42888</v>
      </c>
      <c r="B218" s="140">
        <f>IFERROR(__xludf.DUMMYFUNCTION("""COMPUTED_VALUE"""),554964.0)</f>
        <v>554964</v>
      </c>
      <c r="C218" s="140" t="str">
        <f>IFERROR(__xludf.DUMMYFUNCTION("""COMPUTED_VALUE"""),"#N/A")</f>
        <v>#N/A</v>
      </c>
      <c r="D218" t="str">
        <f>IFERROR(__xludf.DUMMYFUNCTION("""COMPUTED_VALUE"""),"Sapbrief &amp; Company")</f>
        <v>Sapbrief &amp; Company</v>
      </c>
      <c r="E218" t="str">
        <f>IFERROR(__xludf.DUMMYFUNCTION("""COMPUTED_VALUE"""),"Y")</f>
        <v>Y</v>
      </c>
      <c r="G218" t="str">
        <f>IFERROR(__xludf.DUMMYFUNCTION("""COMPUTED_VALUE"""),"Y")</f>
        <v>Y</v>
      </c>
      <c r="H218" t="str">
        <f>IFERROR(__xludf.DUMMYFUNCTION("""COMPUTED_VALUE"""),"Copyright Violation")</f>
        <v>Copyright Violation</v>
      </c>
      <c r="I218" t="str">
        <f>IFERROR(__xludf.DUMMYFUNCTION("""COMPUTED_VALUE"""),"Project Management and Operations")</f>
        <v>Project Management and Operations</v>
      </c>
      <c r="J218" t="str">
        <f>IFERROR(__xludf.DUMMYFUNCTION("""COMPUTED_VALUE"""),"Operations Management")</f>
        <v>Operations Management</v>
      </c>
      <c r="L218" s="140" t="str">
        <f>IFERROR(__xludf.DUMMYFUNCTION("""COMPUTED_VALUE"""),"")</f>
        <v/>
      </c>
      <c r="N218" s="140" t="str">
        <f>IFERROR(__xludf.DUMMYFUNCTION("""COMPUTED_VALUE"""),"")</f>
        <v/>
      </c>
    </row>
    <row r="219">
      <c r="A219" s="143">
        <f>IFERROR(__xludf.DUMMYFUNCTION("""COMPUTED_VALUE"""),42888.0)</f>
        <v>42888</v>
      </c>
      <c r="B219" s="140">
        <f>IFERROR(__xludf.DUMMYFUNCTION("""COMPUTED_VALUE"""),449212.0)</f>
        <v>449212</v>
      </c>
      <c r="C219" s="140" t="str">
        <f>IFERROR(__xludf.DUMMYFUNCTION("""COMPUTED_VALUE"""),"#N/A")</f>
        <v>#N/A</v>
      </c>
      <c r="D219" t="str">
        <f>IFERROR(__xludf.DUMMYFUNCTION("""COMPUTED_VALUE"""),"Sapbrief &amp; Company")</f>
        <v>Sapbrief &amp; Company</v>
      </c>
      <c r="E219" t="str">
        <f>IFERROR(__xludf.DUMMYFUNCTION("""COMPUTED_VALUE"""),"Y")</f>
        <v>Y</v>
      </c>
      <c r="G219" t="str">
        <f>IFERROR(__xludf.DUMMYFUNCTION("""COMPUTED_VALUE"""),"Y")</f>
        <v>Y</v>
      </c>
      <c r="H219" t="str">
        <f>IFERROR(__xludf.DUMMYFUNCTION("""COMPUTED_VALUE"""),"Copyright Violation")</f>
        <v>Copyright Violation</v>
      </c>
      <c r="I219" t="str">
        <f>IFERROR(__xludf.DUMMYFUNCTION("""COMPUTED_VALUE"""),"Project Management and Operations")</f>
        <v>Project Management and Operations</v>
      </c>
      <c r="J219" t="str">
        <f>IFERROR(__xludf.DUMMYFUNCTION("""COMPUTED_VALUE"""),"Operations Management")</f>
        <v>Operations Management</v>
      </c>
      <c r="L219" s="140" t="str">
        <f>IFERROR(__xludf.DUMMYFUNCTION("""COMPUTED_VALUE"""),"")</f>
        <v/>
      </c>
      <c r="N219" s="140" t="str">
        <f>IFERROR(__xludf.DUMMYFUNCTION("""COMPUTED_VALUE"""),"")</f>
        <v/>
      </c>
    </row>
    <row r="220">
      <c r="A220" s="143">
        <f>IFERROR(__xludf.DUMMYFUNCTION("""COMPUTED_VALUE"""),42888.0)</f>
        <v>42888</v>
      </c>
      <c r="B220" s="140">
        <f>IFERROR(__xludf.DUMMYFUNCTION("""COMPUTED_VALUE"""),582828.0)</f>
        <v>582828</v>
      </c>
      <c r="C220" s="140" t="str">
        <f>IFERROR(__xludf.DUMMYFUNCTION("""COMPUTED_VALUE"""),"#N/A")</f>
        <v>#N/A</v>
      </c>
      <c r="D220" t="str">
        <f>IFERROR(__xludf.DUMMYFUNCTION("""COMPUTED_VALUE"""),"Sapbrief &amp; Company")</f>
        <v>Sapbrief &amp; Company</v>
      </c>
      <c r="E220" t="str">
        <f>IFERROR(__xludf.DUMMYFUNCTION("""COMPUTED_VALUE"""),"Y")</f>
        <v>Y</v>
      </c>
      <c r="G220" t="str">
        <f>IFERROR(__xludf.DUMMYFUNCTION("""COMPUTED_VALUE"""),"Y")</f>
        <v>Y</v>
      </c>
      <c r="H220" t="str">
        <f>IFERROR(__xludf.DUMMYFUNCTION("""COMPUTED_VALUE"""),"Copyright Violation")</f>
        <v>Copyright Violation</v>
      </c>
      <c r="I220" t="str">
        <f>IFERROR(__xludf.DUMMYFUNCTION("""COMPUTED_VALUE"""),"Project Management and Operations")</f>
        <v>Project Management and Operations</v>
      </c>
      <c r="J220" t="str">
        <f>IFERROR(__xludf.DUMMYFUNCTION("""COMPUTED_VALUE"""),"Operations Management")</f>
        <v>Operations Management</v>
      </c>
      <c r="L220" s="140" t="str">
        <f>IFERROR(__xludf.DUMMYFUNCTION("""COMPUTED_VALUE"""),"")</f>
        <v/>
      </c>
      <c r="N220" s="140" t="str">
        <f>IFERROR(__xludf.DUMMYFUNCTION("""COMPUTED_VALUE"""),"")</f>
        <v/>
      </c>
    </row>
    <row r="221">
      <c r="A221" s="143">
        <f>IFERROR(__xludf.DUMMYFUNCTION("""COMPUTED_VALUE"""),42888.0)</f>
        <v>42888</v>
      </c>
      <c r="B221" s="140">
        <f>IFERROR(__xludf.DUMMYFUNCTION("""COMPUTED_VALUE"""),350526.0)</f>
        <v>350526</v>
      </c>
      <c r="C221" s="140" t="str">
        <f>IFERROR(__xludf.DUMMYFUNCTION("""COMPUTED_VALUE"""),"#N/A")</f>
        <v>#N/A</v>
      </c>
      <c r="D221" t="str">
        <f>IFERROR(__xludf.DUMMYFUNCTION("""COMPUTED_VALUE"""),"Sapbrief &amp; Company")</f>
        <v>Sapbrief &amp; Company</v>
      </c>
      <c r="E221" t="str">
        <f>IFERROR(__xludf.DUMMYFUNCTION("""COMPUTED_VALUE"""),"Y")</f>
        <v>Y</v>
      </c>
      <c r="G221" t="str">
        <f>IFERROR(__xludf.DUMMYFUNCTION("""COMPUTED_VALUE"""),"Y")</f>
        <v>Y</v>
      </c>
      <c r="H221" t="str">
        <f>IFERROR(__xludf.DUMMYFUNCTION("""COMPUTED_VALUE"""),"Copyright Violation")</f>
        <v>Copyright Violation</v>
      </c>
      <c r="I221" t="str">
        <f>IFERROR(__xludf.DUMMYFUNCTION("""COMPUTED_VALUE"""),"Project Management and Operations")</f>
        <v>Project Management and Operations</v>
      </c>
      <c r="J221" t="str">
        <f>IFERROR(__xludf.DUMMYFUNCTION("""COMPUTED_VALUE"""),"Operations Management")</f>
        <v>Operations Management</v>
      </c>
      <c r="L221" s="140" t="str">
        <f>IFERROR(__xludf.DUMMYFUNCTION("""COMPUTED_VALUE"""),"")</f>
        <v/>
      </c>
      <c r="N221" s="140" t="str">
        <f>IFERROR(__xludf.DUMMYFUNCTION("""COMPUTED_VALUE"""),"")</f>
        <v/>
      </c>
    </row>
    <row r="222">
      <c r="A222" s="143">
        <f>IFERROR(__xludf.DUMMYFUNCTION("""COMPUTED_VALUE"""),42886.0)</f>
        <v>42886</v>
      </c>
      <c r="B222" s="140">
        <f>IFERROR(__xludf.DUMMYFUNCTION("""COMPUTED_VALUE"""),526104.0)</f>
        <v>526104</v>
      </c>
      <c r="C222" s="140" t="str">
        <f>IFERROR(__xludf.DUMMYFUNCTION("""COMPUTED_VALUE"""),"#N/A")</f>
        <v>#N/A</v>
      </c>
      <c r="D222" t="str">
        <f>IFERROR(__xludf.DUMMYFUNCTION("""COMPUTED_VALUE"""),"Bryan Lamb")</f>
        <v>Bryan Lamb</v>
      </c>
      <c r="E222" t="str">
        <f>IFERROR(__xludf.DUMMYFUNCTION("""COMPUTED_VALUE"""),"Y")</f>
        <v>Y</v>
      </c>
      <c r="G222" t="str">
        <f>IFERROR(__xludf.DUMMYFUNCTION("""COMPUTED_VALUE"""),"Y")</f>
        <v>Y</v>
      </c>
      <c r="H222" t="str">
        <f>IFERROR(__xludf.DUMMYFUNCTION("""COMPUTED_VALUE"""),"Instructor Opted Out")</f>
        <v>Instructor Opted Out</v>
      </c>
      <c r="I222" t="str">
        <f>IFERROR(__xludf.DUMMYFUNCTION("""COMPUTED_VALUE"""),"Development")</f>
        <v>Development</v>
      </c>
      <c r="J222" t="str">
        <f>IFERROR(__xludf.DUMMYFUNCTION("""COMPUTED_VALUE"""),"Development Tools")</f>
        <v>Development Tools</v>
      </c>
      <c r="L222" s="140" t="str">
        <f>IFERROR(__xludf.DUMMYFUNCTION("""COMPUTED_VALUE"""),"")</f>
        <v/>
      </c>
      <c r="N222" s="140" t="str">
        <f>IFERROR(__xludf.DUMMYFUNCTION("""COMPUTED_VALUE"""),"")</f>
        <v/>
      </c>
    </row>
    <row r="223">
      <c r="A223" s="143">
        <f>IFERROR(__xludf.DUMMYFUNCTION("""COMPUTED_VALUE"""),42886.0)</f>
        <v>42886</v>
      </c>
      <c r="B223" s="140">
        <f>IFERROR(__xludf.DUMMYFUNCTION("""COMPUTED_VALUE"""),104242.0)</f>
        <v>104242</v>
      </c>
      <c r="C223" s="140" t="str">
        <f>IFERROR(__xludf.DUMMYFUNCTION("""COMPUTED_VALUE"""),"#N/A")</f>
        <v>#N/A</v>
      </c>
      <c r="D223" t="str">
        <f>IFERROR(__xludf.DUMMYFUNCTION("""COMPUTED_VALUE"""),"Mr. John Omar")</f>
        <v>Mr. John Omar</v>
      </c>
      <c r="E223" t="str">
        <f>IFERROR(__xludf.DUMMYFUNCTION("""COMPUTED_VALUE"""),"Y")</f>
        <v>Y</v>
      </c>
      <c r="G223" t="str">
        <f>IFERROR(__xludf.DUMMYFUNCTION("""COMPUTED_VALUE"""),"Y")</f>
        <v>Y</v>
      </c>
      <c r="H223" t="str">
        <f>IFERROR(__xludf.DUMMYFUNCTION("""COMPUTED_VALUE"""),"Outdated")</f>
        <v>Outdated</v>
      </c>
      <c r="I223" t="str">
        <f>IFERROR(__xludf.DUMMYFUNCTION("""COMPUTED_VALUE"""),"Development")</f>
        <v>Development</v>
      </c>
      <c r="J223" t="str">
        <f>IFERROR(__xludf.DUMMYFUNCTION("""COMPUTED_VALUE"""),"Mobile Development")</f>
        <v>Mobile Development</v>
      </c>
      <c r="K223" s="140">
        <f>IFERROR(__xludf.DUMMYFUNCTION("""COMPUTED_VALUE"""),1253188.0)</f>
        <v>1253188</v>
      </c>
      <c r="L223" s="140" t="str">
        <f>IFERROR(__xludf.DUMMYFUNCTION("""COMPUTED_VALUE"""),"")</f>
        <v/>
      </c>
      <c r="N223" s="140" t="str">
        <f>IFERROR(__xludf.DUMMYFUNCTION("""COMPUTED_VALUE"""),"")</f>
        <v/>
      </c>
    </row>
    <row r="224">
      <c r="A224" s="143">
        <f>IFERROR(__xludf.DUMMYFUNCTION("""COMPUTED_VALUE"""),42886.0)</f>
        <v>42886</v>
      </c>
      <c r="B224" s="140">
        <f>IFERROR(__xludf.DUMMYFUNCTION("""COMPUTED_VALUE"""),676748.0)</f>
        <v>676748</v>
      </c>
      <c r="C224" s="140" t="str">
        <f>IFERROR(__xludf.DUMMYFUNCTION("""COMPUTED_VALUE"""),"#N/A")</f>
        <v>#N/A</v>
      </c>
      <c r="D224" t="str">
        <f>IFERROR(__xludf.DUMMYFUNCTION("""COMPUTED_VALUE"""),"Mr Grant Klimaytys")</f>
        <v>Mr Grant Klimaytys</v>
      </c>
      <c r="E224" t="str">
        <f>IFERROR(__xludf.DUMMYFUNCTION("""COMPUTED_VALUE"""),"Y")</f>
        <v>Y</v>
      </c>
      <c r="G224" t="str">
        <f>IFERROR(__xludf.DUMMYFUNCTION("""COMPUTED_VALUE"""),"Y")</f>
        <v>Y</v>
      </c>
      <c r="H224" t="str">
        <f>IFERROR(__xludf.DUMMYFUNCTION("""COMPUTED_VALUE"""),"Below Quality Standards")</f>
        <v>Below Quality Standards</v>
      </c>
      <c r="I224" t="str">
        <f>IFERROR(__xludf.DUMMYFUNCTION("""COMPUTED_VALUE"""),"Development")</f>
        <v>Development</v>
      </c>
      <c r="J224" t="str">
        <f>IFERROR(__xludf.DUMMYFUNCTION("""COMPUTED_VALUE"""),"Mobile Development")</f>
        <v>Mobile Development</v>
      </c>
      <c r="K224" s="140">
        <f>IFERROR(__xludf.DUMMYFUNCTION("""COMPUTED_VALUE"""),951618.0)</f>
        <v>951618</v>
      </c>
      <c r="L224" s="140" t="str">
        <f>IFERROR(__xludf.DUMMYFUNCTION("""COMPUTED_VALUE"""),"")</f>
        <v/>
      </c>
      <c r="N224" s="140" t="str">
        <f>IFERROR(__xludf.DUMMYFUNCTION("""COMPUTED_VALUE"""),"")</f>
        <v/>
      </c>
    </row>
    <row r="225">
      <c r="A225" s="143">
        <f>IFERROR(__xludf.DUMMYFUNCTION("""COMPUTED_VALUE"""),42886.0)</f>
        <v>42886</v>
      </c>
      <c r="B225" s="140">
        <f>IFERROR(__xludf.DUMMYFUNCTION("""COMPUTED_VALUE"""),696506.0)</f>
        <v>696506</v>
      </c>
      <c r="C225" s="140" t="str">
        <f>IFERROR(__xludf.DUMMYFUNCTION("""COMPUTED_VALUE"""),"#N/A")</f>
        <v>#N/A</v>
      </c>
      <c r="D225" t="str">
        <f>IFERROR(__xludf.DUMMYFUNCTION("""COMPUTED_VALUE"""),"Mr. John Omar")</f>
        <v>Mr. John Omar</v>
      </c>
      <c r="E225" t="str">
        <f>IFERROR(__xludf.DUMMYFUNCTION("""COMPUTED_VALUE"""),"Y")</f>
        <v>Y</v>
      </c>
      <c r="G225" t="str">
        <f>IFERROR(__xludf.DUMMYFUNCTION("""COMPUTED_VALUE"""),"Y")</f>
        <v>Y</v>
      </c>
      <c r="H225" t="str">
        <f>IFERROR(__xludf.DUMMYFUNCTION("""COMPUTED_VALUE"""),"Below Quality Standards")</f>
        <v>Below Quality Standards</v>
      </c>
      <c r="I225" t="str">
        <f>IFERROR(__xludf.DUMMYFUNCTION("""COMPUTED_VALUE"""),"Development")</f>
        <v>Development</v>
      </c>
      <c r="J225" t="str">
        <f>IFERROR(__xludf.DUMMYFUNCTION("""COMPUTED_VALUE"""),"Mobile Development")</f>
        <v>Mobile Development</v>
      </c>
      <c r="K225" s="140">
        <f>IFERROR(__xludf.DUMMYFUNCTION("""COMPUTED_VALUE"""),1253188.0)</f>
        <v>1253188</v>
      </c>
      <c r="L225" s="140" t="str">
        <f>IFERROR(__xludf.DUMMYFUNCTION("""COMPUTED_VALUE"""),"")</f>
        <v/>
      </c>
      <c r="N225" s="140" t="str">
        <f>IFERROR(__xludf.DUMMYFUNCTION("""COMPUTED_VALUE"""),"")</f>
        <v/>
      </c>
    </row>
    <row r="226">
      <c r="A226" s="143">
        <f>IFERROR(__xludf.DUMMYFUNCTION("""COMPUTED_VALUE"""),42886.0)</f>
        <v>42886</v>
      </c>
      <c r="B226" s="140">
        <f>IFERROR(__xludf.DUMMYFUNCTION("""COMPUTED_VALUE"""),694774.0)</f>
        <v>694774</v>
      </c>
      <c r="C226" s="140" t="str">
        <f>IFERROR(__xludf.DUMMYFUNCTION("""COMPUTED_VALUE"""),"#N/A")</f>
        <v>#N/A</v>
      </c>
      <c r="D226" t="str">
        <f>IFERROR(__xludf.DUMMYFUNCTION("""COMPUTED_VALUE"""),"Mr. John Omar")</f>
        <v>Mr. John Omar</v>
      </c>
      <c r="E226" t="str">
        <f>IFERROR(__xludf.DUMMYFUNCTION("""COMPUTED_VALUE"""),"Y")</f>
        <v>Y</v>
      </c>
      <c r="G226" t="str">
        <f>IFERROR(__xludf.DUMMYFUNCTION("""COMPUTED_VALUE"""),"Y")</f>
        <v>Y</v>
      </c>
      <c r="H226" t="str">
        <f>IFERROR(__xludf.DUMMYFUNCTION("""COMPUTED_VALUE"""),"Outdated")</f>
        <v>Outdated</v>
      </c>
      <c r="I226" t="str">
        <f>IFERROR(__xludf.DUMMYFUNCTION("""COMPUTED_VALUE"""),"Development")</f>
        <v>Development</v>
      </c>
      <c r="J226" t="str">
        <f>IFERROR(__xludf.DUMMYFUNCTION("""COMPUTED_VALUE"""),"Mobile Development")</f>
        <v>Mobile Development</v>
      </c>
      <c r="K226" s="140">
        <f>IFERROR(__xludf.DUMMYFUNCTION("""COMPUTED_VALUE"""),1253188.0)</f>
        <v>1253188</v>
      </c>
      <c r="L226" s="140" t="str">
        <f>IFERROR(__xludf.DUMMYFUNCTION("""COMPUTED_VALUE"""),"")</f>
        <v/>
      </c>
      <c r="N226" s="140" t="str">
        <f>IFERROR(__xludf.DUMMYFUNCTION("""COMPUTED_VALUE"""),"")</f>
        <v/>
      </c>
    </row>
    <row r="227">
      <c r="A227" s="143">
        <f>IFERROR(__xludf.DUMMYFUNCTION("""COMPUTED_VALUE"""),42886.0)</f>
        <v>42886</v>
      </c>
      <c r="B227" s="140">
        <f>IFERROR(__xludf.DUMMYFUNCTION("""COMPUTED_VALUE"""),733312.0)</f>
        <v>733312</v>
      </c>
      <c r="C227" s="140" t="str">
        <f>IFERROR(__xludf.DUMMYFUNCTION("""COMPUTED_VALUE"""),"#N/A")</f>
        <v>#N/A</v>
      </c>
      <c r="D227" t="str">
        <f>IFERROR(__xludf.DUMMYFUNCTION("""COMPUTED_VALUE"""),"John Bura")</f>
        <v>John Bura</v>
      </c>
      <c r="E227" t="str">
        <f>IFERROR(__xludf.DUMMYFUNCTION("""COMPUTED_VALUE"""),"Y")</f>
        <v>Y</v>
      </c>
      <c r="G227" t="str">
        <f>IFERROR(__xludf.DUMMYFUNCTION("""COMPUTED_VALUE"""),"Y")</f>
        <v>Y</v>
      </c>
      <c r="H227" t="str">
        <f>IFERROR(__xludf.DUMMYFUNCTION("""COMPUTED_VALUE"""),"Below Quality Standards")</f>
        <v>Below Quality Standards</v>
      </c>
      <c r="I227" t="str">
        <f>IFERROR(__xludf.DUMMYFUNCTION("""COMPUTED_VALUE"""),"Development")</f>
        <v>Development</v>
      </c>
      <c r="J227" t="str">
        <f>IFERROR(__xludf.DUMMYFUNCTION("""COMPUTED_VALUE"""),"Mobile Development")</f>
        <v>Mobile Development</v>
      </c>
      <c r="K227" s="140">
        <f>IFERROR(__xludf.DUMMYFUNCTION("""COMPUTED_VALUE"""),739926.0)</f>
        <v>739926</v>
      </c>
      <c r="L227" s="140" t="str">
        <f>IFERROR(__xludf.DUMMYFUNCTION("""COMPUTED_VALUE"""),"")</f>
        <v/>
      </c>
      <c r="N227" s="140" t="str">
        <f>IFERROR(__xludf.DUMMYFUNCTION("""COMPUTED_VALUE"""),"")</f>
        <v/>
      </c>
    </row>
    <row r="228">
      <c r="A228" s="143">
        <f>IFERROR(__xludf.DUMMYFUNCTION("""COMPUTED_VALUE"""),42886.0)</f>
        <v>42886</v>
      </c>
      <c r="B228" s="140">
        <f>IFERROR(__xludf.DUMMYFUNCTION("""COMPUTED_VALUE"""),413274.0)</f>
        <v>413274</v>
      </c>
      <c r="C228" s="140" t="str">
        <f>IFERROR(__xludf.DUMMYFUNCTION("""COMPUTED_VALUE"""),"#N/A")</f>
        <v>#N/A</v>
      </c>
      <c r="D228" t="str">
        <f>IFERROR(__xludf.DUMMYFUNCTION("""COMPUTED_VALUE"""),"Aaron Caines")</f>
        <v>Aaron Caines</v>
      </c>
      <c r="E228" t="str">
        <f>IFERROR(__xludf.DUMMYFUNCTION("""COMPUTED_VALUE"""),"Y")</f>
        <v>Y</v>
      </c>
      <c r="G228" t="str">
        <f>IFERROR(__xludf.DUMMYFUNCTION("""COMPUTED_VALUE"""),"Y")</f>
        <v>Y</v>
      </c>
      <c r="H228" t="str">
        <f>IFERROR(__xludf.DUMMYFUNCTION("""COMPUTED_VALUE"""),"Outdated")</f>
        <v>Outdated</v>
      </c>
      <c r="I228" t="str">
        <f>IFERROR(__xludf.DUMMYFUNCTION("""COMPUTED_VALUE"""),"Development")</f>
        <v>Development</v>
      </c>
      <c r="J228" t="str">
        <f>IFERROR(__xludf.DUMMYFUNCTION("""COMPUTED_VALUE"""),"Mobile Development")</f>
        <v>Mobile Development</v>
      </c>
      <c r="K228" s="140">
        <f>IFERROR(__xludf.DUMMYFUNCTION("""COMPUTED_VALUE"""),1289478.0)</f>
        <v>1289478</v>
      </c>
      <c r="L228" s="140" t="str">
        <f>IFERROR(__xludf.DUMMYFUNCTION("""COMPUTED_VALUE"""),"")</f>
        <v/>
      </c>
      <c r="M228" s="140">
        <f>IFERROR(__xludf.DUMMYFUNCTION("""COMPUTED_VALUE"""),1253188.0)</f>
        <v>1253188</v>
      </c>
      <c r="N228" s="140" t="str">
        <f>IFERROR(__xludf.DUMMYFUNCTION("""COMPUTED_VALUE"""),"")</f>
        <v/>
      </c>
    </row>
    <row r="229">
      <c r="A229" s="143">
        <f>IFERROR(__xludf.DUMMYFUNCTION("""COMPUTED_VALUE"""),42886.0)</f>
        <v>42886</v>
      </c>
      <c r="B229" s="140">
        <f>IFERROR(__xludf.DUMMYFUNCTION("""COMPUTED_VALUE"""),724458.0)</f>
        <v>724458</v>
      </c>
      <c r="C229" s="140" t="str">
        <f>IFERROR(__xludf.DUMMYFUNCTION("""COMPUTED_VALUE"""),"#N/A")</f>
        <v>#N/A</v>
      </c>
      <c r="D229" t="str">
        <f>IFERROR(__xludf.DUMMYFUNCTION("""COMPUTED_VALUE"""),"Khalid Hamadeh")</f>
        <v>Khalid Hamadeh</v>
      </c>
      <c r="E229" t="str">
        <f>IFERROR(__xludf.DUMMYFUNCTION("""COMPUTED_VALUE"""),"Y")</f>
        <v>Y</v>
      </c>
      <c r="G229" t="str">
        <f>IFERROR(__xludf.DUMMYFUNCTION("""COMPUTED_VALUE"""),"Y")</f>
        <v>Y</v>
      </c>
      <c r="H229" t="str">
        <f>IFERROR(__xludf.DUMMYFUNCTION("""COMPUTED_VALUE"""),"Below Quality Standards")</f>
        <v>Below Quality Standards</v>
      </c>
      <c r="I229" t="str">
        <f>IFERROR(__xludf.DUMMYFUNCTION("""COMPUTED_VALUE"""),"Development")</f>
        <v>Development</v>
      </c>
      <c r="J229" t="str">
        <f>IFERROR(__xludf.DUMMYFUNCTION("""COMPUTED_VALUE"""),"Mobile Development")</f>
        <v>Mobile Development</v>
      </c>
      <c r="K229" s="140">
        <f>IFERROR(__xludf.DUMMYFUNCTION("""COMPUTED_VALUE"""),951618.0)</f>
        <v>951618</v>
      </c>
      <c r="L229" s="140" t="str">
        <f>IFERROR(__xludf.DUMMYFUNCTION("""COMPUTED_VALUE"""),"")</f>
        <v/>
      </c>
      <c r="M229" s="140">
        <f>IFERROR(__xludf.DUMMYFUNCTION("""COMPUTED_VALUE"""),1253188.0)</f>
        <v>1253188</v>
      </c>
      <c r="N229" s="140" t="str">
        <f>IFERROR(__xludf.DUMMYFUNCTION("""COMPUTED_VALUE"""),"")</f>
        <v/>
      </c>
    </row>
    <row r="230">
      <c r="A230" s="143">
        <f>IFERROR(__xludf.DUMMYFUNCTION("""COMPUTED_VALUE"""),42886.0)</f>
        <v>42886</v>
      </c>
      <c r="B230" s="140">
        <f>IFERROR(__xludf.DUMMYFUNCTION("""COMPUTED_VALUE"""),471336.0)</f>
        <v>471336</v>
      </c>
      <c r="C230" s="140" t="str">
        <f>IFERROR(__xludf.DUMMYFUNCTION("""COMPUTED_VALUE"""),"#N/A")</f>
        <v>#N/A</v>
      </c>
      <c r="D230" t="str">
        <f>IFERROR(__xludf.DUMMYFUNCTION("""COMPUTED_VALUE"""),"3D BUZZ Programming and Digital Art training")</f>
        <v>3D BUZZ Programming and Digital Art training</v>
      </c>
      <c r="E230" t="str">
        <f>IFERROR(__xludf.DUMMYFUNCTION("""COMPUTED_VALUE"""),"Y")</f>
        <v>Y</v>
      </c>
      <c r="G230" t="str">
        <f>IFERROR(__xludf.DUMMYFUNCTION("""COMPUTED_VALUE"""),"Y")</f>
        <v>Y</v>
      </c>
      <c r="H230" t="str">
        <f>IFERROR(__xludf.DUMMYFUNCTION("""COMPUTED_VALUE"""),"Outdated")</f>
        <v>Outdated</v>
      </c>
      <c r="I230" t="str">
        <f>IFERROR(__xludf.DUMMYFUNCTION("""COMPUTED_VALUE"""),"Development")</f>
        <v>Development</v>
      </c>
      <c r="J230" t="str">
        <f>IFERROR(__xludf.DUMMYFUNCTION("""COMPUTED_VALUE"""),"Mobile Development")</f>
        <v>Mobile Development</v>
      </c>
      <c r="K230" s="140">
        <f>IFERROR(__xludf.DUMMYFUNCTION("""COMPUTED_VALUE"""),1178124.0)</f>
        <v>1178124</v>
      </c>
      <c r="L230" s="140" t="str">
        <f>IFERROR(__xludf.DUMMYFUNCTION("""COMPUTED_VALUE"""),"")</f>
        <v/>
      </c>
      <c r="N230" s="140" t="str">
        <f>IFERROR(__xludf.DUMMYFUNCTION("""COMPUTED_VALUE"""),"")</f>
        <v/>
      </c>
    </row>
    <row r="231">
      <c r="A231" s="143">
        <f>IFERROR(__xludf.DUMMYFUNCTION("""COMPUTED_VALUE"""),42886.0)</f>
        <v>42886</v>
      </c>
      <c r="B231" s="140">
        <f>IFERROR(__xludf.DUMMYFUNCTION("""COMPUTED_VALUE"""),706004.0)</f>
        <v>706004</v>
      </c>
      <c r="C231" s="140" t="str">
        <f>IFERROR(__xludf.DUMMYFUNCTION("""COMPUTED_VALUE"""),"#N/A")</f>
        <v>#N/A</v>
      </c>
      <c r="D231" t="str">
        <f>IFERROR(__xludf.DUMMYFUNCTION("""COMPUTED_VALUE"""),"Nick Walter")</f>
        <v>Nick Walter</v>
      </c>
      <c r="E231" t="str">
        <f>IFERROR(__xludf.DUMMYFUNCTION("""COMPUTED_VALUE"""),"Y")</f>
        <v>Y</v>
      </c>
      <c r="G231" t="str">
        <f>IFERROR(__xludf.DUMMYFUNCTION("""COMPUTED_VALUE"""),"Y")</f>
        <v>Y</v>
      </c>
      <c r="H231" t="str">
        <f>IFERROR(__xludf.DUMMYFUNCTION("""COMPUTED_VALUE"""),"Outdated")</f>
        <v>Outdated</v>
      </c>
      <c r="I231" t="str">
        <f>IFERROR(__xludf.DUMMYFUNCTION("""COMPUTED_VALUE"""),"Development")</f>
        <v>Development</v>
      </c>
      <c r="J231" t="str">
        <f>IFERROR(__xludf.DUMMYFUNCTION("""COMPUTED_VALUE"""),"Mobile Development")</f>
        <v>Mobile Development</v>
      </c>
      <c r="K231" s="140">
        <f>IFERROR(__xludf.DUMMYFUNCTION("""COMPUTED_VALUE"""),1253188.0)</f>
        <v>1253188</v>
      </c>
      <c r="L231" s="140" t="str">
        <f>IFERROR(__xludf.DUMMYFUNCTION("""COMPUTED_VALUE"""),"")</f>
        <v/>
      </c>
      <c r="N231" s="140" t="str">
        <f>IFERROR(__xludf.DUMMYFUNCTION("""COMPUTED_VALUE"""),"")</f>
        <v/>
      </c>
    </row>
    <row r="232">
      <c r="A232" s="143">
        <f>IFERROR(__xludf.DUMMYFUNCTION("""COMPUTED_VALUE"""),42886.0)</f>
        <v>42886</v>
      </c>
      <c r="B232" s="140">
        <f>IFERROR(__xludf.DUMMYFUNCTION("""COMPUTED_VALUE"""),560838.0)</f>
        <v>560838</v>
      </c>
      <c r="C232" s="140" t="str">
        <f>IFERROR(__xludf.DUMMYFUNCTION("""COMPUTED_VALUE"""),"#N/A")</f>
        <v>#N/A</v>
      </c>
      <c r="D232" t="str">
        <f>IFERROR(__xludf.DUMMYFUNCTION("""COMPUTED_VALUE"""),"Aaron Caines")</f>
        <v>Aaron Caines</v>
      </c>
      <c r="E232" t="str">
        <f>IFERROR(__xludf.DUMMYFUNCTION("""COMPUTED_VALUE"""),"Y")</f>
        <v>Y</v>
      </c>
      <c r="G232" t="str">
        <f>IFERROR(__xludf.DUMMYFUNCTION("""COMPUTED_VALUE"""),"Y")</f>
        <v>Y</v>
      </c>
      <c r="H232" t="str">
        <f>IFERROR(__xludf.DUMMYFUNCTION("""COMPUTED_VALUE"""),"Outdated")</f>
        <v>Outdated</v>
      </c>
      <c r="I232" t="str">
        <f>IFERROR(__xludf.DUMMYFUNCTION("""COMPUTED_VALUE"""),"Development")</f>
        <v>Development</v>
      </c>
      <c r="J232" t="str">
        <f>IFERROR(__xludf.DUMMYFUNCTION("""COMPUTED_VALUE"""),"Mobile Development")</f>
        <v>Mobile Development</v>
      </c>
      <c r="K232" s="140">
        <f>IFERROR(__xludf.DUMMYFUNCTION("""COMPUTED_VALUE"""),1289478.0)</f>
        <v>1289478</v>
      </c>
      <c r="L232" s="140" t="str">
        <f>IFERROR(__xludf.DUMMYFUNCTION("""COMPUTED_VALUE"""),"")</f>
        <v/>
      </c>
      <c r="M232" s="140">
        <f>IFERROR(__xludf.DUMMYFUNCTION("""COMPUTED_VALUE"""),1253188.0)</f>
        <v>1253188</v>
      </c>
      <c r="N232" s="140" t="str">
        <f>IFERROR(__xludf.DUMMYFUNCTION("""COMPUTED_VALUE"""),"")</f>
        <v/>
      </c>
    </row>
    <row r="233">
      <c r="A233" s="143">
        <f>IFERROR(__xludf.DUMMYFUNCTION("""COMPUTED_VALUE"""),42886.0)</f>
        <v>42886</v>
      </c>
      <c r="B233" s="140">
        <f>IFERROR(__xludf.DUMMYFUNCTION("""COMPUTED_VALUE"""),555100.0)</f>
        <v>555100</v>
      </c>
      <c r="C233" s="140" t="str">
        <f>IFERROR(__xludf.DUMMYFUNCTION("""COMPUTED_VALUE"""),"#N/A")</f>
        <v>#N/A</v>
      </c>
      <c r="D233" t="str">
        <f>IFERROR(__xludf.DUMMYFUNCTION("""COMPUTED_VALUE"""),"Mark Price")</f>
        <v>Mark Price</v>
      </c>
      <c r="E233" t="str">
        <f>IFERROR(__xludf.DUMMYFUNCTION("""COMPUTED_VALUE"""),"Y")</f>
        <v>Y</v>
      </c>
      <c r="G233" t="str">
        <f>IFERROR(__xludf.DUMMYFUNCTION("""COMPUTED_VALUE"""),"Y")</f>
        <v>Y</v>
      </c>
      <c r="H233" t="str">
        <f>IFERROR(__xludf.DUMMYFUNCTION("""COMPUTED_VALUE"""),"Outdated")</f>
        <v>Outdated</v>
      </c>
      <c r="I233" t="str">
        <f>IFERROR(__xludf.DUMMYFUNCTION("""COMPUTED_VALUE"""),"Development")</f>
        <v>Development</v>
      </c>
      <c r="J233" t="str">
        <f>IFERROR(__xludf.DUMMYFUNCTION("""COMPUTED_VALUE"""),"Mobile Development")</f>
        <v>Mobile Development</v>
      </c>
      <c r="K233" s="140">
        <f>IFERROR(__xludf.DUMMYFUNCTION("""COMPUTED_VALUE"""),1289478.0)</f>
        <v>1289478</v>
      </c>
      <c r="L233" s="140" t="str">
        <f>IFERROR(__xludf.DUMMYFUNCTION("""COMPUTED_VALUE"""),"")</f>
        <v/>
      </c>
      <c r="M233" s="140">
        <f>IFERROR(__xludf.DUMMYFUNCTION("""COMPUTED_VALUE"""),1253188.0)</f>
        <v>1253188</v>
      </c>
      <c r="N233" s="140" t="str">
        <f>IFERROR(__xludf.DUMMYFUNCTION("""COMPUTED_VALUE"""),"")</f>
        <v/>
      </c>
    </row>
    <row r="234">
      <c r="A234" s="143">
        <f>IFERROR(__xludf.DUMMYFUNCTION("""COMPUTED_VALUE"""),42886.0)</f>
        <v>42886</v>
      </c>
      <c r="B234" s="140">
        <f>IFERROR(__xludf.DUMMYFUNCTION("""COMPUTED_VALUE"""),685882.0)</f>
        <v>685882</v>
      </c>
      <c r="C234" s="140" t="str">
        <f>IFERROR(__xludf.DUMMYFUNCTION("""COMPUTED_VALUE"""),"#N/A")</f>
        <v>#N/A</v>
      </c>
      <c r="D234" t="str">
        <f>IFERROR(__xludf.DUMMYFUNCTION("""COMPUTED_VALUE"""),"Mr Grant Klimaytys")</f>
        <v>Mr Grant Klimaytys</v>
      </c>
      <c r="E234" t="str">
        <f>IFERROR(__xludf.DUMMYFUNCTION("""COMPUTED_VALUE"""),"Y")</f>
        <v>Y</v>
      </c>
      <c r="G234" t="str">
        <f>IFERROR(__xludf.DUMMYFUNCTION("""COMPUTED_VALUE"""),"Y")</f>
        <v>Y</v>
      </c>
      <c r="H234" t="str">
        <f>IFERROR(__xludf.DUMMYFUNCTION("""COMPUTED_VALUE"""),"Below Quality Standards")</f>
        <v>Below Quality Standards</v>
      </c>
      <c r="I234" t="str">
        <f>IFERROR(__xludf.DUMMYFUNCTION("""COMPUTED_VALUE"""),"Development")</f>
        <v>Development</v>
      </c>
      <c r="J234" t="str">
        <f>IFERROR(__xludf.DUMMYFUNCTION("""COMPUTED_VALUE"""),"Mobile Development")</f>
        <v>Mobile Development</v>
      </c>
      <c r="K234" s="140">
        <f>IFERROR(__xludf.DUMMYFUNCTION("""COMPUTED_VALUE"""),1253188.0)</f>
        <v>1253188</v>
      </c>
      <c r="L234" s="140" t="str">
        <f>IFERROR(__xludf.DUMMYFUNCTION("""COMPUTED_VALUE"""),"")</f>
        <v/>
      </c>
      <c r="N234" s="140" t="str">
        <f>IFERROR(__xludf.DUMMYFUNCTION("""COMPUTED_VALUE"""),"")</f>
        <v/>
      </c>
    </row>
    <row r="235">
      <c r="A235" s="143">
        <f>IFERROR(__xludf.DUMMYFUNCTION("""COMPUTED_VALUE"""),42886.0)</f>
        <v>42886</v>
      </c>
      <c r="B235" s="140">
        <f>IFERROR(__xludf.DUMMYFUNCTION("""COMPUTED_VALUE"""),620668.0)</f>
        <v>620668</v>
      </c>
      <c r="C235" s="140" t="str">
        <f>IFERROR(__xludf.DUMMYFUNCTION("""COMPUTED_VALUE"""),"#N/A")</f>
        <v>#N/A</v>
      </c>
      <c r="D235" t="str">
        <f>IFERROR(__xludf.DUMMYFUNCTION("""COMPUTED_VALUE"""),"Nick Walter")</f>
        <v>Nick Walter</v>
      </c>
      <c r="E235" t="str">
        <f>IFERROR(__xludf.DUMMYFUNCTION("""COMPUTED_VALUE"""),"Y")</f>
        <v>Y</v>
      </c>
      <c r="G235" t="str">
        <f>IFERROR(__xludf.DUMMYFUNCTION("""COMPUTED_VALUE"""),"Y")</f>
        <v>Y</v>
      </c>
      <c r="H235" t="str">
        <f>IFERROR(__xludf.DUMMYFUNCTION("""COMPUTED_VALUE"""),"Outdated")</f>
        <v>Outdated</v>
      </c>
      <c r="I235" t="str">
        <f>IFERROR(__xludf.DUMMYFUNCTION("""COMPUTED_VALUE"""),"Development")</f>
        <v>Development</v>
      </c>
      <c r="J235" t="str">
        <f>IFERROR(__xludf.DUMMYFUNCTION("""COMPUTED_VALUE"""),"Mobile Development")</f>
        <v>Mobile Development</v>
      </c>
      <c r="K235" s="140">
        <f>IFERROR(__xludf.DUMMYFUNCTION("""COMPUTED_VALUE"""),1253188.0)</f>
        <v>1253188</v>
      </c>
      <c r="L235" s="140" t="str">
        <f>IFERROR(__xludf.DUMMYFUNCTION("""COMPUTED_VALUE"""),"")</f>
        <v/>
      </c>
      <c r="N235" s="140" t="str">
        <f>IFERROR(__xludf.DUMMYFUNCTION("""COMPUTED_VALUE"""),"")</f>
        <v/>
      </c>
    </row>
    <row r="236">
      <c r="A236" s="143">
        <f>IFERROR(__xludf.DUMMYFUNCTION("""COMPUTED_VALUE"""),42886.0)</f>
        <v>42886</v>
      </c>
      <c r="B236" s="140">
        <f>IFERROR(__xludf.DUMMYFUNCTION("""COMPUTED_VALUE"""),560928.0)</f>
        <v>560928</v>
      </c>
      <c r="C236" s="140" t="str">
        <f>IFERROR(__xludf.DUMMYFUNCTION("""COMPUTED_VALUE"""),"#N/A")</f>
        <v>#N/A</v>
      </c>
      <c r="D236" t="str">
        <f>IFERROR(__xludf.DUMMYFUNCTION("""COMPUTED_VALUE"""),"Nick Walter")</f>
        <v>Nick Walter</v>
      </c>
      <c r="E236" t="str">
        <f>IFERROR(__xludf.DUMMYFUNCTION("""COMPUTED_VALUE"""),"Y")</f>
        <v>Y</v>
      </c>
      <c r="G236" t="str">
        <f>IFERROR(__xludf.DUMMYFUNCTION("""COMPUTED_VALUE"""),"Y")</f>
        <v>Y</v>
      </c>
      <c r="H236" t="str">
        <f>IFERROR(__xludf.DUMMYFUNCTION("""COMPUTED_VALUE"""),"Outdated")</f>
        <v>Outdated</v>
      </c>
      <c r="I236" t="str">
        <f>IFERROR(__xludf.DUMMYFUNCTION("""COMPUTED_VALUE"""),"Development")</f>
        <v>Development</v>
      </c>
      <c r="J236" t="str">
        <f>IFERROR(__xludf.DUMMYFUNCTION("""COMPUTED_VALUE"""),"Mobile Development")</f>
        <v>Mobile Development</v>
      </c>
      <c r="K236" s="140">
        <f>IFERROR(__xludf.DUMMYFUNCTION("""COMPUTED_VALUE"""),1289478.0)</f>
        <v>1289478</v>
      </c>
      <c r="L236" s="140" t="str">
        <f>IFERROR(__xludf.DUMMYFUNCTION("""COMPUTED_VALUE"""),"")</f>
        <v/>
      </c>
      <c r="M236" s="140">
        <f>IFERROR(__xludf.DUMMYFUNCTION("""COMPUTED_VALUE"""),1253188.0)</f>
        <v>1253188</v>
      </c>
      <c r="N236" s="140" t="str">
        <f>IFERROR(__xludf.DUMMYFUNCTION("""COMPUTED_VALUE"""),"")</f>
        <v/>
      </c>
    </row>
    <row r="237">
      <c r="A237" s="143">
        <f>IFERROR(__xludf.DUMMYFUNCTION("""COMPUTED_VALUE"""),42886.0)</f>
        <v>42886</v>
      </c>
      <c r="B237" s="140">
        <f>IFERROR(__xludf.DUMMYFUNCTION("""COMPUTED_VALUE"""),90066.0)</f>
        <v>90066</v>
      </c>
      <c r="C237" s="140" t="str">
        <f>IFERROR(__xludf.DUMMYFUNCTION("""COMPUTED_VALUE"""),"#N/A")</f>
        <v>#N/A</v>
      </c>
      <c r="D237" t="str">
        <f>IFERROR(__xludf.DUMMYFUNCTION("""COMPUTED_VALUE"""),"LearnToProgram, Inc.")</f>
        <v>LearnToProgram, Inc.</v>
      </c>
      <c r="E237" t="str">
        <f>IFERROR(__xludf.DUMMYFUNCTION("""COMPUTED_VALUE"""),"Y")</f>
        <v>Y</v>
      </c>
      <c r="G237" t="str">
        <f>IFERROR(__xludf.DUMMYFUNCTION("""COMPUTED_VALUE"""),"Y")</f>
        <v>Y</v>
      </c>
      <c r="H237" t="str">
        <f>IFERROR(__xludf.DUMMYFUNCTION("""COMPUTED_VALUE"""),"Outdated")</f>
        <v>Outdated</v>
      </c>
      <c r="I237" t="str">
        <f>IFERROR(__xludf.DUMMYFUNCTION("""COMPUTED_VALUE"""),"Development")</f>
        <v>Development</v>
      </c>
      <c r="J237" t="str">
        <f>IFERROR(__xludf.DUMMYFUNCTION("""COMPUTED_VALUE"""),"Mobile Development")</f>
        <v>Mobile Development</v>
      </c>
      <c r="K237" s="140">
        <f>IFERROR(__xludf.DUMMYFUNCTION("""COMPUTED_VALUE"""),533682.0)</f>
        <v>533682</v>
      </c>
      <c r="L237" s="140" t="str">
        <f>IFERROR(__xludf.DUMMYFUNCTION("""COMPUTED_VALUE"""),"")</f>
        <v/>
      </c>
      <c r="N237" s="140" t="str">
        <f>IFERROR(__xludf.DUMMYFUNCTION("""COMPUTED_VALUE"""),"")</f>
        <v/>
      </c>
    </row>
    <row r="238">
      <c r="A238" s="143">
        <f>IFERROR(__xludf.DUMMYFUNCTION("""COMPUTED_VALUE"""),42886.0)</f>
        <v>42886</v>
      </c>
      <c r="B238" s="140">
        <f>IFERROR(__xludf.DUMMYFUNCTION("""COMPUTED_VALUE"""),770994.0)</f>
        <v>770994</v>
      </c>
      <c r="C238" s="140" t="str">
        <f>IFERROR(__xludf.DUMMYFUNCTION("""COMPUTED_VALUE"""),"#N/A")</f>
        <v>#N/A</v>
      </c>
      <c r="D238" t="str">
        <f>IFERROR(__xludf.DUMMYFUNCTION("""COMPUTED_VALUE"""),"LearnToProgram, Inc.")</f>
        <v>LearnToProgram, Inc.</v>
      </c>
      <c r="E238" t="str">
        <f>IFERROR(__xludf.DUMMYFUNCTION("""COMPUTED_VALUE"""),"Y")</f>
        <v>Y</v>
      </c>
      <c r="G238" t="str">
        <f>IFERROR(__xludf.DUMMYFUNCTION("""COMPUTED_VALUE"""),"Y")</f>
        <v>Y</v>
      </c>
      <c r="H238" t="str">
        <f>IFERROR(__xludf.DUMMYFUNCTION("""COMPUTED_VALUE"""),"Below Quality Standards")</f>
        <v>Below Quality Standards</v>
      </c>
      <c r="I238" t="str">
        <f>IFERROR(__xludf.DUMMYFUNCTION("""COMPUTED_VALUE"""),"Development")</f>
        <v>Development</v>
      </c>
      <c r="J238" t="str">
        <f>IFERROR(__xludf.DUMMYFUNCTION("""COMPUTED_VALUE"""),"Mobile Development")</f>
        <v>Mobile Development</v>
      </c>
      <c r="K238" s="140">
        <f>IFERROR(__xludf.DUMMYFUNCTION("""COMPUTED_VALUE"""),533682.0)</f>
        <v>533682</v>
      </c>
      <c r="L238" s="140" t="str">
        <f>IFERROR(__xludf.DUMMYFUNCTION("""COMPUTED_VALUE"""),"")</f>
        <v/>
      </c>
      <c r="N238" s="140" t="str">
        <f>IFERROR(__xludf.DUMMYFUNCTION("""COMPUTED_VALUE"""),"")</f>
        <v/>
      </c>
    </row>
    <row r="239">
      <c r="A239" s="143">
        <f>IFERROR(__xludf.DUMMYFUNCTION("""COMPUTED_VALUE"""),42886.0)</f>
        <v>42886</v>
      </c>
      <c r="B239" s="140">
        <f>IFERROR(__xludf.DUMMYFUNCTION("""COMPUTED_VALUE"""),159372.0)</f>
        <v>159372</v>
      </c>
      <c r="C239" s="140" t="str">
        <f>IFERROR(__xludf.DUMMYFUNCTION("""COMPUTED_VALUE"""),"#N/A")</f>
        <v>#N/A</v>
      </c>
      <c r="D239" t="str">
        <f>IFERROR(__xludf.DUMMYFUNCTION("""COMPUTED_VALUE"""),"John Wiley &amp; Sons, Inc. ")</f>
        <v>John Wiley &amp; Sons, Inc. </v>
      </c>
      <c r="E239" t="str">
        <f>IFERROR(__xludf.DUMMYFUNCTION("""COMPUTED_VALUE"""),"Y")</f>
        <v>Y</v>
      </c>
      <c r="G239" t="str">
        <f>IFERROR(__xludf.DUMMYFUNCTION("""COMPUTED_VALUE"""),"Y")</f>
        <v>Y</v>
      </c>
      <c r="H239" t="str">
        <f>IFERROR(__xludf.DUMMYFUNCTION("""COMPUTED_VALUE"""),"Outdated")</f>
        <v>Outdated</v>
      </c>
      <c r="I239" t="str">
        <f>IFERROR(__xludf.DUMMYFUNCTION("""COMPUTED_VALUE"""),"Development")</f>
        <v>Development</v>
      </c>
      <c r="J239" t="str">
        <f>IFERROR(__xludf.DUMMYFUNCTION("""COMPUTED_VALUE"""),"Mobile Development")</f>
        <v>Mobile Development</v>
      </c>
      <c r="K239" s="140">
        <f>IFERROR(__xludf.DUMMYFUNCTION("""COMPUTED_VALUE"""),533682.0)</f>
        <v>533682</v>
      </c>
      <c r="L239" s="140" t="str">
        <f>IFERROR(__xludf.DUMMYFUNCTION("""COMPUTED_VALUE"""),"")</f>
        <v/>
      </c>
      <c r="N239" s="140" t="str">
        <f>IFERROR(__xludf.DUMMYFUNCTION("""COMPUTED_VALUE"""),"")</f>
        <v/>
      </c>
    </row>
    <row r="240">
      <c r="A240" s="143">
        <f>IFERROR(__xludf.DUMMYFUNCTION("""COMPUTED_VALUE"""),42886.0)</f>
        <v>42886</v>
      </c>
      <c r="B240" s="140">
        <f>IFERROR(__xludf.DUMMYFUNCTION("""COMPUTED_VALUE"""),91274.0)</f>
        <v>91274</v>
      </c>
      <c r="C240" s="140" t="str">
        <f>IFERROR(__xludf.DUMMYFUNCTION("""COMPUTED_VALUE"""),"#N/A")</f>
        <v>#N/A</v>
      </c>
      <c r="D240" t="str">
        <f>IFERROR(__xludf.DUMMYFUNCTION("""COMPUTED_VALUE"""),"John Bura")</f>
        <v>John Bura</v>
      </c>
      <c r="E240" t="str">
        <f>IFERROR(__xludf.DUMMYFUNCTION("""COMPUTED_VALUE"""),"Y")</f>
        <v>Y</v>
      </c>
      <c r="G240" t="str">
        <f>IFERROR(__xludf.DUMMYFUNCTION("""COMPUTED_VALUE"""),"Y")</f>
        <v>Y</v>
      </c>
      <c r="H240" t="str">
        <f>IFERROR(__xludf.DUMMYFUNCTION("""COMPUTED_VALUE"""),"Below Quality Standards")</f>
        <v>Below Quality Standards</v>
      </c>
      <c r="I240" t="str">
        <f>IFERROR(__xludf.DUMMYFUNCTION("""COMPUTED_VALUE"""),"Development")</f>
        <v>Development</v>
      </c>
      <c r="J240" t="str">
        <f>IFERROR(__xludf.DUMMYFUNCTION("""COMPUTED_VALUE"""),"Mobile Development")</f>
        <v>Mobile Development</v>
      </c>
      <c r="K240" s="140">
        <f>IFERROR(__xludf.DUMMYFUNCTION("""COMPUTED_VALUE"""),706020.0)</f>
        <v>706020</v>
      </c>
      <c r="L240" s="140" t="str">
        <f>IFERROR(__xludf.DUMMYFUNCTION("""COMPUTED_VALUE"""),"")</f>
        <v/>
      </c>
      <c r="N240" s="140" t="str">
        <f>IFERROR(__xludf.DUMMYFUNCTION("""COMPUTED_VALUE"""),"")</f>
        <v/>
      </c>
    </row>
    <row r="241">
      <c r="A241" s="143">
        <f>IFERROR(__xludf.DUMMYFUNCTION("""COMPUTED_VALUE"""),42886.0)</f>
        <v>42886</v>
      </c>
      <c r="B241" s="140">
        <f>IFERROR(__xludf.DUMMYFUNCTION("""COMPUTED_VALUE"""),257372.0)</f>
        <v>257372</v>
      </c>
      <c r="C241" s="140" t="str">
        <f>IFERROR(__xludf.DUMMYFUNCTION("""COMPUTED_VALUE"""),"#N/A")</f>
        <v>#N/A</v>
      </c>
      <c r="D241" t="str">
        <f>IFERROR(__xludf.DUMMYFUNCTION("""COMPUTED_VALUE"""),"Mike Harrison")</f>
        <v>Mike Harrison</v>
      </c>
      <c r="E241" t="str">
        <f>IFERROR(__xludf.DUMMYFUNCTION("""COMPUTED_VALUE"""),"Y")</f>
        <v>Y</v>
      </c>
      <c r="G241" t="str">
        <f>IFERROR(__xludf.DUMMYFUNCTION("""COMPUTED_VALUE"""),"Y")</f>
        <v>Y</v>
      </c>
      <c r="H241" t="str">
        <f>IFERROR(__xludf.DUMMYFUNCTION("""COMPUTED_VALUE"""),"Below Quality Standards")</f>
        <v>Below Quality Standards</v>
      </c>
      <c r="I241" t="str">
        <f>IFERROR(__xludf.DUMMYFUNCTION("""COMPUTED_VALUE"""),"Development")</f>
        <v>Development</v>
      </c>
      <c r="J241" t="str">
        <f>IFERROR(__xludf.DUMMYFUNCTION("""COMPUTED_VALUE"""),"Mobile Development")</f>
        <v>Mobile Development</v>
      </c>
      <c r="K241" s="140">
        <f>IFERROR(__xludf.DUMMYFUNCTION("""COMPUTED_VALUE"""),533682.0)</f>
        <v>533682</v>
      </c>
      <c r="L241" s="140" t="str">
        <f>IFERROR(__xludf.DUMMYFUNCTION("""COMPUTED_VALUE"""),"")</f>
        <v/>
      </c>
      <c r="N241" s="140" t="str">
        <f>IFERROR(__xludf.DUMMYFUNCTION("""COMPUTED_VALUE"""),"")</f>
        <v/>
      </c>
    </row>
    <row r="242">
      <c r="A242" s="143">
        <f>IFERROR(__xludf.DUMMYFUNCTION("""COMPUTED_VALUE"""),42886.0)</f>
        <v>42886</v>
      </c>
      <c r="B242" s="140">
        <f>IFERROR(__xludf.DUMMYFUNCTION("""COMPUTED_VALUE"""),550470.0)</f>
        <v>550470</v>
      </c>
      <c r="C242" s="140" t="str">
        <f>IFERROR(__xludf.DUMMYFUNCTION("""COMPUTED_VALUE"""),"#N/A")</f>
        <v>#N/A</v>
      </c>
      <c r="D242" t="str">
        <f>IFERROR(__xludf.DUMMYFUNCTION("""COMPUTED_VALUE"""),"John Bura")</f>
        <v>John Bura</v>
      </c>
      <c r="E242" t="str">
        <f>IFERROR(__xludf.DUMMYFUNCTION("""COMPUTED_VALUE"""),"Y")</f>
        <v>Y</v>
      </c>
      <c r="G242" t="str">
        <f>IFERROR(__xludf.DUMMYFUNCTION("""COMPUTED_VALUE"""),"Y")</f>
        <v>Y</v>
      </c>
      <c r="H242" t="str">
        <f>IFERROR(__xludf.DUMMYFUNCTION("""COMPUTED_VALUE"""),"Outdated")</f>
        <v>Outdated</v>
      </c>
      <c r="I242" t="str">
        <f>IFERROR(__xludf.DUMMYFUNCTION("""COMPUTED_VALUE"""),"Development")</f>
        <v>Development</v>
      </c>
      <c r="J242" t="str">
        <f>IFERROR(__xludf.DUMMYFUNCTION("""COMPUTED_VALUE"""),"Mobile Development")</f>
        <v>Mobile Development</v>
      </c>
      <c r="K242" s="140">
        <f>IFERROR(__xludf.DUMMYFUNCTION("""COMPUTED_VALUE"""),739926.0)</f>
        <v>739926</v>
      </c>
      <c r="L242" s="140" t="str">
        <f>IFERROR(__xludf.DUMMYFUNCTION("""COMPUTED_VALUE"""),"")</f>
        <v/>
      </c>
      <c r="N242" s="140" t="str">
        <f>IFERROR(__xludf.DUMMYFUNCTION("""COMPUTED_VALUE"""),"")</f>
        <v/>
      </c>
    </row>
    <row r="243">
      <c r="A243" s="143">
        <f>IFERROR(__xludf.DUMMYFUNCTION("""COMPUTED_VALUE"""),42886.0)</f>
        <v>42886</v>
      </c>
      <c r="B243" s="140">
        <f>IFERROR(__xludf.DUMMYFUNCTION("""COMPUTED_VALUE"""),549180.0)</f>
        <v>549180</v>
      </c>
      <c r="C243" s="140" t="str">
        <f>IFERROR(__xludf.DUMMYFUNCTION("""COMPUTED_VALUE"""),"#N/A")</f>
        <v>#N/A</v>
      </c>
      <c r="D243" t="str">
        <f>IFERROR(__xludf.DUMMYFUNCTION("""COMPUTED_VALUE"""),"John Bura")</f>
        <v>John Bura</v>
      </c>
      <c r="E243" t="str">
        <f>IFERROR(__xludf.DUMMYFUNCTION("""COMPUTED_VALUE"""),"Y")</f>
        <v>Y</v>
      </c>
      <c r="G243" t="str">
        <f>IFERROR(__xludf.DUMMYFUNCTION("""COMPUTED_VALUE"""),"Y")</f>
        <v>Y</v>
      </c>
      <c r="H243" t="str">
        <f>IFERROR(__xludf.DUMMYFUNCTION("""COMPUTED_VALUE"""),"Outdated")</f>
        <v>Outdated</v>
      </c>
      <c r="I243" t="str">
        <f>IFERROR(__xludf.DUMMYFUNCTION("""COMPUTED_VALUE"""),"Development")</f>
        <v>Development</v>
      </c>
      <c r="J243" t="str">
        <f>IFERROR(__xludf.DUMMYFUNCTION("""COMPUTED_VALUE"""),"Mobile Development")</f>
        <v>Mobile Development</v>
      </c>
      <c r="K243" s="140">
        <f>IFERROR(__xludf.DUMMYFUNCTION("""COMPUTED_VALUE"""),739926.0)</f>
        <v>739926</v>
      </c>
      <c r="L243" s="140" t="str">
        <f>IFERROR(__xludf.DUMMYFUNCTION("""COMPUTED_VALUE"""),"")</f>
        <v/>
      </c>
      <c r="N243" s="140" t="str">
        <f>IFERROR(__xludf.DUMMYFUNCTION("""COMPUTED_VALUE"""),"")</f>
        <v/>
      </c>
    </row>
    <row r="244">
      <c r="A244" s="143">
        <f>IFERROR(__xludf.DUMMYFUNCTION("""COMPUTED_VALUE"""),42886.0)</f>
        <v>42886</v>
      </c>
      <c r="B244" s="140">
        <f>IFERROR(__xludf.DUMMYFUNCTION("""COMPUTED_VALUE"""),327548.0)</f>
        <v>327548</v>
      </c>
      <c r="C244" s="140" t="str">
        <f>IFERROR(__xludf.DUMMYFUNCTION("""COMPUTED_VALUE"""),"#N/A")</f>
        <v>#N/A</v>
      </c>
      <c r="D244" t="str">
        <f>IFERROR(__xludf.DUMMYFUNCTION("""COMPUTED_VALUE"""),"John Bura")</f>
        <v>John Bura</v>
      </c>
      <c r="E244" t="str">
        <f>IFERROR(__xludf.DUMMYFUNCTION("""COMPUTED_VALUE"""),"Y")</f>
        <v>Y</v>
      </c>
      <c r="G244" t="str">
        <f>IFERROR(__xludf.DUMMYFUNCTION("""COMPUTED_VALUE"""),"Y")</f>
        <v>Y</v>
      </c>
      <c r="H244" t="str">
        <f>IFERROR(__xludf.DUMMYFUNCTION("""COMPUTED_VALUE"""),"Outdated")</f>
        <v>Outdated</v>
      </c>
      <c r="I244" t="str">
        <f>IFERROR(__xludf.DUMMYFUNCTION("""COMPUTED_VALUE"""),"Development")</f>
        <v>Development</v>
      </c>
      <c r="J244" t="str">
        <f>IFERROR(__xludf.DUMMYFUNCTION("""COMPUTED_VALUE"""),"Mobile Development")</f>
        <v>Mobile Development</v>
      </c>
      <c r="K244" s="140">
        <f>IFERROR(__xludf.DUMMYFUNCTION("""COMPUTED_VALUE"""),1253188.0)</f>
        <v>1253188</v>
      </c>
      <c r="L244" s="140" t="str">
        <f>IFERROR(__xludf.DUMMYFUNCTION("""COMPUTED_VALUE"""),"")</f>
        <v/>
      </c>
      <c r="N244" s="140" t="str">
        <f>IFERROR(__xludf.DUMMYFUNCTION("""COMPUTED_VALUE"""),"")</f>
        <v/>
      </c>
    </row>
    <row r="245">
      <c r="A245" s="143">
        <f>IFERROR(__xludf.DUMMYFUNCTION("""COMPUTED_VALUE"""),42886.0)</f>
        <v>42886</v>
      </c>
      <c r="B245" s="140">
        <f>IFERROR(__xludf.DUMMYFUNCTION("""COMPUTED_VALUE"""),630980.0)</f>
        <v>630980</v>
      </c>
      <c r="C245" s="140" t="str">
        <f>IFERROR(__xludf.DUMMYFUNCTION("""COMPUTED_VALUE"""),"#N/A")</f>
        <v>#N/A</v>
      </c>
      <c r="D245" t="str">
        <f>IFERROR(__xludf.DUMMYFUNCTION("""COMPUTED_VALUE"""),"Eduonix Learning Solutions")</f>
        <v>Eduonix Learning Solutions</v>
      </c>
      <c r="E245" t="str">
        <f>IFERROR(__xludf.DUMMYFUNCTION("""COMPUTED_VALUE"""),"Y")</f>
        <v>Y</v>
      </c>
      <c r="G245" t="str">
        <f>IFERROR(__xludf.DUMMYFUNCTION("""COMPUTED_VALUE"""),"Y")</f>
        <v>Y</v>
      </c>
      <c r="H245" t="str">
        <f>IFERROR(__xludf.DUMMYFUNCTION("""COMPUTED_VALUE"""),"Outdated")</f>
        <v>Outdated</v>
      </c>
      <c r="I245" t="str">
        <f>IFERROR(__xludf.DUMMYFUNCTION("""COMPUTED_VALUE"""),"Development")</f>
        <v>Development</v>
      </c>
      <c r="J245" t="str">
        <f>IFERROR(__xludf.DUMMYFUNCTION("""COMPUTED_VALUE"""),"Mobile Development")</f>
        <v>Mobile Development</v>
      </c>
      <c r="K245" s="140">
        <f>IFERROR(__xludf.DUMMYFUNCTION("""COMPUTED_VALUE"""),1289478.0)</f>
        <v>1289478</v>
      </c>
      <c r="L245" s="140" t="str">
        <f>IFERROR(__xludf.DUMMYFUNCTION("""COMPUTED_VALUE"""),"")</f>
        <v/>
      </c>
      <c r="M245" s="140">
        <f>IFERROR(__xludf.DUMMYFUNCTION("""COMPUTED_VALUE"""),1253188.0)</f>
        <v>1253188</v>
      </c>
      <c r="N245" s="140" t="str">
        <f>IFERROR(__xludf.DUMMYFUNCTION("""COMPUTED_VALUE"""),"")</f>
        <v/>
      </c>
    </row>
    <row r="246">
      <c r="A246" s="143">
        <f>IFERROR(__xludf.DUMMYFUNCTION("""COMPUTED_VALUE"""),42886.0)</f>
        <v>42886</v>
      </c>
      <c r="B246" s="140">
        <f>IFERROR(__xludf.DUMMYFUNCTION("""COMPUTED_VALUE"""),672918.0)</f>
        <v>672918</v>
      </c>
      <c r="C246" s="140" t="str">
        <f>IFERROR(__xludf.DUMMYFUNCTION("""COMPUTED_VALUE"""),"#N/A")</f>
        <v>#N/A</v>
      </c>
      <c r="D246" t="str">
        <f>IFERROR(__xludf.DUMMYFUNCTION("""COMPUTED_VALUE"""),"Eduonix Learning Solutions")</f>
        <v>Eduonix Learning Solutions</v>
      </c>
      <c r="E246" t="str">
        <f>IFERROR(__xludf.DUMMYFUNCTION("""COMPUTED_VALUE"""),"Y")</f>
        <v>Y</v>
      </c>
      <c r="G246" t="str">
        <f>IFERROR(__xludf.DUMMYFUNCTION("""COMPUTED_VALUE"""),"Y")</f>
        <v>Y</v>
      </c>
      <c r="H246" t="str">
        <f>IFERROR(__xludf.DUMMYFUNCTION("""COMPUTED_VALUE"""),"Outdated")</f>
        <v>Outdated</v>
      </c>
      <c r="I246" t="str">
        <f>IFERROR(__xludf.DUMMYFUNCTION("""COMPUTED_VALUE"""),"Development")</f>
        <v>Development</v>
      </c>
      <c r="J246" t="str">
        <f>IFERROR(__xludf.DUMMYFUNCTION("""COMPUTED_VALUE"""),"Mobile Development")</f>
        <v>Mobile Development</v>
      </c>
      <c r="K246" s="140">
        <f>IFERROR(__xludf.DUMMYFUNCTION("""COMPUTED_VALUE"""),1253188.0)</f>
        <v>1253188</v>
      </c>
      <c r="L246" s="140" t="str">
        <f>IFERROR(__xludf.DUMMYFUNCTION("""COMPUTED_VALUE"""),"")</f>
        <v/>
      </c>
      <c r="N246" s="140" t="str">
        <f>IFERROR(__xludf.DUMMYFUNCTION("""COMPUTED_VALUE"""),"")</f>
        <v/>
      </c>
    </row>
    <row r="247">
      <c r="A247" s="143">
        <f>IFERROR(__xludf.DUMMYFUNCTION("""COMPUTED_VALUE"""),42886.0)</f>
        <v>42886</v>
      </c>
      <c r="B247" s="140">
        <f>IFERROR(__xludf.DUMMYFUNCTION("""COMPUTED_VALUE"""),310138.0)</f>
        <v>310138</v>
      </c>
      <c r="C247" s="140" t="str">
        <f>IFERROR(__xludf.DUMMYFUNCTION("""COMPUTED_VALUE"""),"#N/A")</f>
        <v>#N/A</v>
      </c>
      <c r="D247" t="str">
        <f>IFERROR(__xludf.DUMMYFUNCTION("""COMPUTED_VALUE"""),"John Bura")</f>
        <v>John Bura</v>
      </c>
      <c r="E247" t="str">
        <f>IFERROR(__xludf.DUMMYFUNCTION("""COMPUTED_VALUE"""),"Y")</f>
        <v>Y</v>
      </c>
      <c r="G247" t="str">
        <f>IFERROR(__xludf.DUMMYFUNCTION("""COMPUTED_VALUE"""),"Y")</f>
        <v>Y</v>
      </c>
      <c r="H247" t="str">
        <f>IFERROR(__xludf.DUMMYFUNCTION("""COMPUTED_VALUE"""),"Outdated")</f>
        <v>Outdated</v>
      </c>
      <c r="I247" t="str">
        <f>IFERROR(__xludf.DUMMYFUNCTION("""COMPUTED_VALUE"""),"Development")</f>
        <v>Development</v>
      </c>
      <c r="J247" t="str">
        <f>IFERROR(__xludf.DUMMYFUNCTION("""COMPUTED_VALUE"""),"Mobile Development")</f>
        <v>Mobile Development</v>
      </c>
      <c r="K247" s="140">
        <f>IFERROR(__xludf.DUMMYFUNCTION("""COMPUTED_VALUE"""),1289478.0)</f>
        <v>1289478</v>
      </c>
      <c r="L247" s="140" t="str">
        <f>IFERROR(__xludf.DUMMYFUNCTION("""COMPUTED_VALUE"""),"")</f>
        <v/>
      </c>
      <c r="M247" s="140">
        <f>IFERROR(__xludf.DUMMYFUNCTION("""COMPUTED_VALUE"""),1253188.0)</f>
        <v>1253188</v>
      </c>
      <c r="N247" s="140" t="str">
        <f>IFERROR(__xludf.DUMMYFUNCTION("""COMPUTED_VALUE"""),"")</f>
        <v/>
      </c>
    </row>
    <row r="248">
      <c r="A248" s="143">
        <f>IFERROR(__xludf.DUMMYFUNCTION("""COMPUTED_VALUE"""),42886.0)</f>
        <v>42886</v>
      </c>
      <c r="B248" s="140">
        <f>IFERROR(__xludf.DUMMYFUNCTION("""COMPUTED_VALUE"""),641752.0)</f>
        <v>641752</v>
      </c>
      <c r="C248" s="140" t="str">
        <f>IFERROR(__xludf.DUMMYFUNCTION("""COMPUTED_VALUE"""),"#N/A")</f>
        <v>#N/A</v>
      </c>
      <c r="D248" t="str">
        <f>IFERROR(__xludf.DUMMYFUNCTION("""COMPUTED_VALUE"""),"John Bura")</f>
        <v>John Bura</v>
      </c>
      <c r="E248" t="str">
        <f>IFERROR(__xludf.DUMMYFUNCTION("""COMPUTED_VALUE"""),"Y")</f>
        <v>Y</v>
      </c>
      <c r="G248" t="str">
        <f>IFERROR(__xludf.DUMMYFUNCTION("""COMPUTED_VALUE"""),"Y")</f>
        <v>Y</v>
      </c>
      <c r="H248" t="str">
        <f>IFERROR(__xludf.DUMMYFUNCTION("""COMPUTED_VALUE"""),"Outdated")</f>
        <v>Outdated</v>
      </c>
      <c r="I248" t="str">
        <f>IFERROR(__xludf.DUMMYFUNCTION("""COMPUTED_VALUE"""),"Development")</f>
        <v>Development</v>
      </c>
      <c r="J248" t="str">
        <f>IFERROR(__xludf.DUMMYFUNCTION("""COMPUTED_VALUE"""),"Mobile Development")</f>
        <v>Mobile Development</v>
      </c>
      <c r="K248" s="140">
        <f>IFERROR(__xludf.DUMMYFUNCTION("""COMPUTED_VALUE"""),1253188.0)</f>
        <v>1253188</v>
      </c>
      <c r="L248" s="140" t="str">
        <f>IFERROR(__xludf.DUMMYFUNCTION("""COMPUTED_VALUE"""),"")</f>
        <v/>
      </c>
      <c r="N248" s="140" t="str">
        <f>IFERROR(__xludf.DUMMYFUNCTION("""COMPUTED_VALUE"""),"")</f>
        <v/>
      </c>
    </row>
    <row r="249">
      <c r="A249" s="143">
        <f>IFERROR(__xludf.DUMMYFUNCTION("""COMPUTED_VALUE"""),42886.0)</f>
        <v>42886</v>
      </c>
      <c r="B249" s="140">
        <f>IFERROR(__xludf.DUMMYFUNCTION("""COMPUTED_VALUE"""),550484.0)</f>
        <v>550484</v>
      </c>
      <c r="C249" s="140" t="str">
        <f>IFERROR(__xludf.DUMMYFUNCTION("""COMPUTED_VALUE"""),"#N/A")</f>
        <v>#N/A</v>
      </c>
      <c r="D249" t="str">
        <f>IFERROR(__xludf.DUMMYFUNCTION("""COMPUTED_VALUE"""),"John Bura")</f>
        <v>John Bura</v>
      </c>
      <c r="E249" t="str">
        <f>IFERROR(__xludf.DUMMYFUNCTION("""COMPUTED_VALUE"""),"Y")</f>
        <v>Y</v>
      </c>
      <c r="G249" t="str">
        <f>IFERROR(__xludf.DUMMYFUNCTION("""COMPUTED_VALUE"""),"Y")</f>
        <v>Y</v>
      </c>
      <c r="H249" t="str">
        <f>IFERROR(__xludf.DUMMYFUNCTION("""COMPUTED_VALUE"""),"Outdated")</f>
        <v>Outdated</v>
      </c>
      <c r="I249" t="str">
        <f>IFERROR(__xludf.DUMMYFUNCTION("""COMPUTED_VALUE"""),"Development")</f>
        <v>Development</v>
      </c>
      <c r="J249" t="str">
        <f>IFERROR(__xludf.DUMMYFUNCTION("""COMPUTED_VALUE"""),"Mobile Development")</f>
        <v>Mobile Development</v>
      </c>
      <c r="K249" s="140">
        <f>IFERROR(__xludf.DUMMYFUNCTION("""COMPUTED_VALUE"""),1253188.0)</f>
        <v>1253188</v>
      </c>
      <c r="L249" s="140" t="str">
        <f>IFERROR(__xludf.DUMMYFUNCTION("""COMPUTED_VALUE"""),"")</f>
        <v/>
      </c>
      <c r="N249" s="140" t="str">
        <f>IFERROR(__xludf.DUMMYFUNCTION("""COMPUTED_VALUE"""),"")</f>
        <v/>
      </c>
    </row>
    <row r="250">
      <c r="A250" s="143">
        <f>IFERROR(__xludf.DUMMYFUNCTION("""COMPUTED_VALUE"""),42886.0)</f>
        <v>42886</v>
      </c>
      <c r="B250" s="140">
        <f>IFERROR(__xludf.DUMMYFUNCTION("""COMPUTED_VALUE"""),521250.0)</f>
        <v>521250</v>
      </c>
      <c r="C250" s="140" t="str">
        <f>IFERROR(__xludf.DUMMYFUNCTION("""COMPUTED_VALUE"""),"#N/A")</f>
        <v>#N/A</v>
      </c>
      <c r="D250" t="str">
        <f>IFERROR(__xludf.DUMMYFUNCTION("""COMPUTED_VALUE"""),"John Bura")</f>
        <v>John Bura</v>
      </c>
      <c r="E250" t="str">
        <f>IFERROR(__xludf.DUMMYFUNCTION("""COMPUTED_VALUE"""),"Y")</f>
        <v>Y</v>
      </c>
      <c r="G250" t="str">
        <f>IFERROR(__xludf.DUMMYFUNCTION("""COMPUTED_VALUE"""),"Y")</f>
        <v>Y</v>
      </c>
      <c r="H250" t="str">
        <f>IFERROR(__xludf.DUMMYFUNCTION("""COMPUTED_VALUE"""),"Below Quality Standards")</f>
        <v>Below Quality Standards</v>
      </c>
      <c r="I250" t="str">
        <f>IFERROR(__xludf.DUMMYFUNCTION("""COMPUTED_VALUE"""),"Development")</f>
        <v>Development</v>
      </c>
      <c r="J250" t="str">
        <f>IFERROR(__xludf.DUMMYFUNCTION("""COMPUTED_VALUE"""),"Mobile Development")</f>
        <v>Mobile Development</v>
      </c>
      <c r="K250" s="140">
        <f>IFERROR(__xludf.DUMMYFUNCTION("""COMPUTED_VALUE"""),636120.0)</f>
        <v>636120</v>
      </c>
      <c r="L250" s="140" t="str">
        <f>IFERROR(__xludf.DUMMYFUNCTION("""COMPUTED_VALUE"""),"")</f>
        <v/>
      </c>
      <c r="N250" s="140" t="str">
        <f>IFERROR(__xludf.DUMMYFUNCTION("""COMPUTED_VALUE"""),"")</f>
        <v/>
      </c>
    </row>
    <row r="251">
      <c r="A251" s="143">
        <f>IFERROR(__xludf.DUMMYFUNCTION("""COMPUTED_VALUE"""),42886.0)</f>
        <v>42886</v>
      </c>
      <c r="B251" s="140">
        <f>IFERROR(__xludf.DUMMYFUNCTION("""COMPUTED_VALUE"""),626728.0)</f>
        <v>626728</v>
      </c>
      <c r="C251" s="140" t="str">
        <f>IFERROR(__xludf.DUMMYFUNCTION("""COMPUTED_VALUE"""),"#N/A")</f>
        <v>#N/A</v>
      </c>
      <c r="D251" t="str">
        <f>IFERROR(__xludf.DUMMYFUNCTION("""COMPUTED_VALUE"""),"Eduonix Learning Solutions")</f>
        <v>Eduonix Learning Solutions</v>
      </c>
      <c r="E251" t="str">
        <f>IFERROR(__xludf.DUMMYFUNCTION("""COMPUTED_VALUE"""),"Y")</f>
        <v>Y</v>
      </c>
      <c r="G251" t="str">
        <f>IFERROR(__xludf.DUMMYFUNCTION("""COMPUTED_VALUE"""),"Y")</f>
        <v>Y</v>
      </c>
      <c r="H251" t="str">
        <f>IFERROR(__xludf.DUMMYFUNCTION("""COMPUTED_VALUE"""),"Outdated")</f>
        <v>Outdated</v>
      </c>
      <c r="I251" t="str">
        <f>IFERROR(__xludf.DUMMYFUNCTION("""COMPUTED_VALUE"""),"Development")</f>
        <v>Development</v>
      </c>
      <c r="J251" t="str">
        <f>IFERROR(__xludf.DUMMYFUNCTION("""COMPUTED_VALUE"""),"Mobile Development")</f>
        <v>Mobile Development</v>
      </c>
      <c r="K251" s="140">
        <f>IFERROR(__xludf.DUMMYFUNCTION("""COMPUTED_VALUE"""),951618.0)</f>
        <v>951618</v>
      </c>
      <c r="L251" s="140" t="str">
        <f>IFERROR(__xludf.DUMMYFUNCTION("""COMPUTED_VALUE"""),"")</f>
        <v/>
      </c>
      <c r="N251" s="140" t="str">
        <f>IFERROR(__xludf.DUMMYFUNCTION("""COMPUTED_VALUE"""),"")</f>
        <v/>
      </c>
    </row>
    <row r="252">
      <c r="A252" s="143">
        <f>IFERROR(__xludf.DUMMYFUNCTION("""COMPUTED_VALUE"""),42886.0)</f>
        <v>42886</v>
      </c>
      <c r="B252" s="140">
        <f>IFERROR(__xludf.DUMMYFUNCTION("""COMPUTED_VALUE"""),695492.0)</f>
        <v>695492</v>
      </c>
      <c r="C252" s="140" t="str">
        <f>IFERROR(__xludf.DUMMYFUNCTION("""COMPUTED_VALUE"""),"#N/A")</f>
        <v>#N/A</v>
      </c>
      <c r="D252" t="str">
        <f>IFERROR(__xludf.DUMMYFUNCTION("""COMPUTED_VALUE"""),"Mr Grant Klimaytys")</f>
        <v>Mr Grant Klimaytys</v>
      </c>
      <c r="E252" t="str">
        <f>IFERROR(__xludf.DUMMYFUNCTION("""COMPUTED_VALUE"""),"Y")</f>
        <v>Y</v>
      </c>
      <c r="G252" t="str">
        <f>IFERROR(__xludf.DUMMYFUNCTION("""COMPUTED_VALUE"""),"Y")</f>
        <v>Y</v>
      </c>
      <c r="H252" t="str">
        <f>IFERROR(__xludf.DUMMYFUNCTION("""COMPUTED_VALUE"""),"Below Quality Standards")</f>
        <v>Below Quality Standards</v>
      </c>
      <c r="I252" t="str">
        <f>IFERROR(__xludf.DUMMYFUNCTION("""COMPUTED_VALUE"""),"Development")</f>
        <v>Development</v>
      </c>
      <c r="J252" t="str">
        <f>IFERROR(__xludf.DUMMYFUNCTION("""COMPUTED_VALUE"""),"Mobile Development")</f>
        <v>Mobile Development</v>
      </c>
      <c r="K252" s="140">
        <f>IFERROR(__xludf.DUMMYFUNCTION("""COMPUTED_VALUE"""),1253188.0)</f>
        <v>1253188</v>
      </c>
      <c r="L252" s="140" t="str">
        <f>IFERROR(__xludf.DUMMYFUNCTION("""COMPUTED_VALUE"""),"")</f>
        <v/>
      </c>
      <c r="N252" s="140" t="str">
        <f>IFERROR(__xludf.DUMMYFUNCTION("""COMPUTED_VALUE"""),"")</f>
        <v/>
      </c>
    </row>
    <row r="253">
      <c r="A253" s="143">
        <f>IFERROR(__xludf.DUMMYFUNCTION("""COMPUTED_VALUE"""),42886.0)</f>
        <v>42886</v>
      </c>
      <c r="B253" s="140">
        <f>IFERROR(__xludf.DUMMYFUNCTION("""COMPUTED_VALUE"""),235886.0)</f>
        <v>235886</v>
      </c>
      <c r="C253" s="140" t="str">
        <f>IFERROR(__xludf.DUMMYFUNCTION("""COMPUTED_VALUE"""),"#N/A")</f>
        <v>#N/A</v>
      </c>
      <c r="D253" t="str">
        <f>IFERROR(__xludf.DUMMYFUNCTION("""COMPUTED_VALUE"""),"Nick Walter")</f>
        <v>Nick Walter</v>
      </c>
      <c r="E253" t="str">
        <f>IFERROR(__xludf.DUMMYFUNCTION("""COMPUTED_VALUE"""),"Y")</f>
        <v>Y</v>
      </c>
      <c r="G253" t="str">
        <f>IFERROR(__xludf.DUMMYFUNCTION("""COMPUTED_VALUE"""),"Y")</f>
        <v>Y</v>
      </c>
      <c r="H253" t="str">
        <f>IFERROR(__xludf.DUMMYFUNCTION("""COMPUTED_VALUE"""),"Outdated")</f>
        <v>Outdated</v>
      </c>
      <c r="I253" t="str">
        <f>IFERROR(__xludf.DUMMYFUNCTION("""COMPUTED_VALUE"""),"Development")</f>
        <v>Development</v>
      </c>
      <c r="J253" t="str">
        <f>IFERROR(__xludf.DUMMYFUNCTION("""COMPUTED_VALUE"""),"Mobile Development")</f>
        <v>Mobile Development</v>
      </c>
      <c r="K253" s="140">
        <f>IFERROR(__xludf.DUMMYFUNCTION("""COMPUTED_VALUE"""),1289478.0)</f>
        <v>1289478</v>
      </c>
      <c r="L253" s="140" t="str">
        <f>IFERROR(__xludf.DUMMYFUNCTION("""COMPUTED_VALUE"""),"")</f>
        <v/>
      </c>
      <c r="M253" s="140">
        <f>IFERROR(__xludf.DUMMYFUNCTION("""COMPUTED_VALUE"""),1253188.0)</f>
        <v>1253188</v>
      </c>
      <c r="N253" s="140" t="str">
        <f>IFERROR(__xludf.DUMMYFUNCTION("""COMPUTED_VALUE"""),"")</f>
        <v/>
      </c>
    </row>
    <row r="254">
      <c r="A254" s="143">
        <f>IFERROR(__xludf.DUMMYFUNCTION("""COMPUTED_VALUE"""),42886.0)</f>
        <v>42886</v>
      </c>
      <c r="B254" s="140">
        <f>IFERROR(__xludf.DUMMYFUNCTION("""COMPUTED_VALUE"""),733174.0)</f>
        <v>733174</v>
      </c>
      <c r="C254" s="140" t="str">
        <f>IFERROR(__xludf.DUMMYFUNCTION("""COMPUTED_VALUE"""),"#N/A")</f>
        <v>#N/A</v>
      </c>
      <c r="D254" t="str">
        <f>IFERROR(__xludf.DUMMYFUNCTION("""COMPUTED_VALUE"""),"John Bura")</f>
        <v>John Bura</v>
      </c>
      <c r="E254" t="str">
        <f>IFERROR(__xludf.DUMMYFUNCTION("""COMPUTED_VALUE"""),"Y")</f>
        <v>Y</v>
      </c>
      <c r="G254" t="str">
        <f>IFERROR(__xludf.DUMMYFUNCTION("""COMPUTED_VALUE"""),"Y")</f>
        <v>Y</v>
      </c>
      <c r="H254" t="str">
        <f>IFERROR(__xludf.DUMMYFUNCTION("""COMPUTED_VALUE"""),"Below Quality Standards")</f>
        <v>Below Quality Standards</v>
      </c>
      <c r="I254" t="str">
        <f>IFERROR(__xludf.DUMMYFUNCTION("""COMPUTED_VALUE"""),"Development")</f>
        <v>Development</v>
      </c>
      <c r="J254" t="str">
        <f>IFERROR(__xludf.DUMMYFUNCTION("""COMPUTED_VALUE"""),"Mobile Development")</f>
        <v>Mobile Development</v>
      </c>
      <c r="K254" s="140">
        <f>IFERROR(__xludf.DUMMYFUNCTION("""COMPUTED_VALUE"""),739926.0)</f>
        <v>739926</v>
      </c>
      <c r="L254" s="140" t="str">
        <f>IFERROR(__xludf.DUMMYFUNCTION("""COMPUTED_VALUE"""),"")</f>
        <v/>
      </c>
      <c r="N254" s="140" t="str">
        <f>IFERROR(__xludf.DUMMYFUNCTION("""COMPUTED_VALUE"""),"")</f>
        <v/>
      </c>
    </row>
    <row r="255">
      <c r="A255" s="143">
        <f>IFERROR(__xludf.DUMMYFUNCTION("""COMPUTED_VALUE"""),42886.0)</f>
        <v>42886</v>
      </c>
      <c r="B255" s="140">
        <f>IFERROR(__xludf.DUMMYFUNCTION("""COMPUTED_VALUE"""),675632.0)</f>
        <v>675632</v>
      </c>
      <c r="C255" s="140" t="str">
        <f>IFERROR(__xludf.DUMMYFUNCTION("""COMPUTED_VALUE"""),"#N/A")</f>
        <v>#N/A</v>
      </c>
      <c r="D255" t="str">
        <f>IFERROR(__xludf.DUMMYFUNCTION("""COMPUTED_VALUE"""),"John Bura")</f>
        <v>John Bura</v>
      </c>
      <c r="E255" t="str">
        <f>IFERROR(__xludf.DUMMYFUNCTION("""COMPUTED_VALUE"""),"Y")</f>
        <v>Y</v>
      </c>
      <c r="G255" t="str">
        <f>IFERROR(__xludf.DUMMYFUNCTION("""COMPUTED_VALUE"""),"Y")</f>
        <v>Y</v>
      </c>
      <c r="H255" t="str">
        <f>IFERROR(__xludf.DUMMYFUNCTION("""COMPUTED_VALUE"""),"Below Quality Standards")</f>
        <v>Below Quality Standards</v>
      </c>
      <c r="I255" t="str">
        <f>IFERROR(__xludf.DUMMYFUNCTION("""COMPUTED_VALUE"""),"Development")</f>
        <v>Development</v>
      </c>
      <c r="J255" t="str">
        <f>IFERROR(__xludf.DUMMYFUNCTION("""COMPUTED_VALUE"""),"Mobile Development")</f>
        <v>Mobile Development</v>
      </c>
      <c r="K255" s="140">
        <f>IFERROR(__xludf.DUMMYFUNCTION("""COMPUTED_VALUE"""),526534.0)</f>
        <v>526534</v>
      </c>
      <c r="L255" s="140" t="str">
        <f>IFERROR(__xludf.DUMMYFUNCTION("""COMPUTED_VALUE"""),"")</f>
        <v/>
      </c>
      <c r="N255" s="140" t="str">
        <f>IFERROR(__xludf.DUMMYFUNCTION("""COMPUTED_VALUE"""),"")</f>
        <v/>
      </c>
    </row>
    <row r="256">
      <c r="A256" s="143">
        <f>IFERROR(__xludf.DUMMYFUNCTION("""COMPUTED_VALUE"""),42886.0)</f>
        <v>42886</v>
      </c>
      <c r="B256" s="140">
        <f>IFERROR(__xludf.DUMMYFUNCTION("""COMPUTED_VALUE"""),144252.0)</f>
        <v>144252</v>
      </c>
      <c r="C256" s="140" t="str">
        <f>IFERROR(__xludf.DUMMYFUNCTION("""COMPUTED_VALUE"""),"#N/A")</f>
        <v>#N/A</v>
      </c>
      <c r="D256" t="str">
        <f>IFERROR(__xludf.DUMMYFUNCTION("""COMPUTED_VALUE"""),"Mr. John Omar")</f>
        <v>Mr. John Omar</v>
      </c>
      <c r="E256" t="str">
        <f>IFERROR(__xludf.DUMMYFUNCTION("""COMPUTED_VALUE"""),"Y")</f>
        <v>Y</v>
      </c>
      <c r="G256" t="str">
        <f>IFERROR(__xludf.DUMMYFUNCTION("""COMPUTED_VALUE"""),"Y")</f>
        <v>Y</v>
      </c>
      <c r="H256" t="str">
        <f>IFERROR(__xludf.DUMMYFUNCTION("""COMPUTED_VALUE"""),"Outdated")</f>
        <v>Outdated</v>
      </c>
      <c r="I256" t="str">
        <f>IFERROR(__xludf.DUMMYFUNCTION("""COMPUTED_VALUE"""),"Development")</f>
        <v>Development</v>
      </c>
      <c r="J256" t="str">
        <f>IFERROR(__xludf.DUMMYFUNCTION("""COMPUTED_VALUE"""),"Mobile Development")</f>
        <v>Mobile Development</v>
      </c>
      <c r="K256" s="140">
        <f>IFERROR(__xludf.DUMMYFUNCTION("""COMPUTED_VALUE"""),1253188.0)</f>
        <v>1253188</v>
      </c>
      <c r="L256" s="140" t="str">
        <f>IFERROR(__xludf.DUMMYFUNCTION("""COMPUTED_VALUE"""),"")</f>
        <v/>
      </c>
      <c r="N256" s="140" t="str">
        <f>IFERROR(__xludf.DUMMYFUNCTION("""COMPUTED_VALUE"""),"")</f>
        <v/>
      </c>
    </row>
    <row r="257">
      <c r="A257" s="143">
        <f>IFERROR(__xludf.DUMMYFUNCTION("""COMPUTED_VALUE"""),42886.0)</f>
        <v>42886</v>
      </c>
      <c r="B257" s="140">
        <f>IFERROR(__xludf.DUMMYFUNCTION("""COMPUTED_VALUE"""),535034.0)</f>
        <v>535034</v>
      </c>
      <c r="C257" s="140" t="str">
        <f>IFERROR(__xludf.DUMMYFUNCTION("""COMPUTED_VALUE"""),"#N/A")</f>
        <v>#N/A</v>
      </c>
      <c r="D257" t="str">
        <f>IFERROR(__xludf.DUMMYFUNCTION("""COMPUTED_VALUE"""),"Aaron Caines")</f>
        <v>Aaron Caines</v>
      </c>
      <c r="E257" t="str">
        <f>IFERROR(__xludf.DUMMYFUNCTION("""COMPUTED_VALUE"""),"Y")</f>
        <v>Y</v>
      </c>
      <c r="G257" t="str">
        <f>IFERROR(__xludf.DUMMYFUNCTION("""COMPUTED_VALUE"""),"Y")</f>
        <v>Y</v>
      </c>
      <c r="H257" t="str">
        <f>IFERROR(__xludf.DUMMYFUNCTION("""COMPUTED_VALUE"""),"Outdated")</f>
        <v>Outdated</v>
      </c>
      <c r="I257" t="str">
        <f>IFERROR(__xludf.DUMMYFUNCTION("""COMPUTED_VALUE"""),"Development")</f>
        <v>Development</v>
      </c>
      <c r="J257" t="str">
        <f>IFERROR(__xludf.DUMMYFUNCTION("""COMPUTED_VALUE"""),"Mobile Development")</f>
        <v>Mobile Development</v>
      </c>
      <c r="K257" s="140">
        <f>IFERROR(__xludf.DUMMYFUNCTION("""COMPUTED_VALUE"""),1253188.0)</f>
        <v>1253188</v>
      </c>
      <c r="L257" s="140" t="str">
        <f>IFERROR(__xludf.DUMMYFUNCTION("""COMPUTED_VALUE"""),"")</f>
        <v/>
      </c>
      <c r="N257" s="140" t="str">
        <f>IFERROR(__xludf.DUMMYFUNCTION("""COMPUTED_VALUE"""),"")</f>
        <v/>
      </c>
    </row>
    <row r="258">
      <c r="A258" s="143">
        <f>IFERROR(__xludf.DUMMYFUNCTION("""COMPUTED_VALUE"""),42886.0)</f>
        <v>42886</v>
      </c>
      <c r="B258" s="140">
        <f>IFERROR(__xludf.DUMMYFUNCTION("""COMPUTED_VALUE"""),590992.0)</f>
        <v>590992</v>
      </c>
      <c r="C258" s="140" t="str">
        <f>IFERROR(__xludf.DUMMYFUNCTION("""COMPUTED_VALUE"""),"#N/A")</f>
        <v>#N/A</v>
      </c>
      <c r="D258" t="str">
        <f>IFERROR(__xludf.DUMMYFUNCTION("""COMPUTED_VALUE"""),"John Bura")</f>
        <v>John Bura</v>
      </c>
      <c r="E258" t="str">
        <f>IFERROR(__xludf.DUMMYFUNCTION("""COMPUTED_VALUE"""),"Y")</f>
        <v>Y</v>
      </c>
      <c r="G258" t="str">
        <f>IFERROR(__xludf.DUMMYFUNCTION("""COMPUTED_VALUE"""),"Y")</f>
        <v>Y</v>
      </c>
      <c r="H258" t="str">
        <f>IFERROR(__xludf.DUMMYFUNCTION("""COMPUTED_VALUE"""),"Outdated")</f>
        <v>Outdated</v>
      </c>
      <c r="I258" t="str">
        <f>IFERROR(__xludf.DUMMYFUNCTION("""COMPUTED_VALUE"""),"Development")</f>
        <v>Development</v>
      </c>
      <c r="J258" t="str">
        <f>IFERROR(__xludf.DUMMYFUNCTION("""COMPUTED_VALUE"""),"Mobile Development")</f>
        <v>Mobile Development</v>
      </c>
      <c r="K258" s="140">
        <f>IFERROR(__xludf.DUMMYFUNCTION("""COMPUTED_VALUE"""),1289478.0)</f>
        <v>1289478</v>
      </c>
      <c r="L258" s="140" t="str">
        <f>IFERROR(__xludf.DUMMYFUNCTION("""COMPUTED_VALUE"""),"")</f>
        <v/>
      </c>
      <c r="M258" s="140">
        <f>IFERROR(__xludf.DUMMYFUNCTION("""COMPUTED_VALUE"""),1253188.0)</f>
        <v>1253188</v>
      </c>
      <c r="N258" s="140" t="str">
        <f>IFERROR(__xludf.DUMMYFUNCTION("""COMPUTED_VALUE"""),"")</f>
        <v/>
      </c>
    </row>
    <row r="259">
      <c r="A259" s="143">
        <f>IFERROR(__xludf.DUMMYFUNCTION("""COMPUTED_VALUE"""),42886.0)</f>
        <v>42886</v>
      </c>
      <c r="B259" s="140">
        <f>IFERROR(__xludf.DUMMYFUNCTION("""COMPUTED_VALUE"""),367686.0)</f>
        <v>367686</v>
      </c>
      <c r="C259" s="140" t="str">
        <f>IFERROR(__xludf.DUMMYFUNCTION("""COMPUTED_VALUE"""),"#N/A")</f>
        <v>#N/A</v>
      </c>
      <c r="D259" t="str">
        <f>IFERROR(__xludf.DUMMYFUNCTION("""COMPUTED_VALUE"""),"Aaron Caines")</f>
        <v>Aaron Caines</v>
      </c>
      <c r="E259" t="str">
        <f>IFERROR(__xludf.DUMMYFUNCTION("""COMPUTED_VALUE"""),"Y")</f>
        <v>Y</v>
      </c>
      <c r="G259" t="str">
        <f>IFERROR(__xludf.DUMMYFUNCTION("""COMPUTED_VALUE"""),"Y")</f>
        <v>Y</v>
      </c>
      <c r="H259" t="str">
        <f>IFERROR(__xludf.DUMMYFUNCTION("""COMPUTED_VALUE"""),"Outdated")</f>
        <v>Outdated</v>
      </c>
      <c r="I259" t="str">
        <f>IFERROR(__xludf.DUMMYFUNCTION("""COMPUTED_VALUE"""),"Development")</f>
        <v>Development</v>
      </c>
      <c r="J259" t="str">
        <f>IFERROR(__xludf.DUMMYFUNCTION("""COMPUTED_VALUE"""),"Mobile Development")</f>
        <v>Mobile Development</v>
      </c>
      <c r="K259" s="140">
        <f>IFERROR(__xludf.DUMMYFUNCTION("""COMPUTED_VALUE"""),1289478.0)</f>
        <v>1289478</v>
      </c>
      <c r="L259" s="140" t="str">
        <f>IFERROR(__xludf.DUMMYFUNCTION("""COMPUTED_VALUE"""),"")</f>
        <v/>
      </c>
      <c r="M259" s="140">
        <f>IFERROR(__xludf.DUMMYFUNCTION("""COMPUTED_VALUE"""),1253188.0)</f>
        <v>1253188</v>
      </c>
      <c r="N259" s="140" t="str">
        <f>IFERROR(__xludf.DUMMYFUNCTION("""COMPUTED_VALUE"""),"")</f>
        <v/>
      </c>
    </row>
    <row r="260">
      <c r="A260" s="143">
        <f>IFERROR(__xludf.DUMMYFUNCTION("""COMPUTED_VALUE"""),42886.0)</f>
        <v>42886</v>
      </c>
      <c r="B260" s="140">
        <f>IFERROR(__xludf.DUMMYFUNCTION("""COMPUTED_VALUE"""),591156.0)</f>
        <v>591156</v>
      </c>
      <c r="C260" s="140" t="str">
        <f>IFERROR(__xludf.DUMMYFUNCTION("""COMPUTED_VALUE"""),"#N/A")</f>
        <v>#N/A</v>
      </c>
      <c r="D260" t="str">
        <f>IFERROR(__xludf.DUMMYFUNCTION("""COMPUTED_VALUE"""),"John Bura")</f>
        <v>John Bura</v>
      </c>
      <c r="E260" t="str">
        <f>IFERROR(__xludf.DUMMYFUNCTION("""COMPUTED_VALUE"""),"Y")</f>
        <v>Y</v>
      </c>
      <c r="G260" t="str">
        <f>IFERROR(__xludf.DUMMYFUNCTION("""COMPUTED_VALUE"""),"Y")</f>
        <v>Y</v>
      </c>
      <c r="H260" t="str">
        <f>IFERROR(__xludf.DUMMYFUNCTION("""COMPUTED_VALUE"""),"Outdated")</f>
        <v>Outdated</v>
      </c>
      <c r="I260" t="str">
        <f>IFERROR(__xludf.DUMMYFUNCTION("""COMPUTED_VALUE"""),"Development")</f>
        <v>Development</v>
      </c>
      <c r="J260" t="str">
        <f>IFERROR(__xludf.DUMMYFUNCTION("""COMPUTED_VALUE"""),"Mobile Development")</f>
        <v>Mobile Development</v>
      </c>
      <c r="K260" s="140">
        <f>IFERROR(__xludf.DUMMYFUNCTION("""COMPUTED_VALUE"""),970894.0)</f>
        <v>970894</v>
      </c>
      <c r="L260" s="140" t="str">
        <f>IFERROR(__xludf.DUMMYFUNCTION("""COMPUTED_VALUE"""),"")</f>
        <v/>
      </c>
      <c r="N260" s="140" t="str">
        <f>IFERROR(__xludf.DUMMYFUNCTION("""COMPUTED_VALUE"""),"")</f>
        <v/>
      </c>
    </row>
    <row r="261">
      <c r="A261" s="143">
        <f>IFERROR(__xludf.DUMMYFUNCTION("""COMPUTED_VALUE"""),42886.0)</f>
        <v>42886</v>
      </c>
      <c r="B261" s="140">
        <f>IFERROR(__xludf.DUMMYFUNCTION("""COMPUTED_VALUE"""),591112.0)</f>
        <v>591112</v>
      </c>
      <c r="C261" s="140" t="str">
        <f>IFERROR(__xludf.DUMMYFUNCTION("""COMPUTED_VALUE"""),"#N/A")</f>
        <v>#N/A</v>
      </c>
      <c r="D261" t="str">
        <f>IFERROR(__xludf.DUMMYFUNCTION("""COMPUTED_VALUE"""),"John Bura")</f>
        <v>John Bura</v>
      </c>
      <c r="E261" t="str">
        <f>IFERROR(__xludf.DUMMYFUNCTION("""COMPUTED_VALUE"""),"Y")</f>
        <v>Y</v>
      </c>
      <c r="G261" t="str">
        <f>IFERROR(__xludf.DUMMYFUNCTION("""COMPUTED_VALUE"""),"Y")</f>
        <v>Y</v>
      </c>
      <c r="H261" t="str">
        <f>IFERROR(__xludf.DUMMYFUNCTION("""COMPUTED_VALUE"""),"Outdated")</f>
        <v>Outdated</v>
      </c>
      <c r="I261" t="str">
        <f>IFERROR(__xludf.DUMMYFUNCTION("""COMPUTED_VALUE"""),"Development")</f>
        <v>Development</v>
      </c>
      <c r="J261" t="str">
        <f>IFERROR(__xludf.DUMMYFUNCTION("""COMPUTED_VALUE"""),"Mobile Development")</f>
        <v>Mobile Development</v>
      </c>
      <c r="K261" s="140">
        <f>IFERROR(__xludf.DUMMYFUNCTION("""COMPUTED_VALUE"""),1253188.0)</f>
        <v>1253188</v>
      </c>
      <c r="L261" s="140" t="str">
        <f>IFERROR(__xludf.DUMMYFUNCTION("""COMPUTED_VALUE"""),"")</f>
        <v/>
      </c>
      <c r="N261" s="140" t="str">
        <f>IFERROR(__xludf.DUMMYFUNCTION("""COMPUTED_VALUE"""),"")</f>
        <v/>
      </c>
    </row>
    <row r="262">
      <c r="A262" s="143">
        <f>IFERROR(__xludf.DUMMYFUNCTION("""COMPUTED_VALUE"""),42886.0)</f>
        <v>42886</v>
      </c>
      <c r="B262" s="140">
        <f>IFERROR(__xludf.DUMMYFUNCTION("""COMPUTED_VALUE"""),648898.0)</f>
        <v>648898</v>
      </c>
      <c r="C262" s="140" t="str">
        <f>IFERROR(__xludf.DUMMYFUNCTION("""COMPUTED_VALUE"""),"#N/A")</f>
        <v>#N/A</v>
      </c>
      <c r="D262" t="str">
        <f>IFERROR(__xludf.DUMMYFUNCTION("""COMPUTED_VALUE"""),"Aaron Caines")</f>
        <v>Aaron Caines</v>
      </c>
      <c r="E262" t="str">
        <f>IFERROR(__xludf.DUMMYFUNCTION("""COMPUTED_VALUE"""),"Y")</f>
        <v>Y</v>
      </c>
      <c r="G262" t="str">
        <f>IFERROR(__xludf.DUMMYFUNCTION("""COMPUTED_VALUE"""),"Y")</f>
        <v>Y</v>
      </c>
      <c r="H262" t="str">
        <f>IFERROR(__xludf.DUMMYFUNCTION("""COMPUTED_VALUE"""),"Outdated")</f>
        <v>Outdated</v>
      </c>
      <c r="I262" t="str">
        <f>IFERROR(__xludf.DUMMYFUNCTION("""COMPUTED_VALUE"""),"Development")</f>
        <v>Development</v>
      </c>
      <c r="J262" t="str">
        <f>IFERROR(__xludf.DUMMYFUNCTION("""COMPUTED_VALUE"""),"Mobile Development")</f>
        <v>Mobile Development</v>
      </c>
      <c r="K262" s="140">
        <f>IFERROR(__xludf.DUMMYFUNCTION("""COMPUTED_VALUE"""),611936.0)</f>
        <v>611936</v>
      </c>
      <c r="L262" s="140" t="str">
        <f>IFERROR(__xludf.DUMMYFUNCTION("""COMPUTED_VALUE"""),"")</f>
        <v/>
      </c>
      <c r="N262" s="140" t="str">
        <f>IFERROR(__xludf.DUMMYFUNCTION("""COMPUTED_VALUE"""),"")</f>
        <v/>
      </c>
    </row>
    <row r="263">
      <c r="A263" s="143">
        <f>IFERROR(__xludf.DUMMYFUNCTION("""COMPUTED_VALUE"""),42886.0)</f>
        <v>42886</v>
      </c>
      <c r="B263" s="140">
        <f>IFERROR(__xludf.DUMMYFUNCTION("""COMPUTED_VALUE"""),581256.0)</f>
        <v>581256</v>
      </c>
      <c r="C263" s="140" t="str">
        <f>IFERROR(__xludf.DUMMYFUNCTION("""COMPUTED_VALUE"""),"#N/A")</f>
        <v>#N/A</v>
      </c>
      <c r="D263" t="str">
        <f>IFERROR(__xludf.DUMMYFUNCTION("""COMPUTED_VALUE"""),"BlueApple Courses")</f>
        <v>BlueApple Courses</v>
      </c>
      <c r="E263" t="str">
        <f>IFERROR(__xludf.DUMMYFUNCTION("""COMPUTED_VALUE"""),"Y")</f>
        <v>Y</v>
      </c>
      <c r="G263" t="str">
        <f>IFERROR(__xludf.DUMMYFUNCTION("""COMPUTED_VALUE"""),"Y")</f>
        <v>Y</v>
      </c>
      <c r="H263" t="str">
        <f>IFERROR(__xludf.DUMMYFUNCTION("""COMPUTED_VALUE"""),"Below Quality Standards")</f>
        <v>Below Quality Standards</v>
      </c>
      <c r="I263" t="str">
        <f>IFERROR(__xludf.DUMMYFUNCTION("""COMPUTED_VALUE"""),"Development")</f>
        <v>Development</v>
      </c>
      <c r="J263" t="str">
        <f>IFERROR(__xludf.DUMMYFUNCTION("""COMPUTED_VALUE"""),"Web Development")</f>
        <v>Web Development</v>
      </c>
      <c r="K263" s="140">
        <f>IFERROR(__xludf.DUMMYFUNCTION("""COMPUTED_VALUE"""),1019276.0)</f>
        <v>1019276</v>
      </c>
      <c r="L263" s="140" t="str">
        <f>IFERROR(__xludf.DUMMYFUNCTION("""COMPUTED_VALUE"""),"")</f>
        <v/>
      </c>
      <c r="N263" s="140" t="str">
        <f>IFERROR(__xludf.DUMMYFUNCTION("""COMPUTED_VALUE"""),"")</f>
        <v/>
      </c>
    </row>
    <row r="264">
      <c r="A264" s="143">
        <f>IFERROR(__xludf.DUMMYFUNCTION("""COMPUTED_VALUE"""),42886.0)</f>
        <v>42886</v>
      </c>
      <c r="B264" s="140">
        <f>IFERROR(__xludf.DUMMYFUNCTION("""COMPUTED_VALUE"""),506514.0)</f>
        <v>506514</v>
      </c>
      <c r="C264" s="140" t="str">
        <f>IFERROR(__xludf.DUMMYFUNCTION("""COMPUTED_VALUE"""),"#N/A")</f>
        <v>#N/A</v>
      </c>
      <c r="D264" t="str">
        <f>IFERROR(__xludf.DUMMYFUNCTION("""COMPUTED_VALUE"""),"Chris Parent")</f>
        <v>Chris Parent</v>
      </c>
      <c r="E264" t="str">
        <f>IFERROR(__xludf.DUMMYFUNCTION("""COMPUTED_VALUE"""),"Y")</f>
        <v>Y</v>
      </c>
      <c r="G264" t="str">
        <f>IFERROR(__xludf.DUMMYFUNCTION("""COMPUTED_VALUE"""),"Y")</f>
        <v>Y</v>
      </c>
      <c r="H264" t="str">
        <f>IFERROR(__xludf.DUMMYFUNCTION("""COMPUTED_VALUE"""),"Instructor Opted Out")</f>
        <v>Instructor Opted Out</v>
      </c>
      <c r="I264" t="str">
        <f>IFERROR(__xludf.DUMMYFUNCTION("""COMPUTED_VALUE"""),"IT and Software")</f>
        <v>IT and Software</v>
      </c>
      <c r="J264" t="str">
        <f>IFERROR(__xludf.DUMMYFUNCTION("""COMPUTED_VALUE"""),"Databases")</f>
        <v>Databases</v>
      </c>
      <c r="K264" s="140">
        <f>IFERROR(__xludf.DUMMYFUNCTION("""COMPUTED_VALUE"""),866196.0)</f>
        <v>866196</v>
      </c>
      <c r="L264" s="140" t="str">
        <f>IFERROR(__xludf.DUMMYFUNCTION("""COMPUTED_VALUE"""),"")</f>
        <v/>
      </c>
      <c r="N264" s="140" t="str">
        <f>IFERROR(__xludf.DUMMYFUNCTION("""COMPUTED_VALUE"""),"")</f>
        <v/>
      </c>
    </row>
    <row r="265">
      <c r="A265" s="143">
        <f>IFERROR(__xludf.DUMMYFUNCTION("""COMPUTED_VALUE"""),42886.0)</f>
        <v>42886</v>
      </c>
      <c r="B265" s="140">
        <f>IFERROR(__xludf.DUMMYFUNCTION("""COMPUTED_VALUE"""),79846.0)</f>
        <v>79846</v>
      </c>
      <c r="C265" s="140" t="str">
        <f>IFERROR(__xludf.DUMMYFUNCTION("""COMPUTED_VALUE"""),"#N/A")</f>
        <v>#N/A</v>
      </c>
      <c r="D265" t="str">
        <f>IFERROR(__xludf.DUMMYFUNCTION("""COMPUTED_VALUE"""),"Peter Dalmaris")</f>
        <v>Peter Dalmaris</v>
      </c>
      <c r="E265" t="str">
        <f>IFERROR(__xludf.DUMMYFUNCTION("""COMPUTED_VALUE"""),"Y")</f>
        <v>Y</v>
      </c>
      <c r="G265" t="str">
        <f>IFERROR(__xludf.DUMMYFUNCTION("""COMPUTED_VALUE"""),"Y")</f>
        <v>Y</v>
      </c>
      <c r="H265" t="str">
        <f>IFERROR(__xludf.DUMMYFUNCTION("""COMPUTED_VALUE"""),"Instructor Request, Updated")</f>
        <v>Instructor Request, Updated</v>
      </c>
      <c r="I265" t="str">
        <f>IFERROR(__xludf.DUMMYFUNCTION("""COMPUTED_VALUE"""),"IT and Software")</f>
        <v>IT and Software</v>
      </c>
      <c r="J265" t="str">
        <f>IFERROR(__xludf.DUMMYFUNCTION("""COMPUTED_VALUE"""),"Hardware")</f>
        <v>Hardware</v>
      </c>
      <c r="K265" s="140">
        <f>IFERROR(__xludf.DUMMYFUNCTION("""COMPUTED_VALUE"""),982708.0)</f>
        <v>982708</v>
      </c>
      <c r="L265" s="140" t="str">
        <f>IFERROR(__xludf.DUMMYFUNCTION("""COMPUTED_VALUE"""),"")</f>
        <v/>
      </c>
      <c r="N265" s="140" t="str">
        <f>IFERROR(__xludf.DUMMYFUNCTION("""COMPUTED_VALUE"""),"")</f>
        <v/>
      </c>
    </row>
    <row r="266">
      <c r="A266" s="143">
        <f>IFERROR(__xludf.DUMMYFUNCTION("""COMPUTED_VALUE"""),42860.0)</f>
        <v>42860</v>
      </c>
      <c r="B266" s="140">
        <f>IFERROR(__xludf.DUMMYFUNCTION("""COMPUTED_VALUE"""),51139.0)</f>
        <v>51139</v>
      </c>
      <c r="C266" s="140" t="str">
        <f>IFERROR(__xludf.DUMMYFUNCTION("""COMPUTED_VALUE"""),"#N/A")</f>
        <v>#N/A</v>
      </c>
      <c r="D266" t="str">
        <f>IFERROR(__xludf.DUMMYFUNCTION("""COMPUTED_VALUE"""),"Intellezy Trainers")</f>
        <v>Intellezy Trainers</v>
      </c>
      <c r="E266" t="str">
        <f>IFERROR(__xludf.DUMMYFUNCTION("""COMPUTED_VALUE"""),"Y")</f>
        <v>Y</v>
      </c>
      <c r="G266" t="str">
        <f>IFERROR(__xludf.DUMMYFUNCTION("""COMPUTED_VALUE"""),"Y")</f>
        <v>Y</v>
      </c>
      <c r="H266" t="str">
        <f>IFERROR(__xludf.DUMMYFUNCTION("""COMPUTED_VALUE"""),"DMCA Removal")</f>
        <v>DMCA Removal</v>
      </c>
      <c r="I266" t="str">
        <f>IFERROR(__xludf.DUMMYFUNCTION("""COMPUTED_VALUE"""),"Development")</f>
        <v>Development</v>
      </c>
      <c r="J266" t="str">
        <f>IFERROR(__xludf.DUMMYFUNCTION("""COMPUTED_VALUE"""),"Databases")</f>
        <v>Databases</v>
      </c>
      <c r="K266" s="140">
        <f>IFERROR(__xludf.DUMMYFUNCTION("""COMPUTED_VALUE"""),1061212.0)</f>
        <v>1061212</v>
      </c>
      <c r="L266" s="140" t="str">
        <f>IFERROR(__xludf.DUMMYFUNCTION("""COMPUTED_VALUE"""),"")</f>
        <v/>
      </c>
      <c r="N266" s="140" t="str">
        <f>IFERROR(__xludf.DUMMYFUNCTION("""COMPUTED_VALUE"""),"")</f>
        <v/>
      </c>
    </row>
    <row r="267">
      <c r="A267" s="143">
        <f>IFERROR(__xludf.DUMMYFUNCTION("""COMPUTED_VALUE"""),42856.0)</f>
        <v>42856</v>
      </c>
      <c r="B267" s="140">
        <f>IFERROR(__xludf.DUMMYFUNCTION("""COMPUTED_VALUE"""),50882.0)</f>
        <v>50882</v>
      </c>
      <c r="C267" s="140" t="str">
        <f>IFERROR(__xludf.DUMMYFUNCTION("""COMPUTED_VALUE"""),"#N/A")</f>
        <v>#N/A</v>
      </c>
      <c r="D267" t="str">
        <f>IFERROR(__xludf.DUMMYFUNCTION("""COMPUTED_VALUE"""),"Intellezy Trainers")</f>
        <v>Intellezy Trainers</v>
      </c>
      <c r="E267" t="str">
        <f>IFERROR(__xludf.DUMMYFUNCTION("""COMPUTED_VALUE"""),"Y")</f>
        <v>Y</v>
      </c>
      <c r="G267" t="str">
        <f>IFERROR(__xludf.DUMMYFUNCTION("""COMPUTED_VALUE"""),"Y")</f>
        <v>Y</v>
      </c>
      <c r="H267" t="str">
        <f>IFERROR(__xludf.DUMMYFUNCTION("""COMPUTED_VALUE"""),"DMCA Removal")</f>
        <v>DMCA Removal</v>
      </c>
      <c r="I267" t="str">
        <f>IFERROR(__xludf.DUMMYFUNCTION("""COMPUTED_VALUE"""),"Office Productivity")</f>
        <v>Office Productivity</v>
      </c>
      <c r="J267" t="str">
        <f>IFERROR(__xludf.DUMMYFUNCTION("""COMPUTED_VALUE"""),"Word Processing")</f>
        <v>Word Processing</v>
      </c>
      <c r="K267" s="140">
        <f>IFERROR(__xludf.DUMMYFUNCTION("""COMPUTED_VALUE"""),29551.0)</f>
        <v>29551</v>
      </c>
      <c r="L267" s="140" t="str">
        <f>IFERROR(__xludf.DUMMYFUNCTION("""COMPUTED_VALUE"""),"")</f>
        <v/>
      </c>
      <c r="M267" s="140">
        <f>IFERROR(__xludf.DUMMYFUNCTION("""COMPUTED_VALUE"""),36431.0)</f>
        <v>36431</v>
      </c>
      <c r="N267" s="140" t="str">
        <f>IFERROR(__xludf.DUMMYFUNCTION("""COMPUTED_VALUE"""),"")</f>
        <v/>
      </c>
    </row>
    <row r="268">
      <c r="A268" s="143">
        <f>IFERROR(__xludf.DUMMYFUNCTION("""COMPUTED_VALUE"""),42828.0)</f>
        <v>42828</v>
      </c>
      <c r="B268" s="140">
        <f>IFERROR(__xludf.DUMMYFUNCTION("""COMPUTED_VALUE"""),1046094.0)</f>
        <v>1046094</v>
      </c>
      <c r="C268" s="140" t="str">
        <f>IFERROR(__xludf.DUMMYFUNCTION("""COMPUTED_VALUE"""),"#N/A")</f>
        <v>#N/A</v>
      </c>
      <c r="D268" t="str">
        <f>IFERROR(__xludf.DUMMYFUNCTION("""COMPUTED_VALUE"""),"Sup IT Trainings")</f>
        <v>Sup IT Trainings</v>
      </c>
      <c r="G268" t="str">
        <f>IFERROR(__xludf.DUMMYFUNCTION("""COMPUTED_VALUE"""),"Y")</f>
        <v>Y</v>
      </c>
      <c r="H268" t="str">
        <f>IFERROR(__xludf.DUMMYFUNCTION("""COMPUTED_VALUE"""),"DMCA Removal")</f>
        <v>DMCA Removal</v>
      </c>
      <c r="I268" t="str">
        <f>IFERROR(__xludf.DUMMYFUNCTION("""COMPUTED_VALUE"""),"Design")</f>
        <v>Design</v>
      </c>
      <c r="J268" t="str">
        <f>IFERROR(__xludf.DUMMYFUNCTION("""COMPUTED_VALUE"""),"3D and Animation")</f>
        <v>3D and Animation</v>
      </c>
      <c r="K268" s="140">
        <f>IFERROR(__xludf.DUMMYFUNCTION("""COMPUTED_VALUE"""),695724.0)</f>
        <v>695724</v>
      </c>
      <c r="L268" s="140" t="str">
        <f>IFERROR(__xludf.DUMMYFUNCTION("""COMPUTED_VALUE"""),"")</f>
        <v/>
      </c>
      <c r="N268" s="140" t="str">
        <f>IFERROR(__xludf.DUMMYFUNCTION("""COMPUTED_VALUE"""),"")</f>
        <v/>
      </c>
    </row>
    <row r="269">
      <c r="A269" s="143">
        <f>IFERROR(__xludf.DUMMYFUNCTION("""COMPUTED_VALUE"""),42855.0)</f>
        <v>42855</v>
      </c>
      <c r="B269" s="140">
        <f>IFERROR(__xludf.DUMMYFUNCTION("""COMPUTED_VALUE"""),430460.0)</f>
        <v>430460</v>
      </c>
      <c r="C269" s="140" t="str">
        <f>IFERROR(__xludf.DUMMYFUNCTION("""COMPUTED_VALUE"""),"#N/A")</f>
        <v>#N/A</v>
      </c>
      <c r="D269" t="str">
        <f>IFERROR(__xludf.DUMMYFUNCTION("""COMPUTED_VALUE"""),"Quantitative Specialists ")</f>
        <v>Quantitative Specialists </v>
      </c>
      <c r="E269" t="str">
        <f>IFERROR(__xludf.DUMMYFUNCTION("""COMPUTED_VALUE"""),"Y")</f>
        <v>Y</v>
      </c>
      <c r="G269" t="str">
        <f>IFERROR(__xludf.DUMMYFUNCTION("""COMPUTED_VALUE"""),"Y")</f>
        <v>Y</v>
      </c>
      <c r="H269" t="str">
        <f>IFERROR(__xludf.DUMMYFUNCTION("""COMPUTED_VALUE"""),"Below Quality Standards")</f>
        <v>Below Quality Standards</v>
      </c>
      <c r="I269" t="str">
        <f>IFERROR(__xludf.DUMMYFUNCTION("""COMPUTED_VALUE"""),"Data Science")</f>
        <v>Data Science</v>
      </c>
      <c r="J269" t="str">
        <f>IFERROR(__xludf.DUMMYFUNCTION("""COMPUTED_VALUE"""),"Analytics")</f>
        <v>Analytics</v>
      </c>
      <c r="K269" s="140">
        <f>IFERROR(__xludf.DUMMYFUNCTION("""COMPUTED_VALUE"""),116286.0)</f>
        <v>116286</v>
      </c>
      <c r="L269" s="140" t="str">
        <f>IFERROR(__xludf.DUMMYFUNCTION("""COMPUTED_VALUE"""),"")</f>
        <v/>
      </c>
      <c r="N269" s="140" t="str">
        <f>IFERROR(__xludf.DUMMYFUNCTION("""COMPUTED_VALUE"""),"")</f>
        <v/>
      </c>
    </row>
    <row r="270">
      <c r="A270" s="143">
        <f>IFERROR(__xludf.DUMMYFUNCTION("""COMPUTED_VALUE"""),42855.0)</f>
        <v>42855</v>
      </c>
      <c r="B270" s="140">
        <f>IFERROR(__xludf.DUMMYFUNCTION("""COMPUTED_VALUE"""),394590.0)</f>
        <v>394590</v>
      </c>
      <c r="C270" s="140" t="str">
        <f>IFERROR(__xludf.DUMMYFUNCTION("""COMPUTED_VALUE"""),"#N/A")</f>
        <v>#N/A</v>
      </c>
      <c r="D270" t="str">
        <f>IFERROR(__xludf.DUMMYFUNCTION("""COMPUTED_VALUE"""),"Gary Simon")</f>
        <v>Gary Simon</v>
      </c>
      <c r="E270" t="str">
        <f>IFERROR(__xludf.DUMMYFUNCTION("""COMPUTED_VALUE"""),"Y")</f>
        <v>Y</v>
      </c>
      <c r="G270" t="str">
        <f>IFERROR(__xludf.DUMMYFUNCTION("""COMPUTED_VALUE"""),"Y")</f>
        <v>Y</v>
      </c>
      <c r="H270" t="str">
        <f>IFERROR(__xludf.DUMMYFUNCTION("""COMPUTED_VALUE"""),"Below Quality Standards")</f>
        <v>Below Quality Standards</v>
      </c>
      <c r="I270" t="str">
        <f>IFERROR(__xludf.DUMMYFUNCTION("""COMPUTED_VALUE"""),"Design")</f>
        <v>Design</v>
      </c>
      <c r="J270" t="str">
        <f>IFERROR(__xludf.DUMMYFUNCTION("""COMPUTED_VALUE"""),"Graphic Design")</f>
        <v>Graphic Design</v>
      </c>
      <c r="K270" s="140">
        <f>IFERROR(__xludf.DUMMYFUNCTION("""COMPUTED_VALUE"""),317278.0)</f>
        <v>317278</v>
      </c>
      <c r="L270" s="140" t="str">
        <f>IFERROR(__xludf.DUMMYFUNCTION("""COMPUTED_VALUE"""),"")</f>
        <v/>
      </c>
      <c r="N270" s="140" t="str">
        <f>IFERROR(__xludf.DUMMYFUNCTION("""COMPUTED_VALUE"""),"")</f>
        <v/>
      </c>
    </row>
    <row r="271">
      <c r="A271" s="143">
        <f>IFERROR(__xludf.DUMMYFUNCTION("""COMPUTED_VALUE"""),42855.0)</f>
        <v>42855</v>
      </c>
      <c r="B271" s="140">
        <f>IFERROR(__xludf.DUMMYFUNCTION("""COMPUTED_VALUE"""),296570.0)</f>
        <v>296570</v>
      </c>
      <c r="C271" s="140" t="str">
        <f>IFERROR(__xludf.DUMMYFUNCTION("""COMPUTED_VALUE"""),"#N/A")</f>
        <v>#N/A</v>
      </c>
      <c r="D271" t="str">
        <f>IFERROR(__xludf.DUMMYFUNCTION("""COMPUTED_VALUE"""),"Intellezy Trainers ")</f>
        <v>Intellezy Trainers </v>
      </c>
      <c r="E271" t="str">
        <f>IFERROR(__xludf.DUMMYFUNCTION("""COMPUTED_VALUE"""),"Y")</f>
        <v>Y</v>
      </c>
      <c r="G271" t="str">
        <f>IFERROR(__xludf.DUMMYFUNCTION("""COMPUTED_VALUE"""),"Y")</f>
        <v>Y</v>
      </c>
      <c r="H271" t="str">
        <f>IFERROR(__xludf.DUMMYFUNCTION("""COMPUTED_VALUE"""),"Below Quality Standards")</f>
        <v>Below Quality Standards</v>
      </c>
      <c r="I271" t="str">
        <f>IFERROR(__xludf.DUMMYFUNCTION("""COMPUTED_VALUE"""),"Design")</f>
        <v>Design</v>
      </c>
      <c r="J271" t="str">
        <f>IFERROR(__xludf.DUMMYFUNCTION("""COMPUTED_VALUE"""),"Graphic Design")</f>
        <v>Graphic Design</v>
      </c>
      <c r="K271" s="140">
        <f>IFERROR(__xludf.DUMMYFUNCTION("""COMPUTED_VALUE"""),416542.0)</f>
        <v>416542</v>
      </c>
      <c r="L271" s="140" t="str">
        <f>IFERROR(__xludf.DUMMYFUNCTION("""COMPUTED_VALUE"""),"")</f>
        <v/>
      </c>
      <c r="N271" s="140" t="str">
        <f>IFERROR(__xludf.DUMMYFUNCTION("""COMPUTED_VALUE"""),"")</f>
        <v/>
      </c>
    </row>
    <row r="272">
      <c r="A272" s="143">
        <f>IFERROR(__xludf.DUMMYFUNCTION("""COMPUTED_VALUE"""),42855.0)</f>
        <v>42855</v>
      </c>
      <c r="B272" s="140">
        <f>IFERROR(__xludf.DUMMYFUNCTION("""COMPUTED_VALUE"""),272440.0)</f>
        <v>272440</v>
      </c>
      <c r="C272" s="140" t="str">
        <f>IFERROR(__xludf.DUMMYFUNCTION("""COMPUTED_VALUE"""),"#N/A")</f>
        <v>#N/A</v>
      </c>
      <c r="D272" t="str">
        <f>IFERROR(__xludf.DUMMYFUNCTION("""COMPUTED_VALUE"""),"Intellezy Trainers ")</f>
        <v>Intellezy Trainers </v>
      </c>
      <c r="E272" t="str">
        <f>IFERROR(__xludf.DUMMYFUNCTION("""COMPUTED_VALUE"""),"Y")</f>
        <v>Y</v>
      </c>
      <c r="G272" t="str">
        <f>IFERROR(__xludf.DUMMYFUNCTION("""COMPUTED_VALUE"""),"Y")</f>
        <v>Y</v>
      </c>
      <c r="H272" t="str">
        <f>IFERROR(__xludf.DUMMYFUNCTION("""COMPUTED_VALUE"""),"Below Quality Standards")</f>
        <v>Below Quality Standards</v>
      </c>
      <c r="I272" t="str">
        <f>IFERROR(__xludf.DUMMYFUNCTION("""COMPUTED_VALUE"""),"Design")</f>
        <v>Design</v>
      </c>
      <c r="J272" t="str">
        <f>IFERROR(__xludf.DUMMYFUNCTION("""COMPUTED_VALUE"""),"Graphic Design")</f>
        <v>Graphic Design</v>
      </c>
      <c r="K272" s="140">
        <f>IFERROR(__xludf.DUMMYFUNCTION("""COMPUTED_VALUE"""),416542.0)</f>
        <v>416542</v>
      </c>
      <c r="L272" s="140" t="str">
        <f>IFERROR(__xludf.DUMMYFUNCTION("""COMPUTED_VALUE"""),"")</f>
        <v/>
      </c>
      <c r="N272" s="140" t="str">
        <f>IFERROR(__xludf.DUMMYFUNCTION("""COMPUTED_VALUE"""),"")</f>
        <v/>
      </c>
    </row>
    <row r="273">
      <c r="A273" s="143">
        <f>IFERROR(__xludf.DUMMYFUNCTION("""COMPUTED_VALUE"""),42855.0)</f>
        <v>42855</v>
      </c>
      <c r="B273" s="140">
        <f>IFERROR(__xludf.DUMMYFUNCTION("""COMPUTED_VALUE"""),373500.0)</f>
        <v>373500</v>
      </c>
      <c r="C273" s="140" t="str">
        <f>IFERROR(__xludf.DUMMYFUNCTION("""COMPUTED_VALUE"""),"#N/A")</f>
        <v>#N/A</v>
      </c>
      <c r="D273" t="str">
        <f>IFERROR(__xludf.DUMMYFUNCTION("""COMPUTED_VALUE"""),"Justin Mitchel")</f>
        <v>Justin Mitchel</v>
      </c>
      <c r="E273" t="str">
        <f>IFERROR(__xludf.DUMMYFUNCTION("""COMPUTED_VALUE"""),"Y")</f>
        <v>Y</v>
      </c>
      <c r="G273" t="str">
        <f>IFERROR(__xludf.DUMMYFUNCTION("""COMPUTED_VALUE"""),"Y")</f>
        <v>Y</v>
      </c>
      <c r="H273" t="str">
        <f>IFERROR(__xludf.DUMMYFUNCTION("""COMPUTED_VALUE"""),"Below Quality Standards")</f>
        <v>Below Quality Standards</v>
      </c>
      <c r="I273" t="str">
        <f>IFERROR(__xludf.DUMMYFUNCTION("""COMPUTED_VALUE"""),"Development")</f>
        <v>Development</v>
      </c>
      <c r="J273" t="str">
        <f>IFERROR(__xludf.DUMMYFUNCTION("""COMPUTED_VALUE"""),"Mobile Development")</f>
        <v>Mobile Development</v>
      </c>
      <c r="K273" s="140">
        <f>IFERROR(__xludf.DUMMYFUNCTION("""COMPUTED_VALUE"""),1253188.0)</f>
        <v>1253188</v>
      </c>
      <c r="L273" s="140" t="str">
        <f>IFERROR(__xludf.DUMMYFUNCTION("""COMPUTED_VALUE"""),"")</f>
        <v/>
      </c>
      <c r="N273" s="140" t="str">
        <f>IFERROR(__xludf.DUMMYFUNCTION("""COMPUTED_VALUE"""),"")</f>
        <v/>
      </c>
    </row>
    <row r="274">
      <c r="A274" s="143">
        <f>IFERROR(__xludf.DUMMYFUNCTION("""COMPUTED_VALUE"""),42855.0)</f>
        <v>42855</v>
      </c>
      <c r="B274" s="140">
        <f>IFERROR(__xludf.DUMMYFUNCTION("""COMPUTED_VALUE"""),362520.0)</f>
        <v>362520</v>
      </c>
      <c r="C274" s="140" t="str">
        <f>IFERROR(__xludf.DUMMYFUNCTION("""COMPUTED_VALUE"""),"#N/A")</f>
        <v>#N/A</v>
      </c>
      <c r="D274" t="str">
        <f>IFERROR(__xludf.DUMMYFUNCTION("""COMPUTED_VALUE"""),"Nick Walter")</f>
        <v>Nick Walter</v>
      </c>
      <c r="E274" t="str">
        <f>IFERROR(__xludf.DUMMYFUNCTION("""COMPUTED_VALUE"""),"Y")</f>
        <v>Y</v>
      </c>
      <c r="G274" t="str">
        <f>IFERROR(__xludf.DUMMYFUNCTION("""COMPUTED_VALUE"""),"Y")</f>
        <v>Y</v>
      </c>
      <c r="H274" t="str">
        <f>IFERROR(__xludf.DUMMYFUNCTION("""COMPUTED_VALUE"""),"Outdated")</f>
        <v>Outdated</v>
      </c>
      <c r="I274" t="str">
        <f>IFERROR(__xludf.DUMMYFUNCTION("""COMPUTED_VALUE"""),"Development")</f>
        <v>Development</v>
      </c>
      <c r="J274" t="str">
        <f>IFERROR(__xludf.DUMMYFUNCTION("""COMPUTED_VALUE"""),"Mobile Development")</f>
        <v>Mobile Development</v>
      </c>
      <c r="K274" s="140">
        <f>IFERROR(__xludf.DUMMYFUNCTION("""COMPUTED_VALUE"""),970894.0)</f>
        <v>970894</v>
      </c>
      <c r="L274" s="140" t="str">
        <f>IFERROR(__xludf.DUMMYFUNCTION("""COMPUTED_VALUE"""),"")</f>
        <v/>
      </c>
      <c r="N274" s="140" t="str">
        <f>IFERROR(__xludf.DUMMYFUNCTION("""COMPUTED_VALUE"""),"")</f>
        <v/>
      </c>
    </row>
    <row r="275">
      <c r="A275" s="143">
        <f>IFERROR(__xludf.DUMMYFUNCTION("""COMPUTED_VALUE"""),42855.0)</f>
        <v>42855</v>
      </c>
      <c r="B275" s="140">
        <f>IFERROR(__xludf.DUMMYFUNCTION("""COMPUTED_VALUE"""),565356.0)</f>
        <v>565356</v>
      </c>
      <c r="C275" s="140" t="str">
        <f>IFERROR(__xludf.DUMMYFUNCTION("""COMPUTED_VALUE"""),"#N/A")</f>
        <v>#N/A</v>
      </c>
      <c r="D275" t="str">
        <f>IFERROR(__xludf.DUMMYFUNCTION("""COMPUTED_VALUE"""),"Markus Mueller ")</f>
        <v>Markus Mueller </v>
      </c>
      <c r="E275" t="str">
        <f>IFERROR(__xludf.DUMMYFUNCTION("""COMPUTED_VALUE"""),"Y")</f>
        <v>Y</v>
      </c>
      <c r="G275" t="str">
        <f>IFERROR(__xludf.DUMMYFUNCTION("""COMPUTED_VALUE"""),"Y")</f>
        <v>Y</v>
      </c>
      <c r="H275" t="str">
        <f>IFERROR(__xludf.DUMMYFUNCTION("""COMPUTED_VALUE"""),"Redundant + low usage")</f>
        <v>Redundant + low usage</v>
      </c>
      <c r="I275" t="str">
        <f>IFERROR(__xludf.DUMMYFUNCTION("""COMPUTED_VALUE"""),"Development")</f>
        <v>Development</v>
      </c>
      <c r="J275" t="str">
        <f>IFERROR(__xludf.DUMMYFUNCTION("""COMPUTED_VALUE"""),"Mobile Development")</f>
        <v>Mobile Development</v>
      </c>
      <c r="K275" s="140">
        <f>IFERROR(__xludf.DUMMYFUNCTION("""COMPUTED_VALUE"""),970894.0)</f>
        <v>970894</v>
      </c>
      <c r="L275" s="140" t="str">
        <f>IFERROR(__xludf.DUMMYFUNCTION("""COMPUTED_VALUE"""),"")</f>
        <v/>
      </c>
      <c r="N275" s="140" t="str">
        <f>IFERROR(__xludf.DUMMYFUNCTION("""COMPUTED_VALUE"""),"")</f>
        <v/>
      </c>
    </row>
    <row r="276">
      <c r="A276" s="143">
        <f>IFERROR(__xludf.DUMMYFUNCTION("""COMPUTED_VALUE"""),42855.0)</f>
        <v>42855</v>
      </c>
      <c r="B276" s="140">
        <f>IFERROR(__xludf.DUMMYFUNCTION("""COMPUTED_VALUE"""),326094.0)</f>
        <v>326094</v>
      </c>
      <c r="C276" s="140" t="str">
        <f>IFERROR(__xludf.DUMMYFUNCTION("""COMPUTED_VALUE"""),"#N/A")</f>
        <v>#N/A</v>
      </c>
      <c r="D276" t="str">
        <f>IFERROR(__xludf.DUMMYFUNCTION("""COMPUTED_VALUE"""),"Tim Buchalka")</f>
        <v>Tim Buchalka</v>
      </c>
      <c r="E276" t="str">
        <f>IFERROR(__xludf.DUMMYFUNCTION("""COMPUTED_VALUE"""),"Y")</f>
        <v>Y</v>
      </c>
      <c r="G276" t="str">
        <f>IFERROR(__xludf.DUMMYFUNCTION("""COMPUTED_VALUE"""),"Y")</f>
        <v>Y</v>
      </c>
      <c r="H276" t="str">
        <f>IFERROR(__xludf.DUMMYFUNCTION("""COMPUTED_VALUE"""),"Instructor Request, Updated")</f>
        <v>Instructor Request, Updated</v>
      </c>
      <c r="I276" t="str">
        <f>IFERROR(__xludf.DUMMYFUNCTION("""COMPUTED_VALUE"""),"Development")</f>
        <v>Development</v>
      </c>
      <c r="J276" t="str">
        <f>IFERROR(__xludf.DUMMYFUNCTION("""COMPUTED_VALUE"""),"Mobile Development")</f>
        <v>Mobile Development</v>
      </c>
      <c r="K276" s="140">
        <f>IFERROR(__xludf.DUMMYFUNCTION("""COMPUTED_VALUE"""),919872.0)</f>
        <v>919872</v>
      </c>
      <c r="L276" s="140" t="str">
        <f>IFERROR(__xludf.DUMMYFUNCTION("""COMPUTED_VALUE"""),"")</f>
        <v/>
      </c>
      <c r="N276" s="140" t="str">
        <f>IFERROR(__xludf.DUMMYFUNCTION("""COMPUTED_VALUE"""),"")</f>
        <v/>
      </c>
    </row>
    <row r="277">
      <c r="A277" s="143">
        <f>IFERROR(__xludf.DUMMYFUNCTION("""COMPUTED_VALUE"""),42855.0)</f>
        <v>42855</v>
      </c>
      <c r="B277" s="140">
        <f>IFERROR(__xludf.DUMMYFUNCTION("""COMPUTED_VALUE"""),744708.0)</f>
        <v>744708</v>
      </c>
      <c r="C277" s="140" t="str">
        <f>IFERROR(__xludf.DUMMYFUNCTION("""COMPUTED_VALUE"""),"#N/A")</f>
        <v>#N/A</v>
      </c>
      <c r="D277" t="str">
        <f>IFERROR(__xludf.DUMMYFUNCTION("""COMPUTED_VALUE"""),"Eduonix Learning Solutions")</f>
        <v>Eduonix Learning Solutions</v>
      </c>
      <c r="E277" t="str">
        <f>IFERROR(__xludf.DUMMYFUNCTION("""COMPUTED_VALUE"""),"Y")</f>
        <v>Y</v>
      </c>
      <c r="G277" t="str">
        <f>IFERROR(__xludf.DUMMYFUNCTION("""COMPUTED_VALUE"""),"Y")</f>
        <v>Y</v>
      </c>
      <c r="H277" t="str">
        <f>IFERROR(__xludf.DUMMYFUNCTION("""COMPUTED_VALUE"""),"Redundant + low usage")</f>
        <v>Redundant + low usage</v>
      </c>
      <c r="I277" t="str">
        <f>IFERROR(__xludf.DUMMYFUNCTION("""COMPUTED_VALUE"""),"Development")</f>
        <v>Development</v>
      </c>
      <c r="J277" t="str">
        <f>IFERROR(__xludf.DUMMYFUNCTION("""COMPUTED_VALUE"""),"Mobile Development")</f>
        <v>Mobile Development</v>
      </c>
      <c r="K277" s="140">
        <f>IFERROR(__xludf.DUMMYFUNCTION("""COMPUTED_VALUE"""),970894.0)</f>
        <v>970894</v>
      </c>
      <c r="L277" s="140" t="str">
        <f>IFERROR(__xludf.DUMMYFUNCTION("""COMPUTED_VALUE"""),"")</f>
        <v/>
      </c>
      <c r="N277" s="140" t="str">
        <f>IFERROR(__xludf.DUMMYFUNCTION("""COMPUTED_VALUE"""),"")</f>
        <v/>
      </c>
    </row>
    <row r="278">
      <c r="A278" s="143">
        <f>IFERROR(__xludf.DUMMYFUNCTION("""COMPUTED_VALUE"""),42855.0)</f>
        <v>42855</v>
      </c>
      <c r="B278" s="140">
        <f>IFERROR(__xludf.DUMMYFUNCTION("""COMPUTED_VALUE"""),370636.0)</f>
        <v>370636</v>
      </c>
      <c r="C278" s="140" t="str">
        <f>IFERROR(__xludf.DUMMYFUNCTION("""COMPUTED_VALUE"""),"#N/A")</f>
        <v>#N/A</v>
      </c>
      <c r="D278" t="str">
        <f>IFERROR(__xludf.DUMMYFUNCTION("""COMPUTED_VALUE"""),"Rob Percival")</f>
        <v>Rob Percival</v>
      </c>
      <c r="E278" t="str">
        <f>IFERROR(__xludf.DUMMYFUNCTION("""COMPUTED_VALUE"""),"Y")</f>
        <v>Y</v>
      </c>
      <c r="G278" t="str">
        <f>IFERROR(__xludf.DUMMYFUNCTION("""COMPUTED_VALUE"""),"Y")</f>
        <v>Y</v>
      </c>
      <c r="H278" t="str">
        <f>IFERROR(__xludf.DUMMYFUNCTION("""COMPUTED_VALUE"""),"Outdated")</f>
        <v>Outdated</v>
      </c>
      <c r="I278" t="str">
        <f>IFERROR(__xludf.DUMMYFUNCTION("""COMPUTED_VALUE"""),"Development")</f>
        <v>Development</v>
      </c>
      <c r="J278" t="str">
        <f>IFERROR(__xludf.DUMMYFUNCTION("""COMPUTED_VALUE"""),"Mobile Development")</f>
        <v>Mobile Development</v>
      </c>
      <c r="K278" s="140">
        <f>IFERROR(__xludf.DUMMYFUNCTION("""COMPUTED_VALUE"""),970894.0)</f>
        <v>970894</v>
      </c>
      <c r="L278" s="140" t="str">
        <f>IFERROR(__xludf.DUMMYFUNCTION("""COMPUTED_VALUE"""),"")</f>
        <v/>
      </c>
      <c r="N278" s="140" t="str">
        <f>IFERROR(__xludf.DUMMYFUNCTION("""COMPUTED_VALUE"""),"")</f>
        <v/>
      </c>
    </row>
    <row r="279">
      <c r="A279" s="143">
        <f>IFERROR(__xludf.DUMMYFUNCTION("""COMPUTED_VALUE"""),42855.0)</f>
        <v>42855</v>
      </c>
      <c r="B279" s="140">
        <f>IFERROR(__xludf.DUMMYFUNCTION("""COMPUTED_VALUE"""),763086.0)</f>
        <v>763086</v>
      </c>
      <c r="C279" s="140" t="str">
        <f>IFERROR(__xludf.DUMMYFUNCTION("""COMPUTED_VALUE"""),"#N/A")</f>
        <v>#N/A</v>
      </c>
      <c r="D279" t="str">
        <f>IFERROR(__xludf.DUMMYFUNCTION("""COMPUTED_VALUE"""),"EDUmobile Academy ")</f>
        <v>EDUmobile Academy </v>
      </c>
      <c r="E279" t="str">
        <f>IFERROR(__xludf.DUMMYFUNCTION("""COMPUTED_VALUE"""),"Y")</f>
        <v>Y</v>
      </c>
      <c r="G279" t="str">
        <f>IFERROR(__xludf.DUMMYFUNCTION("""COMPUTED_VALUE"""),"Y")</f>
        <v>Y</v>
      </c>
      <c r="H279" t="str">
        <f>IFERROR(__xludf.DUMMYFUNCTION("""COMPUTED_VALUE"""),"Below Quality Standards")</f>
        <v>Below Quality Standards</v>
      </c>
      <c r="I279" t="str">
        <f>IFERROR(__xludf.DUMMYFUNCTION("""COMPUTED_VALUE"""),"Development")</f>
        <v>Development</v>
      </c>
      <c r="J279" t="str">
        <f>IFERROR(__xludf.DUMMYFUNCTION("""COMPUTED_VALUE"""),"Programming")</f>
        <v>Programming</v>
      </c>
      <c r="K279" s="140">
        <f>IFERROR(__xludf.DUMMYFUNCTION("""COMPUTED_VALUE"""),796654.0)</f>
        <v>796654</v>
      </c>
      <c r="L279" s="140" t="str">
        <f>IFERROR(__xludf.DUMMYFUNCTION("""COMPUTED_VALUE"""),"")</f>
        <v/>
      </c>
      <c r="N279" s="140" t="str">
        <f>IFERROR(__xludf.DUMMYFUNCTION("""COMPUTED_VALUE"""),"")</f>
        <v/>
      </c>
      <c r="R279" t="str">
        <f>IFERROR(__xludf.DUMMYFUNCTION("""COMPUTED_VALUE"""),"IT and Software")</f>
        <v>IT and Software</v>
      </c>
      <c r="S279" s="143" t="str">
        <f>IFERROR(__xludf.DUMMYFUNCTION("""COMPUTED_VALUE"""),"Operating Systems and Servers")</f>
        <v>Operating Systems and Servers</v>
      </c>
    </row>
    <row r="280">
      <c r="A280" s="143">
        <f>IFERROR(__xludf.DUMMYFUNCTION("""COMPUTED_VALUE"""),42855.0)</f>
        <v>42855</v>
      </c>
      <c r="B280" s="140">
        <f>IFERROR(__xludf.DUMMYFUNCTION("""COMPUTED_VALUE"""),745772.0)</f>
        <v>745772</v>
      </c>
      <c r="C280" s="140" t="str">
        <f>IFERROR(__xludf.DUMMYFUNCTION("""COMPUTED_VALUE"""),"#N/A")</f>
        <v>#N/A</v>
      </c>
      <c r="D280" t="str">
        <f>IFERROR(__xludf.DUMMYFUNCTION("""COMPUTED_VALUE"""),"EDUmobile Academy ")</f>
        <v>EDUmobile Academy </v>
      </c>
      <c r="E280" t="str">
        <f>IFERROR(__xludf.DUMMYFUNCTION("""COMPUTED_VALUE"""),"Y")</f>
        <v>Y</v>
      </c>
      <c r="G280" t="str">
        <f>IFERROR(__xludf.DUMMYFUNCTION("""COMPUTED_VALUE"""),"Y")</f>
        <v>Y</v>
      </c>
      <c r="H280" t="str">
        <f>IFERROR(__xludf.DUMMYFUNCTION("""COMPUTED_VALUE"""),"Below Quality Standards")</f>
        <v>Below Quality Standards</v>
      </c>
      <c r="I280" t="str">
        <f>IFERROR(__xludf.DUMMYFUNCTION("""COMPUTED_VALUE"""),"Development")</f>
        <v>Development</v>
      </c>
      <c r="J280" t="str">
        <f>IFERROR(__xludf.DUMMYFUNCTION("""COMPUTED_VALUE"""),"Programming")</f>
        <v>Programming</v>
      </c>
      <c r="K280" s="140">
        <f>IFERROR(__xludf.DUMMYFUNCTION("""COMPUTED_VALUE"""),958532.0)</f>
        <v>958532</v>
      </c>
      <c r="L280" s="140" t="str">
        <f>IFERROR(__xludf.DUMMYFUNCTION("""COMPUTED_VALUE"""),"")</f>
        <v/>
      </c>
      <c r="N280" s="140" t="str">
        <f>IFERROR(__xludf.DUMMYFUNCTION("""COMPUTED_VALUE"""),"")</f>
        <v/>
      </c>
      <c r="R280" t="str">
        <f>IFERROR(__xludf.DUMMYFUNCTION("""COMPUTED_VALUE"""),"IT and Software")</f>
        <v>IT and Software</v>
      </c>
      <c r="S280" s="143" t="str">
        <f>IFERROR(__xludf.DUMMYFUNCTION("""COMPUTED_VALUE"""),"Operating Systems and Servers")</f>
        <v>Operating Systems and Servers</v>
      </c>
    </row>
    <row r="281">
      <c r="A281" s="143">
        <f>IFERROR(__xludf.DUMMYFUNCTION("""COMPUTED_VALUE"""),42855.0)</f>
        <v>42855</v>
      </c>
      <c r="B281" s="140">
        <f>IFERROR(__xludf.DUMMYFUNCTION("""COMPUTED_VALUE"""),478804.0)</f>
        <v>478804</v>
      </c>
      <c r="C281" s="140" t="str">
        <f>IFERROR(__xludf.DUMMYFUNCTION("""COMPUTED_VALUE"""),"#N/A")</f>
        <v>#N/A</v>
      </c>
      <c r="D281" t="str">
        <f>IFERROR(__xludf.DUMMYFUNCTION("""COMPUTED_VALUE"""),"Eduonix Learning Solutions")</f>
        <v>Eduonix Learning Solutions</v>
      </c>
      <c r="E281" t="str">
        <f>IFERROR(__xludf.DUMMYFUNCTION("""COMPUTED_VALUE"""),"Y")</f>
        <v>Y</v>
      </c>
      <c r="G281" t="str">
        <f>IFERROR(__xludf.DUMMYFUNCTION("""COMPUTED_VALUE"""),"Y")</f>
        <v>Y</v>
      </c>
      <c r="H281" t="str">
        <f>IFERROR(__xludf.DUMMYFUNCTION("""COMPUTED_VALUE"""),"Below Quality Standards")</f>
        <v>Below Quality Standards</v>
      </c>
      <c r="I281" t="str">
        <f>IFERROR(__xludf.DUMMYFUNCTION("""COMPUTED_VALUE"""),"Development")</f>
        <v>Development</v>
      </c>
      <c r="J281" t="str">
        <f>IFERROR(__xludf.DUMMYFUNCTION("""COMPUTED_VALUE"""),"Programming")</f>
        <v>Programming</v>
      </c>
      <c r="K281" s="140">
        <f>IFERROR(__xludf.DUMMYFUNCTION("""COMPUTED_VALUE"""),382002.0)</f>
        <v>382002</v>
      </c>
      <c r="L281" s="140" t="str">
        <f>IFERROR(__xludf.DUMMYFUNCTION("""COMPUTED_VALUE"""),"")</f>
        <v/>
      </c>
      <c r="N281" s="140" t="str">
        <f>IFERROR(__xludf.DUMMYFUNCTION("""COMPUTED_VALUE"""),"")</f>
        <v/>
      </c>
    </row>
    <row r="282">
      <c r="A282" s="143">
        <f>IFERROR(__xludf.DUMMYFUNCTION("""COMPUTED_VALUE"""),42855.0)</f>
        <v>42855</v>
      </c>
      <c r="B282" s="140">
        <f>IFERROR(__xludf.DUMMYFUNCTION("""COMPUTED_VALUE"""),212398.0)</f>
        <v>212398</v>
      </c>
      <c r="C282" s="140" t="str">
        <f>IFERROR(__xludf.DUMMYFUNCTION("""COMPUTED_VALUE"""),"#N/A")</f>
        <v>#N/A</v>
      </c>
      <c r="D282" t="str">
        <f>IFERROR(__xludf.DUMMYFUNCTION("""COMPUTED_VALUE"""),"RefactorU LLC")</f>
        <v>RefactorU LLC</v>
      </c>
      <c r="E282" t="str">
        <f>IFERROR(__xludf.DUMMYFUNCTION("""COMPUTED_VALUE"""),"Y")</f>
        <v>Y</v>
      </c>
      <c r="G282" t="str">
        <f>IFERROR(__xludf.DUMMYFUNCTION("""COMPUTED_VALUE"""),"Y")</f>
        <v>Y</v>
      </c>
      <c r="H282" t="str">
        <f>IFERROR(__xludf.DUMMYFUNCTION("""COMPUTED_VALUE"""),"Below Quality Standards")</f>
        <v>Below Quality Standards</v>
      </c>
      <c r="I282" t="str">
        <f>IFERROR(__xludf.DUMMYFUNCTION("""COMPUTED_VALUE"""),"Development")</f>
        <v>Development</v>
      </c>
      <c r="J282" t="str">
        <f>IFERROR(__xludf.DUMMYFUNCTION("""COMPUTED_VALUE"""),"Web Development")</f>
        <v>Web Development</v>
      </c>
      <c r="K282" s="140">
        <f>IFERROR(__xludf.DUMMYFUNCTION("""COMPUTED_VALUE"""),922484.0)</f>
        <v>922484</v>
      </c>
      <c r="L282" s="140" t="str">
        <f>IFERROR(__xludf.DUMMYFUNCTION("""COMPUTED_VALUE"""),"")</f>
        <v/>
      </c>
      <c r="N282" s="140" t="str">
        <f>IFERROR(__xludf.DUMMYFUNCTION("""COMPUTED_VALUE"""),"")</f>
        <v/>
      </c>
    </row>
    <row r="283">
      <c r="A283" s="143">
        <f>IFERROR(__xludf.DUMMYFUNCTION("""COMPUTED_VALUE"""),42855.0)</f>
        <v>42855</v>
      </c>
      <c r="B283" s="140">
        <f>IFERROR(__xludf.DUMMYFUNCTION("""COMPUTED_VALUE"""),450068.0)</f>
        <v>450068</v>
      </c>
      <c r="C283" s="140" t="str">
        <f>IFERROR(__xludf.DUMMYFUNCTION("""COMPUTED_VALUE"""),"#N/A")</f>
        <v>#N/A</v>
      </c>
      <c r="D283" t="str">
        <f>IFERROR(__xludf.DUMMYFUNCTION("""COMPUTED_VALUE"""),"Jordan Hudgens ")</f>
        <v>Jordan Hudgens </v>
      </c>
      <c r="E283" t="str">
        <f>IFERROR(__xludf.DUMMYFUNCTION("""COMPUTED_VALUE"""),"Y")</f>
        <v>Y</v>
      </c>
      <c r="G283" t="str">
        <f>IFERROR(__xludf.DUMMYFUNCTION("""COMPUTED_VALUE"""),"Y")</f>
        <v>Y</v>
      </c>
      <c r="H283" t="str">
        <f>IFERROR(__xludf.DUMMYFUNCTION("""COMPUTED_VALUE"""),"Below Quality Standards")</f>
        <v>Below Quality Standards</v>
      </c>
      <c r="I283" t="str">
        <f>IFERROR(__xludf.DUMMYFUNCTION("""COMPUTED_VALUE"""),"Development")</f>
        <v>Development</v>
      </c>
      <c r="J283" t="str">
        <f>IFERROR(__xludf.DUMMYFUNCTION("""COMPUTED_VALUE"""),"Web Development")</f>
        <v>Web Development</v>
      </c>
      <c r="K283" s="140">
        <f>IFERROR(__xludf.DUMMYFUNCTION("""COMPUTED_VALUE"""),519442.0)</f>
        <v>519442</v>
      </c>
      <c r="L283" s="140" t="str">
        <f>IFERROR(__xludf.DUMMYFUNCTION("""COMPUTED_VALUE"""),"")</f>
        <v/>
      </c>
      <c r="N283" s="140" t="str">
        <f>IFERROR(__xludf.DUMMYFUNCTION("""COMPUTED_VALUE"""),"")</f>
        <v/>
      </c>
    </row>
    <row r="284">
      <c r="A284" s="143">
        <f>IFERROR(__xludf.DUMMYFUNCTION("""COMPUTED_VALUE"""),42855.0)</f>
        <v>42855</v>
      </c>
      <c r="B284" s="140">
        <f>IFERROR(__xludf.DUMMYFUNCTION("""COMPUTED_VALUE"""),610300.0)</f>
        <v>610300</v>
      </c>
      <c r="C284" s="140" t="str">
        <f>IFERROR(__xludf.DUMMYFUNCTION("""COMPUTED_VALUE"""),"#N/A")</f>
        <v>#N/A</v>
      </c>
      <c r="D284" t="str">
        <f>IFERROR(__xludf.DUMMYFUNCTION("""COMPUTED_VALUE"""),"Stephen Grider")</f>
        <v>Stephen Grider</v>
      </c>
      <c r="E284" t="str">
        <f>IFERROR(__xludf.DUMMYFUNCTION("""COMPUTED_VALUE"""),"Y")</f>
        <v>Y</v>
      </c>
      <c r="G284" t="str">
        <f>IFERROR(__xludf.DUMMYFUNCTION("""COMPUTED_VALUE"""),"Y")</f>
        <v>Y</v>
      </c>
      <c r="H284" t="str">
        <f>IFERROR(__xludf.DUMMYFUNCTION("""COMPUTED_VALUE"""),"Instructor Request, Updated")</f>
        <v>Instructor Request, Updated</v>
      </c>
      <c r="I284" t="str">
        <f>IFERROR(__xludf.DUMMYFUNCTION("""COMPUTED_VALUE"""),"Development")</f>
        <v>Development</v>
      </c>
      <c r="J284" t="str">
        <f>IFERROR(__xludf.DUMMYFUNCTION("""COMPUTED_VALUE"""),"Web Development")</f>
        <v>Web Development</v>
      </c>
      <c r="K284" s="140">
        <f>IFERROR(__xludf.DUMMYFUNCTION("""COMPUTED_VALUE"""),1286908.0)</f>
        <v>1286908</v>
      </c>
      <c r="L284" s="140" t="str">
        <f>IFERROR(__xludf.DUMMYFUNCTION("""COMPUTED_VALUE"""),"")</f>
        <v/>
      </c>
      <c r="N284" s="140" t="str">
        <f>IFERROR(__xludf.DUMMYFUNCTION("""COMPUTED_VALUE"""),"")</f>
        <v/>
      </c>
    </row>
    <row r="285">
      <c r="A285" s="143">
        <f>IFERROR(__xludf.DUMMYFUNCTION("""COMPUTED_VALUE"""),42855.0)</f>
        <v>42855</v>
      </c>
      <c r="B285" s="140">
        <f>IFERROR(__xludf.DUMMYFUNCTION("""COMPUTED_VALUE"""),435258.0)</f>
        <v>435258</v>
      </c>
      <c r="C285" s="140" t="str">
        <f>IFERROR(__xludf.DUMMYFUNCTION("""COMPUTED_VALUE"""),"#N/A")</f>
        <v>#N/A</v>
      </c>
      <c r="D285" t="str">
        <f>IFERROR(__xludf.DUMMYFUNCTION("""COMPUTED_VALUE"""),"Stephen Grider")</f>
        <v>Stephen Grider</v>
      </c>
      <c r="E285" t="str">
        <f>IFERROR(__xludf.DUMMYFUNCTION("""COMPUTED_VALUE"""),"Y")</f>
        <v>Y</v>
      </c>
      <c r="G285" t="str">
        <f>IFERROR(__xludf.DUMMYFUNCTION("""COMPUTED_VALUE"""),"Y")</f>
        <v>Y</v>
      </c>
      <c r="H285" t="str">
        <f>IFERROR(__xludf.DUMMYFUNCTION("""COMPUTED_VALUE"""),"Instructor Request, Updated")</f>
        <v>Instructor Request, Updated</v>
      </c>
      <c r="I285" t="str">
        <f>IFERROR(__xludf.DUMMYFUNCTION("""COMPUTED_VALUE"""),"Development")</f>
        <v>Development</v>
      </c>
      <c r="J285" t="str">
        <f>IFERROR(__xludf.DUMMYFUNCTION("""COMPUTED_VALUE"""),"Web Development")</f>
        <v>Web Development</v>
      </c>
      <c r="K285" s="140">
        <f>IFERROR(__xludf.DUMMYFUNCTION("""COMPUTED_VALUE"""),705264.0)</f>
        <v>705264</v>
      </c>
      <c r="L285" s="140" t="str">
        <f>IFERROR(__xludf.DUMMYFUNCTION("""COMPUTED_VALUE"""),"")</f>
        <v/>
      </c>
      <c r="N285" s="140" t="str">
        <f>IFERROR(__xludf.DUMMYFUNCTION("""COMPUTED_VALUE"""),"")</f>
        <v/>
      </c>
    </row>
    <row r="286">
      <c r="A286" s="143">
        <f>IFERROR(__xludf.DUMMYFUNCTION("""COMPUTED_VALUE"""),42855.0)</f>
        <v>42855</v>
      </c>
      <c r="B286" s="140">
        <f>IFERROR(__xludf.DUMMYFUNCTION("""COMPUTED_VALUE"""),320222.0)</f>
        <v>320222</v>
      </c>
      <c r="C286" s="140" t="str">
        <f>IFERROR(__xludf.DUMMYFUNCTION("""COMPUTED_VALUE"""),"#N/A")</f>
        <v>#N/A</v>
      </c>
      <c r="D286" t="str">
        <f>IFERROR(__xludf.DUMMYFUNCTION("""COMPUTED_VALUE"""),"John Wiley &amp; Sons, Inc. ")</f>
        <v>John Wiley &amp; Sons, Inc. </v>
      </c>
      <c r="E286" t="str">
        <f>IFERROR(__xludf.DUMMYFUNCTION("""COMPUTED_VALUE"""),"Y")</f>
        <v>Y</v>
      </c>
      <c r="G286" t="str">
        <f>IFERROR(__xludf.DUMMYFUNCTION("""COMPUTED_VALUE"""),"Y")</f>
        <v>Y</v>
      </c>
      <c r="H286" t="str">
        <f>IFERROR(__xludf.DUMMYFUNCTION("""COMPUTED_VALUE"""),"Below Quality Standards")</f>
        <v>Below Quality Standards</v>
      </c>
      <c r="I286" t="str">
        <f>IFERROR(__xludf.DUMMYFUNCTION("""COMPUTED_VALUE"""),"Development")</f>
        <v>Development</v>
      </c>
      <c r="J286" t="str">
        <f>IFERROR(__xludf.DUMMYFUNCTION("""COMPUTED_VALUE"""),"Web Development")</f>
        <v>Web Development</v>
      </c>
      <c r="K286" s="140">
        <f>IFERROR(__xludf.DUMMYFUNCTION("""COMPUTED_VALUE"""),708578.0)</f>
        <v>708578</v>
      </c>
      <c r="L286" s="140" t="str">
        <f>IFERROR(__xludf.DUMMYFUNCTION("""COMPUTED_VALUE"""),"")</f>
        <v/>
      </c>
      <c r="M286" s="140">
        <f>IFERROR(__xludf.DUMMYFUNCTION("""COMPUTED_VALUE"""),41356.0)</f>
        <v>41356</v>
      </c>
      <c r="N286" s="140" t="str">
        <f>IFERROR(__xludf.DUMMYFUNCTION("""COMPUTED_VALUE"""),"")</f>
        <v/>
      </c>
    </row>
    <row r="287">
      <c r="A287" s="143">
        <f>IFERROR(__xludf.DUMMYFUNCTION("""COMPUTED_VALUE"""),42855.0)</f>
        <v>42855</v>
      </c>
      <c r="B287" s="140">
        <f>IFERROR(__xludf.DUMMYFUNCTION("""COMPUTED_VALUE"""),59014.0)</f>
        <v>59014</v>
      </c>
      <c r="C287" s="140" t="str">
        <f>IFERROR(__xludf.DUMMYFUNCTION("""COMPUTED_VALUE"""),"#N/A")</f>
        <v>#N/A</v>
      </c>
      <c r="D287" t="str">
        <f>IFERROR(__xludf.DUMMYFUNCTION("""COMPUTED_VALUE"""),"Justin Mitchel")</f>
        <v>Justin Mitchel</v>
      </c>
      <c r="E287" t="str">
        <f>IFERROR(__xludf.DUMMYFUNCTION("""COMPUTED_VALUE"""),"Y")</f>
        <v>Y</v>
      </c>
      <c r="G287" t="str">
        <f>IFERROR(__xludf.DUMMYFUNCTION("""COMPUTED_VALUE"""),"Y")</f>
        <v>Y</v>
      </c>
      <c r="H287" t="str">
        <f>IFERROR(__xludf.DUMMYFUNCTION("""COMPUTED_VALUE"""),"Below Quality Standards")</f>
        <v>Below Quality Standards</v>
      </c>
      <c r="I287" t="str">
        <f>IFERROR(__xludf.DUMMYFUNCTION("""COMPUTED_VALUE"""),"Development")</f>
        <v>Development</v>
      </c>
      <c r="J287" t="str">
        <f>IFERROR(__xludf.DUMMYFUNCTION("""COMPUTED_VALUE"""),"Web Development")</f>
        <v>Web Development</v>
      </c>
      <c r="K287" s="140">
        <f>IFERROR(__xludf.DUMMYFUNCTION("""COMPUTED_VALUE"""),822444.0)</f>
        <v>822444</v>
      </c>
      <c r="L287" s="140" t="str">
        <f>IFERROR(__xludf.DUMMYFUNCTION("""COMPUTED_VALUE"""),"")</f>
        <v/>
      </c>
      <c r="N287" s="140" t="str">
        <f>IFERROR(__xludf.DUMMYFUNCTION("""COMPUTED_VALUE"""),"")</f>
        <v/>
      </c>
    </row>
    <row r="288">
      <c r="A288" s="143">
        <f>IFERROR(__xludf.DUMMYFUNCTION("""COMPUTED_VALUE"""),42855.0)</f>
        <v>42855</v>
      </c>
      <c r="B288" s="140">
        <f>IFERROR(__xludf.DUMMYFUNCTION("""COMPUTED_VALUE"""),311916.0)</f>
        <v>311916</v>
      </c>
      <c r="C288" s="140" t="str">
        <f>IFERROR(__xludf.DUMMYFUNCTION("""COMPUTED_VALUE"""),"#N/A")</f>
        <v>#N/A</v>
      </c>
      <c r="D288" t="str">
        <f>IFERROR(__xludf.DUMMYFUNCTION("""COMPUTED_VALUE"""),"Simon Sez IT")</f>
        <v>Simon Sez IT</v>
      </c>
      <c r="E288" t="str">
        <f>IFERROR(__xludf.DUMMYFUNCTION("""COMPUTED_VALUE"""),"Y")</f>
        <v>Y</v>
      </c>
      <c r="G288" t="str">
        <f>IFERROR(__xludf.DUMMYFUNCTION("""COMPUTED_VALUE"""),"Y")</f>
        <v>Y</v>
      </c>
      <c r="H288" t="str">
        <f>IFERROR(__xludf.DUMMYFUNCTION("""COMPUTED_VALUE"""),"Below Quality Standards")</f>
        <v>Below Quality Standards</v>
      </c>
      <c r="I288" t="str">
        <f>IFERROR(__xludf.DUMMYFUNCTION("""COMPUTED_VALUE"""),"Development")</f>
        <v>Development</v>
      </c>
      <c r="J288" t="str">
        <f>IFERROR(__xludf.DUMMYFUNCTION("""COMPUTED_VALUE"""),"Web Development")</f>
        <v>Web Development</v>
      </c>
      <c r="K288" s="140">
        <f>IFERROR(__xludf.DUMMYFUNCTION("""COMPUTED_VALUE"""),708578.0)</f>
        <v>708578</v>
      </c>
      <c r="L288" s="140" t="str">
        <f>IFERROR(__xludf.DUMMYFUNCTION("""COMPUTED_VALUE"""),"")</f>
        <v/>
      </c>
      <c r="N288" s="140" t="str">
        <f>IFERROR(__xludf.DUMMYFUNCTION("""COMPUTED_VALUE"""),"")</f>
        <v/>
      </c>
    </row>
    <row r="289">
      <c r="A289" s="143">
        <f>IFERROR(__xludf.DUMMYFUNCTION("""COMPUTED_VALUE"""),42855.0)</f>
        <v>42855</v>
      </c>
      <c r="B289" s="140">
        <f>IFERROR(__xludf.DUMMYFUNCTION("""COMPUTED_VALUE"""),19260.0)</f>
        <v>19260</v>
      </c>
      <c r="C289" s="140" t="str">
        <f>IFERROR(__xludf.DUMMYFUNCTION("""COMPUTED_VALUE"""),"#N/A")</f>
        <v>#N/A</v>
      </c>
      <c r="D289" t="str">
        <f>IFERROR(__xludf.DUMMYFUNCTION("""COMPUTED_VALUE"""),"Chris Converse ")</f>
        <v>Chris Converse </v>
      </c>
      <c r="E289" t="str">
        <f>IFERROR(__xludf.DUMMYFUNCTION("""COMPUTED_VALUE"""),"Y")</f>
        <v>Y</v>
      </c>
      <c r="G289" t="str">
        <f>IFERROR(__xludf.DUMMYFUNCTION("""COMPUTED_VALUE"""),"Y")</f>
        <v>Y</v>
      </c>
      <c r="H289" t="str">
        <f>IFERROR(__xludf.DUMMYFUNCTION("""COMPUTED_VALUE"""),"Outdated")</f>
        <v>Outdated</v>
      </c>
      <c r="I289" t="str">
        <f>IFERROR(__xludf.DUMMYFUNCTION("""COMPUTED_VALUE"""),"Development")</f>
        <v>Development</v>
      </c>
      <c r="J289" t="str">
        <f>IFERROR(__xludf.DUMMYFUNCTION("""COMPUTED_VALUE"""),"Web Development")</f>
        <v>Web Development</v>
      </c>
      <c r="K289" s="140">
        <f>IFERROR(__xludf.DUMMYFUNCTION("""COMPUTED_VALUE"""),708578.0)</f>
        <v>708578</v>
      </c>
      <c r="L289" s="140" t="str">
        <f>IFERROR(__xludf.DUMMYFUNCTION("""COMPUTED_VALUE"""),"")</f>
        <v/>
      </c>
      <c r="N289" s="140" t="str">
        <f>IFERROR(__xludf.DUMMYFUNCTION("""COMPUTED_VALUE"""),"")</f>
        <v/>
      </c>
    </row>
    <row r="290">
      <c r="A290" s="143">
        <f>IFERROR(__xludf.DUMMYFUNCTION("""COMPUTED_VALUE"""),42855.0)</f>
        <v>42855</v>
      </c>
      <c r="B290" s="140">
        <f>IFERROR(__xludf.DUMMYFUNCTION("""COMPUTED_VALUE"""),69414.0)</f>
        <v>69414</v>
      </c>
      <c r="C290" s="140" t="str">
        <f>IFERROR(__xludf.DUMMYFUNCTION("""COMPUTED_VALUE"""),"#N/A")</f>
        <v>#N/A</v>
      </c>
      <c r="D290" t="str">
        <f>IFERROR(__xludf.DUMMYFUNCTION("""COMPUTED_VALUE"""),"Chris Converse ")</f>
        <v>Chris Converse </v>
      </c>
      <c r="E290" t="str">
        <f>IFERROR(__xludf.DUMMYFUNCTION("""COMPUTED_VALUE"""),"Y")</f>
        <v>Y</v>
      </c>
      <c r="G290" t="str">
        <f>IFERROR(__xludf.DUMMYFUNCTION("""COMPUTED_VALUE"""),"Y")</f>
        <v>Y</v>
      </c>
      <c r="H290" t="str">
        <f>IFERROR(__xludf.DUMMYFUNCTION("""COMPUTED_VALUE"""),"Below Quality Standards")</f>
        <v>Below Quality Standards</v>
      </c>
      <c r="I290" t="str">
        <f>IFERROR(__xludf.DUMMYFUNCTION("""COMPUTED_VALUE"""),"Development")</f>
        <v>Development</v>
      </c>
      <c r="J290" t="str">
        <f>IFERROR(__xludf.DUMMYFUNCTION("""COMPUTED_VALUE"""),"Web Development")</f>
        <v>Web Development</v>
      </c>
      <c r="K290" s="140">
        <f>IFERROR(__xludf.DUMMYFUNCTION("""COMPUTED_VALUE"""),405926.0)</f>
        <v>405926</v>
      </c>
      <c r="L290" s="140" t="str">
        <f>IFERROR(__xludf.DUMMYFUNCTION("""COMPUTED_VALUE"""),"")</f>
        <v/>
      </c>
      <c r="N290" s="140" t="str">
        <f>IFERROR(__xludf.DUMMYFUNCTION("""COMPUTED_VALUE"""),"")</f>
        <v/>
      </c>
      <c r="R290" t="str">
        <f>IFERROR(__xludf.DUMMYFUNCTION("""COMPUTED_VALUE"""),"Marketing")</f>
        <v>Marketing</v>
      </c>
      <c r="S290" t="str">
        <f>IFERROR(__xludf.DUMMYFUNCTION("""COMPUTED_VALUE"""),"Content and Email Marketing")</f>
        <v>Content and Email Marketing</v>
      </c>
    </row>
    <row r="291">
      <c r="A291" s="143">
        <f>IFERROR(__xludf.DUMMYFUNCTION("""COMPUTED_VALUE"""),42855.0)</f>
        <v>42855</v>
      </c>
      <c r="B291" s="140">
        <f>IFERROR(__xludf.DUMMYFUNCTION("""COMPUTED_VALUE"""),581820.0)</f>
        <v>581820</v>
      </c>
      <c r="C291" s="140" t="str">
        <f>IFERROR(__xludf.DUMMYFUNCTION("""COMPUTED_VALUE"""),"#N/A")</f>
        <v>#N/A</v>
      </c>
      <c r="D291" t="str">
        <f>IFERROR(__xludf.DUMMYFUNCTION("""COMPUTED_VALUE"""),"Dmitry Noranovich")</f>
        <v>Dmitry Noranovich</v>
      </c>
      <c r="E291" t="str">
        <f>IFERROR(__xludf.DUMMYFUNCTION("""COMPUTED_VALUE"""),"Y")</f>
        <v>Y</v>
      </c>
      <c r="G291" t="str">
        <f>IFERROR(__xludf.DUMMYFUNCTION("""COMPUTED_VALUE"""),"Y")</f>
        <v>Y</v>
      </c>
      <c r="H291" t="str">
        <f>IFERROR(__xludf.DUMMYFUNCTION("""COMPUTED_VALUE"""),"Below Quality Standards")</f>
        <v>Below Quality Standards</v>
      </c>
      <c r="I291" t="str">
        <f>IFERROR(__xludf.DUMMYFUNCTION("""COMPUTED_VALUE"""),"Development")</f>
        <v>Development</v>
      </c>
      <c r="J291" t="str">
        <f>IFERROR(__xludf.DUMMYFUNCTION("""COMPUTED_VALUE"""),"Web Development")</f>
        <v>Web Development</v>
      </c>
      <c r="L291" s="140" t="str">
        <f>IFERROR(__xludf.DUMMYFUNCTION("""COMPUTED_VALUE"""),"")</f>
        <v/>
      </c>
      <c r="N291" s="140" t="str">
        <f>IFERROR(__xludf.DUMMYFUNCTION("""COMPUTED_VALUE"""),"")</f>
        <v/>
      </c>
    </row>
    <row r="292">
      <c r="A292" s="143">
        <f>IFERROR(__xludf.DUMMYFUNCTION("""COMPUTED_VALUE"""),42855.0)</f>
        <v>42855</v>
      </c>
      <c r="B292" s="140">
        <f>IFERROR(__xludf.DUMMYFUNCTION("""COMPUTED_VALUE"""),417914.0)</f>
        <v>417914</v>
      </c>
      <c r="C292" s="140" t="str">
        <f>IFERROR(__xludf.DUMMYFUNCTION("""COMPUTED_VALUE"""),"#N/A")</f>
        <v>#N/A</v>
      </c>
      <c r="D292" t="str">
        <f>IFERROR(__xludf.DUMMYFUNCTION("""COMPUTED_VALUE"""),"Arkadiusz Włodarczyk ")</f>
        <v>Arkadiusz Włodarczyk </v>
      </c>
      <c r="E292" t="str">
        <f>IFERROR(__xludf.DUMMYFUNCTION("""COMPUTED_VALUE"""),"Y")</f>
        <v>Y</v>
      </c>
      <c r="G292" t="str">
        <f>IFERROR(__xludf.DUMMYFUNCTION("""COMPUTED_VALUE"""),"Y")</f>
        <v>Y</v>
      </c>
      <c r="H292" t="str">
        <f>IFERROR(__xludf.DUMMYFUNCTION("""COMPUTED_VALUE"""),"Below Quality Standards")</f>
        <v>Below Quality Standards</v>
      </c>
      <c r="I292" t="str">
        <f>IFERROR(__xludf.DUMMYFUNCTION("""COMPUTED_VALUE"""),"Development")</f>
        <v>Development</v>
      </c>
      <c r="J292" t="str">
        <f>IFERROR(__xludf.DUMMYFUNCTION("""COMPUTED_VALUE"""),"Web Development")</f>
        <v>Web Development</v>
      </c>
      <c r="K292" s="140">
        <f>IFERROR(__xludf.DUMMYFUNCTION("""COMPUTED_VALUE"""),330900.0)</f>
        <v>330900</v>
      </c>
      <c r="L292" s="140" t="str">
        <f>IFERROR(__xludf.DUMMYFUNCTION("""COMPUTED_VALUE"""),"")</f>
        <v/>
      </c>
      <c r="N292" s="140" t="str">
        <f>IFERROR(__xludf.DUMMYFUNCTION("""COMPUTED_VALUE"""),"")</f>
        <v/>
      </c>
    </row>
    <row r="293">
      <c r="A293" s="143">
        <f>IFERROR(__xludf.DUMMYFUNCTION("""COMPUTED_VALUE"""),42855.0)</f>
        <v>42855</v>
      </c>
      <c r="B293" s="140">
        <f>IFERROR(__xludf.DUMMYFUNCTION("""COMPUTED_VALUE"""),533716.0)</f>
        <v>533716</v>
      </c>
      <c r="C293" s="140" t="str">
        <f>IFERROR(__xludf.DUMMYFUNCTION("""COMPUTED_VALUE"""),"#N/A")</f>
        <v>#N/A</v>
      </c>
      <c r="D293" t="str">
        <f>IFERROR(__xludf.DUMMYFUNCTION("""COMPUTED_VALUE"""),"Rob Sutcliffe ")</f>
        <v>Rob Sutcliffe </v>
      </c>
      <c r="E293" t="str">
        <f>IFERROR(__xludf.DUMMYFUNCTION("""COMPUTED_VALUE"""),"Y")</f>
        <v>Y</v>
      </c>
      <c r="G293" t="str">
        <f>IFERROR(__xludf.DUMMYFUNCTION("""COMPUTED_VALUE"""),"Y")</f>
        <v>Y</v>
      </c>
      <c r="H293" t="str">
        <f>IFERROR(__xludf.DUMMYFUNCTION("""COMPUTED_VALUE"""),"Below Quality Standards")</f>
        <v>Below Quality Standards</v>
      </c>
      <c r="I293" t="str">
        <f>IFERROR(__xludf.DUMMYFUNCTION("""COMPUTED_VALUE"""),"Development")</f>
        <v>Development</v>
      </c>
      <c r="J293" t="str">
        <f>IFERROR(__xludf.DUMMYFUNCTION("""COMPUTED_VALUE"""),"Web Development")</f>
        <v>Web Development</v>
      </c>
      <c r="K293" s="140">
        <f>IFERROR(__xludf.DUMMYFUNCTION("""COMPUTED_VALUE"""),382786.0)</f>
        <v>382786</v>
      </c>
      <c r="L293" s="140" t="str">
        <f>IFERROR(__xludf.DUMMYFUNCTION("""COMPUTED_VALUE"""),"")</f>
        <v/>
      </c>
      <c r="M293" s="140">
        <f>IFERROR(__xludf.DUMMYFUNCTION("""COMPUTED_VALUE"""),746014.0)</f>
        <v>746014</v>
      </c>
      <c r="N293" s="140" t="str">
        <f>IFERROR(__xludf.DUMMYFUNCTION("""COMPUTED_VALUE"""),"")</f>
        <v/>
      </c>
    </row>
    <row r="294">
      <c r="A294" s="143">
        <f>IFERROR(__xludf.DUMMYFUNCTION("""COMPUTED_VALUE"""),42855.0)</f>
        <v>42855</v>
      </c>
      <c r="B294" s="140">
        <f>IFERROR(__xludf.DUMMYFUNCTION("""COMPUTED_VALUE"""),200824.0)</f>
        <v>200824</v>
      </c>
      <c r="C294" s="140" t="str">
        <f>IFERROR(__xludf.DUMMYFUNCTION("""COMPUTED_VALUE"""),"#N/A")</f>
        <v>#N/A</v>
      </c>
      <c r="D294" t="str">
        <f>IFERROR(__xludf.DUMMYFUNCTION("""COMPUTED_VALUE"""),"Marie Taylor")</f>
        <v>Marie Taylor</v>
      </c>
      <c r="E294" t="str">
        <f>IFERROR(__xludf.DUMMYFUNCTION("""COMPUTED_VALUE"""),"Y")</f>
        <v>Y</v>
      </c>
      <c r="G294" t="str">
        <f>IFERROR(__xludf.DUMMYFUNCTION("""COMPUTED_VALUE"""),"Y")</f>
        <v>Y</v>
      </c>
      <c r="H294" t="str">
        <f>IFERROR(__xludf.DUMMYFUNCTION("""COMPUTED_VALUE"""),"Below Quality Standards")</f>
        <v>Below Quality Standards</v>
      </c>
      <c r="I294" t="str">
        <f>IFERROR(__xludf.DUMMYFUNCTION("""COMPUTED_VALUE"""),"Development")</f>
        <v>Development</v>
      </c>
      <c r="J294" t="str">
        <f>IFERROR(__xludf.DUMMYFUNCTION("""COMPUTED_VALUE"""),"Web Development")</f>
        <v>Web Development</v>
      </c>
      <c r="K294" s="140">
        <f>IFERROR(__xludf.DUMMYFUNCTION("""COMPUTED_VALUE"""),937134.0)</f>
        <v>937134</v>
      </c>
      <c r="L294" s="140" t="str">
        <f>IFERROR(__xludf.DUMMYFUNCTION("""COMPUTED_VALUE"""),"")</f>
        <v/>
      </c>
      <c r="N294" s="140" t="str">
        <f>IFERROR(__xludf.DUMMYFUNCTION("""COMPUTED_VALUE"""),"")</f>
        <v/>
      </c>
    </row>
    <row r="295">
      <c r="A295" s="143">
        <f>IFERROR(__xludf.DUMMYFUNCTION("""COMPUTED_VALUE"""),42855.0)</f>
        <v>42855</v>
      </c>
      <c r="B295" s="140">
        <f>IFERROR(__xludf.DUMMYFUNCTION("""COMPUTED_VALUE"""),212384.0)</f>
        <v>212384</v>
      </c>
      <c r="C295" s="140" t="str">
        <f>IFERROR(__xludf.DUMMYFUNCTION("""COMPUTED_VALUE"""),"#N/A")</f>
        <v>#N/A</v>
      </c>
      <c r="D295" t="str">
        <f>IFERROR(__xludf.DUMMYFUNCTION("""COMPUTED_VALUE"""),"RefactorU LLC")</f>
        <v>RefactorU LLC</v>
      </c>
      <c r="E295" t="str">
        <f>IFERROR(__xludf.DUMMYFUNCTION("""COMPUTED_VALUE"""),"Y")</f>
        <v>Y</v>
      </c>
      <c r="G295" t="str">
        <f>IFERROR(__xludf.DUMMYFUNCTION("""COMPUTED_VALUE"""),"Y")</f>
        <v>Y</v>
      </c>
      <c r="H295" t="str">
        <f>IFERROR(__xludf.DUMMYFUNCTION("""COMPUTED_VALUE"""),"Below Quality Standards")</f>
        <v>Below Quality Standards</v>
      </c>
      <c r="I295" t="str">
        <f>IFERROR(__xludf.DUMMYFUNCTION("""COMPUTED_VALUE"""),"Development")</f>
        <v>Development</v>
      </c>
      <c r="J295" t="str">
        <f>IFERROR(__xludf.DUMMYFUNCTION("""COMPUTED_VALUE"""),"Web Development")</f>
        <v>Web Development</v>
      </c>
      <c r="K295" s="140">
        <f>IFERROR(__xludf.DUMMYFUNCTION("""COMPUTED_VALUE"""),452684.0)</f>
        <v>452684</v>
      </c>
      <c r="L295" s="140" t="str">
        <f>IFERROR(__xludf.DUMMYFUNCTION("""COMPUTED_VALUE"""),"")</f>
        <v/>
      </c>
      <c r="N295" s="140" t="str">
        <f>IFERROR(__xludf.DUMMYFUNCTION("""COMPUTED_VALUE"""),"")</f>
        <v/>
      </c>
    </row>
    <row r="296">
      <c r="A296" s="143">
        <f>IFERROR(__xludf.DUMMYFUNCTION("""COMPUTED_VALUE"""),42855.0)</f>
        <v>42855</v>
      </c>
      <c r="B296" s="140">
        <f>IFERROR(__xludf.DUMMYFUNCTION("""COMPUTED_VALUE"""),531952.0)</f>
        <v>531952</v>
      </c>
      <c r="C296" s="140" t="str">
        <f>IFERROR(__xludf.DUMMYFUNCTION("""COMPUTED_VALUE"""),"#N/A")</f>
        <v>#N/A</v>
      </c>
      <c r="D296" t="str">
        <f>IFERROR(__xludf.DUMMYFUNCTION("""COMPUTED_VALUE"""),"Microsoft Certified Trainer Mohammed Manzoor Ahmed ")</f>
        <v>Microsoft Certified Trainer Mohammed Manzoor Ahmed </v>
      </c>
      <c r="E296" t="str">
        <f>IFERROR(__xludf.DUMMYFUNCTION("""COMPUTED_VALUE"""),"Y")</f>
        <v>Y</v>
      </c>
      <c r="G296" t="str">
        <f>IFERROR(__xludf.DUMMYFUNCTION("""COMPUTED_VALUE"""),"Y")</f>
        <v>Y</v>
      </c>
      <c r="H296" t="str">
        <f>IFERROR(__xludf.DUMMYFUNCTION("""COMPUTED_VALUE"""),"Below Quality Standards")</f>
        <v>Below Quality Standards</v>
      </c>
      <c r="I296" t="str">
        <f>IFERROR(__xludf.DUMMYFUNCTION("""COMPUTED_VALUE"""),"Development")</f>
        <v>Development</v>
      </c>
      <c r="J296" t="str">
        <f>IFERROR(__xludf.DUMMYFUNCTION("""COMPUTED_VALUE"""),"Web Development")</f>
        <v>Web Development</v>
      </c>
      <c r="K296" s="140">
        <f>IFERROR(__xludf.DUMMYFUNCTION("""COMPUTED_VALUE"""),102132.0)</f>
        <v>102132</v>
      </c>
      <c r="L296" s="140" t="str">
        <f>IFERROR(__xludf.DUMMYFUNCTION("""COMPUTED_VALUE"""),"")</f>
        <v/>
      </c>
      <c r="N296" s="140" t="str">
        <f>IFERROR(__xludf.DUMMYFUNCTION("""COMPUTED_VALUE"""),"")</f>
        <v/>
      </c>
    </row>
    <row r="297">
      <c r="A297" s="143">
        <f>IFERROR(__xludf.DUMMYFUNCTION("""COMPUTED_VALUE"""),42855.0)</f>
        <v>42855</v>
      </c>
      <c r="B297" s="140">
        <f>IFERROR(__xludf.DUMMYFUNCTION("""COMPUTED_VALUE"""),333902.0)</f>
        <v>333902</v>
      </c>
      <c r="C297" s="140" t="str">
        <f>IFERROR(__xludf.DUMMYFUNCTION("""COMPUTED_VALUE"""),"#N/A")</f>
        <v>#N/A</v>
      </c>
      <c r="D297" t="str">
        <f>IFERROR(__xludf.DUMMYFUNCTION("""COMPUTED_VALUE"""),"Mike Harrison")</f>
        <v>Mike Harrison</v>
      </c>
      <c r="E297" t="str">
        <f>IFERROR(__xludf.DUMMYFUNCTION("""COMPUTED_VALUE"""),"Y")</f>
        <v>Y</v>
      </c>
      <c r="G297" t="str">
        <f>IFERROR(__xludf.DUMMYFUNCTION("""COMPUTED_VALUE"""),"Y")</f>
        <v>Y</v>
      </c>
      <c r="H297" t="str">
        <f>IFERROR(__xludf.DUMMYFUNCTION("""COMPUTED_VALUE"""),"Below Quality Standards")</f>
        <v>Below Quality Standards</v>
      </c>
      <c r="I297" t="str">
        <f>IFERROR(__xludf.DUMMYFUNCTION("""COMPUTED_VALUE"""),"Development")</f>
        <v>Development</v>
      </c>
      <c r="J297" t="str">
        <f>IFERROR(__xludf.DUMMYFUNCTION("""COMPUTED_VALUE"""),"Web Development")</f>
        <v>Web Development</v>
      </c>
      <c r="L297" s="140" t="str">
        <f>IFERROR(__xludf.DUMMYFUNCTION("""COMPUTED_VALUE"""),"")</f>
        <v/>
      </c>
      <c r="N297" s="140" t="str">
        <f>IFERROR(__xludf.DUMMYFUNCTION("""COMPUTED_VALUE"""),"")</f>
        <v/>
      </c>
    </row>
    <row r="298">
      <c r="A298" s="143">
        <f>IFERROR(__xludf.DUMMYFUNCTION("""COMPUTED_VALUE"""),42855.0)</f>
        <v>42855</v>
      </c>
      <c r="B298" s="140">
        <f>IFERROR(__xludf.DUMMYFUNCTION("""COMPUTED_VALUE"""),655298.0)</f>
        <v>655298</v>
      </c>
      <c r="C298" s="140" t="str">
        <f>IFERROR(__xludf.DUMMYFUNCTION("""COMPUTED_VALUE"""),"#N/A")</f>
        <v>#N/A</v>
      </c>
      <c r="D298" t="str">
        <f>IFERROR(__xludf.DUMMYFUNCTION("""COMPUTED_VALUE"""),"Eduonix Learning Solutions")</f>
        <v>Eduonix Learning Solutions</v>
      </c>
      <c r="E298" t="str">
        <f>IFERROR(__xludf.DUMMYFUNCTION("""COMPUTED_VALUE"""),"Y")</f>
        <v>Y</v>
      </c>
      <c r="G298" t="str">
        <f>IFERROR(__xludf.DUMMYFUNCTION("""COMPUTED_VALUE"""),"Y")</f>
        <v>Y</v>
      </c>
      <c r="H298" t="str">
        <f>IFERROR(__xludf.DUMMYFUNCTION("""COMPUTED_VALUE"""),"Below Quality Standards")</f>
        <v>Below Quality Standards</v>
      </c>
      <c r="I298" t="str">
        <f>IFERROR(__xludf.DUMMYFUNCTION("""COMPUTED_VALUE"""),"Development")</f>
        <v>Development</v>
      </c>
      <c r="J298" t="str">
        <f>IFERROR(__xludf.DUMMYFUNCTION("""COMPUTED_VALUE"""),"Web Development")</f>
        <v>Web Development</v>
      </c>
      <c r="K298" s="140">
        <f>IFERROR(__xludf.DUMMYFUNCTION("""COMPUTED_VALUE"""),671552.0)</f>
        <v>671552</v>
      </c>
      <c r="L298" s="140" t="str">
        <f>IFERROR(__xludf.DUMMYFUNCTION("""COMPUTED_VALUE"""),"")</f>
        <v/>
      </c>
      <c r="N298" s="140" t="str">
        <f>IFERROR(__xludf.DUMMYFUNCTION("""COMPUTED_VALUE"""),"")</f>
        <v/>
      </c>
    </row>
    <row r="299">
      <c r="A299" s="143">
        <f>IFERROR(__xludf.DUMMYFUNCTION("""COMPUTED_VALUE"""),42855.0)</f>
        <v>42855</v>
      </c>
      <c r="B299" s="140">
        <f>IFERROR(__xludf.DUMMYFUNCTION("""COMPUTED_VALUE"""),98958.0)</f>
        <v>98958</v>
      </c>
      <c r="C299" s="140" t="str">
        <f>IFERROR(__xludf.DUMMYFUNCTION("""COMPUTED_VALUE"""),"#N/A")</f>
        <v>#N/A</v>
      </c>
      <c r="D299" t="str">
        <f>IFERROR(__xludf.DUMMYFUNCTION("""COMPUTED_VALUE"""),"Jesse Boyer ")</f>
        <v>Jesse Boyer </v>
      </c>
      <c r="E299" t="str">
        <f>IFERROR(__xludf.DUMMYFUNCTION("""COMPUTED_VALUE"""),"Y")</f>
        <v>Y</v>
      </c>
      <c r="G299" t="str">
        <f>IFERROR(__xludf.DUMMYFUNCTION("""COMPUTED_VALUE"""),"Y")</f>
        <v>Y</v>
      </c>
      <c r="H299" t="str">
        <f>IFERROR(__xludf.DUMMYFUNCTION("""COMPUTED_VALUE"""),"Outdated")</f>
        <v>Outdated</v>
      </c>
      <c r="I299" t="str">
        <f>IFERROR(__xludf.DUMMYFUNCTION("""COMPUTED_VALUE"""),"Development")</f>
        <v>Development</v>
      </c>
      <c r="J299" t="str">
        <f>IFERROR(__xludf.DUMMYFUNCTION("""COMPUTED_VALUE"""),"Web Development")</f>
        <v>Web Development</v>
      </c>
      <c r="L299" s="140" t="str">
        <f>IFERROR(__xludf.DUMMYFUNCTION("""COMPUTED_VALUE"""),"")</f>
        <v/>
      </c>
      <c r="N299" s="140" t="str">
        <f>IFERROR(__xludf.DUMMYFUNCTION("""COMPUTED_VALUE"""),"")</f>
        <v/>
      </c>
    </row>
    <row r="300">
      <c r="A300" s="143">
        <f>IFERROR(__xludf.DUMMYFUNCTION("""COMPUTED_VALUE"""),42855.0)</f>
        <v>42855</v>
      </c>
      <c r="B300" s="140">
        <f>IFERROR(__xludf.DUMMYFUNCTION("""COMPUTED_VALUE"""),129572.0)</f>
        <v>129572</v>
      </c>
      <c r="C300" s="140" t="str">
        <f>IFERROR(__xludf.DUMMYFUNCTION("""COMPUTED_VALUE"""),"#N/A")</f>
        <v>#N/A</v>
      </c>
      <c r="D300" t="str">
        <f>IFERROR(__xludf.DUMMYFUNCTION("""COMPUTED_VALUE"""),"Simon Sez IT")</f>
        <v>Simon Sez IT</v>
      </c>
      <c r="E300" t="str">
        <f>IFERROR(__xludf.DUMMYFUNCTION("""COMPUTED_VALUE"""),"Y")</f>
        <v>Y</v>
      </c>
      <c r="G300" t="str">
        <f>IFERROR(__xludf.DUMMYFUNCTION("""COMPUTED_VALUE"""),"Y")</f>
        <v>Y</v>
      </c>
      <c r="H300" t="str">
        <f>IFERROR(__xludf.DUMMYFUNCTION("""COMPUTED_VALUE"""),"Below Quality Standards")</f>
        <v>Below Quality Standards</v>
      </c>
      <c r="I300" t="str">
        <f>IFERROR(__xludf.DUMMYFUNCTION("""COMPUTED_VALUE"""),"Development")</f>
        <v>Development</v>
      </c>
      <c r="J300" t="str">
        <f>IFERROR(__xludf.DUMMYFUNCTION("""COMPUTED_VALUE"""),"Web Development")</f>
        <v>Web Development</v>
      </c>
      <c r="K300" s="140">
        <f>IFERROR(__xludf.DUMMYFUNCTION("""COMPUTED_VALUE"""),405282.0)</f>
        <v>405282</v>
      </c>
      <c r="L300" s="140" t="str">
        <f>IFERROR(__xludf.DUMMYFUNCTION("""COMPUTED_VALUE"""),"")</f>
        <v/>
      </c>
      <c r="M300" s="140">
        <f>IFERROR(__xludf.DUMMYFUNCTION("""COMPUTED_VALUE"""),785066.0)</f>
        <v>785066</v>
      </c>
      <c r="N300" s="140" t="str">
        <f>IFERROR(__xludf.DUMMYFUNCTION("""COMPUTED_VALUE"""),"")</f>
        <v/>
      </c>
      <c r="R300" t="str">
        <f>IFERROR(__xludf.DUMMYFUNCTION("""COMPUTED_VALUE"""),"Development")</f>
        <v>Development</v>
      </c>
      <c r="S300" t="str">
        <f>IFERROR(__xludf.DUMMYFUNCTION("""COMPUTED_VALUE"""),"Databases")</f>
        <v>Databases</v>
      </c>
    </row>
    <row r="301">
      <c r="A301" s="143">
        <f>IFERROR(__xludf.DUMMYFUNCTION("""COMPUTED_VALUE"""),42855.0)</f>
        <v>42855</v>
      </c>
      <c r="B301" s="140">
        <f>IFERROR(__xludf.DUMMYFUNCTION("""COMPUTED_VALUE"""),684778.0)</f>
        <v>684778</v>
      </c>
      <c r="C301" s="140" t="str">
        <f>IFERROR(__xludf.DUMMYFUNCTION("""COMPUTED_VALUE"""),"#N/A")</f>
        <v>#N/A</v>
      </c>
      <c r="D301" t="str">
        <f>IFERROR(__xludf.DUMMYFUNCTION("""COMPUTED_VALUE"""),"Eduonix Learning Solutions")</f>
        <v>Eduonix Learning Solutions</v>
      </c>
      <c r="E301" t="str">
        <f>IFERROR(__xludf.DUMMYFUNCTION("""COMPUTED_VALUE"""),"Y")</f>
        <v>Y</v>
      </c>
      <c r="G301" t="str">
        <f>IFERROR(__xludf.DUMMYFUNCTION("""COMPUTED_VALUE"""),"Y")</f>
        <v>Y</v>
      </c>
      <c r="H301" t="str">
        <f>IFERROR(__xludf.DUMMYFUNCTION("""COMPUTED_VALUE"""),"Outdated")</f>
        <v>Outdated</v>
      </c>
      <c r="I301" t="str">
        <f>IFERROR(__xludf.DUMMYFUNCTION("""COMPUTED_VALUE"""),"Development")</f>
        <v>Development</v>
      </c>
      <c r="J301" t="str">
        <f>IFERROR(__xludf.DUMMYFUNCTION("""COMPUTED_VALUE"""),"Web Development")</f>
        <v>Web Development</v>
      </c>
      <c r="L301" s="140" t="str">
        <f>IFERROR(__xludf.DUMMYFUNCTION("""COMPUTED_VALUE"""),"")</f>
        <v/>
      </c>
      <c r="N301" s="140" t="str">
        <f>IFERROR(__xludf.DUMMYFUNCTION("""COMPUTED_VALUE"""),"")</f>
        <v/>
      </c>
    </row>
    <row r="302">
      <c r="A302" s="143">
        <f>IFERROR(__xludf.DUMMYFUNCTION("""COMPUTED_VALUE"""),42855.0)</f>
        <v>42855</v>
      </c>
      <c r="B302" s="140">
        <f>IFERROR(__xludf.DUMMYFUNCTION("""COMPUTED_VALUE"""),630984.0)</f>
        <v>630984</v>
      </c>
      <c r="C302" s="140" t="str">
        <f>IFERROR(__xludf.DUMMYFUNCTION("""COMPUTED_VALUE"""),"#N/A")</f>
        <v>#N/A</v>
      </c>
      <c r="D302" t="str">
        <f>IFERROR(__xludf.DUMMYFUNCTION("""COMPUTED_VALUE"""),"Eduonix Learning Solutions")</f>
        <v>Eduonix Learning Solutions</v>
      </c>
      <c r="E302" t="str">
        <f>IFERROR(__xludf.DUMMYFUNCTION("""COMPUTED_VALUE"""),"Y")</f>
        <v>Y</v>
      </c>
      <c r="G302" t="str">
        <f>IFERROR(__xludf.DUMMYFUNCTION("""COMPUTED_VALUE"""),"Y")</f>
        <v>Y</v>
      </c>
      <c r="H302" t="str">
        <f>IFERROR(__xludf.DUMMYFUNCTION("""COMPUTED_VALUE"""),"Below Quality Standards")</f>
        <v>Below Quality Standards</v>
      </c>
      <c r="I302" t="str">
        <f>IFERROR(__xludf.DUMMYFUNCTION("""COMPUTED_VALUE"""),"Development")</f>
        <v>Development</v>
      </c>
      <c r="J302" t="str">
        <f>IFERROR(__xludf.DUMMYFUNCTION("""COMPUTED_VALUE"""),"Web Development")</f>
        <v>Web Development</v>
      </c>
      <c r="K302" s="140">
        <f>IFERROR(__xludf.DUMMYFUNCTION("""COMPUTED_VALUE"""),306556.0)</f>
        <v>306556</v>
      </c>
      <c r="L302" s="140" t="str">
        <f>IFERROR(__xludf.DUMMYFUNCTION("""COMPUTED_VALUE"""),"")</f>
        <v/>
      </c>
      <c r="N302" s="140" t="str">
        <f>IFERROR(__xludf.DUMMYFUNCTION("""COMPUTED_VALUE"""),"")</f>
        <v/>
      </c>
    </row>
    <row r="303">
      <c r="A303" s="143">
        <f>IFERROR(__xludf.DUMMYFUNCTION("""COMPUTED_VALUE"""),42855.0)</f>
        <v>42855</v>
      </c>
      <c r="B303" s="140">
        <f>IFERROR(__xludf.DUMMYFUNCTION("""COMPUTED_VALUE"""),369132.0)</f>
        <v>369132</v>
      </c>
      <c r="C303" s="140" t="str">
        <f>IFERROR(__xludf.DUMMYFUNCTION("""COMPUTED_VALUE"""),"#N/A")</f>
        <v>#N/A</v>
      </c>
      <c r="D303" t="str">
        <f>IFERROR(__xludf.DUMMYFUNCTION("""COMPUTED_VALUE"""),"Alex Yang ")</f>
        <v>Alex Yang </v>
      </c>
      <c r="E303" t="str">
        <f>IFERROR(__xludf.DUMMYFUNCTION("""COMPUTED_VALUE"""),"Y")</f>
        <v>Y</v>
      </c>
      <c r="G303" t="str">
        <f>IFERROR(__xludf.DUMMYFUNCTION("""COMPUTED_VALUE"""),"Y")</f>
        <v>Y</v>
      </c>
      <c r="H303" t="str">
        <f>IFERROR(__xludf.DUMMYFUNCTION("""COMPUTED_VALUE"""),"Outdated")</f>
        <v>Outdated</v>
      </c>
      <c r="I303" t="str">
        <f>IFERROR(__xludf.DUMMYFUNCTION("""COMPUTED_VALUE"""),"Development")</f>
        <v>Development</v>
      </c>
      <c r="J303" t="str">
        <f>IFERROR(__xludf.DUMMYFUNCTION("""COMPUTED_VALUE"""),"Web Development")</f>
        <v>Web Development</v>
      </c>
      <c r="K303" s="140">
        <f>IFERROR(__xludf.DUMMYFUNCTION("""COMPUTED_VALUE"""),519442.0)</f>
        <v>519442</v>
      </c>
      <c r="L303" s="140" t="str">
        <f>IFERROR(__xludf.DUMMYFUNCTION("""COMPUTED_VALUE"""),"")</f>
        <v/>
      </c>
      <c r="N303" s="140" t="str">
        <f>IFERROR(__xludf.DUMMYFUNCTION("""COMPUTED_VALUE"""),"")</f>
        <v/>
      </c>
    </row>
    <row r="304">
      <c r="A304" s="143">
        <f>IFERROR(__xludf.DUMMYFUNCTION("""COMPUTED_VALUE"""),42855.0)</f>
        <v>42855</v>
      </c>
      <c r="B304" s="140">
        <f>IFERROR(__xludf.DUMMYFUNCTION("""COMPUTED_VALUE"""),564268.0)</f>
        <v>564268</v>
      </c>
      <c r="C304" s="140" t="str">
        <f>IFERROR(__xludf.DUMMYFUNCTION("""COMPUTED_VALUE"""),"#N/A")</f>
        <v>#N/A</v>
      </c>
      <c r="D304" t="str">
        <f>IFERROR(__xludf.DUMMYFUNCTION("""COMPUTED_VALUE"""),"Eduonix Learning Solutions")</f>
        <v>Eduonix Learning Solutions</v>
      </c>
      <c r="E304" t="str">
        <f>IFERROR(__xludf.DUMMYFUNCTION("""COMPUTED_VALUE"""),"Y")</f>
        <v>Y</v>
      </c>
      <c r="G304" t="str">
        <f>IFERROR(__xludf.DUMMYFUNCTION("""COMPUTED_VALUE"""),"Y")</f>
        <v>Y</v>
      </c>
      <c r="H304" t="str">
        <f>IFERROR(__xludf.DUMMYFUNCTION("""COMPUTED_VALUE"""),"Below Quality Standards")</f>
        <v>Below Quality Standards</v>
      </c>
      <c r="I304" t="str">
        <f>IFERROR(__xludf.DUMMYFUNCTION("""COMPUTED_VALUE"""),"Development")</f>
        <v>Development</v>
      </c>
      <c r="J304" t="str">
        <f>IFERROR(__xludf.DUMMYFUNCTION("""COMPUTED_VALUE"""),"Web Development")</f>
        <v>Web Development</v>
      </c>
      <c r="L304" s="140" t="str">
        <f>IFERROR(__xludf.DUMMYFUNCTION("""COMPUTED_VALUE"""),"")</f>
        <v/>
      </c>
      <c r="N304" s="140" t="str">
        <f>IFERROR(__xludf.DUMMYFUNCTION("""COMPUTED_VALUE"""),"")</f>
        <v/>
      </c>
    </row>
    <row r="305">
      <c r="A305" s="143">
        <f>IFERROR(__xludf.DUMMYFUNCTION("""COMPUTED_VALUE"""),42855.0)</f>
        <v>42855</v>
      </c>
      <c r="B305" s="140">
        <f>IFERROR(__xludf.DUMMYFUNCTION("""COMPUTED_VALUE"""),64851.0)</f>
        <v>64851</v>
      </c>
      <c r="C305" s="140" t="str">
        <f>IFERROR(__xludf.DUMMYFUNCTION("""COMPUTED_VALUE"""),"#N/A")</f>
        <v>#N/A</v>
      </c>
      <c r="D305" t="str">
        <f>IFERROR(__xludf.DUMMYFUNCTION("""COMPUTED_VALUE"""),"Jesse Boyer ")</f>
        <v>Jesse Boyer </v>
      </c>
      <c r="E305" t="str">
        <f>IFERROR(__xludf.DUMMYFUNCTION("""COMPUTED_VALUE"""),"Y")</f>
        <v>Y</v>
      </c>
      <c r="G305" t="str">
        <f>IFERROR(__xludf.DUMMYFUNCTION("""COMPUTED_VALUE"""),"Y")</f>
        <v>Y</v>
      </c>
      <c r="H305" t="str">
        <f>IFERROR(__xludf.DUMMYFUNCTION("""COMPUTED_VALUE"""),"Below Quality Standards")</f>
        <v>Below Quality Standards</v>
      </c>
      <c r="I305" t="str">
        <f>IFERROR(__xludf.DUMMYFUNCTION("""COMPUTED_VALUE"""),"Development")</f>
        <v>Development</v>
      </c>
      <c r="J305" t="str">
        <f>IFERROR(__xludf.DUMMYFUNCTION("""COMPUTED_VALUE"""),"Web Development")</f>
        <v>Web Development</v>
      </c>
      <c r="K305" s="140">
        <f>IFERROR(__xludf.DUMMYFUNCTION("""COMPUTED_VALUE"""),567828.0)</f>
        <v>567828</v>
      </c>
      <c r="L305" s="140" t="str">
        <f>IFERROR(__xludf.DUMMYFUNCTION("""COMPUTED_VALUE"""),"")</f>
        <v/>
      </c>
      <c r="N305" s="140" t="str">
        <f>IFERROR(__xludf.DUMMYFUNCTION("""COMPUTED_VALUE"""),"")</f>
        <v/>
      </c>
    </row>
    <row r="306">
      <c r="A306" s="143">
        <f>IFERROR(__xludf.DUMMYFUNCTION("""COMPUTED_VALUE"""),42855.0)</f>
        <v>42855</v>
      </c>
      <c r="B306" s="140">
        <f>IFERROR(__xludf.DUMMYFUNCTION("""COMPUTED_VALUE"""),656974.0)</f>
        <v>656974</v>
      </c>
      <c r="C306" s="140" t="str">
        <f>IFERROR(__xludf.DUMMYFUNCTION("""COMPUTED_VALUE"""),"#N/A")</f>
        <v>#N/A</v>
      </c>
      <c r="D306" t="str">
        <f>IFERROR(__xludf.DUMMYFUNCTION("""COMPUTED_VALUE"""),"Sandy Ludosky ")</f>
        <v>Sandy Ludosky </v>
      </c>
      <c r="E306" t="str">
        <f>IFERROR(__xludf.DUMMYFUNCTION("""COMPUTED_VALUE"""),"Y")</f>
        <v>Y</v>
      </c>
      <c r="G306" t="str">
        <f>IFERROR(__xludf.DUMMYFUNCTION("""COMPUTED_VALUE"""),"Y")</f>
        <v>Y</v>
      </c>
      <c r="H306" t="str">
        <f>IFERROR(__xludf.DUMMYFUNCTION("""COMPUTED_VALUE"""),"Below Quality Standards")</f>
        <v>Below Quality Standards</v>
      </c>
      <c r="I306" t="str">
        <f>IFERROR(__xludf.DUMMYFUNCTION("""COMPUTED_VALUE"""),"Development")</f>
        <v>Development</v>
      </c>
      <c r="J306" t="str">
        <f>IFERROR(__xludf.DUMMYFUNCTION("""COMPUTED_VALUE"""),"Web Development")</f>
        <v>Web Development</v>
      </c>
      <c r="K306" s="140">
        <f>IFERROR(__xludf.DUMMYFUNCTION("""COMPUTED_VALUE"""),1286908.0)</f>
        <v>1286908</v>
      </c>
      <c r="L306" s="140" t="str">
        <f>IFERROR(__xludf.DUMMYFUNCTION("""COMPUTED_VALUE"""),"")</f>
        <v/>
      </c>
      <c r="M306" s="140">
        <f>IFERROR(__xludf.DUMMYFUNCTION("""COMPUTED_VALUE"""),705264.0)</f>
        <v>705264</v>
      </c>
      <c r="N306" s="140" t="str">
        <f>IFERROR(__xludf.DUMMYFUNCTION("""COMPUTED_VALUE"""),"")</f>
        <v/>
      </c>
    </row>
    <row r="307">
      <c r="A307" s="143">
        <f>IFERROR(__xludf.DUMMYFUNCTION("""COMPUTED_VALUE"""),42855.0)</f>
        <v>42855</v>
      </c>
      <c r="B307" s="140">
        <f>IFERROR(__xludf.DUMMYFUNCTION("""COMPUTED_VALUE"""),443658.0)</f>
        <v>443658</v>
      </c>
      <c r="C307" s="140" t="str">
        <f>IFERROR(__xludf.DUMMYFUNCTION("""COMPUTED_VALUE"""),"#N/A")</f>
        <v>#N/A</v>
      </c>
      <c r="D307" t="str">
        <f>IFERROR(__xludf.DUMMYFUNCTION("""COMPUTED_VALUE"""),"Huw Collingbourne")</f>
        <v>Huw Collingbourne</v>
      </c>
      <c r="E307" t="str">
        <f>IFERROR(__xludf.DUMMYFUNCTION("""COMPUTED_VALUE"""),"Y")</f>
        <v>Y</v>
      </c>
      <c r="G307" t="str">
        <f>IFERROR(__xludf.DUMMYFUNCTION("""COMPUTED_VALUE"""),"Y")</f>
        <v>Y</v>
      </c>
      <c r="H307" t="str">
        <f>IFERROR(__xludf.DUMMYFUNCTION("""COMPUTED_VALUE"""),"Below Quality Standards")</f>
        <v>Below Quality Standards</v>
      </c>
      <c r="I307" t="str">
        <f>IFERROR(__xludf.DUMMYFUNCTION("""COMPUTED_VALUE"""),"Development")</f>
        <v>Development</v>
      </c>
      <c r="J307" t="str">
        <f>IFERROR(__xludf.DUMMYFUNCTION("""COMPUTED_VALUE"""),"Web Development")</f>
        <v>Web Development</v>
      </c>
      <c r="K307" s="140">
        <f>IFERROR(__xludf.DUMMYFUNCTION("""COMPUTED_VALUE"""),739512.0)</f>
        <v>739512</v>
      </c>
      <c r="L307" s="140" t="str">
        <f>IFERROR(__xludf.DUMMYFUNCTION("""COMPUTED_VALUE"""),"")</f>
        <v/>
      </c>
      <c r="N307" s="140" t="str">
        <f>IFERROR(__xludf.DUMMYFUNCTION("""COMPUTED_VALUE"""),"")</f>
        <v/>
      </c>
    </row>
    <row r="308">
      <c r="A308" s="143">
        <f>IFERROR(__xludf.DUMMYFUNCTION("""COMPUTED_VALUE"""),42855.0)</f>
        <v>42855</v>
      </c>
      <c r="B308" s="140">
        <f>IFERROR(__xludf.DUMMYFUNCTION("""COMPUTED_VALUE"""),204486.0)</f>
        <v>204486</v>
      </c>
      <c r="C308" s="140" t="str">
        <f>IFERROR(__xludf.DUMMYFUNCTION("""COMPUTED_VALUE"""),"#N/A")</f>
        <v>#N/A</v>
      </c>
      <c r="D308" t="str">
        <f>IFERROR(__xludf.DUMMYFUNCTION("""COMPUTED_VALUE"""),"LearnToProgram, Inc.")</f>
        <v>LearnToProgram, Inc.</v>
      </c>
      <c r="E308" t="str">
        <f>IFERROR(__xludf.DUMMYFUNCTION("""COMPUTED_VALUE"""),"Y")</f>
        <v>Y</v>
      </c>
      <c r="G308" t="str">
        <f>IFERROR(__xludf.DUMMYFUNCTION("""COMPUTED_VALUE"""),"Y")</f>
        <v>Y</v>
      </c>
      <c r="H308" t="str">
        <f>IFERROR(__xludf.DUMMYFUNCTION("""COMPUTED_VALUE"""),"Below Quality Standards")</f>
        <v>Below Quality Standards</v>
      </c>
      <c r="I308" t="str">
        <f>IFERROR(__xludf.DUMMYFUNCTION("""COMPUTED_VALUE"""),"Development")</f>
        <v>Development</v>
      </c>
      <c r="J308" t="str">
        <f>IFERROR(__xludf.DUMMYFUNCTION("""COMPUTED_VALUE"""),"Web Development")</f>
        <v>Web Development</v>
      </c>
      <c r="K308" s="140">
        <f>IFERROR(__xludf.DUMMYFUNCTION("""COMPUTED_VALUE"""),519442.0)</f>
        <v>519442</v>
      </c>
      <c r="L308" s="140" t="str">
        <f>IFERROR(__xludf.DUMMYFUNCTION("""COMPUTED_VALUE"""),"")</f>
        <v/>
      </c>
      <c r="M308" s="140">
        <f>IFERROR(__xludf.DUMMYFUNCTION("""COMPUTED_VALUE"""),656522.0)</f>
        <v>656522</v>
      </c>
      <c r="N308" s="140" t="str">
        <f>IFERROR(__xludf.DUMMYFUNCTION("""COMPUTED_VALUE"""),"")</f>
        <v/>
      </c>
    </row>
    <row r="309">
      <c r="A309" s="143">
        <f>IFERROR(__xludf.DUMMYFUNCTION("""COMPUTED_VALUE"""),42855.0)</f>
        <v>42855</v>
      </c>
      <c r="B309" s="140">
        <f>IFERROR(__xludf.DUMMYFUNCTION("""COMPUTED_VALUE"""),23742.0)</f>
        <v>23742</v>
      </c>
      <c r="C309" s="140" t="str">
        <f>IFERROR(__xludf.DUMMYFUNCTION("""COMPUTED_VALUE"""),"#N/A")</f>
        <v>#N/A</v>
      </c>
      <c r="D309" t="str">
        <f>IFERROR(__xludf.DUMMYFUNCTION("""COMPUTED_VALUE"""),"John Purcell ")</f>
        <v>John Purcell </v>
      </c>
      <c r="E309" t="str">
        <f>IFERROR(__xludf.DUMMYFUNCTION("""COMPUTED_VALUE"""),"Y")</f>
        <v>Y</v>
      </c>
      <c r="G309" t="str">
        <f>IFERROR(__xludf.DUMMYFUNCTION("""COMPUTED_VALUE"""),"Y")</f>
        <v>Y</v>
      </c>
      <c r="H309" t="str">
        <f>IFERROR(__xludf.DUMMYFUNCTION("""COMPUTED_VALUE"""),"Below Quality Standards")</f>
        <v>Below Quality Standards</v>
      </c>
      <c r="I309" t="str">
        <f>IFERROR(__xludf.DUMMYFUNCTION("""COMPUTED_VALUE"""),"Development")</f>
        <v>Development</v>
      </c>
      <c r="J309" t="str">
        <f>IFERROR(__xludf.DUMMYFUNCTION("""COMPUTED_VALUE"""),"Web Development")</f>
        <v>Web Development</v>
      </c>
      <c r="K309" s="140">
        <f>IFERROR(__xludf.DUMMYFUNCTION("""COMPUTED_VALUE"""),618736.0)</f>
        <v>618736</v>
      </c>
      <c r="L309" s="140" t="str">
        <f>IFERROR(__xludf.DUMMYFUNCTION("""COMPUTED_VALUE"""),"")</f>
        <v/>
      </c>
      <c r="N309" s="140" t="str">
        <f>IFERROR(__xludf.DUMMYFUNCTION("""COMPUTED_VALUE"""),"")</f>
        <v/>
      </c>
    </row>
    <row r="310">
      <c r="A310" s="143">
        <f>IFERROR(__xludf.DUMMYFUNCTION("""COMPUTED_VALUE"""),42855.0)</f>
        <v>42855</v>
      </c>
      <c r="B310" s="140">
        <f>IFERROR(__xludf.DUMMYFUNCTION("""COMPUTED_VALUE"""),383204.0)</f>
        <v>383204</v>
      </c>
      <c r="C310" s="140" t="str">
        <f>IFERROR(__xludf.DUMMYFUNCTION("""COMPUTED_VALUE"""),"#N/A")</f>
        <v>#N/A</v>
      </c>
      <c r="D310" t="str">
        <f>IFERROR(__xludf.DUMMYFUNCTION("""COMPUTED_VALUE"""),"Mashrur Hossain")</f>
        <v>Mashrur Hossain</v>
      </c>
      <c r="E310" t="str">
        <f>IFERROR(__xludf.DUMMYFUNCTION("""COMPUTED_VALUE"""),"Y")</f>
        <v>Y</v>
      </c>
      <c r="G310" t="str">
        <f>IFERROR(__xludf.DUMMYFUNCTION("""COMPUTED_VALUE"""),"Y")</f>
        <v>Y</v>
      </c>
      <c r="H310" t="str">
        <f>IFERROR(__xludf.DUMMYFUNCTION("""COMPUTED_VALUE"""),"Below Quality Standards")</f>
        <v>Below Quality Standards</v>
      </c>
      <c r="I310" t="str">
        <f>IFERROR(__xludf.DUMMYFUNCTION("""COMPUTED_VALUE"""),"Development")</f>
        <v>Development</v>
      </c>
      <c r="J310" t="str">
        <f>IFERROR(__xludf.DUMMYFUNCTION("""COMPUTED_VALUE"""),"Web Development")</f>
        <v>Web Development</v>
      </c>
      <c r="K310" s="140">
        <f>IFERROR(__xludf.DUMMYFUNCTION("""COMPUTED_VALUE"""),519442.0)</f>
        <v>519442</v>
      </c>
      <c r="L310" s="140" t="str">
        <f>IFERROR(__xludf.DUMMYFUNCTION("""COMPUTED_VALUE"""),"")</f>
        <v/>
      </c>
      <c r="N310" s="140" t="str">
        <f>IFERROR(__xludf.DUMMYFUNCTION("""COMPUTED_VALUE"""),"")</f>
        <v/>
      </c>
    </row>
    <row r="311">
      <c r="A311" s="143">
        <f>IFERROR(__xludf.DUMMYFUNCTION("""COMPUTED_VALUE"""),42855.0)</f>
        <v>42855</v>
      </c>
      <c r="B311" s="140">
        <f>IFERROR(__xludf.DUMMYFUNCTION("""COMPUTED_VALUE"""),60351.0)</f>
        <v>60351</v>
      </c>
      <c r="C311" s="140" t="str">
        <f>IFERROR(__xludf.DUMMYFUNCTION("""COMPUTED_VALUE"""),"#N/A")</f>
        <v>#N/A</v>
      </c>
      <c r="D311" t="str">
        <f>IFERROR(__xludf.DUMMYFUNCTION("""COMPUTED_VALUE"""),"Deltina Hay ")</f>
        <v>Deltina Hay </v>
      </c>
      <c r="E311" t="str">
        <f>IFERROR(__xludf.DUMMYFUNCTION("""COMPUTED_VALUE"""),"Y")</f>
        <v>Y</v>
      </c>
      <c r="G311" t="str">
        <f>IFERROR(__xludf.DUMMYFUNCTION("""COMPUTED_VALUE"""),"Y")</f>
        <v>Y</v>
      </c>
      <c r="H311" t="str">
        <f>IFERROR(__xludf.DUMMYFUNCTION("""COMPUTED_VALUE"""),"Outdated")</f>
        <v>Outdated</v>
      </c>
      <c r="I311" t="str">
        <f>IFERROR(__xludf.DUMMYFUNCTION("""COMPUTED_VALUE"""),"Development")</f>
        <v>Development</v>
      </c>
      <c r="J311" t="str">
        <f>IFERROR(__xludf.DUMMYFUNCTION("""COMPUTED_VALUE"""),"Web Development")</f>
        <v>Web Development</v>
      </c>
      <c r="K311" s="140">
        <f>IFERROR(__xludf.DUMMYFUNCTION("""COMPUTED_VALUE"""),355212.0)</f>
        <v>355212</v>
      </c>
      <c r="L311" s="140" t="str">
        <f>IFERROR(__xludf.DUMMYFUNCTION("""COMPUTED_VALUE"""),"")</f>
        <v/>
      </c>
      <c r="N311" s="140" t="str">
        <f>IFERROR(__xludf.DUMMYFUNCTION("""COMPUTED_VALUE"""),"")</f>
        <v/>
      </c>
    </row>
    <row r="312">
      <c r="A312" s="143">
        <f>IFERROR(__xludf.DUMMYFUNCTION("""COMPUTED_VALUE"""),42855.0)</f>
        <v>42855</v>
      </c>
      <c r="B312" s="140">
        <f>IFERROR(__xludf.DUMMYFUNCTION("""COMPUTED_VALUE"""),602702.0)</f>
        <v>602702</v>
      </c>
      <c r="C312" s="140" t="str">
        <f>IFERROR(__xludf.DUMMYFUNCTION("""COMPUTED_VALUE"""),"#N/A")</f>
        <v>#N/A</v>
      </c>
      <c r="D312" t="str">
        <f>IFERROR(__xludf.DUMMYFUNCTION("""COMPUTED_VALUE"""),"Edwin Diaz")</f>
        <v>Edwin Diaz</v>
      </c>
      <c r="E312" t="str">
        <f>IFERROR(__xludf.DUMMYFUNCTION("""COMPUTED_VALUE"""),"Y")</f>
        <v>Y</v>
      </c>
      <c r="G312" t="str">
        <f>IFERROR(__xludf.DUMMYFUNCTION("""COMPUTED_VALUE"""),"Y")</f>
        <v>Y</v>
      </c>
      <c r="H312" t="str">
        <f>IFERROR(__xludf.DUMMYFUNCTION("""COMPUTED_VALUE"""),"Below Quality Standards")</f>
        <v>Below Quality Standards</v>
      </c>
      <c r="I312" t="str">
        <f>IFERROR(__xludf.DUMMYFUNCTION("""COMPUTED_VALUE"""),"Development")</f>
        <v>Development</v>
      </c>
      <c r="J312" t="str">
        <f>IFERROR(__xludf.DUMMYFUNCTION("""COMPUTED_VALUE"""),"Web Development")</f>
        <v>Web Development</v>
      </c>
      <c r="K312" s="140">
        <f>IFERROR(__xludf.DUMMYFUNCTION("""COMPUTED_VALUE"""),355212.0)</f>
        <v>355212</v>
      </c>
      <c r="L312" s="140" t="str">
        <f>IFERROR(__xludf.DUMMYFUNCTION("""COMPUTED_VALUE"""),"")</f>
        <v/>
      </c>
      <c r="N312" s="140" t="str">
        <f>IFERROR(__xludf.DUMMYFUNCTION("""COMPUTED_VALUE"""),"")</f>
        <v/>
      </c>
    </row>
    <row r="313">
      <c r="A313" s="143">
        <f>IFERROR(__xludf.DUMMYFUNCTION("""COMPUTED_VALUE"""),42855.0)</f>
        <v>42855</v>
      </c>
      <c r="B313" s="140">
        <f>IFERROR(__xludf.DUMMYFUNCTION("""COMPUTED_VALUE"""),24800.0)</f>
        <v>24800</v>
      </c>
      <c r="C313" s="140" t="str">
        <f>IFERROR(__xludf.DUMMYFUNCTION("""COMPUTED_VALUE"""),"#N/A")</f>
        <v>#N/A</v>
      </c>
      <c r="D313" t="str">
        <f>IFERROR(__xludf.DUMMYFUNCTION("""COMPUTED_VALUE"""),"Mario Herger ")</f>
        <v>Mario Herger </v>
      </c>
      <c r="E313" t="str">
        <f>IFERROR(__xludf.DUMMYFUNCTION("""COMPUTED_VALUE"""),"Y")</f>
        <v>Y</v>
      </c>
      <c r="G313" t="str">
        <f>IFERROR(__xludf.DUMMYFUNCTION("""COMPUTED_VALUE"""),"Y")</f>
        <v>Y</v>
      </c>
      <c r="H313" t="str">
        <f>IFERROR(__xludf.DUMMYFUNCTION("""COMPUTED_VALUE"""),"Below Quality Standards")</f>
        <v>Below Quality Standards</v>
      </c>
      <c r="I313" t="str">
        <f>IFERROR(__xludf.DUMMYFUNCTION("""COMPUTED_VALUE"""),"Human Resources")</f>
        <v>Human Resources</v>
      </c>
      <c r="J313" t="str">
        <f>IFERROR(__xludf.DUMMYFUNCTION("""COMPUTED_VALUE"""),"Learning and Organizational Development")</f>
        <v>Learning and Organizational Development</v>
      </c>
      <c r="K313" s="140">
        <f>IFERROR(__xludf.DUMMYFUNCTION("""COMPUTED_VALUE"""),852028.0)</f>
        <v>852028</v>
      </c>
      <c r="L313" s="140" t="str">
        <f>IFERROR(__xludf.DUMMYFUNCTION("""COMPUTED_VALUE"""),"")</f>
        <v/>
      </c>
      <c r="N313" s="140" t="str">
        <f>IFERROR(__xludf.DUMMYFUNCTION("""COMPUTED_VALUE"""),"")</f>
        <v/>
      </c>
    </row>
    <row r="314">
      <c r="A314" s="143">
        <f>IFERROR(__xludf.DUMMYFUNCTION("""COMPUTED_VALUE"""),42855.0)</f>
        <v>42855</v>
      </c>
      <c r="B314" s="140">
        <f>IFERROR(__xludf.DUMMYFUNCTION("""COMPUTED_VALUE"""),850098.0)</f>
        <v>850098</v>
      </c>
      <c r="C314" s="140" t="str">
        <f>IFERROR(__xludf.DUMMYFUNCTION("""COMPUTED_VALUE"""),"#N/A")</f>
        <v>#N/A</v>
      </c>
      <c r="D314" t="str">
        <f>IFERROR(__xludf.DUMMYFUNCTION("""COMPUTED_VALUE"""),"Eisa Serif")</f>
        <v>Eisa Serif</v>
      </c>
      <c r="E314" t="str">
        <f>IFERROR(__xludf.DUMMYFUNCTION("""COMPUTED_VALUE"""),"Y")</f>
        <v>Y</v>
      </c>
      <c r="G314" t="str">
        <f>IFERROR(__xludf.DUMMYFUNCTION("""COMPUTED_VALUE"""),"Y")</f>
        <v>Y</v>
      </c>
      <c r="H314" t="str">
        <f>IFERROR(__xludf.DUMMYFUNCTION("""COMPUTED_VALUE"""),"Instructor Request")</f>
        <v>Instructor Request</v>
      </c>
      <c r="I314" t="str">
        <f>IFERROR(__xludf.DUMMYFUNCTION("""COMPUTED_VALUE"""),"IT and Software")</f>
        <v>IT and Software</v>
      </c>
      <c r="J314" t="str">
        <f>IFERROR(__xludf.DUMMYFUNCTION("""COMPUTED_VALUE"""),"Security")</f>
        <v>Security</v>
      </c>
      <c r="L314" s="140" t="str">
        <f>IFERROR(__xludf.DUMMYFUNCTION("""COMPUTED_VALUE"""),"")</f>
        <v/>
      </c>
      <c r="N314" s="140" t="str">
        <f>IFERROR(__xludf.DUMMYFUNCTION("""COMPUTED_VALUE"""),"")</f>
        <v/>
      </c>
    </row>
    <row r="315">
      <c r="A315" s="143">
        <f>IFERROR(__xludf.DUMMYFUNCTION("""COMPUTED_VALUE"""),42855.0)</f>
        <v>42855</v>
      </c>
      <c r="B315" s="140">
        <f>IFERROR(__xludf.DUMMYFUNCTION("""COMPUTED_VALUE"""),389772.0)</f>
        <v>389772</v>
      </c>
      <c r="C315" s="140" t="str">
        <f>IFERROR(__xludf.DUMMYFUNCTION("""COMPUTED_VALUE"""),"#N/A")</f>
        <v>#N/A</v>
      </c>
      <c r="D315" t="str">
        <f>IFERROR(__xludf.DUMMYFUNCTION("""COMPUTED_VALUE"""),"Jacqueline Seidel ")</f>
        <v>Jacqueline Seidel </v>
      </c>
      <c r="E315" t="str">
        <f>IFERROR(__xludf.DUMMYFUNCTION("""COMPUTED_VALUE"""),"Y")</f>
        <v>Y</v>
      </c>
      <c r="G315" t="str">
        <f>IFERROR(__xludf.DUMMYFUNCTION("""COMPUTED_VALUE"""),"Y")</f>
        <v>Y</v>
      </c>
      <c r="H315" t="str">
        <f>IFERROR(__xludf.DUMMYFUNCTION("""COMPUTED_VALUE"""),"Non-English")</f>
        <v>Non-English</v>
      </c>
      <c r="I315" t="str">
        <f>IFERROR(__xludf.DUMMYFUNCTION("""COMPUTED_VALUE"""),"Management")</f>
        <v>Management</v>
      </c>
      <c r="J315" t="str">
        <f>IFERROR(__xludf.DUMMYFUNCTION("""COMPUTED_VALUE"""),"Communication")</f>
        <v>Communication</v>
      </c>
      <c r="L315" s="140" t="str">
        <f>IFERROR(__xludf.DUMMYFUNCTION("""COMPUTED_VALUE"""),"")</f>
        <v/>
      </c>
      <c r="N315" s="140" t="str">
        <f>IFERROR(__xludf.DUMMYFUNCTION("""COMPUTED_VALUE"""),"")</f>
        <v/>
      </c>
    </row>
    <row r="316">
      <c r="A316" s="143">
        <f>IFERROR(__xludf.DUMMYFUNCTION("""COMPUTED_VALUE"""),42855.0)</f>
        <v>42855</v>
      </c>
      <c r="B316" s="140">
        <f>IFERROR(__xludf.DUMMYFUNCTION("""COMPUTED_VALUE"""),402082.0)</f>
        <v>402082</v>
      </c>
      <c r="C316" s="140" t="str">
        <f>IFERROR(__xludf.DUMMYFUNCTION("""COMPUTED_VALUE"""),"#N/A")</f>
        <v>#N/A</v>
      </c>
      <c r="D316" t="str">
        <f>IFERROR(__xludf.DUMMYFUNCTION("""COMPUTED_VALUE"""),"Jacqueline Seidel ")</f>
        <v>Jacqueline Seidel </v>
      </c>
      <c r="E316" t="str">
        <f>IFERROR(__xludf.DUMMYFUNCTION("""COMPUTED_VALUE"""),"Y")</f>
        <v>Y</v>
      </c>
      <c r="G316" t="str">
        <f>IFERROR(__xludf.DUMMYFUNCTION("""COMPUTED_VALUE"""),"Y")</f>
        <v>Y</v>
      </c>
      <c r="H316" t="str">
        <f>IFERROR(__xludf.DUMMYFUNCTION("""COMPUTED_VALUE"""),"Non-English")</f>
        <v>Non-English</v>
      </c>
      <c r="I316" t="str">
        <f>IFERROR(__xludf.DUMMYFUNCTION("""COMPUTED_VALUE"""),"Management")</f>
        <v>Management</v>
      </c>
      <c r="J316" t="str">
        <f>IFERROR(__xludf.DUMMYFUNCTION("""COMPUTED_VALUE"""),"Communication")</f>
        <v>Communication</v>
      </c>
      <c r="L316" s="140" t="str">
        <f>IFERROR(__xludf.DUMMYFUNCTION("""COMPUTED_VALUE"""),"")</f>
        <v/>
      </c>
      <c r="N316" s="140" t="str">
        <f>IFERROR(__xludf.DUMMYFUNCTION("""COMPUTED_VALUE"""),"")</f>
        <v/>
      </c>
    </row>
    <row r="317">
      <c r="A317" s="143">
        <f>IFERROR(__xludf.DUMMYFUNCTION("""COMPUTED_VALUE"""),42855.0)</f>
        <v>42855</v>
      </c>
      <c r="B317" s="140">
        <f>IFERROR(__xludf.DUMMYFUNCTION("""COMPUTED_VALUE"""),397800.0)</f>
        <v>397800</v>
      </c>
      <c r="C317" s="140" t="str">
        <f>IFERROR(__xludf.DUMMYFUNCTION("""COMPUTED_VALUE"""),"#N/A")</f>
        <v>#N/A</v>
      </c>
      <c r="D317" t="str">
        <f>IFERROR(__xludf.DUMMYFUNCTION("""COMPUTED_VALUE"""),"Rico Rodriguez ")</f>
        <v>Rico Rodriguez </v>
      </c>
      <c r="E317" t="str">
        <f>IFERROR(__xludf.DUMMYFUNCTION("""COMPUTED_VALUE"""),"Y")</f>
        <v>Y</v>
      </c>
      <c r="G317" t="str">
        <f>IFERROR(__xludf.DUMMYFUNCTION("""COMPUTED_VALUE"""),"Y")</f>
        <v>Y</v>
      </c>
      <c r="H317" t="str">
        <f>IFERROR(__xludf.DUMMYFUNCTION("""COMPUTED_VALUE"""),"Below Quality Standards")</f>
        <v>Below Quality Standards</v>
      </c>
      <c r="I317" t="str">
        <f>IFERROR(__xludf.DUMMYFUNCTION("""COMPUTED_VALUE"""),"Management")</f>
        <v>Management</v>
      </c>
      <c r="J317" t="str">
        <f>IFERROR(__xludf.DUMMYFUNCTION("""COMPUTED_VALUE"""),"Productivity")</f>
        <v>Productivity</v>
      </c>
      <c r="K317" s="140">
        <f>IFERROR(__xludf.DUMMYFUNCTION("""COMPUTED_VALUE"""),538664.0)</f>
        <v>538664</v>
      </c>
      <c r="L317" s="140" t="str">
        <f>IFERROR(__xludf.DUMMYFUNCTION("""COMPUTED_VALUE"""),"")</f>
        <v/>
      </c>
      <c r="N317" s="140" t="str">
        <f>IFERROR(__xludf.DUMMYFUNCTION("""COMPUTED_VALUE"""),"")</f>
        <v/>
      </c>
      <c r="R317" t="str">
        <f>IFERROR(__xludf.DUMMYFUNCTION("""COMPUTED_VALUE"""),"Management")</f>
        <v>Management</v>
      </c>
      <c r="S317" t="str">
        <f>IFERROR(__xludf.DUMMYFUNCTION("""COMPUTED_VALUE"""),"Leadership")</f>
        <v>Leadership</v>
      </c>
    </row>
    <row r="318">
      <c r="A318" s="143">
        <f>IFERROR(__xludf.DUMMYFUNCTION("""COMPUTED_VALUE"""),42855.0)</f>
        <v>42855</v>
      </c>
      <c r="B318" s="140">
        <f>IFERROR(__xludf.DUMMYFUNCTION("""COMPUTED_VALUE"""),782958.0)</f>
        <v>782958</v>
      </c>
      <c r="C318" s="140" t="str">
        <f>IFERROR(__xludf.DUMMYFUNCTION("""COMPUTED_VALUE"""),"#N/A")</f>
        <v>#N/A</v>
      </c>
      <c r="D318" t="str">
        <f>IFERROR(__xludf.DUMMYFUNCTION("""COMPUTED_VALUE"""),"Vladimir Raykov")</f>
        <v>Vladimir Raykov</v>
      </c>
      <c r="E318" t="str">
        <f>IFERROR(__xludf.DUMMYFUNCTION("""COMPUTED_VALUE"""),"Y")</f>
        <v>Y</v>
      </c>
      <c r="G318" t="str">
        <f>IFERROR(__xludf.DUMMYFUNCTION("""COMPUTED_VALUE"""),"Y")</f>
        <v>Y</v>
      </c>
      <c r="H318" t="str">
        <f>IFERROR(__xludf.DUMMYFUNCTION("""COMPUTED_VALUE"""),"Below Quality Standards")</f>
        <v>Below Quality Standards</v>
      </c>
      <c r="I318" t="str">
        <f>IFERROR(__xludf.DUMMYFUNCTION("""COMPUTED_VALUE"""),"Marketing")</f>
        <v>Marketing</v>
      </c>
      <c r="J318" t="str">
        <f>IFERROR(__xludf.DUMMYFUNCTION("""COMPUTED_VALUE"""),"Content and Email Marketing")</f>
        <v>Content and Email Marketing</v>
      </c>
      <c r="K318" s="140">
        <f>IFERROR(__xludf.DUMMYFUNCTION("""COMPUTED_VALUE"""),325666.0)</f>
        <v>325666</v>
      </c>
      <c r="L318" s="140" t="str">
        <f>IFERROR(__xludf.DUMMYFUNCTION("""COMPUTED_VALUE"""),"")</f>
        <v/>
      </c>
      <c r="N318" s="140" t="str">
        <f>IFERROR(__xludf.DUMMYFUNCTION("""COMPUTED_VALUE"""),"")</f>
        <v/>
      </c>
    </row>
    <row r="319">
      <c r="A319" s="143">
        <f>IFERROR(__xludf.DUMMYFUNCTION("""COMPUTED_VALUE"""),42855.0)</f>
        <v>42855</v>
      </c>
      <c r="B319" s="140">
        <f>IFERROR(__xludf.DUMMYFUNCTION("""COMPUTED_VALUE"""),26116.0)</f>
        <v>26116</v>
      </c>
      <c r="C319" s="140" t="str">
        <f>IFERROR(__xludf.DUMMYFUNCTION("""COMPUTED_VALUE"""),"#N/A")</f>
        <v>#N/A</v>
      </c>
      <c r="D319" t="str">
        <f>IFERROR(__xludf.DUMMYFUNCTION("""COMPUTED_VALUE"""),"Learn iT! Anytime ")</f>
        <v>Learn iT! Anytime </v>
      </c>
      <c r="E319" t="str">
        <f>IFERROR(__xludf.DUMMYFUNCTION("""COMPUTED_VALUE"""),"Y")</f>
        <v>Y</v>
      </c>
      <c r="G319" t="str">
        <f>IFERROR(__xludf.DUMMYFUNCTION("""COMPUTED_VALUE"""),"Y")</f>
        <v>Y</v>
      </c>
      <c r="H319" t="str">
        <f>IFERROR(__xludf.DUMMYFUNCTION("""COMPUTED_VALUE"""),"Below Quality Standards")</f>
        <v>Below Quality Standards</v>
      </c>
      <c r="I319" t="str">
        <f>IFERROR(__xludf.DUMMYFUNCTION("""COMPUTED_VALUE"""),"Office Productivity")</f>
        <v>Office Productivity</v>
      </c>
      <c r="J319" t="str">
        <f>IFERROR(__xludf.DUMMYFUNCTION("""COMPUTED_VALUE"""),"Presentations")</f>
        <v>Presentations</v>
      </c>
      <c r="K319" s="140">
        <f>IFERROR(__xludf.DUMMYFUNCTION("""COMPUTED_VALUE"""),60726.0)</f>
        <v>60726</v>
      </c>
      <c r="L319" s="140" t="str">
        <f>IFERROR(__xludf.DUMMYFUNCTION("""COMPUTED_VALUE"""),"")</f>
        <v/>
      </c>
      <c r="N319" s="140" t="str">
        <f>IFERROR(__xludf.DUMMYFUNCTION("""COMPUTED_VALUE"""),"")</f>
        <v/>
      </c>
      <c r="R319" t="str">
        <f>IFERROR(__xludf.DUMMYFUNCTION("""COMPUTED_VALUE"""),"Office Productivity")</f>
        <v>Office Productivity</v>
      </c>
      <c r="S319" t="str">
        <f>IFERROR(__xludf.DUMMYFUNCTION("""COMPUTED_VALUE"""),"Spreadsheets")</f>
        <v>Spreadsheets</v>
      </c>
    </row>
    <row r="320">
      <c r="A320" s="143">
        <f>IFERROR(__xludf.DUMMYFUNCTION("""COMPUTED_VALUE"""),42855.0)</f>
        <v>42855</v>
      </c>
      <c r="B320" s="140">
        <f>IFERROR(__xludf.DUMMYFUNCTION("""COMPUTED_VALUE"""),567564.0)</f>
        <v>567564</v>
      </c>
      <c r="C320" s="140" t="str">
        <f>IFERROR(__xludf.DUMMYFUNCTION("""COMPUTED_VALUE"""),"#N/A")</f>
        <v>#N/A</v>
      </c>
      <c r="D320" t="str">
        <f>IFERROR(__xludf.DUMMYFUNCTION("""COMPUTED_VALUE"""),"Paul Ashun ")</f>
        <v>Paul Ashun </v>
      </c>
      <c r="E320" t="str">
        <f>IFERROR(__xludf.DUMMYFUNCTION("""COMPUTED_VALUE"""),"Y")</f>
        <v>Y</v>
      </c>
      <c r="G320" t="str">
        <f>IFERROR(__xludf.DUMMYFUNCTION("""COMPUTED_VALUE"""),"Y")</f>
        <v>Y</v>
      </c>
      <c r="H320" t="str">
        <f>IFERROR(__xludf.DUMMYFUNCTION("""COMPUTED_VALUE"""),"Below Quality Standards")</f>
        <v>Below Quality Standards</v>
      </c>
      <c r="I320" t="str">
        <f>IFERROR(__xludf.DUMMYFUNCTION("""COMPUTED_VALUE"""),"Project Management and Operations")</f>
        <v>Project Management and Operations</v>
      </c>
      <c r="J320" t="str">
        <f>IFERROR(__xludf.DUMMYFUNCTION("""COMPUTED_VALUE"""),"Agile and Scrum")</f>
        <v>Agile and Scrum</v>
      </c>
      <c r="L320" s="140" t="str">
        <f>IFERROR(__xludf.DUMMYFUNCTION("""COMPUTED_VALUE"""),"")</f>
        <v/>
      </c>
      <c r="N320" s="140" t="str">
        <f>IFERROR(__xludf.DUMMYFUNCTION("""COMPUTED_VALUE"""),"")</f>
        <v/>
      </c>
    </row>
    <row r="321">
      <c r="A321" s="143">
        <f>IFERROR(__xludf.DUMMYFUNCTION("""COMPUTED_VALUE"""),42855.0)</f>
        <v>42855</v>
      </c>
      <c r="B321" s="140">
        <f>IFERROR(__xludf.DUMMYFUNCTION("""COMPUTED_VALUE"""),646070.0)</f>
        <v>646070</v>
      </c>
      <c r="C321" s="140" t="str">
        <f>IFERROR(__xludf.DUMMYFUNCTION("""COMPUTED_VALUE"""),"#N/A")</f>
        <v>#N/A</v>
      </c>
      <c r="D321" t="str">
        <f>IFERROR(__xludf.DUMMYFUNCTION("""COMPUTED_VALUE"""),"Paul Ashun ")</f>
        <v>Paul Ashun </v>
      </c>
      <c r="E321" t="str">
        <f>IFERROR(__xludf.DUMMYFUNCTION("""COMPUTED_VALUE"""),"Y")</f>
        <v>Y</v>
      </c>
      <c r="G321" t="str">
        <f>IFERROR(__xludf.DUMMYFUNCTION("""COMPUTED_VALUE"""),"Y")</f>
        <v>Y</v>
      </c>
      <c r="H321" t="str">
        <f>IFERROR(__xludf.DUMMYFUNCTION("""COMPUTED_VALUE"""),"Below Quality Standards")</f>
        <v>Below Quality Standards</v>
      </c>
      <c r="I321" t="str">
        <f>IFERROR(__xludf.DUMMYFUNCTION("""COMPUTED_VALUE"""),"Project Management and Operations")</f>
        <v>Project Management and Operations</v>
      </c>
      <c r="J321" t="str">
        <f>IFERROR(__xludf.DUMMYFUNCTION("""COMPUTED_VALUE"""),"Agile and Scrum")</f>
        <v>Agile and Scrum</v>
      </c>
      <c r="K321" s="140">
        <f>IFERROR(__xludf.DUMMYFUNCTION("""COMPUTED_VALUE"""),281672.0)</f>
        <v>281672</v>
      </c>
      <c r="L321" s="140" t="str">
        <f>IFERROR(__xludf.DUMMYFUNCTION("""COMPUTED_VALUE"""),"")</f>
        <v/>
      </c>
      <c r="N321" s="140" t="str">
        <f>IFERROR(__xludf.DUMMYFUNCTION("""COMPUTED_VALUE"""),"")</f>
        <v/>
      </c>
    </row>
    <row r="322">
      <c r="A322" s="143">
        <f>IFERROR(__xludf.DUMMYFUNCTION("""COMPUTED_VALUE"""),42855.0)</f>
        <v>42855</v>
      </c>
      <c r="B322" s="140">
        <f>IFERROR(__xludf.DUMMYFUNCTION("""COMPUTED_VALUE"""),349678.0)</f>
        <v>349678</v>
      </c>
      <c r="C322" s="140" t="str">
        <f>IFERROR(__xludf.DUMMYFUNCTION("""COMPUTED_VALUE"""),"#N/A")</f>
        <v>#N/A</v>
      </c>
      <c r="D322" t="str">
        <f>IFERROR(__xludf.DUMMYFUNCTION("""COMPUTED_VALUE"""),"Joseph Phillips")</f>
        <v>Joseph Phillips</v>
      </c>
      <c r="E322" t="str">
        <f>IFERROR(__xludf.DUMMYFUNCTION("""COMPUTED_VALUE"""),"Y")</f>
        <v>Y</v>
      </c>
      <c r="G322" t="str">
        <f>IFERROR(__xludf.DUMMYFUNCTION("""COMPUTED_VALUE"""),"Y")</f>
        <v>Y</v>
      </c>
      <c r="H322" t="str">
        <f>IFERROR(__xludf.DUMMYFUNCTION("""COMPUTED_VALUE"""),"Instructor Request, Updated")</f>
        <v>Instructor Request, Updated</v>
      </c>
      <c r="I322" t="str">
        <f>IFERROR(__xludf.DUMMYFUNCTION("""COMPUTED_VALUE"""),"Project Management and Operations")</f>
        <v>Project Management and Operations</v>
      </c>
      <c r="J322" t="str">
        <f>IFERROR(__xludf.DUMMYFUNCTION("""COMPUTED_VALUE"""),"Project Management Certifications")</f>
        <v>Project Management Certifications</v>
      </c>
      <c r="K322" s="140">
        <f>IFERROR(__xludf.DUMMYFUNCTION("""COMPUTED_VALUE"""),1361790.0)</f>
        <v>1361790</v>
      </c>
      <c r="L322" s="140" t="str">
        <f>IFERROR(__xludf.DUMMYFUNCTION("""COMPUTED_VALUE"""),"")</f>
        <v/>
      </c>
      <c r="N322" s="140" t="str">
        <f>IFERROR(__xludf.DUMMYFUNCTION("""COMPUTED_VALUE"""),"")</f>
        <v/>
      </c>
    </row>
    <row r="323">
      <c r="A323" s="143">
        <f>IFERROR(__xludf.DUMMYFUNCTION("""COMPUTED_VALUE"""),42825.0)</f>
        <v>42825</v>
      </c>
      <c r="B323" s="140">
        <f>IFERROR(__xludf.DUMMYFUNCTION("""COMPUTED_VALUE"""),381538.0)</f>
        <v>381538</v>
      </c>
      <c r="C323" s="140" t="str">
        <f>IFERROR(__xludf.DUMMYFUNCTION("""COMPUTED_VALUE"""),"#N/A")</f>
        <v>#N/A</v>
      </c>
      <c r="D323" t="str">
        <f>IFERROR(__xludf.DUMMYFUNCTION("""COMPUTED_VALUE"""),"Chevy Kok ")</f>
        <v>Chevy Kok </v>
      </c>
      <c r="G323" t="str">
        <f>IFERROR(__xludf.DUMMYFUNCTION("""COMPUTED_VALUE"""),"Y")</f>
        <v>Y</v>
      </c>
      <c r="H323" t="str">
        <f>IFERROR(__xludf.DUMMYFUNCTION("""COMPUTED_VALUE"""),"Instructor Request, Outdated")</f>
        <v>Instructor Request, Outdated</v>
      </c>
      <c r="I323" t="str">
        <f>IFERROR(__xludf.DUMMYFUNCTION("""COMPUTED_VALUE"""),"Design")</f>
        <v>Design</v>
      </c>
      <c r="J323" t="str">
        <f>IFERROR(__xludf.DUMMYFUNCTION("""COMPUTED_VALUE"""),"3D and Animation")</f>
        <v>3D and Animation</v>
      </c>
      <c r="K323" s="140">
        <f>IFERROR(__xludf.DUMMYFUNCTION("""COMPUTED_VALUE"""),551930.0)</f>
        <v>551930</v>
      </c>
      <c r="L323" s="140" t="str">
        <f>IFERROR(__xludf.DUMMYFUNCTION("""COMPUTED_VALUE"""),"")</f>
        <v/>
      </c>
      <c r="N323" s="140" t="str">
        <f>IFERROR(__xludf.DUMMYFUNCTION("""COMPUTED_VALUE"""),"")</f>
        <v/>
      </c>
    </row>
    <row r="324">
      <c r="A324" s="143">
        <f>IFERROR(__xludf.DUMMYFUNCTION("""COMPUTED_VALUE"""),42825.0)</f>
        <v>42825</v>
      </c>
      <c r="B324" s="140">
        <f>IFERROR(__xludf.DUMMYFUNCTION("""COMPUTED_VALUE"""),473324.0)</f>
        <v>473324</v>
      </c>
      <c r="C324" s="140" t="str">
        <f>IFERROR(__xludf.DUMMYFUNCTION("""COMPUTED_VALUE"""),"#N/A")</f>
        <v>#N/A</v>
      </c>
      <c r="D324" t="str">
        <f>IFERROR(__xludf.DUMMYFUNCTION("""COMPUTED_VALUE"""),"Chevy Kok ")</f>
        <v>Chevy Kok </v>
      </c>
      <c r="G324" t="str">
        <f>IFERROR(__xludf.DUMMYFUNCTION("""COMPUTED_VALUE"""),"Y")</f>
        <v>Y</v>
      </c>
      <c r="H324" t="str">
        <f>IFERROR(__xludf.DUMMYFUNCTION("""COMPUTED_VALUE"""),"Instructor Request, Outdated")</f>
        <v>Instructor Request, Outdated</v>
      </c>
      <c r="I324" t="str">
        <f>IFERROR(__xludf.DUMMYFUNCTION("""COMPUTED_VALUE"""),"Design")</f>
        <v>Design</v>
      </c>
      <c r="J324" t="str">
        <f>IFERROR(__xludf.DUMMYFUNCTION("""COMPUTED_VALUE"""),"3D and Animation")</f>
        <v>3D and Animation</v>
      </c>
      <c r="K324" s="140">
        <f>IFERROR(__xludf.DUMMYFUNCTION("""COMPUTED_VALUE"""),551930.0)</f>
        <v>551930</v>
      </c>
      <c r="L324" s="140" t="str">
        <f>IFERROR(__xludf.DUMMYFUNCTION("""COMPUTED_VALUE"""),"")</f>
        <v/>
      </c>
      <c r="N324" s="140" t="str">
        <f>IFERROR(__xludf.DUMMYFUNCTION("""COMPUTED_VALUE"""),"")</f>
        <v/>
      </c>
    </row>
    <row r="325">
      <c r="A325" s="143">
        <f>IFERROR(__xludf.DUMMYFUNCTION("""COMPUTED_VALUE"""),42825.0)</f>
        <v>42825</v>
      </c>
      <c r="B325" s="140">
        <f>IFERROR(__xludf.DUMMYFUNCTION("""COMPUTED_VALUE"""),47337.0)</f>
        <v>47337</v>
      </c>
      <c r="C325" s="140" t="str">
        <f>IFERROR(__xludf.DUMMYFUNCTION("""COMPUTED_VALUE"""),"#N/A")</f>
        <v>#N/A</v>
      </c>
      <c r="D325" t="str">
        <f>IFERROR(__xludf.DUMMYFUNCTION("""COMPUTED_VALUE"""),"Phil Ebiner")</f>
        <v>Phil Ebiner</v>
      </c>
      <c r="G325" t="str">
        <f>IFERROR(__xludf.DUMMYFUNCTION("""COMPUTED_VALUE"""),"Y")</f>
        <v>Y</v>
      </c>
      <c r="H325" t="str">
        <f>IFERROR(__xludf.DUMMYFUNCTION("""COMPUTED_VALUE"""),"Below Quality Standards")</f>
        <v>Below Quality Standards</v>
      </c>
      <c r="I325" t="str">
        <f>IFERROR(__xludf.DUMMYFUNCTION("""COMPUTED_VALUE"""),"Design")</f>
        <v>Design</v>
      </c>
      <c r="J325" t="str">
        <f>IFERROR(__xludf.DUMMYFUNCTION("""COMPUTED_VALUE"""),"Graphic Design")</f>
        <v>Graphic Design</v>
      </c>
      <c r="K325" s="140">
        <f>IFERROR(__xludf.DUMMYFUNCTION("""COMPUTED_VALUE"""),778548.0)</f>
        <v>778548</v>
      </c>
      <c r="L325" s="140" t="str">
        <f>IFERROR(__xludf.DUMMYFUNCTION("""COMPUTED_VALUE"""),"")</f>
        <v/>
      </c>
      <c r="N325" s="140" t="str">
        <f>IFERROR(__xludf.DUMMYFUNCTION("""COMPUTED_VALUE"""),"")</f>
        <v/>
      </c>
    </row>
    <row r="326">
      <c r="A326" s="143">
        <f>IFERROR(__xludf.DUMMYFUNCTION("""COMPUTED_VALUE"""),42825.0)</f>
        <v>42825</v>
      </c>
      <c r="B326" s="140">
        <f>IFERROR(__xludf.DUMMYFUNCTION("""COMPUTED_VALUE"""),548058.0)</f>
        <v>548058</v>
      </c>
      <c r="C326" s="140" t="str">
        <f>IFERROR(__xludf.DUMMYFUNCTION("""COMPUTED_VALUE"""),"#N/A")</f>
        <v>#N/A</v>
      </c>
      <c r="D326" t="str">
        <f>IFERROR(__xludf.DUMMYFUNCTION("""COMPUTED_VALUE"""),"Bharath Thippireddy ")</f>
        <v>Bharath Thippireddy </v>
      </c>
      <c r="G326" t="str">
        <f>IFERROR(__xludf.DUMMYFUNCTION("""COMPUTED_VALUE"""),"Y")</f>
        <v>Y</v>
      </c>
      <c r="H326" t="str">
        <f>IFERROR(__xludf.DUMMYFUNCTION("""COMPUTED_VALUE"""),"Below Quality Standards")</f>
        <v>Below Quality Standards</v>
      </c>
      <c r="I326" t="str">
        <f>IFERROR(__xludf.DUMMYFUNCTION("""COMPUTED_VALUE"""),"Development")</f>
        <v>Development</v>
      </c>
      <c r="J326" t="str">
        <f>IFERROR(__xludf.DUMMYFUNCTION("""COMPUTED_VALUE"""),"Mobile Development")</f>
        <v>Mobile Development</v>
      </c>
      <c r="K326" s="140">
        <f>IFERROR(__xludf.DUMMYFUNCTION("""COMPUTED_VALUE"""),950152.0)</f>
        <v>950152</v>
      </c>
      <c r="L326" s="140" t="str">
        <f>IFERROR(__xludf.DUMMYFUNCTION("""COMPUTED_VALUE"""),"")</f>
        <v/>
      </c>
      <c r="N326" s="140" t="str">
        <f>IFERROR(__xludf.DUMMYFUNCTION("""COMPUTED_VALUE"""),"")</f>
        <v/>
      </c>
    </row>
    <row r="327">
      <c r="A327" s="143">
        <f>IFERROR(__xludf.DUMMYFUNCTION("""COMPUTED_VALUE"""),42825.0)</f>
        <v>42825</v>
      </c>
      <c r="B327" s="140">
        <f>IFERROR(__xludf.DUMMYFUNCTION("""COMPUTED_VALUE"""),59186.0)</f>
        <v>59186</v>
      </c>
      <c r="C327" s="140" t="str">
        <f>IFERROR(__xludf.DUMMYFUNCTION("""COMPUTED_VALUE"""),"#N/A")</f>
        <v>#N/A</v>
      </c>
      <c r="D327" t="str">
        <f>IFERROR(__xludf.DUMMYFUNCTION("""COMPUTED_VALUE"""),"Raghavendra Dixit ")</f>
        <v>Raghavendra Dixit </v>
      </c>
      <c r="G327" t="str">
        <f>IFERROR(__xludf.DUMMYFUNCTION("""COMPUTED_VALUE"""),"Y")</f>
        <v>Y</v>
      </c>
      <c r="H327" t="str">
        <f>IFERROR(__xludf.DUMMYFUNCTION("""COMPUTED_VALUE"""),"DMCA Removal")</f>
        <v>DMCA Removal</v>
      </c>
      <c r="I327" t="str">
        <f>IFERROR(__xludf.DUMMYFUNCTION("""COMPUTED_VALUE"""),"Development")</f>
        <v>Development</v>
      </c>
      <c r="J327" t="str">
        <f>IFERROR(__xludf.DUMMYFUNCTION("""COMPUTED_VALUE"""),"Mobile Development")</f>
        <v>Mobile Development</v>
      </c>
      <c r="K327" s="140">
        <f>IFERROR(__xludf.DUMMYFUNCTION("""COMPUTED_VALUE"""),533682.0)</f>
        <v>533682</v>
      </c>
      <c r="L327" s="140" t="str">
        <f>IFERROR(__xludf.DUMMYFUNCTION("""COMPUTED_VALUE"""),"")</f>
        <v/>
      </c>
      <c r="N327" s="140" t="str">
        <f>IFERROR(__xludf.DUMMYFUNCTION("""COMPUTED_VALUE"""),"")</f>
        <v/>
      </c>
    </row>
    <row r="328">
      <c r="A328" s="143">
        <f>IFERROR(__xludf.DUMMYFUNCTION("""COMPUTED_VALUE"""),42825.0)</f>
        <v>42825</v>
      </c>
      <c r="B328" s="140">
        <f>IFERROR(__xludf.DUMMYFUNCTION("""COMPUTED_VALUE"""),428526.0)</f>
        <v>428526</v>
      </c>
      <c r="C328" s="140" t="str">
        <f>IFERROR(__xludf.DUMMYFUNCTION("""COMPUTED_VALUE"""),"#N/A")</f>
        <v>#N/A</v>
      </c>
      <c r="D328" t="str">
        <f>IFERROR(__xludf.DUMMYFUNCTION("""COMPUTED_VALUE"""),"Rob Percival")</f>
        <v>Rob Percival</v>
      </c>
      <c r="G328" t="str">
        <f>IFERROR(__xludf.DUMMYFUNCTION("""COMPUTED_VALUE"""),"Y")</f>
        <v>Y</v>
      </c>
      <c r="H328" t="str">
        <f>IFERROR(__xludf.DUMMYFUNCTION("""COMPUTED_VALUE"""),"Instructor Request, Updated")</f>
        <v>Instructor Request, Updated</v>
      </c>
      <c r="I328" t="str">
        <f>IFERROR(__xludf.DUMMYFUNCTION("""COMPUTED_VALUE"""),"Development")</f>
        <v>Development</v>
      </c>
      <c r="J328" t="str">
        <f>IFERROR(__xludf.DUMMYFUNCTION("""COMPUTED_VALUE"""),"Mobile Development")</f>
        <v>Mobile Development</v>
      </c>
      <c r="K328" s="140">
        <f>IFERROR(__xludf.DUMMYFUNCTION("""COMPUTED_VALUE"""),951618.0)</f>
        <v>951618</v>
      </c>
      <c r="L328" s="140" t="str">
        <f>IFERROR(__xludf.DUMMYFUNCTION("""COMPUTED_VALUE"""),"")</f>
        <v/>
      </c>
      <c r="N328" s="140" t="str">
        <f>IFERROR(__xludf.DUMMYFUNCTION("""COMPUTED_VALUE"""),"")</f>
        <v/>
      </c>
    </row>
    <row r="329">
      <c r="A329" s="143">
        <f>IFERROR(__xludf.DUMMYFUNCTION("""COMPUTED_VALUE"""),42825.0)</f>
        <v>42825</v>
      </c>
      <c r="B329" s="140">
        <f>IFERROR(__xludf.DUMMYFUNCTION("""COMPUTED_VALUE"""),528422.0)</f>
        <v>528422</v>
      </c>
      <c r="C329" s="140" t="str">
        <f>IFERROR(__xludf.DUMMYFUNCTION("""COMPUTED_VALUE"""),"#N/A")</f>
        <v>#N/A</v>
      </c>
      <c r="D329" t="str">
        <f>IFERROR(__xludf.DUMMYFUNCTION("""COMPUTED_VALUE"""),"Rob Percival")</f>
        <v>Rob Percival</v>
      </c>
      <c r="G329" t="str">
        <f>IFERROR(__xludf.DUMMYFUNCTION("""COMPUTED_VALUE"""),"Y")</f>
        <v>Y</v>
      </c>
      <c r="H329" t="str">
        <f>IFERROR(__xludf.DUMMYFUNCTION("""COMPUTED_VALUE"""),"Instructor Request, Updated")</f>
        <v>Instructor Request, Updated</v>
      </c>
      <c r="I329" t="str">
        <f>IFERROR(__xludf.DUMMYFUNCTION("""COMPUTED_VALUE"""),"Development")</f>
        <v>Development</v>
      </c>
      <c r="J329" t="str">
        <f>IFERROR(__xludf.DUMMYFUNCTION("""COMPUTED_VALUE"""),"Mobile Development")</f>
        <v>Mobile Development</v>
      </c>
      <c r="K329" s="140">
        <f>IFERROR(__xludf.DUMMYFUNCTION("""COMPUTED_VALUE"""),1253188.0)</f>
        <v>1253188</v>
      </c>
      <c r="L329" s="140" t="str">
        <f>IFERROR(__xludf.DUMMYFUNCTION("""COMPUTED_VALUE"""),"")</f>
        <v/>
      </c>
      <c r="N329" s="140" t="str">
        <f>IFERROR(__xludf.DUMMYFUNCTION("""COMPUTED_VALUE"""),"")</f>
        <v/>
      </c>
    </row>
    <row r="330">
      <c r="A330" s="143">
        <f>IFERROR(__xludf.DUMMYFUNCTION("""COMPUTED_VALUE"""),42825.0)</f>
        <v>42825</v>
      </c>
      <c r="B330" s="140">
        <f>IFERROR(__xludf.DUMMYFUNCTION("""COMPUTED_VALUE"""),250114.0)</f>
        <v>250114</v>
      </c>
      <c r="C330" s="140" t="str">
        <f>IFERROR(__xludf.DUMMYFUNCTION("""COMPUTED_VALUE"""),"#N/A")</f>
        <v>#N/A</v>
      </c>
      <c r="D330" t="str">
        <f>IFERROR(__xludf.DUMMYFUNCTION("""COMPUTED_VALUE"""),"Rob Percival")</f>
        <v>Rob Percival</v>
      </c>
      <c r="G330" t="str">
        <f>IFERROR(__xludf.DUMMYFUNCTION("""COMPUTED_VALUE"""),"Y")</f>
        <v>Y</v>
      </c>
      <c r="H330" t="str">
        <f>IFERROR(__xludf.DUMMYFUNCTION("""COMPUTED_VALUE"""),"Instructor Request, Updated")</f>
        <v>Instructor Request, Updated</v>
      </c>
      <c r="I330" t="str">
        <f>IFERROR(__xludf.DUMMYFUNCTION("""COMPUTED_VALUE"""),"Development")</f>
        <v>Development</v>
      </c>
      <c r="J330" t="str">
        <f>IFERROR(__xludf.DUMMYFUNCTION("""COMPUTED_VALUE"""),"Mobile Development")</f>
        <v>Mobile Development</v>
      </c>
      <c r="K330" s="140">
        <f>IFERROR(__xludf.DUMMYFUNCTION("""COMPUTED_VALUE"""),1253188.0)</f>
        <v>1253188</v>
      </c>
      <c r="L330" s="140" t="str">
        <f>IFERROR(__xludf.DUMMYFUNCTION("""COMPUTED_VALUE"""),"")</f>
        <v/>
      </c>
      <c r="N330" s="140" t="str">
        <f>IFERROR(__xludf.DUMMYFUNCTION("""COMPUTED_VALUE"""),"")</f>
        <v/>
      </c>
    </row>
    <row r="331">
      <c r="A331" s="143">
        <f>IFERROR(__xludf.DUMMYFUNCTION("""COMPUTED_VALUE"""),42825.0)</f>
        <v>42825</v>
      </c>
      <c r="B331" s="140">
        <f>IFERROR(__xludf.DUMMYFUNCTION("""COMPUTED_VALUE"""),63612.0)</f>
        <v>63612</v>
      </c>
      <c r="C331" s="140" t="str">
        <f>IFERROR(__xludf.DUMMYFUNCTION("""COMPUTED_VALUE"""),"#N/A")</f>
        <v>#N/A</v>
      </c>
      <c r="D331" t="str">
        <f>IFERROR(__xludf.DUMMYFUNCTION("""COMPUTED_VALUE"""),"John Bura")</f>
        <v>John Bura</v>
      </c>
      <c r="G331" t="str">
        <f>IFERROR(__xludf.DUMMYFUNCTION("""COMPUTED_VALUE"""),"Y")</f>
        <v>Y</v>
      </c>
      <c r="H331" t="str">
        <f>IFERROR(__xludf.DUMMYFUNCTION("""COMPUTED_VALUE"""),"Below Quality Standards")</f>
        <v>Below Quality Standards</v>
      </c>
      <c r="I331" t="str">
        <f>IFERROR(__xludf.DUMMYFUNCTION("""COMPUTED_VALUE"""),"Development")</f>
        <v>Development</v>
      </c>
      <c r="J331" t="str">
        <f>IFERROR(__xludf.DUMMYFUNCTION("""COMPUTED_VALUE"""),"Web Development")</f>
        <v>Web Development</v>
      </c>
      <c r="K331" s="140">
        <f>IFERROR(__xludf.DUMMYFUNCTION("""COMPUTED_VALUE"""),860812.0)</f>
        <v>860812</v>
      </c>
      <c r="L331" s="140" t="str">
        <f>IFERROR(__xludf.DUMMYFUNCTION("""COMPUTED_VALUE"""),"")</f>
        <v/>
      </c>
      <c r="M331" s="140">
        <f>IFERROR(__xludf.DUMMYFUNCTION("""COMPUTED_VALUE"""),405818.0)</f>
        <v>405818</v>
      </c>
      <c r="N331" s="140" t="str">
        <f>IFERROR(__xludf.DUMMYFUNCTION("""COMPUTED_VALUE"""),"")</f>
        <v/>
      </c>
    </row>
    <row r="332">
      <c r="A332" s="143">
        <f>IFERROR(__xludf.DUMMYFUNCTION("""COMPUTED_VALUE"""),42825.0)</f>
        <v>42825</v>
      </c>
      <c r="B332" s="140">
        <f>IFERROR(__xludf.DUMMYFUNCTION("""COMPUTED_VALUE"""),427530.0)</f>
        <v>427530</v>
      </c>
      <c r="C332" s="140" t="str">
        <f>IFERROR(__xludf.DUMMYFUNCTION("""COMPUTED_VALUE"""),"#N/A")</f>
        <v>#N/A</v>
      </c>
      <c r="D332" t="str">
        <f>IFERROR(__xludf.DUMMYFUNCTION("""COMPUTED_VALUE"""),"Eduonix Learning Solutions")</f>
        <v>Eduonix Learning Solutions</v>
      </c>
      <c r="G332" t="str">
        <f>IFERROR(__xludf.DUMMYFUNCTION("""COMPUTED_VALUE"""),"Y")</f>
        <v>Y</v>
      </c>
      <c r="H332" t="str">
        <f>IFERROR(__xludf.DUMMYFUNCTION("""COMPUTED_VALUE"""),"Below Quality Standards")</f>
        <v>Below Quality Standards</v>
      </c>
      <c r="I332" t="str">
        <f>IFERROR(__xludf.DUMMYFUNCTION("""COMPUTED_VALUE"""),"Development")</f>
        <v>Development</v>
      </c>
      <c r="J332" t="str">
        <f>IFERROR(__xludf.DUMMYFUNCTION("""COMPUTED_VALUE"""),"Web Development")</f>
        <v>Web Development</v>
      </c>
      <c r="K332" s="140">
        <f>IFERROR(__xludf.DUMMYFUNCTION("""COMPUTED_VALUE"""),708578.0)</f>
        <v>708578</v>
      </c>
      <c r="L332" s="140" t="str">
        <f>IFERROR(__xludf.DUMMYFUNCTION("""COMPUTED_VALUE"""),"")</f>
        <v/>
      </c>
      <c r="M332" s="140">
        <f>IFERROR(__xludf.DUMMYFUNCTION("""COMPUTED_VALUE"""),708578.0)</f>
        <v>708578</v>
      </c>
      <c r="N332" s="140" t="str">
        <f>IFERROR(__xludf.DUMMYFUNCTION("""COMPUTED_VALUE"""),"")</f>
        <v/>
      </c>
    </row>
    <row r="333">
      <c r="A333" s="143">
        <f>IFERROR(__xludf.DUMMYFUNCTION("""COMPUTED_VALUE"""),42825.0)</f>
        <v>42825</v>
      </c>
      <c r="B333" s="140">
        <f>IFERROR(__xludf.DUMMYFUNCTION("""COMPUTED_VALUE"""),318638.0)</f>
        <v>318638</v>
      </c>
      <c r="C333" s="140" t="str">
        <f>IFERROR(__xludf.DUMMYFUNCTION("""COMPUTED_VALUE"""),"#N/A")</f>
        <v>#N/A</v>
      </c>
      <c r="D333" t="str">
        <f>IFERROR(__xludf.DUMMYFUNCTION("""COMPUTED_VALUE"""),"Eduonix Learning Solutions")</f>
        <v>Eduonix Learning Solutions</v>
      </c>
      <c r="G333" t="str">
        <f>IFERROR(__xludf.DUMMYFUNCTION("""COMPUTED_VALUE"""),"Y")</f>
        <v>Y</v>
      </c>
      <c r="H333" t="str">
        <f>IFERROR(__xludf.DUMMYFUNCTION("""COMPUTED_VALUE"""),"Below Quality Standards")</f>
        <v>Below Quality Standards</v>
      </c>
      <c r="I333" t="str">
        <f>IFERROR(__xludf.DUMMYFUNCTION("""COMPUTED_VALUE"""),"Development")</f>
        <v>Development</v>
      </c>
      <c r="J333" t="str">
        <f>IFERROR(__xludf.DUMMYFUNCTION("""COMPUTED_VALUE"""),"Web Development")</f>
        <v>Web Development</v>
      </c>
      <c r="K333" s="140">
        <f>IFERROR(__xludf.DUMMYFUNCTION("""COMPUTED_VALUE"""),405818.0)</f>
        <v>405818</v>
      </c>
      <c r="L333" s="140" t="str">
        <f>IFERROR(__xludf.DUMMYFUNCTION("""COMPUTED_VALUE"""),"")</f>
        <v/>
      </c>
      <c r="M333" s="140">
        <f>IFERROR(__xludf.DUMMYFUNCTION("""COMPUTED_VALUE"""),379722.0)</f>
        <v>379722</v>
      </c>
      <c r="N333" s="140" t="str">
        <f>IFERROR(__xludf.DUMMYFUNCTION("""COMPUTED_VALUE"""),"")</f>
        <v/>
      </c>
    </row>
    <row r="334">
      <c r="A334" s="143">
        <f>IFERROR(__xludf.DUMMYFUNCTION("""COMPUTED_VALUE"""),42825.0)</f>
        <v>42825</v>
      </c>
      <c r="B334" s="140">
        <f>IFERROR(__xludf.DUMMYFUNCTION("""COMPUTED_VALUE"""),459976.0)</f>
        <v>459976</v>
      </c>
      <c r="C334" s="140" t="str">
        <f>IFERROR(__xludf.DUMMYFUNCTION("""COMPUTED_VALUE"""),"#N/A")</f>
        <v>#N/A</v>
      </c>
      <c r="D334" t="str">
        <f>IFERROR(__xludf.DUMMYFUNCTION("""COMPUTED_VALUE"""),"Medallion Learning")</f>
        <v>Medallion Learning</v>
      </c>
      <c r="G334" t="str">
        <f>IFERROR(__xludf.DUMMYFUNCTION("""COMPUTED_VALUE"""),"Y")</f>
        <v>Y</v>
      </c>
      <c r="H334" t="str">
        <f>IFERROR(__xludf.DUMMYFUNCTION("""COMPUTED_VALUE"""),"Instructor Request")</f>
        <v>Instructor Request</v>
      </c>
      <c r="I334" t="str">
        <f>IFERROR(__xludf.DUMMYFUNCTION("""COMPUTED_VALUE"""),"IT and Software")</f>
        <v>IT and Software</v>
      </c>
      <c r="J334" t="str">
        <f>IFERROR(__xludf.DUMMYFUNCTION("""COMPUTED_VALUE"""),"IT Certifications")</f>
        <v>IT Certifications</v>
      </c>
      <c r="L334" s="140" t="str">
        <f>IFERROR(__xludf.DUMMYFUNCTION("""COMPUTED_VALUE"""),"")</f>
        <v/>
      </c>
      <c r="N334" s="140" t="str">
        <f>IFERROR(__xludf.DUMMYFUNCTION("""COMPUTED_VALUE"""),"")</f>
        <v/>
      </c>
      <c r="R334" t="str">
        <f>IFERROR(__xludf.DUMMYFUNCTION("""COMPUTED_VALUE"""),"IT and Software")</f>
        <v>IT and Software</v>
      </c>
      <c r="S334" t="str">
        <f>IFERROR(__xludf.DUMMYFUNCTION("""COMPUTED_VALUE"""),"Security")</f>
        <v>Security</v>
      </c>
    </row>
    <row r="335">
      <c r="A335" s="143">
        <f>IFERROR(__xludf.DUMMYFUNCTION("""COMPUTED_VALUE"""),42825.0)</f>
        <v>42825</v>
      </c>
      <c r="B335" s="140">
        <f>IFERROR(__xludf.DUMMYFUNCTION("""COMPUTED_VALUE"""),642530.0)</f>
        <v>642530</v>
      </c>
      <c r="C335" s="140" t="str">
        <f>IFERROR(__xludf.DUMMYFUNCTION("""COMPUTED_VALUE"""),"#N/A")</f>
        <v>#N/A</v>
      </c>
      <c r="D335" t="str">
        <f>IFERROR(__xludf.DUMMYFUNCTION("""COMPUTED_VALUE"""),"Medallion Learning")</f>
        <v>Medallion Learning</v>
      </c>
      <c r="G335" t="str">
        <f>IFERROR(__xludf.DUMMYFUNCTION("""COMPUTED_VALUE"""),"Y")</f>
        <v>Y</v>
      </c>
      <c r="H335" t="str">
        <f>IFERROR(__xludf.DUMMYFUNCTION("""COMPUTED_VALUE"""),"Instructor Request")</f>
        <v>Instructor Request</v>
      </c>
      <c r="I335" t="str">
        <f>IFERROR(__xludf.DUMMYFUNCTION("""COMPUTED_VALUE"""),"IT and Software")</f>
        <v>IT and Software</v>
      </c>
      <c r="J335" t="str">
        <f>IFERROR(__xludf.DUMMYFUNCTION("""COMPUTED_VALUE"""),"IT Certifications")</f>
        <v>IT Certifications</v>
      </c>
      <c r="L335" s="140" t="str">
        <f>IFERROR(__xludf.DUMMYFUNCTION("""COMPUTED_VALUE"""),"")</f>
        <v/>
      </c>
      <c r="N335" s="140" t="str">
        <f>IFERROR(__xludf.DUMMYFUNCTION("""COMPUTED_VALUE"""),"")</f>
        <v/>
      </c>
      <c r="R335" t="str">
        <f>IFERROR(__xludf.DUMMYFUNCTION("""COMPUTED_VALUE"""),"IT and Software")</f>
        <v>IT and Software</v>
      </c>
      <c r="S335" t="str">
        <f>IFERROR(__xludf.DUMMYFUNCTION("""COMPUTED_VALUE"""),"Security")</f>
        <v>Security</v>
      </c>
    </row>
    <row r="336">
      <c r="A336" s="143">
        <f>IFERROR(__xludf.DUMMYFUNCTION("""COMPUTED_VALUE"""),42825.0)</f>
        <v>42825</v>
      </c>
      <c r="B336" s="140">
        <f>IFERROR(__xludf.DUMMYFUNCTION("""COMPUTED_VALUE"""),524234.0)</f>
        <v>524234</v>
      </c>
      <c r="C336" s="140" t="str">
        <f>IFERROR(__xludf.DUMMYFUNCTION("""COMPUTED_VALUE"""),"#N/A")</f>
        <v>#N/A</v>
      </c>
      <c r="D336" t="str">
        <f>IFERROR(__xludf.DUMMYFUNCTION("""COMPUTED_VALUE"""),"Medallion Learning")</f>
        <v>Medallion Learning</v>
      </c>
      <c r="G336" t="str">
        <f>IFERROR(__xludf.DUMMYFUNCTION("""COMPUTED_VALUE"""),"Y")</f>
        <v>Y</v>
      </c>
      <c r="H336" t="str">
        <f>IFERROR(__xludf.DUMMYFUNCTION("""COMPUTED_VALUE"""),"Instructor Request")</f>
        <v>Instructor Request</v>
      </c>
      <c r="I336" t="str">
        <f>IFERROR(__xludf.DUMMYFUNCTION("""COMPUTED_VALUE"""),"IT and Software")</f>
        <v>IT and Software</v>
      </c>
      <c r="J336" t="str">
        <f>IFERROR(__xludf.DUMMYFUNCTION("""COMPUTED_VALUE"""),"IT Certifications")</f>
        <v>IT Certifications</v>
      </c>
      <c r="K336" s="140">
        <f>IFERROR(__xludf.DUMMYFUNCTION("""COMPUTED_VALUE"""),642612.0)</f>
        <v>642612</v>
      </c>
      <c r="L336" s="140" t="str">
        <f>IFERROR(__xludf.DUMMYFUNCTION("""COMPUTED_VALUE"""),"")</f>
        <v/>
      </c>
      <c r="N336" s="140" t="str">
        <f>IFERROR(__xludf.DUMMYFUNCTION("""COMPUTED_VALUE"""),"")</f>
        <v/>
      </c>
    </row>
    <row r="337">
      <c r="A337" s="143">
        <f>IFERROR(__xludf.DUMMYFUNCTION("""COMPUTED_VALUE"""),42825.0)</f>
        <v>42825</v>
      </c>
      <c r="B337" s="140">
        <f>IFERROR(__xludf.DUMMYFUNCTION("""COMPUTED_VALUE"""),490498.0)</f>
        <v>490498</v>
      </c>
      <c r="C337" s="140" t="str">
        <f>IFERROR(__xludf.DUMMYFUNCTION("""COMPUTED_VALUE"""),"#N/A")</f>
        <v>#N/A</v>
      </c>
      <c r="D337" t="str">
        <f>IFERROR(__xludf.DUMMYFUNCTION("""COMPUTED_VALUE"""),"Medallion Learning")</f>
        <v>Medallion Learning</v>
      </c>
      <c r="G337" t="str">
        <f>IFERROR(__xludf.DUMMYFUNCTION("""COMPUTED_VALUE"""),"Y")</f>
        <v>Y</v>
      </c>
      <c r="H337" t="str">
        <f>IFERROR(__xludf.DUMMYFUNCTION("""COMPUTED_VALUE"""),"Instructor Request")</f>
        <v>Instructor Request</v>
      </c>
      <c r="I337" t="str">
        <f>IFERROR(__xludf.DUMMYFUNCTION("""COMPUTED_VALUE"""),"IT and Software")</f>
        <v>IT and Software</v>
      </c>
      <c r="J337" t="str">
        <f>IFERROR(__xludf.DUMMYFUNCTION("""COMPUTED_VALUE"""),"IT Certifications")</f>
        <v>IT Certifications</v>
      </c>
      <c r="K337" s="140">
        <f>IFERROR(__xludf.DUMMYFUNCTION("""COMPUTED_VALUE"""),1117202.0)</f>
        <v>1117202</v>
      </c>
      <c r="L337" s="140" t="str">
        <f>IFERROR(__xludf.DUMMYFUNCTION("""COMPUTED_VALUE"""),"")</f>
        <v/>
      </c>
      <c r="N337" s="140" t="str">
        <f>IFERROR(__xludf.DUMMYFUNCTION("""COMPUTED_VALUE"""),"")</f>
        <v/>
      </c>
      <c r="R337" t="str">
        <f>IFERROR(__xludf.DUMMYFUNCTION("""COMPUTED_VALUE"""),"IT and Software")</f>
        <v>IT and Software</v>
      </c>
      <c r="S337" t="str">
        <f>IFERROR(__xludf.DUMMYFUNCTION("""COMPUTED_VALUE"""),"Security")</f>
        <v>Security</v>
      </c>
    </row>
    <row r="338">
      <c r="A338" s="143">
        <f>IFERROR(__xludf.DUMMYFUNCTION("""COMPUTED_VALUE"""),42825.0)</f>
        <v>42825</v>
      </c>
      <c r="B338" s="140">
        <f>IFERROR(__xludf.DUMMYFUNCTION("""COMPUTED_VALUE"""),262212.0)</f>
        <v>262212</v>
      </c>
      <c r="C338" s="140" t="str">
        <f>IFERROR(__xludf.DUMMYFUNCTION("""COMPUTED_VALUE"""),"#N/A")</f>
        <v>#N/A</v>
      </c>
      <c r="D338" t="str">
        <f>IFERROR(__xludf.DUMMYFUNCTION("""COMPUTED_VALUE"""),"Jason Cannon ")</f>
        <v>Jason Cannon </v>
      </c>
      <c r="G338" t="str">
        <f>IFERROR(__xludf.DUMMYFUNCTION("""COMPUTED_VALUE"""),"Y")</f>
        <v>Y</v>
      </c>
      <c r="H338" t="str">
        <f>IFERROR(__xludf.DUMMYFUNCTION("""COMPUTED_VALUE"""),"Below Quality Standards")</f>
        <v>Below Quality Standards</v>
      </c>
      <c r="I338" t="str">
        <f>IFERROR(__xludf.DUMMYFUNCTION("""COMPUTED_VALUE"""),"IT and Software")</f>
        <v>IT and Software</v>
      </c>
      <c r="J338" t="str">
        <f>IFERROR(__xludf.DUMMYFUNCTION("""COMPUTED_VALUE"""),"Operating Systems and Servers")</f>
        <v>Operating Systems and Servers</v>
      </c>
      <c r="K338" s="140">
        <f>IFERROR(__xludf.DUMMYFUNCTION("""COMPUTED_VALUE"""),630716.0)</f>
        <v>630716</v>
      </c>
      <c r="L338" s="140" t="str">
        <f>IFERROR(__xludf.DUMMYFUNCTION("""COMPUTED_VALUE"""),"")</f>
        <v/>
      </c>
      <c r="N338" s="140" t="str">
        <f>IFERROR(__xludf.DUMMYFUNCTION("""COMPUTED_VALUE"""),"")</f>
        <v/>
      </c>
    </row>
    <row r="339">
      <c r="A339" s="143">
        <f>IFERROR(__xludf.DUMMYFUNCTION("""COMPUTED_VALUE"""),42825.0)</f>
        <v>42825</v>
      </c>
      <c r="B339" s="140">
        <f>IFERROR(__xludf.DUMMYFUNCTION("""COMPUTED_VALUE"""),693700.0)</f>
        <v>693700</v>
      </c>
      <c r="C339" s="140" t="str">
        <f>IFERROR(__xludf.DUMMYFUNCTION("""COMPUTED_VALUE"""),"#N/A")</f>
        <v>#N/A</v>
      </c>
      <c r="D339" t="str">
        <f>IFERROR(__xludf.DUMMYFUNCTION("""COMPUTED_VALUE"""),"Salesforce Instructor Mike Wheeler ")</f>
        <v>Salesforce Instructor Mike Wheeler </v>
      </c>
      <c r="G339" t="str">
        <f>IFERROR(__xludf.DUMMYFUNCTION("""COMPUTED_VALUE"""),"Y")</f>
        <v>Y</v>
      </c>
      <c r="H339" t="str">
        <f>IFERROR(__xludf.DUMMYFUNCTION("""COMPUTED_VALUE"""),"Instructor Request")</f>
        <v>Instructor Request</v>
      </c>
      <c r="I339" t="str">
        <f>IFERROR(__xludf.DUMMYFUNCTION("""COMPUTED_VALUE"""),"Sales")</f>
        <v>Sales</v>
      </c>
      <c r="J339" t="str">
        <f>IFERROR(__xludf.DUMMYFUNCTION("""COMPUTED_VALUE"""),"Sales Tools and Techniques")</f>
        <v>Sales Tools and Techniques</v>
      </c>
      <c r="L339" s="140" t="str">
        <f>IFERROR(__xludf.DUMMYFUNCTION("""COMPUTED_VALUE"""),"")</f>
        <v/>
      </c>
      <c r="N339" s="140" t="str">
        <f>IFERROR(__xludf.DUMMYFUNCTION("""COMPUTED_VALUE"""),"")</f>
        <v/>
      </c>
      <c r="Q339" t="str">
        <f>IFERROR(__xludf.DUMMYFUNCTION("""COMPUTED_VALUE"""),"Course in the pipeline from Content.")</f>
        <v>Course in the pipeline from Content.</v>
      </c>
    </row>
    <row r="340">
      <c r="A340" s="143">
        <f>IFERROR(__xludf.DUMMYFUNCTION("""COMPUTED_VALUE"""),42794.0)</f>
        <v>42794</v>
      </c>
      <c r="B340" s="140">
        <f>IFERROR(__xludf.DUMMYFUNCTION("""COMPUTED_VALUE"""),467362.0)</f>
        <v>467362</v>
      </c>
      <c r="C340" s="140" t="str">
        <f>IFERROR(__xludf.DUMMYFUNCTION("""COMPUTED_VALUE"""),"#N/A")</f>
        <v>#N/A</v>
      </c>
      <c r="D340" t="str">
        <f>IFERROR(__xludf.DUMMYFUNCTION("""COMPUTED_VALUE"""),"John Mount")</f>
        <v>John Mount</v>
      </c>
      <c r="G340" t="str">
        <f>IFERROR(__xludf.DUMMYFUNCTION("""COMPUTED_VALUE"""),"Y")</f>
        <v>Y</v>
      </c>
      <c r="H340" t="str">
        <f>IFERROR(__xludf.DUMMYFUNCTION("""COMPUTED_VALUE"""),"Instructor Opted Out")</f>
        <v>Instructor Opted Out</v>
      </c>
      <c r="I340" t="str">
        <f>IFERROR(__xludf.DUMMYFUNCTION("""COMPUTED_VALUE"""),"Data Science")</f>
        <v>Data Science</v>
      </c>
      <c r="J340" t="str">
        <f>IFERROR(__xludf.DUMMYFUNCTION("""COMPUTED_VALUE"""),"Analytics")</f>
        <v>Analytics</v>
      </c>
      <c r="K340" s="140">
        <f>IFERROR(__xludf.DUMMYFUNCTION("""COMPUTED_VALUE"""),613946.0)</f>
        <v>613946</v>
      </c>
      <c r="L340" s="140" t="str">
        <f>IFERROR(__xludf.DUMMYFUNCTION("""COMPUTED_VALUE"""),"")</f>
        <v/>
      </c>
      <c r="N340" s="140" t="str">
        <f>IFERROR(__xludf.DUMMYFUNCTION("""COMPUTED_VALUE"""),"")</f>
        <v/>
      </c>
    </row>
    <row r="341">
      <c r="A341" s="143">
        <f>IFERROR(__xludf.DUMMYFUNCTION("""COMPUTED_VALUE"""),42794.0)</f>
        <v>42794</v>
      </c>
      <c r="B341" s="140">
        <f>IFERROR(__xludf.DUMMYFUNCTION("""COMPUTED_VALUE"""),421806.0)</f>
        <v>421806</v>
      </c>
      <c r="C341" s="140" t="str">
        <f>IFERROR(__xludf.DUMMYFUNCTION("""COMPUTED_VALUE"""),"#N/A")</f>
        <v>#N/A</v>
      </c>
      <c r="D341" t="str">
        <f>IFERROR(__xludf.DUMMYFUNCTION("""COMPUTED_VALUE"""),"Huw Collingbourne")</f>
        <v>Huw Collingbourne</v>
      </c>
      <c r="G341" t="str">
        <f>IFERROR(__xludf.DUMMYFUNCTION("""COMPUTED_VALUE"""),"Y")</f>
        <v>Y</v>
      </c>
      <c r="H341" t="str">
        <f>IFERROR(__xludf.DUMMYFUNCTION("""COMPUTED_VALUE"""),"Below Quality Standards")</f>
        <v>Below Quality Standards</v>
      </c>
      <c r="I341" t="str">
        <f>IFERROR(__xludf.DUMMYFUNCTION("""COMPUTED_VALUE"""),"Development")</f>
        <v>Development</v>
      </c>
      <c r="J341" t="str">
        <f>IFERROR(__xludf.DUMMYFUNCTION("""COMPUTED_VALUE"""),"Mobile Development")</f>
        <v>Mobile Development</v>
      </c>
      <c r="K341" s="140">
        <f>IFERROR(__xludf.DUMMYFUNCTION("""COMPUTED_VALUE"""),533682.0)</f>
        <v>533682</v>
      </c>
      <c r="L341" s="140" t="str">
        <f>IFERROR(__xludf.DUMMYFUNCTION("""COMPUTED_VALUE"""),"")</f>
        <v/>
      </c>
      <c r="N341" s="140" t="str">
        <f>IFERROR(__xludf.DUMMYFUNCTION("""COMPUTED_VALUE"""),"")</f>
        <v/>
      </c>
    </row>
    <row r="342">
      <c r="A342" s="143">
        <f>IFERROR(__xludf.DUMMYFUNCTION("""COMPUTED_VALUE"""),42794.0)</f>
        <v>42794</v>
      </c>
      <c r="B342" s="140">
        <f>IFERROR(__xludf.DUMMYFUNCTION("""COMPUTED_VALUE"""),889558.0)</f>
        <v>889558</v>
      </c>
      <c r="C342" s="140" t="str">
        <f>IFERROR(__xludf.DUMMYFUNCTION("""COMPUTED_VALUE"""),"#N/A")</f>
        <v>#N/A</v>
      </c>
      <c r="D342" t="str">
        <f>IFERROR(__xludf.DUMMYFUNCTION("""COMPUTED_VALUE"""),"Laurence Svekis ")</f>
        <v>Laurence Svekis </v>
      </c>
      <c r="G342" t="str">
        <f>IFERROR(__xludf.DUMMYFUNCTION("""COMPUTED_VALUE"""),"Y")</f>
        <v>Y</v>
      </c>
      <c r="H342" t="str">
        <f>IFERROR(__xludf.DUMMYFUNCTION("""COMPUTED_VALUE"""),"Below Quality Standards + Low Adoption")</f>
        <v>Below Quality Standards + Low Adoption</v>
      </c>
      <c r="I342" t="str">
        <f>IFERROR(__xludf.DUMMYFUNCTION("""COMPUTED_VALUE"""),"Development")</f>
        <v>Development</v>
      </c>
      <c r="J342" t="str">
        <f>IFERROR(__xludf.DUMMYFUNCTION("""COMPUTED_VALUE"""),"Mobile Development")</f>
        <v>Mobile Development</v>
      </c>
      <c r="K342" s="140">
        <f>IFERROR(__xludf.DUMMYFUNCTION("""COMPUTED_VALUE"""),995016.0)</f>
        <v>995016</v>
      </c>
      <c r="L342" s="140" t="str">
        <f>IFERROR(__xludf.DUMMYFUNCTION("""COMPUTED_VALUE"""),"")</f>
        <v/>
      </c>
      <c r="N342" s="140" t="str">
        <f>IFERROR(__xludf.DUMMYFUNCTION("""COMPUTED_VALUE"""),"")</f>
        <v/>
      </c>
    </row>
    <row r="343">
      <c r="A343" s="143">
        <f>IFERROR(__xludf.DUMMYFUNCTION("""COMPUTED_VALUE"""),42794.0)</f>
        <v>42794</v>
      </c>
      <c r="B343" s="140">
        <f>IFERROR(__xludf.DUMMYFUNCTION("""COMPUTED_VALUE"""),128950.0)</f>
        <v>128950</v>
      </c>
      <c r="C343" s="140" t="str">
        <f>IFERROR(__xludf.DUMMYFUNCTION("""COMPUTED_VALUE"""),"#N/A")</f>
        <v>#N/A</v>
      </c>
      <c r="D343" t="str">
        <f>IFERROR(__xludf.DUMMYFUNCTION("""COMPUTED_VALUE"""),"Eduonix Learning Solutions")</f>
        <v>Eduonix Learning Solutions</v>
      </c>
      <c r="G343" t="str">
        <f>IFERROR(__xludf.DUMMYFUNCTION("""COMPUTED_VALUE"""),"Y")</f>
        <v>Y</v>
      </c>
      <c r="H343" t="str">
        <f>IFERROR(__xludf.DUMMYFUNCTION("""COMPUTED_VALUE"""),"Below Quality Standards")</f>
        <v>Below Quality Standards</v>
      </c>
      <c r="I343" t="str">
        <f>IFERROR(__xludf.DUMMYFUNCTION("""COMPUTED_VALUE"""),"Development")</f>
        <v>Development</v>
      </c>
      <c r="J343" t="str">
        <f>IFERROR(__xludf.DUMMYFUNCTION("""COMPUTED_VALUE"""),"Web Development")</f>
        <v>Web Development</v>
      </c>
      <c r="K343" s="140">
        <f>IFERROR(__xludf.DUMMYFUNCTION("""COMPUTED_VALUE"""),708578.0)</f>
        <v>708578</v>
      </c>
      <c r="L343" s="140" t="str">
        <f>IFERROR(__xludf.DUMMYFUNCTION("""COMPUTED_VALUE"""),"")</f>
        <v/>
      </c>
      <c r="N343" s="140" t="str">
        <f>IFERROR(__xludf.DUMMYFUNCTION("""COMPUTED_VALUE"""),"")</f>
        <v/>
      </c>
    </row>
    <row r="344">
      <c r="A344" s="143">
        <f>IFERROR(__xludf.DUMMYFUNCTION("""COMPUTED_VALUE"""),42794.0)</f>
        <v>42794</v>
      </c>
      <c r="B344" s="140">
        <f>IFERROR(__xludf.DUMMYFUNCTION("""COMPUTED_VALUE"""),128082.0)</f>
        <v>128082</v>
      </c>
      <c r="C344" s="140" t="str">
        <f>IFERROR(__xludf.DUMMYFUNCTION("""COMPUTED_VALUE"""),"#N/A")</f>
        <v>#N/A</v>
      </c>
      <c r="D344" t="str">
        <f>IFERROR(__xludf.DUMMYFUNCTION("""COMPUTED_VALUE"""),"Simon Sez IT")</f>
        <v>Simon Sez IT</v>
      </c>
      <c r="G344" t="str">
        <f>IFERROR(__xludf.DUMMYFUNCTION("""COMPUTED_VALUE"""),"Y")</f>
        <v>Y</v>
      </c>
      <c r="H344" t="str">
        <f>IFERROR(__xludf.DUMMYFUNCTION("""COMPUTED_VALUE"""),"Below Quality Standards")</f>
        <v>Below Quality Standards</v>
      </c>
      <c r="I344" t="str">
        <f>IFERROR(__xludf.DUMMYFUNCTION("""COMPUTED_VALUE"""),"Finance and Accounting")</f>
        <v>Finance and Accounting</v>
      </c>
      <c r="J344" t="str">
        <f>IFERROR(__xludf.DUMMYFUNCTION("""COMPUTED_VALUE"""),"Accounting")</f>
        <v>Accounting</v>
      </c>
      <c r="K344" s="140">
        <f>IFERROR(__xludf.DUMMYFUNCTION("""COMPUTED_VALUE"""),627760.0)</f>
        <v>627760</v>
      </c>
      <c r="L344" s="140" t="str">
        <f>IFERROR(__xludf.DUMMYFUNCTION("""COMPUTED_VALUE"""),"")</f>
        <v/>
      </c>
      <c r="N344" s="140" t="str">
        <f>IFERROR(__xludf.DUMMYFUNCTION("""COMPUTED_VALUE"""),"")</f>
        <v/>
      </c>
    </row>
    <row r="345">
      <c r="A345" s="143">
        <f>IFERROR(__xludf.DUMMYFUNCTION("""COMPUTED_VALUE"""),42794.0)</f>
        <v>42794</v>
      </c>
      <c r="B345" s="140">
        <f>IFERROR(__xludf.DUMMYFUNCTION("""COMPUTED_VALUE"""),454648.0)</f>
        <v>454648</v>
      </c>
      <c r="C345" s="140" t="str">
        <f>IFERROR(__xludf.DUMMYFUNCTION("""COMPUTED_VALUE"""),"#N/A")</f>
        <v>#N/A</v>
      </c>
      <c r="D345" t="str">
        <f>IFERROR(__xludf.DUMMYFUNCTION("""COMPUTED_VALUE"""),"Ryan Kroonenburg")</f>
        <v>Ryan Kroonenburg</v>
      </c>
      <c r="G345" t="str">
        <f>IFERROR(__xludf.DUMMYFUNCTION("""COMPUTED_VALUE"""),"Y")</f>
        <v>Y</v>
      </c>
      <c r="H345" t="str">
        <f>IFERROR(__xludf.DUMMYFUNCTION("""COMPUTED_VALUE"""),"Below Quality Standards")</f>
        <v>Below Quality Standards</v>
      </c>
      <c r="I345" t="str">
        <f>IFERROR(__xludf.DUMMYFUNCTION("""COMPUTED_VALUE"""),"IT and Software")</f>
        <v>IT and Software</v>
      </c>
      <c r="J345" t="str">
        <f>IFERROR(__xludf.DUMMYFUNCTION("""COMPUTED_VALUE"""),"IT Certifications")</f>
        <v>IT Certifications</v>
      </c>
      <c r="K345" s="140">
        <f>IFERROR(__xludf.DUMMYFUNCTION("""COMPUTED_VALUE"""),1241098.0)</f>
        <v>1241098</v>
      </c>
      <c r="L345" s="140" t="str">
        <f>IFERROR(__xludf.DUMMYFUNCTION("""COMPUTED_VALUE"""),"")</f>
        <v/>
      </c>
      <c r="N345" s="140" t="str">
        <f>IFERROR(__xludf.DUMMYFUNCTION("""COMPUTED_VALUE"""),"")</f>
        <v/>
      </c>
      <c r="R345" t="str">
        <f>IFERROR(__xludf.DUMMYFUNCTION("""COMPUTED_VALUE"""),"IT and Software")</f>
        <v>IT and Software</v>
      </c>
      <c r="S345" t="str">
        <f>IFERROR(__xludf.DUMMYFUNCTION("""COMPUTED_VALUE"""),"Operating Systems and Servers")</f>
        <v>Operating Systems and Servers</v>
      </c>
    </row>
    <row r="346">
      <c r="A346" s="143">
        <f>IFERROR(__xludf.DUMMYFUNCTION("""COMPUTED_VALUE"""),42794.0)</f>
        <v>42794</v>
      </c>
      <c r="B346" s="140">
        <f>IFERROR(__xludf.DUMMYFUNCTION("""COMPUTED_VALUE"""),209610.0)</f>
        <v>209610</v>
      </c>
      <c r="C346" s="140" t="str">
        <f>IFERROR(__xludf.DUMMYFUNCTION("""COMPUTED_VALUE"""),"#N/A")</f>
        <v>#N/A</v>
      </c>
      <c r="D346" t="str">
        <f>IFERROR(__xludf.DUMMYFUNCTION("""COMPUTED_VALUE"""),"Lazaro Diaz")</f>
        <v>Lazaro Diaz</v>
      </c>
      <c r="G346" t="str">
        <f>IFERROR(__xludf.DUMMYFUNCTION("""COMPUTED_VALUE"""),"Y")</f>
        <v>Y</v>
      </c>
      <c r="H346" t="str">
        <f>IFERROR(__xludf.DUMMYFUNCTION("""COMPUTED_VALUE"""),"Instructor Request, Obsolete (exam expired)")</f>
        <v>Instructor Request, Obsolete (exam expired)</v>
      </c>
      <c r="I346" t="str">
        <f>IFERROR(__xludf.DUMMYFUNCTION("""COMPUTED_VALUE"""),"IT and Software")</f>
        <v>IT and Software</v>
      </c>
      <c r="J346" t="str">
        <f>IFERROR(__xludf.DUMMYFUNCTION("""COMPUTED_VALUE"""),"IT Certifications")</f>
        <v>IT Certifications</v>
      </c>
      <c r="K346" s="140">
        <f>IFERROR(__xludf.DUMMYFUNCTION("""COMPUTED_VALUE"""),948368.0)</f>
        <v>948368</v>
      </c>
      <c r="L346" s="140" t="str">
        <f>IFERROR(__xludf.DUMMYFUNCTION("""COMPUTED_VALUE"""),"")</f>
        <v/>
      </c>
      <c r="N346" s="140" t="str">
        <f>IFERROR(__xludf.DUMMYFUNCTION("""COMPUTED_VALUE"""),"")</f>
        <v/>
      </c>
    </row>
    <row r="347">
      <c r="A347" s="143">
        <f>IFERROR(__xludf.DUMMYFUNCTION("""COMPUTED_VALUE"""),42794.0)</f>
        <v>42794</v>
      </c>
      <c r="B347" s="140">
        <f>IFERROR(__xludf.DUMMYFUNCTION("""COMPUTED_VALUE"""),333978.0)</f>
        <v>333978</v>
      </c>
      <c r="C347" s="140" t="str">
        <f>IFERROR(__xludf.DUMMYFUNCTION("""COMPUTED_VALUE"""),"#N/A")</f>
        <v>#N/A</v>
      </c>
      <c r="D347" t="str">
        <f>IFERROR(__xludf.DUMMYFUNCTION("""COMPUTED_VALUE"""),"Lazaro Diaz")</f>
        <v>Lazaro Diaz</v>
      </c>
      <c r="G347" t="str">
        <f>IFERROR(__xludf.DUMMYFUNCTION("""COMPUTED_VALUE"""),"Y")</f>
        <v>Y</v>
      </c>
      <c r="H347" t="str">
        <f>IFERROR(__xludf.DUMMYFUNCTION("""COMPUTED_VALUE"""),"Instructor Request, Obsolete (exam expired)")</f>
        <v>Instructor Request, Obsolete (exam expired)</v>
      </c>
      <c r="I347" t="str">
        <f>IFERROR(__xludf.DUMMYFUNCTION("""COMPUTED_VALUE"""),"IT and Software")</f>
        <v>IT and Software</v>
      </c>
      <c r="J347" t="str">
        <f>IFERROR(__xludf.DUMMYFUNCTION("""COMPUTED_VALUE"""),"IT Certifications")</f>
        <v>IT Certifications</v>
      </c>
      <c r="L347" s="140" t="str">
        <f>IFERROR(__xludf.DUMMYFUNCTION("""COMPUTED_VALUE"""),"")</f>
        <v/>
      </c>
      <c r="N347" s="140" t="str">
        <f>IFERROR(__xludf.DUMMYFUNCTION("""COMPUTED_VALUE"""),"")</f>
        <v/>
      </c>
    </row>
    <row r="348">
      <c r="A348" s="143">
        <f>IFERROR(__xludf.DUMMYFUNCTION("""COMPUTED_VALUE"""),42794.0)</f>
        <v>42794</v>
      </c>
      <c r="B348" s="140">
        <f>IFERROR(__xludf.DUMMYFUNCTION("""COMPUTED_VALUE"""),44439.0)</f>
        <v>44439</v>
      </c>
      <c r="C348" s="140" t="str">
        <f>IFERROR(__xludf.DUMMYFUNCTION("""COMPUTED_VALUE"""),"#N/A")</f>
        <v>#N/A</v>
      </c>
      <c r="D348" t="str">
        <f>IFERROR(__xludf.DUMMYFUNCTION("""COMPUTED_VALUE"""),"J Peter Anlyan")</f>
        <v>J Peter Anlyan</v>
      </c>
      <c r="G348" t="str">
        <f>IFERROR(__xludf.DUMMYFUNCTION("""COMPUTED_VALUE"""),"Y")</f>
        <v>Y</v>
      </c>
      <c r="H348" t="str">
        <f>IFERROR(__xludf.DUMMYFUNCTION("""COMPUTED_VALUE"""),"Below Quality Standards")</f>
        <v>Below Quality Standards</v>
      </c>
      <c r="I348" t="str">
        <f>IFERROR(__xludf.DUMMYFUNCTION("""COMPUTED_VALUE"""),"Management")</f>
        <v>Management</v>
      </c>
      <c r="J348" t="str">
        <f>IFERROR(__xludf.DUMMYFUNCTION("""COMPUTED_VALUE"""),"Leadership")</f>
        <v>Leadership</v>
      </c>
      <c r="K348" s="140">
        <f>IFERROR(__xludf.DUMMYFUNCTION("""COMPUTED_VALUE"""),751602.0)</f>
        <v>751602</v>
      </c>
      <c r="L348" s="140" t="str">
        <f>IFERROR(__xludf.DUMMYFUNCTION("""COMPUTED_VALUE"""),"")</f>
        <v/>
      </c>
      <c r="M348" s="140">
        <f>IFERROR(__xludf.DUMMYFUNCTION("""COMPUTED_VALUE"""),482564.0)</f>
        <v>482564</v>
      </c>
      <c r="N348" s="140" t="str">
        <f>IFERROR(__xludf.DUMMYFUNCTION("""COMPUTED_VALUE"""),"")</f>
        <v/>
      </c>
    </row>
    <row r="349">
      <c r="A349" s="143">
        <f>IFERROR(__xludf.DUMMYFUNCTION("""COMPUTED_VALUE"""),42794.0)</f>
        <v>42794</v>
      </c>
      <c r="B349" s="140">
        <f>IFERROR(__xludf.DUMMYFUNCTION("""COMPUTED_VALUE"""),546196.0)</f>
        <v>546196</v>
      </c>
      <c r="C349" s="140" t="str">
        <f>IFERROR(__xludf.DUMMYFUNCTION("""COMPUTED_VALUE"""),"#N/A")</f>
        <v>#N/A</v>
      </c>
      <c r="D349" t="str">
        <f>IFERROR(__xludf.DUMMYFUNCTION("""COMPUTED_VALUE"""),"Learoy Tonight")</f>
        <v>Learoy Tonight</v>
      </c>
      <c r="G349" t="str">
        <f>IFERROR(__xludf.DUMMYFUNCTION("""COMPUTED_VALUE"""),"Y")</f>
        <v>Y</v>
      </c>
      <c r="H349" t="str">
        <f>IFERROR(__xludf.DUMMYFUNCTION("""COMPUTED_VALUE"""),"Below Quality Standards")</f>
        <v>Below Quality Standards</v>
      </c>
      <c r="I349" t="str">
        <f>IFERROR(__xludf.DUMMYFUNCTION("""COMPUTED_VALUE"""),"Management")</f>
        <v>Management</v>
      </c>
      <c r="J349" t="str">
        <f>IFERROR(__xludf.DUMMYFUNCTION("""COMPUTED_VALUE"""),"Leadership")</f>
        <v>Leadership</v>
      </c>
      <c r="K349" s="140">
        <f>IFERROR(__xludf.DUMMYFUNCTION("""COMPUTED_VALUE"""),775932.0)</f>
        <v>775932</v>
      </c>
      <c r="L349" s="140" t="str">
        <f>IFERROR(__xludf.DUMMYFUNCTION("""COMPUTED_VALUE"""),"")</f>
        <v/>
      </c>
      <c r="M349" s="140">
        <f>IFERROR(__xludf.DUMMYFUNCTION("""COMPUTED_VALUE"""),226664.0)</f>
        <v>226664</v>
      </c>
      <c r="N349" s="140" t="str">
        <f>IFERROR(__xludf.DUMMYFUNCTION("""COMPUTED_VALUE"""),"")</f>
        <v/>
      </c>
    </row>
    <row r="350">
      <c r="A350" s="143">
        <f>IFERROR(__xludf.DUMMYFUNCTION("""COMPUTED_VALUE"""),42794.0)</f>
        <v>42794</v>
      </c>
      <c r="B350" s="140">
        <f>IFERROR(__xludf.DUMMYFUNCTION("""COMPUTED_VALUE"""),517980.0)</f>
        <v>517980</v>
      </c>
      <c r="C350" s="140" t="str">
        <f>IFERROR(__xludf.DUMMYFUNCTION("""COMPUTED_VALUE"""),"#N/A")</f>
        <v>#N/A</v>
      </c>
      <c r="D350" t="str">
        <f>IFERROR(__xludf.DUMMYFUNCTION("""COMPUTED_VALUE"""),"Simon Sez IT")</f>
        <v>Simon Sez IT</v>
      </c>
      <c r="G350" t="str">
        <f>IFERROR(__xludf.DUMMYFUNCTION("""COMPUTED_VALUE"""),"Y")</f>
        <v>Y</v>
      </c>
      <c r="H350" t="str">
        <f>IFERROR(__xludf.DUMMYFUNCTION("""COMPUTED_VALUE"""),"Below Quality Standards")</f>
        <v>Below Quality Standards</v>
      </c>
      <c r="I350" t="str">
        <f>IFERROR(__xludf.DUMMYFUNCTION("""COMPUTED_VALUE"""),"Office Productivity")</f>
        <v>Office Productivity</v>
      </c>
      <c r="J350" t="str">
        <f>IFERROR(__xludf.DUMMYFUNCTION("""COMPUTED_VALUE"""),"Presentations")</f>
        <v>Presentations</v>
      </c>
      <c r="K350" s="140">
        <f>IFERROR(__xludf.DUMMYFUNCTION("""COMPUTED_VALUE"""),401708.0)</f>
        <v>401708</v>
      </c>
      <c r="L350" s="140" t="str">
        <f>IFERROR(__xludf.DUMMYFUNCTION("""COMPUTED_VALUE"""),"")</f>
        <v/>
      </c>
      <c r="N350" s="140" t="str">
        <f>IFERROR(__xludf.DUMMYFUNCTION("""COMPUTED_VALUE"""),"")</f>
        <v/>
      </c>
    </row>
    <row r="351">
      <c r="A351" s="143">
        <f>IFERROR(__xludf.DUMMYFUNCTION("""COMPUTED_VALUE"""),42794.0)</f>
        <v>42794</v>
      </c>
      <c r="B351" s="140">
        <f>IFERROR(__xludf.DUMMYFUNCTION("""COMPUTED_VALUE"""),645826.0)</f>
        <v>645826</v>
      </c>
      <c r="C351" s="140" t="str">
        <f>IFERROR(__xludf.DUMMYFUNCTION("""COMPUTED_VALUE"""),"#N/A")</f>
        <v>#N/A</v>
      </c>
      <c r="D351" t="str">
        <f>IFERROR(__xludf.DUMMYFUNCTION("""COMPUTED_VALUE"""),"Adam Karchoufa")</f>
        <v>Adam Karchoufa</v>
      </c>
      <c r="G351" t="str">
        <f>IFERROR(__xludf.DUMMYFUNCTION("""COMPUTED_VALUE"""),"Y")</f>
        <v>Y</v>
      </c>
      <c r="H351" t="str">
        <f>IFERROR(__xludf.DUMMYFUNCTION("""COMPUTED_VALUE"""),"Below Quality Standards")</f>
        <v>Below Quality Standards</v>
      </c>
      <c r="I351" t="str">
        <f>IFERROR(__xludf.DUMMYFUNCTION("""COMPUTED_VALUE"""),"Project Management and Operations")</f>
        <v>Project Management and Operations</v>
      </c>
      <c r="J351" t="str">
        <f>IFERROR(__xludf.DUMMYFUNCTION("""COMPUTED_VALUE"""),"Operations Management")</f>
        <v>Operations Management</v>
      </c>
      <c r="L351" s="140" t="str">
        <f>IFERROR(__xludf.DUMMYFUNCTION("""COMPUTED_VALUE"""),"")</f>
        <v/>
      </c>
      <c r="N351" s="140" t="str">
        <f>IFERROR(__xludf.DUMMYFUNCTION("""COMPUTED_VALUE"""),"")</f>
        <v/>
      </c>
    </row>
    <row r="352">
      <c r="A352" s="143">
        <f>IFERROR(__xludf.DUMMYFUNCTION("""COMPUTED_VALUE"""),42794.0)</f>
        <v>42794</v>
      </c>
      <c r="B352" s="140">
        <f>IFERROR(__xludf.DUMMYFUNCTION("""COMPUTED_VALUE"""),50411.0)</f>
        <v>50411</v>
      </c>
      <c r="C352" s="140" t="str">
        <f>IFERROR(__xludf.DUMMYFUNCTION("""COMPUTED_VALUE"""),"#N/A")</f>
        <v>#N/A</v>
      </c>
      <c r="D352" t="str">
        <f>IFERROR(__xludf.DUMMYFUNCTION("""COMPUTED_VALUE"""),"Simon Sez IT")</f>
        <v>Simon Sez IT</v>
      </c>
      <c r="G352" t="str">
        <f>IFERROR(__xludf.DUMMYFUNCTION("""COMPUTED_VALUE"""),"Y")</f>
        <v>Y</v>
      </c>
      <c r="H352" t="str">
        <f>IFERROR(__xludf.DUMMYFUNCTION("""COMPUTED_VALUE"""),"Below Quality Standards")</f>
        <v>Below Quality Standards</v>
      </c>
      <c r="I352" t="str">
        <f>IFERROR(__xludf.DUMMYFUNCTION("""COMPUTED_VALUE"""),"Project Management and Operations")</f>
        <v>Project Management and Operations</v>
      </c>
      <c r="J352" t="str">
        <f>IFERROR(__xludf.DUMMYFUNCTION("""COMPUTED_VALUE"""),"Project Management Tools")</f>
        <v>Project Management Tools</v>
      </c>
      <c r="K352" s="140">
        <f>IFERROR(__xludf.DUMMYFUNCTION("""COMPUTED_VALUE"""),432638.0)</f>
        <v>432638</v>
      </c>
      <c r="L352" s="140" t="str">
        <f>IFERROR(__xludf.DUMMYFUNCTION("""COMPUTED_VALUE"""),"")</f>
        <v/>
      </c>
      <c r="N352" s="140" t="str">
        <f>IFERROR(__xludf.DUMMYFUNCTION("""COMPUTED_VALUE"""),"")</f>
        <v/>
      </c>
    </row>
    <row r="353">
      <c r="A353" s="143">
        <f>IFERROR(__xludf.DUMMYFUNCTION("""COMPUTED_VALUE"""),42794.0)</f>
        <v>42794</v>
      </c>
      <c r="B353" s="140">
        <f>IFERROR(__xludf.DUMMYFUNCTION("""COMPUTED_VALUE"""),772712.0)</f>
        <v>772712</v>
      </c>
      <c r="C353" s="140" t="str">
        <f>IFERROR(__xludf.DUMMYFUNCTION("""COMPUTED_VALUE"""),"#N/A")</f>
        <v>#N/A</v>
      </c>
      <c r="D353" t="str">
        <f>IFERROR(__xludf.DUMMYFUNCTION("""COMPUTED_VALUE"""),"Simon Sez IT")</f>
        <v>Simon Sez IT</v>
      </c>
      <c r="G353" t="str">
        <f>IFERROR(__xludf.DUMMYFUNCTION("""COMPUTED_VALUE"""),"Y")</f>
        <v>Y</v>
      </c>
      <c r="H353" t="str">
        <f>IFERROR(__xludf.DUMMYFUNCTION("""COMPUTED_VALUE"""),"Below Quality Standards")</f>
        <v>Below Quality Standards</v>
      </c>
      <c r="I353" t="str">
        <f>IFERROR(__xludf.DUMMYFUNCTION("""COMPUTED_VALUE"""),"Project Management and Operations")</f>
        <v>Project Management and Operations</v>
      </c>
      <c r="J353" t="str">
        <f>IFERROR(__xludf.DUMMYFUNCTION("""COMPUTED_VALUE"""),"Project Management Tools")</f>
        <v>Project Management Tools</v>
      </c>
      <c r="K353" s="140">
        <f>IFERROR(__xludf.DUMMYFUNCTION("""COMPUTED_VALUE"""),638292.0)</f>
        <v>638292</v>
      </c>
      <c r="L353" s="140" t="str">
        <f>IFERROR(__xludf.DUMMYFUNCTION("""COMPUTED_VALUE"""),"")</f>
        <v/>
      </c>
      <c r="N353" s="140" t="str">
        <f>IFERROR(__xludf.DUMMYFUNCTION("""COMPUTED_VALUE"""),"")</f>
        <v/>
      </c>
    </row>
    <row r="354">
      <c r="A354" s="143">
        <f>IFERROR(__xludf.DUMMYFUNCTION("""COMPUTED_VALUE"""),42794.0)</f>
        <v>42794</v>
      </c>
      <c r="B354" s="140">
        <f>IFERROR(__xludf.DUMMYFUNCTION("""COMPUTED_VALUE"""),109814.0)</f>
        <v>109814</v>
      </c>
      <c r="C354" s="140" t="str">
        <f>IFERROR(__xludf.DUMMYFUNCTION("""COMPUTED_VALUE"""),"#N/A")</f>
        <v>#N/A</v>
      </c>
      <c r="D354" t="str">
        <f>IFERROR(__xludf.DUMMYFUNCTION("""COMPUTED_VALUE"""),"Simon Sez IT")</f>
        <v>Simon Sez IT</v>
      </c>
      <c r="G354" t="str">
        <f>IFERROR(__xludf.DUMMYFUNCTION("""COMPUTED_VALUE"""),"Y")</f>
        <v>Y</v>
      </c>
      <c r="H354" t="str">
        <f>IFERROR(__xludf.DUMMYFUNCTION("""COMPUTED_VALUE"""),"Below Quality Standards")</f>
        <v>Below Quality Standards</v>
      </c>
      <c r="I354" t="str">
        <f>IFERROR(__xludf.DUMMYFUNCTION("""COMPUTED_VALUE"""),"Project Management and Operations")</f>
        <v>Project Management and Operations</v>
      </c>
      <c r="J354" t="str">
        <f>IFERROR(__xludf.DUMMYFUNCTION("""COMPUTED_VALUE"""),"Project Management Tools")</f>
        <v>Project Management Tools</v>
      </c>
      <c r="K354" s="140">
        <f>IFERROR(__xludf.DUMMYFUNCTION("""COMPUTED_VALUE"""),432638.0)</f>
        <v>432638</v>
      </c>
      <c r="L354" s="140" t="str">
        <f>IFERROR(__xludf.DUMMYFUNCTION("""COMPUTED_VALUE"""),"")</f>
        <v/>
      </c>
      <c r="N354" s="140" t="str">
        <f>IFERROR(__xludf.DUMMYFUNCTION("""COMPUTED_VALUE"""),"")</f>
        <v/>
      </c>
    </row>
    <row r="355">
      <c r="A355" s="143">
        <f>IFERROR(__xludf.DUMMYFUNCTION("""COMPUTED_VALUE"""),42766.0)</f>
        <v>42766</v>
      </c>
      <c r="B355" s="140">
        <f>IFERROR(__xludf.DUMMYFUNCTION("""COMPUTED_VALUE"""),335258.0)</f>
        <v>335258</v>
      </c>
      <c r="C355" s="140" t="str">
        <f>IFERROR(__xludf.DUMMYFUNCTION("""COMPUTED_VALUE"""),"#N/A")</f>
        <v>#N/A</v>
      </c>
      <c r="D355" t="str">
        <f>IFERROR(__xludf.DUMMYFUNCTION("""COMPUTED_VALUE"""),"Scott Hurff")</f>
        <v>Scott Hurff</v>
      </c>
      <c r="G355" t="str">
        <f>IFERROR(__xludf.DUMMYFUNCTION("""COMPUTED_VALUE"""),"Y")</f>
        <v>Y</v>
      </c>
      <c r="H355" t="str">
        <f>IFERROR(__xludf.DUMMYFUNCTION("""COMPUTED_VALUE"""),"Instructor Opted Out")</f>
        <v>Instructor Opted Out</v>
      </c>
      <c r="I355" t="str">
        <f>IFERROR(__xludf.DUMMYFUNCTION("""COMPUTED_VALUE"""),"Design")</f>
        <v>Design</v>
      </c>
      <c r="J355" t="str">
        <f>IFERROR(__xludf.DUMMYFUNCTION("""COMPUTED_VALUE"""),"Mobile Design")</f>
        <v>Mobile Design</v>
      </c>
      <c r="K355" s="140">
        <f>IFERROR(__xludf.DUMMYFUNCTION("""COMPUTED_VALUE"""),1253188.0)</f>
        <v>1253188</v>
      </c>
      <c r="L355" s="140" t="str">
        <f>IFERROR(__xludf.DUMMYFUNCTION("""COMPUTED_VALUE"""),"")</f>
        <v/>
      </c>
      <c r="N355" s="140" t="str">
        <f>IFERROR(__xludf.DUMMYFUNCTION("""COMPUTED_VALUE"""),"")</f>
        <v/>
      </c>
      <c r="Q355" t="str">
        <f>IFERROR(__xludf.DUMMYFUNCTION("""COMPUTED_VALUE"""),"Not a perfect match.")</f>
        <v>Not a perfect match.</v>
      </c>
    </row>
    <row r="356">
      <c r="A356" s="143">
        <f>IFERROR(__xludf.DUMMYFUNCTION("""COMPUTED_VALUE"""),42766.0)</f>
        <v>42766</v>
      </c>
      <c r="B356" s="140">
        <f>IFERROR(__xludf.DUMMYFUNCTION("""COMPUTED_VALUE"""),489444.0)</f>
        <v>489444</v>
      </c>
      <c r="C356" s="140" t="str">
        <f>IFERROR(__xludf.DUMMYFUNCTION("""COMPUTED_VALUE"""),"#N/A")</f>
        <v>#N/A</v>
      </c>
      <c r="D356" t="str">
        <f>IFERROR(__xludf.DUMMYFUNCTION("""COMPUTED_VALUE"""),"Digital Marketing Institute")</f>
        <v>Digital Marketing Institute</v>
      </c>
      <c r="G356" t="str">
        <f>IFERROR(__xludf.DUMMYFUNCTION("""COMPUTED_VALUE"""),"Y")</f>
        <v>Y</v>
      </c>
      <c r="H356" t="str">
        <f>IFERROR(__xludf.DUMMYFUNCTION("""COMPUTED_VALUE"""),"Instructor Request")</f>
        <v>Instructor Request</v>
      </c>
      <c r="I356" t="str">
        <f>IFERROR(__xludf.DUMMYFUNCTION("""COMPUTED_VALUE"""),"Design")</f>
        <v>Design</v>
      </c>
      <c r="J356" t="str">
        <f>IFERROR(__xludf.DUMMYFUNCTION("""COMPUTED_VALUE"""),"User Experience Design")</f>
        <v>User Experience Design</v>
      </c>
      <c r="K356" s="140">
        <f>IFERROR(__xludf.DUMMYFUNCTION("""COMPUTED_VALUE"""),412738.0)</f>
        <v>412738</v>
      </c>
      <c r="L356" s="140" t="str">
        <f>IFERROR(__xludf.DUMMYFUNCTION("""COMPUTED_VALUE"""),"")</f>
        <v/>
      </c>
      <c r="N356" s="140" t="str">
        <f>IFERROR(__xludf.DUMMYFUNCTION("""COMPUTED_VALUE"""),"")</f>
        <v/>
      </c>
    </row>
    <row r="357">
      <c r="A357" s="143">
        <f>IFERROR(__xludf.DUMMYFUNCTION("""COMPUTED_VALUE"""),42766.0)</f>
        <v>42766</v>
      </c>
      <c r="B357" s="140">
        <f>IFERROR(__xludf.DUMMYFUNCTION("""COMPUTED_VALUE"""),298504.0)</f>
        <v>298504</v>
      </c>
      <c r="C357" s="140" t="str">
        <f>IFERROR(__xludf.DUMMYFUNCTION("""COMPUTED_VALUE"""),"#N/A")</f>
        <v>#N/A</v>
      </c>
      <c r="D357" t="str">
        <f>IFERROR(__xludf.DUMMYFUNCTION("""COMPUTED_VALUE"""),"Wall Street Prep")</f>
        <v>Wall Street Prep</v>
      </c>
      <c r="G357" t="str">
        <f>IFERROR(__xludf.DUMMYFUNCTION("""COMPUTED_VALUE"""),"Y")</f>
        <v>Y</v>
      </c>
      <c r="H357" t="str">
        <f>IFERROR(__xludf.DUMMYFUNCTION("""COMPUTED_VALUE"""),"Instructor Request")</f>
        <v>Instructor Request</v>
      </c>
      <c r="I357" t="str">
        <f>IFERROR(__xludf.DUMMYFUNCTION("""COMPUTED_VALUE"""),"Finance and Accounting")</f>
        <v>Finance and Accounting</v>
      </c>
      <c r="J357" t="str">
        <f>IFERROR(__xludf.DUMMYFUNCTION("""COMPUTED_VALUE"""),"Accounting")</f>
        <v>Accounting</v>
      </c>
      <c r="K357" s="140">
        <f>IFERROR(__xludf.DUMMYFUNCTION("""COMPUTED_VALUE"""),640100.0)</f>
        <v>640100</v>
      </c>
      <c r="L357" s="140" t="str">
        <f>IFERROR(__xludf.DUMMYFUNCTION("""COMPUTED_VALUE"""),"")</f>
        <v/>
      </c>
      <c r="N357" s="140" t="str">
        <f>IFERROR(__xludf.DUMMYFUNCTION("""COMPUTED_VALUE"""),"")</f>
        <v/>
      </c>
    </row>
    <row r="358">
      <c r="A358" s="143">
        <f>IFERROR(__xludf.DUMMYFUNCTION("""COMPUTED_VALUE"""),42766.0)</f>
        <v>42766</v>
      </c>
      <c r="B358" s="140">
        <f>IFERROR(__xludf.DUMMYFUNCTION("""COMPUTED_VALUE"""),297742.0)</f>
        <v>297742</v>
      </c>
      <c r="C358" s="140" t="str">
        <f>IFERROR(__xludf.DUMMYFUNCTION("""COMPUTED_VALUE"""),"#N/A")</f>
        <v>#N/A</v>
      </c>
      <c r="D358" t="str">
        <f>IFERROR(__xludf.DUMMYFUNCTION("""COMPUTED_VALUE"""),"Wall Street Prep")</f>
        <v>Wall Street Prep</v>
      </c>
      <c r="G358" t="str">
        <f>IFERROR(__xludf.DUMMYFUNCTION("""COMPUTED_VALUE"""),"Y")</f>
        <v>Y</v>
      </c>
      <c r="H358" t="str">
        <f>IFERROR(__xludf.DUMMYFUNCTION("""COMPUTED_VALUE"""),"Instructor Request")</f>
        <v>Instructor Request</v>
      </c>
      <c r="I358" t="str">
        <f>IFERROR(__xludf.DUMMYFUNCTION("""COMPUTED_VALUE"""),"Finance and Accounting")</f>
        <v>Finance and Accounting</v>
      </c>
      <c r="J358" t="str">
        <f>IFERROR(__xludf.DUMMYFUNCTION("""COMPUTED_VALUE"""),"Financial Modeling and Analysis")</f>
        <v>Financial Modeling and Analysis</v>
      </c>
      <c r="K358" s="140">
        <f>IFERROR(__xludf.DUMMYFUNCTION("""COMPUTED_VALUE"""),888716.0)</f>
        <v>888716</v>
      </c>
      <c r="L358" s="140" t="str">
        <f>IFERROR(__xludf.DUMMYFUNCTION("""COMPUTED_VALUE"""),"")</f>
        <v/>
      </c>
      <c r="N358" s="140" t="str">
        <f>IFERROR(__xludf.DUMMYFUNCTION("""COMPUTED_VALUE"""),"")</f>
        <v/>
      </c>
      <c r="Q358" t="str">
        <f>IFERROR(__xludf.DUMMYFUNCTION("""COMPUTED_VALUE"""),"Not a perfect match.")</f>
        <v>Not a perfect match.</v>
      </c>
    </row>
    <row r="359">
      <c r="A359" s="143">
        <f>IFERROR(__xludf.DUMMYFUNCTION("""COMPUTED_VALUE"""),42766.0)</f>
        <v>42766</v>
      </c>
      <c r="B359" s="140">
        <f>IFERROR(__xludf.DUMMYFUNCTION("""COMPUTED_VALUE"""),297816.0)</f>
        <v>297816</v>
      </c>
      <c r="C359" s="140" t="str">
        <f>IFERROR(__xludf.DUMMYFUNCTION("""COMPUTED_VALUE"""),"#N/A")</f>
        <v>#N/A</v>
      </c>
      <c r="D359" t="str">
        <f>IFERROR(__xludf.DUMMYFUNCTION("""COMPUTED_VALUE"""),"Wall Street Prep")</f>
        <v>Wall Street Prep</v>
      </c>
      <c r="G359" t="str">
        <f>IFERROR(__xludf.DUMMYFUNCTION("""COMPUTED_VALUE"""),"Y")</f>
        <v>Y</v>
      </c>
      <c r="H359" t="str">
        <f>IFERROR(__xludf.DUMMYFUNCTION("""COMPUTED_VALUE"""),"Instructor Request")</f>
        <v>Instructor Request</v>
      </c>
      <c r="I359" t="str">
        <f>IFERROR(__xludf.DUMMYFUNCTION("""COMPUTED_VALUE"""),"Finance and Accounting")</f>
        <v>Finance and Accounting</v>
      </c>
      <c r="J359" t="str">
        <f>IFERROR(__xludf.DUMMYFUNCTION("""COMPUTED_VALUE"""),"Investing and Trading")</f>
        <v>Investing and Trading</v>
      </c>
      <c r="K359" s="140">
        <f>IFERROR(__xludf.DUMMYFUNCTION("""COMPUTED_VALUE"""),321410.0)</f>
        <v>321410</v>
      </c>
      <c r="L359" s="140" t="str">
        <f>IFERROR(__xludf.DUMMYFUNCTION("""COMPUTED_VALUE"""),"")</f>
        <v/>
      </c>
      <c r="N359" s="140" t="str">
        <f>IFERROR(__xludf.DUMMYFUNCTION("""COMPUTED_VALUE"""),"")</f>
        <v/>
      </c>
    </row>
    <row r="360">
      <c r="A360" s="143">
        <f>IFERROR(__xludf.DUMMYFUNCTION("""COMPUTED_VALUE"""),42766.0)</f>
        <v>42766</v>
      </c>
      <c r="B360" s="140">
        <f>IFERROR(__xludf.DUMMYFUNCTION("""COMPUTED_VALUE"""),394922.0)</f>
        <v>394922</v>
      </c>
      <c r="C360" s="140" t="str">
        <f>IFERROR(__xludf.DUMMYFUNCTION("""COMPUTED_VALUE"""),"#N/A")</f>
        <v>#N/A</v>
      </c>
      <c r="D360" t="str">
        <f>IFERROR(__xludf.DUMMYFUNCTION("""COMPUTED_VALUE"""),"Digital Marketing Institute")</f>
        <v>Digital Marketing Institute</v>
      </c>
      <c r="G360" t="str">
        <f>IFERROR(__xludf.DUMMYFUNCTION("""COMPUTED_VALUE"""),"Y")</f>
        <v>Y</v>
      </c>
      <c r="H360" t="str">
        <f>IFERROR(__xludf.DUMMYFUNCTION("""COMPUTED_VALUE"""),"Instructor Request")</f>
        <v>Instructor Request</v>
      </c>
      <c r="I360" t="str">
        <f>IFERROR(__xludf.DUMMYFUNCTION("""COMPUTED_VALUE"""),"Human Resources")</f>
        <v>Human Resources</v>
      </c>
      <c r="J360" t="str">
        <f>IFERROR(__xludf.DUMMYFUNCTION("""COMPUTED_VALUE"""),"Compliance")</f>
        <v>Compliance</v>
      </c>
      <c r="K360" s="140">
        <f>IFERROR(__xludf.DUMMYFUNCTION("""COMPUTED_VALUE"""),950640.0)</f>
        <v>950640</v>
      </c>
      <c r="L360" s="140" t="str">
        <f>IFERROR(__xludf.DUMMYFUNCTION("""COMPUTED_VALUE"""),"")</f>
        <v/>
      </c>
      <c r="N360" s="140" t="str">
        <f>IFERROR(__xludf.DUMMYFUNCTION("""COMPUTED_VALUE"""),"")</f>
        <v/>
      </c>
    </row>
    <row r="361">
      <c r="A361" s="143">
        <f>IFERROR(__xludf.DUMMYFUNCTION("""COMPUTED_VALUE"""),42766.0)</f>
        <v>42766</v>
      </c>
      <c r="B361" s="140">
        <f>IFERROR(__xludf.DUMMYFUNCTION("""COMPUTED_VALUE"""),336046.0)</f>
        <v>336046</v>
      </c>
      <c r="C361" s="140" t="str">
        <f>IFERROR(__xludf.DUMMYFUNCTION("""COMPUTED_VALUE"""),"#N/A")</f>
        <v>#N/A</v>
      </c>
      <c r="D361" t="str">
        <f>IFERROR(__xludf.DUMMYFUNCTION("""COMPUTED_VALUE"""),"Drucker Institute")</f>
        <v>Drucker Institute</v>
      </c>
      <c r="G361" t="str">
        <f>IFERROR(__xludf.DUMMYFUNCTION("""COMPUTED_VALUE"""),"Y")</f>
        <v>Y</v>
      </c>
      <c r="H361" t="str">
        <f>IFERROR(__xludf.DUMMYFUNCTION("""COMPUTED_VALUE"""),"Instructor Request")</f>
        <v>Instructor Request</v>
      </c>
      <c r="I361" t="str">
        <f>IFERROR(__xludf.DUMMYFUNCTION("""COMPUTED_VALUE"""),"Human Resources")</f>
        <v>Human Resources</v>
      </c>
      <c r="J361" t="str">
        <f>IFERROR(__xludf.DUMMYFUNCTION("""COMPUTED_VALUE"""),"Learning and Organizational Development")</f>
        <v>Learning and Organizational Development</v>
      </c>
      <c r="K361" s="140">
        <f>IFERROR(__xludf.DUMMYFUNCTION("""COMPUTED_VALUE"""),852606.0)</f>
        <v>852606</v>
      </c>
      <c r="L361" s="140" t="str">
        <f>IFERROR(__xludf.DUMMYFUNCTION("""COMPUTED_VALUE"""),"")</f>
        <v/>
      </c>
      <c r="M361" s="140">
        <f>IFERROR(__xludf.DUMMYFUNCTION("""COMPUTED_VALUE"""),461334.0)</f>
        <v>461334</v>
      </c>
      <c r="N361" s="140" t="str">
        <f>IFERROR(__xludf.DUMMYFUNCTION("""COMPUTED_VALUE"""),"")</f>
        <v/>
      </c>
      <c r="Q361" t="str">
        <f>IFERROR(__xludf.DUMMYFUNCTION("""COMPUTED_VALUE"""),"Not a perfect match.")</f>
        <v>Not a perfect match.</v>
      </c>
    </row>
    <row r="362">
      <c r="A362" s="143">
        <f>IFERROR(__xludf.DUMMYFUNCTION("""COMPUTED_VALUE"""),42766.0)</f>
        <v>42766</v>
      </c>
      <c r="B362" s="140">
        <f>IFERROR(__xludf.DUMMYFUNCTION("""COMPUTED_VALUE"""),444030.0)</f>
        <v>444030</v>
      </c>
      <c r="C362" s="140" t="str">
        <f>IFERROR(__xludf.DUMMYFUNCTION("""COMPUTED_VALUE"""),"#N/A")</f>
        <v>#N/A</v>
      </c>
      <c r="D362" t="str">
        <f>IFERROR(__xludf.DUMMYFUNCTION("""COMPUTED_VALUE"""),"Kwintessential Ltd")</f>
        <v>Kwintessential Ltd</v>
      </c>
      <c r="G362" t="str">
        <f>IFERROR(__xludf.DUMMYFUNCTION("""COMPUTED_VALUE"""),"Y")</f>
        <v>Y</v>
      </c>
      <c r="H362" t="str">
        <f>IFERROR(__xludf.DUMMYFUNCTION("""COMPUTED_VALUE"""),"Instructor Opted Out")</f>
        <v>Instructor Opted Out</v>
      </c>
      <c r="I362" t="str">
        <f>IFERROR(__xludf.DUMMYFUNCTION("""COMPUTED_VALUE"""),"Management")</f>
        <v>Management</v>
      </c>
      <c r="J362" t="str">
        <f>IFERROR(__xludf.DUMMYFUNCTION("""COMPUTED_VALUE"""),"Communication")</f>
        <v>Communication</v>
      </c>
      <c r="L362" s="140" t="str">
        <f>IFERROR(__xludf.DUMMYFUNCTION("""COMPUTED_VALUE"""),"")</f>
        <v/>
      </c>
      <c r="N362" s="140" t="str">
        <f>IFERROR(__xludf.DUMMYFUNCTION("""COMPUTED_VALUE"""),"")</f>
        <v/>
      </c>
    </row>
    <row r="363">
      <c r="A363" s="143">
        <f>IFERROR(__xludf.DUMMYFUNCTION("""COMPUTED_VALUE"""),42766.0)</f>
        <v>42766</v>
      </c>
      <c r="B363" s="140">
        <f>IFERROR(__xludf.DUMMYFUNCTION("""COMPUTED_VALUE"""),335896.0)</f>
        <v>335896</v>
      </c>
      <c r="C363" s="140" t="str">
        <f>IFERROR(__xludf.DUMMYFUNCTION("""COMPUTED_VALUE"""),"#N/A")</f>
        <v>#N/A</v>
      </c>
      <c r="D363" t="str">
        <f>IFERROR(__xludf.DUMMYFUNCTION("""COMPUTED_VALUE"""),"Drucker Institute")</f>
        <v>Drucker Institute</v>
      </c>
      <c r="G363" t="str">
        <f>IFERROR(__xludf.DUMMYFUNCTION("""COMPUTED_VALUE"""),"Y")</f>
        <v>Y</v>
      </c>
      <c r="H363" t="str">
        <f>IFERROR(__xludf.DUMMYFUNCTION("""COMPUTED_VALUE"""),"Instructor Request")</f>
        <v>Instructor Request</v>
      </c>
      <c r="I363" t="str">
        <f>IFERROR(__xludf.DUMMYFUNCTION("""COMPUTED_VALUE"""),"Management")</f>
        <v>Management</v>
      </c>
      <c r="J363" t="str">
        <f>IFERROR(__xludf.DUMMYFUNCTION("""COMPUTED_VALUE"""),"Productivity")</f>
        <v>Productivity</v>
      </c>
      <c r="K363" s="140">
        <f>IFERROR(__xludf.DUMMYFUNCTION("""COMPUTED_VALUE"""),177706.0)</f>
        <v>177706</v>
      </c>
      <c r="L363" s="140" t="str">
        <f>IFERROR(__xludf.DUMMYFUNCTION("""COMPUTED_VALUE"""),"")</f>
        <v/>
      </c>
      <c r="M363" s="140">
        <f>IFERROR(__xludf.DUMMYFUNCTION("""COMPUTED_VALUE"""),720732.0)</f>
        <v>720732</v>
      </c>
      <c r="N363" s="140" t="str">
        <f>IFERROR(__xludf.DUMMYFUNCTION("""COMPUTED_VALUE"""),"")</f>
        <v/>
      </c>
    </row>
    <row r="364">
      <c r="A364" s="143">
        <f>IFERROR(__xludf.DUMMYFUNCTION("""COMPUTED_VALUE"""),42766.0)</f>
        <v>42766</v>
      </c>
      <c r="B364" s="140">
        <f>IFERROR(__xludf.DUMMYFUNCTION("""COMPUTED_VALUE"""),336008.0)</f>
        <v>336008</v>
      </c>
      <c r="C364" s="140" t="str">
        <f>IFERROR(__xludf.DUMMYFUNCTION("""COMPUTED_VALUE"""),"#N/A")</f>
        <v>#N/A</v>
      </c>
      <c r="D364" t="str">
        <f>IFERROR(__xludf.DUMMYFUNCTION("""COMPUTED_VALUE"""),"Drucker Institute")</f>
        <v>Drucker Institute</v>
      </c>
      <c r="G364" t="str">
        <f>IFERROR(__xludf.DUMMYFUNCTION("""COMPUTED_VALUE"""),"Y")</f>
        <v>Y</v>
      </c>
      <c r="H364" t="str">
        <f>IFERROR(__xludf.DUMMYFUNCTION("""COMPUTED_VALUE"""),"Instructor Request")</f>
        <v>Instructor Request</v>
      </c>
      <c r="I364" t="str">
        <f>IFERROR(__xludf.DUMMYFUNCTION("""COMPUTED_VALUE"""),"Management")</f>
        <v>Management</v>
      </c>
      <c r="J364" t="str">
        <f>IFERROR(__xludf.DUMMYFUNCTION("""COMPUTED_VALUE"""),"Strategy")</f>
        <v>Strategy</v>
      </c>
      <c r="K364" s="140">
        <f>IFERROR(__xludf.DUMMYFUNCTION("""COMPUTED_VALUE"""),404944.0)</f>
        <v>404944</v>
      </c>
      <c r="L364" s="140" t="str">
        <f>IFERROR(__xludf.DUMMYFUNCTION("""COMPUTED_VALUE"""),"")</f>
        <v/>
      </c>
      <c r="N364" s="140" t="str">
        <f>IFERROR(__xludf.DUMMYFUNCTION("""COMPUTED_VALUE"""),"")</f>
        <v/>
      </c>
    </row>
    <row r="365">
      <c r="A365" s="143">
        <f>IFERROR(__xludf.DUMMYFUNCTION("""COMPUTED_VALUE"""),42766.0)</f>
        <v>42766</v>
      </c>
      <c r="B365" s="140">
        <f>IFERROR(__xludf.DUMMYFUNCTION("""COMPUTED_VALUE"""),500384.0)</f>
        <v>500384</v>
      </c>
      <c r="C365" s="140" t="str">
        <f>IFERROR(__xludf.DUMMYFUNCTION("""COMPUTED_VALUE"""),"#N/A")</f>
        <v>#N/A</v>
      </c>
      <c r="D365" t="str">
        <f>IFERROR(__xludf.DUMMYFUNCTION("""COMPUTED_VALUE"""),"Drucker Institute")</f>
        <v>Drucker Institute</v>
      </c>
      <c r="G365" t="str">
        <f>IFERROR(__xludf.DUMMYFUNCTION("""COMPUTED_VALUE"""),"Y")</f>
        <v>Y</v>
      </c>
      <c r="H365" t="str">
        <f>IFERROR(__xludf.DUMMYFUNCTION("""COMPUTED_VALUE"""),"Instructor Request")</f>
        <v>Instructor Request</v>
      </c>
      <c r="I365" t="str">
        <f>IFERROR(__xludf.DUMMYFUNCTION("""COMPUTED_VALUE"""),"Management")</f>
        <v>Management</v>
      </c>
      <c r="J365" t="str">
        <f>IFERROR(__xludf.DUMMYFUNCTION("""COMPUTED_VALUE"""),"Strategy")</f>
        <v>Strategy</v>
      </c>
      <c r="K365" s="140">
        <f>IFERROR(__xludf.DUMMYFUNCTION("""COMPUTED_VALUE"""),378718.0)</f>
        <v>378718</v>
      </c>
      <c r="L365" s="140" t="str">
        <f>IFERROR(__xludf.DUMMYFUNCTION("""COMPUTED_VALUE"""),"")</f>
        <v/>
      </c>
      <c r="N365" s="140" t="str">
        <f>IFERROR(__xludf.DUMMYFUNCTION("""COMPUTED_VALUE"""),"")</f>
        <v/>
      </c>
    </row>
    <row r="366">
      <c r="A366" s="143">
        <f>IFERROR(__xludf.DUMMYFUNCTION("""COMPUTED_VALUE"""),42766.0)</f>
        <v>42766</v>
      </c>
      <c r="B366" s="140">
        <f>IFERROR(__xludf.DUMMYFUNCTION("""COMPUTED_VALUE"""),497122.0)</f>
        <v>497122</v>
      </c>
      <c r="C366" s="140" t="str">
        <f>IFERROR(__xludf.DUMMYFUNCTION("""COMPUTED_VALUE"""),"#N/A")</f>
        <v>#N/A</v>
      </c>
      <c r="D366" t="str">
        <f>IFERROR(__xludf.DUMMYFUNCTION("""COMPUTED_VALUE"""),"Drucker Institute")</f>
        <v>Drucker Institute</v>
      </c>
      <c r="G366" t="str">
        <f>IFERROR(__xludf.DUMMYFUNCTION("""COMPUTED_VALUE"""),"Y")</f>
        <v>Y</v>
      </c>
      <c r="H366" t="str">
        <f>IFERROR(__xludf.DUMMYFUNCTION("""COMPUTED_VALUE"""),"Instructor Request")</f>
        <v>Instructor Request</v>
      </c>
      <c r="I366" t="str">
        <f>IFERROR(__xludf.DUMMYFUNCTION("""COMPUTED_VALUE"""),"Management")</f>
        <v>Management</v>
      </c>
      <c r="J366" t="str">
        <f>IFERROR(__xludf.DUMMYFUNCTION("""COMPUTED_VALUE"""),"Strategy")</f>
        <v>Strategy</v>
      </c>
      <c r="K366" s="140">
        <f>IFERROR(__xludf.DUMMYFUNCTION("""COMPUTED_VALUE"""),240450.0)</f>
        <v>240450</v>
      </c>
      <c r="L366" s="140" t="str">
        <f>IFERROR(__xludf.DUMMYFUNCTION("""COMPUTED_VALUE"""),"")</f>
        <v/>
      </c>
      <c r="M366" s="140">
        <f>IFERROR(__xludf.DUMMYFUNCTION("""COMPUTED_VALUE"""),821938.0)</f>
        <v>821938</v>
      </c>
      <c r="N366" s="140" t="str">
        <f>IFERROR(__xludf.DUMMYFUNCTION("""COMPUTED_VALUE"""),"")</f>
        <v/>
      </c>
      <c r="Q366" t="str">
        <f>IFERROR(__xludf.DUMMYFUNCTION("""COMPUTED_VALUE"""),"Not a perfect match.")</f>
        <v>Not a perfect match.</v>
      </c>
    </row>
    <row r="367">
      <c r="A367" s="143">
        <f>IFERROR(__xludf.DUMMYFUNCTION("""COMPUTED_VALUE"""),42766.0)</f>
        <v>42766</v>
      </c>
      <c r="B367" s="140">
        <f>IFERROR(__xludf.DUMMYFUNCTION("""COMPUTED_VALUE"""),385508.0)</f>
        <v>385508</v>
      </c>
      <c r="C367" s="140" t="str">
        <f>IFERROR(__xludf.DUMMYFUNCTION("""COMPUTED_VALUE"""),"#N/A")</f>
        <v>#N/A</v>
      </c>
      <c r="D367" t="str">
        <f>IFERROR(__xludf.DUMMYFUNCTION("""COMPUTED_VALUE"""),"Digital Marketing Institute")</f>
        <v>Digital Marketing Institute</v>
      </c>
      <c r="G367" t="str">
        <f>IFERROR(__xludf.DUMMYFUNCTION("""COMPUTED_VALUE"""),"Y")</f>
        <v>Y</v>
      </c>
      <c r="H367" t="str">
        <f>IFERROR(__xludf.DUMMYFUNCTION("""COMPUTED_VALUE"""),"Instructor Request")</f>
        <v>Instructor Request</v>
      </c>
      <c r="I367" t="str">
        <f>IFERROR(__xludf.DUMMYFUNCTION("""COMPUTED_VALUE"""),"Marketing")</f>
        <v>Marketing</v>
      </c>
      <c r="J367" t="str">
        <f>IFERROR(__xludf.DUMMYFUNCTION("""COMPUTED_VALUE"""),"Content and Email Marketing")</f>
        <v>Content and Email Marketing</v>
      </c>
      <c r="K367" s="140">
        <f>IFERROR(__xludf.DUMMYFUNCTION("""COMPUTED_VALUE"""),959128.0)</f>
        <v>959128</v>
      </c>
      <c r="L367" s="140" t="str">
        <f>IFERROR(__xludf.DUMMYFUNCTION("""COMPUTED_VALUE"""),"")</f>
        <v/>
      </c>
      <c r="N367" s="140" t="str">
        <f>IFERROR(__xludf.DUMMYFUNCTION("""COMPUTED_VALUE"""),"")</f>
        <v/>
      </c>
      <c r="Q367" t="str">
        <f>IFERROR(__xludf.DUMMYFUNCTION("""COMPUTED_VALUE"""),"Not a perfect match.")</f>
        <v>Not a perfect match.</v>
      </c>
    </row>
    <row r="368">
      <c r="A368" s="143">
        <f>IFERROR(__xludf.DUMMYFUNCTION("""COMPUTED_VALUE"""),42766.0)</f>
        <v>42766</v>
      </c>
      <c r="B368" s="140">
        <f>IFERROR(__xludf.DUMMYFUNCTION("""COMPUTED_VALUE"""),387748.0)</f>
        <v>387748</v>
      </c>
      <c r="C368" s="140" t="str">
        <f>IFERROR(__xludf.DUMMYFUNCTION("""COMPUTED_VALUE"""),"#N/A")</f>
        <v>#N/A</v>
      </c>
      <c r="D368" t="str">
        <f>IFERROR(__xludf.DUMMYFUNCTION("""COMPUTED_VALUE"""),"Digital Marketing Institute")</f>
        <v>Digital Marketing Institute</v>
      </c>
      <c r="G368" t="str">
        <f>IFERROR(__xludf.DUMMYFUNCTION("""COMPUTED_VALUE"""),"Y")</f>
        <v>Y</v>
      </c>
      <c r="H368" t="str">
        <f>IFERROR(__xludf.DUMMYFUNCTION("""COMPUTED_VALUE"""),"Instructor Request")</f>
        <v>Instructor Request</v>
      </c>
      <c r="I368" t="str">
        <f>IFERROR(__xludf.DUMMYFUNCTION("""COMPUTED_VALUE"""),"Marketing")</f>
        <v>Marketing</v>
      </c>
      <c r="J368" t="str">
        <f>IFERROR(__xludf.DUMMYFUNCTION("""COMPUTED_VALUE"""),"Content and Email Marketing")</f>
        <v>Content and Email Marketing</v>
      </c>
      <c r="K368" s="140">
        <f>IFERROR(__xludf.DUMMYFUNCTION("""COMPUTED_VALUE"""),810196.0)</f>
        <v>810196</v>
      </c>
      <c r="L368" s="140" t="str">
        <f>IFERROR(__xludf.DUMMYFUNCTION("""COMPUTED_VALUE"""),"")</f>
        <v/>
      </c>
      <c r="N368" s="140" t="str">
        <f>IFERROR(__xludf.DUMMYFUNCTION("""COMPUTED_VALUE"""),"")</f>
        <v/>
      </c>
    </row>
    <row r="369">
      <c r="A369" s="143">
        <f>IFERROR(__xludf.DUMMYFUNCTION("""COMPUTED_VALUE"""),42766.0)</f>
        <v>42766</v>
      </c>
      <c r="B369" s="140">
        <f>IFERROR(__xludf.DUMMYFUNCTION("""COMPUTED_VALUE"""),290054.0)</f>
        <v>290054</v>
      </c>
      <c r="C369" s="140" t="str">
        <f>IFERROR(__xludf.DUMMYFUNCTION("""COMPUTED_VALUE"""),"#N/A")</f>
        <v>#N/A</v>
      </c>
      <c r="D369" t="str">
        <f>IFERROR(__xludf.DUMMYFUNCTION("""COMPUTED_VALUE"""),"Digital Marketing Institute")</f>
        <v>Digital Marketing Institute</v>
      </c>
      <c r="G369" t="str">
        <f>IFERROR(__xludf.DUMMYFUNCTION("""COMPUTED_VALUE"""),"Y")</f>
        <v>Y</v>
      </c>
      <c r="H369" t="str">
        <f>IFERROR(__xludf.DUMMYFUNCTION("""COMPUTED_VALUE"""),"Instructor Request")</f>
        <v>Instructor Request</v>
      </c>
      <c r="I369" t="str">
        <f>IFERROR(__xludf.DUMMYFUNCTION("""COMPUTED_VALUE"""),"Marketing")</f>
        <v>Marketing</v>
      </c>
      <c r="J369" t="str">
        <f>IFERROR(__xludf.DUMMYFUNCTION("""COMPUTED_VALUE"""),"Content and Email Marketing")</f>
        <v>Content and Email Marketing</v>
      </c>
      <c r="K369" s="140">
        <f>IFERROR(__xludf.DUMMYFUNCTION("""COMPUTED_VALUE"""),802116.0)</f>
        <v>802116</v>
      </c>
      <c r="L369" s="140" t="str">
        <f>IFERROR(__xludf.DUMMYFUNCTION("""COMPUTED_VALUE"""),"")</f>
        <v/>
      </c>
      <c r="M369" s="140">
        <f>IFERROR(__xludf.DUMMYFUNCTION("""COMPUTED_VALUE"""),573994.0)</f>
        <v>573994</v>
      </c>
      <c r="N369" s="140" t="str">
        <f>IFERROR(__xludf.DUMMYFUNCTION("""COMPUTED_VALUE"""),"")</f>
        <v/>
      </c>
    </row>
    <row r="370">
      <c r="A370" s="143">
        <f>IFERROR(__xludf.DUMMYFUNCTION("""COMPUTED_VALUE"""),42766.0)</f>
        <v>42766</v>
      </c>
      <c r="B370" s="140">
        <f>IFERROR(__xludf.DUMMYFUNCTION("""COMPUTED_VALUE"""),490480.0)</f>
        <v>490480</v>
      </c>
      <c r="C370" s="140" t="str">
        <f>IFERROR(__xludf.DUMMYFUNCTION("""COMPUTED_VALUE"""),"#N/A")</f>
        <v>#N/A</v>
      </c>
      <c r="D370" t="str">
        <f>IFERROR(__xludf.DUMMYFUNCTION("""COMPUTED_VALUE"""),"Digital Marketing Institute")</f>
        <v>Digital Marketing Institute</v>
      </c>
      <c r="G370" t="str">
        <f>IFERROR(__xludf.DUMMYFUNCTION("""COMPUTED_VALUE"""),"Y")</f>
        <v>Y</v>
      </c>
      <c r="H370" t="str">
        <f>IFERROR(__xludf.DUMMYFUNCTION("""COMPUTED_VALUE"""),"Instructor Request")</f>
        <v>Instructor Request</v>
      </c>
      <c r="I370" t="str">
        <f>IFERROR(__xludf.DUMMYFUNCTION("""COMPUTED_VALUE"""),"Marketing")</f>
        <v>Marketing</v>
      </c>
      <c r="J370" t="str">
        <f>IFERROR(__xludf.DUMMYFUNCTION("""COMPUTED_VALUE"""),"Content and Email Marketing")</f>
        <v>Content and Email Marketing</v>
      </c>
      <c r="K370" s="140">
        <f>IFERROR(__xludf.DUMMYFUNCTION("""COMPUTED_VALUE"""),802116.0)</f>
        <v>802116</v>
      </c>
      <c r="L370" s="140" t="str">
        <f>IFERROR(__xludf.DUMMYFUNCTION("""COMPUTED_VALUE"""),"")</f>
        <v/>
      </c>
      <c r="M370" s="140">
        <f>IFERROR(__xludf.DUMMYFUNCTION("""COMPUTED_VALUE"""),573994.0)</f>
        <v>573994</v>
      </c>
      <c r="N370" s="140" t="str">
        <f>IFERROR(__xludf.DUMMYFUNCTION("""COMPUTED_VALUE"""),"")</f>
        <v/>
      </c>
    </row>
    <row r="371">
      <c r="A371" s="143">
        <f>IFERROR(__xludf.DUMMYFUNCTION("""COMPUTED_VALUE"""),42766.0)</f>
        <v>42766</v>
      </c>
      <c r="B371" s="140">
        <f>IFERROR(__xludf.DUMMYFUNCTION("""COMPUTED_VALUE"""),490492.0)</f>
        <v>490492</v>
      </c>
      <c r="C371" s="140" t="str">
        <f>IFERROR(__xludf.DUMMYFUNCTION("""COMPUTED_VALUE"""),"#N/A")</f>
        <v>#N/A</v>
      </c>
      <c r="D371" t="str">
        <f>IFERROR(__xludf.DUMMYFUNCTION("""COMPUTED_VALUE"""),"Digital Marketing Institute")</f>
        <v>Digital Marketing Institute</v>
      </c>
      <c r="G371" t="str">
        <f>IFERROR(__xludf.DUMMYFUNCTION("""COMPUTED_VALUE"""),"Y")</f>
        <v>Y</v>
      </c>
      <c r="H371" t="str">
        <f>IFERROR(__xludf.DUMMYFUNCTION("""COMPUTED_VALUE"""),"Instructor Request")</f>
        <v>Instructor Request</v>
      </c>
      <c r="I371" t="str">
        <f>IFERROR(__xludf.DUMMYFUNCTION("""COMPUTED_VALUE"""),"Marketing")</f>
        <v>Marketing</v>
      </c>
      <c r="J371" t="str">
        <f>IFERROR(__xludf.DUMMYFUNCTION("""COMPUTED_VALUE"""),"Content and Email Marketing")</f>
        <v>Content and Email Marketing</v>
      </c>
      <c r="K371" s="140">
        <f>IFERROR(__xludf.DUMMYFUNCTION("""COMPUTED_VALUE"""),802116.0)</f>
        <v>802116</v>
      </c>
      <c r="L371" s="140" t="str">
        <f>IFERROR(__xludf.DUMMYFUNCTION("""COMPUTED_VALUE"""),"")</f>
        <v/>
      </c>
      <c r="M371" s="140">
        <f>IFERROR(__xludf.DUMMYFUNCTION("""COMPUTED_VALUE"""),573994.0)</f>
        <v>573994</v>
      </c>
      <c r="N371" s="140" t="str">
        <f>IFERROR(__xludf.DUMMYFUNCTION("""COMPUTED_VALUE"""),"")</f>
        <v/>
      </c>
    </row>
    <row r="372">
      <c r="A372" s="143">
        <f>IFERROR(__xludf.DUMMYFUNCTION("""COMPUTED_VALUE"""),42766.0)</f>
        <v>42766</v>
      </c>
      <c r="B372" s="140">
        <f>IFERROR(__xludf.DUMMYFUNCTION("""COMPUTED_VALUE"""),394796.0)</f>
        <v>394796</v>
      </c>
      <c r="C372" s="140" t="str">
        <f>IFERROR(__xludf.DUMMYFUNCTION("""COMPUTED_VALUE"""),"#N/A")</f>
        <v>#N/A</v>
      </c>
      <c r="D372" t="str">
        <f>IFERROR(__xludf.DUMMYFUNCTION("""COMPUTED_VALUE"""),"Digital Marketing Institute")</f>
        <v>Digital Marketing Institute</v>
      </c>
      <c r="G372" t="str">
        <f>IFERROR(__xludf.DUMMYFUNCTION("""COMPUTED_VALUE"""),"Y")</f>
        <v>Y</v>
      </c>
      <c r="H372" t="str">
        <f>IFERROR(__xludf.DUMMYFUNCTION("""COMPUTED_VALUE"""),"Instructor Request")</f>
        <v>Instructor Request</v>
      </c>
      <c r="I372" t="str">
        <f>IFERROR(__xludf.DUMMYFUNCTION("""COMPUTED_VALUE"""),"Marketing")</f>
        <v>Marketing</v>
      </c>
      <c r="J372" t="str">
        <f>IFERROR(__xludf.DUMMYFUNCTION("""COMPUTED_VALUE"""),"Digital Marketing")</f>
        <v>Digital Marketing</v>
      </c>
      <c r="K372" s="140">
        <f>IFERROR(__xludf.DUMMYFUNCTION("""COMPUTED_VALUE"""),914296.0)</f>
        <v>914296</v>
      </c>
      <c r="L372" s="140" t="str">
        <f>IFERROR(__xludf.DUMMYFUNCTION("""COMPUTED_VALUE"""),"")</f>
        <v/>
      </c>
      <c r="M372" s="140">
        <f>IFERROR(__xludf.DUMMYFUNCTION("""COMPUTED_VALUE"""),496924.0)</f>
        <v>496924</v>
      </c>
      <c r="N372" s="140" t="str">
        <f>IFERROR(__xludf.DUMMYFUNCTION("""COMPUTED_VALUE"""),"")</f>
        <v/>
      </c>
      <c r="O372" s="140">
        <f>IFERROR(__xludf.DUMMYFUNCTION("""COMPUTED_VALUE"""),302746.0)</f>
        <v>302746</v>
      </c>
      <c r="P372" s="145" t="str">
        <f>IFERROR(__xludf.DUMMYFUNCTION("""COMPUTED_VALUE"""),"Digital Marketing: How to Generate Sales Leads in 2018")</f>
        <v>Digital Marketing: How to Generate Sales Leads in 2018</v>
      </c>
    </row>
    <row r="373">
      <c r="A373" s="143">
        <f>IFERROR(__xludf.DUMMYFUNCTION("""COMPUTED_VALUE"""),42766.0)</f>
        <v>42766</v>
      </c>
      <c r="B373" s="140">
        <f>IFERROR(__xludf.DUMMYFUNCTION("""COMPUTED_VALUE"""),289412.0)</f>
        <v>289412</v>
      </c>
      <c r="C373" s="140" t="str">
        <f>IFERROR(__xludf.DUMMYFUNCTION("""COMPUTED_VALUE"""),"#N/A")</f>
        <v>#N/A</v>
      </c>
      <c r="D373" t="str">
        <f>IFERROR(__xludf.DUMMYFUNCTION("""COMPUTED_VALUE"""),"Digital Marketing Institute")</f>
        <v>Digital Marketing Institute</v>
      </c>
      <c r="G373" t="str">
        <f>IFERROR(__xludf.DUMMYFUNCTION("""COMPUTED_VALUE"""),"Y")</f>
        <v>Y</v>
      </c>
      <c r="H373" t="str">
        <f>IFERROR(__xludf.DUMMYFUNCTION("""COMPUTED_VALUE"""),"Instructor Request")</f>
        <v>Instructor Request</v>
      </c>
      <c r="I373" t="str">
        <f>IFERROR(__xludf.DUMMYFUNCTION("""COMPUTED_VALUE"""),"Marketing")</f>
        <v>Marketing</v>
      </c>
      <c r="J373" t="str">
        <f>IFERROR(__xludf.DUMMYFUNCTION("""COMPUTED_VALUE"""),"Digital Marketing")</f>
        <v>Digital Marketing</v>
      </c>
      <c r="K373" s="140">
        <f>IFERROR(__xludf.DUMMYFUNCTION("""COMPUTED_VALUE"""),573984.0)</f>
        <v>573984</v>
      </c>
      <c r="L373" s="140" t="str">
        <f>IFERROR(__xludf.DUMMYFUNCTION("""COMPUTED_VALUE"""),"")</f>
        <v/>
      </c>
      <c r="M373" s="140">
        <f>IFERROR(__xludf.DUMMYFUNCTION("""COMPUTED_VALUE"""),671544.0)</f>
        <v>671544</v>
      </c>
      <c r="N373" s="140" t="str">
        <f>IFERROR(__xludf.DUMMYFUNCTION("""COMPUTED_VALUE"""),"")</f>
        <v/>
      </c>
    </row>
    <row r="374">
      <c r="A374" s="143">
        <f>IFERROR(__xludf.DUMMYFUNCTION("""COMPUTED_VALUE"""),42766.0)</f>
        <v>42766</v>
      </c>
      <c r="B374" s="140">
        <f>IFERROR(__xludf.DUMMYFUNCTION("""COMPUTED_VALUE"""),490458.0)</f>
        <v>490458</v>
      </c>
      <c r="C374" s="140" t="str">
        <f>IFERROR(__xludf.DUMMYFUNCTION("""COMPUTED_VALUE"""),"#N/A")</f>
        <v>#N/A</v>
      </c>
      <c r="D374" t="str">
        <f>IFERROR(__xludf.DUMMYFUNCTION("""COMPUTED_VALUE"""),"Digital Marketing Institute")</f>
        <v>Digital Marketing Institute</v>
      </c>
      <c r="G374" t="str">
        <f>IFERROR(__xludf.DUMMYFUNCTION("""COMPUTED_VALUE"""),"Y")</f>
        <v>Y</v>
      </c>
      <c r="H374" t="str">
        <f>IFERROR(__xludf.DUMMYFUNCTION("""COMPUTED_VALUE"""),"Instructor Request")</f>
        <v>Instructor Request</v>
      </c>
      <c r="I374" t="str">
        <f>IFERROR(__xludf.DUMMYFUNCTION("""COMPUTED_VALUE"""),"Marketing")</f>
        <v>Marketing</v>
      </c>
      <c r="J374" t="str">
        <f>IFERROR(__xludf.DUMMYFUNCTION("""COMPUTED_VALUE"""),"Digital Marketing")</f>
        <v>Digital Marketing</v>
      </c>
      <c r="K374" s="140">
        <f>IFERROR(__xludf.DUMMYFUNCTION("""COMPUTED_VALUE"""),573984.0)</f>
        <v>573984</v>
      </c>
      <c r="L374" s="140" t="str">
        <f>IFERROR(__xludf.DUMMYFUNCTION("""COMPUTED_VALUE"""),"")</f>
        <v/>
      </c>
      <c r="M374" s="140">
        <f>IFERROR(__xludf.DUMMYFUNCTION("""COMPUTED_VALUE"""),671544.0)</f>
        <v>671544</v>
      </c>
      <c r="N374" s="140" t="str">
        <f>IFERROR(__xludf.DUMMYFUNCTION("""COMPUTED_VALUE"""),"")</f>
        <v/>
      </c>
    </row>
    <row r="375">
      <c r="A375" s="143">
        <f>IFERROR(__xludf.DUMMYFUNCTION("""COMPUTED_VALUE"""),42766.0)</f>
        <v>42766</v>
      </c>
      <c r="B375" s="140">
        <f>IFERROR(__xludf.DUMMYFUNCTION("""COMPUTED_VALUE"""),490466.0)</f>
        <v>490466</v>
      </c>
      <c r="C375" s="140" t="str">
        <f>IFERROR(__xludf.DUMMYFUNCTION("""COMPUTED_VALUE"""),"#N/A")</f>
        <v>#N/A</v>
      </c>
      <c r="D375" t="str">
        <f>IFERROR(__xludf.DUMMYFUNCTION("""COMPUTED_VALUE"""),"Digital Marketing Institute")</f>
        <v>Digital Marketing Institute</v>
      </c>
      <c r="G375" t="str">
        <f>IFERROR(__xludf.DUMMYFUNCTION("""COMPUTED_VALUE"""),"Y")</f>
        <v>Y</v>
      </c>
      <c r="H375" t="str">
        <f>IFERROR(__xludf.DUMMYFUNCTION("""COMPUTED_VALUE"""),"Instructor Request")</f>
        <v>Instructor Request</v>
      </c>
      <c r="I375" t="str">
        <f>IFERROR(__xludf.DUMMYFUNCTION("""COMPUTED_VALUE"""),"Marketing")</f>
        <v>Marketing</v>
      </c>
      <c r="J375" t="str">
        <f>IFERROR(__xludf.DUMMYFUNCTION("""COMPUTED_VALUE"""),"Digital Marketing")</f>
        <v>Digital Marketing</v>
      </c>
      <c r="K375" s="140">
        <f>IFERROR(__xludf.DUMMYFUNCTION("""COMPUTED_VALUE"""),573984.0)</f>
        <v>573984</v>
      </c>
      <c r="L375" s="140" t="str">
        <f>IFERROR(__xludf.DUMMYFUNCTION("""COMPUTED_VALUE"""),"")</f>
        <v/>
      </c>
      <c r="M375" s="140">
        <f>IFERROR(__xludf.DUMMYFUNCTION("""COMPUTED_VALUE"""),671544.0)</f>
        <v>671544</v>
      </c>
      <c r="N375" s="140" t="str">
        <f>IFERROR(__xludf.DUMMYFUNCTION("""COMPUTED_VALUE"""),"")</f>
        <v/>
      </c>
    </row>
    <row r="376">
      <c r="A376" s="143">
        <f>IFERROR(__xludf.DUMMYFUNCTION("""COMPUTED_VALUE"""),42766.0)</f>
        <v>42766</v>
      </c>
      <c r="B376" s="140">
        <f>IFERROR(__xludf.DUMMYFUNCTION("""COMPUTED_VALUE"""),489506.0)</f>
        <v>489506</v>
      </c>
      <c r="C376" s="140" t="str">
        <f>IFERROR(__xludf.DUMMYFUNCTION("""COMPUTED_VALUE"""),"#N/A")</f>
        <v>#N/A</v>
      </c>
      <c r="D376" t="str">
        <f>IFERROR(__xludf.DUMMYFUNCTION("""COMPUTED_VALUE"""),"Digital Marketing Institute")</f>
        <v>Digital Marketing Institute</v>
      </c>
      <c r="G376" t="str">
        <f>IFERROR(__xludf.DUMMYFUNCTION("""COMPUTED_VALUE"""),"Y")</f>
        <v>Y</v>
      </c>
      <c r="H376" t="str">
        <f>IFERROR(__xludf.DUMMYFUNCTION("""COMPUTED_VALUE"""),"Instructor Request")</f>
        <v>Instructor Request</v>
      </c>
      <c r="I376" t="str">
        <f>IFERROR(__xludf.DUMMYFUNCTION("""COMPUTED_VALUE"""),"Marketing")</f>
        <v>Marketing</v>
      </c>
      <c r="J376" t="str">
        <f>IFERROR(__xludf.DUMMYFUNCTION("""COMPUTED_VALUE"""),"Digital Marketing")</f>
        <v>Digital Marketing</v>
      </c>
      <c r="K376" s="140">
        <f>IFERROR(__xludf.DUMMYFUNCTION("""COMPUTED_VALUE"""),372108.0)</f>
        <v>372108</v>
      </c>
      <c r="L376" s="140" t="str">
        <f>IFERROR(__xludf.DUMMYFUNCTION("""COMPUTED_VALUE"""),"")</f>
        <v/>
      </c>
      <c r="N376" s="140" t="str">
        <f>IFERROR(__xludf.DUMMYFUNCTION("""COMPUTED_VALUE"""),"")</f>
        <v/>
      </c>
    </row>
    <row r="377">
      <c r="A377" s="143">
        <f>IFERROR(__xludf.DUMMYFUNCTION("""COMPUTED_VALUE"""),42766.0)</f>
        <v>42766</v>
      </c>
      <c r="B377" s="140">
        <f>IFERROR(__xludf.DUMMYFUNCTION("""COMPUTED_VALUE"""),261936.0)</f>
        <v>261936</v>
      </c>
      <c r="C377" s="140" t="str">
        <f>IFERROR(__xludf.DUMMYFUNCTION("""COMPUTED_VALUE"""),"#N/A")</f>
        <v>#N/A</v>
      </c>
      <c r="D377" t="str">
        <f>IFERROR(__xludf.DUMMYFUNCTION("""COMPUTED_VALUE"""),"Digital Marketing Institute")</f>
        <v>Digital Marketing Institute</v>
      </c>
      <c r="G377" t="str">
        <f>IFERROR(__xludf.DUMMYFUNCTION("""COMPUTED_VALUE"""),"Y")</f>
        <v>Y</v>
      </c>
      <c r="H377" t="str">
        <f>IFERROR(__xludf.DUMMYFUNCTION("""COMPUTED_VALUE"""),"Instructor Request")</f>
        <v>Instructor Request</v>
      </c>
      <c r="I377" t="str">
        <f>IFERROR(__xludf.DUMMYFUNCTION("""COMPUTED_VALUE"""),"Marketing")</f>
        <v>Marketing</v>
      </c>
      <c r="J377" t="str">
        <f>IFERROR(__xludf.DUMMYFUNCTION("""COMPUTED_VALUE"""),"Digital Marketing")</f>
        <v>Digital Marketing</v>
      </c>
      <c r="K377" s="140">
        <f>IFERROR(__xludf.DUMMYFUNCTION("""COMPUTED_VALUE"""),914296.0)</f>
        <v>914296</v>
      </c>
      <c r="L377" s="140" t="str">
        <f>IFERROR(__xludf.DUMMYFUNCTION("""COMPUTED_VALUE"""),"")</f>
        <v/>
      </c>
      <c r="M377" s="140">
        <f>IFERROR(__xludf.DUMMYFUNCTION("""COMPUTED_VALUE"""),496924.0)</f>
        <v>496924</v>
      </c>
      <c r="N377" s="140" t="str">
        <f>IFERROR(__xludf.DUMMYFUNCTION("""COMPUTED_VALUE"""),"")</f>
        <v/>
      </c>
      <c r="O377" s="140">
        <f>IFERROR(__xludf.DUMMYFUNCTION("""COMPUTED_VALUE"""),302746.0)</f>
        <v>302746</v>
      </c>
      <c r="P377" s="145" t="str">
        <f>IFERROR(__xludf.DUMMYFUNCTION("""COMPUTED_VALUE"""),"Digital Marketing: How to Generate Sales Leads in 2018")</f>
        <v>Digital Marketing: How to Generate Sales Leads in 2018</v>
      </c>
    </row>
    <row r="378">
      <c r="A378" s="143">
        <f>IFERROR(__xludf.DUMMYFUNCTION("""COMPUTED_VALUE"""),42766.0)</f>
        <v>42766</v>
      </c>
      <c r="B378" s="140">
        <f>IFERROR(__xludf.DUMMYFUNCTION("""COMPUTED_VALUE"""),359806.0)</f>
        <v>359806</v>
      </c>
      <c r="C378" s="140" t="str">
        <f>IFERROR(__xludf.DUMMYFUNCTION("""COMPUTED_VALUE"""),"#N/A")</f>
        <v>#N/A</v>
      </c>
      <c r="D378" t="str">
        <f>IFERROR(__xludf.DUMMYFUNCTION("""COMPUTED_VALUE"""),"Scott Duffy")</f>
        <v>Scott Duffy</v>
      </c>
      <c r="G378" t="str">
        <f>IFERROR(__xludf.DUMMYFUNCTION("""COMPUTED_VALUE"""),"Y")</f>
        <v>Y</v>
      </c>
      <c r="H378" t="str">
        <f>IFERROR(__xludf.DUMMYFUNCTION("""COMPUTED_VALUE"""),"Instructor Request")</f>
        <v>Instructor Request</v>
      </c>
      <c r="I378" t="str">
        <f>IFERROR(__xludf.DUMMYFUNCTION("""COMPUTED_VALUE"""),"Marketing")</f>
        <v>Marketing</v>
      </c>
      <c r="J378" t="str">
        <f>IFERROR(__xludf.DUMMYFUNCTION("""COMPUTED_VALUE"""),"Digital Marketing")</f>
        <v>Digital Marketing</v>
      </c>
      <c r="K378" s="140">
        <f>IFERROR(__xludf.DUMMYFUNCTION("""COMPUTED_VALUE"""),302746.0)</f>
        <v>302746</v>
      </c>
      <c r="L378" s="140" t="str">
        <f>IFERROR(__xludf.DUMMYFUNCTION("""COMPUTED_VALUE"""),"")</f>
        <v/>
      </c>
      <c r="N378" s="140" t="str">
        <f>IFERROR(__xludf.DUMMYFUNCTION("""COMPUTED_VALUE"""),"")</f>
        <v/>
      </c>
    </row>
    <row r="379">
      <c r="A379" s="143">
        <f>IFERROR(__xludf.DUMMYFUNCTION("""COMPUTED_VALUE"""),42766.0)</f>
        <v>42766</v>
      </c>
      <c r="B379" s="140">
        <f>IFERROR(__xludf.DUMMYFUNCTION("""COMPUTED_VALUE"""),293954.0)</f>
        <v>293954</v>
      </c>
      <c r="C379" s="140" t="str">
        <f>IFERROR(__xludf.DUMMYFUNCTION("""COMPUTED_VALUE"""),"#N/A")</f>
        <v>#N/A</v>
      </c>
      <c r="D379" t="str">
        <f>IFERROR(__xludf.DUMMYFUNCTION("""COMPUTED_VALUE"""),"Digital Marketing Institute")</f>
        <v>Digital Marketing Institute</v>
      </c>
      <c r="G379" t="str">
        <f>IFERROR(__xludf.DUMMYFUNCTION("""COMPUTED_VALUE"""),"Y")</f>
        <v>Y</v>
      </c>
      <c r="H379" t="str">
        <f>IFERROR(__xludf.DUMMYFUNCTION("""COMPUTED_VALUE"""),"Instructor Request")</f>
        <v>Instructor Request</v>
      </c>
      <c r="I379" t="str">
        <f>IFERROR(__xludf.DUMMYFUNCTION("""COMPUTED_VALUE"""),"Marketing")</f>
        <v>Marketing</v>
      </c>
      <c r="J379" t="str">
        <f>IFERROR(__xludf.DUMMYFUNCTION("""COMPUTED_VALUE"""),"Digital Marketing")</f>
        <v>Digital Marketing</v>
      </c>
      <c r="K379" s="140">
        <f>IFERROR(__xludf.DUMMYFUNCTION("""COMPUTED_VALUE"""),1185006.0)</f>
        <v>1185006</v>
      </c>
      <c r="L379" s="140" t="str">
        <f>IFERROR(__xludf.DUMMYFUNCTION("""COMPUTED_VALUE"""),"")</f>
        <v/>
      </c>
      <c r="N379" s="140" t="str">
        <f>IFERROR(__xludf.DUMMYFUNCTION("""COMPUTED_VALUE"""),"")</f>
        <v/>
      </c>
      <c r="Q379" t="str">
        <f>IFERROR(__xludf.DUMMYFUNCTION("""COMPUTED_VALUE"""),"Not great.")</f>
        <v>Not great.</v>
      </c>
    </row>
    <row r="380">
      <c r="A380" s="143">
        <f>IFERROR(__xludf.DUMMYFUNCTION("""COMPUTED_VALUE"""),42766.0)</f>
        <v>42766</v>
      </c>
      <c r="B380" s="140">
        <f>IFERROR(__xludf.DUMMYFUNCTION("""COMPUTED_VALUE"""),279348.0)</f>
        <v>279348</v>
      </c>
      <c r="C380" s="140" t="str">
        <f>IFERROR(__xludf.DUMMYFUNCTION("""COMPUTED_VALUE"""),"#N/A")</f>
        <v>#N/A</v>
      </c>
      <c r="D380" t="str">
        <f>IFERROR(__xludf.DUMMYFUNCTION("""COMPUTED_VALUE"""),"Digital Marketing Institute")</f>
        <v>Digital Marketing Institute</v>
      </c>
      <c r="G380" t="str">
        <f>IFERROR(__xludf.DUMMYFUNCTION("""COMPUTED_VALUE"""),"Y")</f>
        <v>Y</v>
      </c>
      <c r="H380" t="str">
        <f>IFERROR(__xludf.DUMMYFUNCTION("""COMPUTED_VALUE"""),"Instructor Request")</f>
        <v>Instructor Request</v>
      </c>
      <c r="I380" t="str">
        <f>IFERROR(__xludf.DUMMYFUNCTION("""COMPUTED_VALUE"""),"Marketing")</f>
        <v>Marketing</v>
      </c>
      <c r="J380" t="str">
        <f>IFERROR(__xludf.DUMMYFUNCTION("""COMPUTED_VALUE"""),"Digital Marketing")</f>
        <v>Digital Marketing</v>
      </c>
      <c r="K380" s="140">
        <f>IFERROR(__xludf.DUMMYFUNCTION("""COMPUTED_VALUE"""),573984.0)</f>
        <v>573984</v>
      </c>
      <c r="L380" s="140" t="str">
        <f>IFERROR(__xludf.DUMMYFUNCTION("""COMPUTED_VALUE"""),"")</f>
        <v/>
      </c>
      <c r="N380" s="140" t="str">
        <f>IFERROR(__xludf.DUMMYFUNCTION("""COMPUTED_VALUE"""),"")</f>
        <v/>
      </c>
    </row>
    <row r="381">
      <c r="A381" s="143">
        <f>IFERROR(__xludf.DUMMYFUNCTION("""COMPUTED_VALUE"""),42766.0)</f>
        <v>42766</v>
      </c>
      <c r="B381" s="140">
        <f>IFERROR(__xludf.DUMMYFUNCTION("""COMPUTED_VALUE"""),280014.0)</f>
        <v>280014</v>
      </c>
      <c r="C381" s="140" t="str">
        <f>IFERROR(__xludf.DUMMYFUNCTION("""COMPUTED_VALUE"""),"#N/A")</f>
        <v>#N/A</v>
      </c>
      <c r="D381" t="str">
        <f>IFERROR(__xludf.DUMMYFUNCTION("""COMPUTED_VALUE"""),"Digital Marketing Institute")</f>
        <v>Digital Marketing Institute</v>
      </c>
      <c r="G381" t="str">
        <f>IFERROR(__xludf.DUMMYFUNCTION("""COMPUTED_VALUE"""),"Y")</f>
        <v>Y</v>
      </c>
      <c r="H381" t="str">
        <f>IFERROR(__xludf.DUMMYFUNCTION("""COMPUTED_VALUE"""),"Instructor Request")</f>
        <v>Instructor Request</v>
      </c>
      <c r="I381" t="str">
        <f>IFERROR(__xludf.DUMMYFUNCTION("""COMPUTED_VALUE"""),"Marketing")</f>
        <v>Marketing</v>
      </c>
      <c r="J381" t="str">
        <f>IFERROR(__xludf.DUMMYFUNCTION("""COMPUTED_VALUE"""),"Digital Marketing")</f>
        <v>Digital Marketing</v>
      </c>
      <c r="K381" s="140">
        <f>IFERROR(__xludf.DUMMYFUNCTION("""COMPUTED_VALUE"""),959128.0)</f>
        <v>959128</v>
      </c>
      <c r="L381" s="140" t="str">
        <f>IFERROR(__xludf.DUMMYFUNCTION("""COMPUTED_VALUE"""),"")</f>
        <v/>
      </c>
      <c r="N381" s="140" t="str">
        <f>IFERROR(__xludf.DUMMYFUNCTION("""COMPUTED_VALUE"""),"")</f>
        <v/>
      </c>
    </row>
    <row r="382">
      <c r="A382" s="143">
        <f>IFERROR(__xludf.DUMMYFUNCTION("""COMPUTED_VALUE"""),42766.0)</f>
        <v>42766</v>
      </c>
      <c r="B382" s="140">
        <f>IFERROR(__xludf.DUMMYFUNCTION("""COMPUTED_VALUE"""),429968.0)</f>
        <v>429968</v>
      </c>
      <c r="C382" s="140" t="str">
        <f>IFERROR(__xludf.DUMMYFUNCTION("""COMPUTED_VALUE"""),"#N/A")</f>
        <v>#N/A</v>
      </c>
      <c r="D382" t="str">
        <f>IFERROR(__xludf.DUMMYFUNCTION("""COMPUTED_VALUE"""),"Digital Marketing Institute")</f>
        <v>Digital Marketing Institute</v>
      </c>
      <c r="G382" t="str">
        <f>IFERROR(__xludf.DUMMYFUNCTION("""COMPUTED_VALUE"""),"Y")</f>
        <v>Y</v>
      </c>
      <c r="H382" t="str">
        <f>IFERROR(__xludf.DUMMYFUNCTION("""COMPUTED_VALUE"""),"Instructor Request")</f>
        <v>Instructor Request</v>
      </c>
      <c r="I382" t="str">
        <f>IFERROR(__xludf.DUMMYFUNCTION("""COMPUTED_VALUE"""),"Marketing")</f>
        <v>Marketing</v>
      </c>
      <c r="J382" t="str">
        <f>IFERROR(__xludf.DUMMYFUNCTION("""COMPUTED_VALUE"""),"Digital Marketing")</f>
        <v>Digital Marketing</v>
      </c>
      <c r="K382" s="140">
        <f>IFERROR(__xludf.DUMMYFUNCTION("""COMPUTED_VALUE"""),573984.0)</f>
        <v>573984</v>
      </c>
      <c r="L382" s="140" t="str">
        <f>IFERROR(__xludf.DUMMYFUNCTION("""COMPUTED_VALUE"""),"")</f>
        <v/>
      </c>
      <c r="N382" s="140" t="str">
        <f>IFERROR(__xludf.DUMMYFUNCTION("""COMPUTED_VALUE"""),"")</f>
        <v/>
      </c>
    </row>
    <row r="383">
      <c r="A383" s="143">
        <f>IFERROR(__xludf.DUMMYFUNCTION("""COMPUTED_VALUE"""),42766.0)</f>
        <v>42766</v>
      </c>
      <c r="B383" s="140">
        <f>IFERROR(__xludf.DUMMYFUNCTION("""COMPUTED_VALUE"""),429958.0)</f>
        <v>429958</v>
      </c>
      <c r="C383" s="140" t="str">
        <f>IFERROR(__xludf.DUMMYFUNCTION("""COMPUTED_VALUE"""),"#N/A")</f>
        <v>#N/A</v>
      </c>
      <c r="D383" t="str">
        <f>IFERROR(__xludf.DUMMYFUNCTION("""COMPUTED_VALUE"""),"Digital Marketing Institute")</f>
        <v>Digital Marketing Institute</v>
      </c>
      <c r="G383" t="str">
        <f>IFERROR(__xludf.DUMMYFUNCTION("""COMPUTED_VALUE"""),"Y")</f>
        <v>Y</v>
      </c>
      <c r="H383" t="str">
        <f>IFERROR(__xludf.DUMMYFUNCTION("""COMPUTED_VALUE"""),"Instructor Request")</f>
        <v>Instructor Request</v>
      </c>
      <c r="I383" t="str">
        <f>IFERROR(__xludf.DUMMYFUNCTION("""COMPUTED_VALUE"""),"Marketing")</f>
        <v>Marketing</v>
      </c>
      <c r="J383" t="str">
        <f>IFERROR(__xludf.DUMMYFUNCTION("""COMPUTED_VALUE"""),"Digital Marketing")</f>
        <v>Digital Marketing</v>
      </c>
      <c r="K383" s="140">
        <f>IFERROR(__xludf.DUMMYFUNCTION("""COMPUTED_VALUE"""),573984.0)</f>
        <v>573984</v>
      </c>
      <c r="L383" s="140" t="str">
        <f>IFERROR(__xludf.DUMMYFUNCTION("""COMPUTED_VALUE"""),"")</f>
        <v/>
      </c>
      <c r="N383" s="140" t="str">
        <f>IFERROR(__xludf.DUMMYFUNCTION("""COMPUTED_VALUE"""),"")</f>
        <v/>
      </c>
    </row>
    <row r="384">
      <c r="A384" s="143">
        <f>IFERROR(__xludf.DUMMYFUNCTION("""COMPUTED_VALUE"""),42766.0)</f>
        <v>42766</v>
      </c>
      <c r="B384" s="140">
        <f>IFERROR(__xludf.DUMMYFUNCTION("""COMPUTED_VALUE"""),429988.0)</f>
        <v>429988</v>
      </c>
      <c r="C384" s="140" t="str">
        <f>IFERROR(__xludf.DUMMYFUNCTION("""COMPUTED_VALUE"""),"#N/A")</f>
        <v>#N/A</v>
      </c>
      <c r="D384" t="str">
        <f>IFERROR(__xludf.DUMMYFUNCTION("""COMPUTED_VALUE"""),"Digital Marketing Institute")</f>
        <v>Digital Marketing Institute</v>
      </c>
      <c r="G384" t="str">
        <f>IFERROR(__xludf.DUMMYFUNCTION("""COMPUTED_VALUE"""),"Y")</f>
        <v>Y</v>
      </c>
      <c r="H384" t="str">
        <f>IFERROR(__xludf.DUMMYFUNCTION("""COMPUTED_VALUE"""),"Instructor Request")</f>
        <v>Instructor Request</v>
      </c>
      <c r="I384" t="str">
        <f>IFERROR(__xludf.DUMMYFUNCTION("""COMPUTED_VALUE"""),"Marketing")</f>
        <v>Marketing</v>
      </c>
      <c r="J384" t="str">
        <f>IFERROR(__xludf.DUMMYFUNCTION("""COMPUTED_VALUE"""),"Digital Marketing")</f>
        <v>Digital Marketing</v>
      </c>
      <c r="K384" s="140">
        <f>IFERROR(__xludf.DUMMYFUNCTION("""COMPUTED_VALUE"""),573984.0)</f>
        <v>573984</v>
      </c>
      <c r="L384" s="140" t="str">
        <f>IFERROR(__xludf.DUMMYFUNCTION("""COMPUTED_VALUE"""),"")</f>
        <v/>
      </c>
      <c r="N384" s="140" t="str">
        <f>IFERROR(__xludf.DUMMYFUNCTION("""COMPUTED_VALUE"""),"")</f>
        <v/>
      </c>
    </row>
    <row r="385">
      <c r="A385" s="143">
        <f>IFERROR(__xludf.DUMMYFUNCTION("""COMPUTED_VALUE"""),42766.0)</f>
        <v>42766</v>
      </c>
      <c r="B385" s="140">
        <f>IFERROR(__xludf.DUMMYFUNCTION("""COMPUTED_VALUE"""),395634.0)</f>
        <v>395634</v>
      </c>
      <c r="C385" s="140" t="str">
        <f>IFERROR(__xludf.DUMMYFUNCTION("""COMPUTED_VALUE"""),"#N/A")</f>
        <v>#N/A</v>
      </c>
      <c r="D385" t="str">
        <f>IFERROR(__xludf.DUMMYFUNCTION("""COMPUTED_VALUE"""),"Digital Marketing Institute")</f>
        <v>Digital Marketing Institute</v>
      </c>
      <c r="G385" t="str">
        <f>IFERROR(__xludf.DUMMYFUNCTION("""COMPUTED_VALUE"""),"Y")</f>
        <v>Y</v>
      </c>
      <c r="H385" t="str">
        <f>IFERROR(__xludf.DUMMYFUNCTION("""COMPUTED_VALUE"""),"Instructor Request")</f>
        <v>Instructor Request</v>
      </c>
      <c r="I385" t="str">
        <f>IFERROR(__xludf.DUMMYFUNCTION("""COMPUTED_VALUE"""),"Marketing")</f>
        <v>Marketing</v>
      </c>
      <c r="J385" t="str">
        <f>IFERROR(__xludf.DUMMYFUNCTION("""COMPUTED_VALUE"""),"Digital Marketing")</f>
        <v>Digital Marketing</v>
      </c>
      <c r="K385" s="140">
        <f>IFERROR(__xludf.DUMMYFUNCTION("""COMPUTED_VALUE"""),959128.0)</f>
        <v>959128</v>
      </c>
      <c r="L385" s="140" t="str">
        <f>IFERROR(__xludf.DUMMYFUNCTION("""COMPUTED_VALUE"""),"")</f>
        <v/>
      </c>
      <c r="N385" s="140" t="str">
        <f>IFERROR(__xludf.DUMMYFUNCTION("""COMPUTED_VALUE"""),"")</f>
        <v/>
      </c>
    </row>
    <row r="386">
      <c r="A386" s="143">
        <f>IFERROR(__xludf.DUMMYFUNCTION("""COMPUTED_VALUE"""),42766.0)</f>
        <v>42766</v>
      </c>
      <c r="B386" s="140">
        <f>IFERROR(__xludf.DUMMYFUNCTION("""COMPUTED_VALUE"""),394762.0)</f>
        <v>394762</v>
      </c>
      <c r="C386" s="140" t="str">
        <f>IFERROR(__xludf.DUMMYFUNCTION("""COMPUTED_VALUE"""),"#N/A")</f>
        <v>#N/A</v>
      </c>
      <c r="D386" t="str">
        <f>IFERROR(__xludf.DUMMYFUNCTION("""COMPUTED_VALUE"""),"Digital Marketing Institute")</f>
        <v>Digital Marketing Institute</v>
      </c>
      <c r="G386" t="str">
        <f>IFERROR(__xludf.DUMMYFUNCTION("""COMPUTED_VALUE"""),"Y")</f>
        <v>Y</v>
      </c>
      <c r="H386" t="str">
        <f>IFERROR(__xludf.DUMMYFUNCTION("""COMPUTED_VALUE"""),"Instructor Request")</f>
        <v>Instructor Request</v>
      </c>
      <c r="I386" t="str">
        <f>IFERROR(__xludf.DUMMYFUNCTION("""COMPUTED_VALUE"""),"Marketing")</f>
        <v>Marketing</v>
      </c>
      <c r="J386" t="str">
        <f>IFERROR(__xludf.DUMMYFUNCTION("""COMPUTED_VALUE"""),"Marketing Fundamentals")</f>
        <v>Marketing Fundamentals</v>
      </c>
      <c r="K386" s="140">
        <f>IFERROR(__xludf.DUMMYFUNCTION("""COMPUTED_VALUE"""),959128.0)</f>
        <v>959128</v>
      </c>
      <c r="L386" s="140" t="str">
        <f>IFERROR(__xludf.DUMMYFUNCTION("""COMPUTED_VALUE"""),"")</f>
        <v/>
      </c>
      <c r="M386" s="140">
        <f>IFERROR(__xludf.DUMMYFUNCTION("""COMPUTED_VALUE"""),1196522.0)</f>
        <v>1196522</v>
      </c>
      <c r="N386" s="140" t="str">
        <f>IFERROR(__xludf.DUMMYFUNCTION("""COMPUTED_VALUE"""),"")</f>
        <v/>
      </c>
      <c r="R386" t="str">
        <f>IFERROR(__xludf.DUMMYFUNCTION("""COMPUTED_VALUE"""),"Marketing")</f>
        <v>Marketing</v>
      </c>
      <c r="S386" t="str">
        <f>IFERROR(__xludf.DUMMYFUNCTION("""COMPUTED_VALUE"""),"Digital Marketing")</f>
        <v>Digital Marketing</v>
      </c>
    </row>
    <row r="387">
      <c r="A387" s="143">
        <f>IFERROR(__xludf.DUMMYFUNCTION("""COMPUTED_VALUE"""),42766.0)</f>
        <v>42766</v>
      </c>
      <c r="B387" s="140">
        <f>IFERROR(__xludf.DUMMYFUNCTION("""COMPUTED_VALUE"""),394704.0)</f>
        <v>394704</v>
      </c>
      <c r="C387" s="140" t="str">
        <f>IFERROR(__xludf.DUMMYFUNCTION("""COMPUTED_VALUE"""),"#N/A")</f>
        <v>#N/A</v>
      </c>
      <c r="D387" t="str">
        <f>IFERROR(__xludf.DUMMYFUNCTION("""COMPUTED_VALUE"""),"Digital Marketing Institute")</f>
        <v>Digital Marketing Institute</v>
      </c>
      <c r="G387" t="str">
        <f>IFERROR(__xludf.DUMMYFUNCTION("""COMPUTED_VALUE"""),"Y")</f>
        <v>Y</v>
      </c>
      <c r="H387" t="str">
        <f>IFERROR(__xludf.DUMMYFUNCTION("""COMPUTED_VALUE"""),"Instructor Request")</f>
        <v>Instructor Request</v>
      </c>
      <c r="I387" t="str">
        <f>IFERROR(__xludf.DUMMYFUNCTION("""COMPUTED_VALUE"""),"Marketing")</f>
        <v>Marketing</v>
      </c>
      <c r="J387" t="str">
        <f>IFERROR(__xludf.DUMMYFUNCTION("""COMPUTED_VALUE"""),"Marketing Fundamentals")</f>
        <v>Marketing Fundamentals</v>
      </c>
      <c r="K387" s="140">
        <f>IFERROR(__xludf.DUMMYFUNCTION("""COMPUTED_VALUE"""),959128.0)</f>
        <v>959128</v>
      </c>
      <c r="L387" s="140" t="str">
        <f>IFERROR(__xludf.DUMMYFUNCTION("""COMPUTED_VALUE"""),"")</f>
        <v/>
      </c>
      <c r="N387" s="140" t="str">
        <f>IFERROR(__xludf.DUMMYFUNCTION("""COMPUTED_VALUE"""),"")</f>
        <v/>
      </c>
      <c r="Q387" t="str">
        <f>IFERROR(__xludf.DUMMYFUNCTION("""COMPUTED_VALUE"""),"Not great.")</f>
        <v>Not great.</v>
      </c>
    </row>
    <row r="388">
      <c r="A388" s="143">
        <f>IFERROR(__xludf.DUMMYFUNCTION("""COMPUTED_VALUE"""),42766.0)</f>
        <v>42766</v>
      </c>
      <c r="B388" s="140">
        <f>IFERROR(__xludf.DUMMYFUNCTION("""COMPUTED_VALUE"""),394974.0)</f>
        <v>394974</v>
      </c>
      <c r="C388" s="140" t="str">
        <f>IFERROR(__xludf.DUMMYFUNCTION("""COMPUTED_VALUE"""),"#N/A")</f>
        <v>#N/A</v>
      </c>
      <c r="D388" t="str">
        <f>IFERROR(__xludf.DUMMYFUNCTION("""COMPUTED_VALUE"""),"Digital Marketing Institute")</f>
        <v>Digital Marketing Institute</v>
      </c>
      <c r="G388" t="str">
        <f>IFERROR(__xludf.DUMMYFUNCTION("""COMPUTED_VALUE"""),"Y")</f>
        <v>Y</v>
      </c>
      <c r="H388" t="str">
        <f>IFERROR(__xludf.DUMMYFUNCTION("""COMPUTED_VALUE"""),"Instructor Request")</f>
        <v>Instructor Request</v>
      </c>
      <c r="I388" t="str">
        <f>IFERROR(__xludf.DUMMYFUNCTION("""COMPUTED_VALUE"""),"Marketing")</f>
        <v>Marketing</v>
      </c>
      <c r="J388" t="str">
        <f>IFERROR(__xludf.DUMMYFUNCTION("""COMPUTED_VALUE"""),"Marketing Fundamentals")</f>
        <v>Marketing Fundamentals</v>
      </c>
      <c r="K388" s="140">
        <f>IFERROR(__xludf.DUMMYFUNCTION("""COMPUTED_VALUE"""),285332.0)</f>
        <v>285332</v>
      </c>
      <c r="L388" s="140" t="str">
        <f>IFERROR(__xludf.DUMMYFUNCTION("""COMPUTED_VALUE"""),"")</f>
        <v/>
      </c>
      <c r="N388" s="140" t="str">
        <f>IFERROR(__xludf.DUMMYFUNCTION("""COMPUTED_VALUE"""),"")</f>
        <v/>
      </c>
      <c r="R388" t="str">
        <f>IFERROR(__xludf.DUMMYFUNCTION("""COMPUTED_VALUE"""),"Management")</f>
        <v>Management</v>
      </c>
      <c r="S388" t="str">
        <f>IFERROR(__xludf.DUMMYFUNCTION("""COMPUTED_VALUE"""),"Communication")</f>
        <v>Communication</v>
      </c>
    </row>
    <row r="389">
      <c r="A389" s="143">
        <f>IFERROR(__xludf.DUMMYFUNCTION("""COMPUTED_VALUE"""),42766.0)</f>
        <v>42766</v>
      </c>
      <c r="B389" s="140">
        <f>IFERROR(__xludf.DUMMYFUNCTION("""COMPUTED_VALUE"""),394860.0)</f>
        <v>394860</v>
      </c>
      <c r="C389" s="140" t="str">
        <f>IFERROR(__xludf.DUMMYFUNCTION("""COMPUTED_VALUE"""),"#N/A")</f>
        <v>#N/A</v>
      </c>
      <c r="D389" t="str">
        <f>IFERROR(__xludf.DUMMYFUNCTION("""COMPUTED_VALUE"""),"Digital Marketing Institute")</f>
        <v>Digital Marketing Institute</v>
      </c>
      <c r="G389" t="str">
        <f>IFERROR(__xludf.DUMMYFUNCTION("""COMPUTED_VALUE"""),"Y")</f>
        <v>Y</v>
      </c>
      <c r="H389" t="str">
        <f>IFERROR(__xludf.DUMMYFUNCTION("""COMPUTED_VALUE"""),"Instructor Request")</f>
        <v>Instructor Request</v>
      </c>
      <c r="I389" t="str">
        <f>IFERROR(__xludf.DUMMYFUNCTION("""COMPUTED_VALUE"""),"Marketing")</f>
        <v>Marketing</v>
      </c>
      <c r="J389" t="str">
        <f>IFERROR(__xludf.DUMMYFUNCTION("""COMPUTED_VALUE"""),"Marketing Fundamentals")</f>
        <v>Marketing Fundamentals</v>
      </c>
      <c r="K389" s="140">
        <f>IFERROR(__xludf.DUMMYFUNCTION("""COMPUTED_VALUE"""),959128.0)</f>
        <v>959128</v>
      </c>
      <c r="L389" s="140" t="str">
        <f>IFERROR(__xludf.DUMMYFUNCTION("""COMPUTED_VALUE"""),"")</f>
        <v/>
      </c>
      <c r="N389" s="140" t="str">
        <f>IFERROR(__xludf.DUMMYFUNCTION("""COMPUTED_VALUE"""),"")</f>
        <v/>
      </c>
    </row>
    <row r="390">
      <c r="A390" s="143">
        <f>IFERROR(__xludf.DUMMYFUNCTION("""COMPUTED_VALUE"""),42766.0)</f>
        <v>42766</v>
      </c>
      <c r="B390" s="140">
        <f>IFERROR(__xludf.DUMMYFUNCTION("""COMPUTED_VALUE"""),394736.0)</f>
        <v>394736</v>
      </c>
      <c r="C390" s="140" t="str">
        <f>IFERROR(__xludf.DUMMYFUNCTION("""COMPUTED_VALUE"""),"#N/A")</f>
        <v>#N/A</v>
      </c>
      <c r="D390" t="str">
        <f>IFERROR(__xludf.DUMMYFUNCTION("""COMPUTED_VALUE"""),"Digital Marketing Institute")</f>
        <v>Digital Marketing Institute</v>
      </c>
      <c r="G390" t="str">
        <f>IFERROR(__xludf.DUMMYFUNCTION("""COMPUTED_VALUE"""),"Y")</f>
        <v>Y</v>
      </c>
      <c r="H390" t="str">
        <f>IFERROR(__xludf.DUMMYFUNCTION("""COMPUTED_VALUE"""),"Instructor Request")</f>
        <v>Instructor Request</v>
      </c>
      <c r="I390" t="str">
        <f>IFERROR(__xludf.DUMMYFUNCTION("""COMPUTED_VALUE"""),"Marketing")</f>
        <v>Marketing</v>
      </c>
      <c r="J390" t="str">
        <f>IFERROR(__xludf.DUMMYFUNCTION("""COMPUTED_VALUE"""),"Marketing Fundamentals")</f>
        <v>Marketing Fundamentals</v>
      </c>
      <c r="K390" s="140">
        <f>IFERROR(__xludf.DUMMYFUNCTION("""COMPUTED_VALUE"""),689296.0)</f>
        <v>689296</v>
      </c>
      <c r="L390" s="140" t="str">
        <f>IFERROR(__xludf.DUMMYFUNCTION("""COMPUTED_VALUE"""),"")</f>
        <v/>
      </c>
      <c r="N390" s="140" t="str">
        <f>IFERROR(__xludf.DUMMYFUNCTION("""COMPUTED_VALUE"""),"")</f>
        <v/>
      </c>
    </row>
    <row r="391">
      <c r="A391" s="143">
        <f>IFERROR(__xludf.DUMMYFUNCTION("""COMPUTED_VALUE"""),42766.0)</f>
        <v>42766</v>
      </c>
      <c r="B391" s="140">
        <f>IFERROR(__xludf.DUMMYFUNCTION("""COMPUTED_VALUE"""),430004.0)</f>
        <v>430004</v>
      </c>
      <c r="C391" s="140" t="str">
        <f>IFERROR(__xludf.DUMMYFUNCTION("""COMPUTED_VALUE"""),"#N/A")</f>
        <v>#N/A</v>
      </c>
      <c r="D391" t="str">
        <f>IFERROR(__xludf.DUMMYFUNCTION("""COMPUTED_VALUE"""),"Digital Marketing Institute")</f>
        <v>Digital Marketing Institute</v>
      </c>
      <c r="G391" t="str">
        <f>IFERROR(__xludf.DUMMYFUNCTION("""COMPUTED_VALUE"""),"Y")</f>
        <v>Y</v>
      </c>
      <c r="H391" t="str">
        <f>IFERROR(__xludf.DUMMYFUNCTION("""COMPUTED_VALUE"""),"Instructor Request")</f>
        <v>Instructor Request</v>
      </c>
      <c r="I391" t="str">
        <f>IFERROR(__xludf.DUMMYFUNCTION("""COMPUTED_VALUE"""),"Marketing")</f>
        <v>Marketing</v>
      </c>
      <c r="J391" t="str">
        <f>IFERROR(__xludf.DUMMYFUNCTION("""COMPUTED_VALUE"""),"Marketing Tools")</f>
        <v>Marketing Tools</v>
      </c>
      <c r="K391" s="140">
        <f>IFERROR(__xludf.DUMMYFUNCTION("""COMPUTED_VALUE"""),613946.0)</f>
        <v>613946</v>
      </c>
      <c r="L391" s="140" t="str">
        <f>IFERROR(__xludf.DUMMYFUNCTION("""COMPUTED_VALUE"""),"")</f>
        <v/>
      </c>
      <c r="M391" s="140">
        <f>IFERROR(__xludf.DUMMYFUNCTION("""COMPUTED_VALUE"""),328386.0)</f>
        <v>328386</v>
      </c>
      <c r="N391" s="140" t="str">
        <f>IFERROR(__xludf.DUMMYFUNCTION("""COMPUTED_VALUE"""),"")</f>
        <v/>
      </c>
    </row>
    <row r="392">
      <c r="A392" s="143">
        <f>IFERROR(__xludf.DUMMYFUNCTION("""COMPUTED_VALUE"""),42766.0)</f>
        <v>42766</v>
      </c>
      <c r="B392" s="140">
        <f>IFERROR(__xludf.DUMMYFUNCTION("""COMPUTED_VALUE"""),429994.0)</f>
        <v>429994</v>
      </c>
      <c r="C392" s="140" t="str">
        <f>IFERROR(__xludf.DUMMYFUNCTION("""COMPUTED_VALUE"""),"#N/A")</f>
        <v>#N/A</v>
      </c>
      <c r="D392" t="str">
        <f>IFERROR(__xludf.DUMMYFUNCTION("""COMPUTED_VALUE"""),"Digital Marketing Institute")</f>
        <v>Digital Marketing Institute</v>
      </c>
      <c r="G392" t="str">
        <f>IFERROR(__xludf.DUMMYFUNCTION("""COMPUTED_VALUE"""),"Y")</f>
        <v>Y</v>
      </c>
      <c r="H392" t="str">
        <f>IFERROR(__xludf.DUMMYFUNCTION("""COMPUTED_VALUE"""),"Instructor Request")</f>
        <v>Instructor Request</v>
      </c>
      <c r="I392" t="str">
        <f>IFERROR(__xludf.DUMMYFUNCTION("""COMPUTED_VALUE"""),"Marketing")</f>
        <v>Marketing</v>
      </c>
      <c r="J392" t="str">
        <f>IFERROR(__xludf.DUMMYFUNCTION("""COMPUTED_VALUE"""),"Marketing Tools")</f>
        <v>Marketing Tools</v>
      </c>
      <c r="K392" s="140">
        <f>IFERROR(__xludf.DUMMYFUNCTION("""COMPUTED_VALUE"""),613946.0)</f>
        <v>613946</v>
      </c>
      <c r="L392" s="140" t="str">
        <f>IFERROR(__xludf.DUMMYFUNCTION("""COMPUTED_VALUE"""),"")</f>
        <v/>
      </c>
      <c r="M392" s="140">
        <f>IFERROR(__xludf.DUMMYFUNCTION("""COMPUTED_VALUE"""),328386.0)</f>
        <v>328386</v>
      </c>
      <c r="N392" s="140" t="str">
        <f>IFERROR(__xludf.DUMMYFUNCTION("""COMPUTED_VALUE"""),"")</f>
        <v/>
      </c>
    </row>
    <row r="393">
      <c r="A393" s="143">
        <f>IFERROR(__xludf.DUMMYFUNCTION("""COMPUTED_VALUE"""),42766.0)</f>
        <v>42766</v>
      </c>
      <c r="B393" s="140">
        <f>IFERROR(__xludf.DUMMYFUNCTION("""COMPUTED_VALUE"""),395018.0)</f>
        <v>395018</v>
      </c>
      <c r="C393" s="140" t="str">
        <f>IFERROR(__xludf.DUMMYFUNCTION("""COMPUTED_VALUE"""),"#N/A")</f>
        <v>#N/A</v>
      </c>
      <c r="D393" t="str">
        <f>IFERROR(__xludf.DUMMYFUNCTION("""COMPUTED_VALUE"""),"Digital Marketing Institute")</f>
        <v>Digital Marketing Institute</v>
      </c>
      <c r="G393" t="str">
        <f>IFERROR(__xludf.DUMMYFUNCTION("""COMPUTED_VALUE"""),"Y")</f>
        <v>Y</v>
      </c>
      <c r="H393" t="str">
        <f>IFERROR(__xludf.DUMMYFUNCTION("""COMPUTED_VALUE"""),"Instructor Request")</f>
        <v>Instructor Request</v>
      </c>
      <c r="I393" t="str">
        <f>IFERROR(__xludf.DUMMYFUNCTION("""COMPUTED_VALUE"""),"Marketing")</f>
        <v>Marketing</v>
      </c>
      <c r="J393" t="str">
        <f>IFERROR(__xludf.DUMMYFUNCTION("""COMPUTED_VALUE"""),"Marketing Tools")</f>
        <v>Marketing Tools</v>
      </c>
      <c r="K393" s="140">
        <f>IFERROR(__xludf.DUMMYFUNCTION("""COMPUTED_VALUE"""),613946.0)</f>
        <v>613946</v>
      </c>
      <c r="L393" s="140" t="str">
        <f>IFERROR(__xludf.DUMMYFUNCTION("""COMPUTED_VALUE"""),"")</f>
        <v/>
      </c>
      <c r="M393" s="140">
        <f>IFERROR(__xludf.DUMMYFUNCTION("""COMPUTED_VALUE"""),328386.0)</f>
        <v>328386</v>
      </c>
      <c r="N393" s="140" t="str">
        <f>IFERROR(__xludf.DUMMYFUNCTION("""COMPUTED_VALUE"""),"")</f>
        <v/>
      </c>
      <c r="Q393" t="str">
        <f>IFERROR(__xludf.DUMMYFUNCTION("""COMPUTED_VALUE"""),"""Marketing Analytics"" is a known gap in the marketplace -- high on priority list.")</f>
        <v>"Marketing Analytics" is a known gap in the marketplace -- high on priority list.</v>
      </c>
    </row>
    <row r="394">
      <c r="A394" s="143">
        <f>IFERROR(__xludf.DUMMYFUNCTION("""COMPUTED_VALUE"""),42766.0)</f>
        <v>42766</v>
      </c>
      <c r="B394" s="140">
        <f>IFERROR(__xludf.DUMMYFUNCTION("""COMPUTED_VALUE"""),278671.0)</f>
        <v>278671</v>
      </c>
      <c r="C394" s="140" t="str">
        <f>IFERROR(__xludf.DUMMYFUNCTION("""COMPUTED_VALUE"""),"#N/A")</f>
        <v>#N/A</v>
      </c>
      <c r="D394" t="str">
        <f>IFERROR(__xludf.DUMMYFUNCTION("""COMPUTED_VALUE"""),"Digital Marketing Institute")</f>
        <v>Digital Marketing Institute</v>
      </c>
      <c r="G394" t="str">
        <f>IFERROR(__xludf.DUMMYFUNCTION("""COMPUTED_VALUE"""),"Y")</f>
        <v>Y</v>
      </c>
      <c r="H394" t="str">
        <f>IFERROR(__xludf.DUMMYFUNCTION("""COMPUTED_VALUE"""),"Instructor Request")</f>
        <v>Instructor Request</v>
      </c>
      <c r="I394" t="str">
        <f>IFERROR(__xludf.DUMMYFUNCTION("""COMPUTED_VALUE"""),"Marketing")</f>
        <v>Marketing</v>
      </c>
      <c r="J394" t="str">
        <f>IFERROR(__xludf.DUMMYFUNCTION("""COMPUTED_VALUE"""),"Marketing Tools")</f>
        <v>Marketing Tools</v>
      </c>
      <c r="K394" s="140">
        <f>IFERROR(__xludf.DUMMYFUNCTION("""COMPUTED_VALUE"""),613946.0)</f>
        <v>613946</v>
      </c>
      <c r="L394" s="140" t="str">
        <f>IFERROR(__xludf.DUMMYFUNCTION("""COMPUTED_VALUE"""),"")</f>
        <v/>
      </c>
      <c r="M394" s="140">
        <f>IFERROR(__xludf.DUMMYFUNCTION("""COMPUTED_VALUE"""),328386.0)</f>
        <v>328386</v>
      </c>
      <c r="N394" s="140" t="str">
        <f>IFERROR(__xludf.DUMMYFUNCTION("""COMPUTED_VALUE"""),"")</f>
        <v/>
      </c>
      <c r="Q394" t="str">
        <f>IFERROR(__xludf.DUMMYFUNCTION("""COMPUTED_VALUE"""),"""Marketing Analytics"" is a known gap in the marketplace -- high on priority list.")</f>
        <v>"Marketing Analytics" is a known gap in the marketplace -- high on priority list.</v>
      </c>
    </row>
    <row r="395">
      <c r="A395" s="143">
        <f>IFERROR(__xludf.DUMMYFUNCTION("""COMPUTED_VALUE"""),42766.0)</f>
        <v>42766</v>
      </c>
      <c r="B395" s="140">
        <f>IFERROR(__xludf.DUMMYFUNCTION("""COMPUTED_VALUE"""),429746.0)</f>
        <v>429746</v>
      </c>
      <c r="C395" s="140" t="str">
        <f>IFERROR(__xludf.DUMMYFUNCTION("""COMPUTED_VALUE"""),"#N/A")</f>
        <v>#N/A</v>
      </c>
      <c r="D395" t="str">
        <f>IFERROR(__xludf.DUMMYFUNCTION("""COMPUTED_VALUE"""),"Digital Marketing Institute")</f>
        <v>Digital Marketing Institute</v>
      </c>
      <c r="G395" t="str">
        <f>IFERROR(__xludf.DUMMYFUNCTION("""COMPUTED_VALUE"""),"Y")</f>
        <v>Y</v>
      </c>
      <c r="H395" t="str">
        <f>IFERROR(__xludf.DUMMYFUNCTION("""COMPUTED_VALUE"""),"Instructor Request")</f>
        <v>Instructor Request</v>
      </c>
      <c r="I395" t="str">
        <f>IFERROR(__xludf.DUMMYFUNCTION("""COMPUTED_VALUE"""),"Marketing")</f>
        <v>Marketing</v>
      </c>
      <c r="J395" t="str">
        <f>IFERROR(__xludf.DUMMYFUNCTION("""COMPUTED_VALUE"""),"Search Engine Optimization")</f>
        <v>Search Engine Optimization</v>
      </c>
      <c r="K395" s="140">
        <f>IFERROR(__xludf.DUMMYFUNCTION("""COMPUTED_VALUE"""),365176.0)</f>
        <v>365176</v>
      </c>
      <c r="L395" s="140" t="str">
        <f>IFERROR(__xludf.DUMMYFUNCTION("""COMPUTED_VALUE"""),"")</f>
        <v/>
      </c>
      <c r="M395" s="140">
        <f>IFERROR(__xludf.DUMMYFUNCTION("""COMPUTED_VALUE"""),466000.0)</f>
        <v>466000</v>
      </c>
      <c r="N395" s="140" t="str">
        <f>IFERROR(__xludf.DUMMYFUNCTION("""COMPUTED_VALUE"""),"")</f>
        <v/>
      </c>
    </row>
    <row r="396">
      <c r="A396" s="143">
        <f>IFERROR(__xludf.DUMMYFUNCTION("""COMPUTED_VALUE"""),42766.0)</f>
        <v>42766</v>
      </c>
      <c r="B396" s="140">
        <f>IFERROR(__xludf.DUMMYFUNCTION("""COMPUTED_VALUE"""),278611.0)</f>
        <v>278611</v>
      </c>
      <c r="C396" s="140" t="str">
        <f>IFERROR(__xludf.DUMMYFUNCTION("""COMPUTED_VALUE"""),"#N/A")</f>
        <v>#N/A</v>
      </c>
      <c r="D396" t="str">
        <f>IFERROR(__xludf.DUMMYFUNCTION("""COMPUTED_VALUE"""),"Digital Marketing Institute")</f>
        <v>Digital Marketing Institute</v>
      </c>
      <c r="G396" t="str">
        <f>IFERROR(__xludf.DUMMYFUNCTION("""COMPUTED_VALUE"""),"Y")</f>
        <v>Y</v>
      </c>
      <c r="H396" t="str">
        <f>IFERROR(__xludf.DUMMYFUNCTION("""COMPUTED_VALUE"""),"Instructor Request")</f>
        <v>Instructor Request</v>
      </c>
      <c r="I396" t="str">
        <f>IFERROR(__xludf.DUMMYFUNCTION("""COMPUTED_VALUE"""),"Marketing")</f>
        <v>Marketing</v>
      </c>
      <c r="J396" t="str">
        <f>IFERROR(__xludf.DUMMYFUNCTION("""COMPUTED_VALUE"""),"Search Engine Optimization")</f>
        <v>Search Engine Optimization</v>
      </c>
      <c r="K396" s="140">
        <f>IFERROR(__xludf.DUMMYFUNCTION("""COMPUTED_VALUE"""),365176.0)</f>
        <v>365176</v>
      </c>
      <c r="L396" s="140" t="str">
        <f>IFERROR(__xludf.DUMMYFUNCTION("""COMPUTED_VALUE"""),"")</f>
        <v/>
      </c>
      <c r="M396" s="140">
        <f>IFERROR(__xludf.DUMMYFUNCTION("""COMPUTED_VALUE"""),466000.0)</f>
        <v>466000</v>
      </c>
      <c r="N396" s="140" t="str">
        <f>IFERROR(__xludf.DUMMYFUNCTION("""COMPUTED_VALUE"""),"")</f>
        <v/>
      </c>
    </row>
    <row r="397">
      <c r="A397" s="143">
        <f>IFERROR(__xludf.DUMMYFUNCTION("""COMPUTED_VALUE"""),42766.0)</f>
        <v>42766</v>
      </c>
      <c r="B397" s="140">
        <f>IFERROR(__xludf.DUMMYFUNCTION("""COMPUTED_VALUE"""),430048.0)</f>
        <v>430048</v>
      </c>
      <c r="C397" s="140" t="str">
        <f>IFERROR(__xludf.DUMMYFUNCTION("""COMPUTED_VALUE"""),"#N/A")</f>
        <v>#N/A</v>
      </c>
      <c r="D397" t="str">
        <f>IFERROR(__xludf.DUMMYFUNCTION("""COMPUTED_VALUE"""),"Digital Marketing Institute")</f>
        <v>Digital Marketing Institute</v>
      </c>
      <c r="G397" t="str">
        <f>IFERROR(__xludf.DUMMYFUNCTION("""COMPUTED_VALUE"""),"Y")</f>
        <v>Y</v>
      </c>
      <c r="H397" t="str">
        <f>IFERROR(__xludf.DUMMYFUNCTION("""COMPUTED_VALUE"""),"Instructor Request")</f>
        <v>Instructor Request</v>
      </c>
      <c r="I397" t="str">
        <f>IFERROR(__xludf.DUMMYFUNCTION("""COMPUTED_VALUE"""),"Marketing")</f>
        <v>Marketing</v>
      </c>
      <c r="J397" t="str">
        <f>IFERROR(__xludf.DUMMYFUNCTION("""COMPUTED_VALUE"""),"Search Engine Optimization")</f>
        <v>Search Engine Optimization</v>
      </c>
      <c r="K397" s="140">
        <f>IFERROR(__xludf.DUMMYFUNCTION("""COMPUTED_VALUE"""),365176.0)</f>
        <v>365176</v>
      </c>
      <c r="L397" s="140" t="str">
        <f>IFERROR(__xludf.DUMMYFUNCTION("""COMPUTED_VALUE"""),"")</f>
        <v/>
      </c>
      <c r="M397" s="140">
        <f>IFERROR(__xludf.DUMMYFUNCTION("""COMPUTED_VALUE"""),466000.0)</f>
        <v>466000</v>
      </c>
      <c r="N397" s="140" t="str">
        <f>IFERROR(__xludf.DUMMYFUNCTION("""COMPUTED_VALUE"""),"")</f>
        <v/>
      </c>
    </row>
    <row r="398">
      <c r="A398" s="143">
        <f>IFERROR(__xludf.DUMMYFUNCTION("""COMPUTED_VALUE"""),42766.0)</f>
        <v>42766</v>
      </c>
      <c r="B398" s="140">
        <f>IFERROR(__xludf.DUMMYFUNCTION("""COMPUTED_VALUE"""),429858.0)</f>
        <v>429858</v>
      </c>
      <c r="C398" s="140" t="str">
        <f>IFERROR(__xludf.DUMMYFUNCTION("""COMPUTED_VALUE"""),"#N/A")</f>
        <v>#N/A</v>
      </c>
      <c r="D398" t="str">
        <f>IFERROR(__xludf.DUMMYFUNCTION("""COMPUTED_VALUE"""),"Digital Marketing Institute")</f>
        <v>Digital Marketing Institute</v>
      </c>
      <c r="G398" t="str">
        <f>IFERROR(__xludf.DUMMYFUNCTION("""COMPUTED_VALUE"""),"Y")</f>
        <v>Y</v>
      </c>
      <c r="H398" t="str">
        <f>IFERROR(__xludf.DUMMYFUNCTION("""COMPUTED_VALUE"""),"Instructor Request")</f>
        <v>Instructor Request</v>
      </c>
      <c r="I398" t="str">
        <f>IFERROR(__xludf.DUMMYFUNCTION("""COMPUTED_VALUE"""),"Marketing")</f>
        <v>Marketing</v>
      </c>
      <c r="J398" t="str">
        <f>IFERROR(__xludf.DUMMYFUNCTION("""COMPUTED_VALUE"""),"Search Engine Optimization")</f>
        <v>Search Engine Optimization</v>
      </c>
      <c r="K398" s="140">
        <f>IFERROR(__xludf.DUMMYFUNCTION("""COMPUTED_VALUE"""),365176.0)</f>
        <v>365176</v>
      </c>
      <c r="L398" s="140" t="str">
        <f>IFERROR(__xludf.DUMMYFUNCTION("""COMPUTED_VALUE"""),"")</f>
        <v/>
      </c>
      <c r="M398" s="140">
        <f>IFERROR(__xludf.DUMMYFUNCTION("""COMPUTED_VALUE"""),466000.0)</f>
        <v>466000</v>
      </c>
      <c r="N398" s="140" t="str">
        <f>IFERROR(__xludf.DUMMYFUNCTION("""COMPUTED_VALUE"""),"")</f>
        <v/>
      </c>
    </row>
    <row r="399">
      <c r="A399" s="143">
        <f>IFERROR(__xludf.DUMMYFUNCTION("""COMPUTED_VALUE"""),42766.0)</f>
        <v>42766</v>
      </c>
      <c r="B399" s="140">
        <f>IFERROR(__xludf.DUMMYFUNCTION("""COMPUTED_VALUE"""),429772.0)</f>
        <v>429772</v>
      </c>
      <c r="C399" s="140" t="str">
        <f>IFERROR(__xludf.DUMMYFUNCTION("""COMPUTED_VALUE"""),"#N/A")</f>
        <v>#N/A</v>
      </c>
      <c r="D399" t="str">
        <f>IFERROR(__xludf.DUMMYFUNCTION("""COMPUTED_VALUE"""),"Digital Marketing Institute")</f>
        <v>Digital Marketing Institute</v>
      </c>
      <c r="G399" t="str">
        <f>IFERROR(__xludf.DUMMYFUNCTION("""COMPUTED_VALUE"""),"Y")</f>
        <v>Y</v>
      </c>
      <c r="H399" t="str">
        <f>IFERROR(__xludf.DUMMYFUNCTION("""COMPUTED_VALUE"""),"Instructor Request")</f>
        <v>Instructor Request</v>
      </c>
      <c r="I399" t="str">
        <f>IFERROR(__xludf.DUMMYFUNCTION("""COMPUTED_VALUE"""),"Marketing")</f>
        <v>Marketing</v>
      </c>
      <c r="J399" t="str">
        <f>IFERROR(__xludf.DUMMYFUNCTION("""COMPUTED_VALUE"""),"Search Engine Optimization")</f>
        <v>Search Engine Optimization</v>
      </c>
      <c r="K399" s="140">
        <f>IFERROR(__xludf.DUMMYFUNCTION("""COMPUTED_VALUE"""),365176.0)</f>
        <v>365176</v>
      </c>
      <c r="L399" s="140" t="str">
        <f>IFERROR(__xludf.DUMMYFUNCTION("""COMPUTED_VALUE"""),"")</f>
        <v/>
      </c>
      <c r="M399" s="140">
        <f>IFERROR(__xludf.DUMMYFUNCTION("""COMPUTED_VALUE"""),466000.0)</f>
        <v>466000</v>
      </c>
      <c r="N399" s="140" t="str">
        <f>IFERROR(__xludf.DUMMYFUNCTION("""COMPUTED_VALUE"""),"")</f>
        <v/>
      </c>
    </row>
    <row r="400">
      <c r="A400" s="143">
        <f>IFERROR(__xludf.DUMMYFUNCTION("""COMPUTED_VALUE"""),42766.0)</f>
        <v>42766</v>
      </c>
      <c r="B400" s="140">
        <f>IFERROR(__xludf.DUMMYFUNCTION("""COMPUTED_VALUE"""),429896.0)</f>
        <v>429896</v>
      </c>
      <c r="C400" s="140" t="str">
        <f>IFERROR(__xludf.DUMMYFUNCTION("""COMPUTED_VALUE"""),"#N/A")</f>
        <v>#N/A</v>
      </c>
      <c r="D400" t="str">
        <f>IFERROR(__xludf.DUMMYFUNCTION("""COMPUTED_VALUE"""),"Digital Marketing Institute")</f>
        <v>Digital Marketing Institute</v>
      </c>
      <c r="G400" t="str">
        <f>IFERROR(__xludf.DUMMYFUNCTION("""COMPUTED_VALUE"""),"Y")</f>
        <v>Y</v>
      </c>
      <c r="H400" t="str">
        <f>IFERROR(__xludf.DUMMYFUNCTION("""COMPUTED_VALUE"""),"Instructor Request")</f>
        <v>Instructor Request</v>
      </c>
      <c r="I400" t="str">
        <f>IFERROR(__xludf.DUMMYFUNCTION("""COMPUTED_VALUE"""),"Marketing")</f>
        <v>Marketing</v>
      </c>
      <c r="J400" t="str">
        <f>IFERROR(__xludf.DUMMYFUNCTION("""COMPUTED_VALUE"""),"Search Engine Optimization")</f>
        <v>Search Engine Optimization</v>
      </c>
      <c r="K400" s="140">
        <f>IFERROR(__xludf.DUMMYFUNCTION("""COMPUTED_VALUE"""),365176.0)</f>
        <v>365176</v>
      </c>
      <c r="L400" s="140" t="str">
        <f>IFERROR(__xludf.DUMMYFUNCTION("""COMPUTED_VALUE"""),"")</f>
        <v/>
      </c>
      <c r="M400" s="140">
        <f>IFERROR(__xludf.DUMMYFUNCTION("""COMPUTED_VALUE"""),466000.0)</f>
        <v>466000</v>
      </c>
      <c r="N400" s="140" t="str">
        <f>IFERROR(__xludf.DUMMYFUNCTION("""COMPUTED_VALUE"""),"")</f>
        <v/>
      </c>
    </row>
    <row r="401">
      <c r="A401" s="143">
        <f>IFERROR(__xludf.DUMMYFUNCTION("""COMPUTED_VALUE"""),42766.0)</f>
        <v>42766</v>
      </c>
      <c r="B401" s="140">
        <f>IFERROR(__xludf.DUMMYFUNCTION("""COMPUTED_VALUE"""),388414.0)</f>
        <v>388414</v>
      </c>
      <c r="C401" s="140" t="str">
        <f>IFERROR(__xludf.DUMMYFUNCTION("""COMPUTED_VALUE"""),"#N/A")</f>
        <v>#N/A</v>
      </c>
      <c r="D401" t="str">
        <f>IFERROR(__xludf.DUMMYFUNCTION("""COMPUTED_VALUE"""),"Digital Marketing Institute")</f>
        <v>Digital Marketing Institute</v>
      </c>
      <c r="G401" t="str">
        <f>IFERROR(__xludf.DUMMYFUNCTION("""COMPUTED_VALUE"""),"Y")</f>
        <v>Y</v>
      </c>
      <c r="H401" t="str">
        <f>IFERROR(__xludf.DUMMYFUNCTION("""COMPUTED_VALUE"""),"Instructor Request")</f>
        <v>Instructor Request</v>
      </c>
      <c r="I401" t="str">
        <f>IFERROR(__xludf.DUMMYFUNCTION("""COMPUTED_VALUE"""),"Marketing")</f>
        <v>Marketing</v>
      </c>
      <c r="J401" t="str">
        <f>IFERROR(__xludf.DUMMYFUNCTION("""COMPUTED_VALUE"""),"Social Media Marketing")</f>
        <v>Social Media Marketing</v>
      </c>
      <c r="K401" s="140">
        <f>IFERROR(__xludf.DUMMYFUNCTION("""COMPUTED_VALUE"""),403314.0)</f>
        <v>403314</v>
      </c>
      <c r="L401" s="140" t="str">
        <f>IFERROR(__xludf.DUMMYFUNCTION("""COMPUTED_VALUE"""),"")</f>
        <v/>
      </c>
      <c r="N401" s="140" t="str">
        <f>IFERROR(__xludf.DUMMYFUNCTION("""COMPUTED_VALUE"""),"")</f>
        <v/>
      </c>
    </row>
    <row r="402">
      <c r="A402" s="143">
        <f>IFERROR(__xludf.DUMMYFUNCTION("""COMPUTED_VALUE"""),42766.0)</f>
        <v>42766</v>
      </c>
      <c r="B402" s="140">
        <f>IFERROR(__xludf.DUMMYFUNCTION("""COMPUTED_VALUE"""),389326.0)</f>
        <v>389326</v>
      </c>
      <c r="C402" s="140" t="str">
        <f>IFERROR(__xludf.DUMMYFUNCTION("""COMPUTED_VALUE"""),"#N/A")</f>
        <v>#N/A</v>
      </c>
      <c r="D402" t="str">
        <f>IFERROR(__xludf.DUMMYFUNCTION("""COMPUTED_VALUE"""),"Digital Marketing Institute")</f>
        <v>Digital Marketing Institute</v>
      </c>
      <c r="G402" t="str">
        <f>IFERROR(__xludf.DUMMYFUNCTION("""COMPUTED_VALUE"""),"Y")</f>
        <v>Y</v>
      </c>
      <c r="H402" t="str">
        <f>IFERROR(__xludf.DUMMYFUNCTION("""COMPUTED_VALUE"""),"Instructor Request")</f>
        <v>Instructor Request</v>
      </c>
      <c r="I402" t="str">
        <f>IFERROR(__xludf.DUMMYFUNCTION("""COMPUTED_VALUE"""),"Marketing")</f>
        <v>Marketing</v>
      </c>
      <c r="J402" t="str">
        <f>IFERROR(__xludf.DUMMYFUNCTION("""COMPUTED_VALUE"""),"Social Media Marketing")</f>
        <v>Social Media Marketing</v>
      </c>
      <c r="K402" s="140">
        <f>IFERROR(__xludf.DUMMYFUNCTION("""COMPUTED_VALUE"""),573984.0)</f>
        <v>573984</v>
      </c>
      <c r="L402" s="140" t="str">
        <f>IFERROR(__xludf.DUMMYFUNCTION("""COMPUTED_VALUE"""),"")</f>
        <v/>
      </c>
      <c r="N402" s="140" t="str">
        <f>IFERROR(__xludf.DUMMYFUNCTION("""COMPUTED_VALUE"""),"")</f>
        <v/>
      </c>
    </row>
    <row r="403">
      <c r="A403" s="143">
        <f>IFERROR(__xludf.DUMMYFUNCTION("""COMPUTED_VALUE"""),42766.0)</f>
        <v>42766</v>
      </c>
      <c r="B403" s="140">
        <f>IFERROR(__xludf.DUMMYFUNCTION("""COMPUTED_VALUE"""),382998.0)</f>
        <v>382998</v>
      </c>
      <c r="C403" s="140" t="str">
        <f>IFERROR(__xludf.DUMMYFUNCTION("""COMPUTED_VALUE"""),"#N/A")</f>
        <v>#N/A</v>
      </c>
      <c r="D403" t="str">
        <f>IFERROR(__xludf.DUMMYFUNCTION("""COMPUTED_VALUE"""),"Digital Marketing Institute")</f>
        <v>Digital Marketing Institute</v>
      </c>
      <c r="G403" t="str">
        <f>IFERROR(__xludf.DUMMYFUNCTION("""COMPUTED_VALUE"""),"Y")</f>
        <v>Y</v>
      </c>
      <c r="H403" t="str">
        <f>IFERROR(__xludf.DUMMYFUNCTION("""COMPUTED_VALUE"""),"Instructor Request")</f>
        <v>Instructor Request</v>
      </c>
      <c r="I403" t="str">
        <f>IFERROR(__xludf.DUMMYFUNCTION("""COMPUTED_VALUE"""),"Marketing")</f>
        <v>Marketing</v>
      </c>
      <c r="J403" t="str">
        <f>IFERROR(__xludf.DUMMYFUNCTION("""COMPUTED_VALUE"""),"Social Media Marketing")</f>
        <v>Social Media Marketing</v>
      </c>
      <c r="K403" s="140">
        <f>IFERROR(__xludf.DUMMYFUNCTION("""COMPUTED_VALUE"""),573984.0)</f>
        <v>573984</v>
      </c>
      <c r="L403" s="140" t="str">
        <f>IFERROR(__xludf.DUMMYFUNCTION("""COMPUTED_VALUE"""),"")</f>
        <v/>
      </c>
      <c r="N403" s="140" t="str">
        <f>IFERROR(__xludf.DUMMYFUNCTION("""COMPUTED_VALUE"""),"")</f>
        <v/>
      </c>
    </row>
    <row r="404">
      <c r="A404" s="143">
        <f>IFERROR(__xludf.DUMMYFUNCTION("""COMPUTED_VALUE"""),42766.0)</f>
        <v>42766</v>
      </c>
      <c r="B404" s="140">
        <f>IFERROR(__xludf.DUMMYFUNCTION("""COMPUTED_VALUE"""),388670.0)</f>
        <v>388670</v>
      </c>
      <c r="C404" s="140" t="str">
        <f>IFERROR(__xludf.DUMMYFUNCTION("""COMPUTED_VALUE"""),"#N/A")</f>
        <v>#N/A</v>
      </c>
      <c r="D404" t="str">
        <f>IFERROR(__xludf.DUMMYFUNCTION("""COMPUTED_VALUE"""),"Digital Marketing Institute")</f>
        <v>Digital Marketing Institute</v>
      </c>
      <c r="G404" t="str">
        <f>IFERROR(__xludf.DUMMYFUNCTION("""COMPUTED_VALUE"""),"Y")</f>
        <v>Y</v>
      </c>
      <c r="H404" t="str">
        <f>IFERROR(__xludf.DUMMYFUNCTION("""COMPUTED_VALUE"""),"Instructor Request")</f>
        <v>Instructor Request</v>
      </c>
      <c r="I404" t="str">
        <f>IFERROR(__xludf.DUMMYFUNCTION("""COMPUTED_VALUE"""),"Marketing")</f>
        <v>Marketing</v>
      </c>
      <c r="J404" t="str">
        <f>IFERROR(__xludf.DUMMYFUNCTION("""COMPUTED_VALUE"""),"Social Media Marketing")</f>
        <v>Social Media Marketing</v>
      </c>
      <c r="K404" s="140">
        <f>IFERROR(__xludf.DUMMYFUNCTION("""COMPUTED_VALUE"""),573984.0)</f>
        <v>573984</v>
      </c>
      <c r="L404" s="140" t="str">
        <f>IFERROR(__xludf.DUMMYFUNCTION("""COMPUTED_VALUE"""),"")</f>
        <v/>
      </c>
      <c r="N404" s="140" t="str">
        <f>IFERROR(__xludf.DUMMYFUNCTION("""COMPUTED_VALUE"""),"")</f>
        <v/>
      </c>
    </row>
    <row r="405">
      <c r="A405" s="143">
        <f>IFERROR(__xludf.DUMMYFUNCTION("""COMPUTED_VALUE"""),42766.0)</f>
        <v>42766</v>
      </c>
      <c r="B405" s="140">
        <f>IFERROR(__xludf.DUMMYFUNCTION("""COMPUTED_VALUE"""),293786.0)</f>
        <v>293786</v>
      </c>
      <c r="C405" s="140" t="str">
        <f>IFERROR(__xludf.DUMMYFUNCTION("""COMPUTED_VALUE"""),"#N/A")</f>
        <v>#N/A</v>
      </c>
      <c r="D405" t="str">
        <f>IFERROR(__xludf.DUMMYFUNCTION("""COMPUTED_VALUE"""),"Digital Marketing Institute")</f>
        <v>Digital Marketing Institute</v>
      </c>
      <c r="G405" t="str">
        <f>IFERROR(__xludf.DUMMYFUNCTION("""COMPUTED_VALUE"""),"Y")</f>
        <v>Y</v>
      </c>
      <c r="H405" t="str">
        <f>IFERROR(__xludf.DUMMYFUNCTION("""COMPUTED_VALUE"""),"Instructor Request")</f>
        <v>Instructor Request</v>
      </c>
      <c r="I405" t="str">
        <f>IFERROR(__xludf.DUMMYFUNCTION("""COMPUTED_VALUE"""),"Marketing")</f>
        <v>Marketing</v>
      </c>
      <c r="J405" t="str">
        <f>IFERROR(__xludf.DUMMYFUNCTION("""COMPUTED_VALUE"""),"Social Media Marketing")</f>
        <v>Social Media Marketing</v>
      </c>
      <c r="K405" s="140">
        <f>IFERROR(__xludf.DUMMYFUNCTION("""COMPUTED_VALUE"""),573984.0)</f>
        <v>573984</v>
      </c>
      <c r="L405" s="140" t="str">
        <f>IFERROR(__xludf.DUMMYFUNCTION("""COMPUTED_VALUE"""),"")</f>
        <v/>
      </c>
      <c r="N405" s="140" t="str">
        <f>IFERROR(__xludf.DUMMYFUNCTION("""COMPUTED_VALUE"""),"")</f>
        <v/>
      </c>
    </row>
    <row r="406">
      <c r="A406" s="143">
        <f>IFERROR(__xludf.DUMMYFUNCTION("""COMPUTED_VALUE"""),42766.0)</f>
        <v>42766</v>
      </c>
      <c r="B406" s="140">
        <f>IFERROR(__xludf.DUMMYFUNCTION("""COMPUTED_VALUE"""),389374.0)</f>
        <v>389374</v>
      </c>
      <c r="C406" s="140" t="str">
        <f>IFERROR(__xludf.DUMMYFUNCTION("""COMPUTED_VALUE"""),"#N/A")</f>
        <v>#N/A</v>
      </c>
      <c r="D406" t="str">
        <f>IFERROR(__xludf.DUMMYFUNCTION("""COMPUTED_VALUE"""),"Digital Marketing Institute")</f>
        <v>Digital Marketing Institute</v>
      </c>
      <c r="G406" t="str">
        <f>IFERROR(__xludf.DUMMYFUNCTION("""COMPUTED_VALUE"""),"Y")</f>
        <v>Y</v>
      </c>
      <c r="H406" t="str">
        <f>IFERROR(__xludf.DUMMYFUNCTION("""COMPUTED_VALUE"""),"Instructor Request")</f>
        <v>Instructor Request</v>
      </c>
      <c r="I406" t="str">
        <f>IFERROR(__xludf.DUMMYFUNCTION("""COMPUTED_VALUE"""),"Marketing")</f>
        <v>Marketing</v>
      </c>
      <c r="J406" t="str">
        <f>IFERROR(__xludf.DUMMYFUNCTION("""COMPUTED_VALUE"""),"Social Media Marketing")</f>
        <v>Social Media Marketing</v>
      </c>
      <c r="K406" s="140">
        <f>IFERROR(__xludf.DUMMYFUNCTION("""COMPUTED_VALUE"""),959128.0)</f>
        <v>959128</v>
      </c>
      <c r="L406" s="140" t="str">
        <f>IFERROR(__xludf.DUMMYFUNCTION("""COMPUTED_VALUE"""),"")</f>
        <v/>
      </c>
      <c r="N406" s="140" t="str">
        <f>IFERROR(__xludf.DUMMYFUNCTION("""COMPUTED_VALUE"""),"")</f>
        <v/>
      </c>
    </row>
    <row r="407">
      <c r="A407" s="143">
        <f>IFERROR(__xludf.DUMMYFUNCTION("""COMPUTED_VALUE"""),42766.0)</f>
        <v>42766</v>
      </c>
      <c r="B407" s="140">
        <f>IFERROR(__xludf.DUMMYFUNCTION("""COMPUTED_VALUE"""),389402.0)</f>
        <v>389402</v>
      </c>
      <c r="C407" s="140" t="str">
        <f>IFERROR(__xludf.DUMMYFUNCTION("""COMPUTED_VALUE"""),"#N/A")</f>
        <v>#N/A</v>
      </c>
      <c r="D407" t="str">
        <f>IFERROR(__xludf.DUMMYFUNCTION("""COMPUTED_VALUE"""),"Digital Marketing Institute")</f>
        <v>Digital Marketing Institute</v>
      </c>
      <c r="G407" t="str">
        <f>IFERROR(__xludf.DUMMYFUNCTION("""COMPUTED_VALUE"""),"Y")</f>
        <v>Y</v>
      </c>
      <c r="H407" t="str">
        <f>IFERROR(__xludf.DUMMYFUNCTION("""COMPUTED_VALUE"""),"Instructor Request")</f>
        <v>Instructor Request</v>
      </c>
      <c r="I407" t="str">
        <f>IFERROR(__xludf.DUMMYFUNCTION("""COMPUTED_VALUE"""),"Marketing")</f>
        <v>Marketing</v>
      </c>
      <c r="J407" t="str">
        <f>IFERROR(__xludf.DUMMYFUNCTION("""COMPUTED_VALUE"""),"Social Media Marketing")</f>
        <v>Social Media Marketing</v>
      </c>
      <c r="K407" s="140">
        <f>IFERROR(__xludf.DUMMYFUNCTION("""COMPUTED_VALUE"""),959128.0)</f>
        <v>959128</v>
      </c>
      <c r="L407" s="140" t="str">
        <f>IFERROR(__xludf.DUMMYFUNCTION("""COMPUTED_VALUE"""),"")</f>
        <v/>
      </c>
      <c r="N407" s="140" t="str">
        <f>IFERROR(__xludf.DUMMYFUNCTION("""COMPUTED_VALUE"""),"")</f>
        <v/>
      </c>
    </row>
    <row r="408">
      <c r="A408" s="143">
        <f>IFERROR(__xludf.DUMMYFUNCTION("""COMPUTED_VALUE"""),42766.0)</f>
        <v>42766</v>
      </c>
      <c r="B408" s="140">
        <f>IFERROR(__xludf.DUMMYFUNCTION("""COMPUTED_VALUE"""),388614.0)</f>
        <v>388614</v>
      </c>
      <c r="C408" s="140" t="str">
        <f>IFERROR(__xludf.DUMMYFUNCTION("""COMPUTED_VALUE"""),"#N/A")</f>
        <v>#N/A</v>
      </c>
      <c r="D408" t="str">
        <f>IFERROR(__xludf.DUMMYFUNCTION("""COMPUTED_VALUE"""),"Digital Marketing Institute")</f>
        <v>Digital Marketing Institute</v>
      </c>
      <c r="G408" t="str">
        <f>IFERROR(__xludf.DUMMYFUNCTION("""COMPUTED_VALUE"""),"Y")</f>
        <v>Y</v>
      </c>
      <c r="H408" t="str">
        <f>IFERROR(__xludf.DUMMYFUNCTION("""COMPUTED_VALUE"""),"Instructor Request")</f>
        <v>Instructor Request</v>
      </c>
      <c r="I408" t="str">
        <f>IFERROR(__xludf.DUMMYFUNCTION("""COMPUTED_VALUE"""),"Marketing")</f>
        <v>Marketing</v>
      </c>
      <c r="J408" t="str">
        <f>IFERROR(__xludf.DUMMYFUNCTION("""COMPUTED_VALUE"""),"Social Media Marketing")</f>
        <v>Social Media Marketing</v>
      </c>
      <c r="K408" s="140">
        <f>IFERROR(__xludf.DUMMYFUNCTION("""COMPUTED_VALUE"""),573984.0)</f>
        <v>573984</v>
      </c>
      <c r="L408" s="140" t="str">
        <f>IFERROR(__xludf.DUMMYFUNCTION("""COMPUTED_VALUE"""),"")</f>
        <v/>
      </c>
      <c r="N408" s="140" t="str">
        <f>IFERROR(__xludf.DUMMYFUNCTION("""COMPUTED_VALUE"""),"")</f>
        <v/>
      </c>
    </row>
    <row r="409">
      <c r="A409" s="143">
        <f>IFERROR(__xludf.DUMMYFUNCTION("""COMPUTED_VALUE"""),42766.0)</f>
        <v>42766</v>
      </c>
      <c r="B409" s="140">
        <f>IFERROR(__xludf.DUMMYFUNCTION("""COMPUTED_VALUE"""),626296.0)</f>
        <v>626296</v>
      </c>
      <c r="C409" s="140" t="str">
        <f>IFERROR(__xludf.DUMMYFUNCTION("""COMPUTED_VALUE"""),"#N/A")</f>
        <v>#N/A</v>
      </c>
      <c r="D409" t="str">
        <f>IFERROR(__xludf.DUMMYFUNCTION("""COMPUTED_VALUE"""),"Danilo Tambone")</f>
        <v>Danilo Tambone</v>
      </c>
      <c r="G409" t="str">
        <f>IFERROR(__xludf.DUMMYFUNCTION("""COMPUTED_VALUE"""),"Y")</f>
        <v>Y</v>
      </c>
      <c r="H409" t="str">
        <f>IFERROR(__xludf.DUMMYFUNCTION("""COMPUTED_VALUE"""),"Instructor Request")</f>
        <v>Instructor Request</v>
      </c>
      <c r="I409" t="str">
        <f>IFERROR(__xludf.DUMMYFUNCTION("""COMPUTED_VALUE"""),"Project Management and Operations")</f>
        <v>Project Management and Operations</v>
      </c>
      <c r="J409" t="str">
        <f>IFERROR(__xludf.DUMMYFUNCTION("""COMPUTED_VALUE"""),"Project Management Certifications")</f>
        <v>Project Management Certifications</v>
      </c>
      <c r="K409" s="140">
        <f>IFERROR(__xludf.DUMMYFUNCTION("""COMPUTED_VALUE"""),1361790.0)</f>
        <v>1361790</v>
      </c>
      <c r="L409" s="140" t="str">
        <f>IFERROR(__xludf.DUMMYFUNCTION("""COMPUTED_VALUE"""),"")</f>
        <v/>
      </c>
      <c r="N409" s="140" t="str">
        <f>IFERROR(__xludf.DUMMYFUNCTION("""COMPUTED_VALUE"""),"")</f>
        <v/>
      </c>
    </row>
    <row r="410">
      <c r="A410" s="143">
        <f>IFERROR(__xludf.DUMMYFUNCTION("""COMPUTED_VALUE"""),42741.0)</f>
        <v>42741</v>
      </c>
      <c r="B410" s="140">
        <f>IFERROR(__xludf.DUMMYFUNCTION("""COMPUTED_VALUE"""),703126.0)</f>
        <v>703126</v>
      </c>
      <c r="C410" s="140" t="str">
        <f>IFERROR(__xludf.DUMMYFUNCTION("""COMPUTED_VALUE"""),"#N/A")</f>
        <v>#N/A</v>
      </c>
      <c r="D410" t="str">
        <f>IFERROR(__xludf.DUMMYFUNCTION("""COMPUTED_VALUE"""),"Train Simple")</f>
        <v>Train Simple</v>
      </c>
      <c r="G410" t="str">
        <f>IFERROR(__xludf.DUMMYFUNCTION("""COMPUTED_VALUE"""),"Y")</f>
        <v>Y</v>
      </c>
      <c r="H410" t="str">
        <f>IFERROR(__xludf.DUMMYFUNCTION("""COMPUTED_VALUE"""),"Instructor Request")</f>
        <v>Instructor Request</v>
      </c>
      <c r="I410" t="str">
        <f>IFERROR(__xludf.DUMMYFUNCTION("""COMPUTED_VALUE"""),"Design")</f>
        <v>Design</v>
      </c>
      <c r="J410" t="str">
        <f>IFERROR(__xludf.DUMMYFUNCTION("""COMPUTED_VALUE"""),"3D and Animation")</f>
        <v>3D and Animation</v>
      </c>
      <c r="L410" s="140" t="str">
        <f>IFERROR(__xludf.DUMMYFUNCTION("""COMPUTED_VALUE"""),"")</f>
        <v/>
      </c>
      <c r="N410" s="140" t="str">
        <f>IFERROR(__xludf.DUMMYFUNCTION("""COMPUTED_VALUE"""),"")</f>
        <v/>
      </c>
    </row>
    <row r="411">
      <c r="A411" s="143">
        <f>IFERROR(__xludf.DUMMYFUNCTION("""COMPUTED_VALUE"""),42741.0)</f>
        <v>42741</v>
      </c>
      <c r="B411" s="140">
        <f>IFERROR(__xludf.DUMMYFUNCTION("""COMPUTED_VALUE"""),703142.0)</f>
        <v>703142</v>
      </c>
      <c r="C411" s="140" t="str">
        <f>IFERROR(__xludf.DUMMYFUNCTION("""COMPUTED_VALUE"""),"#N/A")</f>
        <v>#N/A</v>
      </c>
      <c r="D411" t="str">
        <f>IFERROR(__xludf.DUMMYFUNCTION("""COMPUTED_VALUE"""),"Train Simple")</f>
        <v>Train Simple</v>
      </c>
      <c r="G411" t="str">
        <f>IFERROR(__xludf.DUMMYFUNCTION("""COMPUTED_VALUE"""),"Y")</f>
        <v>Y</v>
      </c>
      <c r="H411" t="str">
        <f>IFERROR(__xludf.DUMMYFUNCTION("""COMPUTED_VALUE"""),"Instructor Request")</f>
        <v>Instructor Request</v>
      </c>
      <c r="I411" t="str">
        <f>IFERROR(__xludf.DUMMYFUNCTION("""COMPUTED_VALUE"""),"Design")</f>
        <v>Design</v>
      </c>
      <c r="J411" t="str">
        <f>IFERROR(__xludf.DUMMYFUNCTION("""COMPUTED_VALUE"""),"3D and Animation")</f>
        <v>3D and Animation</v>
      </c>
      <c r="L411" s="140" t="str">
        <f>IFERROR(__xludf.DUMMYFUNCTION("""COMPUTED_VALUE"""),"")</f>
        <v/>
      </c>
      <c r="N411" s="140" t="str">
        <f>IFERROR(__xludf.DUMMYFUNCTION("""COMPUTED_VALUE"""),"")</f>
        <v/>
      </c>
    </row>
    <row r="412">
      <c r="A412" s="143">
        <f>IFERROR(__xludf.DUMMYFUNCTION("""COMPUTED_VALUE"""),42741.0)</f>
        <v>42741</v>
      </c>
      <c r="B412" s="140">
        <f>IFERROR(__xludf.DUMMYFUNCTION("""COMPUTED_VALUE"""),701036.0)</f>
        <v>701036</v>
      </c>
      <c r="C412" s="140" t="str">
        <f>IFERROR(__xludf.DUMMYFUNCTION("""COMPUTED_VALUE"""),"#N/A")</f>
        <v>#N/A</v>
      </c>
      <c r="D412" t="str">
        <f>IFERROR(__xludf.DUMMYFUNCTION("""COMPUTED_VALUE"""),"Train Simple")</f>
        <v>Train Simple</v>
      </c>
      <c r="G412" t="str">
        <f>IFERROR(__xludf.DUMMYFUNCTION("""COMPUTED_VALUE"""),"Y")</f>
        <v>Y</v>
      </c>
      <c r="H412" t="str">
        <f>IFERROR(__xludf.DUMMYFUNCTION("""COMPUTED_VALUE"""),"Instructor Request")</f>
        <v>Instructor Request</v>
      </c>
      <c r="I412" t="str">
        <f>IFERROR(__xludf.DUMMYFUNCTION("""COMPUTED_VALUE"""),"Design")</f>
        <v>Design</v>
      </c>
      <c r="J412" t="str">
        <f>IFERROR(__xludf.DUMMYFUNCTION("""COMPUTED_VALUE"""),"Graphic Design")</f>
        <v>Graphic Design</v>
      </c>
      <c r="L412" s="140" t="str">
        <f>IFERROR(__xludf.DUMMYFUNCTION("""COMPUTED_VALUE"""),"")</f>
        <v/>
      </c>
      <c r="N412" s="140" t="str">
        <f>IFERROR(__xludf.DUMMYFUNCTION("""COMPUTED_VALUE"""),"")</f>
        <v/>
      </c>
    </row>
    <row r="413">
      <c r="A413" s="143">
        <f>IFERROR(__xludf.DUMMYFUNCTION("""COMPUTED_VALUE"""),42741.0)</f>
        <v>42741</v>
      </c>
      <c r="B413" s="140">
        <f>IFERROR(__xludf.DUMMYFUNCTION("""COMPUTED_VALUE"""),698450.0)</f>
        <v>698450</v>
      </c>
      <c r="C413" s="140" t="str">
        <f>IFERROR(__xludf.DUMMYFUNCTION("""COMPUTED_VALUE"""),"#N/A")</f>
        <v>#N/A</v>
      </c>
      <c r="D413" t="str">
        <f>IFERROR(__xludf.DUMMYFUNCTION("""COMPUTED_VALUE"""),"Train Simple")</f>
        <v>Train Simple</v>
      </c>
      <c r="G413" t="str">
        <f>IFERROR(__xludf.DUMMYFUNCTION("""COMPUTED_VALUE"""),"Y")</f>
        <v>Y</v>
      </c>
      <c r="H413" t="str">
        <f>IFERROR(__xludf.DUMMYFUNCTION("""COMPUTED_VALUE"""),"Instructor Request")</f>
        <v>Instructor Request</v>
      </c>
      <c r="I413" t="str">
        <f>IFERROR(__xludf.DUMMYFUNCTION("""COMPUTED_VALUE"""),"Design")</f>
        <v>Design</v>
      </c>
      <c r="J413" t="str">
        <f>IFERROR(__xludf.DUMMYFUNCTION("""COMPUTED_VALUE"""),"Graphic Design")</f>
        <v>Graphic Design</v>
      </c>
      <c r="L413" s="140" t="str">
        <f>IFERROR(__xludf.DUMMYFUNCTION("""COMPUTED_VALUE"""),"")</f>
        <v/>
      </c>
      <c r="N413" s="140" t="str">
        <f>IFERROR(__xludf.DUMMYFUNCTION("""COMPUTED_VALUE"""),"")</f>
        <v/>
      </c>
    </row>
    <row r="414">
      <c r="A414" s="143">
        <f>IFERROR(__xludf.DUMMYFUNCTION("""COMPUTED_VALUE"""),42741.0)</f>
        <v>42741</v>
      </c>
      <c r="B414" s="140">
        <f>IFERROR(__xludf.DUMMYFUNCTION("""COMPUTED_VALUE"""),702982.0)</f>
        <v>702982</v>
      </c>
      <c r="C414" s="140" t="str">
        <f>IFERROR(__xludf.DUMMYFUNCTION("""COMPUTED_VALUE"""),"#N/A")</f>
        <v>#N/A</v>
      </c>
      <c r="D414" t="str">
        <f>IFERROR(__xludf.DUMMYFUNCTION("""COMPUTED_VALUE"""),"Train Simple")</f>
        <v>Train Simple</v>
      </c>
      <c r="G414" t="str">
        <f>IFERROR(__xludf.DUMMYFUNCTION("""COMPUTED_VALUE"""),"Y")</f>
        <v>Y</v>
      </c>
      <c r="H414" t="str">
        <f>IFERROR(__xludf.DUMMYFUNCTION("""COMPUTED_VALUE"""),"Instructor Request")</f>
        <v>Instructor Request</v>
      </c>
      <c r="I414" t="str">
        <f>IFERROR(__xludf.DUMMYFUNCTION("""COMPUTED_VALUE"""),"Design")</f>
        <v>Design</v>
      </c>
      <c r="J414" t="str">
        <f>IFERROR(__xludf.DUMMYFUNCTION("""COMPUTED_VALUE"""),"Graphic Design")</f>
        <v>Graphic Design</v>
      </c>
      <c r="L414" s="140" t="str">
        <f>IFERROR(__xludf.DUMMYFUNCTION("""COMPUTED_VALUE"""),"")</f>
        <v/>
      </c>
      <c r="N414" s="140" t="str">
        <f>IFERROR(__xludf.DUMMYFUNCTION("""COMPUTED_VALUE"""),"")</f>
        <v/>
      </c>
    </row>
    <row r="415">
      <c r="A415" s="143">
        <f>IFERROR(__xludf.DUMMYFUNCTION("""COMPUTED_VALUE"""),42741.0)</f>
        <v>42741</v>
      </c>
      <c r="B415" s="140">
        <f>IFERROR(__xludf.DUMMYFUNCTION("""COMPUTED_VALUE"""),703152.0)</f>
        <v>703152</v>
      </c>
      <c r="C415" s="140" t="str">
        <f>IFERROR(__xludf.DUMMYFUNCTION("""COMPUTED_VALUE"""),"#N/A")</f>
        <v>#N/A</v>
      </c>
      <c r="D415" t="str">
        <f>IFERROR(__xludf.DUMMYFUNCTION("""COMPUTED_VALUE"""),"Train Simple")</f>
        <v>Train Simple</v>
      </c>
      <c r="G415" t="str">
        <f>IFERROR(__xludf.DUMMYFUNCTION("""COMPUTED_VALUE"""),"Y")</f>
        <v>Y</v>
      </c>
      <c r="H415" t="str">
        <f>IFERROR(__xludf.DUMMYFUNCTION("""COMPUTED_VALUE"""),"Instructor Request")</f>
        <v>Instructor Request</v>
      </c>
      <c r="I415" t="str">
        <f>IFERROR(__xludf.DUMMYFUNCTION("""COMPUTED_VALUE"""),"Design")</f>
        <v>Design</v>
      </c>
      <c r="J415" t="str">
        <f>IFERROR(__xludf.DUMMYFUNCTION("""COMPUTED_VALUE"""),"Graphic Design")</f>
        <v>Graphic Design</v>
      </c>
      <c r="L415" s="140" t="str">
        <f>IFERROR(__xludf.DUMMYFUNCTION("""COMPUTED_VALUE"""),"")</f>
        <v/>
      </c>
      <c r="N415" s="140" t="str">
        <f>IFERROR(__xludf.DUMMYFUNCTION("""COMPUTED_VALUE"""),"")</f>
        <v/>
      </c>
    </row>
    <row r="416">
      <c r="A416" s="143">
        <f>IFERROR(__xludf.DUMMYFUNCTION("""COMPUTED_VALUE"""),42741.0)</f>
        <v>42741</v>
      </c>
      <c r="B416" s="140">
        <f>IFERROR(__xludf.DUMMYFUNCTION("""COMPUTED_VALUE"""),703240.0)</f>
        <v>703240</v>
      </c>
      <c r="C416" s="140" t="str">
        <f>IFERROR(__xludf.DUMMYFUNCTION("""COMPUTED_VALUE"""),"#N/A")</f>
        <v>#N/A</v>
      </c>
      <c r="D416" t="str">
        <f>IFERROR(__xludf.DUMMYFUNCTION("""COMPUTED_VALUE"""),"Train Simple")</f>
        <v>Train Simple</v>
      </c>
      <c r="G416" t="str">
        <f>IFERROR(__xludf.DUMMYFUNCTION("""COMPUTED_VALUE"""),"Y")</f>
        <v>Y</v>
      </c>
      <c r="H416" t="str">
        <f>IFERROR(__xludf.DUMMYFUNCTION("""COMPUTED_VALUE"""),"Instructor Request")</f>
        <v>Instructor Request</v>
      </c>
      <c r="I416" t="str">
        <f>IFERROR(__xludf.DUMMYFUNCTION("""COMPUTED_VALUE"""),"Design")</f>
        <v>Design</v>
      </c>
      <c r="J416" t="str">
        <f>IFERROR(__xludf.DUMMYFUNCTION("""COMPUTED_VALUE"""),"Graphic Design")</f>
        <v>Graphic Design</v>
      </c>
      <c r="L416" s="140" t="str">
        <f>IFERROR(__xludf.DUMMYFUNCTION("""COMPUTED_VALUE"""),"")</f>
        <v/>
      </c>
      <c r="N416" s="140" t="str">
        <f>IFERROR(__xludf.DUMMYFUNCTION("""COMPUTED_VALUE"""),"")</f>
        <v/>
      </c>
    </row>
    <row r="417">
      <c r="A417" s="143">
        <f>IFERROR(__xludf.DUMMYFUNCTION("""COMPUTED_VALUE"""),42741.0)</f>
        <v>42741</v>
      </c>
      <c r="B417" s="140">
        <f>IFERROR(__xludf.DUMMYFUNCTION("""COMPUTED_VALUE"""),720838.0)</f>
        <v>720838</v>
      </c>
      <c r="C417" s="140" t="str">
        <f>IFERROR(__xludf.DUMMYFUNCTION("""COMPUTED_VALUE"""),"#N/A")</f>
        <v>#N/A</v>
      </c>
      <c r="D417" t="str">
        <f>IFERROR(__xludf.DUMMYFUNCTION("""COMPUTED_VALUE"""),"Train Simple")</f>
        <v>Train Simple</v>
      </c>
      <c r="G417" t="str">
        <f>IFERROR(__xludf.DUMMYFUNCTION("""COMPUTED_VALUE"""),"Y")</f>
        <v>Y</v>
      </c>
      <c r="H417" t="str">
        <f>IFERROR(__xludf.DUMMYFUNCTION("""COMPUTED_VALUE"""),"Instructor Request")</f>
        <v>Instructor Request</v>
      </c>
      <c r="I417" t="str">
        <f>IFERROR(__xludf.DUMMYFUNCTION("""COMPUTED_VALUE"""),"Design")</f>
        <v>Design</v>
      </c>
      <c r="J417" t="str">
        <f>IFERROR(__xludf.DUMMYFUNCTION("""COMPUTED_VALUE"""),"Graphic Design")</f>
        <v>Graphic Design</v>
      </c>
      <c r="L417" s="140" t="str">
        <f>IFERROR(__xludf.DUMMYFUNCTION("""COMPUTED_VALUE"""),"")</f>
        <v/>
      </c>
      <c r="N417" s="140" t="str">
        <f>IFERROR(__xludf.DUMMYFUNCTION("""COMPUTED_VALUE"""),"")</f>
        <v/>
      </c>
    </row>
    <row r="418">
      <c r="A418" s="143">
        <f>IFERROR(__xludf.DUMMYFUNCTION("""COMPUTED_VALUE"""),42741.0)</f>
        <v>42741</v>
      </c>
      <c r="B418" s="140">
        <f>IFERROR(__xludf.DUMMYFUNCTION("""COMPUTED_VALUE"""),692050.0)</f>
        <v>692050</v>
      </c>
      <c r="C418" s="140" t="str">
        <f>IFERROR(__xludf.DUMMYFUNCTION("""COMPUTED_VALUE"""),"#N/A")</f>
        <v>#N/A</v>
      </c>
      <c r="D418" t="str">
        <f>IFERROR(__xludf.DUMMYFUNCTION("""COMPUTED_VALUE"""),"Train Simple")</f>
        <v>Train Simple</v>
      </c>
      <c r="G418" t="str">
        <f>IFERROR(__xludf.DUMMYFUNCTION("""COMPUTED_VALUE"""),"Y")</f>
        <v>Y</v>
      </c>
      <c r="H418" t="str">
        <f>IFERROR(__xludf.DUMMYFUNCTION("""COMPUTED_VALUE"""),"Instructor Request")</f>
        <v>Instructor Request</v>
      </c>
      <c r="I418" t="str">
        <f>IFERROR(__xludf.DUMMYFUNCTION("""COMPUTED_VALUE"""),"Design")</f>
        <v>Design</v>
      </c>
      <c r="J418" t="str">
        <f>IFERROR(__xludf.DUMMYFUNCTION("""COMPUTED_VALUE"""),"Graphic Design")</f>
        <v>Graphic Design</v>
      </c>
      <c r="L418" s="140" t="str">
        <f>IFERROR(__xludf.DUMMYFUNCTION("""COMPUTED_VALUE"""),"")</f>
        <v/>
      </c>
      <c r="N418" s="140" t="str">
        <f>IFERROR(__xludf.DUMMYFUNCTION("""COMPUTED_VALUE"""),"")</f>
        <v/>
      </c>
    </row>
    <row r="419">
      <c r="A419" s="143">
        <f>IFERROR(__xludf.DUMMYFUNCTION("""COMPUTED_VALUE"""),42741.0)</f>
        <v>42741</v>
      </c>
      <c r="B419" s="140">
        <f>IFERROR(__xludf.DUMMYFUNCTION("""COMPUTED_VALUE"""),350334.0)</f>
        <v>350334</v>
      </c>
      <c r="C419" s="140" t="str">
        <f>IFERROR(__xludf.DUMMYFUNCTION("""COMPUTED_VALUE"""),"#N/A")</f>
        <v>#N/A</v>
      </c>
      <c r="D419" t="str">
        <f>IFERROR(__xludf.DUMMYFUNCTION("""COMPUTED_VALUE"""),"Train Simple")</f>
        <v>Train Simple</v>
      </c>
      <c r="G419" t="str">
        <f>IFERROR(__xludf.DUMMYFUNCTION("""COMPUTED_VALUE"""),"Y")</f>
        <v>Y</v>
      </c>
      <c r="H419" t="str">
        <f>IFERROR(__xludf.DUMMYFUNCTION("""COMPUTED_VALUE"""),"Instructor Request")</f>
        <v>Instructor Request</v>
      </c>
      <c r="I419" t="str">
        <f>IFERROR(__xludf.DUMMYFUNCTION("""COMPUTED_VALUE"""),"Design")</f>
        <v>Design</v>
      </c>
      <c r="J419" t="str">
        <f>IFERROR(__xludf.DUMMYFUNCTION("""COMPUTED_VALUE"""),"Graphic Design")</f>
        <v>Graphic Design</v>
      </c>
      <c r="L419" s="140" t="str">
        <f>IFERROR(__xludf.DUMMYFUNCTION("""COMPUTED_VALUE"""),"")</f>
        <v/>
      </c>
      <c r="N419" s="140" t="str">
        <f>IFERROR(__xludf.DUMMYFUNCTION("""COMPUTED_VALUE"""),"")</f>
        <v/>
      </c>
      <c r="R419" t="str">
        <f>IFERROR(__xludf.DUMMYFUNCTION("""COMPUTED_VALUE"""),"Marketing")</f>
        <v>Marketing</v>
      </c>
      <c r="S419" t="str">
        <f>IFERROR(__xludf.DUMMYFUNCTION("""COMPUTED_VALUE"""),"Content and Email Marketing")</f>
        <v>Content and Email Marketing</v>
      </c>
    </row>
    <row r="420">
      <c r="A420" s="143">
        <f>IFERROR(__xludf.DUMMYFUNCTION("""COMPUTED_VALUE"""),42741.0)</f>
        <v>42741</v>
      </c>
      <c r="B420" s="140">
        <f>IFERROR(__xludf.DUMMYFUNCTION("""COMPUTED_VALUE"""),717438.0)</f>
        <v>717438</v>
      </c>
      <c r="C420" s="140" t="str">
        <f>IFERROR(__xludf.DUMMYFUNCTION("""COMPUTED_VALUE"""),"#N/A")</f>
        <v>#N/A</v>
      </c>
      <c r="D420" t="str">
        <f>IFERROR(__xludf.DUMMYFUNCTION("""COMPUTED_VALUE"""),"Train Simple")</f>
        <v>Train Simple</v>
      </c>
      <c r="G420" t="str">
        <f>IFERROR(__xludf.DUMMYFUNCTION("""COMPUTED_VALUE"""),"Y")</f>
        <v>Y</v>
      </c>
      <c r="H420" t="str">
        <f>IFERROR(__xludf.DUMMYFUNCTION("""COMPUTED_VALUE"""),"Instructor Request")</f>
        <v>Instructor Request</v>
      </c>
      <c r="I420" t="str">
        <f>IFERROR(__xludf.DUMMYFUNCTION("""COMPUTED_VALUE"""),"Design")</f>
        <v>Design</v>
      </c>
      <c r="J420" t="str">
        <f>IFERROR(__xludf.DUMMYFUNCTION("""COMPUTED_VALUE"""),"Graphic Design")</f>
        <v>Graphic Design</v>
      </c>
      <c r="L420" s="140" t="str">
        <f>IFERROR(__xludf.DUMMYFUNCTION("""COMPUTED_VALUE"""),"")</f>
        <v/>
      </c>
      <c r="N420" s="140" t="str">
        <f>IFERROR(__xludf.DUMMYFUNCTION("""COMPUTED_VALUE"""),"")</f>
        <v/>
      </c>
      <c r="R420" t="str">
        <f>IFERROR(__xludf.DUMMYFUNCTION("""COMPUTED_VALUE"""),"Marketing")</f>
        <v>Marketing</v>
      </c>
      <c r="S420" t="str">
        <f>IFERROR(__xludf.DUMMYFUNCTION("""COMPUTED_VALUE"""),"Content and Email Marketing")</f>
        <v>Content and Email Marketing</v>
      </c>
    </row>
    <row r="421">
      <c r="A421" s="143">
        <f>IFERROR(__xludf.DUMMYFUNCTION("""COMPUTED_VALUE"""),42741.0)</f>
        <v>42741</v>
      </c>
      <c r="B421" s="140">
        <f>IFERROR(__xludf.DUMMYFUNCTION("""COMPUTED_VALUE"""),692334.0)</f>
        <v>692334</v>
      </c>
      <c r="C421" s="140" t="str">
        <f>IFERROR(__xludf.DUMMYFUNCTION("""COMPUTED_VALUE"""),"#N/A")</f>
        <v>#N/A</v>
      </c>
      <c r="D421" t="str">
        <f>IFERROR(__xludf.DUMMYFUNCTION("""COMPUTED_VALUE"""),"Train Simple")</f>
        <v>Train Simple</v>
      </c>
      <c r="G421" t="str">
        <f>IFERROR(__xludf.DUMMYFUNCTION("""COMPUTED_VALUE"""),"Y")</f>
        <v>Y</v>
      </c>
      <c r="H421" t="str">
        <f>IFERROR(__xludf.DUMMYFUNCTION("""COMPUTED_VALUE"""),"Instructor Request")</f>
        <v>Instructor Request</v>
      </c>
      <c r="I421" t="str">
        <f>IFERROR(__xludf.DUMMYFUNCTION("""COMPUTED_VALUE"""),"Design")</f>
        <v>Design</v>
      </c>
      <c r="J421" t="str">
        <f>IFERROR(__xludf.DUMMYFUNCTION("""COMPUTED_VALUE"""),"Mobile Design")</f>
        <v>Mobile Design</v>
      </c>
      <c r="L421" s="140" t="str">
        <f>IFERROR(__xludf.DUMMYFUNCTION("""COMPUTED_VALUE"""),"")</f>
        <v/>
      </c>
      <c r="N421" s="140" t="str">
        <f>IFERROR(__xludf.DUMMYFUNCTION("""COMPUTED_VALUE"""),"")</f>
        <v/>
      </c>
    </row>
    <row r="422">
      <c r="A422" s="143">
        <f>IFERROR(__xludf.DUMMYFUNCTION("""COMPUTED_VALUE"""),42741.0)</f>
        <v>42741</v>
      </c>
      <c r="B422" s="140">
        <f>IFERROR(__xludf.DUMMYFUNCTION("""COMPUTED_VALUE"""),702952.0)</f>
        <v>702952</v>
      </c>
      <c r="C422" s="140" t="str">
        <f>IFERROR(__xludf.DUMMYFUNCTION("""COMPUTED_VALUE"""),"#N/A")</f>
        <v>#N/A</v>
      </c>
      <c r="D422" t="str">
        <f>IFERROR(__xludf.DUMMYFUNCTION("""COMPUTED_VALUE"""),"Train Simple")</f>
        <v>Train Simple</v>
      </c>
      <c r="G422" t="str">
        <f>IFERROR(__xludf.DUMMYFUNCTION("""COMPUTED_VALUE"""),"Y")</f>
        <v>Y</v>
      </c>
      <c r="H422" t="str">
        <f>IFERROR(__xludf.DUMMYFUNCTION("""COMPUTED_VALUE"""),"Instructor Request")</f>
        <v>Instructor Request</v>
      </c>
      <c r="I422" t="str">
        <f>IFERROR(__xludf.DUMMYFUNCTION("""COMPUTED_VALUE"""),"Design")</f>
        <v>Design</v>
      </c>
      <c r="J422" t="str">
        <f>IFERROR(__xludf.DUMMYFUNCTION("""COMPUTED_VALUE"""),"Web Design")</f>
        <v>Web Design</v>
      </c>
      <c r="L422" s="140" t="str">
        <f>IFERROR(__xludf.DUMMYFUNCTION("""COMPUTED_VALUE"""),"")</f>
        <v/>
      </c>
      <c r="N422" s="140" t="str">
        <f>IFERROR(__xludf.DUMMYFUNCTION("""COMPUTED_VALUE"""),"")</f>
        <v/>
      </c>
    </row>
    <row r="423">
      <c r="A423" s="143">
        <f>IFERROR(__xludf.DUMMYFUNCTION("""COMPUTED_VALUE"""),42741.0)</f>
        <v>42741</v>
      </c>
      <c r="B423" s="140">
        <f>IFERROR(__xludf.DUMMYFUNCTION("""COMPUTED_VALUE"""),703974.0)</f>
        <v>703974</v>
      </c>
      <c r="C423" s="140" t="str">
        <f>IFERROR(__xludf.DUMMYFUNCTION("""COMPUTED_VALUE"""),"#N/A")</f>
        <v>#N/A</v>
      </c>
      <c r="D423" t="str">
        <f>IFERROR(__xludf.DUMMYFUNCTION("""COMPUTED_VALUE"""),"Train Simple")</f>
        <v>Train Simple</v>
      </c>
      <c r="G423" t="str">
        <f>IFERROR(__xludf.DUMMYFUNCTION("""COMPUTED_VALUE"""),"Y")</f>
        <v>Y</v>
      </c>
      <c r="H423" t="str">
        <f>IFERROR(__xludf.DUMMYFUNCTION("""COMPUTED_VALUE"""),"Instructor Request")</f>
        <v>Instructor Request</v>
      </c>
      <c r="I423" t="str">
        <f>IFERROR(__xludf.DUMMYFUNCTION("""COMPUTED_VALUE"""),"Design")</f>
        <v>Design</v>
      </c>
      <c r="J423" t="str">
        <f>IFERROR(__xludf.DUMMYFUNCTION("""COMPUTED_VALUE"""),"Web Design")</f>
        <v>Web Design</v>
      </c>
      <c r="L423" s="140" t="str">
        <f>IFERROR(__xludf.DUMMYFUNCTION("""COMPUTED_VALUE"""),"")</f>
        <v/>
      </c>
      <c r="N423" s="140" t="str">
        <f>IFERROR(__xludf.DUMMYFUNCTION("""COMPUTED_VALUE"""),"")</f>
        <v/>
      </c>
    </row>
    <row r="424">
      <c r="A424" s="143">
        <f>IFERROR(__xludf.DUMMYFUNCTION("""COMPUTED_VALUE"""),42741.0)</f>
        <v>42741</v>
      </c>
      <c r="B424" s="140">
        <f>IFERROR(__xludf.DUMMYFUNCTION("""COMPUTED_VALUE"""),700966.0)</f>
        <v>700966</v>
      </c>
      <c r="C424" s="140" t="str">
        <f>IFERROR(__xludf.DUMMYFUNCTION("""COMPUTED_VALUE"""),"#N/A")</f>
        <v>#N/A</v>
      </c>
      <c r="D424" t="str">
        <f>IFERROR(__xludf.DUMMYFUNCTION("""COMPUTED_VALUE"""),"Train Simple")</f>
        <v>Train Simple</v>
      </c>
      <c r="G424" t="str">
        <f>IFERROR(__xludf.DUMMYFUNCTION("""COMPUTED_VALUE"""),"Y")</f>
        <v>Y</v>
      </c>
      <c r="H424" t="str">
        <f>IFERROR(__xludf.DUMMYFUNCTION("""COMPUTED_VALUE"""),"Instructor Request")</f>
        <v>Instructor Request</v>
      </c>
      <c r="I424" t="str">
        <f>IFERROR(__xludf.DUMMYFUNCTION("""COMPUTED_VALUE"""),"Development")</f>
        <v>Development</v>
      </c>
      <c r="J424" t="str">
        <f>IFERROR(__xludf.DUMMYFUNCTION("""COMPUTED_VALUE"""),"Development Tools")</f>
        <v>Development Tools</v>
      </c>
      <c r="L424" s="140" t="str">
        <f>IFERROR(__xludf.DUMMYFUNCTION("""COMPUTED_VALUE"""),"")</f>
        <v/>
      </c>
      <c r="N424" s="140" t="str">
        <f>IFERROR(__xludf.DUMMYFUNCTION("""COMPUTED_VALUE"""),"")</f>
        <v/>
      </c>
    </row>
    <row r="425">
      <c r="A425" s="143">
        <f>IFERROR(__xludf.DUMMYFUNCTION("""COMPUTED_VALUE"""),42741.0)</f>
        <v>42741</v>
      </c>
      <c r="B425" s="140">
        <f>IFERROR(__xludf.DUMMYFUNCTION("""COMPUTED_VALUE"""),864162.0)</f>
        <v>864162</v>
      </c>
      <c r="C425" s="140" t="str">
        <f>IFERROR(__xludf.DUMMYFUNCTION("""COMPUTED_VALUE"""),"#N/A")</f>
        <v>#N/A</v>
      </c>
      <c r="D425" t="str">
        <f>IFERROR(__xludf.DUMMYFUNCTION("""COMPUTED_VALUE"""),"Successful Education")</f>
        <v>Successful Education</v>
      </c>
      <c r="G425" t="str">
        <f>IFERROR(__xludf.DUMMYFUNCTION("""COMPUTED_VALUE"""),"Y")</f>
        <v>Y</v>
      </c>
      <c r="H425" t="str">
        <f>IFERROR(__xludf.DUMMYFUNCTION("""COMPUTED_VALUE"""),"DMCA Removal")</f>
        <v>DMCA Removal</v>
      </c>
      <c r="I425" t="str">
        <f>IFERROR(__xludf.DUMMYFUNCTION("""COMPUTED_VALUE"""),"IT and Software")</f>
        <v>IT and Software</v>
      </c>
      <c r="J425" t="str">
        <f>IFERROR(__xludf.DUMMYFUNCTION("""COMPUTED_VALUE"""),"IT Certifications")</f>
        <v>IT Certifications</v>
      </c>
      <c r="K425" s="140">
        <f>IFERROR(__xludf.DUMMYFUNCTION("""COMPUTED_VALUE"""),877160.0)</f>
        <v>877160</v>
      </c>
      <c r="L425" s="140" t="str">
        <f>IFERROR(__xludf.DUMMYFUNCTION("""COMPUTED_VALUE"""),"")</f>
        <v/>
      </c>
      <c r="M425" s="140">
        <f>IFERROR(__xludf.DUMMYFUNCTION("""COMPUTED_VALUE"""),878110.0)</f>
        <v>878110</v>
      </c>
      <c r="N425" s="140" t="str">
        <f>IFERROR(__xludf.DUMMYFUNCTION("""COMPUTED_VALUE"""),"")</f>
        <v/>
      </c>
    </row>
    <row r="426">
      <c r="A426" s="143">
        <f>IFERROR(__xludf.DUMMYFUNCTION("""COMPUTED_VALUE"""),42741.0)</f>
        <v>42741</v>
      </c>
      <c r="B426" s="140">
        <f>IFERROR(__xludf.DUMMYFUNCTION("""COMPUTED_VALUE"""),901454.0)</f>
        <v>901454</v>
      </c>
      <c r="C426" s="140" t="str">
        <f>IFERROR(__xludf.DUMMYFUNCTION("""COMPUTED_VALUE"""),"#N/A")</f>
        <v>#N/A</v>
      </c>
      <c r="D426" t="str">
        <f>IFERROR(__xludf.DUMMYFUNCTION("""COMPUTED_VALUE"""),"Successful Education")</f>
        <v>Successful Education</v>
      </c>
      <c r="G426" t="str">
        <f>IFERROR(__xludf.DUMMYFUNCTION("""COMPUTED_VALUE"""),"Y")</f>
        <v>Y</v>
      </c>
      <c r="H426" t="str">
        <f>IFERROR(__xludf.DUMMYFUNCTION("""COMPUTED_VALUE"""),"DMCA Removal")</f>
        <v>DMCA Removal</v>
      </c>
      <c r="I426" t="str">
        <f>IFERROR(__xludf.DUMMYFUNCTION("""COMPUTED_VALUE"""),"IT and Software")</f>
        <v>IT and Software</v>
      </c>
      <c r="J426" t="str">
        <f>IFERROR(__xludf.DUMMYFUNCTION("""COMPUTED_VALUE"""),"IT Certifications")</f>
        <v>IT Certifications</v>
      </c>
      <c r="K426" s="140">
        <f>IFERROR(__xludf.DUMMYFUNCTION("""COMPUTED_VALUE"""),642612.0)</f>
        <v>642612</v>
      </c>
      <c r="L426" s="140" t="str">
        <f>IFERROR(__xludf.DUMMYFUNCTION("""COMPUTED_VALUE"""),"")</f>
        <v/>
      </c>
      <c r="N426" s="140" t="str">
        <f>IFERROR(__xludf.DUMMYFUNCTION("""COMPUTED_VALUE"""),"")</f>
        <v/>
      </c>
    </row>
    <row r="427">
      <c r="A427" s="143">
        <f>IFERROR(__xludf.DUMMYFUNCTION("""COMPUTED_VALUE"""),42741.0)</f>
        <v>42741</v>
      </c>
      <c r="B427" s="140">
        <f>IFERROR(__xludf.DUMMYFUNCTION("""COMPUTED_VALUE"""),700810.0)</f>
        <v>700810</v>
      </c>
      <c r="C427" s="140" t="str">
        <f>IFERROR(__xludf.DUMMYFUNCTION("""COMPUTED_VALUE"""),"#N/A")</f>
        <v>#N/A</v>
      </c>
      <c r="D427" t="str">
        <f>IFERROR(__xludf.DUMMYFUNCTION("""COMPUTED_VALUE"""),"Train Simple")</f>
        <v>Train Simple</v>
      </c>
      <c r="G427" t="str">
        <f>IFERROR(__xludf.DUMMYFUNCTION("""COMPUTED_VALUE"""),"Y")</f>
        <v>Y</v>
      </c>
      <c r="H427" t="str">
        <f>IFERROR(__xludf.DUMMYFUNCTION("""COMPUTED_VALUE"""),"Instructor Request")</f>
        <v>Instructor Request</v>
      </c>
      <c r="I427" t="str">
        <f>IFERROR(__xludf.DUMMYFUNCTION("""COMPUTED_VALUE"""),"Marketing")</f>
        <v>Marketing</v>
      </c>
      <c r="J427" t="str">
        <f>IFERROR(__xludf.DUMMYFUNCTION("""COMPUTED_VALUE"""),"Content and Email Marketing")</f>
        <v>Content and Email Marketing</v>
      </c>
      <c r="L427" s="140" t="str">
        <f>IFERROR(__xludf.DUMMYFUNCTION("""COMPUTED_VALUE"""),"")</f>
        <v/>
      </c>
      <c r="N427" s="140" t="str">
        <f>IFERROR(__xludf.DUMMYFUNCTION("""COMPUTED_VALUE"""),"")</f>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9.43"/>
  </cols>
  <sheetData>
    <row r="1">
      <c r="A1" s="203" t="str">
        <f>IFERROR(__xludf.DUMMYFUNCTION("IMPORTRANGE(""https://docs.google.com/spreadsheets/d/1-rfEWGYv7tNCX_AloGQTdwMKJvcCJnQ6n7qOA2BN8JM/edit?usp=sharing"",""MASTER_Removed &amp; In Collection!A:C"")"),"DATE LAST UPDATED 12/2")</f>
        <v>DATE LAST UPDATED 12/2</v>
      </c>
      <c r="B1" s="204"/>
      <c r="C1" s="205"/>
      <c r="E1" s="206"/>
    </row>
    <row r="2">
      <c r="A2" s="140" t="str">
        <f>IFERROR(__xludf.DUMMYFUNCTION("""COMPUTED_VALUE"""),"Be Sure Column B is Formatted as ""Automatic""")</f>
        <v>Be Sure Column B is Formatted as "Automatic"</v>
      </c>
    </row>
    <row r="3">
      <c r="A3" s="140" t="str">
        <f>IFERROR(__xludf.DUMMYFUNCTION("""COMPUTED_VALUE"""),"Course Lang")</f>
        <v>Course Lang</v>
      </c>
      <c r="B3" t="str">
        <f>IFERROR(__xludf.DUMMYFUNCTION("""COMPUTED_VALUE"""),"Course ID")</f>
        <v>Course ID</v>
      </c>
      <c r="C3" t="str">
        <f>IFERROR(__xludf.DUMMYFUNCTION("""COMPUTED_VALUE"""),"Course Title")</f>
        <v>Course Title</v>
      </c>
    </row>
    <row r="4">
      <c r="A4" s="140" t="str">
        <f>IFERROR(__xludf.DUMMYFUNCTION("""COMPUTED_VALUE"""),"pt")</f>
        <v>pt</v>
      </c>
      <c r="B4">
        <f>IFERROR(__xludf.DUMMYFUNCTION("""COMPUTED_VALUE"""),2835898.0)</f>
        <v>2835898</v>
      </c>
      <c r="C4" t="str">
        <f>IFERROR(__xludf.DUMMYFUNCTION("""COMPUTED_VALUE"""),"Instagram Ads: Curso Completo de Anúncios no Instagram")</f>
        <v>Instagram Ads: Curso Completo de Anúncios no Instagram</v>
      </c>
    </row>
    <row r="5">
      <c r="A5" s="140" t="str">
        <f>IFERROR(__xludf.DUMMYFUNCTION("""COMPUTED_VALUE"""),"en")</f>
        <v>en</v>
      </c>
      <c r="B5">
        <f>IFERROR(__xludf.DUMMYFUNCTION("""COMPUTED_VALUE"""),1003878.0)</f>
        <v>1003878</v>
      </c>
      <c r="C5" t="str">
        <f>IFERROR(__xludf.DUMMYFUNCTION("""COMPUTED_VALUE"""),"Learn C# With Windows Forms and  SQL Server")</f>
        <v>Learn C# With Windows Forms and  SQL Server</v>
      </c>
    </row>
    <row r="6">
      <c r="A6" s="140" t="str">
        <f>IFERROR(__xludf.DUMMYFUNCTION("""COMPUTED_VALUE"""),"ja")</f>
        <v>ja</v>
      </c>
      <c r="B6">
        <f>IFERROR(__xludf.DUMMYFUNCTION("""COMPUTED_VALUE"""),2908274.0)</f>
        <v>2908274</v>
      </c>
      <c r="C6" t="str">
        <f>IFERROR(__xludf.DUMMYFUNCTION("""COMPUTED_VALUE"""),"Microsoft Power BI  Desktop 0 to Hero 入門から実戦まで")</f>
        <v>Microsoft Power BI  Desktop 0 to Hero 入門から実戦まで</v>
      </c>
    </row>
    <row r="7">
      <c r="A7" s="140" t="str">
        <f>IFERROR(__xludf.DUMMYFUNCTION("""COMPUTED_VALUE"""),"en")</f>
        <v>en</v>
      </c>
      <c r="B7">
        <f>IFERROR(__xludf.DUMMYFUNCTION("""COMPUTED_VALUE"""),1572276.0)</f>
        <v>1572276</v>
      </c>
      <c r="C7" t="str">
        <f>IFERROR(__xludf.DUMMYFUNCTION("""COMPUTED_VALUE"""),"Health Masterclass: How To Transform Your Health &amp; Life")</f>
        <v>Health Masterclass: How To Transform Your Health &amp; Life</v>
      </c>
    </row>
    <row r="8">
      <c r="A8" s="140" t="str">
        <f>IFERROR(__xludf.DUMMYFUNCTION("""COMPUTED_VALUE"""),"de")</f>
        <v>de</v>
      </c>
      <c r="B8">
        <f>IFERROR(__xludf.DUMMYFUNCTION("""COMPUTED_VALUE"""),346338.0)</f>
        <v>346338</v>
      </c>
      <c r="C8" t="str">
        <f>IFERROR(__xludf.DUMMYFUNCTION("""COMPUTED_VALUE"""),"Neukundenakquise - Steigere jetzt Dein Einkommen!")</f>
        <v>Neukundenakquise - Steigere jetzt Dein Einkommen!</v>
      </c>
    </row>
    <row r="9">
      <c r="A9" s="140" t="str">
        <f>IFERROR(__xludf.DUMMYFUNCTION("""COMPUTED_VALUE"""),"pt")</f>
        <v>pt</v>
      </c>
      <c r="B9">
        <f>IFERROR(__xludf.DUMMYFUNCTION("""COMPUTED_VALUE"""),1296004.0)</f>
        <v>1296004</v>
      </c>
      <c r="C9" t="str">
        <f>IFERROR(__xludf.DUMMYFUNCTION("""COMPUTED_VALUE"""),"Detecção de Faces com Java e OpenCV")</f>
        <v>Detecção de Faces com Java e OpenCV</v>
      </c>
    </row>
    <row r="10">
      <c r="A10" s="140" t="str">
        <f>IFERROR(__xludf.DUMMYFUNCTION("""COMPUTED_VALUE"""),"en")</f>
        <v>en</v>
      </c>
      <c r="B10">
        <f>IFERROR(__xludf.DUMMYFUNCTION("""COMPUTED_VALUE"""),2713136.0)</f>
        <v>2713136</v>
      </c>
      <c r="C10" t="str">
        <f>IFERROR(__xludf.DUMMYFUNCTION("""COMPUTED_VALUE"""),"AWS CodePipeline Step by Step")</f>
        <v>AWS CodePipeline Step by Step</v>
      </c>
    </row>
    <row r="11">
      <c r="A11" s="140" t="str">
        <f>IFERROR(__xludf.DUMMYFUNCTION("""COMPUTED_VALUE"""),"ja")</f>
        <v>ja</v>
      </c>
      <c r="B11">
        <f>IFERROR(__xludf.DUMMYFUNCTION("""COMPUTED_VALUE"""),1345890.0)</f>
        <v>1345890</v>
      </c>
      <c r="C11" t="str">
        <f>IFERROR(__xludf.DUMMYFUNCTION("""COMPUTED_VALUE"""),"社会人1年生のための　効率的な正しい仕事の進め方講座")</f>
        <v>社会人1年生のための　効率的な正しい仕事の進め方講座</v>
      </c>
    </row>
    <row r="12">
      <c r="A12" s="140" t="str">
        <f>IFERROR(__xludf.DUMMYFUNCTION("""COMPUTED_VALUE"""),"en")</f>
        <v>en</v>
      </c>
      <c r="B12">
        <f>IFERROR(__xludf.DUMMYFUNCTION("""COMPUTED_VALUE"""),2456342.0)</f>
        <v>2456342</v>
      </c>
      <c r="C12" t="str">
        <f>IFERROR(__xludf.DUMMYFUNCTION("""COMPUTED_VALUE"""),"Building Reports with SQL Server Reporting Services (SSRS)")</f>
        <v>Building Reports with SQL Server Reporting Services (SSRS)</v>
      </c>
    </row>
    <row r="13">
      <c r="A13" s="140" t="str">
        <f>IFERROR(__xludf.DUMMYFUNCTION("""COMPUTED_VALUE"""),"ja")</f>
        <v>ja</v>
      </c>
      <c r="B13">
        <f>IFERROR(__xludf.DUMMYFUNCTION("""COMPUTED_VALUE"""),3900782.0)</f>
        <v>3900782</v>
      </c>
      <c r="C13" t="str">
        <f>IFERROR(__xludf.DUMMYFUNCTION("""COMPUTED_VALUE"""),"メンバーの成長を促進させる「フィードバックの伝え方」")</f>
        <v>メンバーの成長を促進させる「フィードバックの伝え方」</v>
      </c>
    </row>
    <row r="14">
      <c r="A14" s="140" t="str">
        <f>IFERROR(__xludf.DUMMYFUNCTION("""COMPUTED_VALUE"""),"en")</f>
        <v>en</v>
      </c>
      <c r="B14">
        <f>IFERROR(__xludf.DUMMYFUNCTION("""COMPUTED_VALUE"""),2621174.0)</f>
        <v>2621174</v>
      </c>
      <c r="C14" t="str">
        <f>IFERROR(__xludf.DUMMYFUNCTION("""COMPUTED_VALUE"""),"The Complete ASP.Net Core Web APIs Course With JWT Security")</f>
        <v>The Complete ASP.Net Core Web APIs Course With JWT Security</v>
      </c>
    </row>
    <row r="15">
      <c r="A15" s="140" t="str">
        <f>IFERROR(__xludf.DUMMYFUNCTION("""COMPUTED_VALUE"""),"pt")</f>
        <v>pt</v>
      </c>
      <c r="B15">
        <f>IFERROR(__xludf.DUMMYFUNCTION("""COMPUTED_VALUE"""),241280.0)</f>
        <v>241280</v>
      </c>
      <c r="C15" t="str">
        <f>IFERROR(__xludf.DUMMYFUNCTION("""COMPUTED_VALUE"""),"Aprenda Mapas Mentais")</f>
        <v>Aprenda Mapas Mentais</v>
      </c>
    </row>
    <row r="16">
      <c r="A16" s="140" t="str">
        <f>IFERROR(__xludf.DUMMYFUNCTION("""COMPUTED_VALUE"""),"pt")</f>
        <v>pt</v>
      </c>
      <c r="B16">
        <f>IFERROR(__xludf.DUMMYFUNCTION("""COMPUTED_VALUE"""),2794778.0)</f>
        <v>2794778</v>
      </c>
      <c r="C16" t="str">
        <f>IFERROR(__xludf.DUMMYFUNCTION("""COMPUTED_VALUE"""),"Oracle 19c SQL Fundamentos - Completo (Teoria e Prática)")</f>
        <v>Oracle 19c SQL Fundamentos - Completo (Teoria e Prática)</v>
      </c>
    </row>
    <row r="17">
      <c r="A17" s="140" t="str">
        <f>IFERROR(__xludf.DUMMYFUNCTION("""COMPUTED_VALUE"""),"de")</f>
        <v>de</v>
      </c>
      <c r="B17">
        <f>IFERROR(__xludf.DUMMYFUNCTION("""COMPUTED_VALUE"""),2803851.0)</f>
        <v>2803851</v>
      </c>
      <c r="C17" t="str">
        <f>IFERROR(__xludf.DUMMYFUNCTION("""COMPUTED_VALUE"""),"Das ultimative Office 365 Kompendium für Einsteiger!")</f>
        <v>Das ultimative Office 365 Kompendium für Einsteiger!</v>
      </c>
    </row>
    <row r="18">
      <c r="A18" s="140" t="str">
        <f>IFERROR(__xludf.DUMMYFUNCTION("""COMPUTED_VALUE"""),"en")</f>
        <v>en</v>
      </c>
      <c r="B18">
        <f>IFERROR(__xludf.DUMMYFUNCTION("""COMPUTED_VALUE"""),2296344.0)</f>
        <v>2296344</v>
      </c>
      <c r="C18" t="str">
        <f>IFERROR(__xludf.DUMMYFUNCTION("""COMPUTED_VALUE"""),"Speak Like a Pro: Public Speaking for Professionals")</f>
        <v>Speak Like a Pro: Public Speaking for Professionals</v>
      </c>
    </row>
    <row r="19">
      <c r="A19" s="140" t="str">
        <f>IFERROR(__xludf.DUMMYFUNCTION("""COMPUTED_VALUE"""),"en")</f>
        <v>en</v>
      </c>
      <c r="B19">
        <f>IFERROR(__xludf.DUMMYFUNCTION("""COMPUTED_VALUE"""),790716.0)</f>
        <v>790716</v>
      </c>
      <c r="C19" t="str">
        <f>IFERROR(__xludf.DUMMYFUNCTION("""COMPUTED_VALUE"""),"Learn Advanced C# Scripting in Unity 5 for Games")</f>
        <v>Learn Advanced C# Scripting in Unity 5 for Games</v>
      </c>
    </row>
    <row r="20">
      <c r="A20" s="140" t="str">
        <f>IFERROR(__xludf.DUMMYFUNCTION("""COMPUTED_VALUE"""),"en")</f>
        <v>en</v>
      </c>
      <c r="B20">
        <f>IFERROR(__xludf.DUMMYFUNCTION("""COMPUTED_VALUE"""),1934462.0)</f>
        <v>1934462</v>
      </c>
      <c r="C20" t="str">
        <f>IFERROR(__xludf.DUMMYFUNCTION("""COMPUTED_VALUE"""),"A Beginner's Guide to Augmented Reality with Unity")</f>
        <v>A Beginner's Guide to Augmented Reality with Unity</v>
      </c>
    </row>
    <row r="21">
      <c r="A21" s="140" t="str">
        <f>IFERROR(__xludf.DUMMYFUNCTION("""COMPUTED_VALUE"""),"en")</f>
        <v>en</v>
      </c>
      <c r="B21">
        <f>IFERROR(__xludf.DUMMYFUNCTION("""COMPUTED_VALUE"""),2770150.0)</f>
        <v>2770150</v>
      </c>
      <c r="C21" t="str">
        <f>IFERROR(__xludf.DUMMYFUNCTION("""COMPUTED_VALUE"""),"VPs and Directors of Product Management: Finding Excellence")</f>
        <v>VPs and Directors of Product Management: Finding Excellence</v>
      </c>
    </row>
    <row r="22">
      <c r="A22" s="140" t="str">
        <f>IFERROR(__xludf.DUMMYFUNCTION("""COMPUTED_VALUE"""),"en")</f>
        <v>en</v>
      </c>
      <c r="B22">
        <f>IFERROR(__xludf.DUMMYFUNCTION("""COMPUTED_VALUE"""),1040602.0)</f>
        <v>1040602</v>
      </c>
      <c r="C22" t="str">
        <f>IFERROR(__xludf.DUMMYFUNCTION("""COMPUTED_VALUE"""),"Learn French for Beginners: The Ultimate 80-Lesson Course")</f>
        <v>Learn French for Beginners: The Ultimate 80-Lesson Course</v>
      </c>
    </row>
    <row r="23">
      <c r="A23" s="140" t="str">
        <f>IFERROR(__xludf.DUMMYFUNCTION("""COMPUTED_VALUE"""),"tr")</f>
        <v>tr</v>
      </c>
      <c r="B23">
        <f>IFERROR(__xludf.DUMMYFUNCTION("""COMPUTED_VALUE"""),1956734.0)</f>
        <v>1956734</v>
      </c>
      <c r="C23" t="str">
        <f>IFERROR(__xludf.DUMMYFUNCTION("""COMPUTED_VALUE"""),"Oyun Programlamanın Temelleri (HTML 5 ve JS)")</f>
        <v>Oyun Programlamanın Temelleri (HTML 5 ve JS)</v>
      </c>
    </row>
    <row r="24">
      <c r="A24" s="140" t="str">
        <f>IFERROR(__xludf.DUMMYFUNCTION("""COMPUTED_VALUE"""),"en")</f>
        <v>en</v>
      </c>
      <c r="B24">
        <f>IFERROR(__xludf.DUMMYFUNCTION("""COMPUTED_VALUE"""),4328108.0)</f>
        <v>4328108</v>
      </c>
      <c r="C24" t="str">
        <f>IFERROR(__xludf.DUMMYFUNCTION("""COMPUTED_VALUE"""),"Time Management for Working Parents")</f>
        <v>Time Management for Working Parents</v>
      </c>
    </row>
    <row r="25">
      <c r="A25" s="140" t="str">
        <f>IFERROR(__xludf.DUMMYFUNCTION("""COMPUTED_VALUE"""),"pt")</f>
        <v>pt</v>
      </c>
      <c r="B25">
        <f>IFERROR(__xludf.DUMMYFUNCTION("""COMPUTED_VALUE"""),2347436.0)</f>
        <v>2347436</v>
      </c>
      <c r="C25" t="str">
        <f>IFERROR(__xludf.DUMMYFUNCTION("""COMPUTED_VALUE"""),"SOX - Sarbanes Oxley - Guia Prático")</f>
        <v>SOX - Sarbanes Oxley - Guia Prático</v>
      </c>
    </row>
    <row r="26">
      <c r="A26" s="140" t="str">
        <f>IFERROR(__xludf.DUMMYFUNCTION("""COMPUTED_VALUE"""),"en")</f>
        <v>en</v>
      </c>
      <c r="B26">
        <f>IFERROR(__xludf.DUMMYFUNCTION("""COMPUTED_VALUE"""),2378232.0)</f>
        <v>2378232</v>
      </c>
      <c r="C26" t="str">
        <f>IFERROR(__xludf.DUMMYFUNCTION("""COMPUTED_VALUE"""),"Complete Personal Development Personal Transformation Course")</f>
        <v>Complete Personal Development Personal Transformation Course</v>
      </c>
    </row>
    <row r="27">
      <c r="A27" s="140" t="str">
        <f>IFERROR(__xludf.DUMMYFUNCTION("""COMPUTED_VALUE"""),"en")</f>
        <v>en</v>
      </c>
      <c r="B27">
        <f>IFERROR(__xludf.DUMMYFUNCTION("""COMPUTED_VALUE"""),363854.0)</f>
        <v>363854</v>
      </c>
      <c r="C27" t="str">
        <f>IFERROR(__xludf.DUMMYFUNCTION("""COMPUTED_VALUE"""),"Game Physics - Introducing Gravitation &amp; Rotation in Unity")</f>
        <v>Game Physics - Introducing Gravitation &amp; Rotation in Unity</v>
      </c>
    </row>
    <row r="28">
      <c r="A28" s="140" t="str">
        <f>IFERROR(__xludf.DUMMYFUNCTION("""COMPUTED_VALUE"""),"ja")</f>
        <v>ja</v>
      </c>
      <c r="B28">
        <f>IFERROR(__xludf.DUMMYFUNCTION("""COMPUTED_VALUE"""),1356190.0)</f>
        <v>1356190</v>
      </c>
      <c r="C28" t="str">
        <f>IFERROR(__xludf.DUMMYFUNCTION("""COMPUTED_VALUE"""),"【キカガク流】人工知能・機械学習 脱ブラックボックス講座 - 初級編 -")</f>
        <v>【キカガク流】人工知能・機械学習 脱ブラックボックス講座 - 初級編 -</v>
      </c>
    </row>
    <row r="29">
      <c r="A29" s="140" t="str">
        <f>IFERROR(__xludf.DUMMYFUNCTION("""COMPUTED_VALUE"""),"ar")</f>
        <v>ar</v>
      </c>
      <c r="B29">
        <f>IFERROR(__xludf.DUMMYFUNCTION("""COMPUTED_VALUE"""),2261640.0)</f>
        <v>2261640</v>
      </c>
      <c r="C29" t="str">
        <f>IFERROR(__xludf.DUMMYFUNCTION("""COMPUTED_VALUE"""),"Excel Pivot Tables - الجداول المحورية في اكسل")</f>
        <v>Excel Pivot Tables - الجداول المحورية في اكسل</v>
      </c>
    </row>
    <row r="30">
      <c r="A30" s="140" t="str">
        <f>IFERROR(__xludf.DUMMYFUNCTION("""COMPUTED_VALUE"""),"en")</f>
        <v>en</v>
      </c>
      <c r="B30">
        <f>IFERROR(__xludf.DUMMYFUNCTION("""COMPUTED_VALUE"""),2825085.0)</f>
        <v>2825085</v>
      </c>
      <c r="C30" t="str">
        <f>IFERROR(__xludf.DUMMYFUNCTION("""COMPUTED_VALUE"""),"Ionic React: Cross-Platform Mobile Development with Ionic 5")</f>
        <v>Ionic React: Cross-Platform Mobile Development with Ionic 5</v>
      </c>
    </row>
    <row r="31">
      <c r="A31" s="140" t="str">
        <f>IFERROR(__xludf.DUMMYFUNCTION("""COMPUTED_VALUE"""),"en")</f>
        <v>en</v>
      </c>
      <c r="B31">
        <f>IFERROR(__xludf.DUMMYFUNCTION("""COMPUTED_VALUE"""),467294.0)</f>
        <v>467294</v>
      </c>
      <c r="C31" t="str">
        <f>IFERROR(__xludf.DUMMYFUNCTION("""COMPUTED_VALUE"""),"Introduction to SDN and OpenFlow")</f>
        <v>Introduction to SDN and OpenFlow</v>
      </c>
    </row>
    <row r="32">
      <c r="A32" s="140" t="str">
        <f>IFERROR(__xludf.DUMMYFUNCTION("""COMPUTED_VALUE"""),"en")</f>
        <v>en</v>
      </c>
      <c r="B32">
        <f>IFERROR(__xludf.DUMMYFUNCTION("""COMPUTED_VALUE"""),3170652.0)</f>
        <v>3170652</v>
      </c>
      <c r="C32" t="str">
        <f>IFERROR(__xludf.DUMMYFUNCTION("""COMPUTED_VALUE"""),"The Complete Introduction to Data Analytics with Tableau")</f>
        <v>The Complete Introduction to Data Analytics with Tableau</v>
      </c>
    </row>
    <row r="33">
      <c r="A33" s="140" t="str">
        <f>IFERROR(__xludf.DUMMYFUNCTION("""COMPUTED_VALUE"""),"en")</f>
        <v>en</v>
      </c>
      <c r="B33">
        <f>IFERROR(__xludf.DUMMYFUNCTION("""COMPUTED_VALUE"""),3028312.0)</f>
        <v>3028312</v>
      </c>
      <c r="C33" t="str">
        <f>IFERROR(__xludf.DUMMYFUNCTION("""COMPUTED_VALUE"""),"AWS EKS Kubernetes-Masterclass | DevOps, Microservices")</f>
        <v>AWS EKS Kubernetes-Masterclass | DevOps, Microservices</v>
      </c>
    </row>
    <row r="34">
      <c r="A34" s="140" t="str">
        <f>IFERROR(__xludf.DUMMYFUNCTION("""COMPUTED_VALUE"""),"es")</f>
        <v>es</v>
      </c>
      <c r="B34">
        <f>IFERROR(__xludf.DUMMYFUNCTION("""COMPUTED_VALUE"""),225170.0)</f>
        <v>225170</v>
      </c>
      <c r="C34" t="str">
        <f>IFERROR(__xludf.DUMMYFUNCTION("""COMPUTED_VALUE"""),"Introducción a la programación orientada a objetos con PHP")</f>
        <v>Introducción a la programación orientada a objetos con PHP</v>
      </c>
    </row>
    <row r="35">
      <c r="A35" s="140" t="str">
        <f>IFERROR(__xludf.DUMMYFUNCTION("""COMPUTED_VALUE"""),"en")</f>
        <v>en</v>
      </c>
      <c r="B35">
        <f>IFERROR(__xludf.DUMMYFUNCTION("""COMPUTED_VALUE"""),660600.0)</f>
        <v>660600</v>
      </c>
      <c r="C35" t="str">
        <f>IFERROR(__xludf.DUMMYFUNCTION("""COMPUTED_VALUE"""),"Unreal Engine 5: The Complete Beginner's Course")</f>
        <v>Unreal Engine 5: The Complete Beginner's Course</v>
      </c>
    </row>
    <row r="36">
      <c r="A36" s="140" t="str">
        <f>IFERROR(__xludf.DUMMYFUNCTION("""COMPUTED_VALUE"""),"en")</f>
        <v>en</v>
      </c>
      <c r="B36">
        <f>IFERROR(__xludf.DUMMYFUNCTION("""COMPUTED_VALUE"""),421532.0)</f>
        <v>421532</v>
      </c>
      <c r="C36" t="str">
        <f>IFERROR(__xludf.DUMMYFUNCTION("""COMPUTED_VALUE"""),"Microsoft Access VBA for Non Programmers - YOU Can Do This!")</f>
        <v>Microsoft Access VBA for Non Programmers - YOU Can Do This!</v>
      </c>
    </row>
    <row r="37">
      <c r="A37" s="140" t="str">
        <f>IFERROR(__xludf.DUMMYFUNCTION("""COMPUTED_VALUE"""),"en")</f>
        <v>en</v>
      </c>
      <c r="B37">
        <f>IFERROR(__xludf.DUMMYFUNCTION("""COMPUTED_VALUE"""),1232632.0)</f>
        <v>1232632</v>
      </c>
      <c r="C37" t="str">
        <f>IFERROR(__xludf.DUMMYFUNCTION("""COMPUTED_VALUE"""),"Salesforce Lightning Component")</f>
        <v>Salesforce Lightning Component</v>
      </c>
    </row>
    <row r="38">
      <c r="A38" s="140" t="str">
        <f>IFERROR(__xludf.DUMMYFUNCTION("""COMPUTED_VALUE"""),"en")</f>
        <v>en</v>
      </c>
      <c r="B38">
        <f>IFERROR(__xludf.DUMMYFUNCTION("""COMPUTED_VALUE"""),1332152.0)</f>
        <v>1332152</v>
      </c>
      <c r="C38" t="str">
        <f>IFERROR(__xludf.DUMMYFUNCTION("""COMPUTED_VALUE"""),"3-Step Writing System: Blogging &amp; Writing Secrets")</f>
        <v>3-Step Writing System: Blogging &amp; Writing Secrets</v>
      </c>
    </row>
    <row r="39">
      <c r="A39" s="140" t="str">
        <f>IFERROR(__xludf.DUMMYFUNCTION("""COMPUTED_VALUE"""),"fr")</f>
        <v>fr</v>
      </c>
      <c r="B39">
        <f>IFERROR(__xludf.DUMMYFUNCTION("""COMPUTED_VALUE"""),3215277.0)</f>
        <v>3215277</v>
      </c>
      <c r="C39" t="str">
        <f>IFERROR(__xludf.DUMMYFUNCTION("""COMPUTED_VALUE"""),"Apprendre L'harmonica (pour les novices)")</f>
        <v>Apprendre L'harmonica (pour les novices)</v>
      </c>
    </row>
    <row r="40">
      <c r="A40" s="140" t="str">
        <f>IFERROR(__xludf.DUMMYFUNCTION("""COMPUTED_VALUE"""),"ja")</f>
        <v>ja</v>
      </c>
      <c r="B40">
        <f>IFERROR(__xludf.DUMMYFUNCTION("""COMPUTED_VALUE"""),986380.0)</f>
        <v>986380</v>
      </c>
      <c r="C40" t="str">
        <f>IFERROR(__xludf.DUMMYFUNCTION("""COMPUTED_VALUE"""),"Pythonで機械学習：scikit-learnで学ぶ識別入門")</f>
        <v>Pythonで機械学習：scikit-learnで学ぶ識別入門</v>
      </c>
    </row>
    <row r="41">
      <c r="A41" s="140" t="str">
        <f>IFERROR(__xludf.DUMMYFUNCTION("""COMPUTED_VALUE"""),"en")</f>
        <v>en</v>
      </c>
      <c r="B41">
        <f>IFERROR(__xludf.DUMMYFUNCTION("""COMPUTED_VALUE"""),2546045.0)</f>
        <v>2546045</v>
      </c>
      <c r="C41" t="str">
        <f>IFERROR(__xludf.DUMMYFUNCTION("""COMPUTED_VALUE"""),"Master CI/CD for iOS Developers")</f>
        <v>Master CI/CD for iOS Developers</v>
      </c>
    </row>
    <row r="42">
      <c r="A42" s="140" t="str">
        <f>IFERROR(__xludf.DUMMYFUNCTION("""COMPUTED_VALUE"""),"en")</f>
        <v>en</v>
      </c>
      <c r="B42">
        <f>IFERROR(__xludf.DUMMYFUNCTION("""COMPUTED_VALUE"""),903454.0)</f>
        <v>903454</v>
      </c>
      <c r="C42" t="str">
        <f>IFERROR(__xludf.DUMMYFUNCTION("""COMPUTED_VALUE"""),"Ultimate Excel Waterfall Chart Course")</f>
        <v>Ultimate Excel Waterfall Chart Course</v>
      </c>
    </row>
    <row r="43">
      <c r="A43" s="140" t="str">
        <f>IFERROR(__xludf.DUMMYFUNCTION("""COMPUTED_VALUE"""),"ja")</f>
        <v>ja</v>
      </c>
      <c r="B43">
        <f>IFERROR(__xludf.DUMMYFUNCTION("""COMPUTED_VALUE"""),4085668.0)</f>
        <v>4085668</v>
      </c>
      <c r="C43" t="str">
        <f>IFERROR(__xludf.DUMMYFUNCTION("""COMPUTED_VALUE"""),"はじめてのファイナンス ～企業価値を最大化させる現代の必須スキル！4時間半でキッチリ学ぶ投資判断と企業価値算定")</f>
        <v>はじめてのファイナンス ～企業価値を最大化させる現代の必須スキル！4時間半でキッチリ学ぶ投資判断と企業価値算定</v>
      </c>
    </row>
    <row r="44">
      <c r="A44" s="140" t="str">
        <f>IFERROR(__xludf.DUMMYFUNCTION("""COMPUTED_VALUE"""),"en")</f>
        <v>en</v>
      </c>
      <c r="B44">
        <f>IFERROR(__xludf.DUMMYFUNCTION("""COMPUTED_VALUE"""),483304.0)</f>
        <v>483304</v>
      </c>
      <c r="C44" t="str">
        <f>IFERROR(__xludf.DUMMYFUNCTION("""COMPUTED_VALUE"""),"Conduct Behavioral Interviews &amp; Be a Great Mentor")</f>
        <v>Conduct Behavioral Interviews &amp; Be a Great Mentor</v>
      </c>
    </row>
    <row r="45">
      <c r="A45" s="140" t="str">
        <f>IFERROR(__xludf.DUMMYFUNCTION("""COMPUTED_VALUE"""),"es")</f>
        <v>es</v>
      </c>
      <c r="B45">
        <f>IFERROR(__xludf.DUMMYFUNCTION("""COMPUTED_VALUE"""),2544511.0)</f>
        <v>2544511</v>
      </c>
      <c r="C45" t="str">
        <f>IFERROR(__xludf.DUMMYFUNCTION("""COMPUTED_VALUE"""),"Kubernetes y docker en AWS desde cero")</f>
        <v>Kubernetes y docker en AWS desde cero</v>
      </c>
    </row>
    <row r="46">
      <c r="A46" s="140" t="str">
        <f>IFERROR(__xludf.DUMMYFUNCTION("""COMPUTED_VALUE"""),"zh")</f>
        <v>zh</v>
      </c>
      <c r="B46">
        <f>IFERROR(__xludf.DUMMYFUNCTION("""COMPUTED_VALUE"""),2123792.0)</f>
        <v>2123792</v>
      </c>
      <c r="C46" t="str">
        <f>IFERROR(__xludf.DUMMYFUNCTION("""COMPUTED_VALUE"""),"CCNA++ 2020 最新 CCNA 200-301 视频教程(提供实验环境和手册）")</f>
        <v>CCNA++ 2020 最新 CCNA 200-301 视频教程(提供实验环境和手册）</v>
      </c>
    </row>
    <row r="47">
      <c r="A47" s="140" t="str">
        <f>IFERROR(__xludf.DUMMYFUNCTION("""COMPUTED_VALUE"""),"en")</f>
        <v>en</v>
      </c>
      <c r="B47">
        <f>IFERROR(__xludf.DUMMYFUNCTION("""COMPUTED_VALUE"""),419458.0)</f>
        <v>419458</v>
      </c>
      <c r="C47" t="str">
        <f>IFERROR(__xludf.DUMMYFUNCTION("""COMPUTED_VALUE"""),"Ubuntu Linux Server Basics")</f>
        <v>Ubuntu Linux Server Basics</v>
      </c>
    </row>
    <row r="48">
      <c r="A48" s="140" t="str">
        <f>IFERROR(__xludf.DUMMYFUNCTION("""COMPUTED_VALUE"""),"es")</f>
        <v>es</v>
      </c>
      <c r="B48">
        <f>IFERROR(__xludf.DUMMYFUNCTION("""COMPUTED_VALUE"""),2309192.0)</f>
        <v>2309192</v>
      </c>
      <c r="C48" t="str">
        <f>IFERROR(__xludf.DUMMYFUNCTION("""COMPUTED_VALUE"""),"Talento Humano 3.0 analizando lo nuevo de recursos humanos")</f>
        <v>Talento Humano 3.0 analizando lo nuevo de recursos humanos</v>
      </c>
    </row>
    <row r="49">
      <c r="A49" s="140" t="str">
        <f>IFERROR(__xludf.DUMMYFUNCTION("""COMPUTED_VALUE"""),"zh")</f>
        <v>zh</v>
      </c>
      <c r="B49">
        <f>IFERROR(__xludf.DUMMYFUNCTION("""COMPUTED_VALUE"""),2463934.0)</f>
        <v>2463934</v>
      </c>
      <c r="C49" t="str">
        <f>IFERROR(__xludf.DUMMYFUNCTION("""COMPUTED_VALUE"""),"机器学习实训营（算法推导+代码复现）")</f>
        <v>机器学习实训营（算法推导+代码复现）</v>
      </c>
    </row>
    <row r="50">
      <c r="A50" s="140" t="str">
        <f>IFERROR(__xludf.DUMMYFUNCTION("""COMPUTED_VALUE"""),"tr")</f>
        <v>tr</v>
      </c>
      <c r="B50">
        <f>IFERROR(__xludf.DUMMYFUNCTION("""COMPUTED_VALUE"""),3212307.0)</f>
        <v>3212307</v>
      </c>
      <c r="C50" t="str">
        <f>IFERROR(__xludf.DUMMYFUNCTION("""COMPUTED_VALUE"""),"Yazılım Temel Başlangıç Eğitimi")</f>
        <v>Yazılım Temel Başlangıç Eğitimi</v>
      </c>
    </row>
    <row r="51">
      <c r="A51" s="140" t="str">
        <f>IFERROR(__xludf.DUMMYFUNCTION("""COMPUTED_VALUE"""),"en")</f>
        <v>en</v>
      </c>
      <c r="B51">
        <f>IFERROR(__xludf.DUMMYFUNCTION("""COMPUTED_VALUE"""),1422532.0)</f>
        <v>1422532</v>
      </c>
      <c r="C51" t="str">
        <f>IFERROR(__xludf.DUMMYFUNCTION("""COMPUTED_VALUE"""),"A Beginner's Guide To Machine Learning with Unity")</f>
        <v>A Beginner's Guide To Machine Learning with Unity</v>
      </c>
    </row>
    <row r="52">
      <c r="A52" s="140" t="str">
        <f>IFERROR(__xludf.DUMMYFUNCTION("""COMPUTED_VALUE"""),"ja")</f>
        <v>ja</v>
      </c>
      <c r="B52">
        <f>IFERROR(__xludf.DUMMYFUNCTION("""COMPUTED_VALUE"""),3990208.0)</f>
        <v>3990208</v>
      </c>
      <c r="C52" t="str">
        <f>IFERROR(__xludf.DUMMYFUNCTION("""COMPUTED_VALUE"""),"エンジニアのためのコミュニケーション講座")</f>
        <v>エンジニアのためのコミュニケーション講座</v>
      </c>
    </row>
    <row r="53">
      <c r="A53" s="140" t="str">
        <f>IFERROR(__xludf.DUMMYFUNCTION("""COMPUTED_VALUE"""),"en")</f>
        <v>en</v>
      </c>
      <c r="B53">
        <f>IFERROR(__xludf.DUMMYFUNCTION("""COMPUTED_VALUE"""),299398.0)</f>
        <v>299398</v>
      </c>
      <c r="C53" t="str">
        <f>IFERROR(__xludf.DUMMYFUNCTION("""COMPUTED_VALUE"""),"Relational Database Design")</f>
        <v>Relational Database Design</v>
      </c>
    </row>
    <row r="54">
      <c r="A54" s="140" t="str">
        <f>IFERROR(__xludf.DUMMYFUNCTION("""COMPUTED_VALUE"""),"en")</f>
        <v>en</v>
      </c>
      <c r="B54">
        <f>IFERROR(__xludf.DUMMYFUNCTION("""COMPUTED_VALUE"""),920604.0)</f>
        <v>920604</v>
      </c>
      <c r="C54" t="str">
        <f>IFERROR(__xludf.DUMMYFUNCTION("""COMPUTED_VALUE"""),"Introduction to Financial Modeling for Beginners")</f>
        <v>Introduction to Financial Modeling for Beginners</v>
      </c>
    </row>
    <row r="55">
      <c r="A55" s="140" t="str">
        <f>IFERROR(__xludf.DUMMYFUNCTION("""COMPUTED_VALUE"""),"en")</f>
        <v>en</v>
      </c>
      <c r="B55">
        <f>IFERROR(__xludf.DUMMYFUNCTION("""COMPUTED_VALUE"""),635302.0)</f>
        <v>635302</v>
      </c>
      <c r="C55" t="str">
        <f>IFERROR(__xludf.DUMMYFUNCTION("""COMPUTED_VALUE"""),"Asterisk Administrators Guide to VoIP Polycom IP SIP Phones")</f>
        <v>Asterisk Administrators Guide to VoIP Polycom IP SIP Phones</v>
      </c>
    </row>
    <row r="56">
      <c r="A56" s="140" t="str">
        <f>IFERROR(__xludf.DUMMYFUNCTION("""COMPUTED_VALUE"""),"en")</f>
        <v>en</v>
      </c>
      <c r="B56">
        <f>IFERROR(__xludf.DUMMYFUNCTION("""COMPUTED_VALUE"""),1938954.0)</f>
        <v>1938954</v>
      </c>
      <c r="C56" t="str">
        <f>IFERROR(__xludf.DUMMYFUNCTION("""COMPUTED_VALUE"""),"Photography MasterClass | 25 Hours of Content For All Levels")</f>
        <v>Photography MasterClass | 25 Hours of Content For All Levels</v>
      </c>
    </row>
    <row r="57">
      <c r="A57" s="140" t="str">
        <f>IFERROR(__xludf.DUMMYFUNCTION("""COMPUTED_VALUE"""),"ar")</f>
        <v>ar</v>
      </c>
      <c r="B57">
        <f>IFERROR(__xludf.DUMMYFUNCTION("""COMPUTED_VALUE"""),1761126.0)</f>
        <v>1761126</v>
      </c>
      <c r="C57" t="str">
        <f>IFERROR(__xludf.DUMMYFUNCTION("""COMPUTED_VALUE"""),"ماكينات التشغيل بالتحكم العددي (CNC)")</f>
        <v>ماكينات التشغيل بالتحكم العددي (CNC)</v>
      </c>
    </row>
    <row r="58">
      <c r="A58" s="140" t="str">
        <f>IFERROR(__xludf.DUMMYFUNCTION("""COMPUTED_VALUE"""),"en")</f>
        <v>en</v>
      </c>
      <c r="B58">
        <f>IFERROR(__xludf.DUMMYFUNCTION("""COMPUTED_VALUE"""),1519414.0)</f>
        <v>1519414</v>
      </c>
      <c r="C58" t="str">
        <f>IFERROR(__xludf.DUMMYFUNCTION("""COMPUTED_VALUE"""),"ABC of Cisco SD-WAN Viptela Part 1")</f>
        <v>ABC of Cisco SD-WAN Viptela Part 1</v>
      </c>
    </row>
    <row r="59">
      <c r="A59" s="140" t="str">
        <f>IFERROR(__xludf.DUMMYFUNCTION("""COMPUTED_VALUE"""),"pt")</f>
        <v>pt</v>
      </c>
      <c r="B59">
        <f>IFERROR(__xludf.DUMMYFUNCTION("""COMPUTED_VALUE"""),2972470.0)</f>
        <v>2972470</v>
      </c>
      <c r="C59" t="str">
        <f>IFERROR(__xludf.DUMMYFUNCTION("""COMPUTED_VALUE"""),"Formação em Redes de Computadores - Módulo 4")</f>
        <v>Formação em Redes de Computadores - Módulo 4</v>
      </c>
    </row>
    <row r="60">
      <c r="A60" s="140" t="str">
        <f>IFERROR(__xludf.DUMMYFUNCTION("""COMPUTED_VALUE"""),"pt")</f>
        <v>pt</v>
      </c>
      <c r="B60">
        <f>IFERROR(__xludf.DUMMYFUNCTION("""COMPUTED_VALUE"""),1854046.0)</f>
        <v>1854046</v>
      </c>
      <c r="C60" t="str">
        <f>IFERROR(__xludf.DUMMYFUNCTION("""COMPUTED_VALUE"""),"Diagramação de Revistas: Completo do digital ao Impresso")</f>
        <v>Diagramação de Revistas: Completo do digital ao Impresso</v>
      </c>
    </row>
    <row r="61">
      <c r="A61" s="140" t="str">
        <f>IFERROR(__xludf.DUMMYFUNCTION("""COMPUTED_VALUE"""),"de")</f>
        <v>de</v>
      </c>
      <c r="B61">
        <f>IFERROR(__xludf.DUMMYFUNCTION("""COMPUTED_VALUE"""),3626866.0)</f>
        <v>3626866</v>
      </c>
      <c r="C61" t="str">
        <f>IFERROR(__xludf.DUMMYFUNCTION("""COMPUTED_VALUE"""),"Englisch für Anfänger (A1) | Englisch lernen leicht gemacht")</f>
        <v>Englisch für Anfänger (A1) | Englisch lernen leicht gemacht</v>
      </c>
    </row>
    <row r="62">
      <c r="A62" s="140" t="str">
        <f>IFERROR(__xludf.DUMMYFUNCTION("""COMPUTED_VALUE"""),"en")</f>
        <v>en</v>
      </c>
      <c r="B62">
        <f>IFERROR(__xludf.DUMMYFUNCTION("""COMPUTED_VALUE"""),341182.0)</f>
        <v>341182</v>
      </c>
      <c r="C62" t="str">
        <f>IFERROR(__xludf.DUMMYFUNCTION("""COMPUTED_VALUE"""),"Meet your brain: a short introduction to neuroscience")</f>
        <v>Meet your brain: a short introduction to neuroscience</v>
      </c>
    </row>
    <row r="63">
      <c r="A63" s="140" t="str">
        <f>IFERROR(__xludf.DUMMYFUNCTION("""COMPUTED_VALUE"""),"en")</f>
        <v>en</v>
      </c>
      <c r="B63">
        <f>IFERROR(__xludf.DUMMYFUNCTION("""COMPUTED_VALUE"""),3100552.0)</f>
        <v>3100552</v>
      </c>
      <c r="C63" t="str">
        <f>IFERROR(__xludf.DUMMYFUNCTION("""COMPUTED_VALUE"""),"Artificial Intelligence for Finance, Accounting &amp; Auditing")</f>
        <v>Artificial Intelligence for Finance, Accounting &amp; Auditing</v>
      </c>
    </row>
    <row r="64">
      <c r="A64" s="140" t="str">
        <f>IFERROR(__xludf.DUMMYFUNCTION("""COMPUTED_VALUE"""),"ja")</f>
        <v>ja</v>
      </c>
      <c r="B64">
        <f>IFERROR(__xludf.DUMMYFUNCTION("""COMPUTED_VALUE"""),564216.0)</f>
        <v>564216</v>
      </c>
      <c r="C64" t="str">
        <f>IFERROR(__xludf.DUMMYFUNCTION("""COMPUTED_VALUE"""),"作業時間を1／10にするエクセルHACK術！")</f>
        <v>作業時間を1／10にするエクセルHACK術！</v>
      </c>
    </row>
    <row r="65">
      <c r="A65" s="140" t="str">
        <f>IFERROR(__xludf.DUMMYFUNCTION("""COMPUTED_VALUE"""),"es")</f>
        <v>es</v>
      </c>
      <c r="B65">
        <f>IFERROR(__xludf.DUMMYFUNCTION("""COMPUTED_VALUE"""),3378794.0)</f>
        <v>3378794</v>
      </c>
      <c r="C65" t="str">
        <f>IFERROR(__xludf.DUMMYFUNCTION("""COMPUTED_VALUE"""),"Mapa de Historias de Usuario - Taller de User Story Mapping")</f>
        <v>Mapa de Historias de Usuario - Taller de User Story Mapping</v>
      </c>
    </row>
    <row r="66">
      <c r="A66" s="140" t="str">
        <f>IFERROR(__xludf.DUMMYFUNCTION("""COMPUTED_VALUE"""),"en")</f>
        <v>en</v>
      </c>
      <c r="B66">
        <f>IFERROR(__xludf.DUMMYFUNCTION("""COMPUTED_VALUE"""),2994426.0)</f>
        <v>2994426</v>
      </c>
      <c r="C66" t="str">
        <f>IFERROR(__xludf.DUMMYFUNCTION("""COMPUTED_VALUE"""),"Complete React Native in 2022: Zero to Mastery (with Hooks)")</f>
        <v>Complete React Native in 2022: Zero to Mastery (with Hooks)</v>
      </c>
    </row>
    <row r="67">
      <c r="A67" s="140" t="str">
        <f>IFERROR(__xludf.DUMMYFUNCTION("""COMPUTED_VALUE"""),"en")</f>
        <v>en</v>
      </c>
      <c r="B67">
        <f>IFERROR(__xludf.DUMMYFUNCTION("""COMPUTED_VALUE"""),2378730.0)</f>
        <v>2378730</v>
      </c>
      <c r="C67" t="str">
        <f>IFERROR(__xludf.DUMMYFUNCTION("""COMPUTED_VALUE"""),"Django Rest Framework")</f>
        <v>Django Rest Framework</v>
      </c>
    </row>
    <row r="68">
      <c r="A68" s="140" t="str">
        <f>IFERROR(__xludf.DUMMYFUNCTION("""COMPUTED_VALUE"""),"en")</f>
        <v>en</v>
      </c>
      <c r="B68">
        <f>IFERROR(__xludf.DUMMYFUNCTION("""COMPUTED_VALUE"""),1911248.0)</f>
        <v>1911248</v>
      </c>
      <c r="C68" t="str">
        <f>IFERROR(__xludf.DUMMYFUNCTION("""COMPUTED_VALUE"""),"TOTAL: AWS Solutions Architect SAA-C02 Practice Tests.")</f>
        <v>TOTAL: AWS Solutions Architect SAA-C02 Practice Tests.</v>
      </c>
    </row>
    <row r="69">
      <c r="A69" s="140" t="str">
        <f>IFERROR(__xludf.DUMMYFUNCTION("""COMPUTED_VALUE"""),"en")</f>
        <v>en</v>
      </c>
      <c r="B69">
        <f>IFERROR(__xludf.DUMMYFUNCTION("""COMPUTED_VALUE"""),778340.0)</f>
        <v>778340</v>
      </c>
      <c r="C69" t="str">
        <f>IFERROR(__xludf.DUMMYFUNCTION("""COMPUTED_VALUE"""),"Write to Ignite - Master the Art of Sales Copy &amp; Copywriting")</f>
        <v>Write to Ignite - Master the Art of Sales Copy &amp; Copywriting</v>
      </c>
    </row>
    <row r="70">
      <c r="A70" s="140" t="str">
        <f>IFERROR(__xludf.DUMMYFUNCTION("""COMPUTED_VALUE"""),"en")</f>
        <v>en</v>
      </c>
      <c r="B70">
        <f>IFERROR(__xludf.DUMMYFUNCTION("""COMPUTED_VALUE"""),633976.0)</f>
        <v>633976</v>
      </c>
      <c r="C70" t="str">
        <f>IFERROR(__xludf.DUMMYFUNCTION("""COMPUTED_VALUE"""),"Success: How To Take Your Life From Good To Great To Amazing")</f>
        <v>Success: How To Take Your Life From Good To Great To Amazing</v>
      </c>
    </row>
    <row r="71">
      <c r="A71" s="140" t="str">
        <f>IFERROR(__xludf.DUMMYFUNCTION("""COMPUTED_VALUE"""),"en")</f>
        <v>en</v>
      </c>
      <c r="B71">
        <f>IFERROR(__xludf.DUMMYFUNCTION("""COMPUTED_VALUE"""),913448.0)</f>
        <v>913448</v>
      </c>
      <c r="C71" t="str">
        <f>IFERROR(__xludf.DUMMYFUNCTION("""COMPUTED_VALUE"""),"Python A-Z™: Python For Data Science With Real Exercises!")</f>
        <v>Python A-Z™: Python For Data Science With Real Exercises!</v>
      </c>
    </row>
    <row r="72">
      <c r="A72" s="140" t="str">
        <f>IFERROR(__xludf.DUMMYFUNCTION("""COMPUTED_VALUE"""),"de")</f>
        <v>de</v>
      </c>
      <c r="B72">
        <f>IFERROR(__xludf.DUMMYFUNCTION("""COMPUTED_VALUE"""),1609536.0)</f>
        <v>1609536</v>
      </c>
      <c r="C72" t="str">
        <f>IFERROR(__xludf.DUMMYFUNCTION("""COMPUTED_VALUE"""),"Präsentieren und Reden halten - Das Präsentationstraining")</f>
        <v>Präsentieren und Reden halten - Das Präsentationstraining</v>
      </c>
    </row>
    <row r="73">
      <c r="A73" s="140" t="str">
        <f>IFERROR(__xludf.DUMMYFUNCTION("""COMPUTED_VALUE"""),"fr")</f>
        <v>fr</v>
      </c>
      <c r="B73">
        <f>IFERROR(__xludf.DUMMYFUNCTION("""COMPUTED_VALUE"""),2216848.0)</f>
        <v>2216848</v>
      </c>
      <c r="C73" t="str">
        <f>IFERROR(__xludf.DUMMYFUNCTION("""COMPUTED_VALUE"""),"Le trading facile grâce à Heikin Ashi")</f>
        <v>Le trading facile grâce à Heikin Ashi</v>
      </c>
    </row>
    <row r="74">
      <c r="A74" s="140" t="str">
        <f>IFERROR(__xludf.DUMMYFUNCTION("""COMPUTED_VALUE"""),"ja")</f>
        <v>ja</v>
      </c>
      <c r="B74">
        <f>IFERROR(__xludf.DUMMYFUNCTION("""COMPUTED_VALUE"""),2307940.0)</f>
        <v>2307940</v>
      </c>
      <c r="C74" t="str">
        <f>IFERROR(__xludf.DUMMYFUNCTION("""COMPUTED_VALUE"""),"はじめての働き方改革")</f>
        <v>はじめての働き方改革</v>
      </c>
    </row>
    <row r="75">
      <c r="A75" s="140" t="str">
        <f>IFERROR(__xludf.DUMMYFUNCTION("""COMPUTED_VALUE"""),"tr")</f>
        <v>tr</v>
      </c>
      <c r="B75">
        <f>IFERROR(__xludf.DUMMYFUNCTION("""COMPUTED_VALUE"""),2217974.0)</f>
        <v>2217974</v>
      </c>
      <c r="C75" t="str">
        <f>IFERROR(__xludf.DUMMYFUNCTION("""COMPUTED_VALUE"""),"Temel İngilizce Dilbilgisi - 1 (Tüm Konular)")</f>
        <v>Temel İngilizce Dilbilgisi - 1 (Tüm Konular)</v>
      </c>
    </row>
    <row r="76">
      <c r="A76" s="140" t="str">
        <f>IFERROR(__xludf.DUMMYFUNCTION("""COMPUTED_VALUE"""),"en")</f>
        <v>en</v>
      </c>
      <c r="B76">
        <f>IFERROR(__xludf.DUMMYFUNCTION("""COMPUTED_VALUE"""),1075954.0)</f>
        <v>1075954</v>
      </c>
      <c r="C76" t="str">
        <f>IFERROR(__xludf.DUMMYFUNCTION("""COMPUTED_VALUE"""),"Digital Signal Processing (DSP) From Ground Up™ with MATLAB")</f>
        <v>Digital Signal Processing (DSP) From Ground Up™ with MATLAB</v>
      </c>
    </row>
    <row r="77">
      <c r="A77" s="140" t="str">
        <f>IFERROR(__xludf.DUMMYFUNCTION("""COMPUTED_VALUE"""),"en")</f>
        <v>en</v>
      </c>
      <c r="B77">
        <f>IFERROR(__xludf.DUMMYFUNCTION("""COMPUTED_VALUE"""),1951644.0)</f>
        <v>1951644</v>
      </c>
      <c r="C77" t="str">
        <f>IFERROR(__xludf.DUMMYFUNCTION("""COMPUTED_VALUE"""),"Certified Lean Specialist | Lean Management (Accredited)")</f>
        <v>Certified Lean Specialist | Lean Management (Accredited)</v>
      </c>
    </row>
    <row r="78">
      <c r="A78" s="140" t="str">
        <f>IFERROR(__xludf.DUMMYFUNCTION("""COMPUTED_VALUE"""),"en")</f>
        <v>en</v>
      </c>
      <c r="B78">
        <f>IFERROR(__xludf.DUMMYFUNCTION("""COMPUTED_VALUE"""),3766328.0)</f>
        <v>3766328</v>
      </c>
      <c r="C78" t="str">
        <f>IFERROR(__xludf.DUMMYFUNCTION("""COMPUTED_VALUE"""),"Electric Motor Design for Electric Vehicle's - Advanced")</f>
        <v>Electric Motor Design for Electric Vehicle's - Advanced</v>
      </c>
    </row>
    <row r="79">
      <c r="A79" s="140" t="str">
        <f>IFERROR(__xludf.DUMMYFUNCTION("""COMPUTED_VALUE"""),"es")</f>
        <v>es</v>
      </c>
      <c r="B79">
        <f>IFERROR(__xludf.DUMMYFUNCTION("""COMPUTED_VALUE"""),1446504.0)</f>
        <v>1446504</v>
      </c>
      <c r="C79" t="str">
        <f>IFERROR(__xludf.DUMMYFUNCTION("""COMPUTED_VALUE"""),"Como hacer ventas con llamada en frío (cold calling)")</f>
        <v>Como hacer ventas con llamada en frío (cold calling)</v>
      </c>
    </row>
    <row r="80">
      <c r="A80" s="140" t="str">
        <f>IFERROR(__xludf.DUMMYFUNCTION("""COMPUTED_VALUE"""),"en")</f>
        <v>en</v>
      </c>
      <c r="B80">
        <f>IFERROR(__xludf.DUMMYFUNCTION("""COMPUTED_VALUE"""),1909942.0)</f>
        <v>1909942</v>
      </c>
      <c r="C80" t="str">
        <f>IFERROR(__xludf.DUMMYFUNCTION("""COMPUTED_VALUE"""),"Master Network Automation with Python for Network Engineers")</f>
        <v>Master Network Automation with Python for Network Engineers</v>
      </c>
    </row>
    <row r="81">
      <c r="A81" s="140" t="str">
        <f>IFERROR(__xludf.DUMMYFUNCTION("""COMPUTED_VALUE"""),"en")</f>
        <v>en</v>
      </c>
      <c r="B81">
        <f>IFERROR(__xludf.DUMMYFUNCTION("""COMPUTED_VALUE"""),1378318.0)</f>
        <v>1378318</v>
      </c>
      <c r="C81" t="str">
        <f>IFERROR(__xludf.DUMMYFUNCTION("""COMPUTED_VALUE"""),"Economics: Market Forces of demand, supply and equilibrium")</f>
        <v>Economics: Market Forces of demand, supply and equilibrium</v>
      </c>
    </row>
    <row r="82">
      <c r="A82" s="140" t="str">
        <f>IFERROR(__xludf.DUMMYFUNCTION("""COMPUTED_VALUE"""),"es")</f>
        <v>es</v>
      </c>
      <c r="B82">
        <f>IFERROR(__xludf.DUMMYFUNCTION("""COMPUTED_VALUE"""),3914984.0)</f>
        <v>3914984</v>
      </c>
      <c r="C82" t="str">
        <f>IFERROR(__xludf.DUMMYFUNCTION("""COMPUTED_VALUE"""),"Curso WebApis Restful con NET, Redis, Docker, SQL Server")</f>
        <v>Curso WebApis Restful con NET, Redis, Docker, SQL Server</v>
      </c>
    </row>
    <row r="83">
      <c r="A83" s="140" t="str">
        <f>IFERROR(__xludf.DUMMYFUNCTION("""COMPUTED_VALUE"""),"es")</f>
        <v>es</v>
      </c>
      <c r="B83">
        <f>IFERROR(__xludf.DUMMYFUNCTION("""COMPUTED_VALUE"""),245880.0)</f>
        <v>245880</v>
      </c>
      <c r="C83" t="str">
        <f>IFERROR(__xludf.DUMMYFUNCTION("""COMPUTED_VALUE"""),"Master en Inteligencia Emocional y Soft Skills YPD")</f>
        <v>Master en Inteligencia Emocional y Soft Skills YPD</v>
      </c>
    </row>
    <row r="84">
      <c r="A84" s="140" t="str">
        <f>IFERROR(__xludf.DUMMYFUNCTION("""COMPUTED_VALUE"""),"ja")</f>
        <v>ja</v>
      </c>
      <c r="B84">
        <f>IFERROR(__xludf.DUMMYFUNCTION("""COMPUTED_VALUE"""),637672.0)</f>
        <v>637672</v>
      </c>
      <c r="C84" t="str">
        <f>IFERROR(__xludf.DUMMYFUNCTION("""COMPUTED_VALUE"""),"Illustrator 基礎からプロレベルまで　完全ですべてをゼロから最短で学べる標準Illustratorコース")</f>
        <v>Illustrator 基礎からプロレベルまで　完全ですべてをゼロから最短で学べる標準Illustratorコース</v>
      </c>
    </row>
    <row r="85">
      <c r="A85" s="140" t="str">
        <f>IFERROR(__xludf.DUMMYFUNCTION("""COMPUTED_VALUE"""),"es")</f>
        <v>es</v>
      </c>
      <c r="B85">
        <f>IFERROR(__xludf.DUMMYFUNCTION("""COMPUTED_VALUE"""),1766412.0)</f>
        <v>1766412</v>
      </c>
      <c r="C85" t="str">
        <f>IFERROR(__xludf.DUMMYFUNCTION("""COMPUTED_VALUE"""),"Buenondismo - Qué  hacer con el miedo")</f>
        <v>Buenondismo - Qué  hacer con el miedo</v>
      </c>
    </row>
    <row r="86">
      <c r="A86" s="140" t="str">
        <f>IFERROR(__xludf.DUMMYFUNCTION("""COMPUTED_VALUE"""),"en")</f>
        <v>en</v>
      </c>
      <c r="B86">
        <f>IFERROR(__xludf.DUMMYFUNCTION("""COMPUTED_VALUE"""),2403812.0)</f>
        <v>2403812</v>
      </c>
      <c r="C86" t="str">
        <f>IFERROR(__xludf.DUMMYFUNCTION("""COMPUTED_VALUE"""),"BEGINNER 5 STRING BANJO - Learn Banjo From Scratch! Banjo")</f>
        <v>BEGINNER 5 STRING BANJO - Learn Banjo From Scratch! Banjo</v>
      </c>
    </row>
    <row r="87">
      <c r="A87" s="140" t="str">
        <f>IFERROR(__xludf.DUMMYFUNCTION("""COMPUTED_VALUE"""),"en")</f>
        <v>en</v>
      </c>
      <c r="B87">
        <f>IFERROR(__xludf.DUMMYFUNCTION("""COMPUTED_VALUE"""),1309904.0)</f>
        <v>1309904</v>
      </c>
      <c r="C87" t="str">
        <f>IFERROR(__xludf.DUMMYFUNCTION("""COMPUTED_VALUE"""),"Influencing Others Positively at Work and in Life")</f>
        <v>Influencing Others Positively at Work and in Life</v>
      </c>
    </row>
    <row r="88">
      <c r="A88" s="140" t="str">
        <f>IFERROR(__xludf.DUMMYFUNCTION("""COMPUTED_VALUE"""),"es")</f>
        <v>es</v>
      </c>
      <c r="B88">
        <f>IFERROR(__xludf.DUMMYFUNCTION("""COMPUTED_VALUE"""),2652584.0)</f>
        <v>2652584</v>
      </c>
      <c r="C88" t="str">
        <f>IFERROR(__xludf.DUMMYFUNCTION("""COMPUTED_VALUE"""),"Pinterest Marketing para Principiantes")</f>
        <v>Pinterest Marketing para Principiantes</v>
      </c>
    </row>
    <row r="89">
      <c r="A89" s="140" t="str">
        <f>IFERROR(__xludf.DUMMYFUNCTION("""COMPUTED_VALUE"""),"es")</f>
        <v>es</v>
      </c>
      <c r="B89">
        <f>IFERROR(__xludf.DUMMYFUNCTION("""COMPUTED_VALUE"""),3631324.0)</f>
        <v>3631324</v>
      </c>
      <c r="C89" t="str">
        <f>IFERROR(__xludf.DUMMYFUNCTION("""COMPUTED_VALUE"""),"El curso más completo de testing - Bootcamp de 0 a 100")</f>
        <v>El curso más completo de testing - Bootcamp de 0 a 100</v>
      </c>
    </row>
    <row r="90">
      <c r="A90" s="140" t="str">
        <f>IFERROR(__xludf.DUMMYFUNCTION("""COMPUTED_VALUE"""),"en")</f>
        <v>en</v>
      </c>
      <c r="B90">
        <f>IFERROR(__xludf.DUMMYFUNCTION("""COMPUTED_VALUE"""),1755992.0)</f>
        <v>1755992</v>
      </c>
      <c r="C90" t="str">
        <f>IFERROR(__xludf.DUMMYFUNCTION("""COMPUTED_VALUE"""),"Upgrade from JSP to Thymeleaf with SpringMVC and Spring Boot")</f>
        <v>Upgrade from JSP to Thymeleaf with SpringMVC and Spring Boot</v>
      </c>
    </row>
    <row r="91">
      <c r="A91" s="140" t="str">
        <f>IFERROR(__xludf.DUMMYFUNCTION("""COMPUTED_VALUE"""),"tr")</f>
        <v>tr</v>
      </c>
      <c r="B91">
        <f>IFERROR(__xludf.DUMMYFUNCTION("""COMPUTED_VALUE"""),1617308.0)</f>
        <v>1617308</v>
      </c>
      <c r="C91" t="str">
        <f>IFERROR(__xludf.DUMMYFUNCTION("""COMPUTED_VALUE"""),"Visual Studio ile Git, GitHub, BitBucket ve TFS Kullanımı")</f>
        <v>Visual Studio ile Git, GitHub, BitBucket ve TFS Kullanımı</v>
      </c>
    </row>
    <row r="92">
      <c r="A92" s="140" t="str">
        <f>IFERROR(__xludf.DUMMYFUNCTION("""COMPUTED_VALUE"""),"en")</f>
        <v>en</v>
      </c>
      <c r="B92">
        <f>IFERROR(__xludf.DUMMYFUNCTION("""COMPUTED_VALUE"""),358540.0)</f>
        <v>358540</v>
      </c>
      <c r="C92" t="str">
        <f>IFERROR(__xludf.DUMMYFUNCTION("""COMPUTED_VALUE"""),"Java In-Depth: Become a Complete Java Engineer!")</f>
        <v>Java In-Depth: Become a Complete Java Engineer!</v>
      </c>
    </row>
    <row r="93">
      <c r="A93" s="140" t="str">
        <f>IFERROR(__xludf.DUMMYFUNCTION("""COMPUTED_VALUE"""),"en")</f>
        <v>en</v>
      </c>
      <c r="B93">
        <f>IFERROR(__xludf.DUMMYFUNCTION("""COMPUTED_VALUE"""),1311030.0)</f>
        <v>1311030</v>
      </c>
      <c r="C93" t="str">
        <f>IFERROR(__xludf.DUMMYFUNCTION("""COMPUTED_VALUE"""),"Process Flowcharts &amp; Process Mapping - The Beginner's Guide")</f>
        <v>Process Flowcharts &amp; Process Mapping - The Beginner's Guide</v>
      </c>
    </row>
    <row r="94">
      <c r="A94" s="140" t="str">
        <f>IFERROR(__xludf.DUMMYFUNCTION("""COMPUTED_VALUE"""),"en")</f>
        <v>en</v>
      </c>
      <c r="B94">
        <f>IFERROR(__xludf.DUMMYFUNCTION("""COMPUTED_VALUE"""),2514204.0)</f>
        <v>2514204</v>
      </c>
      <c r="C94" t="str">
        <f>IFERROR(__xludf.DUMMYFUNCTION("""COMPUTED_VALUE"""),"AZ-900: Microsoft Azure Fundamentals Original Practice Tests")</f>
        <v>AZ-900: Microsoft Azure Fundamentals Original Practice Tests</v>
      </c>
    </row>
    <row r="95">
      <c r="A95" s="140" t="str">
        <f>IFERROR(__xludf.DUMMYFUNCTION("""COMPUTED_VALUE"""),"es")</f>
        <v>es</v>
      </c>
      <c r="B95">
        <f>IFERROR(__xludf.DUMMYFUNCTION("""COMPUTED_VALUE"""),1227280.0)</f>
        <v>1227280</v>
      </c>
      <c r="C95" t="str">
        <f>IFERROR(__xludf.DUMMYFUNCTION("""COMPUTED_VALUE"""),"Curso de GNU/Linux con CentOS y Debian (I - Gestión y Admin)")</f>
        <v>Curso de GNU/Linux con CentOS y Debian (I - Gestión y Admin)</v>
      </c>
    </row>
    <row r="96">
      <c r="A96" s="140" t="str">
        <f>IFERROR(__xludf.DUMMYFUNCTION("""COMPUTED_VALUE"""),"es")</f>
        <v>es</v>
      </c>
      <c r="B96">
        <f>IFERROR(__xludf.DUMMYFUNCTION("""COMPUTED_VALUE"""),1251176.0)</f>
        <v>1251176</v>
      </c>
      <c r="C96" t="str">
        <f>IFERROR(__xludf.DUMMYFUNCTION("""COMPUTED_VALUE"""),"Curso Certificado de Mindfulness (Niveles I II III &amp; Master)")</f>
        <v>Curso Certificado de Mindfulness (Niveles I II III &amp; Master)</v>
      </c>
    </row>
    <row r="97">
      <c r="A97" s="140" t="str">
        <f>IFERROR(__xludf.DUMMYFUNCTION("""COMPUTED_VALUE"""),"pt")</f>
        <v>pt</v>
      </c>
      <c r="B97">
        <f>IFERROR(__xludf.DUMMYFUNCTION("""COMPUTED_VALUE"""),3615068.0)</f>
        <v>3615068</v>
      </c>
      <c r="C97" t="str">
        <f>IFERROR(__xludf.DUMMYFUNCTION("""COMPUTED_VALUE"""),"Python para Finanças: Análise de Dados e Machine Learning")</f>
        <v>Python para Finanças: Análise de Dados e Machine Learning</v>
      </c>
    </row>
    <row r="98">
      <c r="A98" s="140" t="str">
        <f>IFERROR(__xludf.DUMMYFUNCTION("""COMPUTED_VALUE"""),"en")</f>
        <v>en</v>
      </c>
      <c r="B98">
        <f>IFERROR(__xludf.DUMMYFUNCTION("""COMPUTED_VALUE"""),3210895.0)</f>
        <v>3210895</v>
      </c>
      <c r="C98" t="str">
        <f>IFERROR(__xludf.DUMMYFUNCTION("""COMPUTED_VALUE"""),"MO-201 Complete Techniques for the MOS Excel Expert Exam")</f>
        <v>MO-201 Complete Techniques for the MOS Excel Expert Exam</v>
      </c>
    </row>
    <row r="99">
      <c r="A99" s="140" t="str">
        <f>IFERROR(__xludf.DUMMYFUNCTION("""COMPUTED_VALUE"""),"pt")</f>
        <v>pt</v>
      </c>
      <c r="B99">
        <f>IFERROR(__xludf.DUMMYFUNCTION("""COMPUTED_VALUE"""),2703528.0)</f>
        <v>2703528</v>
      </c>
      <c r="C99" t="str">
        <f>IFERROR(__xludf.DUMMYFUNCTION("""COMPUTED_VALUE"""),"Azure Boards : Gerenciamento de Projetos com Azure DevOps")</f>
        <v>Azure Boards : Gerenciamento de Projetos com Azure DevOps</v>
      </c>
    </row>
    <row r="100">
      <c r="A100" s="140" t="str">
        <f>IFERROR(__xludf.DUMMYFUNCTION("""COMPUTED_VALUE"""),"tr")</f>
        <v>tr</v>
      </c>
      <c r="B100">
        <f>IFERROR(__xludf.DUMMYFUNCTION("""COMPUTED_VALUE"""),2596618.0)</f>
        <v>2596618</v>
      </c>
      <c r="C100" t="str">
        <f>IFERROR(__xludf.DUMMYFUNCTION("""COMPUTED_VALUE"""),".NET Core 3.0 &amp; C# 7 Backend Frontend Geliştirici Kursu - 3")</f>
        <v>.NET Core 3.0 &amp; C# 7 Backend Frontend Geliştirici Kursu - 3</v>
      </c>
    </row>
    <row r="101">
      <c r="A101" s="140" t="str">
        <f>IFERROR(__xludf.DUMMYFUNCTION("""COMPUTED_VALUE"""),"en")</f>
        <v>en</v>
      </c>
      <c r="B101">
        <f>IFERROR(__xludf.DUMMYFUNCTION("""COMPUTED_VALUE"""),49250.0)</f>
        <v>49250</v>
      </c>
      <c r="C101" t="str">
        <f>IFERROR(__xludf.DUMMYFUNCTION("""COMPUTED_VALUE"""),"Microsoft Excel - From Beginner to Expert in 6 Hours")</f>
        <v>Microsoft Excel - From Beginner to Expert in 6 Hours</v>
      </c>
    </row>
    <row r="102">
      <c r="A102" s="140" t="str">
        <f>IFERROR(__xludf.DUMMYFUNCTION("""COMPUTED_VALUE"""),"de")</f>
        <v>de</v>
      </c>
      <c r="B102">
        <f>IFERROR(__xludf.DUMMYFUNCTION("""COMPUTED_VALUE"""),1400460.0)</f>
        <v>1400460</v>
      </c>
      <c r="C102" t="str">
        <f>IFERROR(__xludf.DUMMYFUNCTION("""COMPUTED_VALUE"""),"Die Podcast-Masterclass: systematischer Podcasting-Einstieg")</f>
        <v>Die Podcast-Masterclass: systematischer Podcasting-Einstieg</v>
      </c>
    </row>
    <row r="103">
      <c r="A103" s="140" t="str">
        <f>IFERROR(__xludf.DUMMYFUNCTION("""COMPUTED_VALUE"""),"en")</f>
        <v>en</v>
      </c>
      <c r="B103">
        <f>IFERROR(__xludf.DUMMYFUNCTION("""COMPUTED_VALUE"""),823930.0)</f>
        <v>823930</v>
      </c>
      <c r="C103" t="str">
        <f>IFERROR(__xludf.DUMMYFUNCTION("""COMPUTED_VALUE"""),"Lower Back Pain: Relaxation and Therapeutic Exercise")</f>
        <v>Lower Back Pain: Relaxation and Therapeutic Exercise</v>
      </c>
    </row>
    <row r="104">
      <c r="A104" s="140" t="str">
        <f>IFERROR(__xludf.DUMMYFUNCTION("""COMPUTED_VALUE"""),"ja")</f>
        <v>ja</v>
      </c>
      <c r="B104">
        <f>IFERROR(__xludf.DUMMYFUNCTION("""COMPUTED_VALUE"""),3985792.0)</f>
        <v>3985792</v>
      </c>
      <c r="C104" t="str">
        <f>IFERROR(__xludf.DUMMYFUNCTION("""COMPUTED_VALUE"""),"＜UB確認テスト＞AIのための数学講座：少しづつ丁寧に学ぶ人工知能向けの線形代数/確率・統計/微分")</f>
        <v>＜UB確認テスト＞AIのための数学講座：少しづつ丁寧に学ぶ人工知能向けの線形代数/確率・統計/微分</v>
      </c>
    </row>
    <row r="105">
      <c r="A105" s="140" t="str">
        <f>IFERROR(__xludf.DUMMYFUNCTION("""COMPUTED_VALUE"""),"en")</f>
        <v>en</v>
      </c>
      <c r="B105">
        <f>IFERROR(__xludf.DUMMYFUNCTION("""COMPUTED_VALUE"""),38545.0)</f>
        <v>38545</v>
      </c>
      <c r="C105" t="str">
        <f>IFERROR(__xludf.DUMMYFUNCTION("""COMPUTED_VALUE"""),"Minute Taking at Meetings")</f>
        <v>Minute Taking at Meetings</v>
      </c>
    </row>
    <row r="106">
      <c r="A106" s="140" t="str">
        <f>IFERROR(__xludf.DUMMYFUNCTION("""COMPUTED_VALUE"""),"en")</f>
        <v>en</v>
      </c>
      <c r="B106">
        <f>IFERROR(__xludf.DUMMYFUNCTION("""COMPUTED_VALUE"""),735420.0)</f>
        <v>735420</v>
      </c>
      <c r="C106" t="str">
        <f>IFERROR(__xludf.DUMMYFUNCTION("""COMPUTED_VALUE"""),"The Art of Baking with Yuppiechef")</f>
        <v>The Art of Baking with Yuppiechef</v>
      </c>
    </row>
    <row r="107">
      <c r="A107" s="140" t="str">
        <f>IFERROR(__xludf.DUMMYFUNCTION("""COMPUTED_VALUE"""),"en")</f>
        <v>en</v>
      </c>
      <c r="B107">
        <f>IFERROR(__xludf.DUMMYFUNCTION("""COMPUTED_VALUE"""),758582.0)</f>
        <v>758582</v>
      </c>
      <c r="C107" t="str">
        <f>IFERROR(__xludf.DUMMYFUNCTION("""COMPUTED_VALUE"""),"PHP with Laravel for beginners - Become a Master in Laravel")</f>
        <v>PHP with Laravel for beginners - Become a Master in Laravel</v>
      </c>
    </row>
    <row r="108">
      <c r="A108" s="140" t="str">
        <f>IFERROR(__xludf.DUMMYFUNCTION("""COMPUTED_VALUE"""),"es")</f>
        <v>es</v>
      </c>
      <c r="B108">
        <f>IFERROR(__xludf.DUMMYFUNCTION("""COMPUTED_VALUE"""),1235528.0)</f>
        <v>1235528</v>
      </c>
      <c r="C108" t="str">
        <f>IFERROR(__xludf.DUMMYFUNCTION("""COMPUTED_VALUE"""),"Análisis y Visualización de Datos con Tableau")</f>
        <v>Análisis y Visualización de Datos con Tableau</v>
      </c>
    </row>
    <row r="109">
      <c r="A109" s="140" t="str">
        <f>IFERROR(__xludf.DUMMYFUNCTION("""COMPUTED_VALUE"""),"en")</f>
        <v>en</v>
      </c>
      <c r="B109">
        <f>IFERROR(__xludf.DUMMYFUNCTION("""COMPUTED_VALUE"""),558554.0)</f>
        <v>558554</v>
      </c>
      <c r="C109" t="str">
        <f>IFERROR(__xludf.DUMMYFUNCTION("""COMPUTED_VALUE"""),"NoSQL: Neo4j and Cypher (Part: 2-Intermediate)")</f>
        <v>NoSQL: Neo4j and Cypher (Part: 2-Intermediate)</v>
      </c>
    </row>
    <row r="110">
      <c r="A110" s="140" t="str">
        <f>IFERROR(__xludf.DUMMYFUNCTION("""COMPUTED_VALUE"""),"ar")</f>
        <v>ar</v>
      </c>
      <c r="B110">
        <f>IFERROR(__xludf.DUMMYFUNCTION("""COMPUTED_VALUE"""),637122.0)</f>
        <v>637122</v>
      </c>
      <c r="C110" t="str">
        <f>IFERROR(__xludf.DUMMYFUNCTION("""COMPUTED_VALUE"""),"Microsoft Project برنامج مايكروسوفت بروجكت")</f>
        <v>Microsoft Project برنامج مايكروسوفت بروجكت</v>
      </c>
    </row>
    <row r="111">
      <c r="A111" s="140" t="str">
        <f>IFERROR(__xludf.DUMMYFUNCTION("""COMPUTED_VALUE"""),"en")</f>
        <v>en</v>
      </c>
      <c r="B111">
        <f>IFERROR(__xludf.DUMMYFUNCTION("""COMPUTED_VALUE"""),714724.0)</f>
        <v>714724</v>
      </c>
      <c r="C111" t="str">
        <f>IFERROR(__xludf.DUMMYFUNCTION("""COMPUTED_VALUE"""),"Docker Crash Course for busy DevOps and Developers")</f>
        <v>Docker Crash Course for busy DevOps and Developers</v>
      </c>
    </row>
    <row r="112">
      <c r="A112" s="140" t="str">
        <f>IFERROR(__xludf.DUMMYFUNCTION("""COMPUTED_VALUE"""),"pt")</f>
        <v>pt</v>
      </c>
      <c r="B112">
        <f>IFERROR(__xludf.DUMMYFUNCTION("""COMPUTED_VALUE"""),1357054.0)</f>
        <v>1357054</v>
      </c>
      <c r="C112" t="str">
        <f>IFERROR(__xludf.DUMMYFUNCTION("""COMPUTED_VALUE"""),"Integrando E-commerce PHP 7 com PagSeguro")</f>
        <v>Integrando E-commerce PHP 7 com PagSeguro</v>
      </c>
    </row>
    <row r="113">
      <c r="A113" s="140" t="str">
        <f>IFERROR(__xludf.DUMMYFUNCTION("""COMPUTED_VALUE"""),"en")</f>
        <v>en</v>
      </c>
      <c r="B113">
        <f>IFERROR(__xludf.DUMMYFUNCTION("""COMPUTED_VALUE"""),2436666.0)</f>
        <v>2436666</v>
      </c>
      <c r="C113" t="str">
        <f>IFERROR(__xludf.DUMMYFUNCTION("""COMPUTED_VALUE"""),"Full Business Analysis Study Guide (CCBA®/CBAP® prep)")</f>
        <v>Full Business Analysis Study Guide (CCBA®/CBAP® prep)</v>
      </c>
    </row>
    <row r="114">
      <c r="A114" s="140" t="str">
        <f>IFERROR(__xludf.DUMMYFUNCTION("""COMPUTED_VALUE"""),"en")</f>
        <v>en</v>
      </c>
      <c r="B114">
        <f>IFERROR(__xludf.DUMMYFUNCTION("""COMPUTED_VALUE"""),3714256.0)</f>
        <v>3714256</v>
      </c>
      <c r="C114" t="str">
        <f>IFERROR(__xludf.DUMMYFUNCTION("""COMPUTED_VALUE"""),"SAP Project Essentials: Implementing SAP S/4HANA and SAP ERP")</f>
        <v>SAP Project Essentials: Implementing SAP S/4HANA and SAP ERP</v>
      </c>
    </row>
    <row r="115">
      <c r="A115" s="140" t="str">
        <f>IFERROR(__xludf.DUMMYFUNCTION("""COMPUTED_VALUE"""),"ja")</f>
        <v>ja</v>
      </c>
      <c r="B115">
        <f>IFERROR(__xludf.DUMMYFUNCTION("""COMPUTED_VALUE"""),3431364.0)</f>
        <v>3431364</v>
      </c>
      <c r="C115" t="str">
        <f>IFERROR(__xludf.DUMMYFUNCTION("""COMPUTED_VALUE"""),"【AR制作】はじめてのSpark AR Studio（112頁の日本語テキスト付）！インスタで使えるARを作ろう")</f>
        <v>【AR制作】はじめてのSpark AR Studio（112頁の日本語テキスト付）！インスタで使えるARを作ろう</v>
      </c>
    </row>
    <row r="116">
      <c r="A116" s="140" t="str">
        <f>IFERROR(__xludf.DUMMYFUNCTION("""COMPUTED_VALUE"""),"en")</f>
        <v>en</v>
      </c>
      <c r="B116">
        <f>IFERROR(__xludf.DUMMYFUNCTION("""COMPUTED_VALUE"""),2983620.0)</f>
        <v>2983620</v>
      </c>
      <c r="C116" t="str">
        <f>IFERROR(__xludf.DUMMYFUNCTION("""COMPUTED_VALUE"""),"Hacking and Securing JSON Web Tokens (JWT)")</f>
        <v>Hacking and Securing JSON Web Tokens (JWT)</v>
      </c>
    </row>
    <row r="117">
      <c r="A117" s="140" t="str">
        <f>IFERROR(__xludf.DUMMYFUNCTION("""COMPUTED_VALUE"""),"en")</f>
        <v>en</v>
      </c>
      <c r="B117">
        <f>IFERROR(__xludf.DUMMYFUNCTION("""COMPUTED_VALUE"""),435902.0)</f>
        <v>435902</v>
      </c>
      <c r="C117" t="str">
        <f>IFERROR(__xludf.DUMMYFUNCTION("""COMPUTED_VALUE"""),"Personal Finance Life Coach Certification 3WEC Training")</f>
        <v>Personal Finance Life Coach Certification 3WEC Training</v>
      </c>
    </row>
    <row r="118">
      <c r="A118" s="140" t="str">
        <f>IFERROR(__xludf.DUMMYFUNCTION("""COMPUTED_VALUE"""),"en")</f>
        <v>en</v>
      </c>
      <c r="B118">
        <f>IFERROR(__xludf.DUMMYFUNCTION("""COMPUTED_VALUE"""),1504080.0)</f>
        <v>1504080</v>
      </c>
      <c r="C118" t="str">
        <f>IFERROR(__xludf.DUMMYFUNCTION("""COMPUTED_VALUE"""),"Software Design: Functional Programming in C#")</f>
        <v>Software Design: Functional Programming in C#</v>
      </c>
    </row>
    <row r="119">
      <c r="A119" s="140" t="str">
        <f>IFERROR(__xludf.DUMMYFUNCTION("""COMPUTED_VALUE"""),"pt")</f>
        <v>pt</v>
      </c>
      <c r="B119">
        <f>IFERROR(__xludf.DUMMYFUNCTION("""COMPUTED_VALUE"""),1412476.0)</f>
        <v>1412476</v>
      </c>
      <c r="C119" t="str">
        <f>IFERROR(__xludf.DUMMYFUNCTION("""COMPUTED_VALUE"""),"Fundamentos de Expressões Regulares (Regex)")</f>
        <v>Fundamentos de Expressões Regulares (Regex)</v>
      </c>
    </row>
    <row r="120">
      <c r="A120" s="140" t="str">
        <f>IFERROR(__xludf.DUMMYFUNCTION("""COMPUTED_VALUE"""),"en")</f>
        <v>en</v>
      </c>
      <c r="B120">
        <f>IFERROR(__xludf.DUMMYFUNCTION("""COMPUTED_VALUE"""),2268906.0)</f>
        <v>2268906</v>
      </c>
      <c r="C120" t="str">
        <f>IFERROR(__xludf.DUMMYFUNCTION("""COMPUTED_VALUE"""),"How to Quote for a Translation Job")</f>
        <v>How to Quote for a Translation Job</v>
      </c>
    </row>
    <row r="121">
      <c r="A121" s="140" t="str">
        <f>IFERROR(__xludf.DUMMYFUNCTION("""COMPUTED_VALUE"""),"en")</f>
        <v>en</v>
      </c>
      <c r="B121">
        <f>IFERROR(__xludf.DUMMYFUNCTION("""COMPUTED_VALUE"""),452684.0)</f>
        <v>452684</v>
      </c>
      <c r="C121" t="str">
        <f>IFERROR(__xludf.DUMMYFUNCTION("""COMPUTED_VALUE"""),"jQuery for Beginners - Create Website Animations Easily")</f>
        <v>jQuery for Beginners - Create Website Animations Easily</v>
      </c>
    </row>
    <row r="122">
      <c r="A122" s="140" t="str">
        <f>IFERROR(__xludf.DUMMYFUNCTION("""COMPUTED_VALUE"""),"en")</f>
        <v>en</v>
      </c>
      <c r="B122">
        <f>IFERROR(__xludf.DUMMYFUNCTION("""COMPUTED_VALUE"""),327264.0)</f>
        <v>327264</v>
      </c>
      <c r="C122" t="str">
        <f>IFERROR(__xludf.DUMMYFUNCTION("""COMPUTED_VALUE"""),"Get 7-9 in IELTS Speaking: IELTS Speaking Masterclass")</f>
        <v>Get 7-9 in IELTS Speaking: IELTS Speaking Masterclass</v>
      </c>
    </row>
    <row r="123">
      <c r="A123" s="140" t="str">
        <f>IFERROR(__xludf.DUMMYFUNCTION("""COMPUTED_VALUE"""),"en")</f>
        <v>en</v>
      </c>
      <c r="B123">
        <f>IFERROR(__xludf.DUMMYFUNCTION("""COMPUTED_VALUE"""),2320056.0)</f>
        <v>2320056</v>
      </c>
      <c r="C123" t="str">
        <f>IFERROR(__xludf.DUMMYFUNCTION("""COMPUTED_VALUE"""),"The Modern React Bootcamp (Hooks, Context, NextJS, Router)")</f>
        <v>The Modern React Bootcamp (Hooks, Context, NextJS, Router)</v>
      </c>
    </row>
    <row r="124">
      <c r="A124" s="140" t="str">
        <f>IFERROR(__xludf.DUMMYFUNCTION("""COMPUTED_VALUE"""),"en")</f>
        <v>en</v>
      </c>
      <c r="B124">
        <f>IFERROR(__xludf.DUMMYFUNCTION("""COMPUTED_VALUE"""),1087374.0)</f>
        <v>1087374</v>
      </c>
      <c r="C124" t="str">
        <f>IFERROR(__xludf.DUMMYFUNCTION("""COMPUTED_VALUE"""),"Essentials in JavaScript ES6 - A Fun and Clear Introduction")</f>
        <v>Essentials in JavaScript ES6 - A Fun and Clear Introduction</v>
      </c>
    </row>
    <row r="125">
      <c r="A125" s="140" t="str">
        <f>IFERROR(__xludf.DUMMYFUNCTION("""COMPUTED_VALUE"""),"en")</f>
        <v>en</v>
      </c>
      <c r="B125">
        <f>IFERROR(__xludf.DUMMYFUNCTION("""COMPUTED_VALUE"""),2630330.0)</f>
        <v>2630330</v>
      </c>
      <c r="C125" t="str">
        <f>IFERROR(__xludf.DUMMYFUNCTION("""COMPUTED_VALUE"""),"Level 4 Diploma - Defining Business Needs (L4M2)")</f>
        <v>Level 4 Diploma - Defining Business Needs (L4M2)</v>
      </c>
    </row>
    <row r="126">
      <c r="A126" s="140" t="str">
        <f>IFERROR(__xludf.DUMMYFUNCTION("""COMPUTED_VALUE"""),"fr")</f>
        <v>fr</v>
      </c>
      <c r="B126">
        <f>IFERROR(__xludf.DUMMYFUNCTION("""COMPUTED_VALUE"""),1216020.0)</f>
        <v>1216020</v>
      </c>
      <c r="C126" t="str">
        <f>IFERROR(__xludf.DUMMYFUNCTION("""COMPUTED_VALUE"""),"Agile, lean, les clés pour transformer votre entreprise")</f>
        <v>Agile, lean, les clés pour transformer votre entreprise</v>
      </c>
    </row>
    <row r="127">
      <c r="A127" s="140" t="str">
        <f>IFERROR(__xludf.DUMMYFUNCTION("""COMPUTED_VALUE"""),"en")</f>
        <v>en</v>
      </c>
      <c r="B127">
        <f>IFERROR(__xludf.DUMMYFUNCTION("""COMPUTED_VALUE"""),3640420.0)</f>
        <v>3640420</v>
      </c>
      <c r="C127" t="str">
        <f>IFERROR(__xludf.DUMMYFUNCTION("""COMPUTED_VALUE"""),"Cloud Computing for Beginners - Infrastructure as a Service")</f>
        <v>Cloud Computing for Beginners - Infrastructure as a Service</v>
      </c>
    </row>
    <row r="128">
      <c r="A128" s="140" t="str">
        <f>IFERROR(__xludf.DUMMYFUNCTION("""COMPUTED_VALUE"""),"en")</f>
        <v>en</v>
      </c>
      <c r="B128">
        <f>IFERROR(__xludf.DUMMYFUNCTION("""COMPUTED_VALUE"""),1121334.0)</f>
        <v>1121334</v>
      </c>
      <c r="C128" t="str">
        <f>IFERROR(__xludf.DUMMYFUNCTION("""COMPUTED_VALUE"""),"HTML5 Mastery—Build Superior Websites &amp; Mobile Apps NEW 2021")</f>
        <v>HTML5 Mastery—Build Superior Websites &amp; Mobile Apps NEW 2021</v>
      </c>
    </row>
    <row r="129">
      <c r="A129" s="140" t="str">
        <f>IFERROR(__xludf.DUMMYFUNCTION("""COMPUTED_VALUE"""),"en")</f>
        <v>en</v>
      </c>
      <c r="B129">
        <f>IFERROR(__xludf.DUMMYFUNCTION("""COMPUTED_VALUE"""),1462428.0)</f>
        <v>1462428</v>
      </c>
      <c r="C129" t="str">
        <f>IFERROR(__xludf.DUMMYFUNCTION("""COMPUTED_VALUE"""),"Photography Masterclass: A Complete Guide to Photography")</f>
        <v>Photography Masterclass: A Complete Guide to Photography</v>
      </c>
    </row>
    <row r="130">
      <c r="A130" s="140" t="str">
        <f>IFERROR(__xludf.DUMMYFUNCTION("""COMPUTED_VALUE"""),"en")</f>
        <v>en</v>
      </c>
      <c r="B130">
        <f>IFERROR(__xludf.DUMMYFUNCTION("""COMPUTED_VALUE"""),1789166.0)</f>
        <v>1789166</v>
      </c>
      <c r="C130" t="str">
        <f>IFERROR(__xludf.DUMMYFUNCTION("""COMPUTED_VALUE"""),"TABLEAU 2018: Hands-On Tableau Training For Data Science!")</f>
        <v>TABLEAU 2018: Hands-On Tableau Training For Data Science!</v>
      </c>
    </row>
    <row r="131">
      <c r="A131" s="140" t="str">
        <f>IFERROR(__xludf.DUMMYFUNCTION("""COMPUTED_VALUE"""),"en")</f>
        <v>en</v>
      </c>
      <c r="B131">
        <f>IFERROR(__xludf.DUMMYFUNCTION("""COMPUTED_VALUE"""),3711436.0)</f>
        <v>3711436</v>
      </c>
      <c r="C131" t="str">
        <f>IFERROR(__xludf.DUMMYFUNCTION("""COMPUTED_VALUE"""),"Export Import Logistics with Global Incoterms ® 2020 Rules")</f>
        <v>Export Import Logistics with Global Incoterms ® 2020 Rules</v>
      </c>
    </row>
    <row r="132">
      <c r="A132" s="140" t="str">
        <f>IFERROR(__xludf.DUMMYFUNCTION("""COMPUTED_VALUE"""),"en")</f>
        <v>en</v>
      </c>
      <c r="B132">
        <f>IFERROR(__xludf.DUMMYFUNCTION("""COMPUTED_VALUE"""),683198.0)</f>
        <v>683198</v>
      </c>
      <c r="C132" t="str">
        <f>IFERROR(__xludf.DUMMYFUNCTION("""COMPUTED_VALUE"""),"Creating 3D environments in Blender")</f>
        <v>Creating 3D environments in Blender</v>
      </c>
    </row>
    <row r="133">
      <c r="A133" s="140" t="str">
        <f>IFERROR(__xludf.DUMMYFUNCTION("""COMPUTED_VALUE"""),"en")</f>
        <v>en</v>
      </c>
      <c r="B133">
        <f>IFERROR(__xludf.DUMMYFUNCTION("""COMPUTED_VALUE"""),861624.0)</f>
        <v>861624</v>
      </c>
      <c r="C133" t="str">
        <f>IFERROR(__xludf.DUMMYFUNCTION("""COMPUTED_VALUE"""),"ES6 Javascript: The Complete Developer's Guide")</f>
        <v>ES6 Javascript: The Complete Developer's Guide</v>
      </c>
    </row>
    <row r="134">
      <c r="A134" s="140" t="str">
        <f>IFERROR(__xludf.DUMMYFUNCTION("""COMPUTED_VALUE"""),"es")</f>
        <v>es</v>
      </c>
      <c r="B134">
        <f>IFERROR(__xludf.DUMMYFUNCTION("""COMPUTED_VALUE"""),867186.0)</f>
        <v>867186</v>
      </c>
      <c r="C134" t="str">
        <f>IFERROR(__xludf.DUMMYFUNCTION("""COMPUTED_VALUE"""),"Crea una presentación que inspire a  la acción.")</f>
        <v>Crea una presentación que inspire a  la acción.</v>
      </c>
    </row>
    <row r="135">
      <c r="A135" s="140" t="str">
        <f>IFERROR(__xludf.DUMMYFUNCTION("""COMPUTED_VALUE"""),"pt")</f>
        <v>pt</v>
      </c>
      <c r="B135">
        <f>IFERROR(__xludf.DUMMYFUNCTION("""COMPUTED_VALUE"""),3792304.0)</f>
        <v>3792304</v>
      </c>
      <c r="C135" t="str">
        <f>IFERROR(__xludf.DUMMYFUNCTION("""COMPUTED_VALUE"""),"Mineração e Análise de Dados do LinkedIn")</f>
        <v>Mineração e Análise de Dados do LinkedIn</v>
      </c>
    </row>
    <row r="136">
      <c r="A136" s="140" t="str">
        <f>IFERROR(__xludf.DUMMYFUNCTION("""COMPUTED_VALUE"""),"ja")</f>
        <v>ja</v>
      </c>
      <c r="B136">
        <f>IFERROR(__xludf.DUMMYFUNCTION("""COMPUTED_VALUE"""),2759946.0)</f>
        <v>2759946</v>
      </c>
      <c r="C136" t="str">
        <f>IFERROR(__xludf.DUMMYFUNCTION("""COMPUTED_VALUE"""),"WEBデザイン講座 Level0《対象：ゼロから始める超初心者の方》HTML と CSS に必要な基礎知識を学習します。")</f>
        <v>WEBデザイン講座 Level0《対象：ゼロから始める超初心者の方》HTML と CSS に必要な基礎知識を学習します。</v>
      </c>
    </row>
    <row r="137">
      <c r="A137" s="140" t="str">
        <f>IFERROR(__xludf.DUMMYFUNCTION("""COMPUTED_VALUE"""),"es")</f>
        <v>es</v>
      </c>
      <c r="B137">
        <f>IFERROR(__xludf.DUMMYFUNCTION("""COMPUTED_VALUE"""),1972358.0)</f>
        <v>1972358</v>
      </c>
      <c r="C137" t="str">
        <f>IFERROR(__xludf.DUMMYFUNCTION("""COMPUTED_VALUE"""),"Adobe XD CC - Máster: Diseño profesional de prototipos. 2021")</f>
        <v>Adobe XD CC - Máster: Diseño profesional de prototipos. 2021</v>
      </c>
    </row>
    <row r="138">
      <c r="A138" s="140" t="str">
        <f>IFERROR(__xludf.DUMMYFUNCTION("""COMPUTED_VALUE"""),"en")</f>
        <v>en</v>
      </c>
      <c r="B138">
        <f>IFERROR(__xludf.DUMMYFUNCTION("""COMPUTED_VALUE"""),1304268.0)</f>
        <v>1304268</v>
      </c>
      <c r="C138" t="str">
        <f>IFERROR(__xludf.DUMMYFUNCTION("""COMPUTED_VALUE"""),"Deploying web apps for new developers on AWS ec2")</f>
        <v>Deploying web apps for new developers on AWS ec2</v>
      </c>
    </row>
    <row r="139">
      <c r="A139" s="140" t="str">
        <f>IFERROR(__xludf.DUMMYFUNCTION("""COMPUTED_VALUE"""),"en")</f>
        <v>en</v>
      </c>
      <c r="B139">
        <f>IFERROR(__xludf.DUMMYFUNCTION("""COMPUTED_VALUE"""),84085.0)</f>
        <v>84085</v>
      </c>
      <c r="C139" t="str">
        <f>IFERROR(__xludf.DUMMYFUNCTION("""COMPUTED_VALUE"""),"Statistics / Data Analysis in SPSS: Inferential Statistics")</f>
        <v>Statistics / Data Analysis in SPSS: Inferential Statistics</v>
      </c>
    </row>
    <row r="140">
      <c r="A140" s="140" t="str">
        <f>IFERROR(__xludf.DUMMYFUNCTION("""COMPUTED_VALUE"""),"ja")</f>
        <v>ja</v>
      </c>
      <c r="B140">
        <f>IFERROR(__xludf.DUMMYFUNCTION("""COMPUTED_VALUE"""),3798606.0)</f>
        <v>3798606</v>
      </c>
      <c r="C140" t="str">
        <f>IFERROR(__xludf.DUMMYFUNCTION("""COMPUTED_VALUE"""),"Unity3Dゲーム開発入門：Unityインストラクターと共に進める脱出ゲーム作成講座ハンズオンコース【スタジオしまづ】")</f>
        <v>Unity3Dゲーム開発入門：Unityインストラクターと共に進める脱出ゲーム作成講座ハンズオンコース【スタジオしまづ】</v>
      </c>
    </row>
    <row r="141">
      <c r="A141" s="140" t="str">
        <f>IFERROR(__xludf.DUMMYFUNCTION("""COMPUTED_VALUE"""),"en")</f>
        <v>en</v>
      </c>
      <c r="B141">
        <f>IFERROR(__xludf.DUMMYFUNCTION("""COMPUTED_VALUE"""),472704.0)</f>
        <v>472704</v>
      </c>
      <c r="C141" t="str">
        <f>IFERROR(__xludf.DUMMYFUNCTION("""COMPUTED_VALUE"""),"1 day MVP 2.0 | Go from idea to MVP in just 1 day")</f>
        <v>1 day MVP 2.0 | Go from idea to MVP in just 1 day</v>
      </c>
    </row>
    <row r="142">
      <c r="A142" s="140" t="str">
        <f>IFERROR(__xludf.DUMMYFUNCTION("""COMPUTED_VALUE"""),"en")</f>
        <v>en</v>
      </c>
      <c r="B142">
        <f>IFERROR(__xludf.DUMMYFUNCTION("""COMPUTED_VALUE"""),1877132.0)</f>
        <v>1877132</v>
      </c>
      <c r="C142" t="str">
        <f>IFERROR(__xludf.DUMMYFUNCTION("""COMPUTED_VALUE"""),"System Dynamics and Controls")</f>
        <v>System Dynamics and Controls</v>
      </c>
    </row>
    <row r="143">
      <c r="A143" s="140" t="str">
        <f>IFERROR(__xludf.DUMMYFUNCTION("""COMPUTED_VALUE"""),"en")</f>
        <v>en</v>
      </c>
      <c r="B143">
        <f>IFERROR(__xludf.DUMMYFUNCTION("""COMPUTED_VALUE"""),2911866.0)</f>
        <v>2911866</v>
      </c>
      <c r="C143" t="str">
        <f>IFERROR(__xludf.DUMMYFUNCTION("""COMPUTED_VALUE"""),"Microsoft Bot Framework V4 (NodeJS) – With Real Life Example")</f>
        <v>Microsoft Bot Framework V4 (NodeJS) – With Real Life Example</v>
      </c>
    </row>
    <row r="144">
      <c r="A144" s="140" t="str">
        <f>IFERROR(__xludf.DUMMYFUNCTION("""COMPUTED_VALUE"""),"es")</f>
        <v>es</v>
      </c>
      <c r="B144">
        <f>IFERROR(__xludf.DUMMYFUNCTION("""COMPUTED_VALUE"""),3975404.0)</f>
        <v>3975404</v>
      </c>
      <c r="C144" t="str">
        <f>IFERROR(__xludf.DUMMYFUNCTION("""COMPUTED_VALUE"""),"Curso Lean Six Sigma Yellow Belt")</f>
        <v>Curso Lean Six Sigma Yellow Belt</v>
      </c>
    </row>
    <row r="145">
      <c r="A145" s="140" t="str">
        <f>IFERROR(__xludf.DUMMYFUNCTION("""COMPUTED_VALUE"""),"en")</f>
        <v>en</v>
      </c>
      <c r="B145">
        <f>IFERROR(__xludf.DUMMYFUNCTION("""COMPUTED_VALUE"""),924090.0)</f>
        <v>924090</v>
      </c>
      <c r="C145" t="str">
        <f>IFERROR(__xludf.DUMMYFUNCTION("""COMPUTED_VALUE"""),"Linux Administration Bootcamp: Go from Beginner to Advanced")</f>
        <v>Linux Administration Bootcamp: Go from Beginner to Advanced</v>
      </c>
    </row>
    <row r="146">
      <c r="A146" s="140" t="str">
        <f>IFERROR(__xludf.DUMMYFUNCTION("""COMPUTED_VALUE"""),"es")</f>
        <v>es</v>
      </c>
      <c r="B146">
        <f>IFERROR(__xludf.DUMMYFUNCTION("""COMPUTED_VALUE"""),782428.0)</f>
        <v>782428</v>
      </c>
      <c r="C146" t="str">
        <f>IFERROR(__xludf.DUMMYFUNCTION("""COMPUTED_VALUE"""),"Diseño Web Profesional El Curso Completo, Práctico y desde 0")</f>
        <v>Diseño Web Profesional El Curso Completo, Práctico y desde 0</v>
      </c>
    </row>
    <row r="147">
      <c r="A147" s="140" t="str">
        <f>IFERROR(__xludf.DUMMYFUNCTION("""COMPUTED_VALUE"""),"en")</f>
        <v>en</v>
      </c>
      <c r="B147">
        <f>IFERROR(__xludf.DUMMYFUNCTION("""COMPUTED_VALUE"""),2394022.0)</f>
        <v>2394022</v>
      </c>
      <c r="C147" t="str">
        <f>IFERROR(__xludf.DUMMYFUNCTION("""COMPUTED_VALUE"""),"Certified Kubernetes Administrator 2021")</f>
        <v>Certified Kubernetes Administrator 2021</v>
      </c>
    </row>
    <row r="148">
      <c r="A148" s="140" t="str">
        <f>IFERROR(__xludf.DUMMYFUNCTION("""COMPUTED_VALUE"""),"en")</f>
        <v>en</v>
      </c>
      <c r="B148">
        <f>IFERROR(__xludf.DUMMYFUNCTION("""COMPUTED_VALUE"""),1058614.0)</f>
        <v>1058614</v>
      </c>
      <c r="C148" t="str">
        <f>IFERROR(__xludf.DUMMYFUNCTION("""COMPUTED_VALUE"""),"Blogging Masterclass: How To Build A Successful Blog In 2021")</f>
        <v>Blogging Masterclass: How To Build A Successful Blog In 2021</v>
      </c>
    </row>
    <row r="149">
      <c r="A149" s="140" t="str">
        <f>IFERROR(__xludf.DUMMYFUNCTION("""COMPUTED_VALUE"""),"ja")</f>
        <v>ja</v>
      </c>
      <c r="B149">
        <f>IFERROR(__xludf.DUMMYFUNCTION("""COMPUTED_VALUE"""),2589018.0)</f>
        <v>2589018</v>
      </c>
      <c r="C149" t="str">
        <f>IFERROR(__xludf.DUMMYFUNCTION("""COMPUTED_VALUE"""),"ITトレンド丸わかり ～デジタルトランスフォーメーション時代の必須知識～")</f>
        <v>ITトレンド丸わかり ～デジタルトランスフォーメーション時代の必須知識～</v>
      </c>
    </row>
    <row r="150">
      <c r="A150" s="140" t="str">
        <f>IFERROR(__xludf.DUMMYFUNCTION("""COMPUTED_VALUE"""),"en")</f>
        <v>en</v>
      </c>
      <c r="B150">
        <f>IFERROR(__xludf.DUMMYFUNCTION("""COMPUTED_VALUE"""),371074.0)</f>
        <v>371074</v>
      </c>
      <c r="C150" t="str">
        <f>IFERROR(__xludf.DUMMYFUNCTION("""COMPUTED_VALUE"""),"Sketch from A to Z (2021): Become an app designer")</f>
        <v>Sketch from A to Z (2021): Become an app designer</v>
      </c>
    </row>
    <row r="151">
      <c r="A151" s="140" t="str">
        <f>IFERROR(__xludf.DUMMYFUNCTION("""COMPUTED_VALUE"""),"en")</f>
        <v>en</v>
      </c>
      <c r="B151">
        <f>IFERROR(__xludf.DUMMYFUNCTION("""COMPUTED_VALUE"""),1861318.0)</f>
        <v>1861318</v>
      </c>
      <c r="C151" t="str">
        <f>IFERROR(__xludf.DUMMYFUNCTION("""COMPUTED_VALUE"""),"Master MS Dynamics 365 Business Rules, Workflows &amp; BPFs")</f>
        <v>Master MS Dynamics 365 Business Rules, Workflows &amp; BPFs</v>
      </c>
    </row>
    <row r="152">
      <c r="A152" s="140" t="str">
        <f>IFERROR(__xludf.DUMMYFUNCTION("""COMPUTED_VALUE"""),"en")</f>
        <v>en</v>
      </c>
      <c r="B152">
        <f>IFERROR(__xludf.DUMMYFUNCTION("""COMPUTED_VALUE"""),380996.0)</f>
        <v>380996</v>
      </c>
      <c r="C152" t="str">
        <f>IFERROR(__xludf.DUMMYFUNCTION("""COMPUTED_VALUE"""),"IFCI Expert Cybercrime Investigator's Course")</f>
        <v>IFCI Expert Cybercrime Investigator's Course</v>
      </c>
    </row>
    <row r="153">
      <c r="A153" s="140" t="str">
        <f>IFERROR(__xludf.DUMMYFUNCTION("""COMPUTED_VALUE"""),"en")</f>
        <v>en</v>
      </c>
      <c r="B153">
        <f>IFERROR(__xludf.DUMMYFUNCTION("""COMPUTED_VALUE"""),1587248.0)</f>
        <v>1587248</v>
      </c>
      <c r="C153" t="str">
        <f>IFERROR(__xludf.DUMMYFUNCTION("""COMPUTED_VALUE"""),"Complete VMWare vSphere ESXi and vCenter Administration")</f>
        <v>Complete VMWare vSphere ESXi and vCenter Administration</v>
      </c>
    </row>
    <row r="154">
      <c r="A154" s="140" t="str">
        <f>IFERROR(__xludf.DUMMYFUNCTION("""COMPUTED_VALUE"""),"en")</f>
        <v>en</v>
      </c>
      <c r="B154">
        <f>IFERROR(__xludf.DUMMYFUNCTION("""COMPUTED_VALUE"""),1621614.0)</f>
        <v>1621614</v>
      </c>
      <c r="C154" t="str">
        <f>IFERROR(__xludf.DUMMYFUNCTION("""COMPUTED_VALUE"""),"JavaServer Faces (JSF) Practical Guide")</f>
        <v>JavaServer Faces (JSF) Practical Guide</v>
      </c>
    </row>
    <row r="155">
      <c r="A155" s="140" t="str">
        <f>IFERROR(__xludf.DUMMYFUNCTION("""COMPUTED_VALUE"""),"fr")</f>
        <v>fr</v>
      </c>
      <c r="B155">
        <f>IFERROR(__xludf.DUMMYFUNCTION("""COMPUTED_VALUE"""),2064123.0)</f>
        <v>2064123</v>
      </c>
      <c r="C155" t="str">
        <f>IFERROR(__xludf.DUMMYFUNCTION("""COMPUTED_VALUE"""),"Formation Quickbooks en ligne")</f>
        <v>Formation Quickbooks en ligne</v>
      </c>
    </row>
    <row r="156">
      <c r="A156" s="140" t="str">
        <f>IFERROR(__xludf.DUMMYFUNCTION("""COMPUTED_VALUE"""),"ja")</f>
        <v>ja</v>
      </c>
      <c r="B156">
        <f>IFERROR(__xludf.DUMMYFUNCTION("""COMPUTED_VALUE"""),2645950.0)</f>
        <v>2645950</v>
      </c>
      <c r="C156" t="str">
        <f>IFERROR(__xludf.DUMMYFUNCTION("""COMPUTED_VALUE"""),"【初心者から】Blender2.8x to Unreal Engine 4【プロまで】簡単なキャラクターtoヒト型モデル")</f>
        <v>【初心者から】Blender2.8x to Unreal Engine 4【プロまで】簡単なキャラクターtoヒト型モデル</v>
      </c>
    </row>
    <row r="157">
      <c r="A157" s="140" t="str">
        <f>IFERROR(__xludf.DUMMYFUNCTION("""COMPUTED_VALUE"""),"en")</f>
        <v>en</v>
      </c>
      <c r="B157">
        <f>IFERROR(__xludf.DUMMYFUNCTION("""COMPUTED_VALUE"""),3570775.0)</f>
        <v>3570775</v>
      </c>
      <c r="C157" t="str">
        <f>IFERROR(__xludf.DUMMYFUNCTION("""COMPUTED_VALUE"""),"Learn GraphQL with .Net Core For Absolute Beginners 2021")</f>
        <v>Learn GraphQL with .Net Core For Absolute Beginners 2021</v>
      </c>
    </row>
    <row r="158">
      <c r="A158" s="140" t="str">
        <f>IFERROR(__xludf.DUMMYFUNCTION("""COMPUTED_VALUE"""),"de")</f>
        <v>de</v>
      </c>
      <c r="B158">
        <f>IFERROR(__xludf.DUMMYFUNCTION("""COMPUTED_VALUE"""),1833134.0)</f>
        <v>1833134</v>
      </c>
      <c r="C158" t="str">
        <f>IFERROR(__xludf.DUMMYFUNCTION("""COMPUTED_VALUE"""),"Apple Motion für Einsteiger (Deutsch)")</f>
        <v>Apple Motion für Einsteiger (Deutsch)</v>
      </c>
    </row>
    <row r="159">
      <c r="A159" s="140" t="str">
        <f>IFERROR(__xludf.DUMMYFUNCTION("""COMPUTED_VALUE"""),"ar")</f>
        <v>ar</v>
      </c>
      <c r="B159">
        <f>IFERROR(__xludf.DUMMYFUNCTION("""COMPUTED_VALUE"""),3129162.0)</f>
        <v>3129162</v>
      </c>
      <c r="C159" t="str">
        <f>IFERROR(__xludf.DUMMYFUNCTION("""COMPUTED_VALUE"""),"Ultimate Adobe Photoshop CC 2019 Course (كورس بالعربية)")</f>
        <v>Ultimate Adobe Photoshop CC 2019 Course (كورس بالعربية)</v>
      </c>
    </row>
    <row r="160">
      <c r="A160" s="140" t="str">
        <f>IFERROR(__xludf.DUMMYFUNCTION("""COMPUTED_VALUE"""),"es")</f>
        <v>es</v>
      </c>
      <c r="B160">
        <f>IFERROR(__xludf.DUMMYFUNCTION("""COMPUTED_VALUE"""),2140016.0)</f>
        <v>2140016</v>
      </c>
      <c r="C160" t="str">
        <f>IFERROR(__xludf.DUMMYFUNCTION("""COMPUTED_VALUE"""),"Pentesting en Seguridad Informática. Detecta, Defiende 2021.")</f>
        <v>Pentesting en Seguridad Informática. Detecta, Defiende 2021.</v>
      </c>
    </row>
    <row r="161">
      <c r="A161" s="140" t="str">
        <f>IFERROR(__xludf.DUMMYFUNCTION("""COMPUTED_VALUE"""),"es")</f>
        <v>es</v>
      </c>
      <c r="B161">
        <f>IFERROR(__xludf.DUMMYFUNCTION("""COMPUTED_VALUE"""),460706.0)</f>
        <v>460706</v>
      </c>
      <c r="C161" t="str">
        <f>IFERROR(__xludf.DUMMYFUNCTION("""COMPUTED_VALUE"""),"Gestión del Talento en las Organizaciones")</f>
        <v>Gestión del Talento en las Organizaciones</v>
      </c>
    </row>
    <row r="162">
      <c r="A162" s="140" t="str">
        <f>IFERROR(__xludf.DUMMYFUNCTION("""COMPUTED_VALUE"""),"en")</f>
        <v>en</v>
      </c>
      <c r="B162">
        <f>IFERROR(__xludf.DUMMYFUNCTION("""COMPUTED_VALUE"""),1301088.0)</f>
        <v>1301088</v>
      </c>
      <c r="C162" t="str">
        <f>IFERROR(__xludf.DUMMYFUNCTION("""COMPUTED_VALUE"""),"Java Streams API Developer Guide")</f>
        <v>Java Streams API Developer Guide</v>
      </c>
    </row>
    <row r="163">
      <c r="A163" s="140" t="str">
        <f>IFERROR(__xludf.DUMMYFUNCTION("""COMPUTED_VALUE"""),"en")</f>
        <v>en</v>
      </c>
      <c r="B163">
        <f>IFERROR(__xludf.DUMMYFUNCTION("""COMPUTED_VALUE"""),1272028.0)</f>
        <v>1272028</v>
      </c>
      <c r="C163" t="str">
        <f>IFERROR(__xludf.DUMMYFUNCTION("""COMPUTED_VALUE"""),"TDD in C# From A to Z")</f>
        <v>TDD in C# From A to Z</v>
      </c>
    </row>
    <row r="164">
      <c r="A164" s="140" t="str">
        <f>IFERROR(__xludf.DUMMYFUNCTION("""COMPUTED_VALUE"""),"en")</f>
        <v>en</v>
      </c>
      <c r="B164">
        <f>IFERROR(__xludf.DUMMYFUNCTION("""COMPUTED_VALUE"""),3373278.0)</f>
        <v>3373278</v>
      </c>
      <c r="C164" t="str">
        <f>IFERROR(__xludf.DUMMYFUNCTION("""COMPUTED_VALUE"""),"Salesforce Development Project")</f>
        <v>Salesforce Development Project</v>
      </c>
    </row>
    <row r="165">
      <c r="A165" s="140" t="str">
        <f>IFERROR(__xludf.DUMMYFUNCTION("""COMPUTED_VALUE"""),"en")</f>
        <v>en</v>
      </c>
      <c r="B165">
        <f>IFERROR(__xludf.DUMMYFUNCTION("""COMPUTED_VALUE"""),1473992.0)</f>
        <v>1473992</v>
      </c>
      <c r="C165" t="str">
        <f>IFERROR(__xludf.DUMMYFUNCTION("""COMPUTED_VALUE"""),"Mastering D3.js Extensions in Qlik Sense")</f>
        <v>Mastering D3.js Extensions in Qlik Sense</v>
      </c>
    </row>
    <row r="166">
      <c r="A166" s="140" t="str">
        <f>IFERROR(__xludf.DUMMYFUNCTION("""COMPUTED_VALUE"""),"en")</f>
        <v>en</v>
      </c>
      <c r="B166">
        <f>IFERROR(__xludf.DUMMYFUNCTION("""COMPUTED_VALUE"""),543600.0)</f>
        <v>543600</v>
      </c>
      <c r="C166" t="str">
        <f>IFERROR(__xludf.DUMMYFUNCTION("""COMPUTED_VALUE"""),"Automate the Boring Stuff with Python Programming")</f>
        <v>Automate the Boring Stuff with Python Programming</v>
      </c>
    </row>
    <row r="167">
      <c r="A167" s="140" t="str">
        <f>IFERROR(__xludf.DUMMYFUNCTION("""COMPUTED_VALUE"""),"en")</f>
        <v>en</v>
      </c>
      <c r="B167">
        <f>IFERROR(__xludf.DUMMYFUNCTION("""COMPUTED_VALUE"""),2411130.0)</f>
        <v>2411130</v>
      </c>
      <c r="C167" t="str">
        <f>IFERROR(__xludf.DUMMYFUNCTION("""COMPUTED_VALUE"""),"Complete Guide to Velo by Wix: Go From Zero to Hero!")</f>
        <v>Complete Guide to Velo by Wix: Go From Zero to Hero!</v>
      </c>
    </row>
    <row r="168">
      <c r="A168" s="140" t="str">
        <f>IFERROR(__xludf.DUMMYFUNCTION("""COMPUTED_VALUE"""),"en")</f>
        <v>en</v>
      </c>
      <c r="B168">
        <f>IFERROR(__xludf.DUMMYFUNCTION("""COMPUTED_VALUE"""),3342920.0)</f>
        <v>3342920</v>
      </c>
      <c r="C168" t="str">
        <f>IFERROR(__xludf.DUMMYFUNCTION("""COMPUTED_VALUE"""),"Whatsapp stock market bot with Python, Twilio &amp; MarketStack")</f>
        <v>Whatsapp stock market bot with Python, Twilio &amp; MarketStack</v>
      </c>
    </row>
    <row r="169">
      <c r="A169" s="140" t="str">
        <f>IFERROR(__xludf.DUMMYFUNCTION("""COMPUTED_VALUE"""),"en")</f>
        <v>en</v>
      </c>
      <c r="B169">
        <f>IFERROR(__xludf.DUMMYFUNCTION("""COMPUTED_VALUE"""),613626.0)</f>
        <v>613626</v>
      </c>
      <c r="C169" t="str">
        <f>IFERROR(__xludf.DUMMYFUNCTION("""COMPUTED_VALUE"""),"Voice-Over Training: Record And Edit Voice Overs Like A Pro")</f>
        <v>Voice-Over Training: Record And Edit Voice Overs Like A Pro</v>
      </c>
    </row>
    <row r="170">
      <c r="A170" s="140" t="str">
        <f>IFERROR(__xludf.DUMMYFUNCTION("""COMPUTED_VALUE"""),"ja")</f>
        <v>ja</v>
      </c>
      <c r="B170">
        <f>IFERROR(__xludf.DUMMYFUNCTION("""COMPUTED_VALUE"""),2303020.0)</f>
        <v>2303020</v>
      </c>
      <c r="C170" t="str">
        <f>IFERROR(__xludf.DUMMYFUNCTION("""COMPUTED_VALUE"""),"Unity 超簡単！56分で出来るカードゲームの作り方")</f>
        <v>Unity 超簡単！56分で出来るカードゲームの作り方</v>
      </c>
    </row>
    <row r="171">
      <c r="A171" s="140" t="str">
        <f>IFERROR(__xludf.DUMMYFUNCTION("""COMPUTED_VALUE"""),"fr")</f>
        <v>fr</v>
      </c>
      <c r="B171">
        <f>IFERROR(__xludf.DUMMYFUNCTION("""COMPUTED_VALUE"""),1486682.0)</f>
        <v>1486682</v>
      </c>
      <c r="C171" t="str">
        <f>IFERROR(__xludf.DUMMYFUNCTION("""COMPUTED_VALUE"""),"Django &amp; Python | Maitrisez le développement web")</f>
        <v>Django &amp; Python | Maitrisez le développement web</v>
      </c>
    </row>
    <row r="172">
      <c r="A172" s="140" t="str">
        <f>IFERROR(__xludf.DUMMYFUNCTION("""COMPUTED_VALUE"""),"pt")</f>
        <v>pt</v>
      </c>
      <c r="B172">
        <f>IFERROR(__xludf.DUMMYFUNCTION("""COMPUTED_VALUE"""),1693778.0)</f>
        <v>1693778</v>
      </c>
      <c r="C172" t="str">
        <f>IFERROR(__xludf.DUMMYFUNCTION("""COMPUTED_VALUE"""),"Edição de fotos e imagens no Photoshop")</f>
        <v>Edição de fotos e imagens no Photoshop</v>
      </c>
    </row>
    <row r="173">
      <c r="A173" s="140" t="str">
        <f>IFERROR(__xludf.DUMMYFUNCTION("""COMPUTED_VALUE"""),"es")</f>
        <v>es</v>
      </c>
      <c r="B173">
        <f>IFERROR(__xludf.DUMMYFUNCTION("""COMPUTED_VALUE"""),784812.0)</f>
        <v>784812</v>
      </c>
      <c r="C173" t="str">
        <f>IFERROR(__xludf.DUMMYFUNCTION("""COMPUTED_VALUE"""),"VRay SketchUp. De Básico a Profesional Experto (ChaosGroup)")</f>
        <v>VRay SketchUp. De Básico a Profesional Experto (ChaosGroup)</v>
      </c>
    </row>
    <row r="174">
      <c r="A174" s="140" t="str">
        <f>IFERROR(__xludf.DUMMYFUNCTION("""COMPUTED_VALUE"""),"en")</f>
        <v>en</v>
      </c>
      <c r="B174">
        <f>IFERROR(__xludf.DUMMYFUNCTION("""COMPUTED_VALUE"""),993294.0)</f>
        <v>993294</v>
      </c>
      <c r="C174" t="str">
        <f>IFERROR(__xludf.DUMMYFUNCTION("""COMPUTED_VALUE"""),"The Science of Happiness")</f>
        <v>The Science of Happiness</v>
      </c>
    </row>
    <row r="175">
      <c r="A175" s="140" t="str">
        <f>IFERROR(__xludf.DUMMYFUNCTION("""COMPUTED_VALUE"""),"en")</f>
        <v>en</v>
      </c>
      <c r="B175">
        <f>IFERROR(__xludf.DUMMYFUNCTION("""COMPUTED_VALUE"""),2259120.0)</f>
        <v>2259120</v>
      </c>
      <c r="C175" t="str">
        <f>IFERROR(__xludf.DUMMYFUNCTION("""COMPUTED_VALUE"""),"The Complete 2021 Flutter Development Bootcamp with Dart")</f>
        <v>The Complete 2021 Flutter Development Bootcamp with Dart</v>
      </c>
    </row>
    <row r="176">
      <c r="A176" s="140" t="str">
        <f>IFERROR(__xludf.DUMMYFUNCTION("""COMPUTED_VALUE"""),"en")</f>
        <v>en</v>
      </c>
      <c r="B176">
        <f>IFERROR(__xludf.DUMMYFUNCTION("""COMPUTED_VALUE"""),2144744.0)</f>
        <v>2144744</v>
      </c>
      <c r="C176" t="str">
        <f>IFERROR(__xludf.DUMMYFUNCTION("""COMPUTED_VALUE"""),"Spring Boot Microservices and Spring Cloud")</f>
        <v>Spring Boot Microservices and Spring Cloud</v>
      </c>
    </row>
    <row r="177">
      <c r="A177" s="140" t="str">
        <f>IFERROR(__xludf.DUMMYFUNCTION("""COMPUTED_VALUE"""),"pt")</f>
        <v>pt</v>
      </c>
      <c r="B177">
        <f>IFERROR(__xludf.DUMMYFUNCTION("""COMPUTED_VALUE"""),2765044.0)</f>
        <v>2765044</v>
      </c>
      <c r="C177" t="str">
        <f>IFERROR(__xludf.DUMMYFUNCTION("""COMPUTED_VALUE"""),"ISS (Imposto sobre Serviços)")</f>
        <v>ISS (Imposto sobre Serviços)</v>
      </c>
    </row>
    <row r="178">
      <c r="A178" s="140" t="str">
        <f>IFERROR(__xludf.DUMMYFUNCTION("""COMPUTED_VALUE"""),"en")</f>
        <v>en</v>
      </c>
      <c r="B178">
        <f>IFERROR(__xludf.DUMMYFUNCTION("""COMPUTED_VALUE"""),3038932.0)</f>
        <v>3038932</v>
      </c>
      <c r="C178" t="str">
        <f>IFERROR(__xludf.DUMMYFUNCTION("""COMPUTED_VALUE"""),"Automotive product design using CATIA V5")</f>
        <v>Automotive product design using CATIA V5</v>
      </c>
    </row>
    <row r="179">
      <c r="A179" s="140" t="str">
        <f>IFERROR(__xludf.DUMMYFUNCTION("""COMPUTED_VALUE"""),"en")</f>
        <v>en</v>
      </c>
      <c r="B179">
        <f>IFERROR(__xludf.DUMMYFUNCTION("""COMPUTED_VALUE"""),640100.0)</f>
        <v>640100</v>
      </c>
      <c r="C179" t="str">
        <f>IFERROR(__xludf.DUMMYFUNCTION("""COMPUTED_VALUE"""),"Accounting &amp; Financial Statement Analysis: Complete Training")</f>
        <v>Accounting &amp; Financial Statement Analysis: Complete Training</v>
      </c>
    </row>
    <row r="180">
      <c r="A180" s="140" t="str">
        <f>IFERROR(__xludf.DUMMYFUNCTION("""COMPUTED_VALUE"""),"en")</f>
        <v>en</v>
      </c>
      <c r="B180">
        <f>IFERROR(__xludf.DUMMYFUNCTION("""COMPUTED_VALUE"""),941998.0)</f>
        <v>941998</v>
      </c>
      <c r="C180" t="str">
        <f>IFERROR(__xludf.DUMMYFUNCTION("""COMPUTED_VALUE"""),"Master Electron: Desktop Apps with HTML, JavaScript &amp; CSS")</f>
        <v>Master Electron: Desktop Apps with HTML, JavaScript &amp; CSS</v>
      </c>
    </row>
    <row r="181">
      <c r="A181" s="140" t="str">
        <f>IFERROR(__xludf.DUMMYFUNCTION("""COMPUTED_VALUE"""),"pt")</f>
        <v>pt</v>
      </c>
      <c r="B181">
        <f>IFERROR(__xludf.DUMMYFUNCTION("""COMPUTED_VALUE"""),3687398.0)</f>
        <v>3687398</v>
      </c>
      <c r="C181" t="str">
        <f>IFERROR(__xludf.DUMMYFUNCTION("""COMPUTED_VALUE"""),"Funcionalidades básicas e Administração do SAP Business One")</f>
        <v>Funcionalidades básicas e Administração do SAP Business One</v>
      </c>
    </row>
    <row r="182">
      <c r="A182" s="140" t="str">
        <f>IFERROR(__xludf.DUMMYFUNCTION("""COMPUTED_VALUE"""),"en")</f>
        <v>en</v>
      </c>
      <c r="B182">
        <f>IFERROR(__xludf.DUMMYFUNCTION("""COMPUTED_VALUE"""),1685508.0)</f>
        <v>1685508</v>
      </c>
      <c r="C182" t="str">
        <f>IFERROR(__xludf.DUMMYFUNCTION("""COMPUTED_VALUE"""),"OpenShift for the Absolute Beginners - Hands-on")</f>
        <v>OpenShift for the Absolute Beginners - Hands-on</v>
      </c>
    </row>
    <row r="183">
      <c r="A183" s="140" t="str">
        <f>IFERROR(__xludf.DUMMYFUNCTION("""COMPUTED_VALUE"""),"en")</f>
        <v>en</v>
      </c>
      <c r="B183">
        <f>IFERROR(__xludf.DUMMYFUNCTION("""COMPUTED_VALUE"""),3142170.0)</f>
        <v>3142170</v>
      </c>
      <c r="C183" t="str">
        <f>IFERROR(__xludf.DUMMYFUNCTION("""COMPUTED_VALUE"""),"Practice Exams | AWS Certified Cloud Practitioner CLF-C01")</f>
        <v>Practice Exams | AWS Certified Cloud Practitioner CLF-C01</v>
      </c>
    </row>
    <row r="184">
      <c r="A184" s="140" t="str">
        <f>IFERROR(__xludf.DUMMYFUNCTION("""COMPUTED_VALUE"""),"en")</f>
        <v>en</v>
      </c>
      <c r="B184">
        <f>IFERROR(__xludf.DUMMYFUNCTION("""COMPUTED_VALUE"""),1366348.0)</f>
        <v>1366348</v>
      </c>
      <c r="C184" t="str">
        <f>IFERROR(__xludf.DUMMYFUNCTION("""COMPUTED_VALUE"""),"Cross-Cultural Communication: How To Flex Your Style")</f>
        <v>Cross-Cultural Communication: How To Flex Your Style</v>
      </c>
    </row>
    <row r="185">
      <c r="A185" s="140" t="str">
        <f>IFERROR(__xludf.DUMMYFUNCTION("""COMPUTED_VALUE"""),"en")</f>
        <v>en</v>
      </c>
      <c r="B185">
        <f>IFERROR(__xludf.DUMMYFUNCTION("""COMPUTED_VALUE"""),706050.0)</f>
        <v>706050</v>
      </c>
      <c r="C185" t="str">
        <f>IFERROR(__xludf.DUMMYFUNCTION("""COMPUTED_VALUE"""),"Build and Host Your Own LAMP Web Server!")</f>
        <v>Build and Host Your Own LAMP Web Server!</v>
      </c>
    </row>
    <row r="186">
      <c r="A186" s="140" t="str">
        <f>IFERROR(__xludf.DUMMYFUNCTION("""COMPUTED_VALUE"""),"en")</f>
        <v>en</v>
      </c>
      <c r="B186">
        <f>IFERROR(__xludf.DUMMYFUNCTION("""COMPUTED_VALUE"""),536706.0)</f>
        <v>536706</v>
      </c>
      <c r="C186" t="str">
        <f>IFERROR(__xludf.DUMMYFUNCTION("""COMPUTED_VALUE"""),"Tableau for Beginners: Get DA Certified, Grow Your Career")</f>
        <v>Tableau for Beginners: Get DA Certified, Grow Your Career</v>
      </c>
    </row>
    <row r="187">
      <c r="A187" s="140" t="str">
        <f>IFERROR(__xludf.DUMMYFUNCTION("""COMPUTED_VALUE"""),"en")</f>
        <v>en</v>
      </c>
      <c r="B187">
        <f>IFERROR(__xludf.DUMMYFUNCTION("""COMPUTED_VALUE"""),1639320.0)</f>
        <v>1639320</v>
      </c>
      <c r="C187" t="str">
        <f>IFERROR(__xludf.DUMMYFUNCTION("""COMPUTED_VALUE"""),"Web Analytics &amp; Digital Marketing Analytics - Zero to Hero")</f>
        <v>Web Analytics &amp; Digital Marketing Analytics - Zero to Hero</v>
      </c>
    </row>
    <row r="188">
      <c r="A188" s="140" t="str">
        <f>IFERROR(__xludf.DUMMYFUNCTION("""COMPUTED_VALUE"""),"en")</f>
        <v>en</v>
      </c>
      <c r="B188">
        <f>IFERROR(__xludf.DUMMYFUNCTION("""COMPUTED_VALUE"""),3168808.0)</f>
        <v>3168808</v>
      </c>
      <c r="C188" t="str">
        <f>IFERROR(__xludf.DUMMYFUNCTION("""COMPUTED_VALUE"""),"Test Automation Framework [ Spring Boot + Selenium + BDD ]")</f>
        <v>Test Automation Framework [ Spring Boot + Selenium + BDD ]</v>
      </c>
    </row>
    <row r="189">
      <c r="A189" s="140" t="str">
        <f>IFERROR(__xludf.DUMMYFUNCTION("""COMPUTED_VALUE"""),"ja")</f>
        <v>ja</v>
      </c>
      <c r="B189">
        <f>IFERROR(__xludf.DUMMYFUNCTION("""COMPUTED_VALUE"""),4056208.0)</f>
        <v>4056208</v>
      </c>
      <c r="C189" t="str">
        <f>IFERROR(__xludf.DUMMYFUNCTION("""COMPUTED_VALUE"""),"ノーコードでシンプルな企業サイトを作るWordPress講座")</f>
        <v>ノーコードでシンプルな企業サイトを作るWordPress講座</v>
      </c>
    </row>
    <row r="190">
      <c r="A190" s="140" t="str">
        <f>IFERROR(__xludf.DUMMYFUNCTION("""COMPUTED_VALUE"""),"en")</f>
        <v>en</v>
      </c>
      <c r="B190">
        <f>IFERROR(__xludf.DUMMYFUNCTION("""COMPUTED_VALUE"""),973762.0)</f>
        <v>973762</v>
      </c>
      <c r="C190" t="str">
        <f>IFERROR(__xludf.DUMMYFUNCTION("""COMPUTED_VALUE"""),"After Effects CC: The Complete Motion Graphics Masterclass")</f>
        <v>After Effects CC: The Complete Motion Graphics Masterclass</v>
      </c>
    </row>
    <row r="191">
      <c r="A191" s="140" t="str">
        <f>IFERROR(__xludf.DUMMYFUNCTION("""COMPUTED_VALUE"""),"en")</f>
        <v>en</v>
      </c>
      <c r="B191">
        <f>IFERROR(__xludf.DUMMYFUNCTION("""COMPUTED_VALUE"""),1430812.0)</f>
        <v>1430812</v>
      </c>
      <c r="C191" t="str">
        <f>IFERROR(__xludf.DUMMYFUNCTION("""COMPUTED_VALUE"""),"Test Automation with Katalon Studio (Selenium WebDriver)")</f>
        <v>Test Automation with Katalon Studio (Selenium WebDriver)</v>
      </c>
    </row>
    <row r="192">
      <c r="A192" s="140" t="str">
        <f>IFERROR(__xludf.DUMMYFUNCTION("""COMPUTED_VALUE"""),"en")</f>
        <v>en</v>
      </c>
      <c r="B192">
        <f>IFERROR(__xludf.DUMMYFUNCTION("""COMPUTED_VALUE"""),2954952.0)</f>
        <v>2954952</v>
      </c>
      <c r="C192" t="str">
        <f>IFERROR(__xludf.DUMMYFUNCTION("""COMPUTED_VALUE"""),"100% Sure Success in Day Trading : My SECRET™ Strategy")</f>
        <v>100% Sure Success in Day Trading : My SECRET™ Strategy</v>
      </c>
    </row>
    <row r="193">
      <c r="A193" s="140" t="str">
        <f>IFERROR(__xludf.DUMMYFUNCTION("""COMPUTED_VALUE"""),"tr")</f>
        <v>tr</v>
      </c>
      <c r="B193">
        <f>IFERROR(__xludf.DUMMYFUNCTION("""COMPUTED_VALUE"""),3854254.0)</f>
        <v>3854254</v>
      </c>
      <c r="C193" t="str">
        <f>IFERROR(__xludf.DUMMYFUNCTION("""COMPUTED_VALUE"""),"C++ | Yeni Başlayanlar İçin Nesne Yönelimli Programlama")</f>
        <v>C++ | Yeni Başlayanlar İçin Nesne Yönelimli Programlama</v>
      </c>
    </row>
    <row r="194">
      <c r="A194" s="140" t="str">
        <f>IFERROR(__xludf.DUMMYFUNCTION("""COMPUTED_VALUE"""),"en")</f>
        <v>en</v>
      </c>
      <c r="B194">
        <f>IFERROR(__xludf.DUMMYFUNCTION("""COMPUTED_VALUE"""),3986808.0)</f>
        <v>3986808</v>
      </c>
      <c r="C194" t="str">
        <f>IFERROR(__xludf.DUMMYFUNCTION("""COMPUTED_VALUE"""),"Step by Step DV360 Tutorial - 2021 (Display &amp; Video 360)")</f>
        <v>Step by Step DV360 Tutorial - 2021 (Display &amp; Video 360)</v>
      </c>
    </row>
    <row r="195">
      <c r="A195" s="140" t="str">
        <f>IFERROR(__xludf.DUMMYFUNCTION("""COMPUTED_VALUE"""),"de")</f>
        <v>de</v>
      </c>
      <c r="B195">
        <f>IFERROR(__xludf.DUMMYFUNCTION("""COMPUTED_VALUE"""),2895558.0)</f>
        <v>2895558</v>
      </c>
      <c r="C195" t="str">
        <f>IFERROR(__xludf.DUMMYFUNCTION("""COMPUTED_VALUE"""),"Stress- und Selbstmanagement")</f>
        <v>Stress- und Selbstmanagement</v>
      </c>
    </row>
    <row r="196">
      <c r="A196" s="140" t="str">
        <f>IFERROR(__xludf.DUMMYFUNCTION("""COMPUTED_VALUE"""),"en")</f>
        <v>en</v>
      </c>
      <c r="B196">
        <f>IFERROR(__xludf.DUMMYFUNCTION("""COMPUTED_VALUE"""),1304050.0)</f>
        <v>1304050</v>
      </c>
      <c r="C196" t="str">
        <f>IFERROR(__xludf.DUMMYFUNCTION("""COMPUTED_VALUE"""),"Feature Engineering for Machine Learning")</f>
        <v>Feature Engineering for Machine Learning</v>
      </c>
    </row>
    <row r="197">
      <c r="A197" s="140" t="str">
        <f>IFERROR(__xludf.DUMMYFUNCTION("""COMPUTED_VALUE"""),"en")</f>
        <v>en</v>
      </c>
      <c r="B197">
        <f>IFERROR(__xludf.DUMMYFUNCTION("""COMPUTED_VALUE"""),1427116.0)</f>
        <v>1427116</v>
      </c>
      <c r="C197" t="str">
        <f>IFERROR(__xludf.DUMMYFUNCTION("""COMPUTED_VALUE"""),"Django for Python Developers")</f>
        <v>Django for Python Developers</v>
      </c>
    </row>
    <row r="198">
      <c r="A198" s="140" t="str">
        <f>IFERROR(__xludf.DUMMYFUNCTION("""COMPUTED_VALUE"""),"en")</f>
        <v>en</v>
      </c>
      <c r="B198">
        <f>IFERROR(__xludf.DUMMYFUNCTION("""COMPUTED_VALUE"""),1816184.0)</f>
        <v>1816184</v>
      </c>
      <c r="C198" t="str">
        <f>IFERROR(__xludf.DUMMYFUNCTION("""COMPUTED_VALUE"""),"Gas Absorption &amp; Stripping in Chemical Engineering")</f>
        <v>Gas Absorption &amp; Stripping in Chemical Engineering</v>
      </c>
    </row>
    <row r="199">
      <c r="A199" s="140" t="str">
        <f>IFERROR(__xludf.DUMMYFUNCTION("""COMPUTED_VALUE"""),"pt")</f>
        <v>pt</v>
      </c>
      <c r="B199">
        <f>IFERROR(__xludf.DUMMYFUNCTION("""COMPUTED_VALUE"""),2208312.0)</f>
        <v>2208312</v>
      </c>
      <c r="C199" t="str">
        <f>IFERROR(__xludf.DUMMYFUNCTION("""COMPUTED_VALUE"""),"Seja Full-Stack com Vue JS + ASP.NET Core Web API + EF Core")</f>
        <v>Seja Full-Stack com Vue JS + ASP.NET Core Web API + EF Core</v>
      </c>
    </row>
    <row r="200">
      <c r="A200" s="140" t="str">
        <f>IFERROR(__xludf.DUMMYFUNCTION("""COMPUTED_VALUE"""),"en")</f>
        <v>en</v>
      </c>
      <c r="B200">
        <f>IFERROR(__xludf.DUMMYFUNCTION("""COMPUTED_VALUE"""),2557794.0)</f>
        <v>2557794</v>
      </c>
      <c r="C200" t="str">
        <f>IFERROR(__xludf.DUMMYFUNCTION("""COMPUTED_VALUE"""),"GIT and Visual Studio with Azure DevOps Repos for Developers")</f>
        <v>GIT and Visual Studio with Azure DevOps Repos for Developers</v>
      </c>
    </row>
    <row r="201">
      <c r="A201" s="140" t="str">
        <f>IFERROR(__xludf.DUMMYFUNCTION("""COMPUTED_VALUE"""),"en")</f>
        <v>en</v>
      </c>
      <c r="B201">
        <f>IFERROR(__xludf.DUMMYFUNCTION("""COMPUTED_VALUE"""),50134.0)</f>
        <v>50134</v>
      </c>
      <c r="C201" t="str">
        <f>IFERROR(__xludf.DUMMYFUNCTION("""COMPUTED_VALUE"""),"Learn Avid Media Composer")</f>
        <v>Learn Avid Media Composer</v>
      </c>
    </row>
    <row r="202">
      <c r="A202" s="140" t="str">
        <f>IFERROR(__xludf.DUMMYFUNCTION("""COMPUTED_VALUE"""),"fr")</f>
        <v>fr</v>
      </c>
      <c r="B202">
        <f>IFERROR(__xludf.DUMMYFUNCTION("""COMPUTED_VALUE"""),3582982.0)</f>
        <v>3582982</v>
      </c>
      <c r="C202" t="str">
        <f>IFERROR(__xludf.DUMMYFUNCTION("""COMPUTED_VALUE"""),"Coder 3 sites de A à Z.")</f>
        <v>Coder 3 sites de A à Z.</v>
      </c>
    </row>
    <row r="203">
      <c r="A203" s="140" t="str">
        <f>IFERROR(__xludf.DUMMYFUNCTION("""COMPUTED_VALUE"""),"de")</f>
        <v>de</v>
      </c>
      <c r="B203">
        <f>IFERROR(__xludf.DUMMYFUNCTION("""COMPUTED_VALUE"""),1915614.0)</f>
        <v>1915614</v>
      </c>
      <c r="C203" t="str">
        <f>IFERROR(__xludf.DUMMYFUNCTION("""COMPUTED_VALUE"""),"EPLAN P8 - Der Einsteigerkurs (2021)")</f>
        <v>EPLAN P8 - Der Einsteigerkurs (2021)</v>
      </c>
    </row>
    <row r="204">
      <c r="A204" s="140" t="str">
        <f>IFERROR(__xludf.DUMMYFUNCTION("""COMPUTED_VALUE"""),"en")</f>
        <v>en</v>
      </c>
      <c r="B204">
        <f>IFERROR(__xludf.DUMMYFUNCTION("""COMPUTED_VALUE"""),2401584.0)</f>
        <v>2401584</v>
      </c>
      <c r="C204" t="str">
        <f>IFERROR(__xludf.DUMMYFUNCTION("""COMPUTED_VALUE"""),"TOTAL: CompTIA A+ Certification (220-1002) Practice Tests.")</f>
        <v>TOTAL: CompTIA A+ Certification (220-1002) Practice Tests.</v>
      </c>
    </row>
    <row r="205">
      <c r="A205" s="140" t="str">
        <f>IFERROR(__xludf.DUMMYFUNCTION("""COMPUTED_VALUE"""),"en")</f>
        <v>en</v>
      </c>
      <c r="B205">
        <f>IFERROR(__xludf.DUMMYFUNCTION("""COMPUTED_VALUE"""),1265832.0)</f>
        <v>1265832</v>
      </c>
      <c r="C205" t="str">
        <f>IFERROR(__xludf.DUMMYFUNCTION("""COMPUTED_VALUE"""),"Risk Management: Master FMEA/FMECA &amp; Criticality from A to Z")</f>
        <v>Risk Management: Master FMEA/FMECA &amp; Criticality from A to Z</v>
      </c>
    </row>
    <row r="206">
      <c r="A206" s="140" t="str">
        <f>IFERROR(__xludf.DUMMYFUNCTION("""COMPUTED_VALUE"""),"en")</f>
        <v>en</v>
      </c>
      <c r="B206">
        <f>IFERROR(__xludf.DUMMYFUNCTION("""COMPUTED_VALUE"""),791690.0)</f>
        <v>791690</v>
      </c>
      <c r="C206" t="str">
        <f>IFERROR(__xludf.DUMMYFUNCTION("""COMPUTED_VALUE"""),"Be Happier with Positive Psychology")</f>
        <v>Be Happier with Positive Psychology</v>
      </c>
    </row>
    <row r="207">
      <c r="A207" s="140" t="str">
        <f>IFERROR(__xludf.DUMMYFUNCTION("""COMPUTED_VALUE"""),"ja")</f>
        <v>ja</v>
      </c>
      <c r="B207">
        <f>IFERROR(__xludf.DUMMYFUNCTION("""COMPUTED_VALUE"""),1345890.0)</f>
        <v>1345890</v>
      </c>
      <c r="C207" t="str">
        <f>IFERROR(__xludf.DUMMYFUNCTION("""COMPUTED_VALUE"""),"社会人1年生のための　効率的な正しい仕事の進め方講座")</f>
        <v>社会人1年生のための　効率的な正しい仕事の進め方講座</v>
      </c>
    </row>
    <row r="208">
      <c r="A208" s="140" t="str">
        <f>IFERROR(__xludf.DUMMYFUNCTION("""COMPUTED_VALUE"""),"en")</f>
        <v>en</v>
      </c>
      <c r="B208">
        <f>IFERROR(__xludf.DUMMYFUNCTION("""COMPUTED_VALUE"""),1693292.0)</f>
        <v>1693292</v>
      </c>
      <c r="C208" t="str">
        <f>IFERROR(__xludf.DUMMYFUNCTION("""COMPUTED_VALUE"""),"Learn Blockchain By Building Your Own In JavaScript")</f>
        <v>Learn Blockchain By Building Your Own In JavaScript</v>
      </c>
    </row>
    <row r="209">
      <c r="A209" s="140" t="str">
        <f>IFERROR(__xludf.DUMMYFUNCTION("""COMPUTED_VALUE"""),"en")</f>
        <v>en</v>
      </c>
      <c r="B209">
        <f>IFERROR(__xludf.DUMMYFUNCTION("""COMPUTED_VALUE"""),2721402.0)</f>
        <v>2721402</v>
      </c>
      <c r="C209" t="str">
        <f>IFERROR(__xludf.DUMMYFUNCTION("""COMPUTED_VALUE"""),"Assignment and Transportation Problem Operations Research 01")</f>
        <v>Assignment and Transportation Problem Operations Research 01</v>
      </c>
    </row>
    <row r="210">
      <c r="A210" s="140" t="str">
        <f>IFERROR(__xludf.DUMMYFUNCTION("""COMPUTED_VALUE"""),"pt")</f>
        <v>pt</v>
      </c>
      <c r="B210">
        <f>IFERROR(__xludf.DUMMYFUNCTION("""COMPUTED_VALUE"""),2370918.0)</f>
        <v>2370918</v>
      </c>
      <c r="C210" t="str">
        <f>IFERROR(__xludf.DUMMYFUNCTION("""COMPUTED_VALUE"""),"Trade Marketing na prática: a área, o mercado e carreira")</f>
        <v>Trade Marketing na prática: a área, o mercado e carreira</v>
      </c>
    </row>
    <row r="211">
      <c r="A211" s="140" t="str">
        <f>IFERROR(__xludf.DUMMYFUNCTION("""COMPUTED_VALUE"""),"es")</f>
        <v>es</v>
      </c>
      <c r="B211">
        <f>IFERROR(__xludf.DUMMYFUNCTION("""COMPUTED_VALUE"""),2680034.0)</f>
        <v>2680034</v>
      </c>
      <c r="C211" t="str">
        <f>IFERROR(__xludf.DUMMYFUNCTION("""COMPUTED_VALUE"""),"Estrategia de Posicionamiento Google Mi Negocio | SEO Local")</f>
        <v>Estrategia de Posicionamiento Google Mi Negocio | SEO Local</v>
      </c>
    </row>
    <row r="212">
      <c r="A212" s="140" t="str">
        <f>IFERROR(__xludf.DUMMYFUNCTION("""COMPUTED_VALUE"""),"en")</f>
        <v>en</v>
      </c>
      <c r="B212">
        <f>IFERROR(__xludf.DUMMYFUNCTION("""COMPUTED_VALUE"""),1747522.0)</f>
        <v>1747522</v>
      </c>
      <c r="C212" t="str">
        <f>IFERROR(__xludf.DUMMYFUNCTION("""COMPUTED_VALUE"""),"Python REST APIs with Flask, Docker, MongoDB, and AWS DevOps")</f>
        <v>Python REST APIs with Flask, Docker, MongoDB, and AWS DevOps</v>
      </c>
    </row>
    <row r="213">
      <c r="A213" s="140" t="str">
        <f>IFERROR(__xludf.DUMMYFUNCTION("""COMPUTED_VALUE"""),"en")</f>
        <v>en</v>
      </c>
      <c r="B213">
        <f>IFERROR(__xludf.DUMMYFUNCTION("""COMPUTED_VALUE"""),1419182.0)</f>
        <v>1419182</v>
      </c>
      <c r="C213" t="str">
        <f>IFERROR(__xludf.DUMMYFUNCTION("""COMPUTED_VALUE"""),"SQL for Beginners: Learn SQL using MySQL and Database Design")</f>
        <v>SQL for Beginners: Learn SQL using MySQL and Database Design</v>
      </c>
    </row>
    <row r="214">
      <c r="A214" s="140" t="str">
        <f>IFERROR(__xludf.DUMMYFUNCTION("""COMPUTED_VALUE"""),"en")</f>
        <v>en</v>
      </c>
      <c r="B214">
        <f>IFERROR(__xludf.DUMMYFUNCTION("""COMPUTED_VALUE"""),1747522.0)</f>
        <v>1747522</v>
      </c>
      <c r="C214" t="str">
        <f>IFERROR(__xludf.DUMMYFUNCTION("""COMPUTED_VALUE"""),"Python REST APIs with Flask, Docker, MongoDB, and AWS DevOps")</f>
        <v>Python REST APIs with Flask, Docker, MongoDB, and AWS DevOps</v>
      </c>
    </row>
    <row r="215">
      <c r="A215" s="140" t="str">
        <f>IFERROR(__xludf.DUMMYFUNCTION("""COMPUTED_VALUE"""),"es")</f>
        <v>es</v>
      </c>
      <c r="B215">
        <f>IFERROR(__xludf.DUMMYFUNCTION("""COMPUTED_VALUE"""),889024.0)</f>
        <v>889024</v>
      </c>
      <c r="C215" t="str">
        <f>IFERROR(__xludf.DUMMYFUNCTION("""COMPUTED_VALUE"""),"Fundamentos y Lógica de Programación 2021")</f>
        <v>Fundamentos y Lógica de Programación 2021</v>
      </c>
    </row>
    <row r="216">
      <c r="A216" s="140" t="str">
        <f>IFERROR(__xludf.DUMMYFUNCTION("""COMPUTED_VALUE"""),"es")</f>
        <v>es</v>
      </c>
      <c r="B216">
        <f>IFERROR(__xludf.DUMMYFUNCTION("""COMPUTED_VALUE"""),1168544.0)</f>
        <v>1168544</v>
      </c>
      <c r="C216" t="str">
        <f>IFERROR(__xludf.DUMMYFUNCTION("""COMPUTED_VALUE"""),"C# Curso Completo para ser programador")</f>
        <v>C# Curso Completo para ser programador</v>
      </c>
    </row>
    <row r="217">
      <c r="A217" s="140" t="str">
        <f>IFERROR(__xludf.DUMMYFUNCTION("""COMPUTED_VALUE"""),"tr")</f>
        <v>tr</v>
      </c>
      <c r="B217">
        <f>IFERROR(__xludf.DUMMYFUNCTION("""COMPUTED_VALUE"""),1331602.0)</f>
        <v>1331602</v>
      </c>
      <c r="C217" t="str">
        <f>IFERROR(__xludf.DUMMYFUNCTION("""COMPUTED_VALUE"""),"Illustrator 2022 : A'dan Z'ye Kolay Öğrenme! (Güncellenmiş)")</f>
        <v>Illustrator 2022 : A'dan Z'ye Kolay Öğrenme! (Güncellenmiş)</v>
      </c>
    </row>
    <row r="218">
      <c r="A218" s="140" t="str">
        <f>IFERROR(__xludf.DUMMYFUNCTION("""COMPUTED_VALUE"""),"en")</f>
        <v>en</v>
      </c>
      <c r="B218">
        <f>IFERROR(__xludf.DUMMYFUNCTION("""COMPUTED_VALUE"""),942752.0)</f>
        <v>942752</v>
      </c>
      <c r="C218" t="str">
        <f>IFERROR(__xludf.DUMMYFUNCTION("""COMPUTED_VALUE"""),"Master Course in Tableau for Business Intelligence")</f>
        <v>Master Course in Tableau for Business Intelligence</v>
      </c>
    </row>
    <row r="219">
      <c r="A219" s="140" t="str">
        <f>IFERROR(__xludf.DUMMYFUNCTION("""COMPUTED_VALUE"""),"en")</f>
        <v>en</v>
      </c>
      <c r="B219">
        <f>IFERROR(__xludf.DUMMYFUNCTION("""COMPUTED_VALUE"""),1833254.0)</f>
        <v>1833254</v>
      </c>
      <c r="C219" t="str">
        <f>IFERROR(__xludf.DUMMYFUNCTION("""COMPUTED_VALUE"""),"The Complete Introduction to OpenFOAM")</f>
        <v>The Complete Introduction to OpenFOAM</v>
      </c>
    </row>
    <row r="220">
      <c r="A220" s="140" t="str">
        <f>IFERROR(__xludf.DUMMYFUNCTION("""COMPUTED_VALUE"""),"pt")</f>
        <v>pt</v>
      </c>
      <c r="B220">
        <f>IFERROR(__xludf.DUMMYFUNCTION("""COMPUTED_VALUE"""),4110426.0)</f>
        <v>4110426</v>
      </c>
      <c r="C220" t="str">
        <f>IFERROR(__xludf.DUMMYFUNCTION("""COMPUTED_VALUE"""),"Flutter 2.0: Crie aplicações responsivas para a Web")</f>
        <v>Flutter 2.0: Crie aplicações responsivas para a Web</v>
      </c>
    </row>
    <row r="221">
      <c r="A221" s="140" t="str">
        <f>IFERROR(__xludf.DUMMYFUNCTION("""COMPUTED_VALUE"""),"en")</f>
        <v>en</v>
      </c>
      <c r="B221">
        <f>IFERROR(__xludf.DUMMYFUNCTION("""COMPUTED_VALUE"""),732578.0)</f>
        <v>732578</v>
      </c>
      <c r="C221" t="str">
        <f>IFERROR(__xludf.DUMMYFUNCTION("""COMPUTED_VALUE"""),"Learn Maya - A Beginners guide to Creating Realistic Scenes")</f>
        <v>Learn Maya - A Beginners guide to Creating Realistic Scenes</v>
      </c>
    </row>
    <row r="222">
      <c r="A222" s="140" t="str">
        <f>IFERROR(__xludf.DUMMYFUNCTION("""COMPUTED_VALUE"""),"es")</f>
        <v>es</v>
      </c>
      <c r="B222">
        <f>IFERROR(__xludf.DUMMYFUNCTION("""COMPUTED_VALUE"""),1354960.0)</f>
        <v>1354960</v>
      </c>
      <c r="C222" t="str">
        <f>IFERROR(__xludf.DUMMYFUNCTION("""COMPUTED_VALUE"""),"METAS ESTRATÉGICAS")</f>
        <v>METAS ESTRATÉGICAS</v>
      </c>
    </row>
    <row r="223">
      <c r="A223" s="140" t="str">
        <f>IFERROR(__xludf.DUMMYFUNCTION("""COMPUTED_VALUE"""),"en")</f>
        <v>en</v>
      </c>
      <c r="B223">
        <f>IFERROR(__xludf.DUMMYFUNCTION("""COMPUTED_VALUE"""),1528598.0)</f>
        <v>1528598</v>
      </c>
      <c r="C223" t="str">
        <f>IFERROR(__xludf.DUMMYFUNCTION("""COMPUTED_VALUE"""),"Master Discrete Mathematics: Sets, Math Logic, and More")</f>
        <v>Master Discrete Mathematics: Sets, Math Logic, and More</v>
      </c>
    </row>
    <row r="224">
      <c r="A224" s="140" t="str">
        <f>IFERROR(__xludf.DUMMYFUNCTION("""COMPUTED_VALUE"""),"fr")</f>
        <v>fr</v>
      </c>
      <c r="B224">
        <f>IFERROR(__xludf.DUMMYFUNCTION("""COMPUTED_VALUE"""),3222087.0)</f>
        <v>3222087</v>
      </c>
      <c r="C224" t="str">
        <f>IFERROR(__xludf.DUMMYFUNCTION("""COMPUTED_VALUE"""),"Apprendre C# et le développement logiciel avec WPF | 2021")</f>
        <v>Apprendre C# et le développement logiciel avec WPF | 2021</v>
      </c>
    </row>
    <row r="225">
      <c r="A225" s="140" t="str">
        <f>IFERROR(__xludf.DUMMYFUNCTION("""COMPUTED_VALUE"""),"de")</f>
        <v>de</v>
      </c>
      <c r="B225">
        <f>IFERROR(__xludf.DUMMYFUNCTION("""COMPUTED_VALUE"""),1753504.0)</f>
        <v>1753504</v>
      </c>
      <c r="C225" t="str">
        <f>IFERROR(__xludf.DUMMYFUNCTION("""COMPUTED_VALUE"""),"Java Datenbank Kurs mit SQLite, MySQL und der Sprache SQL")</f>
        <v>Java Datenbank Kurs mit SQLite, MySQL und der Sprache SQL</v>
      </c>
    </row>
    <row r="226">
      <c r="A226" s="140" t="str">
        <f>IFERROR(__xludf.DUMMYFUNCTION("""COMPUTED_VALUE"""),"en")</f>
        <v>en</v>
      </c>
      <c r="B226">
        <f>IFERROR(__xludf.DUMMYFUNCTION("""COMPUTED_VALUE"""),1990136.0)</f>
        <v>1990136</v>
      </c>
      <c r="C226" t="str">
        <f>IFERROR(__xludf.DUMMYFUNCTION("""COMPUTED_VALUE"""),"Artificial Intelligence for Business")</f>
        <v>Artificial Intelligence for Business</v>
      </c>
    </row>
    <row r="227">
      <c r="A227" s="140" t="str">
        <f>IFERROR(__xludf.DUMMYFUNCTION("""COMPUTED_VALUE"""),"ko")</f>
        <v>ko</v>
      </c>
      <c r="B227">
        <f>IFERROR(__xludf.DUMMYFUNCTION("""COMPUTED_VALUE"""),1402676.0)</f>
        <v>1402676</v>
      </c>
      <c r="C227" t="str">
        <f>IFERROR(__xludf.DUMMYFUNCTION("""COMPUTED_VALUE"""),"DIY WordPress Theme - 내 손으로 직접 만들어보는 워드프레스 테마 코딩")</f>
        <v>DIY WordPress Theme - 내 손으로 직접 만들어보는 워드프레스 테마 코딩</v>
      </c>
    </row>
    <row r="228">
      <c r="A228" s="140" t="str">
        <f>IFERROR(__xludf.DUMMYFUNCTION("""COMPUTED_VALUE"""),"pt")</f>
        <v>pt</v>
      </c>
      <c r="B228">
        <f>IFERROR(__xludf.DUMMYFUNCTION("""COMPUTED_VALUE"""),589550.0)</f>
        <v>589550</v>
      </c>
      <c r="C228" t="str">
        <f>IFERROR(__xludf.DUMMYFUNCTION("""COMPUTED_VALUE"""),"Aprendendo a programar em Java")</f>
        <v>Aprendendo a programar em Java</v>
      </c>
    </row>
    <row r="229">
      <c r="A229" s="140" t="str">
        <f>IFERROR(__xludf.DUMMYFUNCTION("""COMPUTED_VALUE"""),"en")</f>
        <v>en</v>
      </c>
      <c r="B229">
        <f>IFERROR(__xludf.DUMMYFUNCTION("""COMPUTED_VALUE"""),1562686.0)</f>
        <v>1562686</v>
      </c>
      <c r="C229" t="str">
        <f>IFERROR(__xludf.DUMMYFUNCTION("""COMPUTED_VALUE"""),"The Credit Analyst Training course")</f>
        <v>The Credit Analyst Training course</v>
      </c>
    </row>
    <row r="230">
      <c r="A230" s="140" t="str">
        <f>IFERROR(__xludf.DUMMYFUNCTION("""COMPUTED_VALUE"""),"en")</f>
        <v>en</v>
      </c>
      <c r="B230">
        <f>IFERROR(__xludf.DUMMYFUNCTION("""COMPUTED_VALUE"""),797156.0)</f>
        <v>797156</v>
      </c>
      <c r="C230" t="str">
        <f>IFERROR(__xludf.DUMMYFUNCTION("""COMPUTED_VALUE"""),"A Mini Course on Time Management")</f>
        <v>A Mini Course on Time Management</v>
      </c>
    </row>
    <row r="231">
      <c r="A231" s="140" t="str">
        <f>IFERROR(__xludf.DUMMYFUNCTION("""COMPUTED_VALUE"""),"en")</f>
        <v>en</v>
      </c>
      <c r="B231">
        <f>IFERROR(__xludf.DUMMYFUNCTION("""COMPUTED_VALUE"""),1140472.0)</f>
        <v>1140472</v>
      </c>
      <c r="C231" t="str">
        <f>IFERROR(__xludf.DUMMYFUNCTION("""COMPUTED_VALUE"""),"Difficult Conversations at Work Made Easier")</f>
        <v>Difficult Conversations at Work Made Easier</v>
      </c>
    </row>
    <row r="232">
      <c r="A232" s="140" t="str">
        <f>IFERROR(__xludf.DUMMYFUNCTION("""COMPUTED_VALUE"""),"ar")</f>
        <v>ar</v>
      </c>
      <c r="B232">
        <f>IFERROR(__xludf.DUMMYFUNCTION("""COMPUTED_VALUE"""),1599270.0)</f>
        <v>1599270</v>
      </c>
      <c r="C232" t="str">
        <f>IFERROR(__xludf.DUMMYFUNCTION("""COMPUTED_VALUE"""),"PMI-RMP Exam Preparation")</f>
        <v>PMI-RMP Exam Preparation</v>
      </c>
    </row>
    <row r="233">
      <c r="A233" s="140" t="str">
        <f>IFERROR(__xludf.DUMMYFUNCTION("""COMPUTED_VALUE"""),"en")</f>
        <v>en</v>
      </c>
      <c r="B233">
        <f>IFERROR(__xludf.DUMMYFUNCTION("""COMPUTED_VALUE"""),3716888.0)</f>
        <v>3716888</v>
      </c>
      <c r="C233" t="str">
        <f>IFERROR(__xludf.DUMMYFUNCTION("""COMPUTED_VALUE"""),"Spring Boot E-Commerce Ultimate Course")</f>
        <v>Spring Boot E-Commerce Ultimate Course</v>
      </c>
    </row>
    <row r="234">
      <c r="A234" s="140" t="str">
        <f>IFERROR(__xludf.DUMMYFUNCTION("""COMPUTED_VALUE"""),"en")</f>
        <v>en</v>
      </c>
      <c r="B234">
        <f>IFERROR(__xludf.DUMMYFUNCTION("""COMPUTED_VALUE"""),296510.0)</f>
        <v>296510</v>
      </c>
      <c r="C234" t="str">
        <f>IFERROR(__xludf.DUMMYFUNCTION("""COMPUTED_VALUE"""),"Surviving Digital Forensics: Understanding OS X Time Stamps")</f>
        <v>Surviving Digital Forensics: Understanding OS X Time Stamps</v>
      </c>
    </row>
    <row r="235">
      <c r="A235" s="140" t="str">
        <f>IFERROR(__xludf.DUMMYFUNCTION("""COMPUTED_VALUE"""),"en")</f>
        <v>en</v>
      </c>
      <c r="B235">
        <f>IFERROR(__xludf.DUMMYFUNCTION("""COMPUTED_VALUE"""),3044474.0)</f>
        <v>3044474</v>
      </c>
      <c r="C235" t="str">
        <f>IFERROR(__xludf.DUMMYFUNCTION("""COMPUTED_VALUE"""),"The Complete Python Developer Certification Course")</f>
        <v>The Complete Python Developer Certification Course</v>
      </c>
    </row>
    <row r="236">
      <c r="A236" s="140" t="str">
        <f>IFERROR(__xludf.DUMMYFUNCTION("""COMPUTED_VALUE"""),"en")</f>
        <v>en</v>
      </c>
      <c r="B236">
        <f>IFERROR(__xludf.DUMMYFUNCTION("""COMPUTED_VALUE"""),670050.0)</f>
        <v>670050</v>
      </c>
      <c r="C236" t="str">
        <f>IFERROR(__xludf.DUMMYFUNCTION("""COMPUTED_VALUE"""),"Beginning Drawing and Painting Course for Beginners")</f>
        <v>Beginning Drawing and Painting Course for Beginners</v>
      </c>
    </row>
    <row r="237">
      <c r="A237" s="140" t="str">
        <f>IFERROR(__xludf.DUMMYFUNCTION("""COMPUTED_VALUE"""),"en")</f>
        <v>en</v>
      </c>
      <c r="B237">
        <f>IFERROR(__xludf.DUMMYFUNCTION("""COMPUTED_VALUE"""),2623876.0)</f>
        <v>2623876</v>
      </c>
      <c r="C237" t="str">
        <f>IFERROR(__xludf.DUMMYFUNCTION("""COMPUTED_VALUE"""),"Embracing a Culture of Feedback")</f>
        <v>Embracing a Culture of Feedback</v>
      </c>
    </row>
    <row r="238">
      <c r="A238" s="140" t="str">
        <f>IFERROR(__xludf.DUMMYFUNCTION("""COMPUTED_VALUE"""),"en")</f>
        <v>en</v>
      </c>
      <c r="B238">
        <f>IFERROR(__xludf.DUMMYFUNCTION("""COMPUTED_VALUE"""),1909224.0)</f>
        <v>1909224</v>
      </c>
      <c r="C238" t="str">
        <f>IFERROR(__xludf.DUMMYFUNCTION("""COMPUTED_VALUE"""),"Autonomous Cars: Deep Learning and Computer Vision in Python")</f>
        <v>Autonomous Cars: Deep Learning and Computer Vision in Python</v>
      </c>
    </row>
    <row r="239">
      <c r="A239" s="140" t="str">
        <f>IFERROR(__xludf.DUMMYFUNCTION("""COMPUTED_VALUE"""),"fr")</f>
        <v>fr</v>
      </c>
      <c r="B239">
        <f>IFERROR(__xludf.DUMMYFUNCTION("""COMPUTED_VALUE"""),1190496.0)</f>
        <v>1190496</v>
      </c>
      <c r="C239" t="str">
        <f>IFERROR(__xludf.DUMMYFUNCTION("""COMPUTED_VALUE"""),"Le développement web de A à Z par la pratique")</f>
        <v>Le développement web de A à Z par la pratique</v>
      </c>
    </row>
    <row r="240">
      <c r="A240" s="140" t="str">
        <f>IFERROR(__xludf.DUMMYFUNCTION("""COMPUTED_VALUE"""),"ar")</f>
        <v>ar</v>
      </c>
      <c r="B240">
        <f>IFERROR(__xludf.DUMMYFUNCTION("""COMPUTED_VALUE"""),1216284.0)</f>
        <v>1216284</v>
      </c>
      <c r="C240" t="str">
        <f>IFERROR(__xludf.DUMMYFUNCTION("""COMPUTED_VALUE"""),"Grid tied PV systems حسابات الأنظمة الشمسية المتصلة بالشبكة")</f>
        <v>Grid tied PV systems حسابات الأنظمة الشمسية المتصلة بالشبكة</v>
      </c>
    </row>
    <row r="241">
      <c r="A241" s="140" t="str">
        <f>IFERROR(__xludf.DUMMYFUNCTION("""COMPUTED_VALUE"""),"es")</f>
        <v>es</v>
      </c>
      <c r="B241">
        <f>IFERROR(__xludf.DUMMYFUNCTION("""COMPUTED_VALUE"""),4010354.0)</f>
        <v>4010354</v>
      </c>
      <c r="C241" t="str">
        <f>IFERROR(__xludf.DUMMYFUNCTION("""COMPUTED_VALUE"""),"Escribir bien para pensar mejor")</f>
        <v>Escribir bien para pensar mejor</v>
      </c>
    </row>
    <row r="242">
      <c r="A242" s="140" t="str">
        <f>IFERROR(__xludf.DUMMYFUNCTION("""COMPUTED_VALUE"""),"de")</f>
        <v>de</v>
      </c>
      <c r="B242">
        <f>IFERROR(__xludf.DUMMYFUNCTION("""COMPUTED_VALUE"""),1984288.0)</f>
        <v>1984288</v>
      </c>
      <c r="C242" t="str">
        <f>IFERROR(__xludf.DUMMYFUNCTION("""COMPUTED_VALUE"""),"LinkedIn Marketing für Ein- und Aufsteiger")</f>
        <v>LinkedIn Marketing für Ein- und Aufsteiger</v>
      </c>
    </row>
    <row r="243">
      <c r="A243" s="140" t="str">
        <f>IFERROR(__xludf.DUMMYFUNCTION("""COMPUTED_VALUE"""),"en")</f>
        <v>en</v>
      </c>
      <c r="B243">
        <f>IFERROR(__xludf.DUMMYFUNCTION("""COMPUTED_VALUE"""),2129800.0)</f>
        <v>2129800</v>
      </c>
      <c r="C243" t="str">
        <f>IFERROR(__xludf.DUMMYFUNCTION("""COMPUTED_VALUE"""),"CorelDRAW for Beginners: Graphic Design in Corel Draw")</f>
        <v>CorelDRAW for Beginners: Graphic Design in Corel Draw</v>
      </c>
    </row>
    <row r="244">
      <c r="A244" s="140" t="str">
        <f>IFERROR(__xludf.DUMMYFUNCTION("""COMPUTED_VALUE"""),"de")</f>
        <v>de</v>
      </c>
      <c r="B244">
        <f>IFERROR(__xludf.DUMMYFUNCTION("""COMPUTED_VALUE"""),4186244.0)</f>
        <v>4186244</v>
      </c>
      <c r="C244" t="str">
        <f>IFERROR(__xludf.DUMMYFUNCTION("""COMPUTED_VALUE"""),"Der Angular 11 Crashkurs - Frontend Entwicklung für Anfänger")</f>
        <v>Der Angular 11 Crashkurs - Frontend Entwicklung für Anfänger</v>
      </c>
    </row>
    <row r="245">
      <c r="A245" s="140" t="str">
        <f>IFERROR(__xludf.DUMMYFUNCTION("""COMPUTED_VALUE"""),"ko")</f>
        <v>ko</v>
      </c>
      <c r="B245">
        <f>IFERROR(__xludf.DUMMYFUNCTION("""COMPUTED_VALUE"""),2530668.0)</f>
        <v>2530668</v>
      </c>
      <c r="C245" t="str">
        <f>IFERROR(__xludf.DUMMYFUNCTION("""COMPUTED_VALUE"""),"생존형 파워포인트")</f>
        <v>생존형 파워포인트</v>
      </c>
    </row>
    <row r="246">
      <c r="A246" s="140" t="str">
        <f>IFERROR(__xludf.DUMMYFUNCTION("""COMPUTED_VALUE"""),"es")</f>
        <v>es</v>
      </c>
      <c r="B246">
        <f>IFERROR(__xludf.DUMMYFUNCTION("""COMPUTED_VALUE"""),3248768.0)</f>
        <v>3248768</v>
      </c>
      <c r="C246" t="str">
        <f>IFERROR(__xludf.DUMMYFUNCTION("""COMPUTED_VALUE"""),"Git y GitHub desde Cero a Experto")</f>
        <v>Git y GitHub desde Cero a Experto</v>
      </c>
    </row>
    <row r="247">
      <c r="A247" s="140" t="str">
        <f>IFERROR(__xludf.DUMMYFUNCTION("""COMPUTED_VALUE"""),"en")</f>
        <v>en</v>
      </c>
      <c r="B247">
        <f>IFERROR(__xludf.DUMMYFUNCTION("""COMPUTED_VALUE"""),641410.0)</f>
        <v>641410</v>
      </c>
      <c r="C247" t="str">
        <f>IFERROR(__xludf.DUMMYFUNCTION("""COMPUTED_VALUE"""),"Configuring Server 2012 (70-412)")</f>
        <v>Configuring Server 2012 (70-412)</v>
      </c>
    </row>
    <row r="248">
      <c r="A248" s="140" t="str">
        <f>IFERROR(__xludf.DUMMYFUNCTION("""COMPUTED_VALUE"""),"en")</f>
        <v>en</v>
      </c>
      <c r="B248">
        <f>IFERROR(__xludf.DUMMYFUNCTION("""COMPUTED_VALUE"""),2107978.0)</f>
        <v>2107978</v>
      </c>
      <c r="C248" t="str">
        <f>IFERROR(__xludf.DUMMYFUNCTION("""COMPUTED_VALUE"""),"Tableau Server 2019.1 Administration")</f>
        <v>Tableau Server 2019.1 Administration</v>
      </c>
    </row>
    <row r="249">
      <c r="A249" s="140" t="str">
        <f>IFERROR(__xludf.DUMMYFUNCTION("""COMPUTED_VALUE"""),"en")</f>
        <v>en</v>
      </c>
      <c r="B249">
        <f>IFERROR(__xludf.DUMMYFUNCTION("""COMPUTED_VALUE"""),1078206.0)</f>
        <v>1078206</v>
      </c>
      <c r="C249" t="str">
        <f>IFERROR(__xludf.DUMMYFUNCTION("""COMPUTED_VALUE"""),"Scalable Web Applications with Python, Flask, and SQLAlchemy")</f>
        <v>Scalable Web Applications with Python, Flask, and SQLAlchemy</v>
      </c>
    </row>
    <row r="250">
      <c r="A250" s="140" t="str">
        <f>IFERROR(__xludf.DUMMYFUNCTION("""COMPUTED_VALUE"""),"en")</f>
        <v>en</v>
      </c>
      <c r="B250">
        <f>IFERROR(__xludf.DUMMYFUNCTION("""COMPUTED_VALUE"""),2167814.0)</f>
        <v>2167814</v>
      </c>
      <c r="C250" t="str">
        <f>IFERROR(__xludf.DUMMYFUNCTION("""COMPUTED_VALUE"""),"spring Framework for Beginners with Spring Boot")</f>
        <v>spring Framework for Beginners with Spring Boot</v>
      </c>
    </row>
    <row r="251">
      <c r="A251" s="140" t="str">
        <f>IFERROR(__xludf.DUMMYFUNCTION("""COMPUTED_VALUE"""),"tr")</f>
        <v>tr</v>
      </c>
      <c r="B251">
        <f>IFERROR(__xludf.DUMMYFUNCTION("""COMPUTED_VALUE"""),3743150.0)</f>
        <v>3743150</v>
      </c>
      <c r="C251" t="str">
        <f>IFERROR(__xludf.DUMMYFUNCTION("""COMPUTED_VALUE"""),"Microsoft Excel")</f>
        <v>Microsoft Excel</v>
      </c>
    </row>
    <row r="252">
      <c r="A252" s="140" t="str">
        <f>IFERROR(__xludf.DUMMYFUNCTION("""COMPUTED_VALUE"""),"en")</f>
        <v>en</v>
      </c>
      <c r="B252">
        <f>IFERROR(__xludf.DUMMYFUNCTION("""COMPUTED_VALUE"""),3670646.0)</f>
        <v>3670646</v>
      </c>
      <c r="C252" t="str">
        <f>IFERROR(__xludf.DUMMYFUNCTION("""COMPUTED_VALUE"""),"Systems Thinking Practitioner iGNLP™ Certified - Beyond NLP")</f>
        <v>Systems Thinking Practitioner iGNLP™ Certified - Beyond NLP</v>
      </c>
    </row>
    <row r="253">
      <c r="A253" s="140" t="str">
        <f>IFERROR(__xludf.DUMMYFUNCTION("""COMPUTED_VALUE"""),"es")</f>
        <v>es</v>
      </c>
      <c r="B253">
        <f>IFERROR(__xludf.DUMMYFUNCTION("""COMPUTED_VALUE"""),1245130.0)</f>
        <v>1245130</v>
      </c>
      <c r="C253" t="str">
        <f>IFERROR(__xludf.DUMMYFUNCTION("""COMPUTED_VALUE"""),"Bootstrap 5: El Curso Completo, Práctico y Desde Cero")</f>
        <v>Bootstrap 5: El Curso Completo, Práctico y Desde Cero</v>
      </c>
    </row>
    <row r="254">
      <c r="A254" s="140" t="str">
        <f>IFERROR(__xludf.DUMMYFUNCTION("""COMPUTED_VALUE"""),"en")</f>
        <v>en</v>
      </c>
      <c r="B254">
        <f>IFERROR(__xludf.DUMMYFUNCTION("""COMPUTED_VALUE"""),629302.0)</f>
        <v>629302</v>
      </c>
      <c r="C254" t="str">
        <f>IFERROR(__xludf.DUMMYFUNCTION("""COMPUTED_VALUE"""),"Learn Python Programming Masterclass")</f>
        <v>Learn Python Programming Masterclass</v>
      </c>
    </row>
    <row r="255">
      <c r="A255" s="140" t="str">
        <f>IFERROR(__xludf.DUMMYFUNCTION("""COMPUTED_VALUE"""),"en")</f>
        <v>en</v>
      </c>
      <c r="B255">
        <f>IFERROR(__xludf.DUMMYFUNCTION("""COMPUTED_VALUE"""),1840354.0)</f>
        <v>1840354</v>
      </c>
      <c r="C255" t="str">
        <f>IFERROR(__xludf.DUMMYFUNCTION("""COMPUTED_VALUE"""),"Constructive Feedback: Manager's Step-By-Step Guide")</f>
        <v>Constructive Feedback: Manager's Step-By-Step Guide</v>
      </c>
    </row>
    <row r="256">
      <c r="A256" s="140" t="str">
        <f>IFERROR(__xludf.DUMMYFUNCTION("""COMPUTED_VALUE"""),"en")</f>
        <v>en</v>
      </c>
      <c r="B256">
        <f>IFERROR(__xludf.DUMMYFUNCTION("""COMPUTED_VALUE"""),555382.0)</f>
        <v>555382</v>
      </c>
      <c r="C256" t="str">
        <f>IFERROR(__xludf.DUMMYFUNCTION("""COMPUTED_VALUE"""),"70-461 Session 3: Querying Microsoft SQL Server (T-SQL)")</f>
        <v>70-461 Session 3: Querying Microsoft SQL Server (T-SQL)</v>
      </c>
    </row>
    <row r="257">
      <c r="A257" s="140" t="str">
        <f>IFERROR(__xludf.DUMMYFUNCTION("""COMPUTED_VALUE"""),"es")</f>
        <v>es</v>
      </c>
      <c r="B257">
        <f>IFERROR(__xludf.DUMMYFUNCTION("""COMPUTED_VALUE"""),1882730.0)</f>
        <v>1882730</v>
      </c>
      <c r="C257" t="str">
        <f>IFERROR(__xludf.DUMMYFUNCTION("""COMPUTED_VALUE"""),"Preparación para Auditor Lider e Interno ISO/IEC 27001")</f>
        <v>Preparación para Auditor Lider e Interno ISO/IEC 27001</v>
      </c>
    </row>
    <row r="258">
      <c r="A258" s="140" t="str">
        <f>IFERROR(__xludf.DUMMYFUNCTION("""COMPUTED_VALUE"""),"de")</f>
        <v>de</v>
      </c>
      <c r="B258">
        <f>IFERROR(__xludf.DUMMYFUNCTION("""COMPUTED_VALUE"""),1081238.0)</f>
        <v>1081238</v>
      </c>
      <c r="C258" t="str">
        <f>IFERROR(__xludf.DUMMYFUNCTION("""COMPUTED_VALUE"""),"Souverän Feedback- &amp; Kritikgespräche führen (Führungswissen)")</f>
        <v>Souverän Feedback- &amp; Kritikgespräche führen (Führungswissen)</v>
      </c>
    </row>
    <row r="259">
      <c r="A259" s="140" t="str">
        <f>IFERROR(__xludf.DUMMYFUNCTION("""COMPUTED_VALUE"""),"fr")</f>
        <v>fr</v>
      </c>
      <c r="B259">
        <f>IFERROR(__xludf.DUMMYFUNCTION("""COMPUTED_VALUE"""),2389508.0)</f>
        <v>2389508</v>
      </c>
      <c r="C259" t="str">
        <f>IFERROR(__xludf.DUMMYFUNCTION("""COMPUTED_VALUE"""),"Développer son trafic grâce au référencement naturel SEO")</f>
        <v>Développer son trafic grâce au référencement naturel SEO</v>
      </c>
    </row>
    <row r="260">
      <c r="A260" s="140" t="str">
        <f>IFERROR(__xludf.DUMMYFUNCTION("""COMPUTED_VALUE"""),"de")</f>
        <v>de</v>
      </c>
      <c r="B260">
        <f>IFERROR(__xludf.DUMMYFUNCTION("""COMPUTED_VALUE"""),2703546.0)</f>
        <v>2703546</v>
      </c>
      <c r="C260" t="str">
        <f>IFERROR(__xludf.DUMMYFUNCTION("""COMPUTED_VALUE"""),"Die komplette SQL Masterclass: Vom Anfänger zum Profi")</f>
        <v>Die komplette SQL Masterclass: Vom Anfänger zum Profi</v>
      </c>
    </row>
    <row r="261">
      <c r="A261" s="140" t="str">
        <f>IFERROR(__xludf.DUMMYFUNCTION("""COMPUTED_VALUE"""),"pt")</f>
        <v>pt</v>
      </c>
      <c r="B261">
        <f>IFERROR(__xludf.DUMMYFUNCTION("""COMPUTED_VALUE"""),2739100.0)</f>
        <v>2739100</v>
      </c>
      <c r="C261" t="str">
        <f>IFERROR(__xludf.DUMMYFUNCTION("""COMPUTED_VALUE"""),"API GraphQL com SpringBoot")</f>
        <v>API GraphQL com SpringBoot</v>
      </c>
    </row>
    <row r="262">
      <c r="A262" s="140" t="str">
        <f>IFERROR(__xludf.DUMMYFUNCTION("""COMPUTED_VALUE"""),"en")</f>
        <v>en</v>
      </c>
      <c r="B262">
        <f>IFERROR(__xludf.DUMMYFUNCTION("""COMPUTED_VALUE"""),667992.0)</f>
        <v>667992</v>
      </c>
      <c r="C262" t="str">
        <f>IFERROR(__xludf.DUMMYFUNCTION("""COMPUTED_VALUE"""),"Learn Symfony 3 framework by practical examples")</f>
        <v>Learn Symfony 3 framework by practical examples</v>
      </c>
    </row>
    <row r="263">
      <c r="A263" s="140" t="str">
        <f>IFERROR(__xludf.DUMMYFUNCTION("""COMPUTED_VALUE"""),"tr")</f>
        <v>tr</v>
      </c>
      <c r="B263">
        <f>IFERROR(__xludf.DUMMYFUNCTION("""COMPUTED_VALUE"""),2813795.0)</f>
        <v>2813795</v>
      </c>
      <c r="C263" t="str">
        <f>IFERROR(__xludf.DUMMYFUNCTION("""COMPUTED_VALUE"""),"SIFIRDAN İLERİ SEVİYE FİNANSAL MUHASEBE SMMM YETERLİLİK")</f>
        <v>SIFIRDAN İLERİ SEVİYE FİNANSAL MUHASEBE SMMM YETERLİLİK</v>
      </c>
    </row>
    <row r="264">
      <c r="A264" s="140" t="str">
        <f>IFERROR(__xludf.DUMMYFUNCTION("""COMPUTED_VALUE"""),"pt")</f>
        <v>pt</v>
      </c>
      <c r="B264">
        <f>IFERROR(__xludf.DUMMYFUNCTION("""COMPUTED_VALUE"""),2079320.0)</f>
        <v>2079320</v>
      </c>
      <c r="C264" t="str">
        <f>IFERROR(__xludf.DUMMYFUNCTION("""COMPUTED_VALUE"""),"Curso de Excel Construindo Gráficos e Infográficos.")</f>
        <v>Curso de Excel Construindo Gráficos e Infográficos.</v>
      </c>
    </row>
    <row r="265">
      <c r="A265" s="140" t="str">
        <f>IFERROR(__xludf.DUMMYFUNCTION("""COMPUTED_VALUE"""),"pt")</f>
        <v>pt</v>
      </c>
      <c r="B265">
        <f>IFERROR(__xludf.DUMMYFUNCTION("""COMPUTED_VALUE"""),1994772.0)</f>
        <v>1994772</v>
      </c>
      <c r="C265" t="str">
        <f>IFERROR(__xludf.DUMMYFUNCTION("""COMPUTED_VALUE"""),"HTML5 e CSS3: O básico para um site profissional")</f>
        <v>HTML5 e CSS3: O básico para um site profissional</v>
      </c>
    </row>
    <row r="266">
      <c r="A266" s="140" t="str">
        <f>IFERROR(__xludf.DUMMYFUNCTION("""COMPUTED_VALUE"""),"en")</f>
        <v>en</v>
      </c>
      <c r="B266">
        <f>IFERROR(__xludf.DUMMYFUNCTION("""COMPUTED_VALUE"""),1679576.0)</f>
        <v>1679576</v>
      </c>
      <c r="C266" t="str">
        <f>IFERROR(__xludf.DUMMYFUNCTION("""COMPUTED_VALUE"""),"The Personal Finance and Wealth Management Masterclass")</f>
        <v>The Personal Finance and Wealth Management Masterclass</v>
      </c>
    </row>
    <row r="267">
      <c r="A267" s="140" t="str">
        <f>IFERROR(__xludf.DUMMYFUNCTION("""COMPUTED_VALUE"""),"es")</f>
        <v>es</v>
      </c>
      <c r="B267">
        <f>IFERROR(__xludf.DUMMYFUNCTION("""COMPUTED_VALUE"""),1392412.0)</f>
        <v>1392412</v>
      </c>
      <c r="C267" t="str">
        <f>IFERROR(__xludf.DUMMYFUNCTION("""COMPUTED_VALUE"""),"Android y Kotlin Desde Cero a Profesional Completo +45 horas")</f>
        <v>Android y Kotlin Desde Cero a Profesional Completo +45 horas</v>
      </c>
    </row>
    <row r="268">
      <c r="A268" s="140" t="str">
        <f>IFERROR(__xludf.DUMMYFUNCTION("""COMPUTED_VALUE"""),"es")</f>
        <v>es</v>
      </c>
      <c r="B268">
        <f>IFERROR(__xludf.DUMMYFUNCTION("""COMPUTED_VALUE"""),2221988.0)</f>
        <v>2221988</v>
      </c>
      <c r="C268" t="str">
        <f>IFERROR(__xludf.DUMMYFUNCTION("""COMPUTED_VALUE"""),"SQL Server:  Programación Avanzada 2021")</f>
        <v>SQL Server:  Programación Avanzada 2021</v>
      </c>
    </row>
    <row r="269">
      <c r="A269" s="140" t="str">
        <f>IFERROR(__xludf.DUMMYFUNCTION("""COMPUTED_VALUE"""),"de")</f>
        <v>de</v>
      </c>
      <c r="B269">
        <f>IFERROR(__xludf.DUMMYFUNCTION("""COMPUTED_VALUE"""),1290718.0)</f>
        <v>1290718</v>
      </c>
      <c r="C269" t="str">
        <f>IFERROR(__xludf.DUMMYFUNCTION("""COMPUTED_VALUE"""),"Erfolgreich telefonieren im Büro für Deutschlerner")</f>
        <v>Erfolgreich telefonieren im Büro für Deutschlerner</v>
      </c>
    </row>
    <row r="270">
      <c r="A270" s="140" t="str">
        <f>IFERROR(__xludf.DUMMYFUNCTION("""COMPUTED_VALUE"""),"es")</f>
        <v>es</v>
      </c>
      <c r="B270">
        <f>IFERROR(__xludf.DUMMYFUNCTION("""COMPUTED_VALUE"""),1311142.0)</f>
        <v>1311142</v>
      </c>
      <c r="C270" t="str">
        <f>IFERROR(__xludf.DUMMYFUNCTION("""COMPUTED_VALUE"""),"Aprende Oracle PL/SQL desde Cero")</f>
        <v>Aprende Oracle PL/SQL desde Cero</v>
      </c>
    </row>
    <row r="271">
      <c r="A271" s="140" t="str">
        <f>IFERROR(__xludf.DUMMYFUNCTION("""COMPUTED_VALUE"""),"en")</f>
        <v>en</v>
      </c>
      <c r="B271">
        <f>IFERROR(__xludf.DUMMYFUNCTION("""COMPUTED_VALUE"""),1482150.0)</f>
        <v>1482150</v>
      </c>
      <c r="C271" t="str">
        <f>IFERROR(__xludf.DUMMYFUNCTION("""COMPUTED_VALUE"""),"Learn Thai for Beginners: The Ultimate 105-Lesson Course")</f>
        <v>Learn Thai for Beginners: The Ultimate 105-Lesson Course</v>
      </c>
    </row>
    <row r="272">
      <c r="A272" s="140" t="str">
        <f>IFERROR(__xludf.DUMMYFUNCTION("""COMPUTED_VALUE"""),"tr")</f>
        <v>tr</v>
      </c>
      <c r="B272">
        <f>IFERROR(__xludf.DUMMYFUNCTION("""COMPUTED_VALUE"""),3879126.0)</f>
        <v>3879126</v>
      </c>
      <c r="C272" t="str">
        <f>IFERROR(__xludf.DUMMYFUNCTION("""COMPUTED_VALUE"""),"Bütçe ve İş Programı ile PROJE YÖNETİMİ PROGRAMI Yapılması")</f>
        <v>Bütçe ve İş Programı ile PROJE YÖNETİMİ PROGRAMI Yapılması</v>
      </c>
    </row>
    <row r="273">
      <c r="A273" s="140" t="str">
        <f>IFERROR(__xludf.DUMMYFUNCTION("""COMPUTED_VALUE"""),"en")</f>
        <v>en</v>
      </c>
      <c r="B273">
        <f>IFERROR(__xludf.DUMMYFUNCTION("""COMPUTED_VALUE"""),1608640.0)</f>
        <v>1608640</v>
      </c>
      <c r="C273" t="str">
        <f>IFERROR(__xludf.DUMMYFUNCTION("""COMPUTED_VALUE"""),"The Ultimate Disruption Playbook with Charlene Li")</f>
        <v>The Ultimate Disruption Playbook with Charlene Li</v>
      </c>
    </row>
    <row r="274">
      <c r="A274" s="140" t="str">
        <f>IFERROR(__xludf.DUMMYFUNCTION("""COMPUTED_VALUE"""),"en")</f>
        <v>en</v>
      </c>
      <c r="B274">
        <f>IFERROR(__xludf.DUMMYFUNCTION("""COMPUTED_VALUE"""),911024.0)</f>
        <v>911024</v>
      </c>
      <c r="C274" t="str">
        <f>IFERROR(__xludf.DUMMYFUNCTION("""COMPUTED_VALUE"""),"Manage Diversity")</f>
        <v>Manage Diversity</v>
      </c>
    </row>
    <row r="275">
      <c r="A275" s="140" t="str">
        <f>IFERROR(__xludf.DUMMYFUNCTION("""COMPUTED_VALUE"""),"en")</f>
        <v>en</v>
      </c>
      <c r="B275">
        <f>IFERROR(__xludf.DUMMYFUNCTION("""COMPUTED_VALUE"""),2343714.0)</f>
        <v>2343714</v>
      </c>
      <c r="C275" t="str">
        <f>IFERROR(__xludf.DUMMYFUNCTION("""COMPUTED_VALUE"""),"Agile Scrum Mastery: Full Project Simulation + Certification")</f>
        <v>Agile Scrum Mastery: Full Project Simulation + Certification</v>
      </c>
    </row>
    <row r="276">
      <c r="A276" s="140" t="str">
        <f>IFERROR(__xludf.DUMMYFUNCTION("""COMPUTED_VALUE"""),"en")</f>
        <v>en</v>
      </c>
      <c r="B276">
        <f>IFERROR(__xludf.DUMMYFUNCTION("""COMPUTED_VALUE"""),2847388.0)</f>
        <v>2847388</v>
      </c>
      <c r="C276" t="str">
        <f>IFERROR(__xludf.DUMMYFUNCTION("""COMPUTED_VALUE"""),"Data Lake, Firehose, Glue, Athena, S3 and AWS SDK for .NET")</f>
        <v>Data Lake, Firehose, Glue, Athena, S3 and AWS SDK for .NET</v>
      </c>
    </row>
    <row r="277">
      <c r="A277" s="140" t="str">
        <f>IFERROR(__xludf.DUMMYFUNCTION("""COMPUTED_VALUE"""),"pt")</f>
        <v>pt</v>
      </c>
      <c r="B277">
        <f>IFERROR(__xludf.DUMMYFUNCTION("""COMPUTED_VALUE"""),1246168.0)</f>
        <v>1246168</v>
      </c>
      <c r="C277" t="str">
        <f>IFERROR(__xludf.DUMMYFUNCTION("""COMPUTED_VALUE"""),"Illustrator CC 2020 Completo - Do Iniciante ao Avançado")</f>
        <v>Illustrator CC 2020 Completo - Do Iniciante ao Avançado</v>
      </c>
    </row>
    <row r="278">
      <c r="A278" s="140" t="str">
        <f>IFERROR(__xludf.DUMMYFUNCTION("""COMPUTED_VALUE"""),"es")</f>
        <v>es</v>
      </c>
      <c r="B278">
        <f>IFERROR(__xludf.DUMMYFUNCTION("""COMPUTED_VALUE"""),2656292.0)</f>
        <v>2656292</v>
      </c>
      <c r="C278" t="str">
        <f>IFERROR(__xludf.DUMMYFUNCTION("""COMPUTED_VALUE"""),"Curso de Reparación de Computadoras Desde Cero")</f>
        <v>Curso de Reparación de Computadoras Desde Cero</v>
      </c>
    </row>
    <row r="279">
      <c r="A279" s="140" t="str">
        <f>IFERROR(__xludf.DUMMYFUNCTION("""COMPUTED_VALUE"""),"ja")</f>
        <v>ja</v>
      </c>
      <c r="B279">
        <f>IFERROR(__xludf.DUMMYFUNCTION("""COMPUTED_VALUE"""),3845506.0)</f>
        <v>3845506</v>
      </c>
      <c r="C279" t="str">
        <f>IFERROR(__xludf.DUMMYFUNCTION("""COMPUTED_VALUE"""),"[Hasura基礎編] Nextjs+Hasura+Apollo Clientで学ぶモダンGraphQL Web開発")</f>
        <v>[Hasura基礎編] Nextjs+Hasura+Apollo Clientで学ぶモダンGraphQL Web開発</v>
      </c>
    </row>
    <row r="280">
      <c r="A280" s="140" t="str">
        <f>IFERROR(__xludf.DUMMYFUNCTION("""COMPUTED_VALUE"""),"en")</f>
        <v>en</v>
      </c>
      <c r="B280">
        <f>IFERROR(__xludf.DUMMYFUNCTION("""COMPUTED_VALUE"""),4242194.0)</f>
        <v>4242194</v>
      </c>
      <c r="C280" t="str">
        <f>IFERROR(__xludf.DUMMYFUNCTION("""COMPUTED_VALUE"""),"Data Engineering using AWS Analytics Services")</f>
        <v>Data Engineering using AWS Analytics Services</v>
      </c>
    </row>
    <row r="281">
      <c r="A281" s="140" t="str">
        <f>IFERROR(__xludf.DUMMYFUNCTION("""COMPUTED_VALUE"""),"en")</f>
        <v>en</v>
      </c>
      <c r="B281">
        <f>IFERROR(__xludf.DUMMYFUNCTION("""COMPUTED_VALUE"""),479326.0)</f>
        <v>479326</v>
      </c>
      <c r="C281" t="str">
        <f>IFERROR(__xludf.DUMMYFUNCTION("""COMPUTED_VALUE"""),"How to Build Your Nonprofit Startup 1")</f>
        <v>How to Build Your Nonprofit Startup 1</v>
      </c>
    </row>
    <row r="282">
      <c r="A282" s="140" t="str">
        <f>IFERROR(__xludf.DUMMYFUNCTION("""COMPUTED_VALUE"""),"de")</f>
        <v>de</v>
      </c>
      <c r="B282">
        <f>IFERROR(__xludf.DUMMYFUNCTION("""COMPUTED_VALUE"""),2452746.0)</f>
        <v>2452746</v>
      </c>
      <c r="C282" t="str">
        <f>IFERROR(__xludf.DUMMYFUNCTION("""COMPUTED_VALUE"""),"Medienrecht, Urheberrecht und die DSGVO verstehen")</f>
        <v>Medienrecht, Urheberrecht und die DSGVO verstehen</v>
      </c>
    </row>
    <row r="283">
      <c r="A283" s="140" t="str">
        <f>IFERROR(__xludf.DUMMYFUNCTION("""COMPUTED_VALUE"""),"ja")</f>
        <v>ja</v>
      </c>
      <c r="B283">
        <f>IFERROR(__xludf.DUMMYFUNCTION("""COMPUTED_VALUE"""),3703214.0)</f>
        <v>3703214</v>
      </c>
      <c r="C283" t="str">
        <f>IFERROR(__xludf.DUMMYFUNCTION("""COMPUTED_VALUE"""),"新任リーダー・管理職向け『業績を上げ続ける組織へと変える！』理論と事例で再現性のあるコーチング＆リーダーシップ講座")</f>
        <v>新任リーダー・管理職向け『業績を上げ続ける組織へと変える！』理論と事例で再現性のあるコーチング＆リーダーシップ講座</v>
      </c>
    </row>
    <row r="284">
      <c r="A284" s="140" t="str">
        <f>IFERROR(__xludf.DUMMYFUNCTION("""COMPUTED_VALUE"""),"en")</f>
        <v>en</v>
      </c>
      <c r="B284">
        <f>IFERROR(__xludf.DUMMYFUNCTION("""COMPUTED_VALUE"""),1194906.0)</f>
        <v>1194906</v>
      </c>
      <c r="C284" t="str">
        <f>IFERROR(__xludf.DUMMYFUNCTION("""COMPUTED_VALUE"""),"Become a Blockchain Developer with Ethereum and Solidity")</f>
        <v>Become a Blockchain Developer with Ethereum and Solidity</v>
      </c>
    </row>
    <row r="285">
      <c r="A285" s="140" t="str">
        <f>IFERROR(__xludf.DUMMYFUNCTION("""COMPUTED_VALUE"""),"en")</f>
        <v>en</v>
      </c>
      <c r="B285">
        <f>IFERROR(__xludf.DUMMYFUNCTION("""COMPUTED_VALUE"""),1672824.0)</f>
        <v>1672824</v>
      </c>
      <c r="C285" t="str">
        <f>IFERROR(__xludf.DUMMYFUNCTION("""COMPUTED_VALUE"""),"AWS IoT: The Hobbyists Guide to Home Automation")</f>
        <v>AWS IoT: The Hobbyists Guide to Home Automation</v>
      </c>
    </row>
    <row r="286">
      <c r="A286" s="140" t="str">
        <f>IFERROR(__xludf.DUMMYFUNCTION("""COMPUTED_VALUE"""),"es")</f>
        <v>es</v>
      </c>
      <c r="B286">
        <f>IFERROR(__xludf.DUMMYFUNCTION("""COMPUTED_VALUE"""),3011974.0)</f>
        <v>3011974</v>
      </c>
      <c r="C286" t="str">
        <f>IFERROR(__xludf.DUMMYFUNCTION("""COMPUTED_VALUE"""),"Curso de Reclutamiento online y Técnicas de Headhunting")</f>
        <v>Curso de Reclutamiento online y Técnicas de Headhunting</v>
      </c>
    </row>
    <row r="287">
      <c r="A287" s="140" t="str">
        <f>IFERROR(__xludf.DUMMYFUNCTION("""COMPUTED_VALUE"""),"en")</f>
        <v>en</v>
      </c>
      <c r="B287">
        <f>IFERROR(__xludf.DUMMYFUNCTION("""COMPUTED_VALUE"""),3990068.0)</f>
        <v>3990068</v>
      </c>
      <c r="C287" t="str">
        <f>IFERROR(__xludf.DUMMYFUNCTION("""COMPUTED_VALUE"""),"Domain Driven Design &amp; Microservices for Architects")</f>
        <v>Domain Driven Design &amp; Microservices for Architects</v>
      </c>
    </row>
    <row r="288">
      <c r="A288" s="140" t="str">
        <f>IFERROR(__xludf.DUMMYFUNCTION("""COMPUTED_VALUE"""),"es")</f>
        <v>es</v>
      </c>
      <c r="B288">
        <f>IFERROR(__xludf.DUMMYFUNCTION("""COMPUTED_VALUE"""),1786172.0)</f>
        <v>1786172</v>
      </c>
      <c r="C288" t="str">
        <f>IFERROR(__xludf.DUMMYFUNCTION("""COMPUTED_VALUE"""),"SQL Básico - Intermedio ¡Añade valor a tu CV en 2 horas!")</f>
        <v>SQL Básico - Intermedio ¡Añade valor a tu CV en 2 horas!</v>
      </c>
    </row>
    <row r="289">
      <c r="A289" s="140" t="str">
        <f>IFERROR(__xludf.DUMMYFUNCTION("""COMPUTED_VALUE"""),"pt")</f>
        <v>pt</v>
      </c>
      <c r="B289">
        <f>IFERROR(__xludf.DUMMYFUNCTION("""COMPUTED_VALUE"""),2081754.0)</f>
        <v>2081754</v>
      </c>
      <c r="C289" t="str">
        <f>IFERROR(__xludf.DUMMYFUNCTION("""COMPUTED_VALUE"""),"Curso ""Negociação Ganha Ganha"" com base no Modelo de Harvard")</f>
        <v>Curso "Negociação Ganha Ganha" com base no Modelo de Harvard</v>
      </c>
    </row>
    <row r="290">
      <c r="A290" s="140" t="str">
        <f>IFERROR(__xludf.DUMMYFUNCTION("""COMPUTED_VALUE"""),"en")</f>
        <v>en</v>
      </c>
      <c r="B290">
        <f>IFERROR(__xludf.DUMMYFUNCTION("""COMPUTED_VALUE"""),2469322.0)</f>
        <v>2469322</v>
      </c>
      <c r="C290" t="str">
        <f>IFERROR(__xludf.DUMMYFUNCTION("""COMPUTED_VALUE"""),"Docker: A Project-Based Approach to Learning")</f>
        <v>Docker: A Project-Based Approach to Learning</v>
      </c>
    </row>
    <row r="291">
      <c r="A291" s="140" t="str">
        <f>IFERROR(__xludf.DUMMYFUNCTION("""COMPUTED_VALUE"""),"es")</f>
        <v>es</v>
      </c>
      <c r="B291">
        <f>IFERROR(__xludf.DUMMYFUNCTION("""COMPUTED_VALUE"""),2419554.0)</f>
        <v>2419554</v>
      </c>
      <c r="C291" t="str">
        <f>IFERROR(__xludf.DUMMYFUNCTION("""COMPUTED_VALUE"""),"Xamarin Forms Shell: De Cero a Experto")</f>
        <v>Xamarin Forms Shell: De Cero a Experto</v>
      </c>
    </row>
    <row r="292">
      <c r="A292" s="140" t="str">
        <f>IFERROR(__xludf.DUMMYFUNCTION("""COMPUTED_VALUE"""),"de")</f>
        <v>de</v>
      </c>
      <c r="B292">
        <f>IFERROR(__xludf.DUMMYFUNCTION("""COMPUTED_VALUE"""),2672524.0)</f>
        <v>2672524</v>
      </c>
      <c r="C292" t="str">
        <f>IFERROR(__xludf.DUMMYFUNCTION("""COMPUTED_VALUE"""),"Die Social Media Marketing Masterclass: Lerne alles von A-Z")</f>
        <v>Die Social Media Marketing Masterclass: Lerne alles von A-Z</v>
      </c>
    </row>
    <row r="293">
      <c r="A293" s="140" t="str">
        <f>IFERROR(__xludf.DUMMYFUNCTION("""COMPUTED_VALUE"""),"en")</f>
        <v>en</v>
      </c>
      <c r="B293">
        <f>IFERROR(__xludf.DUMMYFUNCTION("""COMPUTED_VALUE"""),3614898.0)</f>
        <v>3614898</v>
      </c>
      <c r="C293" t="str">
        <f>IFERROR(__xludf.DUMMYFUNCTION("""COMPUTED_VALUE"""),"Adobe Experience Manager 6.5 - Build Websites and Components")</f>
        <v>Adobe Experience Manager 6.5 - Build Websites and Components</v>
      </c>
    </row>
    <row r="294">
      <c r="A294" s="140" t="str">
        <f>IFERROR(__xludf.DUMMYFUNCTION("""COMPUTED_VALUE"""),"en")</f>
        <v>en</v>
      </c>
      <c r="B294">
        <f>IFERROR(__xludf.DUMMYFUNCTION("""COMPUTED_VALUE"""),1320362.0)</f>
        <v>1320362</v>
      </c>
      <c r="C294" t="str">
        <f>IFERROR(__xludf.DUMMYFUNCTION("""COMPUTED_VALUE"""),"Linux Mastery: Master the Linux Command Line in 11.5 Hours")</f>
        <v>Linux Mastery: Master the Linux Command Line in 11.5 Hours</v>
      </c>
    </row>
    <row r="295">
      <c r="A295" s="140" t="str">
        <f>IFERROR(__xludf.DUMMYFUNCTION("""COMPUTED_VALUE"""),"en")</f>
        <v>en</v>
      </c>
      <c r="B295">
        <f>IFERROR(__xludf.DUMMYFUNCTION("""COMPUTED_VALUE"""),2424040.0)</f>
        <v>2424040</v>
      </c>
      <c r="C295" t="str">
        <f>IFERROR(__xludf.DUMMYFUNCTION("""COMPUTED_VALUE"""),"TRANSFORMATIONAL LEADERSHIP Management Coach Training")</f>
        <v>TRANSFORMATIONAL LEADERSHIP Management Coach Training</v>
      </c>
    </row>
    <row r="296">
      <c r="A296" s="140" t="str">
        <f>IFERROR(__xludf.DUMMYFUNCTION("""COMPUTED_VALUE"""),"zh")</f>
        <v>zh</v>
      </c>
      <c r="B296">
        <f>IFERROR(__xludf.DUMMYFUNCTION("""COMPUTED_VALUE"""),2237892.0)</f>
        <v>2237892</v>
      </c>
      <c r="C296" t="str">
        <f>IFERROR(__xludf.DUMMYFUNCTION("""COMPUTED_VALUE"""),"Robot/AutoIT/Sikuli----覆盖Selenium WebDriver不能自动化测试的功能")</f>
        <v>Robot/AutoIT/Sikuli----覆盖Selenium WebDriver不能自动化测试的功能</v>
      </c>
    </row>
    <row r="297">
      <c r="A297" s="140" t="str">
        <f>IFERROR(__xludf.DUMMYFUNCTION("""COMPUTED_VALUE"""),"en")</f>
        <v>en</v>
      </c>
      <c r="B297">
        <f>IFERROR(__xludf.DUMMYFUNCTION("""COMPUTED_VALUE"""),3716124.0)</f>
        <v>3716124</v>
      </c>
      <c r="C297" t="str">
        <f>IFERROR(__xludf.DUMMYFUNCTION("""COMPUTED_VALUE"""),"Pivotal CloudFoundry in depth for developers and admins")</f>
        <v>Pivotal CloudFoundry in depth for developers and admins</v>
      </c>
    </row>
    <row r="298">
      <c r="A298" s="140" t="str">
        <f>IFERROR(__xludf.DUMMYFUNCTION("""COMPUTED_VALUE"""),"en")</f>
        <v>en</v>
      </c>
      <c r="B298">
        <f>IFERROR(__xludf.DUMMYFUNCTION("""COMPUTED_VALUE"""),1432672.0)</f>
        <v>1432672</v>
      </c>
      <c r="C298" t="str">
        <f>IFERROR(__xludf.DUMMYFUNCTION("""COMPUTED_VALUE"""),"Revit Structure 2018 from Zero to Hero")</f>
        <v>Revit Structure 2018 from Zero to Hero</v>
      </c>
    </row>
    <row r="299">
      <c r="A299" s="140" t="str">
        <f>IFERROR(__xludf.DUMMYFUNCTION("""COMPUTED_VALUE"""),"en")</f>
        <v>en</v>
      </c>
      <c r="B299">
        <f>IFERROR(__xludf.DUMMYFUNCTION("""COMPUTED_VALUE"""),946194.0)</f>
        <v>946194</v>
      </c>
      <c r="C299" t="str">
        <f>IFERROR(__xludf.DUMMYFUNCTION("""COMPUTED_VALUE"""),"Tableau 20 Advanced Training: Master Tableau in Data Science")</f>
        <v>Tableau 20 Advanced Training: Master Tableau in Data Science</v>
      </c>
    </row>
    <row r="300">
      <c r="A300" s="140" t="str">
        <f>IFERROR(__xludf.DUMMYFUNCTION("""COMPUTED_VALUE"""),"pt")</f>
        <v>pt</v>
      </c>
      <c r="B300">
        <f>IFERROR(__xludf.DUMMYFUNCTION("""COMPUTED_VALUE"""),1968160.0)</f>
        <v>1968160</v>
      </c>
      <c r="C300" t="str">
        <f>IFERROR(__xludf.DUMMYFUNCTION("""COMPUTED_VALUE"""),"Azure DevOps - Integração Contínua e Entrega Contínua")</f>
        <v>Azure DevOps - Integração Contínua e Entrega Contínua</v>
      </c>
    </row>
    <row r="301">
      <c r="A301" s="140" t="str">
        <f>IFERROR(__xludf.DUMMYFUNCTION("""COMPUTED_VALUE"""),"en")</f>
        <v>en</v>
      </c>
      <c r="B301">
        <f>IFERROR(__xludf.DUMMYFUNCTION("""COMPUTED_VALUE"""),827692.0)</f>
        <v>827692</v>
      </c>
      <c r="C301" t="str">
        <f>IFERROR(__xludf.DUMMYFUNCTION("""COMPUTED_VALUE"""),"The Complete Java Certification Course")</f>
        <v>The Complete Java Certification Course</v>
      </c>
    </row>
    <row r="302">
      <c r="A302" s="140" t="str">
        <f>IFERROR(__xludf.DUMMYFUNCTION("""COMPUTED_VALUE"""),"en")</f>
        <v>en</v>
      </c>
      <c r="B302">
        <f>IFERROR(__xludf.DUMMYFUNCTION("""COMPUTED_VALUE"""),1411356.0)</f>
        <v>1411356</v>
      </c>
      <c r="C302" t="str">
        <f>IFERROR(__xludf.DUMMYFUNCTION("""COMPUTED_VALUE"""),"Persuasion Masterclass: How To Powerfully Influence Anyone")</f>
        <v>Persuasion Masterclass: How To Powerfully Influence Anyone</v>
      </c>
    </row>
    <row r="303">
      <c r="A303" s="140" t="str">
        <f>IFERROR(__xludf.DUMMYFUNCTION("""COMPUTED_VALUE"""),"en")</f>
        <v>en</v>
      </c>
      <c r="B303">
        <f>IFERROR(__xludf.DUMMYFUNCTION("""COMPUTED_VALUE"""),2018762.0)</f>
        <v>2018762</v>
      </c>
      <c r="C303" t="str">
        <f>IFERROR(__xludf.DUMMYFUNCTION("""COMPUTED_VALUE"""),"Prepare RHCSA with Practice Course(EX200-RHEL8)-Unoffical")</f>
        <v>Prepare RHCSA with Practice Course(EX200-RHEL8)-Unoffical</v>
      </c>
    </row>
    <row r="304">
      <c r="A304" s="140" t="str">
        <f>IFERROR(__xludf.DUMMYFUNCTION("""COMPUTED_VALUE"""),"en")</f>
        <v>en</v>
      </c>
      <c r="B304">
        <f>IFERROR(__xludf.DUMMYFUNCTION("""COMPUTED_VALUE"""),559028.0)</f>
        <v>559028</v>
      </c>
      <c r="C304" t="str">
        <f>IFERROR(__xludf.DUMMYFUNCTION("""COMPUTED_VALUE"""),"Sensu - Introduction")</f>
        <v>Sensu - Introduction</v>
      </c>
    </row>
    <row r="305">
      <c r="A305" s="140" t="str">
        <f>IFERROR(__xludf.DUMMYFUNCTION("""COMPUTED_VALUE"""),"en")</f>
        <v>en</v>
      </c>
      <c r="B305">
        <f>IFERROR(__xludf.DUMMYFUNCTION("""COMPUTED_VALUE"""),1437336.0)</f>
        <v>1437336</v>
      </c>
      <c r="C305" t="str">
        <f>IFERROR(__xludf.DUMMYFUNCTION("""COMPUTED_VALUE"""),"Build your own GPS tracking system-Raspberry Pi Zero W 2022")</f>
        <v>Build your own GPS tracking system-Raspberry Pi Zero W 2022</v>
      </c>
    </row>
    <row r="306">
      <c r="A306" s="140" t="str">
        <f>IFERROR(__xludf.DUMMYFUNCTION("""COMPUTED_VALUE"""),"tr")</f>
        <v>tr</v>
      </c>
      <c r="B306">
        <f>IFERROR(__xludf.DUMMYFUNCTION("""COMPUTED_VALUE"""),2519984.0)</f>
        <v>2519984</v>
      </c>
      <c r="C306" t="str">
        <f>IFERROR(__xludf.DUMMYFUNCTION("""COMPUTED_VALUE"""),"Diksiyon ve Güzel Konuşma")</f>
        <v>Diksiyon ve Güzel Konuşma</v>
      </c>
    </row>
    <row r="307">
      <c r="A307" s="140" t="str">
        <f>IFERROR(__xludf.DUMMYFUNCTION("""COMPUTED_VALUE"""),"de")</f>
        <v>de</v>
      </c>
      <c r="B307">
        <f>IFERROR(__xludf.DUMMYFUNCTION("""COMPUTED_VALUE"""),1952464.0)</f>
        <v>1952464</v>
      </c>
      <c r="C307" t="str">
        <f>IFERROR(__xludf.DUMMYFUNCTION("""COMPUTED_VALUE"""),"Neu: 10 Google Ads Strategien für clevere Online-Marketer")</f>
        <v>Neu: 10 Google Ads Strategien für clevere Online-Marketer</v>
      </c>
    </row>
    <row r="308">
      <c r="A308" s="140" t="str">
        <f>IFERROR(__xludf.DUMMYFUNCTION("""COMPUTED_VALUE"""),"tr")</f>
        <v>tr</v>
      </c>
      <c r="B308">
        <f>IFERROR(__xludf.DUMMYFUNCTION("""COMPUTED_VALUE"""),3093190.0)</f>
        <v>3093190</v>
      </c>
      <c r="C308" t="str">
        <f>IFERROR(__xludf.DUMMYFUNCTION("""COMPUTED_VALUE"""),"A1-A2 İngilizce Kursu (47 saat) Konu + Cümle Kurma Eğitimi")</f>
        <v>A1-A2 İngilizce Kursu (47 saat) Konu + Cümle Kurma Eğitimi</v>
      </c>
    </row>
    <row r="309">
      <c r="A309" s="140" t="str">
        <f>IFERROR(__xludf.DUMMYFUNCTION("""COMPUTED_VALUE"""),"en")</f>
        <v>en</v>
      </c>
      <c r="B309">
        <f>IFERROR(__xludf.DUMMYFUNCTION("""COMPUTED_VALUE"""),1451418.0)</f>
        <v>1451418</v>
      </c>
      <c r="C309" t="str">
        <f>IFERROR(__xludf.DUMMYFUNCTION("""COMPUTED_VALUE"""),"ICO. Launch a DeFi Initial Coin Offering &amp; Raise Investment")</f>
        <v>ICO. Launch a DeFi Initial Coin Offering &amp; Raise Investment</v>
      </c>
    </row>
    <row r="310">
      <c r="A310" s="140" t="str">
        <f>IFERROR(__xludf.DUMMYFUNCTION("""COMPUTED_VALUE"""),"es")</f>
        <v>es</v>
      </c>
      <c r="B310">
        <f>IFERROR(__xludf.DUMMYFUNCTION("""COMPUTED_VALUE"""),3059648.0)</f>
        <v>3059648</v>
      </c>
      <c r="C310" t="str">
        <f>IFERROR(__xludf.DUMMYFUNCTION("""COMPUTED_VALUE"""),"Curso completo de Python 3 de la A a la Z - 2021  +50 horas!")</f>
        <v>Curso completo de Python 3 de la A a la Z - 2021  +50 horas!</v>
      </c>
    </row>
    <row r="311">
      <c r="A311" s="140" t="str">
        <f>IFERROR(__xludf.DUMMYFUNCTION("""COMPUTED_VALUE"""),"es")</f>
        <v>es</v>
      </c>
      <c r="B311">
        <f>IFERROR(__xludf.DUMMYFUNCTION("""COMPUTED_VALUE"""),3987160.0)</f>
        <v>3987160</v>
      </c>
      <c r="C311" t="str">
        <f>IFERROR(__xludf.DUMMYFUNCTION("""COMPUTED_VALUE"""),"Google Hacking. Accede a toda la información en internet.")</f>
        <v>Google Hacking. Accede a toda la información en internet.</v>
      </c>
    </row>
    <row r="312">
      <c r="A312" s="140" t="str">
        <f>IFERROR(__xludf.DUMMYFUNCTION("""COMPUTED_VALUE"""),"ja")</f>
        <v>ja</v>
      </c>
      <c r="B312">
        <f>IFERROR(__xludf.DUMMYFUNCTION("""COMPUTED_VALUE"""),4146872.0)</f>
        <v>4146872</v>
      </c>
      <c r="C312" t="str">
        <f>IFERROR(__xludf.DUMMYFUNCTION("""COMPUTED_VALUE"""),"【AutoML】自動化された機械学習を学ぼう！ 【PyCaret / Google Colab / Kaggle】")</f>
        <v>【AutoML】自動化された機械学習を学ぼう！ 【PyCaret / Google Colab / Kaggle】</v>
      </c>
    </row>
    <row r="313">
      <c r="A313" s="140" t="str">
        <f>IFERROR(__xludf.DUMMYFUNCTION("""COMPUTED_VALUE"""),"en")</f>
        <v>en</v>
      </c>
      <c r="B313">
        <f>IFERROR(__xludf.DUMMYFUNCTION("""COMPUTED_VALUE"""),1361836.0)</f>
        <v>1361836</v>
      </c>
      <c r="C313" t="str">
        <f>IFERROR(__xludf.DUMMYFUNCTION("""COMPUTED_VALUE"""),"Networking with Confidence: Grow Your Circle of Influence")</f>
        <v>Networking with Confidence: Grow Your Circle of Influence</v>
      </c>
    </row>
    <row r="314">
      <c r="A314" s="140" t="str">
        <f>IFERROR(__xludf.DUMMYFUNCTION("""COMPUTED_VALUE"""),"fr")</f>
        <v>fr</v>
      </c>
      <c r="B314">
        <f>IFERROR(__xludf.DUMMYFUNCTION("""COMPUTED_VALUE"""),1408194.0)</f>
        <v>1408194</v>
      </c>
      <c r="C314" t="str">
        <f>IFERROR(__xludf.DUMMYFUNCTION("""COMPUTED_VALUE"""),"CompTIA A+: Entraînez vous à réussir l'examen 220-1002")</f>
        <v>CompTIA A+: Entraînez vous à réussir l'examen 220-1002</v>
      </c>
    </row>
    <row r="315">
      <c r="A315" s="140" t="str">
        <f>IFERROR(__xludf.DUMMYFUNCTION("""COMPUTED_VALUE"""),"en")</f>
        <v>en</v>
      </c>
      <c r="B315">
        <f>IFERROR(__xludf.DUMMYFUNCTION("""COMPUTED_VALUE"""),2076402.0)</f>
        <v>2076402</v>
      </c>
      <c r="C315" t="str">
        <f>IFERROR(__xludf.DUMMYFUNCTION("""COMPUTED_VALUE"""),"The Definitive Guide To Mindfulness &amp; Mindfulness Meditation")</f>
        <v>The Definitive Guide To Mindfulness &amp; Mindfulness Meditation</v>
      </c>
    </row>
    <row r="316">
      <c r="A316" s="140" t="str">
        <f>IFERROR(__xludf.DUMMYFUNCTION("""COMPUTED_VALUE"""),"pt")</f>
        <v>pt</v>
      </c>
      <c r="B316">
        <f>IFERROR(__xludf.DUMMYFUNCTION("""COMPUTED_VALUE"""),2067607.0)</f>
        <v>2067607</v>
      </c>
      <c r="C316" t="str">
        <f>IFERROR(__xludf.DUMMYFUNCTION("""COMPUTED_VALUE"""),"Oracle SOA Suite 12C")</f>
        <v>Oracle SOA Suite 12C</v>
      </c>
    </row>
    <row r="317">
      <c r="A317" s="140" t="str">
        <f>IFERROR(__xludf.DUMMYFUNCTION("""COMPUTED_VALUE"""),"es")</f>
        <v>es</v>
      </c>
      <c r="B317">
        <f>IFERROR(__xludf.DUMMYFUNCTION("""COMPUTED_VALUE"""),3051556.0)</f>
        <v>3051556</v>
      </c>
      <c r="C317" t="str">
        <f>IFERROR(__xludf.DUMMYFUNCTION("""COMPUTED_VALUE"""),"React Native: Crea aplicaciones móviles reales iOS y Android")</f>
        <v>React Native: Crea aplicaciones móviles reales iOS y Android</v>
      </c>
    </row>
    <row r="318">
      <c r="A318" s="140" t="str">
        <f>IFERROR(__xludf.DUMMYFUNCTION("""COMPUTED_VALUE"""),"en")</f>
        <v>en</v>
      </c>
      <c r="B318">
        <f>IFERROR(__xludf.DUMMYFUNCTION("""COMPUTED_VALUE"""),953762.0)</f>
        <v>953762</v>
      </c>
      <c r="C318" t="str">
        <f>IFERROR(__xludf.DUMMYFUNCTION("""COMPUTED_VALUE"""),"Design for Humanity: A New Perspective on User Experience")</f>
        <v>Design for Humanity: A New Perspective on User Experience</v>
      </c>
    </row>
    <row r="319">
      <c r="A319" s="140" t="str">
        <f>IFERROR(__xludf.DUMMYFUNCTION("""COMPUTED_VALUE"""),"fr")</f>
        <v>fr</v>
      </c>
      <c r="B319">
        <f>IFERROR(__xludf.DUMMYFUNCTION("""COMPUTED_VALUE"""),3363636.0)</f>
        <v>3363636</v>
      </c>
      <c r="C319" t="str">
        <f>IFERROR(__xludf.DUMMYFUNCTION("""COMPUTED_VALUE"""),"React Native Masterclass (2020) : 4 Grands Secrets")</f>
        <v>React Native Masterclass (2020) : 4 Grands Secrets</v>
      </c>
    </row>
    <row r="320">
      <c r="A320" s="140" t="str">
        <f>IFERROR(__xludf.DUMMYFUNCTION("""COMPUTED_VALUE"""),"fr")</f>
        <v>fr</v>
      </c>
      <c r="B320">
        <f>IFERROR(__xludf.DUMMYFUNCTION("""COMPUTED_VALUE"""),2798470.0)</f>
        <v>2798470</v>
      </c>
      <c r="C320" t="str">
        <f>IFERROR(__xludf.DUMMYFUNCTION("""COMPUTED_VALUE"""),"Vue.js 2 : La formation complète pour débutant")</f>
        <v>Vue.js 2 : La formation complète pour débutant</v>
      </c>
    </row>
    <row r="321">
      <c r="A321" s="140" t="str">
        <f>IFERROR(__xludf.DUMMYFUNCTION("""COMPUTED_VALUE"""),"de")</f>
        <v>de</v>
      </c>
      <c r="B321">
        <f>IFERROR(__xludf.DUMMYFUNCTION("""COMPUTED_VALUE"""),3074268.0)</f>
        <v>3074268</v>
      </c>
      <c r="C321" t="str">
        <f>IFERROR(__xludf.DUMMYFUNCTION("""COMPUTED_VALUE"""),"Design Thinking Masterclass")</f>
        <v>Design Thinking Masterclass</v>
      </c>
    </row>
    <row r="322">
      <c r="A322" s="140" t="str">
        <f>IFERROR(__xludf.DUMMYFUNCTION("""COMPUTED_VALUE"""),"en")</f>
        <v>en</v>
      </c>
      <c r="B322">
        <f>IFERROR(__xludf.DUMMYFUNCTION("""COMPUTED_VALUE"""),2295965.0)</f>
        <v>2295965</v>
      </c>
      <c r="C322" t="str">
        <f>IFERROR(__xludf.DUMMYFUNCTION("""COMPUTED_VALUE"""),"Content Marketing: Grow Your Business with Content Marketing")</f>
        <v>Content Marketing: Grow Your Business with Content Marketing</v>
      </c>
    </row>
    <row r="323">
      <c r="A323" s="140" t="str">
        <f>IFERROR(__xludf.DUMMYFUNCTION("""COMPUTED_VALUE"""),"en")</f>
        <v>en</v>
      </c>
      <c r="B323">
        <f>IFERROR(__xludf.DUMMYFUNCTION("""COMPUTED_VALUE"""),1581742.0)</f>
        <v>1581742</v>
      </c>
      <c r="C323" t="str">
        <f>IFERROR(__xludf.DUMMYFUNCTION("""COMPUTED_VALUE"""),"AWS Certified Advanced Networking - Specialty 2021")</f>
        <v>AWS Certified Advanced Networking - Specialty 2021</v>
      </c>
    </row>
    <row r="324">
      <c r="A324" s="140" t="str">
        <f>IFERROR(__xludf.DUMMYFUNCTION("""COMPUTED_VALUE"""),"es")</f>
        <v>es</v>
      </c>
      <c r="B324">
        <f>IFERROR(__xludf.DUMMYFUNCTION("""COMPUTED_VALUE"""),3050038.0)</f>
        <v>3050038</v>
      </c>
      <c r="C324" t="str">
        <f>IFERROR(__xludf.DUMMYFUNCTION("""COMPUTED_VALUE"""),"Alemán B1 -  alemán intermedio (con subtítulos en español)")</f>
        <v>Alemán B1 -  alemán intermedio (con subtítulos en español)</v>
      </c>
    </row>
    <row r="325">
      <c r="A325" s="140" t="str">
        <f>IFERROR(__xludf.DUMMYFUNCTION("""COMPUTED_VALUE"""),"es")</f>
        <v>es</v>
      </c>
      <c r="B325">
        <f>IFERROR(__xludf.DUMMYFUNCTION("""COMPUTED_VALUE"""),2578792.0)</f>
        <v>2578792</v>
      </c>
      <c r="C325" t="str">
        <f>IFERROR(__xludf.DUMMYFUNCTION("""COMPUTED_VALUE"""),"Laravel 6 a 8 desde cero + integración con Bootstrap 4 y Vue")</f>
        <v>Laravel 6 a 8 desde cero + integración con Bootstrap 4 y Vue</v>
      </c>
    </row>
    <row r="326">
      <c r="A326" s="140" t="str">
        <f>IFERROR(__xludf.DUMMYFUNCTION("""COMPUTED_VALUE"""),"en")</f>
        <v>en</v>
      </c>
      <c r="B326">
        <f>IFERROR(__xludf.DUMMYFUNCTION("""COMPUTED_VALUE"""),484488.0)</f>
        <v>484488</v>
      </c>
      <c r="C326" t="str">
        <f>IFERROR(__xludf.DUMMYFUNCTION("""COMPUTED_VALUE"""),"Make Meetings Work &amp; Tackle Time Management Troubles")</f>
        <v>Make Meetings Work &amp; Tackle Time Management Troubles</v>
      </c>
    </row>
    <row r="327">
      <c r="A327" s="140" t="str">
        <f>IFERROR(__xludf.DUMMYFUNCTION("""COMPUTED_VALUE"""),"en")</f>
        <v>en</v>
      </c>
      <c r="B327">
        <f>IFERROR(__xludf.DUMMYFUNCTION("""COMPUTED_VALUE"""),1884490.0)</f>
        <v>1884490</v>
      </c>
      <c r="C327" t="str">
        <f>IFERROR(__xludf.DUMMYFUNCTION("""COMPUTED_VALUE"""),"The Complete Cryptocurrency Investment Course")</f>
        <v>The Complete Cryptocurrency Investment Course</v>
      </c>
    </row>
    <row r="328">
      <c r="A328" s="140" t="str">
        <f>IFERROR(__xludf.DUMMYFUNCTION("""COMPUTED_VALUE"""),"en")</f>
        <v>en</v>
      </c>
      <c r="B328">
        <f>IFERROR(__xludf.DUMMYFUNCTION("""COMPUTED_VALUE"""),1124968.0)</f>
        <v>1124968</v>
      </c>
      <c r="C328" t="str">
        <f>IFERROR(__xludf.DUMMYFUNCTION("""COMPUTED_VALUE"""),"Continuous Delivery on Amazon Web Services (April 2017)")</f>
        <v>Continuous Delivery on Amazon Web Services (April 2017)</v>
      </c>
    </row>
    <row r="329">
      <c r="A329" s="140" t="str">
        <f>IFERROR(__xludf.DUMMYFUNCTION("""COMPUTED_VALUE"""),"en")</f>
        <v>en</v>
      </c>
      <c r="B329">
        <f>IFERROR(__xludf.DUMMYFUNCTION("""COMPUTED_VALUE"""),876850.0)</f>
        <v>876850</v>
      </c>
      <c r="C329" t="str">
        <f>IFERROR(__xludf.DUMMYFUNCTION("""COMPUTED_VALUE"""),"HTML5 Specialist: Comprehensive HTML5 Training")</f>
        <v>HTML5 Specialist: Comprehensive HTML5 Training</v>
      </c>
    </row>
    <row r="330">
      <c r="A330" s="140" t="str">
        <f>IFERROR(__xludf.DUMMYFUNCTION("""COMPUTED_VALUE"""),"pt")</f>
        <v>pt</v>
      </c>
      <c r="B330">
        <f>IFERROR(__xludf.DUMMYFUNCTION("""COMPUTED_VALUE"""),1632208.0)</f>
        <v>1632208</v>
      </c>
      <c r="C330" t="str">
        <f>IFERROR(__xludf.DUMMYFUNCTION("""COMPUTED_VALUE"""),"Desenvolvimento Web Avançado")</f>
        <v>Desenvolvimento Web Avançado</v>
      </c>
    </row>
    <row r="331">
      <c r="A331" s="140" t="str">
        <f>IFERROR(__xludf.DUMMYFUNCTION("""COMPUTED_VALUE"""),"en")</f>
        <v>en</v>
      </c>
      <c r="B331">
        <f>IFERROR(__xludf.DUMMYFUNCTION("""COMPUTED_VALUE"""),1907464.0)</f>
        <v>1907464</v>
      </c>
      <c r="C331" t="str">
        <f>IFERROR(__xludf.DUMMYFUNCTION("""COMPUTED_VALUE"""),"Goal Crushing: Use OKRs to achieve business results")</f>
        <v>Goal Crushing: Use OKRs to achieve business results</v>
      </c>
    </row>
    <row r="332">
      <c r="A332" s="140" t="str">
        <f>IFERROR(__xludf.DUMMYFUNCTION("""COMPUTED_VALUE"""),"en")</f>
        <v>en</v>
      </c>
      <c r="B332">
        <f>IFERROR(__xludf.DUMMYFUNCTION("""COMPUTED_VALUE"""),1591290.0)</f>
        <v>1591290</v>
      </c>
      <c r="C332" t="str">
        <f>IFERROR(__xludf.DUMMYFUNCTION("""COMPUTED_VALUE"""),"Agile Project Management Bootcamp: Agile Project Management")</f>
        <v>Agile Project Management Bootcamp: Agile Project Management</v>
      </c>
    </row>
    <row r="333">
      <c r="A333" s="140" t="str">
        <f>IFERROR(__xludf.DUMMYFUNCTION("""COMPUTED_VALUE"""),"en")</f>
        <v>en</v>
      </c>
      <c r="B333">
        <f>IFERROR(__xludf.DUMMYFUNCTION("""COMPUTED_VALUE"""),2337484.0)</f>
        <v>2337484</v>
      </c>
      <c r="C333" t="str">
        <f>IFERROR(__xludf.DUMMYFUNCTION("""COMPUTED_VALUE"""),"Talent Development for Leaders: Develop Your High-Potentials")</f>
        <v>Talent Development for Leaders: Develop Your High-Potentials</v>
      </c>
    </row>
    <row r="334">
      <c r="A334" s="140" t="str">
        <f>IFERROR(__xludf.DUMMYFUNCTION("""COMPUTED_VALUE"""),"es")</f>
        <v>es</v>
      </c>
      <c r="B334">
        <f>IFERROR(__xludf.DUMMYFUNCTION("""COMPUTED_VALUE"""),3329900.0)</f>
        <v>3329900</v>
      </c>
      <c r="C334" t="str">
        <f>IFERROR(__xludf.DUMMYFUNCTION("""COMPUTED_VALUE"""),"Master en Colecciones y estructuras de datos en Java")</f>
        <v>Master en Colecciones y estructuras de datos en Java</v>
      </c>
    </row>
    <row r="335">
      <c r="A335" s="140" t="str">
        <f>IFERROR(__xludf.DUMMYFUNCTION("""COMPUTED_VALUE"""),"en")</f>
        <v>en</v>
      </c>
      <c r="B335">
        <f>IFERROR(__xludf.DUMMYFUNCTION("""COMPUTED_VALUE"""),881980.0)</f>
        <v>881980</v>
      </c>
      <c r="C335" t="str">
        <f>IFERROR(__xludf.DUMMYFUNCTION("""COMPUTED_VALUE"""),"Pre-Programming: Everything you need to know before you code")</f>
        <v>Pre-Programming: Everything you need to know before you code</v>
      </c>
    </row>
    <row r="336">
      <c r="A336" s="140" t="str">
        <f>IFERROR(__xludf.DUMMYFUNCTION("""COMPUTED_VALUE"""),"ja")</f>
        <v>ja</v>
      </c>
      <c r="B336">
        <f>IFERROR(__xludf.DUMMYFUNCTION("""COMPUTED_VALUE"""),1317912.0)</f>
        <v>1317912</v>
      </c>
      <c r="C336" t="str">
        <f>IFERROR(__xludf.DUMMYFUNCTION("""COMPUTED_VALUE"""),"【更新：2021.01.10】はじめてのSNS活用 基礎講座【企業向け】（企業ブログ活用の解説付き）")</f>
        <v>【更新：2021.01.10】はじめてのSNS活用 基礎講座【企業向け】（企業ブログ活用の解説付き）</v>
      </c>
    </row>
    <row r="337">
      <c r="A337" s="140" t="str">
        <f>IFERROR(__xludf.DUMMYFUNCTION("""COMPUTED_VALUE"""),"en")</f>
        <v>en</v>
      </c>
      <c r="B337">
        <f>IFERROR(__xludf.DUMMYFUNCTION("""COMPUTED_VALUE"""),2116722.0)</f>
        <v>2116722</v>
      </c>
      <c r="C337" t="str">
        <f>IFERROR(__xludf.DUMMYFUNCTION("""COMPUTED_VALUE"""),"3 Minute French - Course 5 | Language lessons for beginners")</f>
        <v>3 Minute French - Course 5 | Language lessons for beginners</v>
      </c>
    </row>
    <row r="338">
      <c r="A338" s="140" t="str">
        <f>IFERROR(__xludf.DUMMYFUNCTION("""COMPUTED_VALUE"""),"en")</f>
        <v>en</v>
      </c>
      <c r="B338">
        <f>IFERROR(__xludf.DUMMYFUNCTION("""COMPUTED_VALUE"""),764164.0)</f>
        <v>764164</v>
      </c>
      <c r="C338" t="str">
        <f>IFERROR(__xludf.DUMMYFUNCTION("""COMPUTED_VALUE"""),"The Complete Web Developer Course 2.0")</f>
        <v>The Complete Web Developer Course 2.0</v>
      </c>
    </row>
    <row r="339">
      <c r="A339" s="140" t="str">
        <f>IFERROR(__xludf.DUMMYFUNCTION("""COMPUTED_VALUE"""),"ar")</f>
        <v>ar</v>
      </c>
      <c r="B339">
        <f>IFERROR(__xludf.DUMMYFUNCTION("""COMPUTED_VALUE"""),2174104.0)</f>
        <v>2174104</v>
      </c>
      <c r="C339" t="str">
        <f>IFERROR(__xludf.DUMMYFUNCTION("""COMPUTED_VALUE"""),"Build Complete Blog System using PHP, MYSQL and js in Arabic")</f>
        <v>Build Complete Blog System using PHP, MYSQL and js in Arabic</v>
      </c>
    </row>
    <row r="340">
      <c r="A340" s="140" t="str">
        <f>IFERROR(__xludf.DUMMYFUNCTION("""COMPUTED_VALUE"""),"en")</f>
        <v>en</v>
      </c>
      <c r="B340">
        <f>IFERROR(__xludf.DUMMYFUNCTION("""COMPUTED_VALUE"""),1204590.0)</f>
        <v>1204590</v>
      </c>
      <c r="C340" t="str">
        <f>IFERROR(__xludf.DUMMYFUNCTION("""COMPUTED_VALUE"""),"Angular Advanced MasterClass &amp; FREE E-Book")</f>
        <v>Angular Advanced MasterClass &amp; FREE E-Book</v>
      </c>
    </row>
    <row r="341">
      <c r="A341" s="140" t="str">
        <f>IFERROR(__xludf.DUMMYFUNCTION("""COMPUTED_VALUE"""),"en")</f>
        <v>en</v>
      </c>
      <c r="B341">
        <f>IFERROR(__xludf.DUMMYFUNCTION("""COMPUTED_VALUE"""),1583112.0)</f>
        <v>1583112</v>
      </c>
      <c r="C341" t="str">
        <f>IFERROR(__xludf.DUMMYFUNCTION("""COMPUTED_VALUE"""),"Introduction to Learning and Development")</f>
        <v>Introduction to Learning and Development</v>
      </c>
    </row>
    <row r="342">
      <c r="A342" s="140" t="str">
        <f>IFERROR(__xludf.DUMMYFUNCTION("""COMPUTED_VALUE"""),"tr")</f>
        <v>tr</v>
      </c>
      <c r="B342">
        <f>IFERROR(__xludf.DUMMYFUNCTION("""COMPUTED_VALUE"""),3119392.0)</f>
        <v>3119392</v>
      </c>
      <c r="C342" t="str">
        <f>IFERROR(__xludf.DUMMYFUNCTION("""COMPUTED_VALUE"""),"PostgreSQL Eğitimi - Sıfırdan İleri Seviyeye (SQL+PL/pgSQL)")</f>
        <v>PostgreSQL Eğitimi - Sıfırdan İleri Seviyeye (SQL+PL/pgSQL)</v>
      </c>
    </row>
    <row r="343">
      <c r="A343" s="140" t="str">
        <f>IFERROR(__xludf.DUMMYFUNCTION("""COMPUTED_VALUE"""),"en")</f>
        <v>en</v>
      </c>
      <c r="B343">
        <f>IFERROR(__xludf.DUMMYFUNCTION("""COMPUTED_VALUE"""),3259666.0)</f>
        <v>3259666</v>
      </c>
      <c r="C343" t="str">
        <f>IFERROR(__xludf.DUMMYFUNCTION("""COMPUTED_VALUE"""),"[NEW] Amazon ECS &amp; Fargate Master Class - Docker on AWS")</f>
        <v>[NEW] Amazon ECS &amp; Fargate Master Class - Docker on AWS</v>
      </c>
    </row>
    <row r="344">
      <c r="A344" s="140" t="str">
        <f>IFERROR(__xludf.DUMMYFUNCTION("""COMPUTED_VALUE"""),"pt")</f>
        <v>pt</v>
      </c>
      <c r="B344">
        <f>IFERROR(__xludf.DUMMYFUNCTION("""COMPUTED_VALUE"""),1802016.0)</f>
        <v>1802016</v>
      </c>
      <c r="C344" t="str">
        <f>IFERROR(__xludf.DUMMYFUNCTION("""COMPUTED_VALUE"""),"AWS para Iniciantes 2020 - Aprenda e Domine a nuvem Amazon")</f>
        <v>AWS para Iniciantes 2020 - Aprenda e Domine a nuvem Amazon</v>
      </c>
    </row>
    <row r="345">
      <c r="A345" s="140" t="str">
        <f>IFERROR(__xludf.DUMMYFUNCTION("""COMPUTED_VALUE"""),"es")</f>
        <v>es</v>
      </c>
      <c r="B345">
        <f>IFERROR(__xludf.DUMMYFUNCTION("""COMPUTED_VALUE"""),1754560.0)</f>
        <v>1754560</v>
      </c>
      <c r="C345" t="str">
        <f>IFERROR(__xludf.DUMMYFUNCTION("""COMPUTED_VALUE"""),"Adobe XD: Aprende a crear prototipos profesionales desde 0")</f>
        <v>Adobe XD: Aprende a crear prototipos profesionales desde 0</v>
      </c>
    </row>
    <row r="346">
      <c r="A346" s="140" t="str">
        <f>IFERROR(__xludf.DUMMYFUNCTION("""COMPUTED_VALUE"""),"ja")</f>
        <v>ja</v>
      </c>
      <c r="B346">
        <f>IFERROR(__xludf.DUMMYFUNCTION("""COMPUTED_VALUE"""),1142464.0)</f>
        <v>1142464</v>
      </c>
      <c r="C346" t="str">
        <f>IFERROR(__xludf.DUMMYFUNCTION("""COMPUTED_VALUE"""),"Git： もう怖くないGit！チーム開発で必要なGitを完全マスター")</f>
        <v>Git： もう怖くないGit！チーム開発で必要なGitを完全マスター</v>
      </c>
    </row>
    <row r="347">
      <c r="A347" s="140" t="str">
        <f>IFERROR(__xludf.DUMMYFUNCTION("""COMPUTED_VALUE"""),"en")</f>
        <v>en</v>
      </c>
      <c r="B347">
        <f>IFERROR(__xludf.DUMMYFUNCTION("""COMPUTED_VALUE"""),422012.0)</f>
        <v>422012</v>
      </c>
      <c r="C347" t="str">
        <f>IFERROR(__xludf.DUMMYFUNCTION("""COMPUTED_VALUE"""),"Querying Microsoft SQL Server 2012 - (Exam No. 70-461)")</f>
        <v>Querying Microsoft SQL Server 2012 - (Exam No. 70-461)</v>
      </c>
    </row>
    <row r="348">
      <c r="A348" s="140" t="str">
        <f>IFERROR(__xludf.DUMMYFUNCTION("""COMPUTED_VALUE"""),"ja")</f>
        <v>ja</v>
      </c>
      <c r="B348">
        <f>IFERROR(__xludf.DUMMYFUNCTION("""COMPUTED_VALUE"""),3522706.0)</f>
        <v>3522706</v>
      </c>
      <c r="C348" t="str">
        <f>IFERROR(__xludf.DUMMYFUNCTION("""COMPUTED_VALUE"""),"最短・最速で作る ビデオチャットアプリケーション NodeJS + WebRTC編")</f>
        <v>最短・最速で作る ビデオチャットアプリケーション NodeJS + WebRTC編</v>
      </c>
    </row>
    <row r="349">
      <c r="A349" s="140" t="str">
        <f>IFERROR(__xludf.DUMMYFUNCTION("""COMPUTED_VALUE"""),"en")</f>
        <v>en</v>
      </c>
      <c r="B349">
        <f>IFERROR(__xludf.DUMMYFUNCTION("""COMPUTED_VALUE"""),2560544.0)</f>
        <v>2560544</v>
      </c>
      <c r="C349" t="str">
        <f>IFERROR(__xludf.DUMMYFUNCTION("""COMPUTED_VALUE"""),"Learn SCADA from Scratch to Hero ( Indusoft &amp; TIA portal )")</f>
        <v>Learn SCADA from Scratch to Hero ( Indusoft &amp; TIA portal )</v>
      </c>
    </row>
    <row r="350">
      <c r="A350" s="140" t="str">
        <f>IFERROR(__xludf.DUMMYFUNCTION("""COMPUTED_VALUE"""),"ja")</f>
        <v>ja</v>
      </c>
      <c r="B350">
        <f>IFERROR(__xludf.DUMMYFUNCTION("""COMPUTED_VALUE"""),2834472.0)</f>
        <v>2834472</v>
      </c>
      <c r="C350" t="str">
        <f>IFERROR(__xludf.DUMMYFUNCTION("""COMPUTED_VALUE"""),"パソコン仕事 高速化の教科書(Windows10)10の時短技、速くなる13設定、コマンドでの半自動化を120分で学ぼう")</f>
        <v>パソコン仕事 高速化の教科書(Windows10)10の時短技、速くなる13設定、コマンドでの半自動化を120分で学ぼう</v>
      </c>
    </row>
    <row r="351">
      <c r="A351" s="140" t="str">
        <f>IFERROR(__xludf.DUMMYFUNCTION("""COMPUTED_VALUE"""),"en")</f>
        <v>en</v>
      </c>
      <c r="B351">
        <f>IFERROR(__xludf.DUMMYFUNCTION("""COMPUTED_VALUE"""),2758060.0)</f>
        <v>2758060</v>
      </c>
      <c r="C351" t="str">
        <f>IFERROR(__xludf.DUMMYFUNCTION("""COMPUTED_VALUE"""),"IELTS Step-by-step | Mastering Reading")</f>
        <v>IELTS Step-by-step | Mastering Reading</v>
      </c>
    </row>
    <row r="352">
      <c r="A352" s="140" t="str">
        <f>IFERROR(__xludf.DUMMYFUNCTION("""COMPUTED_VALUE"""),"en")</f>
        <v>en</v>
      </c>
      <c r="B352">
        <f>IFERROR(__xludf.DUMMYFUNCTION("""COMPUTED_VALUE"""),177706.0)</f>
        <v>177706</v>
      </c>
      <c r="C352" t="str">
        <f>IFERROR(__xludf.DUMMYFUNCTION("""COMPUTED_VALUE"""),"Become a SpeedDemon 1: Productivity Tricks to Have More Time")</f>
        <v>Become a SpeedDemon 1: Productivity Tricks to Have More Time</v>
      </c>
    </row>
    <row r="353">
      <c r="A353" s="140" t="str">
        <f>IFERROR(__xludf.DUMMYFUNCTION("""COMPUTED_VALUE"""),"ja")</f>
        <v>ja</v>
      </c>
      <c r="B353">
        <f>IFERROR(__xludf.DUMMYFUNCTION("""COMPUTED_VALUE"""),4012450.0)</f>
        <v>4012450</v>
      </c>
      <c r="C353" t="str">
        <f>IFERROR(__xludf.DUMMYFUNCTION("""COMPUTED_VALUE"""),"＜UB確認テスト＞はじめての経営戦略論 ～勝てる市場を選び、勝つための強みを作る！")</f>
        <v>＜UB確認テスト＞はじめての経営戦略論 ～勝てる市場を選び、勝つための強みを作る！</v>
      </c>
    </row>
    <row r="354">
      <c r="A354" s="140" t="str">
        <f>IFERROR(__xludf.DUMMYFUNCTION("""COMPUTED_VALUE"""),"en")</f>
        <v>en</v>
      </c>
      <c r="B354">
        <f>IFERROR(__xludf.DUMMYFUNCTION("""COMPUTED_VALUE"""),3293614.0)</f>
        <v>3293614</v>
      </c>
      <c r="C354" t="str">
        <f>IFERROR(__xludf.DUMMYFUNCTION("""COMPUTED_VALUE"""),"AGILE Product Development Masterclass: What Is ""Real"" Agile?")</f>
        <v>AGILE Product Development Masterclass: What Is "Real" Agile?</v>
      </c>
    </row>
    <row r="355">
      <c r="A355" s="140" t="str">
        <f>IFERROR(__xludf.DUMMYFUNCTION("""COMPUTED_VALUE"""),"en")</f>
        <v>en</v>
      </c>
      <c r="B355">
        <f>IFERROR(__xludf.DUMMYFUNCTION("""COMPUTED_VALUE"""),2837354.0)</f>
        <v>2837354</v>
      </c>
      <c r="C355" t="str">
        <f>IFERROR(__xludf.DUMMYFUNCTION("""COMPUTED_VALUE"""),"Agile BM 101 Introduction to Agile Business Management")</f>
        <v>Agile BM 101 Introduction to Agile Business Management</v>
      </c>
    </row>
    <row r="356">
      <c r="A356" s="140" t="str">
        <f>IFERROR(__xludf.DUMMYFUNCTION("""COMPUTED_VALUE"""),"pt")</f>
        <v>pt</v>
      </c>
      <c r="B356">
        <f>IFERROR(__xludf.DUMMYFUNCTION("""COMPUTED_VALUE"""),2802341.0)</f>
        <v>2802341</v>
      </c>
      <c r="C356" t="str">
        <f>IFERROR(__xludf.DUMMYFUNCTION("""COMPUTED_VALUE"""),"Curso - Samba 4.11.6 com Debian 10.3 + PfSense + File Server")</f>
        <v>Curso - Samba 4.11.6 com Debian 10.3 + PfSense + File Server</v>
      </c>
    </row>
    <row r="357">
      <c r="A357" s="140" t="str">
        <f>IFERROR(__xludf.DUMMYFUNCTION("""COMPUTED_VALUE"""),"en")</f>
        <v>en</v>
      </c>
      <c r="B357">
        <f>IFERROR(__xludf.DUMMYFUNCTION("""COMPUTED_VALUE"""),1357710.0)</f>
        <v>1357710</v>
      </c>
      <c r="C357" t="str">
        <f>IFERROR(__xludf.DUMMYFUNCTION("""COMPUTED_VALUE"""),"Microsoft Access VBA, Design and Advanced Methods Workshop 5")</f>
        <v>Microsoft Access VBA, Design and Advanced Methods Workshop 5</v>
      </c>
    </row>
    <row r="358">
      <c r="A358" s="140" t="str">
        <f>IFERROR(__xludf.DUMMYFUNCTION("""COMPUTED_VALUE"""),"zh")</f>
        <v>zh</v>
      </c>
      <c r="B358">
        <f>IFERROR(__xludf.DUMMYFUNCTION("""COMPUTED_VALUE"""),2234628.0)</f>
        <v>2234628</v>
      </c>
      <c r="C358" t="str">
        <f>IFERROR(__xludf.DUMMYFUNCTION("""COMPUTED_VALUE"""),"深度学习框架-Keras-项目实战")</f>
        <v>深度学习框架-Keras-项目实战</v>
      </c>
    </row>
    <row r="359">
      <c r="A359" s="140" t="str">
        <f>IFERROR(__xludf.DUMMYFUNCTION("""COMPUTED_VALUE"""),"en")</f>
        <v>en</v>
      </c>
      <c r="B359">
        <f>IFERROR(__xludf.DUMMYFUNCTION("""COMPUTED_VALUE"""),2316638.0)</f>
        <v>2316638</v>
      </c>
      <c r="C359" t="str">
        <f>IFERROR(__xludf.DUMMYFUNCTION("""COMPUTED_VALUE"""),"Maintenance Planning Basics")</f>
        <v>Maintenance Planning Basics</v>
      </c>
    </row>
    <row r="360">
      <c r="A360" s="140" t="str">
        <f>IFERROR(__xludf.DUMMYFUNCTION("""COMPUTED_VALUE"""),"de")</f>
        <v>de</v>
      </c>
      <c r="B360">
        <f>IFERROR(__xludf.DUMMYFUNCTION("""COMPUTED_VALUE"""),1469688.0)</f>
        <v>1469688</v>
      </c>
      <c r="C360" t="str">
        <f>IFERROR(__xludf.DUMMYFUNCTION("""COMPUTED_VALUE"""),"Ausbilder nach AEVO (IHK)")</f>
        <v>Ausbilder nach AEVO (IHK)</v>
      </c>
    </row>
    <row r="361">
      <c r="A361" s="140" t="str">
        <f>IFERROR(__xludf.DUMMYFUNCTION("""COMPUTED_VALUE"""),"pt")</f>
        <v>pt</v>
      </c>
      <c r="B361">
        <f>IFERROR(__xludf.DUMMYFUNCTION("""COMPUTED_VALUE"""),1642206.0)</f>
        <v>1642206</v>
      </c>
      <c r="C361" t="str">
        <f>IFERROR(__xludf.DUMMYFUNCTION("""COMPUTED_VALUE"""),"Séries Temporais e Análises Preditivas: O Curso Completo")</f>
        <v>Séries Temporais e Análises Preditivas: O Curso Completo</v>
      </c>
    </row>
    <row r="362">
      <c r="A362" s="140" t="str">
        <f>IFERROR(__xludf.DUMMYFUNCTION("""COMPUTED_VALUE"""),"en")</f>
        <v>en</v>
      </c>
      <c r="B362">
        <f>IFERROR(__xludf.DUMMYFUNCTION("""COMPUTED_VALUE"""),246392.0)</f>
        <v>246392</v>
      </c>
      <c r="C362" t="str">
        <f>IFERROR(__xludf.DUMMYFUNCTION("""COMPUTED_VALUE"""),"WebServices/Rest API Testing with SoapUI +Real time Projects")</f>
        <v>WebServices/Rest API Testing with SoapUI +Real time Projects</v>
      </c>
    </row>
    <row r="363">
      <c r="A363" s="140" t="str">
        <f>IFERROR(__xludf.DUMMYFUNCTION("""COMPUTED_VALUE"""),"tr")</f>
        <v>tr</v>
      </c>
      <c r="B363">
        <f>IFERROR(__xludf.DUMMYFUNCTION("""COMPUTED_VALUE"""),2875342.0)</f>
        <v>2875342</v>
      </c>
      <c r="C363" t="str">
        <f>IFERROR(__xludf.DUMMYFUNCTION("""COMPUTED_VALUE"""),"Online Oyun Geliştirme Eğitimi (MMORPG)")</f>
        <v>Online Oyun Geliştirme Eğitimi (MMORPG)</v>
      </c>
    </row>
    <row r="364">
      <c r="A364" s="140" t="str">
        <f>IFERROR(__xludf.DUMMYFUNCTION("""COMPUTED_VALUE"""),"pt")</f>
        <v>pt</v>
      </c>
      <c r="B364">
        <f>IFERROR(__xludf.DUMMYFUNCTION("""COMPUTED_VALUE"""),1082928.0)</f>
        <v>1082928</v>
      </c>
      <c r="C364" t="str">
        <f>IFERROR(__xludf.DUMMYFUNCTION("""COMPUTED_VALUE"""),"Desenvolvendo REST / RESTful APIs com Ruby on Rails")</f>
        <v>Desenvolvendo REST / RESTful APIs com Ruby on Rails</v>
      </c>
    </row>
    <row r="365">
      <c r="A365" s="140" t="str">
        <f>IFERROR(__xludf.DUMMYFUNCTION("""COMPUTED_VALUE"""),"de")</f>
        <v>de</v>
      </c>
      <c r="B365">
        <f>IFERROR(__xludf.DUMMYFUNCTION("""COMPUTED_VALUE"""),752372.0)</f>
        <v>752372</v>
      </c>
      <c r="C365" t="str">
        <f>IFERROR(__xludf.DUMMYFUNCTION("""COMPUTED_VALUE"""),"Private Finanzen meistern - Geld verdienen, sparen, anlegen")</f>
        <v>Private Finanzen meistern - Geld verdienen, sparen, anlegen</v>
      </c>
    </row>
    <row r="366">
      <c r="A366" s="140" t="str">
        <f>IFERROR(__xludf.DUMMYFUNCTION("""COMPUTED_VALUE"""),"en")</f>
        <v>en</v>
      </c>
      <c r="B366">
        <f>IFERROR(__xludf.DUMMYFUNCTION("""COMPUTED_VALUE"""),1245096.0)</f>
        <v>1245096</v>
      </c>
      <c r="C366" t="str">
        <f>IFERROR(__xludf.DUMMYFUNCTION("""COMPUTED_VALUE"""),"Get your PfMP® Certification on your first attempt")</f>
        <v>Get your PfMP® Certification on your first attempt</v>
      </c>
    </row>
    <row r="367">
      <c r="A367" s="140" t="str">
        <f>IFERROR(__xludf.DUMMYFUNCTION("""COMPUTED_VALUE"""),"en")</f>
        <v>en</v>
      </c>
      <c r="B367">
        <f>IFERROR(__xludf.DUMMYFUNCTION("""COMPUTED_VALUE"""),2845902.0)</f>
        <v>2845902</v>
      </c>
      <c r="C367" t="str">
        <f>IFERROR(__xludf.DUMMYFUNCTION("""COMPUTED_VALUE"""),"CCNP Enterprise -300-415 ENSDWI : Implementing Cisco SD-WAN")</f>
        <v>CCNP Enterprise -300-415 ENSDWI : Implementing Cisco SD-WAN</v>
      </c>
    </row>
    <row r="368">
      <c r="A368" s="140" t="str">
        <f>IFERROR(__xludf.DUMMYFUNCTION("""COMPUTED_VALUE"""),"en")</f>
        <v>en</v>
      </c>
      <c r="B368">
        <f>IFERROR(__xludf.DUMMYFUNCTION("""COMPUTED_VALUE"""),3591038.0)</f>
        <v>3591038</v>
      </c>
      <c r="C368" t="str">
        <f>IFERROR(__xludf.DUMMYFUNCTION("""COMPUTED_VALUE"""),"Google Cloud Associate Cloud Engineer Practice Exams")</f>
        <v>Google Cloud Associate Cloud Engineer Practice Exams</v>
      </c>
    </row>
    <row r="369">
      <c r="A369" s="140" t="str">
        <f>IFERROR(__xludf.DUMMYFUNCTION("""COMPUTED_VALUE"""),"en")</f>
        <v>en</v>
      </c>
      <c r="B369">
        <f>IFERROR(__xludf.DUMMYFUNCTION("""COMPUTED_VALUE"""),67740.0)</f>
        <v>67740</v>
      </c>
      <c r="C369" t="str">
        <f>IFERROR(__xludf.DUMMYFUNCTION("""COMPUTED_VALUE"""),"International Expansion: A Blueprint for Success")</f>
        <v>International Expansion: A Blueprint for Success</v>
      </c>
    </row>
    <row r="370">
      <c r="A370" s="140" t="str">
        <f>IFERROR(__xludf.DUMMYFUNCTION("""COMPUTED_VALUE"""),"en")</f>
        <v>en</v>
      </c>
      <c r="B370">
        <f>IFERROR(__xludf.DUMMYFUNCTION("""COMPUTED_VALUE"""),2407642.0)</f>
        <v>2407642</v>
      </c>
      <c r="C370" t="str">
        <f>IFERROR(__xludf.DUMMYFUNCTION("""COMPUTED_VALUE"""),"Smart Tips: Excel")</f>
        <v>Smart Tips: Excel</v>
      </c>
    </row>
    <row r="371">
      <c r="A371" s="140" t="str">
        <f>IFERROR(__xludf.DUMMYFUNCTION("""COMPUTED_VALUE"""),"pt")</f>
        <v>pt</v>
      </c>
      <c r="B371">
        <f>IFERROR(__xludf.DUMMYFUNCTION("""COMPUTED_VALUE"""),2219896.0)</f>
        <v>2219896</v>
      </c>
      <c r="C371" t="str">
        <f>IFERROR(__xludf.DUMMYFUNCTION("""COMPUTED_VALUE"""),"Matemática Financeira Completa")</f>
        <v>Matemática Financeira Completa</v>
      </c>
    </row>
    <row r="372">
      <c r="A372" s="140" t="str">
        <f>IFERROR(__xludf.DUMMYFUNCTION("""COMPUTED_VALUE"""),"fr")</f>
        <v>fr</v>
      </c>
      <c r="B372">
        <f>IFERROR(__xludf.DUMMYFUNCTION("""COMPUTED_VALUE"""),2444576.0)</f>
        <v>2444576</v>
      </c>
      <c r="C372" t="str">
        <f>IFERROR(__xludf.DUMMYFUNCTION("""COMPUTED_VALUE"""),"Gestion du temps et productivité à l'ère digitale")</f>
        <v>Gestion du temps et productivité à l'ère digitale</v>
      </c>
    </row>
    <row r="373">
      <c r="A373" s="140" t="str">
        <f>IFERROR(__xludf.DUMMYFUNCTION("""COMPUTED_VALUE"""),"en")</f>
        <v>en</v>
      </c>
      <c r="B373">
        <f>IFERROR(__xludf.DUMMYFUNCTION("""COMPUTED_VALUE"""),1350350.0)</f>
        <v>1350350</v>
      </c>
      <c r="C373" t="str">
        <f>IFERROR(__xludf.DUMMYFUNCTION("""COMPUTED_VALUE"""),"Quantitative Finance &amp; Algorithmic Trading in Python")</f>
        <v>Quantitative Finance &amp; Algorithmic Trading in Python</v>
      </c>
    </row>
    <row r="374">
      <c r="A374" s="140" t="str">
        <f>IFERROR(__xludf.DUMMYFUNCTION("""COMPUTED_VALUE"""),"en")</f>
        <v>en</v>
      </c>
      <c r="B374">
        <f>IFERROR(__xludf.DUMMYFUNCTION("""COMPUTED_VALUE"""),941120.0)</f>
        <v>941120</v>
      </c>
      <c r="C374" t="str">
        <f>IFERROR(__xludf.DUMMYFUNCTION("""COMPUTED_VALUE"""),"Options Trading for Rookies: Make &amp; Manage Profitable Trades")</f>
        <v>Options Trading for Rookies: Make &amp; Manage Profitable Trades</v>
      </c>
    </row>
    <row r="375">
      <c r="A375" s="140" t="str">
        <f>IFERROR(__xludf.DUMMYFUNCTION("""COMPUTED_VALUE"""),"pt")</f>
        <v>pt</v>
      </c>
      <c r="B375">
        <f>IFERROR(__xludf.DUMMYFUNCTION("""COMPUTED_VALUE"""),3241532.0)</f>
        <v>3241532</v>
      </c>
      <c r="C375" t="str">
        <f>IFERROR(__xludf.DUMMYFUNCTION("""COMPUTED_VALUE"""),"Microsoft Excel: Completo de A a Z + 2 Cursos EXTRA")</f>
        <v>Microsoft Excel: Completo de A a Z + 2 Cursos EXTRA</v>
      </c>
    </row>
    <row r="376">
      <c r="A376" s="140" t="str">
        <f>IFERROR(__xludf.DUMMYFUNCTION("""COMPUTED_VALUE"""),"tr")</f>
        <v>tr</v>
      </c>
      <c r="B376">
        <f>IFERROR(__xludf.DUMMYFUNCTION("""COMPUTED_VALUE"""),2185048.0)</f>
        <v>2185048</v>
      </c>
      <c r="C376" t="str">
        <f>IFERROR(__xludf.DUMMYFUNCTION("""COMPUTED_VALUE"""),"Sıfırdan Temel Algoritma ve Programlama")</f>
        <v>Sıfırdan Temel Algoritma ve Programlama</v>
      </c>
    </row>
    <row r="377">
      <c r="A377" s="140" t="str">
        <f>IFERROR(__xludf.DUMMYFUNCTION("""COMPUTED_VALUE"""),"es")</f>
        <v>es</v>
      </c>
      <c r="B377">
        <f>IFERROR(__xludf.DUMMYFUNCTION("""COMPUTED_VALUE"""),1436898.0)</f>
        <v>1436898</v>
      </c>
      <c r="C377" t="str">
        <f>IFERROR(__xludf.DUMMYFUNCTION("""COMPUTED_VALUE"""),"Hacking Ético Profesional - Reconocimiento de Objetivos")</f>
        <v>Hacking Ético Profesional - Reconocimiento de Objetivos</v>
      </c>
    </row>
    <row r="378">
      <c r="A378" s="140" t="str">
        <f>IFERROR(__xludf.DUMMYFUNCTION("""COMPUTED_VALUE"""),"en")</f>
        <v>en</v>
      </c>
      <c r="B378">
        <f>IFERROR(__xludf.DUMMYFUNCTION("""COMPUTED_VALUE"""),1949170.0)</f>
        <v>1949170</v>
      </c>
      <c r="C378" t="str">
        <f>IFERROR(__xludf.DUMMYFUNCTION("""COMPUTED_VALUE"""),"Oracle Database Architecture")</f>
        <v>Oracle Database Architecture</v>
      </c>
    </row>
    <row r="379">
      <c r="A379" s="140" t="str">
        <f>IFERROR(__xludf.DUMMYFUNCTION("""COMPUTED_VALUE"""),"de")</f>
        <v>de</v>
      </c>
      <c r="B379">
        <f>IFERROR(__xludf.DUMMYFUNCTION("""COMPUTED_VALUE"""),1816876.0)</f>
        <v>1816876</v>
      </c>
      <c r="C379" t="str">
        <f>IFERROR(__xludf.DUMMYFUNCTION("""COMPUTED_VALUE"""),"Lean Six Sigma - Einstieg mit dem Weißen Gürtel (White Belt)")</f>
        <v>Lean Six Sigma - Einstieg mit dem Weißen Gürtel (White Belt)</v>
      </c>
    </row>
    <row r="380">
      <c r="A380" s="140" t="str">
        <f>IFERROR(__xludf.DUMMYFUNCTION("""COMPUTED_VALUE"""),"en")</f>
        <v>en</v>
      </c>
      <c r="B380">
        <f>IFERROR(__xludf.DUMMYFUNCTION("""COMPUTED_VALUE"""),2535694.0)</f>
        <v>2535694</v>
      </c>
      <c r="C380" t="str">
        <f>IFERROR(__xludf.DUMMYFUNCTION("""COMPUTED_VALUE"""),"Microsoft Intune Training (Includes Self Practice LABs)")</f>
        <v>Microsoft Intune Training (Includes Self Practice LABs)</v>
      </c>
    </row>
    <row r="381">
      <c r="A381" s="140" t="str">
        <f>IFERROR(__xludf.DUMMYFUNCTION("""COMPUTED_VALUE"""),"en")</f>
        <v>en</v>
      </c>
      <c r="B381">
        <f>IFERROR(__xludf.DUMMYFUNCTION("""COMPUTED_VALUE"""),3081656.0)</f>
        <v>3081656</v>
      </c>
      <c r="C381" t="str">
        <f>IFERROR(__xludf.DUMMYFUNCTION("""COMPUTED_VALUE"""),"Software Architecture Security - The Complete Guide")</f>
        <v>Software Architecture Security - The Complete Guide</v>
      </c>
    </row>
    <row r="382">
      <c r="A382" s="140" t="str">
        <f>IFERROR(__xludf.DUMMYFUNCTION("""COMPUTED_VALUE"""),"fr")</f>
        <v>fr</v>
      </c>
      <c r="B382">
        <f>IFERROR(__xludf.DUMMYFUNCTION("""COMPUTED_VALUE"""),1966348.0)</f>
        <v>1966348</v>
      </c>
      <c r="C382" t="str">
        <f>IFERROR(__xludf.DUMMYFUNCTION("""COMPUTED_VALUE"""),"Cours d'Anglais pour Débutants")</f>
        <v>Cours d'Anglais pour Débutants</v>
      </c>
    </row>
    <row r="383">
      <c r="A383" s="140" t="str">
        <f>IFERROR(__xludf.DUMMYFUNCTION("""COMPUTED_VALUE"""),"en")</f>
        <v>en</v>
      </c>
      <c r="B383">
        <f>IFERROR(__xludf.DUMMYFUNCTION("""COMPUTED_VALUE"""),3067706.0)</f>
        <v>3067706</v>
      </c>
      <c r="C383" t="str">
        <f>IFERROR(__xludf.DUMMYFUNCTION("""COMPUTED_VALUE"""),"Clear and Simple vSphere 7 Foundations (VCTA 2021 Associate)")</f>
        <v>Clear and Simple vSphere 7 Foundations (VCTA 2021 Associate)</v>
      </c>
    </row>
    <row r="384">
      <c r="A384" s="140" t="str">
        <f>IFERROR(__xludf.DUMMYFUNCTION("""COMPUTED_VALUE"""),"pt")</f>
        <v>pt</v>
      </c>
      <c r="B384">
        <f>IFERROR(__xludf.DUMMYFUNCTION("""COMPUTED_VALUE"""),2290305.0)</f>
        <v>2290305</v>
      </c>
      <c r="C384" t="str">
        <f>IFERROR(__xludf.DUMMYFUNCTION("""COMPUTED_VALUE"""),"HTML, CSS e PHP - do ZERO Para Iniciantes em Programação Web")</f>
        <v>HTML, CSS e PHP - do ZERO Para Iniciantes em Programação Web</v>
      </c>
    </row>
    <row r="385">
      <c r="A385" s="140" t="str">
        <f>IFERROR(__xludf.DUMMYFUNCTION("""COMPUTED_VALUE"""),"en")</f>
        <v>en</v>
      </c>
      <c r="B385">
        <f>IFERROR(__xludf.DUMMYFUNCTION("""COMPUTED_VALUE"""),1717898.0)</f>
        <v>1717898</v>
      </c>
      <c r="C385" t="str">
        <f>IFERROR(__xludf.DUMMYFUNCTION("""COMPUTED_VALUE"""),"Create a 3-Tier Application Using Azure Virtual Machines")</f>
        <v>Create a 3-Tier Application Using Azure Virtual Machines</v>
      </c>
    </row>
    <row r="386">
      <c r="A386" s="140" t="str">
        <f>IFERROR(__xludf.DUMMYFUNCTION("""COMPUTED_VALUE"""),"en")</f>
        <v>en</v>
      </c>
      <c r="B386">
        <f>IFERROR(__xludf.DUMMYFUNCTION("""COMPUTED_VALUE"""),655608.0)</f>
        <v>655608</v>
      </c>
      <c r="C386" t="str">
        <f>IFERROR(__xludf.DUMMYFUNCTION("""COMPUTED_VALUE"""),"Productivity and Time Management for the Overwhelmed")</f>
        <v>Productivity and Time Management for the Overwhelmed</v>
      </c>
    </row>
    <row r="387">
      <c r="A387" s="140" t="str">
        <f>IFERROR(__xludf.DUMMYFUNCTION("""COMPUTED_VALUE"""),"en")</f>
        <v>en</v>
      </c>
      <c r="B387">
        <f>IFERROR(__xludf.DUMMYFUNCTION("""COMPUTED_VALUE"""),2490968.0)</f>
        <v>2490968</v>
      </c>
      <c r="C387" t="str">
        <f>IFERROR(__xludf.DUMMYFUNCTION("""COMPUTED_VALUE"""),"Digital Oil and Gas")</f>
        <v>Digital Oil and Gas</v>
      </c>
    </row>
    <row r="388">
      <c r="A388" s="140" t="str">
        <f>IFERROR(__xludf.DUMMYFUNCTION("""COMPUTED_VALUE"""),"en")</f>
        <v>en</v>
      </c>
      <c r="B388">
        <f>IFERROR(__xludf.DUMMYFUNCTION("""COMPUTED_VALUE"""),2615772.0)</f>
        <v>2615772</v>
      </c>
      <c r="C388" t="str">
        <f>IFERROR(__xludf.DUMMYFUNCTION("""COMPUTED_VALUE"""),"Quarkus Backend development with Java and GraalVM")</f>
        <v>Quarkus Backend development with Java and GraalVM</v>
      </c>
    </row>
    <row r="389">
      <c r="A389" s="140" t="str">
        <f>IFERROR(__xludf.DUMMYFUNCTION("""COMPUTED_VALUE"""),"en")</f>
        <v>en</v>
      </c>
      <c r="B389">
        <f>IFERROR(__xludf.DUMMYFUNCTION("""COMPUTED_VALUE"""),3582293.0)</f>
        <v>3582293</v>
      </c>
      <c r="C389" t="str">
        <f>IFERROR(__xludf.DUMMYFUNCTION("""COMPUTED_VALUE"""),"Confidence on Zoom: Tips and Tools to Look Like a Pro")</f>
        <v>Confidence on Zoom: Tips and Tools to Look Like a Pro</v>
      </c>
    </row>
    <row r="390">
      <c r="A390" s="140" t="str">
        <f>IFERROR(__xludf.DUMMYFUNCTION("""COMPUTED_VALUE"""),"en")</f>
        <v>en</v>
      </c>
      <c r="B390">
        <f>IFERROR(__xludf.DUMMYFUNCTION("""COMPUTED_VALUE"""),867198.0)</f>
        <v>867198</v>
      </c>
      <c r="C390" t="str">
        <f>IFERROR(__xludf.DUMMYFUNCTION("""COMPUTED_VALUE"""),"The Complete Spine Game Rigging &amp; Animation Course")</f>
        <v>The Complete Spine Game Rigging &amp; Animation Course</v>
      </c>
    </row>
    <row r="391">
      <c r="A391" s="140" t="str">
        <f>IFERROR(__xludf.DUMMYFUNCTION("""COMPUTED_VALUE"""),"en")</f>
        <v>en</v>
      </c>
      <c r="B391">
        <f>IFERROR(__xludf.DUMMYFUNCTION("""COMPUTED_VALUE"""),2551073.0)</f>
        <v>2551073</v>
      </c>
      <c r="C391" t="str">
        <f>IFERROR(__xludf.DUMMYFUNCTION("""COMPUTED_VALUE"""),"JavaScript - Marathon Interview Questions Series 2022")</f>
        <v>JavaScript - Marathon Interview Questions Series 2022</v>
      </c>
    </row>
    <row r="392">
      <c r="A392" s="140" t="str">
        <f>IFERROR(__xludf.DUMMYFUNCTION("""COMPUTED_VALUE"""),"en")</f>
        <v>en</v>
      </c>
      <c r="B392">
        <f>IFERROR(__xludf.DUMMYFUNCTION("""COMPUTED_VALUE"""),2040268.0)</f>
        <v>2040268</v>
      </c>
      <c r="C392" t="str">
        <f>IFERROR(__xludf.DUMMYFUNCTION("""COMPUTED_VALUE"""),"Small Business Lead Generation &amp; Cold Email | B2B &amp; B2C")</f>
        <v>Small Business Lead Generation &amp; Cold Email | B2B &amp; B2C</v>
      </c>
    </row>
    <row r="393">
      <c r="A393" s="140" t="str">
        <f>IFERROR(__xludf.DUMMYFUNCTION("""COMPUTED_VALUE"""),"en")</f>
        <v>en</v>
      </c>
      <c r="B393">
        <f>IFERROR(__xludf.DUMMYFUNCTION("""COMPUTED_VALUE"""),922484.0)</f>
        <v>922484</v>
      </c>
      <c r="C393" t="str">
        <f>IFERROR(__xludf.DUMMYFUNCTION("""COMPUTED_VALUE"""),"The Complete Node.js Developer Course (3rd Edition)")</f>
        <v>The Complete Node.js Developer Course (3rd Edition)</v>
      </c>
    </row>
    <row r="394">
      <c r="A394" s="140" t="str">
        <f>IFERROR(__xludf.DUMMYFUNCTION("""COMPUTED_VALUE"""),"fr")</f>
        <v>fr</v>
      </c>
      <c r="B394">
        <f>IFERROR(__xludf.DUMMYFUNCTION("""COMPUTED_VALUE"""),1388618.0)</f>
        <v>1388618</v>
      </c>
      <c r="C394" t="str">
        <f>IFERROR(__xludf.DUMMYFUNCTION("""COMPUTED_VALUE"""),"VRAIMENT Bien Comprendre Javascript")</f>
        <v>VRAIMENT Bien Comprendre Javascript</v>
      </c>
    </row>
    <row r="395">
      <c r="A395" s="140" t="str">
        <f>IFERROR(__xludf.DUMMYFUNCTION("""COMPUTED_VALUE"""),"en")</f>
        <v>en</v>
      </c>
      <c r="B395">
        <f>IFERROR(__xludf.DUMMYFUNCTION("""COMPUTED_VALUE"""),922484.0)</f>
        <v>922484</v>
      </c>
      <c r="C395" t="str">
        <f>IFERROR(__xludf.DUMMYFUNCTION("""COMPUTED_VALUE"""),"The Complete Node.js Developer Course (3rd Edition)")</f>
        <v>The Complete Node.js Developer Course (3rd Edition)</v>
      </c>
    </row>
    <row r="396">
      <c r="A396" s="140" t="str">
        <f>IFERROR(__xludf.DUMMYFUNCTION("""COMPUTED_VALUE"""),"ja")</f>
        <v>ja</v>
      </c>
      <c r="B396">
        <f>IFERROR(__xludf.DUMMYFUNCTION("""COMPUTED_VALUE"""),4246340.0)</f>
        <v>4246340</v>
      </c>
      <c r="C396" t="str">
        <f>IFERROR(__xludf.DUMMYFUNCTION("""COMPUTED_VALUE"""),"全ビジネスパーソンに捧げる業務自動化講座　〜Power Automate超入門〜（旧Microsoft Flow）")</f>
        <v>全ビジネスパーソンに捧げる業務自動化講座　〜Power Automate超入門〜（旧Microsoft Flow）</v>
      </c>
    </row>
    <row r="397">
      <c r="A397" s="140" t="str">
        <f>IFERROR(__xludf.DUMMYFUNCTION("""COMPUTED_VALUE"""),"pt")</f>
        <v>pt</v>
      </c>
      <c r="B397">
        <f>IFERROR(__xludf.DUMMYFUNCTION("""COMPUTED_VALUE"""),2609628.0)</f>
        <v>2609628</v>
      </c>
      <c r="C397" t="str">
        <f>IFERROR(__xludf.DUMMYFUNCTION("""COMPUTED_VALUE"""),"Certificação AZ-304 Microsoft Azure Architect Design 2021")</f>
        <v>Certificação AZ-304 Microsoft Azure Architect Design 2021</v>
      </c>
    </row>
    <row r="398">
      <c r="A398" s="140" t="str">
        <f>IFERROR(__xludf.DUMMYFUNCTION("""COMPUTED_VALUE"""),"en")</f>
        <v>en</v>
      </c>
      <c r="B398">
        <f>IFERROR(__xludf.DUMMYFUNCTION("""COMPUTED_VALUE"""),2052309.0)</f>
        <v>2052309</v>
      </c>
      <c r="C398" t="str">
        <f>IFERROR(__xludf.DUMMYFUNCTION("""COMPUTED_VALUE"""),"Clear and Simple VMware vSphere 6.7 Professional VCP-DCV")</f>
        <v>Clear and Simple VMware vSphere 6.7 Professional VCP-DCV</v>
      </c>
    </row>
    <row r="399">
      <c r="A399" s="140" t="str">
        <f>IFERROR(__xludf.DUMMYFUNCTION("""COMPUTED_VALUE"""),"en")</f>
        <v>en</v>
      </c>
      <c r="B399">
        <f>IFERROR(__xludf.DUMMYFUNCTION("""COMPUTED_VALUE"""),2840394.0)</f>
        <v>2840394</v>
      </c>
      <c r="C399" t="str">
        <f>IFERROR(__xludf.DUMMYFUNCTION("""COMPUTED_VALUE"""),"Executive Briefing: Computer Vision")</f>
        <v>Executive Briefing: Computer Vision</v>
      </c>
    </row>
    <row r="400">
      <c r="A400" s="140" t="str">
        <f>IFERROR(__xludf.DUMMYFUNCTION("""COMPUTED_VALUE"""),"de")</f>
        <v>de</v>
      </c>
      <c r="B400">
        <f>IFERROR(__xludf.DUMMYFUNCTION("""COMPUTED_VALUE"""),2791136.0)</f>
        <v>2791136</v>
      </c>
      <c r="C400" t="str">
        <f>IFERROR(__xludf.DUMMYFUNCTION("""COMPUTED_VALUE"""),"Lebendiges Software Design 1/3: Qualitativ Hochwertiger Code")</f>
        <v>Lebendiges Software Design 1/3: Qualitativ Hochwertiger Code</v>
      </c>
    </row>
    <row r="401">
      <c r="A401" s="140" t="str">
        <f>IFERROR(__xludf.DUMMYFUNCTION("""COMPUTED_VALUE"""),"en")</f>
        <v>en</v>
      </c>
      <c r="B401">
        <f>IFERROR(__xludf.DUMMYFUNCTION("""COMPUTED_VALUE"""),3270706.0)</f>
        <v>3270706</v>
      </c>
      <c r="C401" t="str">
        <f>IFERROR(__xludf.DUMMYFUNCTION("""COMPUTED_VALUE"""),"Design and Analysis of Experiments | DoE")</f>
        <v>Design and Analysis of Experiments | DoE</v>
      </c>
    </row>
    <row r="402">
      <c r="A402" s="140" t="str">
        <f>IFERROR(__xludf.DUMMYFUNCTION("""COMPUTED_VALUE"""),"en")</f>
        <v>en</v>
      </c>
      <c r="B402">
        <f>IFERROR(__xludf.DUMMYFUNCTION("""COMPUTED_VALUE"""),2163740.0)</f>
        <v>2163740</v>
      </c>
      <c r="C402" t="str">
        <f>IFERROR(__xludf.DUMMYFUNCTION("""COMPUTED_VALUE"""),"SAP PI / SAP PO: Interface Development with Standard Adapter")</f>
        <v>SAP PI / SAP PO: Interface Development with Standard Adapter</v>
      </c>
    </row>
    <row r="403">
      <c r="A403" s="140" t="str">
        <f>IFERROR(__xludf.DUMMYFUNCTION("""COMPUTED_VALUE"""),"de")</f>
        <v>de</v>
      </c>
      <c r="B403">
        <f>IFERROR(__xludf.DUMMYFUNCTION("""COMPUTED_VALUE"""),2300300.0)</f>
        <v>2300300</v>
      </c>
      <c r="C403" t="str">
        <f>IFERROR(__xludf.DUMMYFUNCTION("""COMPUTED_VALUE"""),"Der Weg zum erfolgreichen Kommunikations-Profi")</f>
        <v>Der Weg zum erfolgreichen Kommunikations-Profi</v>
      </c>
    </row>
    <row r="404">
      <c r="A404" s="140" t="str">
        <f>IFERROR(__xludf.DUMMYFUNCTION("""COMPUTED_VALUE"""),"en")</f>
        <v>en</v>
      </c>
      <c r="B404">
        <f>IFERROR(__xludf.DUMMYFUNCTION("""COMPUTED_VALUE"""),700080.0)</f>
        <v>700080</v>
      </c>
      <c r="C404" t="str">
        <f>IFERROR(__xludf.DUMMYFUNCTION("""COMPUTED_VALUE"""),"Budgeting for Business")</f>
        <v>Budgeting for Business</v>
      </c>
    </row>
    <row r="405">
      <c r="A405" s="140" t="str">
        <f>IFERROR(__xludf.DUMMYFUNCTION("""COMPUTED_VALUE"""),"en")</f>
        <v>en</v>
      </c>
      <c r="B405">
        <f>IFERROR(__xludf.DUMMYFUNCTION("""COMPUTED_VALUE"""),1238720.0)</f>
        <v>1238720</v>
      </c>
      <c r="C405" t="str">
        <f>IFERROR(__xludf.DUMMYFUNCTION("""COMPUTED_VALUE"""),"Statistics for Data Analysis Using Excel 2016")</f>
        <v>Statistics for Data Analysis Using Excel 2016</v>
      </c>
    </row>
    <row r="406">
      <c r="A406" s="140" t="str">
        <f>IFERROR(__xludf.DUMMYFUNCTION("""COMPUTED_VALUE"""),"de")</f>
        <v>de</v>
      </c>
      <c r="B406">
        <f>IFERROR(__xludf.DUMMYFUNCTION("""COMPUTED_VALUE"""),2096160.0)</f>
        <v>2096160</v>
      </c>
      <c r="C406" t="str">
        <f>IFERROR(__xludf.DUMMYFUNCTION("""COMPUTED_VALUE"""),"C Komplettkurs: Praxisnahe Programmierung für C Einsteiger")</f>
        <v>C Komplettkurs: Praxisnahe Programmierung für C Einsteiger</v>
      </c>
    </row>
    <row r="407">
      <c r="A407" s="140" t="str">
        <f>IFERROR(__xludf.DUMMYFUNCTION("""COMPUTED_VALUE"""),"en")</f>
        <v>en</v>
      </c>
      <c r="B407">
        <f>IFERROR(__xludf.DUMMYFUNCTION("""COMPUTED_VALUE"""),1238720.0)</f>
        <v>1238720</v>
      </c>
      <c r="C407" t="str">
        <f>IFERROR(__xludf.DUMMYFUNCTION("""COMPUTED_VALUE"""),"Statistics for Data Analysis Using Excel 2016")</f>
        <v>Statistics for Data Analysis Using Excel 2016</v>
      </c>
    </row>
    <row r="408">
      <c r="A408" s="140" t="str">
        <f>IFERROR(__xludf.DUMMYFUNCTION("""COMPUTED_VALUE"""),"de")</f>
        <v>de</v>
      </c>
      <c r="B408">
        <f>IFERROR(__xludf.DUMMYFUNCTION("""COMPUTED_VALUE"""),1457162.0)</f>
        <v>1457162</v>
      </c>
      <c r="C408" t="str">
        <f>IFERROR(__xludf.DUMMYFUNCTION("""COMPUTED_VALUE"""),"Logic Pro X einfach lernen")</f>
        <v>Logic Pro X einfach lernen</v>
      </c>
    </row>
    <row r="409">
      <c r="A409" s="140" t="str">
        <f>IFERROR(__xludf.DUMMYFUNCTION("""COMPUTED_VALUE"""),"en")</f>
        <v>en</v>
      </c>
      <c r="B409">
        <f>IFERROR(__xludf.DUMMYFUNCTION("""COMPUTED_VALUE"""),1144906.0)</f>
        <v>1144906</v>
      </c>
      <c r="C409" t="str">
        <f>IFERROR(__xludf.DUMMYFUNCTION("""COMPUTED_VALUE"""),"Web Scraping In Python: Master The Fundamentals")</f>
        <v>Web Scraping In Python: Master The Fundamentals</v>
      </c>
    </row>
    <row r="410">
      <c r="A410" s="140" t="str">
        <f>IFERROR(__xludf.DUMMYFUNCTION("""COMPUTED_VALUE"""),"en")</f>
        <v>en</v>
      </c>
      <c r="B410">
        <f>IFERROR(__xludf.DUMMYFUNCTION("""COMPUTED_VALUE"""),533682.0)</f>
        <v>533682</v>
      </c>
      <c r="C410" t="str">
        <f>IFERROR(__xludf.DUMMYFUNCTION("""COMPUTED_VALUE"""),"Java Programming Masterclass covering Java 11 &amp; Java 17")</f>
        <v>Java Programming Masterclass covering Java 11 &amp; Java 17</v>
      </c>
    </row>
    <row r="411">
      <c r="A411" s="140" t="str">
        <f>IFERROR(__xludf.DUMMYFUNCTION("""COMPUTED_VALUE"""),"tr")</f>
        <v>tr</v>
      </c>
      <c r="B411">
        <f>IFERROR(__xludf.DUMMYFUNCTION("""COMPUTED_VALUE"""),2698828.0)</f>
        <v>2698828</v>
      </c>
      <c r="C411" t="str">
        <f>IFERROR(__xludf.DUMMYFUNCTION("""COMPUTED_VALUE"""),"Sistem ve Network Mühendisliği - 2 (GNU Linux)")</f>
        <v>Sistem ve Network Mühendisliği - 2 (GNU Linux)</v>
      </c>
    </row>
    <row r="412">
      <c r="A412" s="140" t="str">
        <f>IFERROR(__xludf.DUMMYFUNCTION("""COMPUTED_VALUE"""),"ja")</f>
        <v>ja</v>
      </c>
      <c r="B412">
        <f>IFERROR(__xludf.DUMMYFUNCTION("""COMPUTED_VALUE"""),2234642.0)</f>
        <v>2234642</v>
      </c>
      <c r="C412" t="str">
        <f>IFERROR(__xludf.DUMMYFUNCTION("""COMPUTED_VALUE"""),"3時間で学ぶ SQL ・データベース 超入門【丁寧な解説+演習問題で SQL データ抽出の基本が身につく】標準 SQL")</f>
        <v>3時間で学ぶ SQL ・データベース 超入門【丁寧な解説+演習問題で SQL データ抽出の基本が身につく】標準 SQL</v>
      </c>
    </row>
    <row r="413">
      <c r="A413" s="140" t="str">
        <f>IFERROR(__xludf.DUMMYFUNCTION("""COMPUTED_VALUE"""),"de")</f>
        <v>de</v>
      </c>
      <c r="B413">
        <f>IFERROR(__xludf.DUMMYFUNCTION("""COMPUTED_VALUE"""),1400450.0)</f>
        <v>1400450</v>
      </c>
      <c r="C413" t="str">
        <f>IFERROR(__xludf.DUMMYFUNCTION("""COMPUTED_VALUE"""),"Financial Modeling mit Microsoft Excel")</f>
        <v>Financial Modeling mit Microsoft Excel</v>
      </c>
    </row>
    <row r="414">
      <c r="A414" s="140" t="str">
        <f>IFERROR(__xludf.DUMMYFUNCTION("""COMPUTED_VALUE"""),"en")</f>
        <v>en</v>
      </c>
      <c r="B414">
        <f>IFERROR(__xludf.DUMMYFUNCTION("""COMPUTED_VALUE"""),1813988.0)</f>
        <v>1813988</v>
      </c>
      <c r="C414" t="str">
        <f>IFERROR(__xludf.DUMMYFUNCTION("""COMPUTED_VALUE"""),"Unit Testing .Net Core Applications with xUnit .net &amp; MOQ")</f>
        <v>Unit Testing .Net Core Applications with xUnit .net &amp; MOQ</v>
      </c>
    </row>
    <row r="415">
      <c r="A415" s="140" t="str">
        <f>IFERROR(__xludf.DUMMYFUNCTION("""COMPUTED_VALUE"""),"en")</f>
        <v>en</v>
      </c>
      <c r="B415">
        <f>IFERROR(__xludf.DUMMYFUNCTION("""COMPUTED_VALUE"""),3698214.0)</f>
        <v>3698214</v>
      </c>
      <c r="C415" t="str">
        <f>IFERROR(__xludf.DUMMYFUNCTION("""COMPUTED_VALUE"""),"Event-Driven Microservices, CQRS, SAGA, Axon, Spring Boot")</f>
        <v>Event-Driven Microservices, CQRS, SAGA, Axon, Spring Boot</v>
      </c>
    </row>
    <row r="416">
      <c r="A416" s="140" t="str">
        <f>IFERROR(__xludf.DUMMYFUNCTION("""COMPUTED_VALUE"""),"ja")</f>
        <v>ja</v>
      </c>
      <c r="B416">
        <f>IFERROR(__xludf.DUMMYFUNCTION("""COMPUTED_VALUE"""),1732004.0)</f>
        <v>1732004</v>
      </c>
      <c r="C416" t="str">
        <f>IFERROR(__xludf.DUMMYFUNCTION("""COMPUTED_VALUE"""),"【超初心者向け】Blenderでキャラクターをモデリングしてアンリアルエンジンで動かす講座【ハンズオン】")</f>
        <v>【超初心者向け】Blenderでキャラクターをモデリングしてアンリアルエンジンで動かす講座【ハンズオン】</v>
      </c>
    </row>
    <row r="417">
      <c r="A417" s="140" t="str">
        <f>IFERROR(__xludf.DUMMYFUNCTION("""COMPUTED_VALUE"""),"en")</f>
        <v>en</v>
      </c>
      <c r="B417">
        <f>IFERROR(__xludf.DUMMYFUNCTION("""COMPUTED_VALUE"""),655208.0)</f>
        <v>655208</v>
      </c>
      <c r="C417" t="str">
        <f>IFERROR(__xludf.DUMMYFUNCTION("""COMPUTED_VALUE"""),"The Ultimate 2D Game Character Design &amp; Animation Course")</f>
        <v>The Ultimate 2D Game Character Design &amp; Animation Course</v>
      </c>
    </row>
    <row r="418">
      <c r="A418" s="140" t="str">
        <f>IFERROR(__xludf.DUMMYFUNCTION("""COMPUTED_VALUE"""),"es")</f>
        <v>es</v>
      </c>
      <c r="B418">
        <f>IFERROR(__xludf.DUMMYFUNCTION("""COMPUTED_VALUE"""),1379334.0)</f>
        <v>1379334</v>
      </c>
      <c r="C418" t="str">
        <f>IFERROR(__xludf.DUMMYFUNCTION("""COMPUTED_VALUE"""),"Internet de las Cosas: una introducción al mundo conectado")</f>
        <v>Internet de las Cosas: una introducción al mundo conectado</v>
      </c>
    </row>
    <row r="419">
      <c r="A419" s="140" t="str">
        <f>IFERROR(__xludf.DUMMYFUNCTION("""COMPUTED_VALUE"""),"tr")</f>
        <v>tr</v>
      </c>
      <c r="B419">
        <f>IFERROR(__xludf.DUMMYFUNCTION("""COMPUTED_VALUE"""),2298744.0)</f>
        <v>2298744</v>
      </c>
      <c r="C419" t="str">
        <f>IFERROR(__xludf.DUMMYFUNCTION("""COMPUTED_VALUE"""),"Profesyonel Facebook &amp; Instagram Reklamcılığı 2019")</f>
        <v>Profesyonel Facebook &amp; Instagram Reklamcılığı 2019</v>
      </c>
    </row>
    <row r="420">
      <c r="A420" s="140" t="str">
        <f>IFERROR(__xludf.DUMMYFUNCTION("""COMPUTED_VALUE"""),"en")</f>
        <v>en</v>
      </c>
      <c r="B420">
        <f>IFERROR(__xludf.DUMMYFUNCTION("""COMPUTED_VALUE"""),501290.0)</f>
        <v>501290</v>
      </c>
      <c r="C420" t="str">
        <f>IFERROR(__xludf.DUMMYFUNCTION("""COMPUTED_VALUE"""),"Blender 3D Complete Volume One")</f>
        <v>Blender 3D Complete Volume One</v>
      </c>
    </row>
    <row r="421">
      <c r="A421" s="140" t="str">
        <f>IFERROR(__xludf.DUMMYFUNCTION("""COMPUTED_VALUE"""),"es")</f>
        <v>es</v>
      </c>
      <c r="B421">
        <f>IFERROR(__xludf.DUMMYFUNCTION("""COMPUTED_VALUE"""),2078702.0)</f>
        <v>2078702</v>
      </c>
      <c r="C421" t="str">
        <f>IFERROR(__xludf.DUMMYFUNCTION("""COMPUTED_VALUE"""),"Arduino 2 con IoT, Shield Ethernet, MQTT,ESP32 y MicroPython")</f>
        <v>Arduino 2 con IoT, Shield Ethernet, MQTT,ESP32 y MicroPython</v>
      </c>
    </row>
    <row r="422">
      <c r="A422" s="140" t="str">
        <f>IFERROR(__xludf.DUMMYFUNCTION("""COMPUTED_VALUE"""),"es")</f>
        <v>es</v>
      </c>
      <c r="B422">
        <f>IFERROR(__xludf.DUMMYFUNCTION("""COMPUTED_VALUE"""),1170804.0)</f>
        <v>1170804</v>
      </c>
      <c r="C422" t="str">
        <f>IFERROR(__xludf.DUMMYFUNCTION("""COMPUTED_VALUE"""),"Introducción a las Finanzas")</f>
        <v>Introducción a las Finanzas</v>
      </c>
    </row>
    <row r="423">
      <c r="A423" s="140" t="str">
        <f>IFERROR(__xludf.DUMMYFUNCTION("""COMPUTED_VALUE"""),"en")</f>
        <v>en</v>
      </c>
      <c r="B423">
        <f>IFERROR(__xludf.DUMMYFUNCTION("""COMPUTED_VALUE"""),606116.0)</f>
        <v>606116</v>
      </c>
      <c r="C423" t="str">
        <f>IFERROR(__xludf.DUMMYFUNCTION("""COMPUTED_VALUE"""),"Business Analysis Foundations: Learn All The Essentials")</f>
        <v>Business Analysis Foundations: Learn All The Essentials</v>
      </c>
    </row>
    <row r="424">
      <c r="A424" s="140" t="str">
        <f>IFERROR(__xludf.DUMMYFUNCTION("""COMPUTED_VALUE"""),"ko")</f>
        <v>ko</v>
      </c>
      <c r="B424">
        <f>IFERROR(__xludf.DUMMYFUNCTION("""COMPUTED_VALUE"""),4279110.0)</f>
        <v>4279110</v>
      </c>
      <c r="C424" t="str">
        <f>IFERROR(__xludf.DUMMYFUNCTION("""COMPUTED_VALUE"""),"영어는 왜 그 모양일까?")</f>
        <v>영어는 왜 그 모양일까?</v>
      </c>
    </row>
    <row r="425">
      <c r="A425" s="140" t="str">
        <f>IFERROR(__xludf.DUMMYFUNCTION("""COMPUTED_VALUE"""),"en")</f>
        <v>en</v>
      </c>
      <c r="B425">
        <f>IFERROR(__xludf.DUMMYFUNCTION("""COMPUTED_VALUE"""),810712.0)</f>
        <v>810712</v>
      </c>
      <c r="C425" t="str">
        <f>IFERROR(__xludf.DUMMYFUNCTION("""COMPUTED_VALUE"""),"Project Management Skills #1 - Financial Appraisal with NPV")</f>
        <v>Project Management Skills #1 - Financial Appraisal with NPV</v>
      </c>
    </row>
    <row r="426">
      <c r="A426" s="140" t="str">
        <f>IFERROR(__xludf.DUMMYFUNCTION("""COMPUTED_VALUE"""),"en")</f>
        <v>en</v>
      </c>
      <c r="B426">
        <f>IFERROR(__xludf.DUMMYFUNCTION("""COMPUTED_VALUE"""),1442446.0)</f>
        <v>1442446</v>
      </c>
      <c r="C426" t="str">
        <f>IFERROR(__xludf.DUMMYFUNCTION("""COMPUTED_VALUE"""),"Futuristic HUD Motion Graphics in After Effects")</f>
        <v>Futuristic HUD Motion Graphics in After Effects</v>
      </c>
    </row>
    <row r="427">
      <c r="A427" s="140" t="str">
        <f>IFERROR(__xludf.DUMMYFUNCTION("""COMPUTED_VALUE"""),"en")</f>
        <v>en</v>
      </c>
      <c r="B427">
        <f>IFERROR(__xludf.DUMMYFUNCTION("""COMPUTED_VALUE"""),1457292.0)</f>
        <v>1457292</v>
      </c>
      <c r="C427" t="str">
        <f>IFERROR(__xludf.DUMMYFUNCTION("""COMPUTED_VALUE"""),"HP LoadRunner 12.55")</f>
        <v>HP LoadRunner 12.55</v>
      </c>
    </row>
    <row r="428">
      <c r="A428" s="140" t="str">
        <f>IFERROR(__xludf.DUMMYFUNCTION("""COMPUTED_VALUE"""),"fr")</f>
        <v>fr</v>
      </c>
      <c r="B428">
        <f>IFERROR(__xludf.DUMMYFUNCTION("""COMPUTED_VALUE"""),2254928.0)</f>
        <v>2254928</v>
      </c>
      <c r="C428" t="str">
        <f>IFERROR(__xludf.DUMMYFUNCTION("""COMPUTED_VALUE"""),"Bootstrap en partant de Zéro")</f>
        <v>Bootstrap en partant de Zéro</v>
      </c>
    </row>
    <row r="429">
      <c r="A429" s="140" t="str">
        <f>IFERROR(__xludf.DUMMYFUNCTION("""COMPUTED_VALUE"""),"en")</f>
        <v>en</v>
      </c>
      <c r="B429">
        <f>IFERROR(__xludf.DUMMYFUNCTION("""COMPUTED_VALUE"""),720732.0)</f>
        <v>720732</v>
      </c>
      <c r="C429" t="str">
        <f>IFERROR(__xludf.DUMMYFUNCTION("""COMPUTED_VALUE"""),"How to Build Self-Discipline")</f>
        <v>How to Build Self-Discipline</v>
      </c>
    </row>
    <row r="430">
      <c r="A430" s="140" t="str">
        <f>IFERROR(__xludf.DUMMYFUNCTION("""COMPUTED_VALUE"""),"en")</f>
        <v>en</v>
      </c>
      <c r="B430">
        <f>IFERROR(__xludf.DUMMYFUNCTION("""COMPUTED_VALUE"""),3419398.0)</f>
        <v>3419398</v>
      </c>
      <c r="C430" t="str">
        <f>IFERROR(__xludf.DUMMYFUNCTION("""COMPUTED_VALUE"""),"Fundamentals of Simulation Modelling using Anylogic")</f>
        <v>Fundamentals of Simulation Modelling using Anylogic</v>
      </c>
    </row>
    <row r="431">
      <c r="A431" s="140" t="str">
        <f>IFERROR(__xludf.DUMMYFUNCTION("""COMPUTED_VALUE"""),"en")</f>
        <v>en</v>
      </c>
      <c r="B431">
        <f>IFERROR(__xludf.DUMMYFUNCTION("""COMPUTED_VALUE"""),1046104.0)</f>
        <v>1046104</v>
      </c>
      <c r="C431" t="str">
        <f>IFERROR(__xludf.DUMMYFUNCTION("""COMPUTED_VALUE"""),"Information Security Awareness-ISO 27001:2013")</f>
        <v>Information Security Awareness-ISO 27001:2013</v>
      </c>
    </row>
    <row r="432">
      <c r="A432" s="140" t="str">
        <f>IFERROR(__xludf.DUMMYFUNCTION("""COMPUTED_VALUE"""),"en")</f>
        <v>en</v>
      </c>
      <c r="B432">
        <f>IFERROR(__xludf.DUMMYFUNCTION("""COMPUTED_VALUE"""),301746.0)</f>
        <v>301746</v>
      </c>
      <c r="C432" t="str">
        <f>IFERROR(__xludf.DUMMYFUNCTION("""COMPUTED_VALUE"""),"Marketing Fundamentals - Small Business Marketing Success")</f>
        <v>Marketing Fundamentals - Small Business Marketing Success</v>
      </c>
    </row>
    <row r="433">
      <c r="A433" s="140" t="str">
        <f>IFERROR(__xludf.DUMMYFUNCTION("""COMPUTED_VALUE"""),"en")</f>
        <v>en</v>
      </c>
      <c r="B433">
        <f>IFERROR(__xludf.DUMMYFUNCTION("""COMPUTED_VALUE"""),2862896.0)</f>
        <v>2862896</v>
      </c>
      <c r="C433" t="str">
        <f>IFERROR(__xludf.DUMMYFUNCTION("""COMPUTED_VALUE"""),"Best Practices for Working Remotely")</f>
        <v>Best Practices for Working Remotely</v>
      </c>
    </row>
    <row r="434">
      <c r="A434" s="140" t="str">
        <f>IFERROR(__xludf.DUMMYFUNCTION("""COMPUTED_VALUE"""),"en")</f>
        <v>en</v>
      </c>
      <c r="B434">
        <f>IFERROR(__xludf.DUMMYFUNCTION("""COMPUTED_VALUE"""),345340.0)</f>
        <v>345340</v>
      </c>
      <c r="C434" t="str">
        <f>IFERROR(__xludf.DUMMYFUNCTION("""COMPUTED_VALUE"""),"Java Web Services")</f>
        <v>Java Web Services</v>
      </c>
    </row>
    <row r="435">
      <c r="A435" s="140" t="str">
        <f>IFERROR(__xludf.DUMMYFUNCTION("""COMPUTED_VALUE"""),"en")</f>
        <v>en</v>
      </c>
      <c r="B435">
        <f>IFERROR(__xludf.DUMMYFUNCTION("""COMPUTED_VALUE"""),1854836.0)</f>
        <v>1854836</v>
      </c>
      <c r="C435" t="str">
        <f>IFERROR(__xludf.DUMMYFUNCTION("""COMPUTED_VALUE"""),"Ultimate Rust Crash Course")</f>
        <v>Ultimate Rust Crash Course</v>
      </c>
    </row>
    <row r="436">
      <c r="A436" s="140" t="str">
        <f>IFERROR(__xludf.DUMMYFUNCTION("""COMPUTED_VALUE"""),"en")</f>
        <v>en</v>
      </c>
      <c r="B436">
        <f>IFERROR(__xludf.DUMMYFUNCTION("""COMPUTED_VALUE"""),3194992.0)</f>
        <v>3194992</v>
      </c>
      <c r="C436" t="str">
        <f>IFERROR(__xludf.DUMMYFUNCTION("""COMPUTED_VALUE"""),"ServiceNow ITSM Processes")</f>
        <v>ServiceNow ITSM Processes</v>
      </c>
    </row>
    <row r="437">
      <c r="A437" s="140" t="str">
        <f>IFERROR(__xludf.DUMMYFUNCTION("""COMPUTED_VALUE"""),"en")</f>
        <v>en</v>
      </c>
      <c r="B437">
        <f>IFERROR(__xludf.DUMMYFUNCTION("""COMPUTED_VALUE"""),1522478.0)</f>
        <v>1522478</v>
      </c>
      <c r="C437" t="str">
        <f>IFERROR(__xludf.DUMMYFUNCTION("""COMPUTED_VALUE"""),"Cisco CCNP Enterprise ( ENARSI + ENCOR ) Training")</f>
        <v>Cisco CCNP Enterprise ( ENARSI + ENCOR ) Training</v>
      </c>
    </row>
    <row r="438">
      <c r="A438" s="140" t="str">
        <f>IFERROR(__xludf.DUMMYFUNCTION("""COMPUTED_VALUE"""),"en")</f>
        <v>en</v>
      </c>
      <c r="B438">
        <f>IFERROR(__xludf.DUMMYFUNCTION("""COMPUTED_VALUE"""),826876.0)</f>
        <v>826876</v>
      </c>
      <c r="C438" t="str">
        <f>IFERROR(__xludf.DUMMYFUNCTION("""COMPUTED_VALUE"""),"Music + Audio Production in Logic Pro X - The Complete Guide")</f>
        <v>Music + Audio Production in Logic Pro X - The Complete Guide</v>
      </c>
    </row>
    <row r="439">
      <c r="A439" s="140" t="str">
        <f>IFERROR(__xludf.DUMMYFUNCTION("""COMPUTED_VALUE"""),"en")</f>
        <v>en</v>
      </c>
      <c r="B439">
        <f>IFERROR(__xludf.DUMMYFUNCTION("""COMPUTED_VALUE"""),2483772.0)</f>
        <v>2483772</v>
      </c>
      <c r="C439" t="str">
        <f>IFERROR(__xludf.DUMMYFUNCTION("""COMPUTED_VALUE"""),"Terraform Version 0.12 - Complete Guide on Microsoft Azure")</f>
        <v>Terraform Version 0.12 - Complete Guide on Microsoft Azure</v>
      </c>
    </row>
    <row r="440">
      <c r="A440" s="140" t="str">
        <f>IFERROR(__xludf.DUMMYFUNCTION("""COMPUTED_VALUE"""),"en")</f>
        <v>en</v>
      </c>
      <c r="B440">
        <f>IFERROR(__xludf.DUMMYFUNCTION("""COMPUTED_VALUE"""),2527106.0)</f>
        <v>2527106</v>
      </c>
      <c r="C440" t="str">
        <f>IFERROR(__xludf.DUMMYFUNCTION("""COMPUTED_VALUE"""),"Nodejs Express - unit testing/integration tests with Jest")</f>
        <v>Nodejs Express - unit testing/integration tests with Jest</v>
      </c>
    </row>
    <row r="441">
      <c r="A441" s="140" t="str">
        <f>IFERROR(__xludf.DUMMYFUNCTION("""COMPUTED_VALUE"""),"en")</f>
        <v>en</v>
      </c>
      <c r="B441">
        <f>IFERROR(__xludf.DUMMYFUNCTION("""COMPUTED_VALUE"""),509670.0)</f>
        <v>509670</v>
      </c>
      <c r="C441" t="str">
        <f>IFERROR(__xludf.DUMMYFUNCTION("""COMPUTED_VALUE"""),"Learn Step by Step Web Hacking and Penetration Testing")</f>
        <v>Learn Step by Step Web Hacking and Penetration Testing</v>
      </c>
    </row>
    <row r="442">
      <c r="A442" s="140" t="str">
        <f>IFERROR(__xludf.DUMMYFUNCTION("""COMPUTED_VALUE"""),"en")</f>
        <v>en</v>
      </c>
      <c r="B442">
        <f>IFERROR(__xludf.DUMMYFUNCTION("""COMPUTED_VALUE"""),479988.0)</f>
        <v>479988</v>
      </c>
      <c r="C442" t="str">
        <f>IFERROR(__xludf.DUMMYFUNCTION("""COMPUTED_VALUE"""),"Boost Your Career Success by Developing Your Soft Skills")</f>
        <v>Boost Your Career Success by Developing Your Soft Skills</v>
      </c>
    </row>
    <row r="443">
      <c r="A443" s="140" t="str">
        <f>IFERROR(__xludf.DUMMYFUNCTION("""COMPUTED_VALUE"""),"pt")</f>
        <v>pt</v>
      </c>
      <c r="B443">
        <f>IFERROR(__xludf.DUMMYFUNCTION("""COMPUTED_VALUE"""),2571422.0)</f>
        <v>2571422</v>
      </c>
      <c r="C443" t="str">
        <f>IFERROR(__xludf.DUMMYFUNCTION("""COMPUTED_VALUE"""),"Testes de aplicações modernas com Cypress")</f>
        <v>Testes de aplicações modernas com Cypress</v>
      </c>
    </row>
    <row r="444">
      <c r="A444" s="140" t="str">
        <f>IFERROR(__xludf.DUMMYFUNCTION("""COMPUTED_VALUE"""),"en")</f>
        <v>en</v>
      </c>
      <c r="B444">
        <f>IFERROR(__xludf.DUMMYFUNCTION("""COMPUTED_VALUE"""),1209412.0)</f>
        <v>1209412</v>
      </c>
      <c r="C444" t="str">
        <f>IFERROR(__xludf.DUMMYFUNCTION("""COMPUTED_VALUE"""),"Ansible for the Absolute Beginner - Hands-On - DevOps")</f>
        <v>Ansible for the Absolute Beginner - Hands-On - DevOps</v>
      </c>
    </row>
    <row r="445">
      <c r="A445" s="140" t="str">
        <f>IFERROR(__xludf.DUMMYFUNCTION("""COMPUTED_VALUE"""),"pt")</f>
        <v>pt</v>
      </c>
      <c r="B445">
        <f>IFERROR(__xludf.DUMMYFUNCTION("""COMPUTED_VALUE"""),2269618.0)</f>
        <v>2269618</v>
      </c>
      <c r="C445" t="str">
        <f>IFERROR(__xludf.DUMMYFUNCTION("""COMPUTED_VALUE"""),"Certificação Amazon AWS para Iniciantes 2021")</f>
        <v>Certificação Amazon AWS para Iniciantes 2021</v>
      </c>
    </row>
    <row r="446">
      <c r="A446" s="140" t="str">
        <f>IFERROR(__xludf.DUMMYFUNCTION("""COMPUTED_VALUE"""),"ja")</f>
        <v>ja</v>
      </c>
      <c r="B446">
        <f>IFERROR(__xludf.DUMMYFUNCTION("""COMPUTED_VALUE"""),3861830.0)</f>
        <v>3861830</v>
      </c>
      <c r="C446" t="str">
        <f>IFERROR(__xludf.DUMMYFUNCTION("""COMPUTED_VALUE"""),"【世界で1万人が受講！】ストレスマネジメント：40＋の簡単なストレス対処法")</f>
        <v>【世界で1万人が受講！】ストレスマネジメント：40＋の簡単なストレス対処法</v>
      </c>
    </row>
    <row r="447">
      <c r="A447" s="140" t="str">
        <f>IFERROR(__xludf.DUMMYFUNCTION("""COMPUTED_VALUE"""),"en")</f>
        <v>en</v>
      </c>
      <c r="B447">
        <f>IFERROR(__xludf.DUMMYFUNCTION("""COMPUTED_VALUE"""),836376.0)</f>
        <v>836376</v>
      </c>
      <c r="C447" t="str">
        <f>IFERROR(__xludf.DUMMYFUNCTION("""COMPUTED_VALUE"""),"Python for Absolute Beginners")</f>
        <v>Python for Absolute Beginners</v>
      </c>
    </row>
    <row r="448">
      <c r="A448" s="140" t="str">
        <f>IFERROR(__xludf.DUMMYFUNCTION("""COMPUTED_VALUE"""),"en")</f>
        <v>en</v>
      </c>
      <c r="B448">
        <f>IFERROR(__xludf.DUMMYFUNCTION("""COMPUTED_VALUE"""),2425894.0)</f>
        <v>2425894</v>
      </c>
      <c r="C448" t="str">
        <f>IFERROR(__xludf.DUMMYFUNCTION("""COMPUTED_VALUE"""),"Revit Architecture 2020-2021-2022 From Zero to Hero")</f>
        <v>Revit Architecture 2020-2021-2022 From Zero to Hero</v>
      </c>
    </row>
    <row r="449">
      <c r="A449" s="140" t="str">
        <f>IFERROR(__xludf.DUMMYFUNCTION("""COMPUTED_VALUE"""),"en")</f>
        <v>en</v>
      </c>
      <c r="B449">
        <f>IFERROR(__xludf.DUMMYFUNCTION("""COMPUTED_VALUE"""),246154.0)</f>
        <v>246154</v>
      </c>
      <c r="C449" t="str">
        <f>IFERROR(__xludf.DUMMYFUNCTION("""COMPUTED_VALUE"""),"Web Design for Beginners: Real World Coding in HTML &amp; CSS")</f>
        <v>Web Design for Beginners: Real World Coding in HTML &amp; CSS</v>
      </c>
    </row>
    <row r="450">
      <c r="A450" s="140" t="str">
        <f>IFERROR(__xludf.DUMMYFUNCTION("""COMPUTED_VALUE"""),"en")</f>
        <v>en</v>
      </c>
      <c r="B450">
        <f>IFERROR(__xludf.DUMMYFUNCTION("""COMPUTED_VALUE"""),3984552.0)</f>
        <v>3984552</v>
      </c>
      <c r="C450" t="str">
        <f>IFERROR(__xludf.DUMMYFUNCTION("""COMPUTED_VALUE"""),"Master Microservices with Java, Spring, Docker, Kubernetes")</f>
        <v>Master Microservices with Java, Spring, Docker, Kubernetes</v>
      </c>
    </row>
    <row r="451">
      <c r="A451" s="140" t="str">
        <f>IFERROR(__xludf.DUMMYFUNCTION("""COMPUTED_VALUE"""),"en")</f>
        <v>en</v>
      </c>
      <c r="B451">
        <f>IFERROR(__xludf.DUMMYFUNCTION("""COMPUTED_VALUE"""),958668.0)</f>
        <v>958668</v>
      </c>
      <c r="C451" t="str">
        <f>IFERROR(__xludf.DUMMYFUNCTION("""COMPUTED_VALUE"""),"Designing for 3D Printing with Fusion 360")</f>
        <v>Designing for 3D Printing with Fusion 360</v>
      </c>
    </row>
    <row r="452">
      <c r="A452" s="140" t="str">
        <f>IFERROR(__xludf.DUMMYFUNCTION("""COMPUTED_VALUE"""),"en")</f>
        <v>en</v>
      </c>
      <c r="B452">
        <f>IFERROR(__xludf.DUMMYFUNCTION("""COMPUTED_VALUE"""),751392.0)</f>
        <v>751392</v>
      </c>
      <c r="C452" t="str">
        <f>IFERROR(__xludf.DUMMYFUNCTION("""COMPUTED_VALUE"""),"Tableau for R Users - Explore Tableau and Embed R Code")</f>
        <v>Tableau for R Users - Explore Tableau and Embed R Code</v>
      </c>
    </row>
    <row r="453">
      <c r="A453" s="140" t="str">
        <f>IFERROR(__xludf.DUMMYFUNCTION("""COMPUTED_VALUE"""),"en")</f>
        <v>en</v>
      </c>
      <c r="B453">
        <f>IFERROR(__xludf.DUMMYFUNCTION("""COMPUTED_VALUE"""),815474.0)</f>
        <v>815474</v>
      </c>
      <c r="C453" t="str">
        <f>IFERROR(__xludf.DUMMYFUNCTION("""COMPUTED_VALUE"""),"Master Cognitive Biases and Improve Your Critical Thinking")</f>
        <v>Master Cognitive Biases and Improve Your Critical Thinking</v>
      </c>
    </row>
    <row r="454">
      <c r="A454" s="140" t="str">
        <f>IFERROR(__xludf.DUMMYFUNCTION("""COMPUTED_VALUE"""),"en")</f>
        <v>en</v>
      </c>
      <c r="B454">
        <f>IFERROR(__xludf.DUMMYFUNCTION("""COMPUTED_VALUE"""),383414.0)</f>
        <v>383414</v>
      </c>
      <c r="C454" t="str">
        <f>IFERROR(__xludf.DUMMYFUNCTION("""COMPUTED_VALUE"""),"Beginner to Pro in PowerPoint: Complete PowerPoint Training")</f>
        <v>Beginner to Pro in PowerPoint: Complete PowerPoint Training</v>
      </c>
    </row>
    <row r="455">
      <c r="A455" s="140" t="str">
        <f>IFERROR(__xludf.DUMMYFUNCTION("""COMPUTED_VALUE"""),"tr")</f>
        <v>tr</v>
      </c>
      <c r="B455">
        <f>IFERROR(__xludf.DUMMYFUNCTION("""COMPUTED_VALUE"""),3118920.0)</f>
        <v>3118920</v>
      </c>
      <c r="C455" t="str">
        <f>IFERROR(__xludf.DUMMYFUNCTION("""COMPUTED_VALUE"""),".Net Core Web Api &amp; Angular ile Proje Geliştirme Kursu")</f>
        <v>.Net Core Web Api &amp; Angular ile Proje Geliştirme Kursu</v>
      </c>
    </row>
    <row r="456">
      <c r="A456" s="140" t="str">
        <f>IFERROR(__xludf.DUMMYFUNCTION("""COMPUTED_VALUE"""),"es")</f>
        <v>es</v>
      </c>
      <c r="B456">
        <f>IFERROR(__xludf.DUMMYFUNCTION("""COMPUTED_VALUE"""),2134768.0)</f>
        <v>2134768</v>
      </c>
      <c r="C456" t="str">
        <f>IFERROR(__xludf.DUMMYFUNCTION("""COMPUTED_VALUE"""),"Alemán A2 - Para principiantes con conocimientos previos")</f>
        <v>Alemán A2 - Para principiantes con conocimientos previos</v>
      </c>
    </row>
    <row r="457">
      <c r="A457" s="140" t="str">
        <f>IFERROR(__xludf.DUMMYFUNCTION("""COMPUTED_VALUE"""),"ar")</f>
        <v>ar</v>
      </c>
      <c r="B457">
        <f>IFERROR(__xludf.DUMMYFUNCTION("""COMPUTED_VALUE"""),2713854.0)</f>
        <v>2713854</v>
      </c>
      <c r="C457" t="str">
        <f>IFERROR(__xludf.DUMMYFUNCTION("""COMPUTED_VALUE"""),"Human Resources إدارة الموارد البشرية للمديرين ورجال الأعمال")</f>
        <v>Human Resources إدارة الموارد البشرية للمديرين ورجال الأعمال</v>
      </c>
    </row>
    <row r="458">
      <c r="A458" s="140" t="str">
        <f>IFERROR(__xludf.DUMMYFUNCTION("""COMPUTED_VALUE"""),"es")</f>
        <v>es</v>
      </c>
      <c r="B458">
        <f>IFERROR(__xludf.DUMMYFUNCTION("""COMPUTED_VALUE"""),1606018.0)</f>
        <v>1606018</v>
      </c>
      <c r="C458" t="str">
        <f>IFERROR(__xludf.DUMMYFUNCTION("""COMPUTED_VALUE"""),"Curso completo de Machine Learning: Data Science en Python")</f>
        <v>Curso completo de Machine Learning: Data Science en Python</v>
      </c>
    </row>
    <row r="459">
      <c r="A459" s="140" t="str">
        <f>IFERROR(__xludf.DUMMYFUNCTION("""COMPUTED_VALUE"""),"ja")</f>
        <v>ja</v>
      </c>
      <c r="B459">
        <f>IFERROR(__xludf.DUMMYFUNCTION("""COMPUTED_VALUE"""),2200934.0)</f>
        <v>2200934</v>
      </c>
      <c r="C459" t="str">
        <f>IFERROR(__xludf.DUMMYFUNCTION("""COMPUTED_VALUE"""),"【WEBデザイン入門】プログラミング不要！Wixで本格的なWEBサイトを作ろう！サイト作成・公開・SEO対策まで。")</f>
        <v>【WEBデザイン入門】プログラミング不要！Wixで本格的なWEBサイトを作ろう！サイト作成・公開・SEO対策まで。</v>
      </c>
    </row>
    <row r="460">
      <c r="A460" s="140" t="str">
        <f>IFERROR(__xludf.DUMMYFUNCTION("""COMPUTED_VALUE"""),"es")</f>
        <v>es</v>
      </c>
      <c r="B460">
        <f>IFERROR(__xludf.DUMMYFUNCTION("""COMPUTED_VALUE"""),2814243.0)</f>
        <v>2814243</v>
      </c>
      <c r="C460" t="str">
        <f>IFERROR(__xludf.DUMMYFUNCTION("""COMPUTED_VALUE"""),"Master en TypeScript, JavaScript Moderno, ES2021, APIs HTML5")</f>
        <v>Master en TypeScript, JavaScript Moderno, ES2021, APIs HTML5</v>
      </c>
    </row>
    <row r="461">
      <c r="A461" s="140" t="str">
        <f>IFERROR(__xludf.DUMMYFUNCTION("""COMPUTED_VALUE"""),"tr")</f>
        <v>tr</v>
      </c>
      <c r="B461">
        <f>IFERROR(__xludf.DUMMYFUNCTION("""COMPUTED_VALUE"""),3341654.0)</f>
        <v>3341654</v>
      </c>
      <c r="C461" t="str">
        <f>IFERROR(__xludf.DUMMYFUNCTION("""COMPUTED_VALUE"""),"Azure Functions(Serverless) + .Net Core")</f>
        <v>Azure Functions(Serverless) + .Net Core</v>
      </c>
    </row>
    <row r="462">
      <c r="A462" s="140" t="str">
        <f>IFERROR(__xludf.DUMMYFUNCTION("""COMPUTED_VALUE"""),"en")</f>
        <v>en</v>
      </c>
      <c r="B462">
        <f>IFERROR(__xludf.DUMMYFUNCTION("""COMPUTED_VALUE"""),1341536.0)</f>
        <v>1341536</v>
      </c>
      <c r="C462" t="str">
        <f>IFERROR(__xludf.DUMMYFUNCTION("""COMPUTED_VALUE"""),"MikroTik Hotspot with User Manager")</f>
        <v>MikroTik Hotspot with User Manager</v>
      </c>
    </row>
    <row r="463">
      <c r="A463" s="140" t="str">
        <f>IFERROR(__xludf.DUMMYFUNCTION("""COMPUTED_VALUE"""),"de")</f>
        <v>de</v>
      </c>
      <c r="B463">
        <f>IFERROR(__xludf.DUMMYFUNCTION("""COMPUTED_VALUE"""),1597208.0)</f>
        <v>1597208</v>
      </c>
      <c r="C463" t="str">
        <f>IFERROR(__xludf.DUMMYFUNCTION("""COMPUTED_VALUE"""),"Excel Datenvisualisierung - Excel Diagramme &amp; Karten")</f>
        <v>Excel Datenvisualisierung - Excel Diagramme &amp; Karten</v>
      </c>
    </row>
    <row r="464">
      <c r="A464" s="140" t="str">
        <f>IFERROR(__xludf.DUMMYFUNCTION("""COMPUTED_VALUE"""),"es")</f>
        <v>es</v>
      </c>
      <c r="B464">
        <f>IFERROR(__xludf.DUMMYFUNCTION("""COMPUTED_VALUE"""),1803250.0)</f>
        <v>1803250</v>
      </c>
      <c r="C464" t="str">
        <f>IFERROR(__xludf.DUMMYFUNCTION("""COMPUTED_VALUE"""),"Autoestima y manejo de emociones. Crea tu propia autoimagen.")</f>
        <v>Autoestima y manejo de emociones. Crea tu propia autoimagen.</v>
      </c>
    </row>
    <row r="465">
      <c r="A465" s="140" t="str">
        <f>IFERROR(__xludf.DUMMYFUNCTION("""COMPUTED_VALUE"""),"en")</f>
        <v>en</v>
      </c>
      <c r="B465">
        <f>IFERROR(__xludf.DUMMYFUNCTION("""COMPUTED_VALUE"""),896704.0)</f>
        <v>896704</v>
      </c>
      <c r="C465" t="str">
        <f>IFERROR(__xludf.DUMMYFUNCTION("""COMPUTED_VALUE"""),"Scrum and Agile Basics - Theory,  Certification Tips")</f>
        <v>Scrum and Agile Basics - Theory,  Certification Tips</v>
      </c>
    </row>
    <row r="466">
      <c r="A466" s="140" t="str">
        <f>IFERROR(__xludf.DUMMYFUNCTION("""COMPUTED_VALUE"""),"en")</f>
        <v>en</v>
      </c>
      <c r="B466">
        <f>IFERROR(__xludf.DUMMYFUNCTION("""COMPUTED_VALUE"""),4230404.0)</f>
        <v>4230404</v>
      </c>
      <c r="C466" t="str">
        <f>IFERROR(__xludf.DUMMYFUNCTION("""COMPUTED_VALUE"""),"Python for Finance and Algorithmic Trading with QuantConnect")</f>
        <v>Python for Finance and Algorithmic Trading with QuantConnect</v>
      </c>
    </row>
    <row r="467">
      <c r="A467" s="140" t="str">
        <f>IFERROR(__xludf.DUMMYFUNCTION("""COMPUTED_VALUE"""),"en")</f>
        <v>en</v>
      </c>
      <c r="B467">
        <f>IFERROR(__xludf.DUMMYFUNCTION("""COMPUTED_VALUE"""),358062.0)</f>
        <v>358062</v>
      </c>
      <c r="C467" t="str">
        <f>IFERROR(__xludf.DUMMYFUNCTION("""COMPUTED_VALUE"""),"Financial Modeling: Build a Complete DCF Valuation Model")</f>
        <v>Financial Modeling: Build a Complete DCF Valuation Model</v>
      </c>
    </row>
    <row r="468">
      <c r="A468" s="140" t="str">
        <f>IFERROR(__xludf.DUMMYFUNCTION("""COMPUTED_VALUE"""),"en")</f>
        <v>en</v>
      </c>
      <c r="B468">
        <f>IFERROR(__xludf.DUMMYFUNCTION("""COMPUTED_VALUE"""),2983406.0)</f>
        <v>2983406</v>
      </c>
      <c r="C468" t="str">
        <f>IFERROR(__xludf.DUMMYFUNCTION("""COMPUTED_VALUE"""),"AWS Certified Cloud Practitioner - Essentials Course-2021")</f>
        <v>AWS Certified Cloud Practitioner - Essentials Course-2021</v>
      </c>
    </row>
    <row r="469">
      <c r="A469" s="140" t="str">
        <f>IFERROR(__xludf.DUMMYFUNCTION("""COMPUTED_VALUE"""),"en")</f>
        <v>en</v>
      </c>
      <c r="B469">
        <f>IFERROR(__xludf.DUMMYFUNCTION("""COMPUTED_VALUE"""),416542.0)</f>
        <v>416542</v>
      </c>
      <c r="C469" t="str">
        <f>IFERROR(__xludf.DUMMYFUNCTION("""COMPUTED_VALUE"""),"Learn Adobe InDesign: Design a Magazine and More in InDesign")</f>
        <v>Learn Adobe InDesign: Design a Magazine and More in InDesign</v>
      </c>
    </row>
    <row r="470">
      <c r="A470" s="140" t="str">
        <f>IFERROR(__xludf.DUMMYFUNCTION("""COMPUTED_VALUE"""),"es")</f>
        <v>es</v>
      </c>
      <c r="B470">
        <f>IFERROR(__xludf.DUMMYFUNCTION("""COMPUTED_VALUE"""),3808932.0)</f>
        <v>3808932</v>
      </c>
      <c r="C470" t="str">
        <f>IFERROR(__xludf.DUMMYFUNCTION("""COMPUTED_VALUE"""),"Liderazgo y Felicidad en el Trabajo")</f>
        <v>Liderazgo y Felicidad en el Trabajo</v>
      </c>
    </row>
    <row r="471">
      <c r="A471" s="140" t="str">
        <f>IFERROR(__xludf.DUMMYFUNCTION("""COMPUTED_VALUE"""),"es")</f>
        <v>es</v>
      </c>
      <c r="B471">
        <f>IFERROR(__xludf.DUMMYFUNCTION("""COMPUTED_VALUE"""),3971238.0)</f>
        <v>3971238</v>
      </c>
      <c r="C471" t="str">
        <f>IFERROR(__xludf.DUMMYFUNCTION("""COMPUTED_VALUE"""),"Crea un Ecommerce con Laravel, Livewire, Tailwind y Alpine")</f>
        <v>Crea un Ecommerce con Laravel, Livewire, Tailwind y Alpine</v>
      </c>
    </row>
    <row r="472">
      <c r="A472" s="140" t="str">
        <f>IFERROR(__xludf.DUMMYFUNCTION("""COMPUTED_VALUE"""),"en")</f>
        <v>en</v>
      </c>
      <c r="B472">
        <f>IFERROR(__xludf.DUMMYFUNCTION("""COMPUTED_VALUE"""),1085088.0)</f>
        <v>1085088</v>
      </c>
      <c r="C472" t="str">
        <f>IFERROR(__xludf.DUMMYFUNCTION("""COMPUTED_VALUE"""),"Business Analysis: Function Modelling Using IDEF0")</f>
        <v>Business Analysis: Function Modelling Using IDEF0</v>
      </c>
    </row>
    <row r="473">
      <c r="A473" s="140" t="str">
        <f>IFERROR(__xludf.DUMMYFUNCTION("""COMPUTED_VALUE"""),"en")</f>
        <v>en</v>
      </c>
      <c r="B473">
        <f>IFERROR(__xludf.DUMMYFUNCTION("""COMPUTED_VALUE"""),2509634.0)</f>
        <v>2509634</v>
      </c>
      <c r="C473" t="str">
        <f>IFERROR(__xludf.DUMMYFUNCTION("""COMPUTED_VALUE"""),"The Ultimate Character Drawing Course - Beginner to Advanced")</f>
        <v>The Ultimate Character Drawing Course - Beginner to Advanced</v>
      </c>
    </row>
    <row r="474">
      <c r="A474" s="140" t="str">
        <f>IFERROR(__xludf.DUMMYFUNCTION("""COMPUTED_VALUE"""),"de")</f>
        <v>de</v>
      </c>
      <c r="B474">
        <f>IFERROR(__xludf.DUMMYFUNCTION("""COMPUTED_VALUE"""),991338.0)</f>
        <v>991338</v>
      </c>
      <c r="C474" t="str">
        <f>IFERROR(__xludf.DUMMYFUNCTION("""COMPUTED_VALUE"""),"Einführung Statistik und Wahrscheinlichkeitsrechnung")</f>
        <v>Einführung Statistik und Wahrscheinlichkeitsrechnung</v>
      </c>
    </row>
    <row r="475">
      <c r="A475" s="140" t="str">
        <f>IFERROR(__xludf.DUMMYFUNCTION("""COMPUTED_VALUE"""),"de")</f>
        <v>de</v>
      </c>
      <c r="B475">
        <f>IFERROR(__xludf.DUMMYFUNCTION("""COMPUTED_VALUE"""),794960.0)</f>
        <v>794960</v>
      </c>
      <c r="C475" t="str">
        <f>IFERROR(__xludf.DUMMYFUNCTION("""COMPUTED_VALUE"""),"Programmieren lernen: Swift von A bis Z")</f>
        <v>Programmieren lernen: Swift von A bis Z</v>
      </c>
    </row>
    <row r="476">
      <c r="A476" s="140" t="str">
        <f>IFERROR(__xludf.DUMMYFUNCTION("""COMPUTED_VALUE"""),"en")</f>
        <v>en</v>
      </c>
      <c r="B476">
        <f>IFERROR(__xludf.DUMMYFUNCTION("""COMPUTED_VALUE"""),733542.0)</f>
        <v>733542</v>
      </c>
      <c r="C476" t="str">
        <f>IFERROR(__xludf.DUMMYFUNCTION("""COMPUTED_VALUE"""),"Making Sense of User Stories")</f>
        <v>Making Sense of User Stories</v>
      </c>
    </row>
    <row r="477">
      <c r="A477" s="140" t="str">
        <f>IFERROR(__xludf.DUMMYFUNCTION("""COMPUTED_VALUE"""),"en")</f>
        <v>en</v>
      </c>
      <c r="B477">
        <f>IFERROR(__xludf.DUMMYFUNCTION("""COMPUTED_VALUE"""),279002.0)</f>
        <v>279002</v>
      </c>
      <c r="C477" t="str">
        <f>IFERROR(__xludf.DUMMYFUNCTION("""COMPUTED_VALUE"""),"Appium - Mobile Testing with Latest 1.22 and Live Projects")</f>
        <v>Appium - Mobile Testing with Latest 1.22 and Live Projects</v>
      </c>
    </row>
    <row r="478">
      <c r="A478" s="140" t="str">
        <f>IFERROR(__xludf.DUMMYFUNCTION("""COMPUTED_VALUE"""),"en")</f>
        <v>en</v>
      </c>
      <c r="B478">
        <f>IFERROR(__xludf.DUMMYFUNCTION("""COMPUTED_VALUE"""),3957970.0)</f>
        <v>3957970</v>
      </c>
      <c r="C478" t="str">
        <f>IFERROR(__xludf.DUMMYFUNCTION("""COMPUTED_VALUE"""),"Optimization with Python: Solve Operations Research Problems")</f>
        <v>Optimization with Python: Solve Operations Research Problems</v>
      </c>
    </row>
    <row r="479">
      <c r="A479" s="140" t="str">
        <f>IFERROR(__xludf.DUMMYFUNCTION("""COMPUTED_VALUE"""),"pt")</f>
        <v>pt</v>
      </c>
      <c r="B479">
        <f>IFERROR(__xludf.DUMMYFUNCTION("""COMPUTED_VALUE"""),841714.0)</f>
        <v>841714</v>
      </c>
      <c r="C479" t="str">
        <f>IFERROR(__xludf.DUMMYFUNCTION("""COMPUTED_VALUE"""),"G Suite do Google - Seja o profissional do futuro hoje!")</f>
        <v>G Suite do Google - Seja o profissional do futuro hoje!</v>
      </c>
    </row>
    <row r="480">
      <c r="A480" s="140" t="str">
        <f>IFERROR(__xludf.DUMMYFUNCTION("""COMPUTED_VALUE"""),"pt")</f>
        <v>pt</v>
      </c>
      <c r="B480">
        <f>IFERROR(__xludf.DUMMYFUNCTION("""COMPUTED_VALUE"""),3392888.0)</f>
        <v>3392888</v>
      </c>
      <c r="C480" t="str">
        <f>IFERROR(__xludf.DUMMYFUNCTION("""COMPUTED_VALUE"""),"Orquestração de Containers com Kubernetes")</f>
        <v>Orquestração de Containers com Kubernetes</v>
      </c>
    </row>
    <row r="481">
      <c r="A481" s="140" t="str">
        <f>IFERROR(__xludf.DUMMYFUNCTION("""COMPUTED_VALUE"""),"pt")</f>
        <v>pt</v>
      </c>
      <c r="B481">
        <f>IFERROR(__xludf.DUMMYFUNCTION("""COMPUTED_VALUE"""),1142034.0)</f>
        <v>1142034</v>
      </c>
      <c r="C481" t="str">
        <f>IFERROR(__xludf.DUMMYFUNCTION("""COMPUTED_VALUE"""),"Criando Apresentações Dinâmicas e Interativas com PowerPoint")</f>
        <v>Criando Apresentações Dinâmicas e Interativas com PowerPoint</v>
      </c>
    </row>
    <row r="482">
      <c r="A482" s="140" t="str">
        <f>IFERROR(__xludf.DUMMYFUNCTION("""COMPUTED_VALUE"""),"en")</f>
        <v>en</v>
      </c>
      <c r="B482">
        <f>IFERROR(__xludf.DUMMYFUNCTION("""COMPUTED_VALUE"""),2513790.0)</f>
        <v>2513790</v>
      </c>
      <c r="C482" t="str">
        <f>IFERROR(__xludf.DUMMYFUNCTION("""COMPUTED_VALUE"""),"Agile Scrum Training: Scrum Master+Agile Project Management")</f>
        <v>Agile Scrum Training: Scrum Master+Agile Project Management</v>
      </c>
    </row>
    <row r="483">
      <c r="A483" s="140" t="str">
        <f>IFERROR(__xludf.DUMMYFUNCTION("""COMPUTED_VALUE"""),"en")</f>
        <v>en</v>
      </c>
      <c r="B483">
        <f>IFERROR(__xludf.DUMMYFUNCTION("""COMPUTED_VALUE"""),1428494.0)</f>
        <v>1428494</v>
      </c>
      <c r="C483" t="str">
        <f>IFERROR(__xludf.DUMMYFUNCTION("""COMPUTED_VALUE"""),"Blue Prism Foundation Course")</f>
        <v>Blue Prism Foundation Course</v>
      </c>
    </row>
    <row r="484">
      <c r="A484" s="140" t="str">
        <f>IFERROR(__xludf.DUMMYFUNCTION("""COMPUTED_VALUE"""),"fr")</f>
        <v>fr</v>
      </c>
      <c r="B484">
        <f>IFERROR(__xludf.DUMMYFUNCTION("""COMPUTED_VALUE"""),2637606.0)</f>
        <v>2637606</v>
      </c>
      <c r="C484" t="str">
        <f>IFERROR(__xludf.DUMMYFUNCTION("""COMPUTED_VALUE"""),"Microsoft Power BI : créez votre 1er rapport en une heure !")</f>
        <v>Microsoft Power BI : créez votre 1er rapport en une heure !</v>
      </c>
    </row>
    <row r="485">
      <c r="A485" s="140" t="str">
        <f>IFERROR(__xludf.DUMMYFUNCTION("""COMPUTED_VALUE"""),"en")</f>
        <v>en</v>
      </c>
      <c r="B485">
        <f>IFERROR(__xludf.DUMMYFUNCTION("""COMPUTED_VALUE"""),3323862.0)</f>
        <v>3323862</v>
      </c>
      <c r="C485" t="str">
        <f>IFERROR(__xludf.DUMMYFUNCTION("""COMPUTED_VALUE"""),"Travel Management Course (Skill-Based)")</f>
        <v>Travel Management Course (Skill-Based)</v>
      </c>
    </row>
    <row r="486">
      <c r="A486" s="140" t="str">
        <f>IFERROR(__xludf.DUMMYFUNCTION("""COMPUTED_VALUE"""),"ja")</f>
        <v>ja</v>
      </c>
      <c r="B486">
        <f>IFERROR(__xludf.DUMMYFUNCTION("""COMPUTED_VALUE"""),3871266.0)</f>
        <v>3871266</v>
      </c>
      <c r="C486" t="str">
        <f>IFERROR(__xludf.DUMMYFUNCTION("""COMPUTED_VALUE"""),"【世界で1.4万人が受講！】リモートでの上手なチーム採用とマネジメント方法とは？")</f>
        <v>【世界で1.4万人が受講！】リモートでの上手なチーム採用とマネジメント方法とは？</v>
      </c>
    </row>
    <row r="487">
      <c r="A487" s="140" t="str">
        <f>IFERROR(__xludf.DUMMYFUNCTION("""COMPUTED_VALUE"""),"en")</f>
        <v>en</v>
      </c>
      <c r="B487">
        <f>IFERROR(__xludf.DUMMYFUNCTION("""COMPUTED_VALUE"""),1183830.0)</f>
        <v>1183830</v>
      </c>
      <c r="C487" t="str">
        <f>IFERROR(__xludf.DUMMYFUNCTION("""COMPUTED_VALUE"""),"Growth hacks for entrepreneurs")</f>
        <v>Growth hacks for entrepreneurs</v>
      </c>
    </row>
    <row r="488">
      <c r="A488" s="140" t="str">
        <f>IFERROR(__xludf.DUMMYFUNCTION("""COMPUTED_VALUE"""),"en")</f>
        <v>en</v>
      </c>
      <c r="B488">
        <f>IFERROR(__xludf.DUMMYFUNCTION("""COMPUTED_VALUE"""),3281564.0)</f>
        <v>3281564</v>
      </c>
      <c r="C488" t="str">
        <f>IFERROR(__xludf.DUMMYFUNCTION("""COMPUTED_VALUE"""),"Power BI DAX Masterclass - Measures &amp; Calculated Columns")</f>
        <v>Power BI DAX Masterclass - Measures &amp; Calculated Columns</v>
      </c>
    </row>
    <row r="489">
      <c r="A489" s="140" t="str">
        <f>IFERROR(__xludf.DUMMYFUNCTION("""COMPUTED_VALUE"""),"ja")</f>
        <v>ja</v>
      </c>
      <c r="B489">
        <f>IFERROR(__xludf.DUMMYFUNCTION("""COMPUTED_VALUE"""),3880490.0)</f>
        <v>3880490</v>
      </c>
      <c r="C489" t="str">
        <f>IFERROR(__xludf.DUMMYFUNCTION("""COMPUTED_VALUE"""),"Affinity Photo iPad版でプロ並みの合成画像を作る！実践講座")</f>
        <v>Affinity Photo iPad版でプロ並みの合成画像を作る！実践講座</v>
      </c>
    </row>
    <row r="490">
      <c r="A490" s="140" t="str">
        <f>IFERROR(__xludf.DUMMYFUNCTION("""COMPUTED_VALUE"""),"de")</f>
        <v>de</v>
      </c>
      <c r="B490">
        <f>IFERROR(__xludf.DUMMYFUNCTION("""COMPUTED_VALUE"""),1143910.0)</f>
        <v>1143910</v>
      </c>
      <c r="C490" t="str">
        <f>IFERROR(__xludf.DUMMYFUNCTION("""COMPUTED_VALUE"""),"Matlab Grundlagen")</f>
        <v>Matlab Grundlagen</v>
      </c>
    </row>
    <row r="491">
      <c r="A491" s="140" t="str">
        <f>IFERROR(__xludf.DUMMYFUNCTION("""COMPUTED_VALUE"""),"pt")</f>
        <v>pt</v>
      </c>
      <c r="B491">
        <f>IFERROR(__xludf.DUMMYFUNCTION("""COMPUTED_VALUE"""),1951682.0)</f>
        <v>1951682</v>
      </c>
      <c r="C491" t="str">
        <f>IFERROR(__xludf.DUMMYFUNCTION("""COMPUTED_VALUE"""),"Bootcamp Cientista de Dados: 10 aplicações Web Completas")</f>
        <v>Bootcamp Cientista de Dados: 10 aplicações Web Completas</v>
      </c>
    </row>
    <row r="492">
      <c r="A492" s="140" t="str">
        <f>IFERROR(__xludf.DUMMYFUNCTION("""COMPUTED_VALUE"""),"es")</f>
        <v>es</v>
      </c>
      <c r="B492">
        <f>IFERROR(__xludf.DUMMYFUNCTION("""COMPUTED_VALUE"""),1201392.0)</f>
        <v>1201392</v>
      </c>
      <c r="C492" t="str">
        <f>IFERROR(__xludf.DUMMYFUNCTION("""COMPUTED_VALUE"""),"Master avanzado en desarrollo iOS y Swift: sé un profesional")</f>
        <v>Master avanzado en desarrollo iOS y Swift: sé un profesional</v>
      </c>
    </row>
    <row r="493">
      <c r="A493" s="140" t="str">
        <f>IFERROR(__xludf.DUMMYFUNCTION("""COMPUTED_VALUE"""),"es")</f>
        <v>es</v>
      </c>
      <c r="B493">
        <f>IFERROR(__xludf.DUMMYFUNCTION("""COMPUTED_VALUE"""),2808871.0)</f>
        <v>2808871</v>
      </c>
      <c r="C493" t="str">
        <f>IFERROR(__xludf.DUMMYFUNCTION("""COMPUTED_VALUE"""),"Desarrollo web. CSS desde cero. Edición 2020")</f>
        <v>Desarrollo web. CSS desde cero. Edición 2020</v>
      </c>
    </row>
    <row r="494">
      <c r="A494" s="140" t="str">
        <f>IFERROR(__xludf.DUMMYFUNCTION("""COMPUTED_VALUE"""),"fr")</f>
        <v>fr</v>
      </c>
      <c r="B494">
        <f>IFERROR(__xludf.DUMMYFUNCTION("""COMPUTED_VALUE"""),1016706.0)</f>
        <v>1016706</v>
      </c>
      <c r="C494" t="str">
        <f>IFERROR(__xludf.DUMMYFUNCTION("""COMPUTED_VALUE"""),"Programme Complet de Musculation, de Force et d'Endurance")</f>
        <v>Programme Complet de Musculation, de Force et d'Endurance</v>
      </c>
    </row>
    <row r="495">
      <c r="A495" s="140" t="str">
        <f>IFERROR(__xludf.DUMMYFUNCTION("""COMPUTED_VALUE"""),"en")</f>
        <v>en</v>
      </c>
      <c r="B495">
        <f>IFERROR(__xludf.DUMMYFUNCTION("""COMPUTED_VALUE"""),2108272.0)</f>
        <v>2108272</v>
      </c>
      <c r="C495" t="str">
        <f>IFERROR(__xludf.DUMMYFUNCTION("""COMPUTED_VALUE"""),"Time Management Mastery: Do More, Stress Less")</f>
        <v>Time Management Mastery: Do More, Stress Less</v>
      </c>
    </row>
    <row r="496">
      <c r="A496" s="140" t="str">
        <f>IFERROR(__xludf.DUMMYFUNCTION("""COMPUTED_VALUE"""),"pt")</f>
        <v>pt</v>
      </c>
      <c r="B496">
        <f>IFERROR(__xludf.DUMMYFUNCTION("""COMPUTED_VALUE"""),693522.0)</f>
        <v>693522</v>
      </c>
      <c r="C496" t="str">
        <f>IFERROR(__xludf.DUMMYFUNCTION("""COMPUTED_VALUE"""),"Começando com Android - Crie 6 Apps")</f>
        <v>Começando com Android - Crie 6 Apps</v>
      </c>
    </row>
    <row r="497">
      <c r="A497" s="140" t="str">
        <f>IFERROR(__xludf.DUMMYFUNCTION("""COMPUTED_VALUE"""),"es")</f>
        <v>es</v>
      </c>
      <c r="B497">
        <f>IFERROR(__xludf.DUMMYFUNCTION("""COMPUTED_VALUE"""),3623532.0)</f>
        <v>3623532</v>
      </c>
      <c r="C497" t="str">
        <f>IFERROR(__xludf.DUMMYFUNCTION("""COMPUTED_VALUE"""),"Aprende a crear una plataforma de cursos con Laravel")</f>
        <v>Aprende a crear una plataforma de cursos con Laravel</v>
      </c>
    </row>
    <row r="498">
      <c r="A498" s="140" t="str">
        <f>IFERROR(__xludf.DUMMYFUNCTION("""COMPUTED_VALUE"""),"ja")</f>
        <v>ja</v>
      </c>
      <c r="B498">
        <f>IFERROR(__xludf.DUMMYFUNCTION("""COMPUTED_VALUE"""),3978258.0)</f>
        <v>3978258</v>
      </c>
      <c r="C498" t="str">
        <f>IFERROR(__xludf.DUMMYFUNCTION("""COMPUTED_VALUE"""),"【はじめてのマクロ】エクセル作業を自動化する VBA の基本マスターコース")</f>
        <v>【はじめてのマクロ】エクセル作業を自動化する VBA の基本マスターコース</v>
      </c>
    </row>
    <row r="499">
      <c r="A499" s="140" t="str">
        <f>IFERROR(__xludf.DUMMYFUNCTION("""COMPUTED_VALUE"""),"es")</f>
        <v>es</v>
      </c>
      <c r="B499">
        <f>IFERROR(__xludf.DUMMYFUNCTION("""COMPUTED_VALUE"""),177906.0)</f>
        <v>177906</v>
      </c>
      <c r="C499" t="str">
        <f>IFERROR(__xludf.DUMMYFUNCTION("""COMPUTED_VALUE"""),"Curso Completo Consultor SAP MM desde Cero")</f>
        <v>Curso Completo Consultor SAP MM desde Cero</v>
      </c>
    </row>
    <row r="500">
      <c r="A500" s="140" t="str">
        <f>IFERROR(__xludf.DUMMYFUNCTION("""COMPUTED_VALUE"""),"en")</f>
        <v>en</v>
      </c>
      <c r="B500">
        <f>IFERROR(__xludf.DUMMYFUNCTION("""COMPUTED_VALUE"""),1019008.0)</f>
        <v>1019008</v>
      </c>
      <c r="C500" t="str">
        <f>IFERROR(__xludf.DUMMYFUNCTION("""COMPUTED_VALUE"""),"R Shiny Interactive Web Apps - Next Level Data Visualization")</f>
        <v>R Shiny Interactive Web Apps - Next Level Data Visualization</v>
      </c>
    </row>
    <row r="501">
      <c r="A501" s="140" t="str">
        <f>IFERROR(__xludf.DUMMYFUNCTION("""COMPUTED_VALUE"""),"en")</f>
        <v>en</v>
      </c>
      <c r="B501">
        <f>IFERROR(__xludf.DUMMYFUNCTION("""COMPUTED_VALUE"""),860890.0)</f>
        <v>860890</v>
      </c>
      <c r="C501" t="str">
        <f>IFERROR(__xludf.DUMMYFUNCTION("""COMPUTED_VALUE"""),"Using ""The Greeks"" To Understand Options")</f>
        <v>Using "The Greeks" To Understand Options</v>
      </c>
    </row>
    <row r="502">
      <c r="A502" s="140" t="str">
        <f>IFERROR(__xludf.DUMMYFUNCTION("""COMPUTED_VALUE"""),"es")</f>
        <v>es</v>
      </c>
      <c r="B502">
        <f>IFERROR(__xludf.DUMMYFUNCTION("""COMPUTED_VALUE"""),2630770.0)</f>
        <v>2630770</v>
      </c>
      <c r="C502" t="str">
        <f>IFERROR(__xludf.DUMMYFUNCTION("""COMPUTED_VALUE"""),"Páginas de Facebook: Crea una Facebook Page para tu negocio")</f>
        <v>Páginas de Facebook: Crea una Facebook Page para tu negocio</v>
      </c>
    </row>
    <row r="503">
      <c r="A503" s="140" t="str">
        <f>IFERROR(__xludf.DUMMYFUNCTION("""COMPUTED_VALUE"""),"ja")</f>
        <v>ja</v>
      </c>
      <c r="B503">
        <f>IFERROR(__xludf.DUMMYFUNCTION("""COMPUTED_VALUE"""),3057464.0)</f>
        <v>3057464</v>
      </c>
      <c r="C503" t="str">
        <f>IFERROR(__xludf.DUMMYFUNCTION("""COMPUTED_VALUE"""),"Windows10で学ぶAI画像認識（Mask RCNNモデル）")</f>
        <v>Windows10で学ぶAI画像認識（Mask RCNNモデル）</v>
      </c>
    </row>
    <row r="504">
      <c r="A504" s="140" t="str">
        <f>IFERROR(__xludf.DUMMYFUNCTION("""COMPUTED_VALUE"""),"es")</f>
        <v>es</v>
      </c>
      <c r="B504">
        <f>IFERROR(__xludf.DUMMYFUNCTION("""COMPUTED_VALUE"""),1515696.0)</f>
        <v>1515696</v>
      </c>
      <c r="C504" t="str">
        <f>IFERROR(__xludf.DUMMYFUNCTION("""COMPUTED_VALUE"""),"Programa tus Primeros Juegos HTML5 con JavaScript")</f>
        <v>Programa tus Primeros Juegos HTML5 con JavaScript</v>
      </c>
    </row>
    <row r="505">
      <c r="A505" s="140" t="str">
        <f>IFERROR(__xludf.DUMMYFUNCTION("""COMPUTED_VALUE"""),"en")</f>
        <v>en</v>
      </c>
      <c r="B505">
        <f>IFERROR(__xludf.DUMMYFUNCTION("""COMPUTED_VALUE"""),736090.0)</f>
        <v>736090</v>
      </c>
      <c r="C505" t="str">
        <f>IFERROR(__xludf.DUMMYFUNCTION("""COMPUTED_VALUE"""),"Excel with Microsoft Excel VBA User Forms")</f>
        <v>Excel with Microsoft Excel VBA User Forms</v>
      </c>
    </row>
    <row r="506">
      <c r="A506" s="140" t="str">
        <f>IFERROR(__xludf.DUMMYFUNCTION("""COMPUTED_VALUE"""),"en")</f>
        <v>en</v>
      </c>
      <c r="B506">
        <f>IFERROR(__xludf.DUMMYFUNCTION("""COMPUTED_VALUE"""),1334914.0)</f>
        <v>1334914</v>
      </c>
      <c r="C506" t="str">
        <f>IFERROR(__xludf.DUMMYFUNCTION("""COMPUTED_VALUE"""),"CISSP EASY/MID questions #2 - ALL CISSP domains 250 Q - 2022")</f>
        <v>CISSP EASY/MID questions #2 - ALL CISSP domains 250 Q - 2022</v>
      </c>
    </row>
    <row r="507">
      <c r="A507" s="140" t="str">
        <f>IFERROR(__xludf.DUMMYFUNCTION("""COMPUTED_VALUE"""),"en")</f>
        <v>en</v>
      </c>
      <c r="B507">
        <f>IFERROR(__xludf.DUMMYFUNCTION("""COMPUTED_VALUE"""),3161036.0)</f>
        <v>3161036</v>
      </c>
      <c r="C507" t="str">
        <f>IFERROR(__xludf.DUMMYFUNCTION("""COMPUTED_VALUE"""),"Jaeger - Distributed Tracing for Cloud Native Applications")</f>
        <v>Jaeger - Distributed Tracing for Cloud Native Applications</v>
      </c>
    </row>
    <row r="508">
      <c r="A508" s="140" t="str">
        <f>IFERROR(__xludf.DUMMYFUNCTION("""COMPUTED_VALUE"""),"tr")</f>
        <v>tr</v>
      </c>
      <c r="B508">
        <f>IFERROR(__xludf.DUMMYFUNCTION("""COMPUTED_VALUE"""),3280838.0)</f>
        <v>3280838</v>
      </c>
      <c r="C508" t="str">
        <f>IFERROR(__xludf.DUMMYFUNCTION("""COMPUTED_VALUE"""),"Kişisel Verilerin Korunması ve Blockchain")</f>
        <v>Kişisel Verilerin Korunması ve Blockchain</v>
      </c>
    </row>
    <row r="509">
      <c r="A509" s="140" t="str">
        <f>IFERROR(__xludf.DUMMYFUNCTION("""COMPUTED_VALUE"""),"pt")</f>
        <v>pt</v>
      </c>
      <c r="B509">
        <f>IFERROR(__xludf.DUMMYFUNCTION("""COMPUTED_VALUE"""),2465816.0)</f>
        <v>2465816</v>
      </c>
      <c r="C509" t="str">
        <f>IFERROR(__xludf.DUMMYFUNCTION("""COMPUTED_VALUE"""),"Matemática para Data Science - Pré-Cálculo")</f>
        <v>Matemática para Data Science - Pré-Cálculo</v>
      </c>
    </row>
    <row r="510">
      <c r="A510" s="140" t="str">
        <f>IFERROR(__xludf.DUMMYFUNCTION("""COMPUTED_VALUE"""),"en")</f>
        <v>en</v>
      </c>
      <c r="B510">
        <f>IFERROR(__xludf.DUMMYFUNCTION("""COMPUTED_VALUE"""),2025430.0)</f>
        <v>2025430</v>
      </c>
      <c r="C510" t="str">
        <f>IFERROR(__xludf.DUMMYFUNCTION("""COMPUTED_VALUE"""),"Building Blockchains with Hyperledger Fabric using Composer")</f>
        <v>Building Blockchains with Hyperledger Fabric using Composer</v>
      </c>
    </row>
    <row r="511">
      <c r="A511" s="140" t="str">
        <f>IFERROR(__xludf.DUMMYFUNCTION("""COMPUTED_VALUE"""),"en")</f>
        <v>en</v>
      </c>
      <c r="B511">
        <f>IFERROR(__xludf.DUMMYFUNCTION("""COMPUTED_VALUE"""),781532.0)</f>
        <v>781532</v>
      </c>
      <c r="C511" t="str">
        <f>IFERROR(__xludf.DUMMYFUNCTION("""COMPUTED_VALUE"""),"Advanced React and Redux")</f>
        <v>Advanced React and Redux</v>
      </c>
    </row>
    <row r="512">
      <c r="A512" s="140" t="str">
        <f>IFERROR(__xludf.DUMMYFUNCTION("""COMPUTED_VALUE"""),"en")</f>
        <v>en</v>
      </c>
      <c r="B512">
        <f>IFERROR(__xludf.DUMMYFUNCTION("""COMPUTED_VALUE"""),4323374.0)</f>
        <v>4323374</v>
      </c>
      <c r="C512" t="str">
        <f>IFERROR(__xludf.DUMMYFUNCTION("""COMPUTED_VALUE"""),"10 Days of No Code Artificial Intelligence Bootcamp")</f>
        <v>10 Days of No Code Artificial Intelligence Bootcamp</v>
      </c>
    </row>
    <row r="513">
      <c r="A513" s="140" t="str">
        <f>IFERROR(__xludf.DUMMYFUNCTION("""COMPUTED_VALUE"""),"en")</f>
        <v>en</v>
      </c>
      <c r="B513">
        <f>IFERROR(__xludf.DUMMYFUNCTION("""COMPUTED_VALUE"""),1570972.0)</f>
        <v>1570972</v>
      </c>
      <c r="C513" t="str">
        <f>IFERROR(__xludf.DUMMYFUNCTION("""COMPUTED_VALUE"""),"Continuous Deployments using Spinnaker on AWS and Kubernetes")</f>
        <v>Continuous Deployments using Spinnaker on AWS and Kubernetes</v>
      </c>
    </row>
    <row r="514">
      <c r="A514" s="140" t="str">
        <f>IFERROR(__xludf.DUMMYFUNCTION("""COMPUTED_VALUE"""),"en")</f>
        <v>en</v>
      </c>
      <c r="B514">
        <f>IFERROR(__xludf.DUMMYFUNCTION("""COMPUTED_VALUE"""),2390192.0)</f>
        <v>2390192</v>
      </c>
      <c r="C514" t="str">
        <f>IFERROR(__xludf.DUMMYFUNCTION("""COMPUTED_VALUE"""),"Smart Tips: Communication")</f>
        <v>Smart Tips: Communication</v>
      </c>
    </row>
    <row r="515">
      <c r="A515" s="140" t="str">
        <f>IFERROR(__xludf.DUMMYFUNCTION("""COMPUTED_VALUE"""),"en")</f>
        <v>en</v>
      </c>
      <c r="B515">
        <f>IFERROR(__xludf.DUMMYFUNCTION("""COMPUTED_VALUE"""),1856136.0)</f>
        <v>1856136</v>
      </c>
      <c r="C515" t="str">
        <f>IFERROR(__xludf.DUMMYFUNCTION("""COMPUTED_VALUE"""),"Process Flowcharts &amp; Process Mapping - The Advanced Guide")</f>
        <v>Process Flowcharts &amp; Process Mapping - The Advanced Guide</v>
      </c>
    </row>
    <row r="516">
      <c r="A516" s="140" t="str">
        <f>IFERROR(__xludf.DUMMYFUNCTION("""COMPUTED_VALUE"""),"pt")</f>
        <v>pt</v>
      </c>
      <c r="B516">
        <f>IFERROR(__xludf.DUMMYFUNCTION("""COMPUTED_VALUE"""),3629840.0)</f>
        <v>3629840</v>
      </c>
      <c r="C516" t="str">
        <f>IFERROR(__xludf.DUMMYFUNCTION("""COMPUTED_VALUE"""),"Management 3.0")</f>
        <v>Management 3.0</v>
      </c>
    </row>
    <row r="517">
      <c r="A517" s="140" t="str">
        <f>IFERROR(__xludf.DUMMYFUNCTION("""COMPUTED_VALUE"""),"es")</f>
        <v>es</v>
      </c>
      <c r="B517">
        <f>IFERROR(__xludf.DUMMYFUNCTION("""COMPUTED_VALUE"""),3608436.0)</f>
        <v>3608436</v>
      </c>
      <c r="C517" t="str">
        <f>IFERROR(__xludf.DUMMYFUNCTION("""COMPUTED_VALUE"""),"Facebook Ads 2021 - 0% Humo - Campañas que VENDEN")</f>
        <v>Facebook Ads 2021 - 0% Humo - Campañas que VENDEN</v>
      </c>
    </row>
    <row r="518">
      <c r="A518" s="140" t="str">
        <f>IFERROR(__xludf.DUMMYFUNCTION("""COMPUTED_VALUE"""),"en")</f>
        <v>en</v>
      </c>
      <c r="B518">
        <f>IFERROR(__xludf.DUMMYFUNCTION("""COMPUTED_VALUE"""),2057539.0)</f>
        <v>2057539</v>
      </c>
      <c r="C518" t="str">
        <f>IFERROR(__xludf.DUMMYFUNCTION("""COMPUTED_VALUE"""),"PCB Designing (with 3D Model) in Orcad 17.2 [2021]")</f>
        <v>PCB Designing (with 3D Model) in Orcad 17.2 [2021]</v>
      </c>
    </row>
    <row r="519">
      <c r="A519" s="140" t="str">
        <f>IFERROR(__xludf.DUMMYFUNCTION("""COMPUTED_VALUE"""),"en")</f>
        <v>en</v>
      </c>
      <c r="B519">
        <f>IFERROR(__xludf.DUMMYFUNCTION("""COMPUTED_VALUE"""),1057142.0)</f>
        <v>1057142</v>
      </c>
      <c r="C519" t="str">
        <f>IFERROR(__xludf.DUMMYFUNCTION("""COMPUTED_VALUE"""),"The Complete VMware vSphere 7: Beginner to Advanced-pt 1/2")</f>
        <v>The Complete VMware vSphere 7: Beginner to Advanced-pt 1/2</v>
      </c>
    </row>
    <row r="520">
      <c r="A520" s="140" t="str">
        <f>IFERROR(__xludf.DUMMYFUNCTION("""COMPUTED_VALUE"""),"en")</f>
        <v>en</v>
      </c>
      <c r="B520">
        <f>IFERROR(__xludf.DUMMYFUNCTION("""COMPUTED_VALUE"""),1580558.0)</f>
        <v>1580558</v>
      </c>
      <c r="C520" t="str">
        <f>IFERROR(__xludf.DUMMYFUNCTION("""COMPUTED_VALUE"""),"Spanish for Beginners. The Complete Method. Level 3.")</f>
        <v>Spanish for Beginners. The Complete Method. Level 3.</v>
      </c>
    </row>
    <row r="521">
      <c r="A521" s="140" t="str">
        <f>IFERROR(__xludf.DUMMYFUNCTION("""COMPUTED_VALUE"""),"en")</f>
        <v>en</v>
      </c>
      <c r="B521">
        <f>IFERROR(__xludf.DUMMYFUNCTION("""COMPUTED_VALUE"""),1122654.0)</f>
        <v>1122654</v>
      </c>
      <c r="C521" t="str">
        <f>IFERROR(__xludf.DUMMYFUNCTION("""COMPUTED_VALUE"""),"Microsoft Access VBA, Design and Advanced Methods Workshop 3")</f>
        <v>Microsoft Access VBA, Design and Advanced Methods Workshop 3</v>
      </c>
    </row>
    <row r="522">
      <c r="A522" s="140" t="str">
        <f>IFERROR(__xludf.DUMMYFUNCTION("""COMPUTED_VALUE"""),"es")</f>
        <v>es</v>
      </c>
      <c r="B522">
        <f>IFERROR(__xludf.DUMMYFUNCTION("""COMPUTED_VALUE"""),3755864.0)</f>
        <v>3755864</v>
      </c>
      <c r="C522" t="str">
        <f>IFERROR(__xludf.DUMMYFUNCTION("""COMPUTED_VALUE"""),"Securización de entornos Windows Server, Certificación")</f>
        <v>Securización de entornos Windows Server, Certificación</v>
      </c>
    </row>
    <row r="523">
      <c r="A523" s="140" t="str">
        <f>IFERROR(__xludf.DUMMYFUNCTION("""COMPUTED_VALUE"""),"en")</f>
        <v>en</v>
      </c>
      <c r="B523">
        <f>IFERROR(__xludf.DUMMYFUNCTION("""COMPUTED_VALUE"""),1324768.0)</f>
        <v>1324768</v>
      </c>
      <c r="C523" t="str">
        <f>IFERROR(__xludf.DUMMYFUNCTION("""COMPUTED_VALUE"""),"Character Art School: Complete Coloring and Painting Course")</f>
        <v>Character Art School: Complete Coloring and Painting Course</v>
      </c>
    </row>
    <row r="524">
      <c r="A524" s="140" t="str">
        <f>IFERROR(__xludf.DUMMYFUNCTION("""COMPUTED_VALUE"""),"fr")</f>
        <v>fr</v>
      </c>
      <c r="B524">
        <f>IFERROR(__xludf.DUMMYFUNCTION("""COMPUTED_VALUE"""),1392458.0)</f>
        <v>1392458</v>
      </c>
      <c r="C524" t="str">
        <f>IFERROR(__xludf.DUMMYFUNCTION("""COMPUTED_VALUE"""),"Développeur d'Applications Mobiles | Formation Complète 2021")</f>
        <v>Développeur d'Applications Mobiles | Formation Complète 2021</v>
      </c>
    </row>
    <row r="525">
      <c r="A525" s="140" t="str">
        <f>IFERROR(__xludf.DUMMYFUNCTION("""COMPUTED_VALUE"""),"en")</f>
        <v>en</v>
      </c>
      <c r="B525">
        <f>IFERROR(__xludf.DUMMYFUNCTION("""COMPUTED_VALUE"""),260066.0)</f>
        <v>260066</v>
      </c>
      <c r="C525" t="str">
        <f>IFERROR(__xludf.DUMMYFUNCTION("""COMPUTED_VALUE"""),"Banking Credit Analysis Process (for Bankers)")</f>
        <v>Banking Credit Analysis Process (for Bankers)</v>
      </c>
    </row>
    <row r="526">
      <c r="A526" s="140" t="str">
        <f>IFERROR(__xludf.DUMMYFUNCTION("""COMPUTED_VALUE"""),"ja")</f>
        <v>ja</v>
      </c>
      <c r="B526">
        <f>IFERROR(__xludf.DUMMYFUNCTION("""COMPUTED_VALUE"""),4075212.0)</f>
        <v>4075212</v>
      </c>
      <c r="C526" t="str">
        <f>IFERROR(__xludf.DUMMYFUNCTION("""COMPUTED_VALUE"""),"レジリエンス入門〜メンタル逆境から回復するスキル〜【管理職・リーダーになる方へ】")</f>
        <v>レジリエンス入門〜メンタル逆境から回復するスキル〜【管理職・リーダーになる方へ】</v>
      </c>
    </row>
    <row r="527">
      <c r="A527" s="140" t="str">
        <f>IFERROR(__xludf.DUMMYFUNCTION("""COMPUTED_VALUE"""),"en")</f>
        <v>en</v>
      </c>
      <c r="B527">
        <f>IFERROR(__xludf.DUMMYFUNCTION("""COMPUTED_VALUE"""),3773544.0)</f>
        <v>3773544</v>
      </c>
      <c r="C527" t="str">
        <f>IFERROR(__xludf.DUMMYFUNCTION("""COMPUTED_VALUE"""),"Azure Active Directory Identity and Access Management Course")</f>
        <v>Azure Active Directory Identity and Access Management Course</v>
      </c>
    </row>
    <row r="528">
      <c r="A528" s="140" t="str">
        <f>IFERROR(__xludf.DUMMYFUNCTION("""COMPUTED_VALUE"""),"fr")</f>
        <v>fr</v>
      </c>
      <c r="B528">
        <f>IFERROR(__xludf.DUMMYFUNCTION("""COMPUTED_VALUE"""),2362148.0)</f>
        <v>2362148</v>
      </c>
      <c r="C528" t="str">
        <f>IFERROR(__xludf.DUMMYFUNCTION("""COMPUTED_VALUE"""),"Cours AutoCAD Civil 3D : La formation Ultime")</f>
        <v>Cours AutoCAD Civil 3D : La formation Ultime</v>
      </c>
    </row>
    <row r="529">
      <c r="A529" s="140" t="str">
        <f>IFERROR(__xludf.DUMMYFUNCTION("""COMPUTED_VALUE"""),"en")</f>
        <v>en</v>
      </c>
      <c r="B529">
        <f>IFERROR(__xludf.DUMMYFUNCTION("""COMPUTED_VALUE"""),2234854.0)</f>
        <v>2234854</v>
      </c>
      <c r="C529" t="str">
        <f>IFERROR(__xludf.DUMMYFUNCTION("""COMPUTED_VALUE"""),"The Complete Ethical Hacking Course")</f>
        <v>The Complete Ethical Hacking Course</v>
      </c>
    </row>
    <row r="530">
      <c r="A530" s="140" t="str">
        <f>IFERROR(__xludf.DUMMYFUNCTION("""COMPUTED_VALUE"""),"en")</f>
        <v>en</v>
      </c>
      <c r="B530">
        <f>IFERROR(__xludf.DUMMYFUNCTION("""COMPUTED_VALUE"""),1351904.0)</f>
        <v>1351904</v>
      </c>
      <c r="C530" t="str">
        <f>IFERROR(__xludf.DUMMYFUNCTION("""COMPUTED_VALUE"""),"Object Oriented Programming with C# - Beginner to Advanced")</f>
        <v>Object Oriented Programming with C# - Beginner to Advanced</v>
      </c>
    </row>
    <row r="531">
      <c r="A531" s="140" t="str">
        <f>IFERROR(__xludf.DUMMYFUNCTION("""COMPUTED_VALUE"""),"ja")</f>
        <v>ja</v>
      </c>
      <c r="B531">
        <f>IFERROR(__xludf.DUMMYFUNCTION("""COMPUTED_VALUE"""),3411930.0)</f>
        <v>3411930</v>
      </c>
      <c r="C531" t="str">
        <f>IFERROR(__xludf.DUMMYFUNCTION("""COMPUTED_VALUE"""),"教え方が本当に丁寧な【Excel VBAラボ】Level1「マクロ記録・VBA基本編」")</f>
        <v>教え方が本当に丁寧な【Excel VBAラボ】Level1「マクロ記録・VBA基本編」</v>
      </c>
    </row>
    <row r="532">
      <c r="A532" s="140" t="str">
        <f>IFERROR(__xludf.DUMMYFUNCTION("""COMPUTED_VALUE"""),"tr")</f>
        <v>tr</v>
      </c>
      <c r="B532">
        <f>IFERROR(__xludf.DUMMYFUNCTION("""COMPUTED_VALUE"""),2349954.0)</f>
        <v>2349954</v>
      </c>
      <c r="C532" t="str">
        <f>IFERROR(__xludf.DUMMYFUNCTION("""COMPUTED_VALUE"""),"E-Ticaret Kursu: Katmanlı Mimari ile Core Mvc Dersleri")</f>
        <v>E-Ticaret Kursu: Katmanlı Mimari ile Core Mvc Dersleri</v>
      </c>
    </row>
    <row r="533">
      <c r="A533" s="140" t="str">
        <f>IFERROR(__xludf.DUMMYFUNCTION("""COMPUTED_VALUE"""),"fr")</f>
        <v>fr</v>
      </c>
      <c r="B533">
        <f>IFERROR(__xludf.DUMMYFUNCTION("""COMPUTED_VALUE"""),1869672.0)</f>
        <v>1869672</v>
      </c>
      <c r="C533" t="str">
        <f>IFERROR(__xludf.DUMMYFUNCTION("""COMPUTED_VALUE"""),"Débuter avec Docker")</f>
        <v>Débuter avec Docker</v>
      </c>
    </row>
    <row r="534">
      <c r="A534" s="140" t="str">
        <f>IFERROR(__xludf.DUMMYFUNCTION("""COMPUTED_VALUE"""),"en")</f>
        <v>en</v>
      </c>
      <c r="B534">
        <f>IFERROR(__xludf.DUMMYFUNCTION("""COMPUTED_VALUE"""),2494820.0)</f>
        <v>2494820</v>
      </c>
      <c r="C534" t="str">
        <f>IFERROR(__xludf.DUMMYFUNCTION("""COMPUTED_VALUE"""),"Modern Android app using Java, MVVM, Dagger2, RxJava &amp;more")</f>
        <v>Modern Android app using Java, MVVM, Dagger2, RxJava &amp;more</v>
      </c>
    </row>
    <row r="535">
      <c r="A535" s="140" t="str">
        <f>IFERROR(__xludf.DUMMYFUNCTION("""COMPUTED_VALUE"""),"ja")</f>
        <v>ja</v>
      </c>
      <c r="B535">
        <f>IFERROR(__xludf.DUMMYFUNCTION("""COMPUTED_VALUE"""),2963114.0)</f>
        <v>2963114</v>
      </c>
      <c r="C535" t="str">
        <f>IFERROR(__xludf.DUMMYFUNCTION("""COMPUTED_VALUE"""),"AWS認定 DevOpsエンジニア – プロフェッショナル (DOP-C01) 模擬試験 (2021年試験対応版)")</f>
        <v>AWS認定 DevOpsエンジニア – プロフェッショナル (DOP-C01) 模擬試験 (2021年試験対応版)</v>
      </c>
    </row>
    <row r="536">
      <c r="A536" s="140" t="str">
        <f>IFERROR(__xludf.DUMMYFUNCTION("""COMPUTED_VALUE"""),"en")</f>
        <v>en</v>
      </c>
      <c r="B536">
        <f>IFERROR(__xludf.DUMMYFUNCTION("""COMPUTED_VALUE"""),2399972.0)</f>
        <v>2399972</v>
      </c>
      <c r="C536" t="str">
        <f>IFERROR(__xludf.DUMMYFUNCTION("""COMPUTED_VALUE"""),"An Introduction to Digital Platform Governance")</f>
        <v>An Introduction to Digital Platform Governance</v>
      </c>
    </row>
    <row r="537">
      <c r="A537" s="140" t="str">
        <f>IFERROR(__xludf.DUMMYFUNCTION("""COMPUTED_VALUE"""),"en")</f>
        <v>en</v>
      </c>
      <c r="B537">
        <f>IFERROR(__xludf.DUMMYFUNCTION("""COMPUTED_VALUE"""),2281984.0)</f>
        <v>2281984</v>
      </c>
      <c r="C537" t="str">
        <f>IFERROR(__xludf.DUMMYFUNCTION("""COMPUTED_VALUE"""),"The Ultimate Dark Web, Anonymity, Privacy &amp; Security Course")</f>
        <v>The Ultimate Dark Web, Anonymity, Privacy &amp; Security Course</v>
      </c>
    </row>
    <row r="538">
      <c r="A538" s="140" t="str">
        <f>IFERROR(__xludf.DUMMYFUNCTION("""COMPUTED_VALUE"""),"en")</f>
        <v>en</v>
      </c>
      <c r="B538">
        <f>IFERROR(__xludf.DUMMYFUNCTION("""COMPUTED_VALUE"""),1056952.0)</f>
        <v>1056952</v>
      </c>
      <c r="C538" t="str">
        <f>IFERROR(__xludf.DUMMYFUNCTION("""COMPUTED_VALUE"""),"Low Cost Business Models")</f>
        <v>Low Cost Business Models</v>
      </c>
    </row>
    <row r="539">
      <c r="A539" s="140" t="str">
        <f>IFERROR(__xludf.DUMMYFUNCTION("""COMPUTED_VALUE"""),"es")</f>
        <v>es</v>
      </c>
      <c r="B539">
        <f>IFERROR(__xludf.DUMMYFUNCTION("""COMPUTED_VALUE"""),3645551.0)</f>
        <v>3645551</v>
      </c>
      <c r="C539" t="str">
        <f>IFERROR(__xludf.DUMMYFUNCTION("""COMPUTED_VALUE"""),"Todo sobre Testing y Debugging de Software Desde 0 a Experto")</f>
        <v>Todo sobre Testing y Debugging de Software Desde 0 a Experto</v>
      </c>
    </row>
    <row r="540">
      <c r="A540" s="140" t="str">
        <f>IFERROR(__xludf.DUMMYFUNCTION("""COMPUTED_VALUE"""),"tr")</f>
        <v>tr</v>
      </c>
      <c r="B540">
        <f>IFERROR(__xludf.DUMMYFUNCTION("""COMPUTED_VALUE"""),3612804.0)</f>
        <v>3612804</v>
      </c>
      <c r="C540" t="str">
        <f>IFERROR(__xludf.DUMMYFUNCTION("""COMPUTED_VALUE"""),"Unity 3D İle Sıfırdan RPG Oyun Geliştirme Öğrenin")</f>
        <v>Unity 3D İle Sıfırdan RPG Oyun Geliştirme Öğrenin</v>
      </c>
    </row>
    <row r="541">
      <c r="A541" s="140" t="str">
        <f>IFERROR(__xludf.DUMMYFUNCTION("""COMPUTED_VALUE"""),"ja")</f>
        <v>ja</v>
      </c>
      <c r="B541">
        <f>IFERROR(__xludf.DUMMYFUNCTION("""COMPUTED_VALUE"""),2829546.0)</f>
        <v>2829546</v>
      </c>
      <c r="C541" t="str">
        <f>IFERROR(__xludf.DUMMYFUNCTION("""COMPUTED_VALUE"""),"Unity3D入門の決定版！RPG開発の基本をUnityインストラクターと共に進めるハンズオンコース【スタジオしまづ】")</f>
        <v>Unity3D入門の決定版！RPG開発の基本をUnityインストラクターと共に進めるハンズオンコース【スタジオしまづ】</v>
      </c>
    </row>
    <row r="542">
      <c r="A542" s="140" t="str">
        <f>IFERROR(__xludf.DUMMYFUNCTION("""COMPUTED_VALUE"""),"ja")</f>
        <v>ja</v>
      </c>
      <c r="B542">
        <f>IFERROR(__xludf.DUMMYFUNCTION("""COMPUTED_VALUE"""),3616082.0)</f>
        <v>3616082</v>
      </c>
      <c r="C542" t="str">
        <f>IFERROR(__xludf.DUMMYFUNCTION("""COMPUTED_VALUE"""),"UXデザイン超概論 〜 世に出すからには使って欲しい！ターゲットに愛されるサービスを作るための必須スキルを獲得しよう")</f>
        <v>UXデザイン超概論 〜 世に出すからには使って欲しい！ターゲットに愛されるサービスを作るための必須スキルを獲得しよう</v>
      </c>
    </row>
    <row r="543">
      <c r="A543" s="140" t="str">
        <f>IFERROR(__xludf.DUMMYFUNCTION("""COMPUTED_VALUE"""),"pt")</f>
        <v>pt</v>
      </c>
      <c r="B543">
        <f>IFERROR(__xludf.DUMMYFUNCTION("""COMPUTED_VALUE"""),2526446.0)</f>
        <v>2526446</v>
      </c>
      <c r="C543" t="str">
        <f>IFERROR(__xludf.DUMMYFUNCTION("""COMPUTED_VALUE"""),"Curso UX Research")</f>
        <v>Curso UX Research</v>
      </c>
    </row>
    <row r="544">
      <c r="A544" s="140" t="str">
        <f>IFERROR(__xludf.DUMMYFUNCTION("""COMPUTED_VALUE"""),"en")</f>
        <v>en</v>
      </c>
      <c r="B544">
        <f>IFERROR(__xludf.DUMMYFUNCTION("""COMPUTED_VALUE"""),1091520.0)</f>
        <v>1091520</v>
      </c>
      <c r="C544" t="str">
        <f>IFERROR(__xludf.DUMMYFUNCTION("""COMPUTED_VALUE"""),"Cognitive Behavioural Therapy (CBT) Practitioner Training")</f>
        <v>Cognitive Behavioural Therapy (CBT) Practitioner Training</v>
      </c>
    </row>
    <row r="545">
      <c r="A545" s="140" t="str">
        <f>IFERROR(__xludf.DUMMYFUNCTION("""COMPUTED_VALUE"""),"en")</f>
        <v>en</v>
      </c>
      <c r="B545">
        <f>IFERROR(__xludf.DUMMYFUNCTION("""COMPUTED_VALUE"""),791838.0)</f>
        <v>791838</v>
      </c>
      <c r="C545" t="str">
        <f>IFERROR(__xludf.DUMMYFUNCTION("""COMPUTED_VALUE"""),"Scala Applied, Part 3")</f>
        <v>Scala Applied, Part 3</v>
      </c>
    </row>
    <row r="546">
      <c r="A546" s="140" t="str">
        <f>IFERROR(__xludf.DUMMYFUNCTION("""COMPUTED_VALUE"""),"ar")</f>
        <v>ar</v>
      </c>
      <c r="B546">
        <f>IFERROR(__xludf.DUMMYFUNCTION("""COMPUTED_VALUE"""),2360698.0)</f>
        <v>2360698</v>
      </c>
      <c r="C546" t="str">
        <f>IFERROR(__xludf.DUMMYFUNCTION("""COMPUTED_VALUE"""),"دورة مشارك معتمد في ادارة المشاريع - 23 ساعه CAPM")</f>
        <v>دورة مشارك معتمد في ادارة المشاريع - 23 ساعه CAPM</v>
      </c>
    </row>
    <row r="547">
      <c r="A547" s="140" t="str">
        <f>IFERROR(__xludf.DUMMYFUNCTION("""COMPUTED_VALUE"""),"en")</f>
        <v>en</v>
      </c>
      <c r="B547">
        <f>IFERROR(__xludf.DUMMYFUNCTION("""COMPUTED_VALUE"""),2198184.0)</f>
        <v>2198184</v>
      </c>
      <c r="C547" t="str">
        <f>IFERROR(__xludf.DUMMYFUNCTION("""COMPUTED_VALUE"""),"Marketo for Managers")</f>
        <v>Marketo for Managers</v>
      </c>
    </row>
    <row r="548">
      <c r="A548" s="140" t="str">
        <f>IFERROR(__xludf.DUMMYFUNCTION("""COMPUTED_VALUE"""),"en")</f>
        <v>en</v>
      </c>
      <c r="B548">
        <f>IFERROR(__xludf.DUMMYFUNCTION("""COMPUTED_VALUE"""),256758.0)</f>
        <v>256758</v>
      </c>
      <c r="C548" t="str">
        <f>IFERROR(__xludf.DUMMYFUNCTION("""COMPUTED_VALUE"""),"Learn Linux in 5 Days and Level Up Your Career")</f>
        <v>Learn Linux in 5 Days and Level Up Your Career</v>
      </c>
    </row>
    <row r="549">
      <c r="A549" s="140" t="str">
        <f>IFERROR(__xludf.DUMMYFUNCTION("""COMPUTED_VALUE"""),"ja")</f>
        <v>ja</v>
      </c>
      <c r="B549">
        <f>IFERROR(__xludf.DUMMYFUNCTION("""COMPUTED_VALUE"""),2931610.0)</f>
        <v>2931610</v>
      </c>
      <c r="C549" t="str">
        <f>IFERROR(__xludf.DUMMYFUNCTION("""COMPUTED_VALUE"""),"■ LPI Linux Essentials （エッセンシャル） 資格取得コース （LPI公認）")</f>
        <v>■ LPI Linux Essentials （エッセンシャル） 資格取得コース （LPI公認）</v>
      </c>
    </row>
    <row r="550">
      <c r="A550" s="140" t="str">
        <f>IFERROR(__xludf.DUMMYFUNCTION("""COMPUTED_VALUE"""),"de")</f>
        <v>de</v>
      </c>
      <c r="B550">
        <f>IFERROR(__xludf.DUMMYFUNCTION("""COMPUTED_VALUE"""),673142.0)</f>
        <v>673142</v>
      </c>
      <c r="C550" t="str">
        <f>IFERROR(__xludf.DUMMYFUNCTION("""COMPUTED_VALUE"""),"Realistisch Zeichnen - Die praxisorientierte Masterclass")</f>
        <v>Realistisch Zeichnen - Die praxisorientierte Masterclass</v>
      </c>
    </row>
    <row r="551">
      <c r="A551" s="140" t="str">
        <f>IFERROR(__xludf.DUMMYFUNCTION("""COMPUTED_VALUE"""),"en")</f>
        <v>en</v>
      </c>
      <c r="B551">
        <f>IFERROR(__xludf.DUMMYFUNCTION("""COMPUTED_VALUE"""),306062.0)</f>
        <v>306062</v>
      </c>
      <c r="C551" t="str">
        <f>IFERROR(__xludf.DUMMYFUNCTION("""COMPUTED_VALUE"""),"Green Jujitsu: Smart Employee Engagement for Sustainability")</f>
        <v>Green Jujitsu: Smart Employee Engagement for Sustainability</v>
      </c>
    </row>
    <row r="552">
      <c r="A552" s="140" t="str">
        <f>IFERROR(__xludf.DUMMYFUNCTION("""COMPUTED_VALUE"""),"ar")</f>
        <v>ar</v>
      </c>
      <c r="B552">
        <f>IFERROR(__xludf.DUMMYFUNCTION("""COMPUTED_VALUE"""),1670200.0)</f>
        <v>1670200</v>
      </c>
      <c r="C552" t="str">
        <f>IFERROR(__xludf.DUMMYFUNCTION("""COMPUTED_VALUE"""),"PMI-ACP (Agile Certified Practitioner) Full Exam Preparation")</f>
        <v>PMI-ACP (Agile Certified Practitioner) Full Exam Preparation</v>
      </c>
    </row>
    <row r="553">
      <c r="A553" s="140" t="str">
        <f>IFERROR(__xludf.DUMMYFUNCTION("""COMPUTED_VALUE"""),"en")</f>
        <v>en</v>
      </c>
      <c r="B553">
        <f>IFERROR(__xludf.DUMMYFUNCTION("""COMPUTED_VALUE"""),1061202.0)</f>
        <v>1061202</v>
      </c>
      <c r="C553" t="str">
        <f>IFERROR(__xludf.DUMMYFUNCTION("""COMPUTED_VALUE"""),"Complete Flexbox Course: Master CSS3 Flexbox for Good")</f>
        <v>Complete Flexbox Course: Master CSS3 Flexbox for Good</v>
      </c>
    </row>
    <row r="554">
      <c r="A554" s="140" t="str">
        <f>IFERROR(__xludf.DUMMYFUNCTION("""COMPUTED_VALUE"""),"en")</f>
        <v>en</v>
      </c>
      <c r="B554">
        <f>IFERROR(__xludf.DUMMYFUNCTION("""COMPUTED_VALUE"""),1248866.0)</f>
        <v>1248866</v>
      </c>
      <c r="C554" t="str">
        <f>IFERROR(__xludf.DUMMYFUNCTION("""COMPUTED_VALUE"""),"Alteryx Bootcamp")</f>
        <v>Alteryx Bootcamp</v>
      </c>
    </row>
    <row r="555">
      <c r="A555" s="140" t="str">
        <f>IFERROR(__xludf.DUMMYFUNCTION("""COMPUTED_VALUE"""),"fr")</f>
        <v>fr</v>
      </c>
      <c r="B555">
        <f>IFERROR(__xludf.DUMMYFUNCTION("""COMPUTED_VALUE"""),2704220.0)</f>
        <v>2704220</v>
      </c>
      <c r="C555" t="str">
        <f>IFERROR(__xludf.DUMMYFUNCTION("""COMPUTED_VALUE"""),"Python pour l'Analyse Financière et le Trading Algorithmique")</f>
        <v>Python pour l'Analyse Financière et le Trading Algorithmique</v>
      </c>
    </row>
    <row r="556">
      <c r="A556" s="140" t="str">
        <f>IFERROR(__xludf.DUMMYFUNCTION("""COMPUTED_VALUE"""),"en")</f>
        <v>en</v>
      </c>
      <c r="B556">
        <f>IFERROR(__xludf.DUMMYFUNCTION("""COMPUTED_VALUE"""),1076164.0)</f>
        <v>1076164</v>
      </c>
      <c r="C556" t="str">
        <f>IFERROR(__xludf.DUMMYFUNCTION("""COMPUTED_VALUE"""),"VMware vSphere 6.5 - Setup your own enterprise environment")</f>
        <v>VMware vSphere 6.5 - Setup your own enterprise environment</v>
      </c>
    </row>
    <row r="557">
      <c r="A557" s="140" t="str">
        <f>IFERROR(__xludf.DUMMYFUNCTION("""COMPUTED_VALUE"""),"en")</f>
        <v>en</v>
      </c>
      <c r="B557">
        <f>IFERROR(__xludf.DUMMYFUNCTION("""COMPUTED_VALUE"""),24823.0)</f>
        <v>24823</v>
      </c>
      <c r="C557" t="str">
        <f>IFERROR(__xludf.DUMMYFUNCTION("""COMPUTED_VALUE"""),"Java Tutorial for Complete Beginners")</f>
        <v>Java Tutorial for Complete Beginners</v>
      </c>
    </row>
    <row r="558">
      <c r="A558" s="140" t="str">
        <f>IFERROR(__xludf.DUMMYFUNCTION("""COMPUTED_VALUE"""),"en")</f>
        <v>en</v>
      </c>
      <c r="B558">
        <f>IFERROR(__xludf.DUMMYFUNCTION("""COMPUTED_VALUE"""),496050.0)</f>
        <v>496050</v>
      </c>
      <c r="C558" t="str">
        <f>IFERROR(__xludf.DUMMYFUNCTION("""COMPUTED_VALUE"""),"Microservices with Spring Cloud")</f>
        <v>Microservices with Spring Cloud</v>
      </c>
    </row>
    <row r="559">
      <c r="A559" s="140" t="str">
        <f>IFERROR(__xludf.DUMMYFUNCTION("""COMPUTED_VALUE"""),"de")</f>
        <v>de</v>
      </c>
      <c r="B559">
        <f>IFERROR(__xludf.DUMMYFUNCTION("""COMPUTED_VALUE"""),1144840.0)</f>
        <v>1144840</v>
      </c>
      <c r="C559" t="str">
        <f>IFERROR(__xludf.DUMMYFUNCTION("""COMPUTED_VALUE"""),"Dein Einstieg in React JS &amp; Redux")</f>
        <v>Dein Einstieg in React JS &amp; Redux</v>
      </c>
    </row>
    <row r="560">
      <c r="A560" s="140" t="str">
        <f>IFERROR(__xludf.DUMMYFUNCTION("""COMPUTED_VALUE"""),"en")</f>
        <v>en</v>
      </c>
      <c r="B560">
        <f>IFERROR(__xludf.DUMMYFUNCTION("""COMPUTED_VALUE"""),2796938.0)</f>
        <v>2796938</v>
      </c>
      <c r="C560" t="str">
        <f>IFERROR(__xludf.DUMMYFUNCTION("""COMPUTED_VALUE"""),"Clear and Simple AWS Advanced Security 2020")</f>
        <v>Clear and Simple AWS Advanced Security 2020</v>
      </c>
    </row>
    <row r="561">
      <c r="A561" s="140" t="str">
        <f>IFERROR(__xludf.DUMMYFUNCTION("""COMPUTED_VALUE"""),"de")</f>
        <v>de</v>
      </c>
      <c r="B561">
        <f>IFERROR(__xludf.DUMMYFUNCTION("""COMPUTED_VALUE"""),1692488.0)</f>
        <v>1692488</v>
      </c>
      <c r="C561" t="str">
        <f>IFERROR(__xludf.DUMMYFUNCTION("""COMPUTED_VALUE"""),"Zum Excel-Profi – Daten-Management, Eingabe &amp; Produktlisten")</f>
        <v>Zum Excel-Profi – Daten-Management, Eingabe &amp; Produktlisten</v>
      </c>
    </row>
    <row r="562">
      <c r="A562" s="140" t="str">
        <f>IFERROR(__xludf.DUMMYFUNCTION("""COMPUTED_VALUE"""),"es")</f>
        <v>es</v>
      </c>
      <c r="B562">
        <f>IFERROR(__xludf.DUMMYFUNCTION("""COMPUTED_VALUE"""),3861420.0)</f>
        <v>3861420</v>
      </c>
      <c r="C562" t="str">
        <f>IFERROR(__xludf.DUMMYFUNCTION("""COMPUTED_VALUE"""),"Cómo Escribir Correos Electrónicos Efectivos")</f>
        <v>Cómo Escribir Correos Electrónicos Efectivos</v>
      </c>
    </row>
    <row r="563">
      <c r="A563" s="140" t="str">
        <f>IFERROR(__xludf.DUMMYFUNCTION("""COMPUTED_VALUE"""),"pt")</f>
        <v>pt</v>
      </c>
      <c r="B563">
        <f>IFERROR(__xludf.DUMMYFUNCTION("""COMPUTED_VALUE"""),1410292.0)</f>
        <v>1410292</v>
      </c>
      <c r="C563" t="str">
        <f>IFERROR(__xludf.DUMMYFUNCTION("""COMPUTED_VALUE"""),"O Guia Definitivo para Desenvolvimento de Jogos com Unity")</f>
        <v>O Guia Definitivo para Desenvolvimento de Jogos com Unity</v>
      </c>
    </row>
    <row r="564">
      <c r="A564" s="140" t="str">
        <f>IFERROR(__xludf.DUMMYFUNCTION("""COMPUTED_VALUE"""),"es")</f>
        <v>es</v>
      </c>
      <c r="B564">
        <f>IFERROR(__xludf.DUMMYFUNCTION("""COMPUTED_VALUE"""),3468598.0)</f>
        <v>3468598</v>
      </c>
      <c r="C564" t="str">
        <f>IFERROR(__xludf.DUMMYFUNCTION("""COMPUTED_VALUE"""),"Master Camtasia 2020 Edita tus Cursos y Videos Promocionales")</f>
        <v>Master Camtasia 2020 Edita tus Cursos y Videos Promocionales</v>
      </c>
    </row>
    <row r="565">
      <c r="A565" s="140" t="str">
        <f>IFERROR(__xludf.DUMMYFUNCTION("""COMPUTED_VALUE"""),"en")</f>
        <v>en</v>
      </c>
      <c r="B565">
        <f>IFERROR(__xludf.DUMMYFUNCTION("""COMPUTED_VALUE"""),1617616.0)</f>
        <v>1617616</v>
      </c>
      <c r="C565" t="str">
        <f>IFERROR(__xludf.DUMMYFUNCTION("""COMPUTED_VALUE"""),"HashiCorp Certified: Terraform Associate 2021")</f>
        <v>HashiCorp Certified: Terraform Associate 2021</v>
      </c>
    </row>
    <row r="566">
      <c r="A566" s="140" t="str">
        <f>IFERROR(__xludf.DUMMYFUNCTION("""COMPUTED_VALUE"""),"en")</f>
        <v>en</v>
      </c>
      <c r="B566">
        <f>IFERROR(__xludf.DUMMYFUNCTION("""COMPUTED_VALUE"""),1360998.0)</f>
        <v>1360998</v>
      </c>
      <c r="C566" t="str">
        <f>IFERROR(__xludf.DUMMYFUNCTION("""COMPUTED_VALUE"""),"Mastering data visualization in D3.js")</f>
        <v>Mastering data visualization in D3.js</v>
      </c>
    </row>
    <row r="567">
      <c r="A567" s="140" t="str">
        <f>IFERROR(__xludf.DUMMYFUNCTION("""COMPUTED_VALUE"""),"en")</f>
        <v>en</v>
      </c>
      <c r="B567">
        <f>IFERROR(__xludf.DUMMYFUNCTION("""COMPUTED_VALUE"""),2596634.0)</f>
        <v>2596634</v>
      </c>
      <c r="C567" t="str">
        <f>IFERROR(__xludf.DUMMYFUNCTION("""COMPUTED_VALUE"""),"ISO 27001 Implementation Step by Step")</f>
        <v>ISO 27001 Implementation Step by Step</v>
      </c>
    </row>
    <row r="568">
      <c r="A568" s="140" t="str">
        <f>IFERROR(__xludf.DUMMYFUNCTION("""COMPUTED_VALUE"""),"en")</f>
        <v>en</v>
      </c>
      <c r="B568">
        <f>IFERROR(__xludf.DUMMYFUNCTION("""COMPUTED_VALUE"""),329726.0)</f>
        <v>329726</v>
      </c>
      <c r="C568" t="str">
        <f>IFERROR(__xludf.DUMMYFUNCTION("""COMPUTED_VALUE"""),"Bob Davis' Professional Photography Lighting Techniques")</f>
        <v>Bob Davis' Professional Photography Lighting Techniques</v>
      </c>
    </row>
    <row r="569">
      <c r="A569" s="140" t="str">
        <f>IFERROR(__xludf.DUMMYFUNCTION("""COMPUTED_VALUE"""),"en")</f>
        <v>en</v>
      </c>
      <c r="B569">
        <f>IFERROR(__xludf.DUMMYFUNCTION("""COMPUTED_VALUE"""),356348.0)</f>
        <v>356348</v>
      </c>
      <c r="C569" t="str">
        <f>IFERROR(__xludf.DUMMYFUNCTION("""COMPUTED_VALUE"""),"Real World SAP - SD Pricing for Freight")</f>
        <v>Real World SAP - SD Pricing for Freight</v>
      </c>
    </row>
    <row r="570">
      <c r="A570" s="140" t="str">
        <f>IFERROR(__xludf.DUMMYFUNCTION("""COMPUTED_VALUE"""),"pt")</f>
        <v>pt</v>
      </c>
      <c r="B570">
        <f>IFERROR(__xludf.DUMMYFUNCTION("""COMPUTED_VALUE"""),2157568.0)</f>
        <v>2157568</v>
      </c>
      <c r="C570" t="str">
        <f>IFERROR(__xludf.DUMMYFUNCTION("""COMPUTED_VALUE"""),"Curso Articulate Storyline Completo (100% em Português)")</f>
        <v>Curso Articulate Storyline Completo (100% em Português)</v>
      </c>
    </row>
    <row r="571">
      <c r="A571" s="140" t="str">
        <f>IFERROR(__xludf.DUMMYFUNCTION("""COMPUTED_VALUE"""),"en")</f>
        <v>en</v>
      </c>
      <c r="B571">
        <f>IFERROR(__xludf.DUMMYFUNCTION("""COMPUTED_VALUE"""),430236.0)</f>
        <v>430236</v>
      </c>
      <c r="C571" t="str">
        <f>IFERROR(__xludf.DUMMYFUNCTION("""COMPUTED_VALUE"""),"Deliver Your Project &amp; Master Project Management")</f>
        <v>Deliver Your Project &amp; Master Project Management</v>
      </c>
    </row>
    <row r="572">
      <c r="A572" s="140" t="str">
        <f>IFERROR(__xludf.DUMMYFUNCTION("""COMPUTED_VALUE"""),"en")</f>
        <v>en</v>
      </c>
      <c r="B572">
        <f>IFERROR(__xludf.DUMMYFUNCTION("""COMPUTED_VALUE"""),3184362.0)</f>
        <v>3184362</v>
      </c>
      <c r="C572" t="str">
        <f>IFERROR(__xludf.DUMMYFUNCTION("""COMPUTED_VALUE"""),"Linux for Cloud &amp; DevOps Engineers")</f>
        <v>Linux for Cloud &amp; DevOps Engineers</v>
      </c>
    </row>
    <row r="573">
      <c r="A573" s="140" t="str">
        <f>IFERROR(__xludf.DUMMYFUNCTION("""COMPUTED_VALUE"""),"en")</f>
        <v>en</v>
      </c>
      <c r="B573">
        <f>IFERROR(__xludf.DUMMYFUNCTION("""COMPUTED_VALUE"""),176432.0)</f>
        <v>176432</v>
      </c>
      <c r="C573" t="str">
        <f>IFERROR(__xludf.DUMMYFUNCTION("""COMPUTED_VALUE"""),"HTML5 Essentials for Beginners")</f>
        <v>HTML5 Essentials for Beginners</v>
      </c>
    </row>
    <row r="574">
      <c r="A574" s="140" t="str">
        <f>IFERROR(__xludf.DUMMYFUNCTION("""COMPUTED_VALUE"""),"en")</f>
        <v>en</v>
      </c>
      <c r="B574">
        <f>IFERROR(__xludf.DUMMYFUNCTION("""COMPUTED_VALUE"""),605802.0)</f>
        <v>605802</v>
      </c>
      <c r="C574" t="str">
        <f>IFERROR(__xludf.DUMMYFUNCTION("""COMPUTED_VALUE"""),"Everyday Brilliance: Productivity For Creative Pros")</f>
        <v>Everyday Brilliance: Productivity For Creative Pros</v>
      </c>
    </row>
    <row r="575">
      <c r="A575" s="140" t="str">
        <f>IFERROR(__xludf.DUMMYFUNCTION("""COMPUTED_VALUE"""),"en")</f>
        <v>en</v>
      </c>
      <c r="B575">
        <f>IFERROR(__xludf.DUMMYFUNCTION("""COMPUTED_VALUE"""),43540.0)</f>
        <v>43540</v>
      </c>
      <c r="C575" t="str">
        <f>IFERROR(__xludf.DUMMYFUNCTION("""COMPUTED_VALUE"""),"Critical Thinker Academy: Learn to Think Like a Philosopher")</f>
        <v>Critical Thinker Academy: Learn to Think Like a Philosopher</v>
      </c>
    </row>
    <row r="576">
      <c r="A576" s="140" t="str">
        <f>IFERROR(__xludf.DUMMYFUNCTION("""COMPUTED_VALUE"""),"ja")</f>
        <v>ja</v>
      </c>
      <c r="B576">
        <f>IFERROR(__xludf.DUMMYFUNCTION("""COMPUTED_VALUE"""),3908548.0)</f>
        <v>3908548</v>
      </c>
      <c r="C576" t="str">
        <f>IFERROR(__xludf.DUMMYFUNCTION("""COMPUTED_VALUE"""),"【基礎からわかる！】Webアプリケーションの仕組み")</f>
        <v>【基礎からわかる！】Webアプリケーションの仕組み</v>
      </c>
    </row>
    <row r="577">
      <c r="A577" s="140" t="str">
        <f>IFERROR(__xludf.DUMMYFUNCTION("""COMPUTED_VALUE"""),"en")</f>
        <v>en</v>
      </c>
      <c r="B577">
        <f>IFERROR(__xludf.DUMMYFUNCTION("""COMPUTED_VALUE"""),381850.0)</f>
        <v>381850</v>
      </c>
      <c r="C577" t="str">
        <f>IFERROR(__xludf.DUMMYFUNCTION("""COMPUTED_VALUE"""),"Mobile App Design In Sketch 3: UX and UI Design From Scratch")</f>
        <v>Mobile App Design In Sketch 3: UX and UI Design From Scratch</v>
      </c>
    </row>
    <row r="578">
      <c r="A578" s="140" t="str">
        <f>IFERROR(__xludf.DUMMYFUNCTION("""COMPUTED_VALUE"""),"de")</f>
        <v>de</v>
      </c>
      <c r="B578">
        <f>IFERROR(__xludf.DUMMYFUNCTION("""COMPUTED_VALUE"""),647904.0)</f>
        <v>647904</v>
      </c>
      <c r="C578" t="str">
        <f>IFERROR(__xludf.DUMMYFUNCTION("""COMPUTED_VALUE"""),"Hatha Yoga Basics für eine gesunde Haltung")</f>
        <v>Hatha Yoga Basics für eine gesunde Haltung</v>
      </c>
    </row>
    <row r="579">
      <c r="A579" s="140" t="str">
        <f>IFERROR(__xludf.DUMMYFUNCTION("""COMPUTED_VALUE"""),"zh")</f>
        <v>zh</v>
      </c>
      <c r="B579">
        <f>IFERROR(__xludf.DUMMYFUNCTION("""COMPUTED_VALUE"""),1147478.0)</f>
        <v>1147478</v>
      </c>
      <c r="C579" t="str">
        <f>IFERROR(__xludf.DUMMYFUNCTION("""COMPUTED_VALUE"""),"Docker容器技术从入门到精通")</f>
        <v>Docker容器技术从入门到精通</v>
      </c>
    </row>
    <row r="580">
      <c r="A580" s="140" t="str">
        <f>IFERROR(__xludf.DUMMYFUNCTION("""COMPUTED_VALUE"""),"tr")</f>
        <v>tr</v>
      </c>
      <c r="B580">
        <f>IFERROR(__xludf.DUMMYFUNCTION("""COMPUTED_VALUE"""),2547231.0)</f>
        <v>2547231</v>
      </c>
      <c r="C580" t="str">
        <f>IFERROR(__xludf.DUMMYFUNCTION("""COMPUTED_VALUE"""),"Muhasebecilik Mesleğine Giriş: Ön Muhasebe - Mali Müşavirlik")</f>
        <v>Muhasebecilik Mesleğine Giriş: Ön Muhasebe - Mali Müşavirlik</v>
      </c>
    </row>
    <row r="581">
      <c r="A581" s="140" t="str">
        <f>IFERROR(__xludf.DUMMYFUNCTION("""COMPUTED_VALUE"""),"en")</f>
        <v>en</v>
      </c>
      <c r="B581">
        <f>IFERROR(__xludf.DUMMYFUNCTION("""COMPUTED_VALUE"""),351110.0)</f>
        <v>351110</v>
      </c>
      <c r="C581" t="str">
        <f>IFERROR(__xludf.DUMMYFUNCTION("""COMPUTED_VALUE"""),"Presentation Skills - Advanced: Speak Without Reading Notes")</f>
        <v>Presentation Skills - Advanced: Speak Without Reading Notes</v>
      </c>
    </row>
    <row r="582">
      <c r="A582" s="140" t="str">
        <f>IFERROR(__xludf.DUMMYFUNCTION("""COMPUTED_VALUE"""),"pt")</f>
        <v>pt</v>
      </c>
      <c r="B582">
        <f>IFERROR(__xludf.DUMMYFUNCTION("""COMPUTED_VALUE"""),2842054.0)</f>
        <v>2842054</v>
      </c>
      <c r="C582" t="str">
        <f>IFERROR(__xludf.DUMMYFUNCTION("""COMPUTED_VALUE"""),"Adobe Illustrator 2021 : Do Zero Aos Recursos Mais Avançados")</f>
        <v>Adobe Illustrator 2021 : Do Zero Aos Recursos Mais Avançados</v>
      </c>
    </row>
    <row r="583">
      <c r="A583" s="140" t="str">
        <f>IFERROR(__xludf.DUMMYFUNCTION("""COMPUTED_VALUE"""),"en")</f>
        <v>en</v>
      </c>
      <c r="B583">
        <f>IFERROR(__xludf.DUMMYFUNCTION("""COMPUTED_VALUE"""),1883574.0)</f>
        <v>1883574</v>
      </c>
      <c r="C583" t="str">
        <f>IFERROR(__xludf.DUMMYFUNCTION("""COMPUTED_VALUE"""),"GDPR Certification &amp; Preparation to CIPP Certification Test")</f>
        <v>GDPR Certification &amp; Preparation to CIPP Certification Test</v>
      </c>
    </row>
    <row r="584">
      <c r="A584" s="140" t="str">
        <f>IFERROR(__xludf.DUMMYFUNCTION("""COMPUTED_VALUE"""),"pt")</f>
        <v>pt</v>
      </c>
      <c r="B584">
        <f>IFERROR(__xludf.DUMMYFUNCTION("""COMPUTED_VALUE"""),4114514.0)</f>
        <v>4114514</v>
      </c>
      <c r="C584" t="str">
        <f>IFERROR(__xludf.DUMMYFUNCTION("""COMPUTED_VALUE"""),"Boas práticas em automação de testes com Cypress")</f>
        <v>Boas práticas em automação de testes com Cypress</v>
      </c>
    </row>
    <row r="585">
      <c r="A585" s="140" t="str">
        <f>IFERROR(__xludf.DUMMYFUNCTION("""COMPUTED_VALUE"""),"en")</f>
        <v>en</v>
      </c>
      <c r="B585">
        <f>IFERROR(__xludf.DUMMYFUNCTION("""COMPUTED_VALUE"""),200994.0)</f>
        <v>200994</v>
      </c>
      <c r="C585" t="str">
        <f>IFERROR(__xludf.DUMMYFUNCTION("""COMPUTED_VALUE"""),"Business Development For Startups and Tech Companies")</f>
        <v>Business Development For Startups and Tech Companies</v>
      </c>
    </row>
    <row r="586">
      <c r="A586" s="140" t="str">
        <f>IFERROR(__xludf.DUMMYFUNCTION("""COMPUTED_VALUE"""),"tr")</f>
        <v>tr</v>
      </c>
      <c r="B586">
        <f>IFERROR(__xludf.DUMMYFUNCTION("""COMPUTED_VALUE"""),2201216.0)</f>
        <v>2201216</v>
      </c>
      <c r="C586" t="str">
        <f>IFERROR(__xludf.DUMMYFUNCTION("""COMPUTED_VALUE"""),"Sıfırdan React ve Context Api")</f>
        <v>Sıfırdan React ve Context Api</v>
      </c>
    </row>
    <row r="587">
      <c r="A587" s="140" t="str">
        <f>IFERROR(__xludf.DUMMYFUNCTION("""COMPUTED_VALUE"""),"en")</f>
        <v>en</v>
      </c>
      <c r="B587">
        <f>IFERROR(__xludf.DUMMYFUNCTION("""COMPUTED_VALUE"""),1037242.0)</f>
        <v>1037242</v>
      </c>
      <c r="C587" t="str">
        <f>IFERROR(__xludf.DUMMYFUNCTION("""COMPUTED_VALUE"""),"Learn Depreciation Accounting with Advanced Excel Model")</f>
        <v>Learn Depreciation Accounting with Advanced Excel Model</v>
      </c>
    </row>
    <row r="588">
      <c r="A588" s="140" t="str">
        <f>IFERROR(__xludf.DUMMYFUNCTION("""COMPUTED_VALUE"""),"en")</f>
        <v>en</v>
      </c>
      <c r="B588">
        <f>IFERROR(__xludf.DUMMYFUNCTION("""COMPUTED_VALUE"""),2296045.0)</f>
        <v>2296045</v>
      </c>
      <c r="C588" t="str">
        <f>IFERROR(__xludf.DUMMYFUNCTION("""COMPUTED_VALUE"""),"Oracle Database Administrator DBA")</f>
        <v>Oracle Database Administrator DBA</v>
      </c>
    </row>
    <row r="589">
      <c r="A589" s="140" t="str">
        <f>IFERROR(__xludf.DUMMYFUNCTION("""COMPUTED_VALUE"""),"en")</f>
        <v>en</v>
      </c>
      <c r="B589">
        <f>IFERROR(__xludf.DUMMYFUNCTION("""COMPUTED_VALUE"""),2490106.0)</f>
        <v>2490106</v>
      </c>
      <c r="C589" t="str">
        <f>IFERROR(__xludf.DUMMYFUNCTION("""COMPUTED_VALUE"""),"Salesforce Lightning web component with live project")</f>
        <v>Salesforce Lightning web component with live project</v>
      </c>
    </row>
    <row r="590">
      <c r="A590" s="140" t="str">
        <f>IFERROR(__xludf.DUMMYFUNCTION("""COMPUTED_VALUE"""),"es")</f>
        <v>es</v>
      </c>
      <c r="B590">
        <f>IFERROR(__xludf.DUMMYFUNCTION("""COMPUTED_VALUE"""),957106.0)</f>
        <v>957106</v>
      </c>
      <c r="C590" t="str">
        <f>IFERROR(__xludf.DUMMYFUNCTION("""COMPUTED_VALUE"""),"Programación de Android desde cero con Java +40 horas")</f>
        <v>Programación de Android desde cero con Java +40 horas</v>
      </c>
    </row>
    <row r="591">
      <c r="A591" s="140" t="str">
        <f>IFERROR(__xludf.DUMMYFUNCTION("""COMPUTED_VALUE"""),"pt")</f>
        <v>pt</v>
      </c>
      <c r="B591">
        <f>IFERROR(__xludf.DUMMYFUNCTION("""COMPUTED_VALUE"""),2153186.0)</f>
        <v>2153186</v>
      </c>
      <c r="C591" t="str">
        <f>IFERROR(__xludf.DUMMYFUNCTION("""COMPUTED_VALUE"""),"Aprenda a falar bem: dicção")</f>
        <v>Aprenda a falar bem: dicção</v>
      </c>
    </row>
    <row r="592">
      <c r="A592" s="140" t="str">
        <f>IFERROR(__xludf.DUMMYFUNCTION("""COMPUTED_VALUE"""),"en")</f>
        <v>en</v>
      </c>
      <c r="B592">
        <f>IFERROR(__xludf.DUMMYFUNCTION("""COMPUTED_VALUE"""),1187714.0)</f>
        <v>1187714</v>
      </c>
      <c r="C592" t="str">
        <f>IFERROR(__xludf.DUMMYFUNCTION("""COMPUTED_VALUE"""),"OSHA Control of Hazardous Energy and Lock Out / Tag Out")</f>
        <v>OSHA Control of Hazardous Energy and Lock Out / Tag Out</v>
      </c>
    </row>
    <row r="593">
      <c r="A593" s="140" t="str">
        <f>IFERROR(__xludf.DUMMYFUNCTION("""COMPUTED_VALUE"""),"en")</f>
        <v>en</v>
      </c>
      <c r="B593">
        <f>IFERROR(__xludf.DUMMYFUNCTION("""COMPUTED_VALUE"""),1461992.0)</f>
        <v>1461992</v>
      </c>
      <c r="C593" t="str">
        <f>IFERROR(__xludf.DUMMYFUNCTION("""COMPUTED_VALUE"""),"Java Design Patterns: The Complete Masterclass - 21 Patterns")</f>
        <v>Java Design Patterns: The Complete Masterclass - 21 Patterns</v>
      </c>
    </row>
    <row r="594">
      <c r="A594" s="140" t="str">
        <f>IFERROR(__xludf.DUMMYFUNCTION("""COMPUTED_VALUE"""),"en")</f>
        <v>en</v>
      </c>
      <c r="B594">
        <f>IFERROR(__xludf.DUMMYFUNCTION("""COMPUTED_VALUE"""),2154442.0)</f>
        <v>2154442</v>
      </c>
      <c r="C594" t="str">
        <f>IFERROR(__xludf.DUMMYFUNCTION("""COMPUTED_VALUE"""),"Desktop Application Development Windows Forms C#")</f>
        <v>Desktop Application Development Windows Forms C#</v>
      </c>
    </row>
    <row r="595">
      <c r="A595" s="140" t="str">
        <f>IFERROR(__xludf.DUMMYFUNCTION("""COMPUTED_VALUE"""),"pt")</f>
        <v>pt</v>
      </c>
      <c r="B595">
        <f>IFERROR(__xludf.DUMMYFUNCTION("""COMPUTED_VALUE"""),1349726.0)</f>
        <v>1349726</v>
      </c>
      <c r="C595" t="str">
        <f>IFERROR(__xludf.DUMMYFUNCTION("""COMPUTED_VALUE"""),"Curso Completo de Android Material Design")</f>
        <v>Curso Completo de Android Material Design</v>
      </c>
    </row>
    <row r="596">
      <c r="A596" s="140" t="str">
        <f>IFERROR(__xludf.DUMMYFUNCTION("""COMPUTED_VALUE"""),"tr")</f>
        <v>tr</v>
      </c>
      <c r="B596">
        <f>IFERROR(__xludf.DUMMYFUNCTION("""COMPUTED_VALUE"""),1905768.0)</f>
        <v>1905768</v>
      </c>
      <c r="C596" t="str">
        <f>IFERROR(__xludf.DUMMYFUNCTION("""COMPUTED_VALUE"""),"T-SQL, SSAS, SSIS ve Power BI ile Raporlama ve Veri Analizi")</f>
        <v>T-SQL, SSAS, SSIS ve Power BI ile Raporlama ve Veri Analizi</v>
      </c>
    </row>
    <row r="597">
      <c r="A597" s="140" t="str">
        <f>IFERROR(__xludf.DUMMYFUNCTION("""COMPUTED_VALUE"""),"es")</f>
        <v>es</v>
      </c>
      <c r="B597">
        <f>IFERROR(__xludf.DUMMYFUNCTION("""COMPUTED_VALUE"""),3356328.0)</f>
        <v>3356328</v>
      </c>
      <c r="C597" t="str">
        <f>IFERROR(__xludf.DUMMYFUNCTION("""COMPUTED_VALUE"""),"Xamarin Forms y SQLite para Android, iOS y UWP 2020")</f>
        <v>Xamarin Forms y SQLite para Android, iOS y UWP 2020</v>
      </c>
    </row>
    <row r="598">
      <c r="A598" s="140" t="str">
        <f>IFERROR(__xludf.DUMMYFUNCTION("""COMPUTED_VALUE"""),"en")</f>
        <v>en</v>
      </c>
      <c r="B598">
        <f>IFERROR(__xludf.DUMMYFUNCTION("""COMPUTED_VALUE"""),2343772.0)</f>
        <v>2343772</v>
      </c>
      <c r="C598" t="str">
        <f>IFERROR(__xludf.DUMMYFUNCTION("""COMPUTED_VALUE"""),"The PMO Bootcamp (find the job, ace it, &amp; master the PMO)")</f>
        <v>The PMO Bootcamp (find the job, ace it, &amp; master the PMO)</v>
      </c>
    </row>
    <row r="599">
      <c r="A599" s="140" t="str">
        <f>IFERROR(__xludf.DUMMYFUNCTION("""COMPUTED_VALUE"""),"en")</f>
        <v>en</v>
      </c>
      <c r="B599">
        <f>IFERROR(__xludf.DUMMYFUNCTION("""COMPUTED_VALUE"""),1469268.0)</f>
        <v>1469268</v>
      </c>
      <c r="C599" t="str">
        <f>IFERROR(__xludf.DUMMYFUNCTION("""COMPUTED_VALUE"""),"Accounting Standards  A Complete Study for CA/CMA/CS")</f>
        <v>Accounting Standards  A Complete Study for CA/CMA/CS</v>
      </c>
    </row>
    <row r="600">
      <c r="A600" s="140" t="str">
        <f>IFERROR(__xludf.DUMMYFUNCTION("""COMPUTED_VALUE"""),"en")</f>
        <v>en</v>
      </c>
      <c r="B600">
        <f>IFERROR(__xludf.DUMMYFUNCTION("""COMPUTED_VALUE"""),1436092.0)</f>
        <v>1436092</v>
      </c>
      <c r="C600" t="str">
        <f>IFERROR(__xludf.DUMMYFUNCTION("""COMPUTED_VALUE"""),"React Native - The Practical Guide [2022 Edition]")</f>
        <v>React Native - The Practical Guide [2022 Edition]</v>
      </c>
    </row>
    <row r="601">
      <c r="A601" s="140" t="str">
        <f>IFERROR(__xludf.DUMMYFUNCTION("""COMPUTED_VALUE"""),"de")</f>
        <v>de</v>
      </c>
      <c r="B601">
        <f>IFERROR(__xludf.DUMMYFUNCTION("""COMPUTED_VALUE"""),710638.0)</f>
        <v>710638</v>
      </c>
      <c r="C601" t="str">
        <f>IFERROR(__xludf.DUMMYFUNCTION("""COMPUTED_VALUE"""),"MS Excel für Anfänger: Grundlagen, Rechnen und Formatieren")</f>
        <v>MS Excel für Anfänger: Grundlagen, Rechnen und Formatieren</v>
      </c>
    </row>
    <row r="602">
      <c r="A602" s="140" t="str">
        <f>IFERROR(__xludf.DUMMYFUNCTION("""COMPUTED_VALUE"""),"en")</f>
        <v>en</v>
      </c>
      <c r="B602">
        <f>IFERROR(__xludf.DUMMYFUNCTION("""COMPUTED_VALUE"""),720094.0)</f>
        <v>720094</v>
      </c>
      <c r="C602" t="str">
        <f>IFERROR(__xludf.DUMMYFUNCTION("""COMPUTED_VALUE"""),"VMware vSphere 6.0 Part 2 - vCenter, Alarms and Templates")</f>
        <v>VMware vSphere 6.0 Part 2 - vCenter, Alarms and Templates</v>
      </c>
    </row>
    <row r="603">
      <c r="A603" s="140" t="str">
        <f>IFERROR(__xludf.DUMMYFUNCTION("""COMPUTED_VALUE"""),"en")</f>
        <v>en</v>
      </c>
      <c r="B603">
        <f>IFERROR(__xludf.DUMMYFUNCTION("""COMPUTED_VALUE"""),2471980.0)</f>
        <v>2471980</v>
      </c>
      <c r="C603" t="str">
        <f>IFERROR(__xludf.DUMMYFUNCTION("""COMPUTED_VALUE"""),"Azure Fundamentals: AZ-900 Certification +Practice Questions")</f>
        <v>Azure Fundamentals: AZ-900 Certification +Practice Questions</v>
      </c>
    </row>
    <row r="604">
      <c r="A604" s="140" t="str">
        <f>IFERROR(__xludf.DUMMYFUNCTION("""COMPUTED_VALUE"""),"es")</f>
        <v>es</v>
      </c>
      <c r="B604">
        <f>IFERROR(__xludf.DUMMYFUNCTION("""COMPUTED_VALUE"""),1148468.0)</f>
        <v>1148468</v>
      </c>
      <c r="C604" t="str">
        <f>IFERROR(__xludf.DUMMYFUNCTION("""COMPUTED_VALUE"""),"Spring Boot 2 &amp; Spring MVC-Desarrollo web profesional(2021)")</f>
        <v>Spring Boot 2 &amp; Spring MVC-Desarrollo web profesional(2021)</v>
      </c>
    </row>
    <row r="605">
      <c r="A605" s="140" t="str">
        <f>IFERROR(__xludf.DUMMYFUNCTION("""COMPUTED_VALUE"""),"en")</f>
        <v>en</v>
      </c>
      <c r="B605">
        <f>IFERROR(__xludf.DUMMYFUNCTION("""COMPUTED_VALUE"""),215728.0)</f>
        <v>215728</v>
      </c>
      <c r="C605" t="str">
        <f>IFERROR(__xludf.DUMMYFUNCTION("""COMPUTED_VALUE"""),"Shark Accounting - Building a Business by the Numbers!")</f>
        <v>Shark Accounting - Building a Business by the Numbers!</v>
      </c>
    </row>
    <row r="606">
      <c r="A606" s="140" t="str">
        <f>IFERROR(__xludf.DUMMYFUNCTION("""COMPUTED_VALUE"""),"en")</f>
        <v>en</v>
      </c>
      <c r="B606">
        <f>IFERROR(__xludf.DUMMYFUNCTION("""COMPUTED_VALUE"""),16151.0)</f>
        <v>16151</v>
      </c>
      <c r="C606" t="str">
        <f>IFERROR(__xludf.DUMMYFUNCTION("""COMPUTED_VALUE"""),"AJAX Development")</f>
        <v>AJAX Development</v>
      </c>
    </row>
    <row r="607">
      <c r="A607" s="140" t="str">
        <f>IFERROR(__xludf.DUMMYFUNCTION("""COMPUTED_VALUE"""),"tr")</f>
        <v>tr</v>
      </c>
      <c r="B607">
        <f>IFERROR(__xludf.DUMMYFUNCTION("""COMPUTED_VALUE"""),3751400.0)</f>
        <v>3751400</v>
      </c>
      <c r="C607" t="str">
        <f>IFERROR(__xludf.DUMMYFUNCTION("""COMPUTED_VALUE"""),"Ekonomi ve finansı anlamak")</f>
        <v>Ekonomi ve finansı anlamak</v>
      </c>
    </row>
    <row r="608">
      <c r="A608" s="140" t="str">
        <f>IFERROR(__xludf.DUMMYFUNCTION("""COMPUTED_VALUE"""),"pt")</f>
        <v>pt</v>
      </c>
      <c r="B608">
        <f>IFERROR(__xludf.DUMMYFUNCTION("""COMPUTED_VALUE"""),1785616.0)</f>
        <v>1785616</v>
      </c>
      <c r="C608" t="str">
        <f>IFERROR(__xludf.DUMMYFUNCTION("""COMPUTED_VALUE"""),"Gerenciamento de Risco com Simulação de Monte Carlo")</f>
        <v>Gerenciamento de Risco com Simulação de Monte Carlo</v>
      </c>
    </row>
    <row r="609">
      <c r="A609" s="140" t="str">
        <f>IFERROR(__xludf.DUMMYFUNCTION("""COMPUTED_VALUE"""),"en")</f>
        <v>en</v>
      </c>
      <c r="B609">
        <f>IFERROR(__xludf.DUMMYFUNCTION("""COMPUTED_VALUE"""),1316886.0)</f>
        <v>1316886</v>
      </c>
      <c r="C609" t="str">
        <f>IFERROR(__xludf.DUMMYFUNCTION("""COMPUTED_VALUE"""),"Web Server IIS Mastery Course")</f>
        <v>Web Server IIS Mastery Course</v>
      </c>
    </row>
    <row r="610">
      <c r="A610" s="140" t="str">
        <f>IFERROR(__xludf.DUMMYFUNCTION("""COMPUTED_VALUE"""),"tr")</f>
        <v>tr</v>
      </c>
      <c r="B610">
        <f>IFERROR(__xludf.DUMMYFUNCTION("""COMPUTED_VALUE"""),2016356.0)</f>
        <v>2016356</v>
      </c>
      <c r="C610" t="str">
        <f>IFERROR(__xludf.DUMMYFUNCTION("""COMPUTED_VALUE"""),"Asp.Net Bootstrap İle SQL Tabanlı Web Projeleri Geliştirin!")</f>
        <v>Asp.Net Bootstrap İle SQL Tabanlı Web Projeleri Geliştirin!</v>
      </c>
    </row>
    <row r="611">
      <c r="A611" s="140" t="str">
        <f>IFERROR(__xludf.DUMMYFUNCTION("""COMPUTED_VALUE"""),"de")</f>
        <v>de</v>
      </c>
      <c r="B611">
        <f>IFERROR(__xludf.DUMMYFUNCTION("""COMPUTED_VALUE"""),1622072.0)</f>
        <v>1622072</v>
      </c>
      <c r="C611" t="str">
        <f>IFERROR(__xludf.DUMMYFUNCTION("""COMPUTED_VALUE"""),"Social Media Marketing - Deine Content Strategie")</f>
        <v>Social Media Marketing - Deine Content Strategie</v>
      </c>
    </row>
    <row r="612">
      <c r="A612" s="140" t="str">
        <f>IFERROR(__xludf.DUMMYFUNCTION("""COMPUTED_VALUE"""),"en")</f>
        <v>en</v>
      </c>
      <c r="B612">
        <f>IFERROR(__xludf.DUMMYFUNCTION("""COMPUTED_VALUE"""),1117068.0)</f>
        <v>1117068</v>
      </c>
      <c r="C612" t="str">
        <f>IFERROR(__xludf.DUMMYFUNCTION("""COMPUTED_VALUE"""),"Unit testing your Javascript with jasmine")</f>
        <v>Unit testing your Javascript with jasmine</v>
      </c>
    </row>
    <row r="613">
      <c r="A613" s="140" t="str">
        <f>IFERROR(__xludf.DUMMYFUNCTION("""COMPUTED_VALUE"""),"de")</f>
        <v>de</v>
      </c>
      <c r="B613">
        <f>IFERROR(__xludf.DUMMYFUNCTION("""COMPUTED_VALUE"""),2296466.0)</f>
        <v>2296466</v>
      </c>
      <c r="C613" t="str">
        <f>IFERROR(__xludf.DUMMYFUNCTION("""COMPUTED_VALUE"""),"Swift 5 iOS 14 - Apps entwicklen A-Z inkl. SwiftUI 2.0")</f>
        <v>Swift 5 iOS 14 - Apps entwicklen A-Z inkl. SwiftUI 2.0</v>
      </c>
    </row>
    <row r="614">
      <c r="A614" s="140" t="str">
        <f>IFERROR(__xludf.DUMMYFUNCTION("""COMPUTED_VALUE"""),"es")</f>
        <v>es</v>
      </c>
      <c r="B614">
        <f>IFERROR(__xludf.DUMMYFUNCTION("""COMPUTED_VALUE"""),1907864.0)</f>
        <v>1907864</v>
      </c>
      <c r="C614" t="str">
        <f>IFERROR(__xludf.DUMMYFUNCTION("""COMPUTED_VALUE"""),"Desarrollo de Temas de WordPress con Bootstrap 4 y CMB2")</f>
        <v>Desarrollo de Temas de WordPress con Bootstrap 4 y CMB2</v>
      </c>
    </row>
    <row r="615">
      <c r="A615" s="140" t="str">
        <f>IFERROR(__xludf.DUMMYFUNCTION("""COMPUTED_VALUE"""),"ja")</f>
        <v>ja</v>
      </c>
      <c r="B615">
        <f>IFERROR(__xludf.DUMMYFUNCTION("""COMPUTED_VALUE"""),2162830.0)</f>
        <v>2162830</v>
      </c>
      <c r="C615" t="str">
        <f>IFERROR(__xludf.DUMMYFUNCTION("""COMPUTED_VALUE"""),"Excel上級者へのピボットテーブル ～180分で集計分析、グラフ、ダッシュボードまで手を動かして学ぶ忍者マスター「林」")</f>
        <v>Excel上級者へのピボットテーブル ～180分で集計分析、グラフ、ダッシュボードまで手を動かして学ぶ忍者マスター「林」</v>
      </c>
    </row>
    <row r="616">
      <c r="A616" s="140" t="str">
        <f>IFERROR(__xludf.DUMMYFUNCTION("""COMPUTED_VALUE"""),"fr")</f>
        <v>fr</v>
      </c>
      <c r="B616">
        <f>IFERROR(__xludf.DUMMYFUNCTION("""COMPUTED_VALUE"""),3348474.0)</f>
        <v>3348474</v>
      </c>
      <c r="C616" t="str">
        <f>IFERROR(__xludf.DUMMYFUNCTION("""COMPUTED_VALUE"""),"Apprendre Spring Boot 2 par la pratique")</f>
        <v>Apprendre Spring Boot 2 par la pratique</v>
      </c>
    </row>
    <row r="617">
      <c r="A617" s="140" t="str">
        <f>IFERROR(__xludf.DUMMYFUNCTION("""COMPUTED_VALUE"""),"en")</f>
        <v>en</v>
      </c>
      <c r="B617">
        <f>IFERROR(__xludf.DUMMYFUNCTION("""COMPUTED_VALUE"""),2006624.0)</f>
        <v>2006624</v>
      </c>
      <c r="C617" t="str">
        <f>IFERROR(__xludf.DUMMYFUNCTION("""COMPUTED_VALUE"""),"Create a Battle Royale game using Unreal Engine 4 Blueprints")</f>
        <v>Create a Battle Royale game using Unreal Engine 4 Blueprints</v>
      </c>
    </row>
    <row r="618">
      <c r="A618" s="140" t="str">
        <f>IFERROR(__xludf.DUMMYFUNCTION("""COMPUTED_VALUE"""),"en")</f>
        <v>en</v>
      </c>
      <c r="B618">
        <f>IFERROR(__xludf.DUMMYFUNCTION("""COMPUTED_VALUE"""),3431326.0)</f>
        <v>3431326</v>
      </c>
      <c r="C618" t="str">
        <f>IFERROR(__xludf.DUMMYFUNCTION("""COMPUTED_VALUE"""),"Docker for .Net and Angular Developers")</f>
        <v>Docker for .Net and Angular Developers</v>
      </c>
    </row>
    <row r="619">
      <c r="A619" s="140" t="str">
        <f>IFERROR(__xludf.DUMMYFUNCTION("""COMPUTED_VALUE"""),"en")</f>
        <v>en</v>
      </c>
      <c r="B619">
        <f>IFERROR(__xludf.DUMMYFUNCTION("""COMPUTED_VALUE"""),113316.0)</f>
        <v>113316</v>
      </c>
      <c r="C619" t="str">
        <f>IFERROR(__xludf.DUMMYFUNCTION("""COMPUTED_VALUE"""),"Introduction to Microsoft PowerPoint 2013")</f>
        <v>Introduction to Microsoft PowerPoint 2013</v>
      </c>
    </row>
    <row r="620">
      <c r="A620" s="140" t="str">
        <f>IFERROR(__xludf.DUMMYFUNCTION("""COMPUTED_VALUE"""),"pt")</f>
        <v>pt</v>
      </c>
      <c r="B620">
        <f>IFERROR(__xludf.DUMMYFUNCTION("""COMPUTED_VALUE"""),1721312.0)</f>
        <v>1721312</v>
      </c>
      <c r="C620" t="str">
        <f>IFERROR(__xludf.DUMMYFUNCTION("""COMPUTED_VALUE"""),"JMeter - Testes de performance")</f>
        <v>JMeter - Testes de performance</v>
      </c>
    </row>
    <row r="621">
      <c r="A621" s="140" t="str">
        <f>IFERROR(__xludf.DUMMYFUNCTION("""COMPUTED_VALUE"""),"de")</f>
        <v>de</v>
      </c>
      <c r="B621">
        <f>IFERROR(__xludf.DUMMYFUNCTION("""COMPUTED_VALUE"""),2459334.0)</f>
        <v>2459334</v>
      </c>
      <c r="C621" t="str">
        <f>IFERROR(__xludf.DUMMYFUNCTION("""COMPUTED_VALUE"""),"Adobe InDesign CC – InDesign Meisterkurs Anfänger bis Profi")</f>
        <v>Adobe InDesign CC – InDesign Meisterkurs Anfänger bis Profi</v>
      </c>
    </row>
    <row r="622">
      <c r="A622" s="140" t="str">
        <f>IFERROR(__xludf.DUMMYFUNCTION("""COMPUTED_VALUE"""),"en")</f>
        <v>en</v>
      </c>
      <c r="B622">
        <f>IFERROR(__xludf.DUMMYFUNCTION("""COMPUTED_VALUE"""),1177686.0)</f>
        <v>1177686</v>
      </c>
      <c r="C622" t="str">
        <f>IFERROR(__xludf.DUMMYFUNCTION("""COMPUTED_VALUE"""),"Management Skills - Build Employee Engagement &amp; Performance")</f>
        <v>Management Skills - Build Employee Engagement &amp; Performance</v>
      </c>
    </row>
    <row r="623">
      <c r="A623" s="140" t="str">
        <f>IFERROR(__xludf.DUMMYFUNCTION("""COMPUTED_VALUE"""),"en")</f>
        <v>en</v>
      </c>
      <c r="B623">
        <f>IFERROR(__xludf.DUMMYFUNCTION("""COMPUTED_VALUE"""),1435072.0)</f>
        <v>1435072</v>
      </c>
      <c r="C623" t="str">
        <f>IFERROR(__xludf.DUMMYFUNCTION("""COMPUTED_VALUE"""),"Learn Amazon Web Services (AWS): The complete introduction")</f>
        <v>Learn Amazon Web Services (AWS): The complete introduction</v>
      </c>
    </row>
    <row r="624">
      <c r="A624" s="140" t="str">
        <f>IFERROR(__xludf.DUMMYFUNCTION("""COMPUTED_VALUE"""),"fr")</f>
        <v>fr</v>
      </c>
      <c r="B624">
        <f>IFERROR(__xludf.DUMMYFUNCTION("""COMPUTED_VALUE"""),2737766.0)</f>
        <v>2737766</v>
      </c>
      <c r="C624" t="str">
        <f>IFERROR(__xludf.DUMMYFUNCTION("""COMPUTED_VALUE"""),"Les animations avec Flutter et Dart")</f>
        <v>Les animations avec Flutter et Dart</v>
      </c>
    </row>
    <row r="625">
      <c r="A625" s="140" t="str">
        <f>IFERROR(__xludf.DUMMYFUNCTION("""COMPUTED_VALUE"""),"ja")</f>
        <v>ja</v>
      </c>
      <c r="B625">
        <f>IFERROR(__xludf.DUMMYFUNCTION("""COMPUTED_VALUE"""),2483458.0)</f>
        <v>2483458</v>
      </c>
      <c r="C625" t="str">
        <f>IFERROR(__xludf.DUMMYFUNCTION("""COMPUTED_VALUE"""),"Unity  VR 超入門 : C# と Unity を基礎から学んで VR ゲーム を作ろう！")</f>
        <v>Unity  VR 超入門 : C# と Unity を基礎から学んで VR ゲーム を作ろう！</v>
      </c>
    </row>
    <row r="626">
      <c r="A626" s="140" t="str">
        <f>IFERROR(__xludf.DUMMYFUNCTION("""COMPUTED_VALUE"""),"en")</f>
        <v>en</v>
      </c>
      <c r="B626">
        <f>IFERROR(__xludf.DUMMYFUNCTION("""COMPUTED_VALUE"""),196320.0)</f>
        <v>196320</v>
      </c>
      <c r="C626" t="str">
        <f>IFERROR(__xludf.DUMMYFUNCTION("""COMPUTED_VALUE"""),"Advanced agile communication skills for 21st Century leaders")</f>
        <v>Advanced agile communication skills for 21st Century leaders</v>
      </c>
    </row>
    <row r="627">
      <c r="A627" s="140" t="str">
        <f>IFERROR(__xludf.DUMMYFUNCTION("""COMPUTED_VALUE"""),"es")</f>
        <v>es</v>
      </c>
      <c r="B627">
        <f>IFERROR(__xludf.DUMMYFUNCTION("""COMPUTED_VALUE"""),2027872.0)</f>
        <v>2027872</v>
      </c>
      <c r="C627" t="str">
        <f>IFERROR(__xludf.DUMMYFUNCTION("""COMPUTED_VALUE"""),"Domina SCRUM con JIRA - Metodología Agile [2021]")</f>
        <v>Domina SCRUM con JIRA - Metodología Agile [2021]</v>
      </c>
    </row>
    <row r="628">
      <c r="A628" s="140" t="str">
        <f>IFERROR(__xludf.DUMMYFUNCTION("""COMPUTED_VALUE"""),"en")</f>
        <v>en</v>
      </c>
      <c r="B628">
        <f>IFERROR(__xludf.DUMMYFUNCTION("""COMPUTED_VALUE"""),1218130.0)</f>
        <v>1218130</v>
      </c>
      <c r="C628" t="str">
        <f>IFERROR(__xludf.DUMMYFUNCTION("""COMPUTED_VALUE"""),"React VR - Creating Virtual Reality Apps")</f>
        <v>React VR - Creating Virtual Reality Apps</v>
      </c>
    </row>
    <row r="629">
      <c r="A629" s="140" t="str">
        <f>IFERROR(__xludf.DUMMYFUNCTION("""COMPUTED_VALUE"""),"pt")</f>
        <v>pt</v>
      </c>
      <c r="B629">
        <f>IFERROR(__xludf.DUMMYFUNCTION("""COMPUTED_VALUE"""),3029974.0)</f>
        <v>3029974</v>
      </c>
      <c r="C629" t="str">
        <f>IFERROR(__xludf.DUMMYFUNCTION("""COMPUTED_VALUE"""),"Terraform no Azure - Infraestrutura como Código e DevOps")</f>
        <v>Terraform no Azure - Infraestrutura como Código e DevOps</v>
      </c>
    </row>
    <row r="630">
      <c r="A630" s="140" t="str">
        <f>IFERROR(__xludf.DUMMYFUNCTION("""COMPUTED_VALUE"""),"ko")</f>
        <v>ko</v>
      </c>
      <c r="B630">
        <f>IFERROR(__xludf.DUMMYFUNCTION("""COMPUTED_VALUE"""),1124124.0)</f>
        <v>1124124</v>
      </c>
      <c r="C630" t="str">
        <f>IFERROR(__xludf.DUMMYFUNCTION("""COMPUTED_VALUE"""),"인벤터 실무 동영상 강좌 3편 - 인벤터 어플리케이션")</f>
        <v>인벤터 실무 동영상 강좌 3편 - 인벤터 어플리케이션</v>
      </c>
    </row>
    <row r="631">
      <c r="A631" s="140" t="str">
        <f>IFERROR(__xludf.DUMMYFUNCTION("""COMPUTED_VALUE"""),"ja")</f>
        <v>ja</v>
      </c>
      <c r="B631">
        <f>IFERROR(__xludf.DUMMYFUNCTION("""COMPUTED_VALUE"""),3317968.0)</f>
        <v>3317968</v>
      </c>
      <c r="C631" t="str">
        <f>IFERROR(__xludf.DUMMYFUNCTION("""COMPUTED_VALUE"""),"ゼロから始める！パワーポイント最速資料作成術")</f>
        <v>ゼロから始める！パワーポイント最速資料作成術</v>
      </c>
    </row>
    <row r="632">
      <c r="A632" s="140" t="str">
        <f>IFERROR(__xludf.DUMMYFUNCTION("""COMPUTED_VALUE"""),"en")</f>
        <v>en</v>
      </c>
      <c r="B632">
        <f>IFERROR(__xludf.DUMMYFUNCTION("""COMPUTED_VALUE"""),1861938.0)</f>
        <v>1861938</v>
      </c>
      <c r="C632" t="str">
        <f>IFERROR(__xludf.DUMMYFUNCTION("""COMPUTED_VALUE"""),"Create your first course in Articulate Storyline 3")</f>
        <v>Create your first course in Articulate Storyline 3</v>
      </c>
    </row>
    <row r="633">
      <c r="A633" s="140" t="str">
        <f>IFERROR(__xludf.DUMMYFUNCTION("""COMPUTED_VALUE"""),"en")</f>
        <v>en</v>
      </c>
      <c r="B633">
        <f>IFERROR(__xludf.DUMMYFUNCTION("""COMPUTED_VALUE"""),3542736.0)</f>
        <v>3542736</v>
      </c>
      <c r="C633" t="str">
        <f>IFERROR(__xludf.DUMMYFUNCTION("""COMPUTED_VALUE"""),"Tailwind CSS - A new way to &gt; THINK &lt; CSS")</f>
        <v>Tailwind CSS - A new way to &gt; THINK &lt; CSS</v>
      </c>
    </row>
    <row r="634">
      <c r="A634" s="140" t="str">
        <f>IFERROR(__xludf.DUMMYFUNCTION("""COMPUTED_VALUE"""),"es")</f>
        <v>es</v>
      </c>
      <c r="B634">
        <f>IFERROR(__xludf.DUMMYFUNCTION("""COMPUTED_VALUE"""),2851058.0)</f>
        <v>2851058</v>
      </c>
      <c r="C634" t="str">
        <f>IFERROR(__xludf.DUMMYFUNCTION("""COMPUTED_VALUE"""),"Aprende programación orientada a objetos en C# con proyectos")</f>
        <v>Aprende programación orientada a objetos en C# con proyectos</v>
      </c>
    </row>
    <row r="635">
      <c r="A635" s="140" t="str">
        <f>IFERROR(__xludf.DUMMYFUNCTION("""COMPUTED_VALUE"""),"tr")</f>
        <v>tr</v>
      </c>
      <c r="B635">
        <f>IFERROR(__xludf.DUMMYFUNCTION("""COMPUTED_VALUE"""),1689450.0)</f>
        <v>1689450</v>
      </c>
      <c r="C635" t="str">
        <f>IFERROR(__xludf.DUMMYFUNCTION("""COMPUTED_VALUE"""),"A'dan Z'ye Apache Spark (Scala &amp; Python)")</f>
        <v>A'dan Z'ye Apache Spark (Scala &amp; Python)</v>
      </c>
    </row>
    <row r="636">
      <c r="A636" s="140" t="str">
        <f>IFERROR(__xludf.DUMMYFUNCTION("""COMPUTED_VALUE"""),"en")</f>
        <v>en</v>
      </c>
      <c r="B636">
        <f>IFERROR(__xludf.DUMMYFUNCTION("""COMPUTED_VALUE"""),3112646.0)</f>
        <v>3112646</v>
      </c>
      <c r="C636" t="str">
        <f>IFERROR(__xludf.DUMMYFUNCTION("""COMPUTED_VALUE"""),"Mule 4.X indepth beginner to expert with real time use cases")</f>
        <v>Mule 4.X indepth beginner to expert with real time use cases</v>
      </c>
    </row>
    <row r="637">
      <c r="A637" s="140" t="str">
        <f>IFERROR(__xludf.DUMMYFUNCTION("""COMPUTED_VALUE"""),"ko")</f>
        <v>ko</v>
      </c>
      <c r="B637">
        <f>IFERROR(__xludf.DUMMYFUNCTION("""COMPUTED_VALUE"""),4279180.0)</f>
        <v>4279180</v>
      </c>
      <c r="C637" t="str">
        <f>IFERROR(__xludf.DUMMYFUNCTION("""COMPUTED_VALUE"""),"영어 발음 디톡스 - 리스닝과 스피킹 동시에 해결하는 영어 발음 강의")</f>
        <v>영어 발음 디톡스 - 리스닝과 스피킹 동시에 해결하는 영어 발음 강의</v>
      </c>
    </row>
    <row r="638">
      <c r="A638" s="140" t="str">
        <f>IFERROR(__xludf.DUMMYFUNCTION("""COMPUTED_VALUE"""),"es")</f>
        <v>es</v>
      </c>
      <c r="B638">
        <f>IFERROR(__xludf.DUMMYFUNCTION("""COMPUTED_VALUE"""),3255310.0)</f>
        <v>3255310</v>
      </c>
      <c r="C638" t="str">
        <f>IFERROR(__xludf.DUMMYFUNCTION("""COMPUTED_VALUE"""),"Oratoria y Comunicación Efectiva con PNL")</f>
        <v>Oratoria y Comunicación Efectiva con PNL</v>
      </c>
    </row>
    <row r="639">
      <c r="A639" s="140" t="str">
        <f>IFERROR(__xludf.DUMMYFUNCTION("""COMPUTED_VALUE"""),"en")</f>
        <v>en</v>
      </c>
      <c r="B639">
        <f>IFERROR(__xludf.DUMMYFUNCTION("""COMPUTED_VALUE"""),3377586.0)</f>
        <v>3377586</v>
      </c>
      <c r="C639" t="str">
        <f>IFERROR(__xludf.DUMMYFUNCTION("""COMPUTED_VALUE"""),"Learn Academic Referencing With EndNote - Tips From My PhD")</f>
        <v>Learn Academic Referencing With EndNote - Tips From My PhD</v>
      </c>
    </row>
    <row r="640">
      <c r="A640" s="140" t="str">
        <f>IFERROR(__xludf.DUMMYFUNCTION("""COMPUTED_VALUE"""),"es")</f>
        <v>es</v>
      </c>
      <c r="B640">
        <f>IFERROR(__xludf.DUMMYFUNCTION("""COMPUTED_VALUE"""),3875818.0)</f>
        <v>3875818</v>
      </c>
      <c r="C640" t="str">
        <f>IFERROR(__xludf.DUMMYFUNCTION("""COMPUTED_VALUE"""),"Estrategia de Marketing y Marketing Digital 2021 - desde 0")</f>
        <v>Estrategia de Marketing y Marketing Digital 2021 - desde 0</v>
      </c>
    </row>
    <row r="641">
      <c r="A641" s="140" t="str">
        <f>IFERROR(__xludf.DUMMYFUNCTION("""COMPUTED_VALUE"""),"ar")</f>
        <v>ar</v>
      </c>
      <c r="B641">
        <f>IFERROR(__xludf.DUMMYFUNCTION("""COMPUTED_VALUE"""),2252896.0)</f>
        <v>2252896</v>
      </c>
      <c r="C641" t="str">
        <f>IFERROR(__xludf.DUMMYFUNCTION("""COMPUTED_VALUE"""),"اسرار السيو : كيف تصبح رقم #1 وتحقق ارباح كبيرة عبر الانترنت")</f>
        <v>اسرار السيو : كيف تصبح رقم #1 وتحقق ارباح كبيرة عبر الانترنت</v>
      </c>
    </row>
    <row r="642">
      <c r="A642" s="140" t="str">
        <f>IFERROR(__xludf.DUMMYFUNCTION("""COMPUTED_VALUE"""),"pt")</f>
        <v>pt</v>
      </c>
      <c r="B642">
        <f>IFERROR(__xludf.DUMMYFUNCTION("""COMPUTED_VALUE"""),2440206.0)</f>
        <v>2440206</v>
      </c>
      <c r="C642" t="str">
        <f>IFERROR(__xludf.DUMMYFUNCTION("""COMPUTED_VALUE"""),"Inteligência Artificial aplicada para Empresas e Negócios")</f>
        <v>Inteligência Artificial aplicada para Empresas e Negócios</v>
      </c>
    </row>
    <row r="643">
      <c r="A643" s="140" t="str">
        <f>IFERROR(__xludf.DUMMYFUNCTION("""COMPUTED_VALUE"""),"tr")</f>
        <v>tr</v>
      </c>
      <c r="B643">
        <f>IFERROR(__xludf.DUMMYFUNCTION("""COMPUTED_VALUE"""),1672602.0)</f>
        <v>1672602</v>
      </c>
      <c r="C643" t="str">
        <f>IFERROR(__xludf.DUMMYFUNCTION("""COMPUTED_VALUE"""),"Sıfırdan İleri Seviye Laravel Eğitimi")</f>
        <v>Sıfırdan İleri Seviye Laravel Eğitimi</v>
      </c>
    </row>
    <row r="644">
      <c r="A644" s="140" t="str">
        <f>IFERROR(__xludf.DUMMYFUNCTION("""COMPUTED_VALUE"""),"en")</f>
        <v>en</v>
      </c>
      <c r="B644">
        <f>IFERROR(__xludf.DUMMYFUNCTION("""COMPUTED_VALUE"""),395700.0)</f>
        <v>395700</v>
      </c>
      <c r="C644" t="str">
        <f>IFERROR(__xludf.DUMMYFUNCTION("""COMPUTED_VALUE"""),"Microsoft PowerPoint in 1 Hour : Introduction to PowerPoint")</f>
        <v>Microsoft PowerPoint in 1 Hour : Introduction to PowerPoint</v>
      </c>
    </row>
    <row r="645">
      <c r="A645" s="140" t="str">
        <f>IFERROR(__xludf.DUMMYFUNCTION("""COMPUTED_VALUE"""),"ja")</f>
        <v>ja</v>
      </c>
      <c r="B645">
        <f>IFERROR(__xludf.DUMMYFUNCTION("""COMPUTED_VALUE"""),3753782.0)</f>
        <v>3753782</v>
      </c>
      <c r="C645" t="str">
        <f>IFERROR(__xludf.DUMMYFUNCTION("""COMPUTED_VALUE"""),"【ウェブ・アプリ開発のプロダクトマネジメントをケースで学ぶ】プロダクトマネージャー入門")</f>
        <v>【ウェブ・アプリ開発のプロダクトマネジメントをケースで学ぶ】プロダクトマネージャー入門</v>
      </c>
    </row>
    <row r="646">
      <c r="A646" s="140" t="str">
        <f>IFERROR(__xludf.DUMMYFUNCTION("""COMPUTED_VALUE"""),"en")</f>
        <v>en</v>
      </c>
      <c r="B646">
        <f>IFERROR(__xludf.DUMMYFUNCTION("""COMPUTED_VALUE"""),2330370.0)</f>
        <v>2330370</v>
      </c>
      <c r="C646" t="str">
        <f>IFERROR(__xludf.DUMMYFUNCTION("""COMPUTED_VALUE"""),"BigFix Administration - Be an 'Expert'!")</f>
        <v>BigFix Administration - Be an 'Expert'!</v>
      </c>
    </row>
    <row r="647">
      <c r="A647" s="140" t="str">
        <f>IFERROR(__xludf.DUMMYFUNCTION("""COMPUTED_VALUE"""),"ja")</f>
        <v>ja</v>
      </c>
      <c r="B647">
        <f>IFERROR(__xludf.DUMMYFUNCTION("""COMPUTED_VALUE"""),3757244.0)</f>
        <v>3757244</v>
      </c>
      <c r="C647" t="str">
        <f>IFERROR(__xludf.DUMMYFUNCTION("""COMPUTED_VALUE"""),"＜BtoBマーケティング基礎講座＞マーケティング戦略とリードマネジメント")</f>
        <v>＜BtoBマーケティング基礎講座＞マーケティング戦略とリードマネジメント</v>
      </c>
    </row>
    <row r="648">
      <c r="A648" s="140" t="str">
        <f>IFERROR(__xludf.DUMMYFUNCTION("""COMPUTED_VALUE"""),"en")</f>
        <v>en</v>
      </c>
      <c r="B648">
        <f>IFERROR(__xludf.DUMMYFUNCTION("""COMPUTED_VALUE"""),3064322.0)</f>
        <v>3064322</v>
      </c>
      <c r="C648" t="str">
        <f>IFERROR(__xludf.DUMMYFUNCTION("""COMPUTED_VALUE"""),"Pinterest Marketing &amp; Advertising Beginner To Advanced 2021")</f>
        <v>Pinterest Marketing &amp; Advertising Beginner To Advanced 2021</v>
      </c>
    </row>
    <row r="649">
      <c r="A649" s="140" t="str">
        <f>IFERROR(__xludf.DUMMYFUNCTION("""COMPUTED_VALUE"""),"en")</f>
        <v>en</v>
      </c>
      <c r="B649">
        <f>IFERROR(__xludf.DUMMYFUNCTION("""COMPUTED_VALUE"""),1421014.0)</f>
        <v>1421014</v>
      </c>
      <c r="C649" t="str">
        <f>IFERROR(__xludf.DUMMYFUNCTION("""COMPUTED_VALUE"""),"Living from the Inside Out")</f>
        <v>Living from the Inside Out</v>
      </c>
    </row>
    <row r="650">
      <c r="A650" s="140" t="str">
        <f>IFERROR(__xludf.DUMMYFUNCTION("""COMPUTED_VALUE"""),"en")</f>
        <v>en</v>
      </c>
      <c r="B650">
        <f>IFERROR(__xludf.DUMMYFUNCTION("""COMPUTED_VALUE"""),4302863.0)</f>
        <v>4302863</v>
      </c>
      <c r="C650" t="str">
        <f>IFERROR(__xludf.DUMMYFUNCTION("""COMPUTED_VALUE"""),"Supercharge Scala Future | FP-Tower")</f>
        <v>Supercharge Scala Future | FP-Tower</v>
      </c>
    </row>
    <row r="651">
      <c r="A651" s="140" t="str">
        <f>IFERROR(__xludf.DUMMYFUNCTION("""COMPUTED_VALUE"""),"pt")</f>
        <v>pt</v>
      </c>
      <c r="B651">
        <f>IFERROR(__xludf.DUMMYFUNCTION("""COMPUTED_VALUE"""),2017312.0)</f>
        <v>2017312</v>
      </c>
      <c r="C651" t="str">
        <f>IFERROR(__xludf.DUMMYFUNCTION("""COMPUTED_VALUE"""),"React Native Criando aplicativos do zero ao avançado")</f>
        <v>React Native Criando aplicativos do zero ao avançado</v>
      </c>
    </row>
    <row r="652">
      <c r="A652" s="140" t="str">
        <f>IFERROR(__xludf.DUMMYFUNCTION("""COMPUTED_VALUE"""),"en")</f>
        <v>en</v>
      </c>
      <c r="B652">
        <f>IFERROR(__xludf.DUMMYFUNCTION("""COMPUTED_VALUE"""),1717968.0)</f>
        <v>1717968</v>
      </c>
      <c r="C652" t="str">
        <f>IFERROR(__xludf.DUMMYFUNCTION("""COMPUTED_VALUE"""),"AWS Certified Security Specialist")</f>
        <v>AWS Certified Security Specialist</v>
      </c>
    </row>
    <row r="653">
      <c r="A653" s="140" t="str">
        <f>IFERROR(__xludf.DUMMYFUNCTION("""COMPUTED_VALUE"""),"en")</f>
        <v>en</v>
      </c>
      <c r="B653">
        <f>IFERROR(__xludf.DUMMYFUNCTION("""COMPUTED_VALUE"""),412414.0)</f>
        <v>412414</v>
      </c>
      <c r="C653" t="str">
        <f>IFERROR(__xludf.DUMMYFUNCTION("""COMPUTED_VALUE"""),"How to Find an Email Address &amp; Get Your Dream Job")</f>
        <v>How to Find an Email Address &amp; Get Your Dream Job</v>
      </c>
    </row>
    <row r="654">
      <c r="A654" s="140" t="str">
        <f>IFERROR(__xludf.DUMMYFUNCTION("""COMPUTED_VALUE"""),"en")</f>
        <v>en</v>
      </c>
      <c r="B654">
        <f>IFERROR(__xludf.DUMMYFUNCTION("""COMPUTED_VALUE"""),1208228.0)</f>
        <v>1208228</v>
      </c>
      <c r="C654" t="str">
        <f>IFERROR(__xludf.DUMMYFUNCTION("""COMPUTED_VALUE"""),"Digitally Painting Light and Color: Amateur to Master")</f>
        <v>Digitally Painting Light and Color: Amateur to Master</v>
      </c>
    </row>
    <row r="655">
      <c r="A655" s="140" t="str">
        <f>IFERROR(__xludf.DUMMYFUNCTION("""COMPUTED_VALUE"""),"en")</f>
        <v>en</v>
      </c>
      <c r="B655">
        <f>IFERROR(__xludf.DUMMYFUNCTION("""COMPUTED_VALUE"""),2340566.0)</f>
        <v>2340566</v>
      </c>
      <c r="C655" t="str">
        <f>IFERROR(__xludf.DUMMYFUNCTION("""COMPUTED_VALUE"""),"The Complete Final Cut Pro X Video Editing Crash Course")</f>
        <v>The Complete Final Cut Pro X Video Editing Crash Course</v>
      </c>
    </row>
    <row r="656">
      <c r="A656" s="140" t="str">
        <f>IFERROR(__xludf.DUMMYFUNCTION("""COMPUTED_VALUE"""),"pt")</f>
        <v>pt</v>
      </c>
      <c r="B656">
        <f>IFERROR(__xludf.DUMMYFUNCTION("""COMPUTED_VALUE"""),3427722.0)</f>
        <v>3427722</v>
      </c>
      <c r="C656" t="str">
        <f>IFERROR(__xludf.DUMMYFUNCTION("""COMPUTED_VALUE"""),"Inteligência Artificial e Machine Learning: O Guia Completo")</f>
        <v>Inteligência Artificial e Machine Learning: O Guia Completo</v>
      </c>
    </row>
    <row r="657">
      <c r="A657" s="140" t="str">
        <f>IFERROR(__xludf.DUMMYFUNCTION("""COMPUTED_VALUE"""),"es")</f>
        <v>es</v>
      </c>
      <c r="B657">
        <f>IFERROR(__xludf.DUMMYFUNCTION("""COMPUTED_VALUE"""),1337000.0)</f>
        <v>1337000</v>
      </c>
      <c r="C657" t="str">
        <f>IFERROR(__xludf.DUMMYFUNCTION("""COMPUTED_VALUE"""),"Master en JavaScript: Aprender JS, jQuery, Angular, NodeJS")</f>
        <v>Master en JavaScript: Aprender JS, jQuery, Angular, NodeJS</v>
      </c>
    </row>
    <row r="658">
      <c r="A658" s="140" t="str">
        <f>IFERROR(__xludf.DUMMYFUNCTION("""COMPUTED_VALUE"""),"en")</f>
        <v>en</v>
      </c>
      <c r="B658">
        <f>IFERROR(__xludf.DUMMYFUNCTION("""COMPUTED_VALUE"""),878522.0)</f>
        <v>878522</v>
      </c>
      <c r="C658" t="str">
        <f>IFERROR(__xludf.DUMMYFUNCTION("""COMPUTED_VALUE"""),"The Beginner's Guide to Animation in Unity (v5 to v2020+)")</f>
        <v>The Beginner's Guide to Animation in Unity (v5 to v2020+)</v>
      </c>
    </row>
    <row r="659">
      <c r="A659" s="140" t="str">
        <f>IFERROR(__xludf.DUMMYFUNCTION("""COMPUTED_VALUE"""),"es")</f>
        <v>es</v>
      </c>
      <c r="B659">
        <f>IFERROR(__xludf.DUMMYFUNCTION("""COMPUTED_VALUE"""),3040262.0)</f>
        <v>3040262</v>
      </c>
      <c r="C659" t="str">
        <f>IFERROR(__xludf.DUMMYFUNCTION("""COMPUTED_VALUE"""),"ISO 31000:2018 Gestión del riesgo — Directrices")</f>
        <v>ISO 31000:2018 Gestión del riesgo — Directrices</v>
      </c>
    </row>
    <row r="660">
      <c r="A660" s="140" t="str">
        <f>IFERROR(__xludf.DUMMYFUNCTION("""COMPUTED_VALUE"""),"en")</f>
        <v>en</v>
      </c>
      <c r="B660">
        <f>IFERROR(__xludf.DUMMYFUNCTION("""COMPUTED_VALUE"""),1423634.0)</f>
        <v>1423634</v>
      </c>
      <c r="C660" t="str">
        <f>IFERROR(__xludf.DUMMYFUNCTION("""COMPUTED_VALUE"""),"Learn RabbitMQ: Asynchronous Messaging with Java and Spring")</f>
        <v>Learn RabbitMQ: Asynchronous Messaging with Java and Spring</v>
      </c>
    </row>
    <row r="661">
      <c r="A661" s="140" t="str">
        <f>IFERROR(__xludf.DUMMYFUNCTION("""COMPUTED_VALUE"""),"en")</f>
        <v>en</v>
      </c>
      <c r="B661">
        <f>IFERROR(__xludf.DUMMYFUNCTION("""COMPUTED_VALUE"""),829086.0)</f>
        <v>829086</v>
      </c>
      <c r="C661" t="str">
        <f>IFERROR(__xludf.DUMMYFUNCTION("""COMPUTED_VALUE"""),"How to Design a Website on Squarespace - No Coding Required")</f>
        <v>How to Design a Website on Squarespace - No Coding Required</v>
      </c>
    </row>
    <row r="662">
      <c r="A662" s="140" t="str">
        <f>IFERROR(__xludf.DUMMYFUNCTION("""COMPUTED_VALUE"""),"en")</f>
        <v>en</v>
      </c>
      <c r="B662">
        <f>IFERROR(__xludf.DUMMYFUNCTION("""COMPUTED_VALUE"""),1818348.0)</f>
        <v>1818348</v>
      </c>
      <c r="C662" t="str">
        <f>IFERROR(__xludf.DUMMYFUNCTION("""COMPUTED_VALUE"""),"The Google Earth Engine Mega Course: Remote Sensing &amp; GIS")</f>
        <v>The Google Earth Engine Mega Course: Remote Sensing &amp; GIS</v>
      </c>
    </row>
    <row r="663">
      <c r="A663" s="140" t="str">
        <f>IFERROR(__xludf.DUMMYFUNCTION("""COMPUTED_VALUE"""),"en")</f>
        <v>en</v>
      </c>
      <c r="B663">
        <f>IFERROR(__xludf.DUMMYFUNCTION("""COMPUTED_VALUE"""),487226.0)</f>
        <v>487226</v>
      </c>
      <c r="C663" t="str">
        <f>IFERROR(__xludf.DUMMYFUNCTION("""COMPUTED_VALUE"""),"Unleashing the Mac OS X Terminal for Absolute Beginners")</f>
        <v>Unleashing the Mac OS X Terminal for Absolute Beginners</v>
      </c>
    </row>
    <row r="664">
      <c r="A664" s="140" t="str">
        <f>IFERROR(__xludf.DUMMYFUNCTION("""COMPUTED_VALUE"""),"ar")</f>
        <v>ar</v>
      </c>
      <c r="B664">
        <f>IFERROR(__xludf.DUMMYFUNCTION("""COMPUTED_VALUE"""),1769686.0)</f>
        <v>1769686</v>
      </c>
      <c r="C664" t="str">
        <f>IFERROR(__xludf.DUMMYFUNCTION("""COMPUTED_VALUE"""),"SQL Server Query For beginners")</f>
        <v>SQL Server Query For beginners</v>
      </c>
    </row>
    <row r="665">
      <c r="A665" s="140" t="str">
        <f>IFERROR(__xludf.DUMMYFUNCTION("""COMPUTED_VALUE"""),"en")</f>
        <v>en</v>
      </c>
      <c r="B665">
        <f>IFERROR(__xludf.DUMMYFUNCTION("""COMPUTED_VALUE"""),88718.0)</f>
        <v>88718</v>
      </c>
      <c r="C665" t="str">
        <f>IFERROR(__xludf.DUMMYFUNCTION("""COMPUTED_VALUE"""),"Quantum Physics: an overview of a weird world (Basics)")</f>
        <v>Quantum Physics: an overview of a weird world (Basics)</v>
      </c>
    </row>
    <row r="666">
      <c r="A666" s="140" t="str">
        <f>IFERROR(__xludf.DUMMYFUNCTION("""COMPUTED_VALUE"""),"en")</f>
        <v>en</v>
      </c>
      <c r="B666">
        <f>IFERROR(__xludf.DUMMYFUNCTION("""COMPUTED_VALUE"""),362530.0)</f>
        <v>362530</v>
      </c>
      <c r="C666" t="str">
        <f>IFERROR(__xludf.DUMMYFUNCTION("""COMPUTED_VALUE"""),"Public Speaking: You Can Give Great Financial Presentations")</f>
        <v>Public Speaking: You Can Give Great Financial Presentations</v>
      </c>
    </row>
    <row r="667">
      <c r="A667" s="140" t="str">
        <f>IFERROR(__xludf.DUMMYFUNCTION("""COMPUTED_VALUE"""),"en")</f>
        <v>en</v>
      </c>
      <c r="B667">
        <f>IFERROR(__xludf.DUMMYFUNCTION("""COMPUTED_VALUE"""),318332.0)</f>
        <v>318332</v>
      </c>
      <c r="C667" t="str">
        <f>IFERROR(__xludf.DUMMYFUNCTION("""COMPUTED_VALUE"""),"The Legal Implications of Social Media in the Workplace")</f>
        <v>The Legal Implications of Social Media in the Workplace</v>
      </c>
    </row>
    <row r="668">
      <c r="A668" s="140" t="str">
        <f>IFERROR(__xludf.DUMMYFUNCTION("""COMPUTED_VALUE"""),"es")</f>
        <v>es</v>
      </c>
      <c r="B668">
        <f>IFERROR(__xludf.DUMMYFUNCTION("""COMPUTED_VALUE"""),4253794.0)</f>
        <v>4253794</v>
      </c>
      <c r="C668" t="str">
        <f>IFERROR(__xludf.DUMMYFUNCTION("""COMPUTED_VALUE"""),"Blockchain de la A a la Z: Crea tu criptomoneda en Python")</f>
        <v>Blockchain de la A a la Z: Crea tu criptomoneda en Python</v>
      </c>
    </row>
    <row r="669">
      <c r="A669" s="140" t="str">
        <f>IFERROR(__xludf.DUMMYFUNCTION("""COMPUTED_VALUE"""),"en")</f>
        <v>en</v>
      </c>
      <c r="B669">
        <f>IFERROR(__xludf.DUMMYFUNCTION("""COMPUTED_VALUE"""),1332104.0)</f>
        <v>1332104</v>
      </c>
      <c r="C669" t="str">
        <f>IFERROR(__xludf.DUMMYFUNCTION("""COMPUTED_VALUE"""),"Microsoft SCCM Training")</f>
        <v>Microsoft SCCM Training</v>
      </c>
    </row>
    <row r="670">
      <c r="A670" s="140" t="str">
        <f>IFERROR(__xludf.DUMMYFUNCTION("""COMPUTED_VALUE"""),"zh")</f>
        <v>zh</v>
      </c>
      <c r="B670">
        <f>IFERROR(__xludf.DUMMYFUNCTION("""COMPUTED_VALUE"""),1911876.0)</f>
        <v>1911876</v>
      </c>
      <c r="C670" t="str">
        <f>IFERROR(__xludf.DUMMYFUNCTION("""COMPUTED_VALUE"""),"傅里叶变换的基础与应用")</f>
        <v>傅里叶变换的基础与应用</v>
      </c>
    </row>
    <row r="671">
      <c r="A671" s="140" t="str">
        <f>IFERROR(__xludf.DUMMYFUNCTION("""COMPUTED_VALUE"""),"es")</f>
        <v>es</v>
      </c>
      <c r="B671">
        <f>IFERROR(__xludf.DUMMYFUNCTION("""COMPUTED_VALUE"""),899474.0)</f>
        <v>899474</v>
      </c>
      <c r="C671" t="str">
        <f>IFERROR(__xludf.DUMMYFUNCTION("""COMPUTED_VALUE"""),"Comienza con Excel: Curso de Excel para Principiantes")</f>
        <v>Comienza con Excel: Curso de Excel para Principiantes</v>
      </c>
    </row>
    <row r="672">
      <c r="A672" s="140" t="str">
        <f>IFERROR(__xludf.DUMMYFUNCTION("""COMPUTED_VALUE"""),"es")</f>
        <v>es</v>
      </c>
      <c r="B672">
        <f>IFERROR(__xludf.DUMMYFUNCTION("""COMPUTED_VALUE"""),1428636.0)</f>
        <v>1428636</v>
      </c>
      <c r="C672" t="str">
        <f>IFERROR(__xludf.DUMMYFUNCTION("""COMPUTED_VALUE"""),"Curso completo Openstack: De principiante a avanzado")</f>
        <v>Curso completo Openstack: De principiante a avanzado</v>
      </c>
    </row>
    <row r="673">
      <c r="A673" s="140" t="str">
        <f>IFERROR(__xludf.DUMMYFUNCTION("""COMPUTED_VALUE"""),"en")</f>
        <v>en</v>
      </c>
      <c r="B673">
        <f>IFERROR(__xludf.DUMMYFUNCTION("""COMPUTED_VALUE"""),1282490.0)</f>
        <v>1282490</v>
      </c>
      <c r="C673" t="str">
        <f>IFERROR(__xludf.DUMMYFUNCTION("""COMPUTED_VALUE"""),"DAX Power Pivot Time Intelligence - 10 Easy Steps")</f>
        <v>DAX Power Pivot Time Intelligence - 10 Easy Steps</v>
      </c>
    </row>
    <row r="674">
      <c r="A674" s="140" t="str">
        <f>IFERROR(__xludf.DUMMYFUNCTION("""COMPUTED_VALUE"""),"es")</f>
        <v>es</v>
      </c>
      <c r="B674">
        <f>IFERROR(__xludf.DUMMYFUNCTION("""COMPUTED_VALUE"""),1634180.0)</f>
        <v>1634180</v>
      </c>
      <c r="C674" t="str">
        <f>IFERROR(__xludf.DUMMYFUNCTION("""COMPUTED_VALUE"""),"Crea una ASP NET Core Web API básica desde una base de datos")</f>
        <v>Crea una ASP NET Core Web API básica desde una base de datos</v>
      </c>
    </row>
    <row r="675">
      <c r="A675" s="140" t="str">
        <f>IFERROR(__xludf.DUMMYFUNCTION("""COMPUTED_VALUE"""),"en")</f>
        <v>en</v>
      </c>
      <c r="B675">
        <f>IFERROR(__xludf.DUMMYFUNCTION("""COMPUTED_VALUE"""),772744.0)</f>
        <v>772744</v>
      </c>
      <c r="C675" t="str">
        <f>IFERROR(__xludf.DUMMYFUNCTION("""COMPUTED_VALUE"""),"People Skills. How people tick &amp; how to read them instantly!")</f>
        <v>People Skills. How people tick &amp; how to read them instantly!</v>
      </c>
    </row>
    <row r="676">
      <c r="A676" s="140" t="str">
        <f>IFERROR(__xludf.DUMMYFUNCTION("""COMPUTED_VALUE"""),"es")</f>
        <v>es</v>
      </c>
      <c r="B676">
        <f>IFERROR(__xludf.DUMMYFUNCTION("""COMPUTED_VALUE"""),2344136.0)</f>
        <v>2344136</v>
      </c>
      <c r="C676" t="str">
        <f>IFERROR(__xludf.DUMMYFUNCTION("""COMPUTED_VALUE"""),"Conceptos de AWS")</f>
        <v>Conceptos de AWS</v>
      </c>
    </row>
    <row r="677">
      <c r="A677" s="140" t="str">
        <f>IFERROR(__xludf.DUMMYFUNCTION("""COMPUTED_VALUE"""),"en")</f>
        <v>en</v>
      </c>
      <c r="B677">
        <f>IFERROR(__xludf.DUMMYFUNCTION("""COMPUTED_VALUE"""),1334796.0)</f>
        <v>1334796</v>
      </c>
      <c r="C677" t="str">
        <f>IFERROR(__xludf.DUMMYFUNCTION("""COMPUTED_VALUE"""),"Learn Webpack 2 from scratch")</f>
        <v>Learn Webpack 2 from scratch</v>
      </c>
    </row>
    <row r="678">
      <c r="A678" s="140" t="str">
        <f>IFERROR(__xludf.DUMMYFUNCTION("""COMPUTED_VALUE"""),"en")</f>
        <v>en</v>
      </c>
      <c r="B678">
        <f>IFERROR(__xludf.DUMMYFUNCTION("""COMPUTED_VALUE"""),1116492.0)</f>
        <v>1116492</v>
      </c>
      <c r="C678" t="str">
        <f>IFERROR(__xludf.DUMMYFUNCTION("""COMPUTED_VALUE"""),"Learn UV Unwrapping with Blender for Unity 3D Game Design")</f>
        <v>Learn UV Unwrapping with Blender for Unity 3D Game Design</v>
      </c>
    </row>
    <row r="679">
      <c r="A679" s="140" t="str">
        <f>IFERROR(__xludf.DUMMYFUNCTION("""COMPUTED_VALUE"""),"ja")</f>
        <v>ja</v>
      </c>
      <c r="B679">
        <f>IFERROR(__xludf.DUMMYFUNCTION("""COMPUTED_VALUE"""),1334670.0)</f>
        <v>1334670</v>
      </c>
      <c r="C679" t="str">
        <f>IFERROR(__xludf.DUMMYFUNCTION("""COMPUTED_VALUE"""),"すぐに話せる中国語　文法編")</f>
        <v>すぐに話せる中国語　文法編</v>
      </c>
    </row>
    <row r="680">
      <c r="A680" s="140" t="str">
        <f>IFERROR(__xludf.DUMMYFUNCTION("""COMPUTED_VALUE"""),"en")</f>
        <v>en</v>
      </c>
      <c r="B680">
        <f>IFERROR(__xludf.DUMMYFUNCTION("""COMPUTED_VALUE"""),1664004.0)</f>
        <v>1664004</v>
      </c>
      <c r="C680" t="str">
        <f>IFERROR(__xludf.DUMMYFUNCTION("""COMPUTED_VALUE"""),"Advanced Tableau - Level of Detail Expressions / LOD")</f>
        <v>Advanced Tableau - Level of Detail Expressions / LOD</v>
      </c>
    </row>
    <row r="681">
      <c r="A681" s="140" t="str">
        <f>IFERROR(__xludf.DUMMYFUNCTION("""COMPUTED_VALUE"""),"fr")</f>
        <v>fr</v>
      </c>
      <c r="B681">
        <f>IFERROR(__xludf.DUMMYFUNCTION("""COMPUTED_VALUE"""),3369320.0)</f>
        <v>3369320</v>
      </c>
      <c r="C681" t="str">
        <f>IFERROR(__xludf.DUMMYFUNCTION("""COMPUTED_VALUE"""),"Expressions Régulières : La Formation Ultime")</f>
        <v>Expressions Régulières : La Formation Ultime</v>
      </c>
    </row>
    <row r="682">
      <c r="A682" s="140" t="str">
        <f>IFERROR(__xludf.DUMMYFUNCTION("""COMPUTED_VALUE"""),"en")</f>
        <v>en</v>
      </c>
      <c r="B682">
        <f>IFERROR(__xludf.DUMMYFUNCTION("""COMPUTED_VALUE"""),1035000.0)</f>
        <v>1035000</v>
      </c>
      <c r="C682" t="str">
        <f>IFERROR(__xludf.DUMMYFUNCTION("""COMPUTED_VALUE"""),"Docker Mastery: with Kubernetes +Swarm from a Docker Captain")</f>
        <v>Docker Mastery: with Kubernetes +Swarm from a Docker Captain</v>
      </c>
    </row>
    <row r="683">
      <c r="A683" s="140" t="str">
        <f>IFERROR(__xludf.DUMMYFUNCTION("""COMPUTED_VALUE"""),"pt")</f>
        <v>pt</v>
      </c>
      <c r="B683">
        <f>IFERROR(__xludf.DUMMYFUNCTION("""COMPUTED_VALUE"""),2766594.0)</f>
        <v>2766594</v>
      </c>
      <c r="C683" t="str">
        <f>IFERROR(__xludf.DUMMYFUNCTION("""COMPUTED_VALUE"""),"DAY TRADE e OPÇÕES BINÁRIAS para TODOS! Básico ao avançado!")</f>
        <v>DAY TRADE e OPÇÕES BINÁRIAS para TODOS! Básico ao avançado!</v>
      </c>
    </row>
    <row r="684">
      <c r="A684" s="140" t="str">
        <f>IFERROR(__xludf.DUMMYFUNCTION("""COMPUTED_VALUE"""),"en")</f>
        <v>en</v>
      </c>
      <c r="B684">
        <f>IFERROR(__xludf.DUMMYFUNCTION("""COMPUTED_VALUE"""),1315702.0)</f>
        <v>1315702</v>
      </c>
      <c r="C684" t="str">
        <f>IFERROR(__xludf.DUMMYFUNCTION("""COMPUTED_VALUE"""),"CoreData for Swift Development (Swift 4.2 &amp; iOS 12)")</f>
        <v>CoreData for Swift Development (Swift 4.2 &amp; iOS 12)</v>
      </c>
    </row>
    <row r="685">
      <c r="A685" s="140" t="str">
        <f>IFERROR(__xludf.DUMMYFUNCTION("""COMPUTED_VALUE"""),"fr")</f>
        <v>fr</v>
      </c>
      <c r="B685">
        <f>IFERROR(__xludf.DUMMYFUNCTION("""COMPUTED_VALUE"""),3602084.0)</f>
        <v>3602084</v>
      </c>
      <c r="C685" t="str">
        <f>IFERROR(__xludf.DUMMYFUNCTION("""COMPUTED_VALUE"""),"Débuter sur Procreate : Le cours complet")</f>
        <v>Débuter sur Procreate : Le cours complet</v>
      </c>
    </row>
    <row r="686">
      <c r="A686" s="140" t="str">
        <f>IFERROR(__xludf.DUMMYFUNCTION("""COMPUTED_VALUE"""),"pt")</f>
        <v>pt</v>
      </c>
      <c r="B686">
        <f>IFERROR(__xludf.DUMMYFUNCTION("""COMPUTED_VALUE"""),1964482.0)</f>
        <v>1964482</v>
      </c>
      <c r="C686" t="str">
        <f>IFERROR(__xludf.DUMMYFUNCTION("""COMPUTED_VALUE"""),"Infraestrutura de TI com Samba4 + AD + Pfsense + File Server")</f>
        <v>Infraestrutura de TI com Samba4 + AD + Pfsense + File Server</v>
      </c>
    </row>
    <row r="687">
      <c r="A687" s="140" t="str">
        <f>IFERROR(__xludf.DUMMYFUNCTION("""COMPUTED_VALUE"""),"ko")</f>
        <v>ko</v>
      </c>
      <c r="B687">
        <f>IFERROR(__xludf.DUMMYFUNCTION("""COMPUTED_VALUE"""),4194422.0)</f>
        <v>4194422</v>
      </c>
      <c r="C687" t="str">
        <f>IFERROR(__xludf.DUMMYFUNCTION("""COMPUTED_VALUE"""),"내 손으로 직접 구현해보는 VR(가상현실), AR(증강현실) (with Unity)")</f>
        <v>내 손으로 직접 구현해보는 VR(가상현실), AR(증강현실) (with Unity)</v>
      </c>
    </row>
    <row r="688">
      <c r="A688" s="140" t="str">
        <f>IFERROR(__xludf.DUMMYFUNCTION("""COMPUTED_VALUE"""),"en")</f>
        <v>en</v>
      </c>
      <c r="B688">
        <f>IFERROR(__xludf.DUMMYFUNCTION("""COMPUTED_VALUE"""),2503124.0)</f>
        <v>2503124</v>
      </c>
      <c r="C688" t="str">
        <f>IFERROR(__xludf.DUMMYFUNCTION("""COMPUTED_VALUE"""),"PMP: The Complete PMP Course &amp; Practice Exam PMI PMBOK 6 '22")</f>
        <v>PMP: The Complete PMP Course &amp; Practice Exam PMI PMBOK 6 '22</v>
      </c>
    </row>
    <row r="689">
      <c r="A689" s="140" t="str">
        <f>IFERROR(__xludf.DUMMYFUNCTION("""COMPUTED_VALUE"""),"ja")</f>
        <v>ja</v>
      </c>
      <c r="B689">
        <f>IFERROR(__xludf.DUMMYFUNCTION("""COMPUTED_VALUE"""),842614.0)</f>
        <v>842614</v>
      </c>
      <c r="C689" t="str">
        <f>IFERROR(__xludf.DUMMYFUNCTION("""COMPUTED_VALUE"""),"PowerPoint 超入門 作ればわかる！〜2時間でプレゼン資料を作ってパワポ速習！企業研修で教える講師のカリキュラム")</f>
        <v>PowerPoint 超入門 作ればわかる！〜2時間でプレゼン資料を作ってパワポ速習！企業研修で教える講師のカリキュラム</v>
      </c>
    </row>
    <row r="690">
      <c r="A690" s="140" t="str">
        <f>IFERROR(__xludf.DUMMYFUNCTION("""COMPUTED_VALUE"""),"es")</f>
        <v>es</v>
      </c>
      <c r="B690">
        <f>IFERROR(__xludf.DUMMYFUNCTION("""COMPUTED_VALUE"""),2265002.0)</f>
        <v>2265002</v>
      </c>
      <c r="C690" t="str">
        <f>IFERROR(__xludf.DUMMYFUNCTION("""COMPUTED_VALUE"""),"Oracle PL/SQL avanzado")</f>
        <v>Oracle PL/SQL avanzado</v>
      </c>
    </row>
    <row r="691">
      <c r="A691" s="140" t="str">
        <f>IFERROR(__xludf.DUMMYFUNCTION("""COMPUTED_VALUE"""),"en")</f>
        <v>en</v>
      </c>
      <c r="B691">
        <f>IFERROR(__xludf.DUMMYFUNCTION("""COMPUTED_VALUE"""),2987594.0)</f>
        <v>2987594</v>
      </c>
      <c r="C691" t="str">
        <f>IFERROR(__xludf.DUMMYFUNCTION("""COMPUTED_VALUE"""),"Managing database versions with Liquibase and Spring Boot")</f>
        <v>Managing database versions with Liquibase and Spring Boot</v>
      </c>
    </row>
    <row r="692">
      <c r="A692" s="140" t="str">
        <f>IFERROR(__xludf.DUMMYFUNCTION("""COMPUTED_VALUE"""),"en")</f>
        <v>en</v>
      </c>
      <c r="B692">
        <f>IFERROR(__xludf.DUMMYFUNCTION("""COMPUTED_VALUE"""),3873464.0)</f>
        <v>3873464</v>
      </c>
      <c r="C692" t="str">
        <f>IFERROR(__xludf.DUMMYFUNCTION("""COMPUTED_VALUE"""),"Next.js &amp; React - The Complete Guide (incl. Two Paths!)")</f>
        <v>Next.js &amp; React - The Complete Guide (incl. Two Paths!)</v>
      </c>
    </row>
    <row r="693">
      <c r="A693" s="140" t="str">
        <f>IFERROR(__xludf.DUMMYFUNCTION("""COMPUTED_VALUE"""),"en")</f>
        <v>en</v>
      </c>
      <c r="B693">
        <f>IFERROR(__xludf.DUMMYFUNCTION("""COMPUTED_VALUE"""),2621602.0)</f>
        <v>2621602</v>
      </c>
      <c r="C693" t="str">
        <f>IFERROR(__xludf.DUMMYFUNCTION("""COMPUTED_VALUE"""),"California Consumer Privacy Act-CCPA-Complete Course (CIPP)")</f>
        <v>California Consumer Privacy Act-CCPA-Complete Course (CIPP)</v>
      </c>
    </row>
    <row r="694">
      <c r="A694" s="140" t="str">
        <f>IFERROR(__xludf.DUMMYFUNCTION("""COMPUTED_VALUE"""),"en")</f>
        <v>en</v>
      </c>
      <c r="B694">
        <f>IFERROR(__xludf.DUMMYFUNCTION("""COMPUTED_VALUE"""),2209122.0)</f>
        <v>2209122</v>
      </c>
      <c r="C694" t="str">
        <f>IFERROR(__xludf.DUMMYFUNCTION("""COMPUTED_VALUE"""),"Metasploit Framework: Penetration Testing with Metasploit")</f>
        <v>Metasploit Framework: Penetration Testing with Metasploit</v>
      </c>
    </row>
    <row r="695">
      <c r="A695" s="140" t="str">
        <f>IFERROR(__xludf.DUMMYFUNCTION("""COMPUTED_VALUE"""),"en")</f>
        <v>en</v>
      </c>
      <c r="B695">
        <f>IFERROR(__xludf.DUMMYFUNCTION("""COMPUTED_VALUE"""),51078.0)</f>
        <v>51078</v>
      </c>
      <c r="C695" t="str">
        <f>IFERROR(__xludf.DUMMYFUNCTION("""COMPUTED_VALUE"""),"Sharper skills using Microsoft Excel 2010 for business")</f>
        <v>Sharper skills using Microsoft Excel 2010 for business</v>
      </c>
    </row>
    <row r="696">
      <c r="A696" s="140" t="str">
        <f>IFERROR(__xludf.DUMMYFUNCTION("""COMPUTED_VALUE"""),"ja")</f>
        <v>ja</v>
      </c>
      <c r="B696">
        <f>IFERROR(__xludf.DUMMYFUNCTION("""COMPUTED_VALUE"""),3181272.0)</f>
        <v>3181272</v>
      </c>
      <c r="C696" t="str">
        <f>IFERROR(__xludf.DUMMYFUNCTION("""COMPUTED_VALUE"""),"伝わる！引き出す！リモートワーク会議術【入門編】")</f>
        <v>伝わる！引き出す！リモートワーク会議術【入門編】</v>
      </c>
    </row>
    <row r="697">
      <c r="A697" s="140" t="str">
        <f>IFERROR(__xludf.DUMMYFUNCTION("""COMPUTED_VALUE"""),"en")</f>
        <v>en</v>
      </c>
      <c r="B697">
        <f>IFERROR(__xludf.DUMMYFUNCTION("""COMPUTED_VALUE"""),1613102.0)</f>
        <v>1613102</v>
      </c>
      <c r="C697" t="str">
        <f>IFERROR(__xludf.DUMMYFUNCTION("""COMPUTED_VALUE"""),"The Complete Google Analytics Training for Beginners 2022")</f>
        <v>The Complete Google Analytics Training for Beginners 2022</v>
      </c>
    </row>
    <row r="698">
      <c r="A698" s="140" t="str">
        <f>IFERROR(__xludf.DUMMYFUNCTION("""COMPUTED_VALUE"""),"en")</f>
        <v>en</v>
      </c>
      <c r="B698">
        <f>IFERROR(__xludf.DUMMYFUNCTION("""COMPUTED_VALUE"""),929844.0)</f>
        <v>929844</v>
      </c>
      <c r="C698" t="str">
        <f>IFERROR(__xludf.DUMMYFUNCTION("""COMPUTED_VALUE"""),"Start Using Wireshark to Hack like a Pro")</f>
        <v>Start Using Wireshark to Hack like a Pro</v>
      </c>
    </row>
    <row r="699">
      <c r="A699" s="140" t="str">
        <f>IFERROR(__xludf.DUMMYFUNCTION("""COMPUTED_VALUE"""),"en")</f>
        <v>en</v>
      </c>
      <c r="B699">
        <f>IFERROR(__xludf.DUMMYFUNCTION("""COMPUTED_VALUE"""),1691490.0)</f>
        <v>1691490</v>
      </c>
      <c r="C699" t="str">
        <f>IFERROR(__xludf.DUMMYFUNCTION("""COMPUTED_VALUE"""),"iOS Machine Learning with Core ML 2 and Swift 5")</f>
        <v>iOS Machine Learning with Core ML 2 and Swift 5</v>
      </c>
    </row>
    <row r="700">
      <c r="A700" s="140" t="str">
        <f>IFERROR(__xludf.DUMMYFUNCTION("""COMPUTED_VALUE"""),"ja")</f>
        <v>ja</v>
      </c>
      <c r="B700">
        <f>IFERROR(__xludf.DUMMYFUNCTION("""COMPUTED_VALUE"""),576274.0)</f>
        <v>576274</v>
      </c>
      <c r="C700" t="str">
        <f>IFERROR(__xludf.DUMMYFUNCTION("""COMPUTED_VALUE"""),"「経営者たちのストーリー」③　株式会社資生堂　魚谷雅彦")</f>
        <v>「経営者たちのストーリー」③　株式会社資生堂　魚谷雅彦</v>
      </c>
    </row>
    <row r="701">
      <c r="A701" s="140" t="str">
        <f>IFERROR(__xludf.DUMMYFUNCTION("""COMPUTED_VALUE"""),"tr")</f>
        <v>tr</v>
      </c>
      <c r="B701">
        <f>IFERROR(__xludf.DUMMYFUNCTION("""COMPUTED_VALUE"""),2377424.0)</f>
        <v>2377424</v>
      </c>
      <c r="C701" t="str">
        <f>IFERROR(__xludf.DUMMYFUNCTION("""COMPUTED_VALUE"""),"Sertifikalı Kalite Mühendisi Yetiştirme Programı")</f>
        <v>Sertifikalı Kalite Mühendisi Yetiştirme Programı</v>
      </c>
    </row>
    <row r="702">
      <c r="A702" s="140" t="str">
        <f>IFERROR(__xludf.DUMMYFUNCTION("""COMPUTED_VALUE"""),"de")</f>
        <v>de</v>
      </c>
      <c r="B702">
        <f>IFERROR(__xludf.DUMMYFUNCTION("""COMPUTED_VALUE"""),800848.0)</f>
        <v>800848</v>
      </c>
      <c r="C702" t="str">
        <f>IFERROR(__xludf.DUMMYFUNCTION("""COMPUTED_VALUE"""),"Scrum Master:in (v.2020)")</f>
        <v>Scrum Master:in (v.2020)</v>
      </c>
    </row>
    <row r="703">
      <c r="A703" s="140" t="str">
        <f>IFERROR(__xludf.DUMMYFUNCTION("""COMPUTED_VALUE"""),"en")</f>
        <v>en</v>
      </c>
      <c r="B703">
        <f>IFERROR(__xludf.DUMMYFUNCTION("""COMPUTED_VALUE"""),3308996.0)</f>
        <v>3308996</v>
      </c>
      <c r="C703" t="str">
        <f>IFERROR(__xludf.DUMMYFUNCTION("""COMPUTED_VALUE"""),"Reverse Engineering 6: Reversing .NET with dnSpy")</f>
        <v>Reverse Engineering 6: Reversing .NET with dnSpy</v>
      </c>
    </row>
    <row r="704">
      <c r="A704" s="140" t="str">
        <f>IFERROR(__xludf.DUMMYFUNCTION("""COMPUTED_VALUE"""),"en")</f>
        <v>en</v>
      </c>
      <c r="B704">
        <f>IFERROR(__xludf.DUMMYFUNCTION("""COMPUTED_VALUE"""),916588.0)</f>
        <v>916588</v>
      </c>
      <c r="C704" t="str">
        <f>IFERROR(__xludf.DUMMYFUNCTION("""COMPUTED_VALUE"""),"The 7-Step Surefire System for Goal Setting and Achievement")</f>
        <v>The 7-Step Surefire System for Goal Setting and Achievement</v>
      </c>
    </row>
    <row r="705">
      <c r="A705" s="140" t="str">
        <f>IFERROR(__xludf.DUMMYFUNCTION("""COMPUTED_VALUE"""),"en")</f>
        <v>en</v>
      </c>
      <c r="B705">
        <f>IFERROR(__xludf.DUMMYFUNCTION("""COMPUTED_VALUE"""),3726798.0)</f>
        <v>3726798</v>
      </c>
      <c r="C705" t="str">
        <f>IFERROR(__xludf.DUMMYFUNCTION("""COMPUTED_VALUE"""),"Learn Bioinformatics From Scratch (Theory &amp; Practical)")</f>
        <v>Learn Bioinformatics From Scratch (Theory &amp; Practical)</v>
      </c>
    </row>
    <row r="706">
      <c r="A706" s="140" t="str">
        <f>IFERROR(__xludf.DUMMYFUNCTION("""COMPUTED_VALUE"""),"en")</f>
        <v>en</v>
      </c>
      <c r="B706">
        <f>IFERROR(__xludf.DUMMYFUNCTION("""COMPUTED_VALUE"""),514304.0)</f>
        <v>514304</v>
      </c>
      <c r="C706" t="str">
        <f>IFERROR(__xludf.DUMMYFUNCTION("""COMPUTED_VALUE"""),"The Ultimate Oracle SQL Course: SQL Made Practical")</f>
        <v>The Ultimate Oracle SQL Course: SQL Made Practical</v>
      </c>
    </row>
    <row r="707">
      <c r="A707" s="140" t="str">
        <f>IFERROR(__xludf.DUMMYFUNCTION("""COMPUTED_VALUE"""),"pt")</f>
        <v>pt</v>
      </c>
      <c r="B707">
        <f>IFERROR(__xludf.DUMMYFUNCTION("""COMPUTED_VALUE"""),2634160.0)</f>
        <v>2634160</v>
      </c>
      <c r="C707" t="str">
        <f>IFERROR(__xludf.DUMMYFUNCTION("""COMPUTED_VALUE"""),"Básico ao Avançado - O curso Completo de Macros e VBA Excel")</f>
        <v>Básico ao Avançado - O curso Completo de Macros e VBA Excel</v>
      </c>
    </row>
    <row r="708">
      <c r="A708" s="140" t="str">
        <f>IFERROR(__xludf.DUMMYFUNCTION("""COMPUTED_VALUE"""),"en")</f>
        <v>en</v>
      </c>
      <c r="B708">
        <f>IFERROR(__xludf.DUMMYFUNCTION("""COMPUTED_VALUE"""),3703350.0)</f>
        <v>3703350</v>
      </c>
      <c r="C708" t="str">
        <f>IFERROR(__xludf.DUMMYFUNCTION("""COMPUTED_VALUE"""),"SAP S/4HANA Transportation Management (TM) 1909 - Functional")</f>
        <v>SAP S/4HANA Transportation Management (TM) 1909 - Functional</v>
      </c>
    </row>
    <row r="709">
      <c r="A709" s="140" t="str">
        <f>IFERROR(__xludf.DUMMYFUNCTION("""COMPUTED_VALUE"""),"en")</f>
        <v>en</v>
      </c>
      <c r="B709">
        <f>IFERROR(__xludf.DUMMYFUNCTION("""COMPUTED_VALUE"""),1710336.0)</f>
        <v>1710336</v>
      </c>
      <c r="C709" t="str">
        <f>IFERROR(__xludf.DUMMYFUNCTION("""COMPUTED_VALUE"""),"Ultimate Google Analytics course + 50 practical examples")</f>
        <v>Ultimate Google Analytics course + 50 practical examples</v>
      </c>
    </row>
    <row r="710">
      <c r="A710" s="140" t="str">
        <f>IFERROR(__xludf.DUMMYFUNCTION("""COMPUTED_VALUE"""),"en")</f>
        <v>en</v>
      </c>
      <c r="B710">
        <f>IFERROR(__xludf.DUMMYFUNCTION("""COMPUTED_VALUE"""),3475172.0)</f>
        <v>3475172</v>
      </c>
      <c r="C710" t="str">
        <f>IFERROR(__xludf.DUMMYFUNCTION("""COMPUTED_VALUE"""),"Master CAN protocol completely from Scratch (CAN + CAN-FD)")</f>
        <v>Master CAN protocol completely from Scratch (CAN + CAN-FD)</v>
      </c>
    </row>
    <row r="711">
      <c r="A711" s="140" t="str">
        <f>IFERROR(__xludf.DUMMYFUNCTION("""COMPUTED_VALUE"""),"en")</f>
        <v>en</v>
      </c>
      <c r="B711">
        <f>IFERROR(__xludf.DUMMYFUNCTION("""COMPUTED_VALUE"""),2177912.0)</f>
        <v>2177912</v>
      </c>
      <c r="C711" t="str">
        <f>IFERROR(__xludf.DUMMYFUNCTION("""COMPUTED_VALUE"""),"SQL &amp; Power BI: Your Data Analytics &amp; Visualisation Journey")</f>
        <v>SQL &amp; Power BI: Your Data Analytics &amp; Visualisation Journey</v>
      </c>
    </row>
    <row r="712">
      <c r="A712" s="140" t="str">
        <f>IFERROR(__xludf.DUMMYFUNCTION("""COMPUTED_VALUE"""),"en")</f>
        <v>en</v>
      </c>
      <c r="B712">
        <f>IFERROR(__xludf.DUMMYFUNCTION("""COMPUTED_VALUE"""),3333760.0)</f>
        <v>3333760</v>
      </c>
      <c r="C712" t="str">
        <f>IFERROR(__xludf.DUMMYFUNCTION("""COMPUTED_VALUE"""),"Pentaho for ETL &amp; Data Integration Masterclass 2021- PDI 9.0")</f>
        <v>Pentaho for ETL &amp; Data Integration Masterclass 2021- PDI 9.0</v>
      </c>
    </row>
    <row r="713">
      <c r="A713" s="140" t="str">
        <f>IFERROR(__xludf.DUMMYFUNCTION("""COMPUTED_VALUE"""),"en")</f>
        <v>en</v>
      </c>
      <c r="B713">
        <f>IFERROR(__xludf.DUMMYFUNCTION("""COMPUTED_VALUE"""),949346.0)</f>
        <v>949346</v>
      </c>
      <c r="C713" t="str">
        <f>IFERROR(__xludf.DUMMYFUNCTION("""COMPUTED_VALUE"""),"Beginning SharePoint 2013/ 2016 /Online (part of Office 365)")</f>
        <v>Beginning SharePoint 2013/ 2016 /Online (part of Office 365)</v>
      </c>
    </row>
    <row r="714">
      <c r="A714" s="140" t="str">
        <f>IFERROR(__xludf.DUMMYFUNCTION("""COMPUTED_VALUE"""),"ja")</f>
        <v>ja</v>
      </c>
      <c r="B714">
        <f>IFERROR(__xludf.DUMMYFUNCTION("""COMPUTED_VALUE"""),2776470.0)</f>
        <v>2776470</v>
      </c>
      <c r="C714" t="str">
        <f>IFERROR(__xludf.DUMMYFUNCTION("""COMPUTED_VALUE"""),"はじめての動画活用（ビジネス編）")</f>
        <v>はじめての動画活用（ビジネス編）</v>
      </c>
    </row>
    <row r="715">
      <c r="A715" s="140" t="str">
        <f>IFERROR(__xludf.DUMMYFUNCTION("""COMPUTED_VALUE"""),"en")</f>
        <v>en</v>
      </c>
      <c r="B715">
        <f>IFERROR(__xludf.DUMMYFUNCTION("""COMPUTED_VALUE"""),1551728.0)</f>
        <v>1551728</v>
      </c>
      <c r="C715" t="str">
        <f>IFERROR(__xludf.DUMMYFUNCTION("""COMPUTED_VALUE"""),"More Essential Cooking Skills")</f>
        <v>More Essential Cooking Skills</v>
      </c>
    </row>
    <row r="716">
      <c r="A716" s="140" t="str">
        <f>IFERROR(__xludf.DUMMYFUNCTION("""COMPUTED_VALUE"""),"en")</f>
        <v>en</v>
      </c>
      <c r="B716">
        <f>IFERROR(__xludf.DUMMYFUNCTION("""COMPUTED_VALUE"""),1937172.0)</f>
        <v>1937172</v>
      </c>
      <c r="C716" t="str">
        <f>IFERROR(__xludf.DUMMYFUNCTION("""COMPUTED_VALUE"""),"Kaizen Practitioner Masterclass for Quality Management.")</f>
        <v>Kaizen Practitioner Masterclass for Quality Management.</v>
      </c>
    </row>
    <row r="717">
      <c r="A717" s="140" t="str">
        <f>IFERROR(__xludf.DUMMYFUNCTION("""COMPUTED_VALUE"""),"en")</f>
        <v>en</v>
      </c>
      <c r="B717">
        <f>IFERROR(__xludf.DUMMYFUNCTION("""COMPUTED_VALUE"""),2945044.0)</f>
        <v>2945044</v>
      </c>
      <c r="C717" t="str">
        <f>IFERROR(__xludf.DUMMYFUNCTION("""COMPUTED_VALUE"""),"AWS Security and Governance Administration for Professionals")</f>
        <v>AWS Security and Governance Administration for Professionals</v>
      </c>
    </row>
    <row r="718">
      <c r="A718" s="140" t="str">
        <f>IFERROR(__xludf.DUMMYFUNCTION("""COMPUTED_VALUE"""),"es")</f>
        <v>es</v>
      </c>
      <c r="B718">
        <f>IFERROR(__xludf.DUMMYFUNCTION("""COMPUTED_VALUE"""),1249414.0)</f>
        <v>1249414</v>
      </c>
      <c r="C718" t="str">
        <f>IFERROR(__xludf.DUMMYFUNCTION("""COMPUTED_VALUE"""),"Test unitarios con JUnit. Curso de introducción")</f>
        <v>Test unitarios con JUnit. Curso de introducción</v>
      </c>
    </row>
    <row r="719">
      <c r="A719" s="140" t="str">
        <f>IFERROR(__xludf.DUMMYFUNCTION("""COMPUTED_VALUE"""),"es")</f>
        <v>es</v>
      </c>
      <c r="B719">
        <f>IFERROR(__xludf.DUMMYFUNCTION("""COMPUTED_VALUE"""),2344832.0)</f>
        <v>2344832</v>
      </c>
      <c r="C719" t="str">
        <f>IFERROR(__xludf.DUMMYFUNCTION("""COMPUTED_VALUE"""),"Comunicación No Verbal: Detección de Micro Expresiones")</f>
        <v>Comunicación No Verbal: Detección de Micro Expresiones</v>
      </c>
    </row>
    <row r="720">
      <c r="A720" s="140" t="str">
        <f>IFERROR(__xludf.DUMMYFUNCTION("""COMPUTED_VALUE"""),"en")</f>
        <v>en</v>
      </c>
      <c r="B720">
        <f>IFERROR(__xludf.DUMMYFUNCTION("""COMPUTED_VALUE"""),3514818.0)</f>
        <v>3514818</v>
      </c>
      <c r="C720" t="str">
        <f>IFERROR(__xludf.DUMMYFUNCTION("""COMPUTED_VALUE"""),"Oracle Identity Manager API")</f>
        <v>Oracle Identity Manager API</v>
      </c>
    </row>
    <row r="721">
      <c r="A721" s="140" t="str">
        <f>IFERROR(__xludf.DUMMYFUNCTION("""COMPUTED_VALUE"""),"en")</f>
        <v>en</v>
      </c>
      <c r="B721">
        <f>IFERROR(__xludf.DUMMYFUNCTION("""COMPUTED_VALUE"""),581278.0)</f>
        <v>581278</v>
      </c>
      <c r="C721" t="str">
        <f>IFERROR(__xludf.DUMMYFUNCTION("""COMPUTED_VALUE"""),"SAP Big Data Predictive Analytics : An Overview")</f>
        <v>SAP Big Data Predictive Analytics : An Overview</v>
      </c>
    </row>
    <row r="722">
      <c r="A722" s="140" t="str">
        <f>IFERROR(__xludf.DUMMYFUNCTION("""COMPUTED_VALUE"""),"en")</f>
        <v>en</v>
      </c>
      <c r="B722">
        <f>IFERROR(__xludf.DUMMYFUNCTION("""COMPUTED_VALUE"""),649780.0)</f>
        <v>649780</v>
      </c>
      <c r="C722" t="str">
        <f>IFERROR(__xludf.DUMMYFUNCTION("""COMPUTED_VALUE"""),"Cyber Security: Beginner's Training Guide to Online Safety!")</f>
        <v>Cyber Security: Beginner's Training Guide to Online Safety!</v>
      </c>
    </row>
    <row r="723">
      <c r="A723" s="140" t="str">
        <f>IFERROR(__xludf.DUMMYFUNCTION("""COMPUTED_VALUE"""),"en")</f>
        <v>en</v>
      </c>
      <c r="B723">
        <f>IFERROR(__xludf.DUMMYFUNCTION("""COMPUTED_VALUE"""),4221858.0)</f>
        <v>4221858</v>
      </c>
      <c r="C723" t="str">
        <f>IFERROR(__xludf.DUMMYFUNCTION("""COMPUTED_VALUE"""),"A deep understanding of deep learning (with Python intro)")</f>
        <v>A deep understanding of deep learning (with Python intro)</v>
      </c>
    </row>
    <row r="724">
      <c r="A724" s="140" t="str">
        <f>IFERROR(__xludf.DUMMYFUNCTION("""COMPUTED_VALUE"""),"en")</f>
        <v>en</v>
      </c>
      <c r="B724">
        <f>IFERROR(__xludf.DUMMYFUNCTION("""COMPUTED_VALUE"""),144228.0)</f>
        <v>144228</v>
      </c>
      <c r="C724" t="str">
        <f>IFERROR(__xludf.DUMMYFUNCTION("""COMPUTED_VALUE"""),"Hacking Public Speaking")</f>
        <v>Hacking Public Speaking</v>
      </c>
    </row>
    <row r="725">
      <c r="A725" s="140" t="str">
        <f>IFERROR(__xludf.DUMMYFUNCTION("""COMPUTED_VALUE"""),"en")</f>
        <v>en</v>
      </c>
      <c r="B725">
        <f>IFERROR(__xludf.DUMMYFUNCTION("""COMPUTED_VALUE"""),850598.0)</f>
        <v>850598</v>
      </c>
      <c r="C725" t="str">
        <f>IFERROR(__xludf.DUMMYFUNCTION("""COMPUTED_VALUE"""),"Primavera P6 Advanced Training")</f>
        <v>Primavera P6 Advanced Training</v>
      </c>
    </row>
    <row r="726">
      <c r="A726" s="140" t="str">
        <f>IFERROR(__xludf.DUMMYFUNCTION("""COMPUTED_VALUE"""),"ja")</f>
        <v>ja</v>
      </c>
      <c r="B726">
        <f>IFERROR(__xludf.DUMMYFUNCTION("""COMPUTED_VALUE"""),2057065.0)</f>
        <v>2057065</v>
      </c>
      <c r="C726" t="str">
        <f>IFERROR(__xludf.DUMMYFUNCTION("""COMPUTED_VALUE"""),"【超入門】未経験者が3Dプリントまで Fusion 360でキャラクターをモデリングして3Dプリントをしよう")</f>
        <v>【超入門】未経験者が3Dプリントまで Fusion 360でキャラクターをモデリングして3Dプリントをしよう</v>
      </c>
    </row>
    <row r="727">
      <c r="A727" s="140" t="str">
        <f>IFERROR(__xludf.DUMMYFUNCTION("""COMPUTED_VALUE"""),"en")</f>
        <v>en</v>
      </c>
      <c r="B727">
        <f>IFERROR(__xludf.DUMMYFUNCTION("""COMPUTED_VALUE"""),1336302.0)</f>
        <v>1336302</v>
      </c>
      <c r="C727" t="str">
        <f>IFERROR(__xludf.DUMMYFUNCTION("""COMPUTED_VALUE"""),"Setting and Achieving Goals")</f>
        <v>Setting and Achieving Goals</v>
      </c>
    </row>
    <row r="728">
      <c r="A728" s="140" t="str">
        <f>IFERROR(__xludf.DUMMYFUNCTION("""COMPUTED_VALUE"""),"en")</f>
        <v>en</v>
      </c>
      <c r="B728">
        <f>IFERROR(__xludf.DUMMYFUNCTION("""COMPUTED_VALUE"""),1879510.0)</f>
        <v>1879510</v>
      </c>
      <c r="C728" t="str">
        <f>IFERROR(__xludf.DUMMYFUNCTION("""COMPUTED_VALUE"""),"Machine Learning Practical: 6 Real-World Applications")</f>
        <v>Machine Learning Practical: 6 Real-World Applications</v>
      </c>
    </row>
    <row r="729">
      <c r="A729" s="140" t="str">
        <f>IFERROR(__xludf.DUMMYFUNCTION("""COMPUTED_VALUE"""),"de")</f>
        <v>de</v>
      </c>
      <c r="B729">
        <f>IFERROR(__xludf.DUMMYFUNCTION("""COMPUTED_VALUE"""),1438136.0)</f>
        <v>1438136</v>
      </c>
      <c r="C729" t="str">
        <f>IFERROR(__xludf.DUMMYFUNCTION("""COMPUTED_VALUE"""),"Schneller lernen: Die besten Lerntechniken!")</f>
        <v>Schneller lernen: Die besten Lerntechniken!</v>
      </c>
    </row>
    <row r="730">
      <c r="A730" s="140" t="str">
        <f>IFERROR(__xludf.DUMMYFUNCTION("""COMPUTED_VALUE"""),"es")</f>
        <v>es</v>
      </c>
      <c r="B730">
        <f>IFERROR(__xludf.DUMMYFUNCTION("""COMPUTED_VALUE"""),3059118.0)</f>
        <v>3059118</v>
      </c>
      <c r="C730" t="str">
        <f>IFERROR(__xludf.DUMMYFUNCTION("""COMPUTED_VALUE"""),"React JS: Aprende React JS desde cero con ejemplos prácticos")</f>
        <v>React JS: Aprende React JS desde cero con ejemplos prácticos</v>
      </c>
    </row>
    <row r="731">
      <c r="A731" s="140" t="str">
        <f>IFERROR(__xludf.DUMMYFUNCTION("""COMPUTED_VALUE"""),"pt")</f>
        <v>pt</v>
      </c>
      <c r="B731">
        <f>IFERROR(__xludf.DUMMYFUNCTION("""COMPUTED_VALUE"""),757446.0)</f>
        <v>757446</v>
      </c>
      <c r="C731" t="str">
        <f>IFERROR(__xludf.DUMMYFUNCTION("""COMPUTED_VALUE"""),"Macro para Excel VBA para Iniciantes")</f>
        <v>Macro para Excel VBA para Iniciantes</v>
      </c>
    </row>
    <row r="732">
      <c r="A732" s="140" t="str">
        <f>IFERROR(__xludf.DUMMYFUNCTION("""COMPUTED_VALUE"""),"en")</f>
        <v>en</v>
      </c>
      <c r="B732">
        <f>IFERROR(__xludf.DUMMYFUNCTION("""COMPUTED_VALUE"""),584188.0)</f>
        <v>584188</v>
      </c>
      <c r="C732" t="str">
        <f>IFERROR(__xludf.DUMMYFUNCTION("""COMPUTED_VALUE"""),"Learn Social Engineering &amp; Open-source Intelligence (OSINT)")</f>
        <v>Learn Social Engineering &amp; Open-source Intelligence (OSINT)</v>
      </c>
    </row>
    <row r="733">
      <c r="A733" s="140" t="str">
        <f>IFERROR(__xludf.DUMMYFUNCTION("""COMPUTED_VALUE"""),"de")</f>
        <v>de</v>
      </c>
      <c r="B733">
        <f>IFERROR(__xludf.DUMMYFUNCTION("""COMPUTED_VALUE"""),1384368.0)</f>
        <v>1384368</v>
      </c>
      <c r="C733" t="str">
        <f>IFERROR(__xludf.DUMMYFUNCTION("""COMPUTED_VALUE"""),"Erkenne deinen Seelenplan und folge deiner Berufung")</f>
        <v>Erkenne deinen Seelenplan und folge deiner Berufung</v>
      </c>
    </row>
    <row r="734">
      <c r="A734" s="140" t="str">
        <f>IFERROR(__xludf.DUMMYFUNCTION("""COMPUTED_VALUE"""),"ar")</f>
        <v>ar</v>
      </c>
      <c r="B734">
        <f>IFERROR(__xludf.DUMMYFUNCTION("""COMPUTED_VALUE"""),2427532.0)</f>
        <v>2427532</v>
      </c>
      <c r="C734" t="str">
        <f>IFERROR(__xludf.DUMMYFUNCTION("""COMPUTED_VALUE"""),"Odoo Functional Implementation Guide | HR (دليل تنفيذ اودو)")</f>
        <v>Odoo Functional Implementation Guide | HR (دليل تنفيذ اودو)</v>
      </c>
    </row>
    <row r="735">
      <c r="A735" s="140" t="str">
        <f>IFERROR(__xludf.DUMMYFUNCTION("""COMPUTED_VALUE"""),"ja")</f>
        <v>ja</v>
      </c>
      <c r="B735">
        <f>IFERROR(__xludf.DUMMYFUNCTION("""COMPUTED_VALUE"""),2433622.0)</f>
        <v>2433622</v>
      </c>
      <c r="C735" t="str">
        <f>IFERROR(__xludf.DUMMYFUNCTION("""COMPUTED_VALUE"""),"【続】Microsoft Power BI Desktop - 入門講座 ～Data Visualization編～")</f>
        <v>【続】Microsoft Power BI Desktop - 入門講座 ～Data Visualization編～</v>
      </c>
    </row>
    <row r="736">
      <c r="A736" s="140" t="str">
        <f>IFERROR(__xludf.DUMMYFUNCTION("""COMPUTED_VALUE"""),"fr")</f>
        <v>fr</v>
      </c>
      <c r="B736">
        <f>IFERROR(__xludf.DUMMYFUNCTION("""COMPUTED_VALUE"""),3466696.0)</f>
        <v>3466696</v>
      </c>
      <c r="C736" t="str">
        <f>IFERROR(__xludf.DUMMYFUNCTION("""COMPUTED_VALUE"""),"ISO 9001 Version 2015 : La maîtrise")</f>
        <v>ISO 9001 Version 2015 : La maîtrise</v>
      </c>
    </row>
    <row r="737">
      <c r="A737" s="140" t="str">
        <f>IFERROR(__xludf.DUMMYFUNCTION("""COMPUTED_VALUE"""),"en")</f>
        <v>en</v>
      </c>
      <c r="B737">
        <f>IFERROR(__xludf.DUMMYFUNCTION("""COMPUTED_VALUE"""),348146.0)</f>
        <v>348146</v>
      </c>
      <c r="C737" t="str">
        <f>IFERROR(__xludf.DUMMYFUNCTION("""COMPUTED_VALUE"""),"Photoshop Beginners Mastery: Zero to Hero in Photoshop")</f>
        <v>Photoshop Beginners Mastery: Zero to Hero in Photoshop</v>
      </c>
    </row>
    <row r="738">
      <c r="A738" s="140" t="str">
        <f>IFERROR(__xludf.DUMMYFUNCTION("""COMPUTED_VALUE"""),"tr")</f>
        <v>tr</v>
      </c>
      <c r="B738">
        <f>IFERROR(__xludf.DUMMYFUNCTION("""COMPUTED_VALUE"""),2376710.0)</f>
        <v>2376710</v>
      </c>
      <c r="C738" t="str">
        <f>IFERROR(__xludf.DUMMYFUNCTION("""COMPUTED_VALUE"""),"Cisco CCNP Route|300-101|GNS3 ve EVE-NG Lab Pratikleri İle|")</f>
        <v>Cisco CCNP Route|300-101|GNS3 ve EVE-NG Lab Pratikleri İle|</v>
      </c>
    </row>
    <row r="739">
      <c r="A739" s="140" t="str">
        <f>IFERROR(__xludf.DUMMYFUNCTION("""COMPUTED_VALUE"""),"en")</f>
        <v>en</v>
      </c>
      <c r="B739">
        <f>IFERROR(__xludf.DUMMYFUNCTION("""COMPUTED_VALUE"""),38915.0)</f>
        <v>38915</v>
      </c>
      <c r="C739" t="str">
        <f>IFERROR(__xludf.DUMMYFUNCTION("""COMPUTED_VALUE"""),"Learn Perl 5 By Doing It")</f>
        <v>Learn Perl 5 By Doing It</v>
      </c>
    </row>
    <row r="740">
      <c r="A740" s="140" t="str">
        <f>IFERROR(__xludf.DUMMYFUNCTION("""COMPUTED_VALUE"""),"en")</f>
        <v>en</v>
      </c>
      <c r="B740">
        <f>IFERROR(__xludf.DUMMYFUNCTION("""COMPUTED_VALUE"""),304898.0)</f>
        <v>304898</v>
      </c>
      <c r="C740" t="str">
        <f>IFERROR(__xludf.DUMMYFUNCTION("""COMPUTED_VALUE"""),"Mastering SharePoint 2013 Development Using C# - Part II")</f>
        <v>Mastering SharePoint 2013 Development Using C# - Part II</v>
      </c>
    </row>
    <row r="741">
      <c r="A741" s="140" t="str">
        <f>IFERROR(__xludf.DUMMYFUNCTION("""COMPUTED_VALUE"""),"ar")</f>
        <v>ar</v>
      </c>
      <c r="B741">
        <f>IFERROR(__xludf.DUMMYFUNCTION("""COMPUTED_VALUE"""),1941202.0)</f>
        <v>1941202</v>
      </c>
      <c r="C741" t="str">
        <f>IFERROR(__xludf.DUMMYFUNCTION("""COMPUTED_VALUE"""),"(HR) إدارة الموارد البشرية")</f>
        <v>(HR) إدارة الموارد البشرية</v>
      </c>
    </row>
    <row r="742">
      <c r="A742" s="140" t="str">
        <f>IFERROR(__xludf.DUMMYFUNCTION("""COMPUTED_VALUE"""),"ja")</f>
        <v>ja</v>
      </c>
      <c r="B742">
        <f>IFERROR(__xludf.DUMMYFUNCTION("""COMPUTED_VALUE"""),3798802.0)</f>
        <v>3798802</v>
      </c>
      <c r="C742" t="str">
        <f>IFERROR(__xludf.DUMMYFUNCTION("""COMPUTED_VALUE"""),"実戦力主義。の統計学　Excel統計学で見えなかったものが見えてくる。")</f>
        <v>実戦力主義。の統計学　Excel統計学で見えなかったものが見えてくる。</v>
      </c>
    </row>
    <row r="743">
      <c r="A743" s="140" t="str">
        <f>IFERROR(__xludf.DUMMYFUNCTION("""COMPUTED_VALUE"""),"en")</f>
        <v>en</v>
      </c>
      <c r="B743">
        <f>IFERROR(__xludf.DUMMYFUNCTION("""COMPUTED_VALUE"""),2281182.0)</f>
        <v>2281182</v>
      </c>
      <c r="C743" t="str">
        <f>IFERROR(__xludf.DUMMYFUNCTION("""COMPUTED_VALUE"""),"SAP CPI: Overview of SAP Cloud Platform Integration")</f>
        <v>SAP CPI: Overview of SAP Cloud Platform Integration</v>
      </c>
    </row>
    <row r="744">
      <c r="A744" s="140" t="str">
        <f>IFERROR(__xludf.DUMMYFUNCTION("""COMPUTED_VALUE"""),"en")</f>
        <v>en</v>
      </c>
      <c r="B744">
        <f>IFERROR(__xludf.DUMMYFUNCTION("""COMPUTED_VALUE"""),1217488.0)</f>
        <v>1217488</v>
      </c>
      <c r="C744" t="str">
        <f>IFERROR(__xludf.DUMMYFUNCTION("""COMPUTED_VALUE"""),"Powerful Social Media Marketing For Beginners")</f>
        <v>Powerful Social Media Marketing For Beginners</v>
      </c>
    </row>
    <row r="745">
      <c r="A745" s="140" t="str">
        <f>IFERROR(__xludf.DUMMYFUNCTION("""COMPUTED_VALUE"""),"ja")</f>
        <v>ja</v>
      </c>
      <c r="B745">
        <f>IFERROR(__xludf.DUMMYFUNCTION("""COMPUTED_VALUE"""),1947402.0)</f>
        <v>1947402</v>
      </c>
      <c r="C745" t="str">
        <f>IFERROR(__xludf.DUMMYFUNCTION("""COMPUTED_VALUE"""),"Premiere Proユーザー必見！Davinci Resolve 15でプロ並みの動画を作ろう！超入門編")</f>
        <v>Premiere Proユーザー必見！Davinci Resolve 15でプロ並みの動画を作ろう！超入門編</v>
      </c>
    </row>
    <row r="746">
      <c r="A746" s="140" t="str">
        <f>IFERROR(__xludf.DUMMYFUNCTION("""COMPUTED_VALUE"""),"es")</f>
        <v>es</v>
      </c>
      <c r="B746">
        <f>IFERROR(__xludf.DUMMYFUNCTION("""COMPUTED_VALUE"""),3085400.0)</f>
        <v>3085400</v>
      </c>
      <c r="C746" t="str">
        <f>IFERROR(__xludf.DUMMYFUNCTION("""COMPUTED_VALUE"""),"Ciberseguridad - CompTIA Security+ (SY0-501) Módulo 1")</f>
        <v>Ciberseguridad - CompTIA Security+ (SY0-501) Módulo 1</v>
      </c>
    </row>
    <row r="747">
      <c r="A747" s="140" t="str">
        <f>IFERROR(__xludf.DUMMYFUNCTION("""COMPUTED_VALUE"""),"en")</f>
        <v>en</v>
      </c>
      <c r="B747">
        <f>IFERROR(__xludf.DUMMYFUNCTION("""COMPUTED_VALUE"""),3404622.0)</f>
        <v>3404622</v>
      </c>
      <c r="C747" t="str">
        <f>IFERROR(__xludf.DUMMYFUNCTION("""COMPUTED_VALUE"""),"SAP S/4HANA Supply Chain Management Fundamentals")</f>
        <v>SAP S/4HANA Supply Chain Management Fundamentals</v>
      </c>
    </row>
    <row r="748">
      <c r="A748" s="140" t="str">
        <f>IFERROR(__xludf.DUMMYFUNCTION("""COMPUTED_VALUE"""),"fr")</f>
        <v>fr</v>
      </c>
      <c r="B748">
        <f>IFERROR(__xludf.DUMMYFUNCTION("""COMPUTED_VALUE"""),2979424.0)</f>
        <v>2979424</v>
      </c>
      <c r="C748" t="str">
        <f>IFERROR(__xludf.DUMMYFUNCTION("""COMPUTED_VALUE"""),"Les fondamentaux Agile, Scrum et Kanban")</f>
        <v>Les fondamentaux Agile, Scrum et Kanban</v>
      </c>
    </row>
    <row r="749">
      <c r="A749" s="140" t="str">
        <f>IFERROR(__xludf.DUMMYFUNCTION("""COMPUTED_VALUE"""),"en")</f>
        <v>en</v>
      </c>
      <c r="B749">
        <f>IFERROR(__xludf.DUMMYFUNCTION("""COMPUTED_VALUE"""),2995888.0)</f>
        <v>2995888</v>
      </c>
      <c r="C749" t="str">
        <f>IFERROR(__xludf.DUMMYFUNCTION("""COMPUTED_VALUE"""),"Exam Prep: CFA® Level 1 Bootcamp 2021 Curriculum (Part 2/2)")</f>
        <v>Exam Prep: CFA® Level 1 Bootcamp 2021 Curriculum (Part 2/2)</v>
      </c>
    </row>
    <row r="750">
      <c r="A750" s="140" t="str">
        <f>IFERROR(__xludf.DUMMYFUNCTION("""COMPUTED_VALUE"""),"es")</f>
        <v>es</v>
      </c>
      <c r="B750">
        <f>IFERROR(__xludf.DUMMYFUNCTION("""COMPUTED_VALUE"""),3097746.0)</f>
        <v>3097746</v>
      </c>
      <c r="C750" t="str">
        <f>IFERROR(__xludf.DUMMYFUNCTION("""COMPUTED_VALUE"""),"Curso de Google Meet 2021, ¡Desde Cero Hasta Experto!")</f>
        <v>Curso de Google Meet 2021, ¡Desde Cero Hasta Experto!</v>
      </c>
    </row>
    <row r="751">
      <c r="A751" s="140" t="str">
        <f>IFERROR(__xludf.DUMMYFUNCTION("""COMPUTED_VALUE"""),"en")</f>
        <v>en</v>
      </c>
      <c r="B751">
        <f>IFERROR(__xludf.DUMMYFUNCTION("""COMPUTED_VALUE"""),1643774.0)</f>
        <v>1643774</v>
      </c>
      <c r="C751" t="str">
        <f>IFERROR(__xludf.DUMMYFUNCTION("""COMPUTED_VALUE"""),"Azure MasterClass: Analyze Data With Azure Stream Analytics")</f>
        <v>Azure MasterClass: Analyze Data With Azure Stream Analytics</v>
      </c>
    </row>
    <row r="752">
      <c r="A752" s="140" t="str">
        <f>IFERROR(__xludf.DUMMYFUNCTION("""COMPUTED_VALUE"""),"ja")</f>
        <v>ja</v>
      </c>
      <c r="B752">
        <f>IFERROR(__xludf.DUMMYFUNCTION("""COMPUTED_VALUE"""),992866.0)</f>
        <v>992866</v>
      </c>
      <c r="C752" t="str">
        <f>IFERROR(__xludf.DUMMYFUNCTION("""COMPUTED_VALUE"""),"【1日完結】Premiere Proの使い方~動画クリエイターコース~")</f>
        <v>【1日完結】Premiere Proの使い方~動画クリエイターコース~</v>
      </c>
    </row>
    <row r="753">
      <c r="A753" s="140" t="str">
        <f>IFERROR(__xludf.DUMMYFUNCTION("""COMPUTED_VALUE"""),"en")</f>
        <v>en</v>
      </c>
      <c r="B753">
        <f>IFERROR(__xludf.DUMMYFUNCTION("""COMPUTED_VALUE"""),2596694.0)</f>
        <v>2596694</v>
      </c>
      <c r="C753" t="str">
        <f>IFERROR(__xludf.DUMMYFUNCTION("""COMPUTED_VALUE"""),"AZ-400: Designing Implementing Microsoft DevOps Soln: Tests")</f>
        <v>AZ-400: Designing Implementing Microsoft DevOps Soln: Tests</v>
      </c>
    </row>
    <row r="754">
      <c r="A754" s="140" t="str">
        <f>IFERROR(__xludf.DUMMYFUNCTION("""COMPUTED_VALUE"""),"ja")</f>
        <v>ja</v>
      </c>
      <c r="B754">
        <f>IFERROR(__xludf.DUMMYFUNCTION("""COMPUTED_VALUE"""),992866.0)</f>
        <v>992866</v>
      </c>
      <c r="C754" t="str">
        <f>IFERROR(__xludf.DUMMYFUNCTION("""COMPUTED_VALUE"""),"【1日完結】Premiere Proの使い方~動画クリエイターコース~")</f>
        <v>【1日完結】Premiere Proの使い方~動画クリエイターコース~</v>
      </c>
    </row>
    <row r="755">
      <c r="A755" s="140" t="str">
        <f>IFERROR(__xludf.DUMMYFUNCTION("""COMPUTED_VALUE"""),"en")</f>
        <v>en</v>
      </c>
      <c r="B755">
        <f>IFERROR(__xludf.DUMMYFUNCTION("""COMPUTED_VALUE"""),1498158.0)</f>
        <v>1498158</v>
      </c>
      <c r="C755" t="str">
        <f>IFERROR(__xludf.DUMMYFUNCTION("""COMPUTED_VALUE"""),"Time and Task Management: Time Management Techniques")</f>
        <v>Time and Task Management: Time Management Techniques</v>
      </c>
    </row>
    <row r="756">
      <c r="A756" s="140" t="str">
        <f>IFERROR(__xludf.DUMMYFUNCTION("""COMPUTED_VALUE"""),"en")</f>
        <v>en</v>
      </c>
      <c r="B756">
        <f>IFERROR(__xludf.DUMMYFUNCTION("""COMPUTED_VALUE"""),1059196.0)</f>
        <v>1059196</v>
      </c>
      <c r="C756" t="str">
        <f>IFERROR(__xludf.DUMMYFUNCTION("""COMPUTED_VALUE"""),"Business Skills: Email Etiquette Rules Everyone Should Know")</f>
        <v>Business Skills: Email Etiquette Rules Everyone Should Know</v>
      </c>
    </row>
    <row r="757">
      <c r="A757" s="140" t="str">
        <f>IFERROR(__xludf.DUMMYFUNCTION("""COMPUTED_VALUE"""),"fr")</f>
        <v>fr</v>
      </c>
      <c r="B757">
        <f>IFERROR(__xludf.DUMMYFUNCTION("""COMPUTED_VALUE"""),2146420.0)</f>
        <v>2146420</v>
      </c>
      <c r="C757" t="str">
        <f>IFERROR(__xludf.DUMMYFUNCTION("""COMPUTED_VALUE"""),"Flutter 2 et Cloud Firestore: Créez votre réseau social")</f>
        <v>Flutter 2 et Cloud Firestore: Créez votre réseau social</v>
      </c>
    </row>
    <row r="758">
      <c r="A758" s="140" t="str">
        <f>IFERROR(__xludf.DUMMYFUNCTION("""COMPUTED_VALUE"""),"en")</f>
        <v>en</v>
      </c>
      <c r="B758">
        <f>IFERROR(__xludf.DUMMYFUNCTION("""COMPUTED_VALUE"""),2105458.0)</f>
        <v>2105458</v>
      </c>
      <c r="C758" t="str">
        <f>IFERROR(__xludf.DUMMYFUNCTION("""COMPUTED_VALUE"""),"Tax Preparation and Law 2021, 2020, 2019 &amp; 2018 - Income Tax")</f>
        <v>Tax Preparation and Law 2021, 2020, 2019 &amp; 2018 - Income Tax</v>
      </c>
    </row>
    <row r="759">
      <c r="A759" s="140" t="str">
        <f>IFERROR(__xludf.DUMMYFUNCTION("""COMPUTED_VALUE"""),"de")</f>
        <v>de</v>
      </c>
      <c r="B759">
        <f>IFERROR(__xludf.DUMMYFUNCTION("""COMPUTED_VALUE"""),2286561.0)</f>
        <v>2286561</v>
      </c>
      <c r="C759" t="str">
        <f>IFERROR(__xludf.DUMMYFUNCTION("""COMPUTED_VALUE"""),"Resilienz - Weniger Stress durch emotionale Intelligenz")</f>
        <v>Resilienz - Weniger Stress durch emotionale Intelligenz</v>
      </c>
    </row>
    <row r="760">
      <c r="A760" s="140" t="str">
        <f>IFERROR(__xludf.DUMMYFUNCTION("""COMPUTED_VALUE"""),"en")</f>
        <v>en</v>
      </c>
      <c r="B760">
        <f>IFERROR(__xludf.DUMMYFUNCTION("""COMPUTED_VALUE"""),817764.0)</f>
        <v>817764</v>
      </c>
      <c r="C760" t="str">
        <f>IFERROR(__xludf.DUMMYFUNCTION("""COMPUTED_VALUE"""),"From Excel to Power BI")</f>
        <v>From Excel to Power BI</v>
      </c>
    </row>
    <row r="761">
      <c r="A761" s="140" t="str">
        <f>IFERROR(__xludf.DUMMYFUNCTION("""COMPUTED_VALUE"""),"fr")</f>
        <v>fr</v>
      </c>
      <c r="B761">
        <f>IFERROR(__xludf.DUMMYFUNCTION("""COMPUTED_VALUE"""),2340022.0)</f>
        <v>2340022</v>
      </c>
      <c r="C761" t="str">
        <f>IFERROR(__xludf.DUMMYFUNCTION("""COMPUTED_VALUE"""),"Fondations du leadership")</f>
        <v>Fondations du leadership</v>
      </c>
    </row>
    <row r="762">
      <c r="A762" s="140" t="str">
        <f>IFERROR(__xludf.DUMMYFUNCTION("""COMPUTED_VALUE"""),"en")</f>
        <v>en</v>
      </c>
      <c r="B762">
        <f>IFERROR(__xludf.DUMMYFUNCTION("""COMPUTED_VALUE"""),1479112.0)</f>
        <v>1479112</v>
      </c>
      <c r="C762" t="str">
        <f>IFERROR(__xludf.DUMMYFUNCTION("""COMPUTED_VALUE"""),"Identify &amp; Define the Problem with Business Analysis")</f>
        <v>Identify &amp; Define the Problem with Business Analysis</v>
      </c>
    </row>
    <row r="763">
      <c r="A763" s="140" t="str">
        <f>IFERROR(__xludf.DUMMYFUNCTION("""COMPUTED_VALUE"""),"pt")</f>
        <v>pt</v>
      </c>
      <c r="B763">
        <f>IFERROR(__xludf.DUMMYFUNCTION("""COMPUTED_VALUE"""),2303976.0)</f>
        <v>2303976</v>
      </c>
      <c r="C763" t="str">
        <f>IFERROR(__xludf.DUMMYFUNCTION("""COMPUTED_VALUE"""),"8 passos para resolver problemas - Metodologia 8D")</f>
        <v>8 passos para resolver problemas - Metodologia 8D</v>
      </c>
    </row>
    <row r="764">
      <c r="A764" s="140" t="str">
        <f>IFERROR(__xludf.DUMMYFUNCTION("""COMPUTED_VALUE"""),"en")</f>
        <v>en</v>
      </c>
      <c r="B764">
        <f>IFERROR(__xludf.DUMMYFUNCTION("""COMPUTED_VALUE"""),3410998.0)</f>
        <v>3410998</v>
      </c>
      <c r="C764" t="str">
        <f>IFERROR(__xludf.DUMMYFUNCTION("""COMPUTED_VALUE"""),"CCNA 200-301 Video Boot Camp with Chris Bryant")</f>
        <v>CCNA 200-301 Video Boot Camp with Chris Bryant</v>
      </c>
    </row>
    <row r="765">
      <c r="A765" s="140" t="str">
        <f>IFERROR(__xludf.DUMMYFUNCTION("""COMPUTED_VALUE"""),"en")</f>
        <v>en</v>
      </c>
      <c r="B765">
        <f>IFERROR(__xludf.DUMMYFUNCTION("""COMPUTED_VALUE"""),1647976.0)</f>
        <v>1647976</v>
      </c>
      <c r="C765" t="str">
        <f>IFERROR(__xludf.DUMMYFUNCTION("""COMPUTED_VALUE"""),"Deep Learning: Advanced Natural Language Processing and RNNs")</f>
        <v>Deep Learning: Advanced Natural Language Processing and RNNs</v>
      </c>
    </row>
    <row r="766">
      <c r="A766" s="140" t="str">
        <f>IFERROR(__xludf.DUMMYFUNCTION("""COMPUTED_VALUE"""),"en")</f>
        <v>en</v>
      </c>
      <c r="B766">
        <f>IFERROR(__xludf.DUMMYFUNCTION("""COMPUTED_VALUE"""),2002954.0)</f>
        <v>2002954</v>
      </c>
      <c r="C766" t="str">
        <f>IFERROR(__xludf.DUMMYFUNCTION("""COMPUTED_VALUE"""),"Learn Java Programming Crash Course")</f>
        <v>Learn Java Programming Crash Course</v>
      </c>
    </row>
    <row r="767">
      <c r="A767" s="140" t="str">
        <f>IFERROR(__xludf.DUMMYFUNCTION("""COMPUTED_VALUE"""),"en")</f>
        <v>en</v>
      </c>
      <c r="B767">
        <f>IFERROR(__xludf.DUMMYFUNCTION("""COMPUTED_VALUE"""),1197206.0)</f>
        <v>1197206</v>
      </c>
      <c r="C767" t="str">
        <f>IFERROR(__xludf.DUMMYFUNCTION("""COMPUTED_VALUE"""),"Illustrator 2022 MasterClass")</f>
        <v>Illustrator 2022 MasterClass</v>
      </c>
    </row>
    <row r="768">
      <c r="A768" s="140" t="str">
        <f>IFERROR(__xludf.DUMMYFUNCTION("""COMPUTED_VALUE"""),"en")</f>
        <v>en</v>
      </c>
      <c r="B768">
        <f>IFERROR(__xludf.DUMMYFUNCTION("""COMPUTED_VALUE"""),2552525.0)</f>
        <v>2552525</v>
      </c>
      <c r="C768" t="str">
        <f>IFERROR(__xludf.DUMMYFUNCTION("""COMPUTED_VALUE"""),"Clear and Simple AWS Advanced Networking Specialty 2021")</f>
        <v>Clear and Simple AWS Advanced Networking Specialty 2021</v>
      </c>
    </row>
    <row r="769">
      <c r="A769" s="140" t="str">
        <f>IFERROR(__xludf.DUMMYFUNCTION("""COMPUTED_VALUE"""),"en")</f>
        <v>en</v>
      </c>
      <c r="B769">
        <f>IFERROR(__xludf.DUMMYFUNCTION("""COMPUTED_VALUE"""),1346422.0)</f>
        <v>1346422</v>
      </c>
      <c r="C769" t="str">
        <f>IFERROR(__xludf.DUMMYFUNCTION("""COMPUTED_VALUE"""),"UIPath RPA - Tech Primer")</f>
        <v>UIPath RPA - Tech Primer</v>
      </c>
    </row>
    <row r="770">
      <c r="A770" s="140" t="str">
        <f>IFERROR(__xludf.DUMMYFUNCTION("""COMPUTED_VALUE"""),"en")</f>
        <v>en</v>
      </c>
      <c r="B770">
        <f>IFERROR(__xludf.DUMMYFUNCTION("""COMPUTED_VALUE"""),669052.0)</f>
        <v>669052</v>
      </c>
      <c r="C770" t="str">
        <f>IFERROR(__xludf.DUMMYFUNCTION("""COMPUTED_VALUE"""),"Kotlin for Beginners: Learn Programming With Kotlin")</f>
        <v>Kotlin for Beginners: Learn Programming With Kotlin</v>
      </c>
    </row>
    <row r="771">
      <c r="A771" s="140" t="str">
        <f>IFERROR(__xludf.DUMMYFUNCTION("""COMPUTED_VALUE"""),"ja")</f>
        <v>ja</v>
      </c>
      <c r="B771">
        <f>IFERROR(__xludf.DUMMYFUNCTION("""COMPUTED_VALUE"""),3840896.0)</f>
        <v>3840896</v>
      </c>
      <c r="C771" t="str">
        <f>IFERROR(__xludf.DUMMYFUNCTION("""COMPUTED_VALUE"""),"仮想通貨取引所エンジニアが教える！ AWS Lambda×Golang によるサーバーレス ビットコイン自動積立アプリ")</f>
        <v>仮想通貨取引所エンジニアが教える！ AWS Lambda×Golang によるサーバーレス ビットコイン自動積立アプリ</v>
      </c>
    </row>
    <row r="772">
      <c r="A772" s="140" t="str">
        <f>IFERROR(__xludf.DUMMYFUNCTION("""COMPUTED_VALUE"""),"en")</f>
        <v>en</v>
      </c>
      <c r="B772">
        <f>IFERROR(__xludf.DUMMYFUNCTION("""COMPUTED_VALUE"""),1154438.0)</f>
        <v>1154438</v>
      </c>
      <c r="C772" t="str">
        <f>IFERROR(__xludf.DUMMYFUNCTION("""COMPUTED_VALUE"""),"50 Tools for the Ultimate Accelerated Learning Office")</f>
        <v>50 Tools for the Ultimate Accelerated Learning Office</v>
      </c>
    </row>
    <row r="773">
      <c r="A773" s="140" t="str">
        <f>IFERROR(__xludf.DUMMYFUNCTION("""COMPUTED_VALUE"""),"en")</f>
        <v>en</v>
      </c>
      <c r="B773">
        <f>IFERROR(__xludf.DUMMYFUNCTION("""COMPUTED_VALUE"""),1173030.0)</f>
        <v>1173030</v>
      </c>
      <c r="C773" t="str">
        <f>IFERROR(__xludf.DUMMYFUNCTION("""COMPUTED_VALUE"""),"Conflict Management with Emotional Intelligence")</f>
        <v>Conflict Management with Emotional Intelligence</v>
      </c>
    </row>
    <row r="774">
      <c r="A774" s="140" t="str">
        <f>IFERROR(__xludf.DUMMYFUNCTION("""COMPUTED_VALUE"""),"en")</f>
        <v>en</v>
      </c>
      <c r="B774">
        <f>IFERROR(__xludf.DUMMYFUNCTION("""COMPUTED_VALUE"""),2837354.0)</f>
        <v>2837354</v>
      </c>
      <c r="C774" t="str">
        <f>IFERROR(__xludf.DUMMYFUNCTION("""COMPUTED_VALUE"""),"Agile BM 101 Introduction to Agile Business Management")</f>
        <v>Agile BM 101 Introduction to Agile Business Management</v>
      </c>
    </row>
    <row r="775">
      <c r="A775" s="140" t="str">
        <f>IFERROR(__xludf.DUMMYFUNCTION("""COMPUTED_VALUE"""),"pt")</f>
        <v>pt</v>
      </c>
      <c r="B775">
        <f>IFERROR(__xludf.DUMMYFUNCTION("""COMPUTED_VALUE"""),1349770.0)</f>
        <v>1349770</v>
      </c>
      <c r="C775" t="str">
        <f>IFERROR(__xludf.DUMMYFUNCTION("""COMPUTED_VALUE"""),"Curso Desenvolvedor Web Completo + 10 de projetos.")</f>
        <v>Curso Desenvolvedor Web Completo + 10 de projetos.</v>
      </c>
    </row>
    <row r="776">
      <c r="A776" s="140" t="str">
        <f>IFERROR(__xludf.DUMMYFUNCTION("""COMPUTED_VALUE"""),"ja")</f>
        <v>ja</v>
      </c>
      <c r="B776">
        <f>IFERROR(__xludf.DUMMYFUNCTION("""COMPUTED_VALUE"""),3280022.0)</f>
        <v>3280022</v>
      </c>
      <c r="C776" t="str">
        <f>IFERROR(__xludf.DUMMYFUNCTION("""COMPUTED_VALUE"""),"最速で学ぶTypeScript")</f>
        <v>最速で学ぶTypeScript</v>
      </c>
    </row>
    <row r="777">
      <c r="A777" s="140" t="str">
        <f>IFERROR(__xludf.DUMMYFUNCTION("""COMPUTED_VALUE"""),"en")</f>
        <v>en</v>
      </c>
      <c r="B777">
        <f>IFERROR(__xludf.DUMMYFUNCTION("""COMPUTED_VALUE"""),1907922.0)</f>
        <v>1907922</v>
      </c>
      <c r="C777" t="str">
        <f>IFERROR(__xludf.DUMMYFUNCTION("""COMPUTED_VALUE"""),"Effective Delegation - How To Delegate Work &amp; Responsibility")</f>
        <v>Effective Delegation - How To Delegate Work &amp; Responsibility</v>
      </c>
    </row>
    <row r="778">
      <c r="A778" s="140" t="str">
        <f>IFERROR(__xludf.DUMMYFUNCTION("""COMPUTED_VALUE"""),"de")</f>
        <v>de</v>
      </c>
      <c r="B778">
        <f>IFERROR(__xludf.DUMMYFUNCTION("""COMPUTED_VALUE"""),646270.0)</f>
        <v>646270</v>
      </c>
      <c r="C778" t="str">
        <f>IFERROR(__xludf.DUMMYFUNCTION("""COMPUTED_VALUE"""),"Microsoft Word Training – Von 0 auf 100 zum Word ECDL Profi")</f>
        <v>Microsoft Word Training – Von 0 auf 100 zum Word ECDL Profi</v>
      </c>
    </row>
    <row r="779">
      <c r="A779" s="140" t="str">
        <f>IFERROR(__xludf.DUMMYFUNCTION("""COMPUTED_VALUE"""),"en")</f>
        <v>en</v>
      </c>
      <c r="B779">
        <f>IFERROR(__xludf.DUMMYFUNCTION("""COMPUTED_VALUE"""),1183846.0)</f>
        <v>1183846</v>
      </c>
      <c r="C779" t="str">
        <f>IFERROR(__xludf.DUMMYFUNCTION("""COMPUTED_VALUE"""),"Fusion 360 For Hobbyists and Woodworkers")</f>
        <v>Fusion 360 For Hobbyists and Woodworkers</v>
      </c>
    </row>
    <row r="780">
      <c r="A780" s="140" t="str">
        <f>IFERROR(__xludf.DUMMYFUNCTION("""COMPUTED_VALUE"""),"ja")</f>
        <v>ja</v>
      </c>
      <c r="B780">
        <f>IFERROR(__xludf.DUMMYFUNCTION("""COMPUTED_VALUE"""),4142060.0)</f>
        <v>4142060</v>
      </c>
      <c r="C780" t="str">
        <f>IFERROR(__xludf.DUMMYFUNCTION("""COMPUTED_VALUE"""),"【Google Apps Script 超入門講座】2時間で知識ゼロから基礎をマスター｜様々なアプリと連携して業務効率化")</f>
        <v>【Google Apps Script 超入門講座】2時間で知識ゼロから基礎をマスター｜様々なアプリと連携して業務効率化</v>
      </c>
    </row>
    <row r="781">
      <c r="A781" s="140" t="str">
        <f>IFERROR(__xludf.DUMMYFUNCTION("""COMPUTED_VALUE"""),"en")</f>
        <v>en</v>
      </c>
      <c r="B781">
        <f>IFERROR(__xludf.DUMMYFUNCTION("""COMPUTED_VALUE"""),1410180.0)</f>
        <v>1410180</v>
      </c>
      <c r="C781" t="str">
        <f>IFERROR(__xludf.DUMMYFUNCTION("""COMPUTED_VALUE"""),"The Practical BPMN 2.0 Master Class")</f>
        <v>The Practical BPMN 2.0 Master Class</v>
      </c>
    </row>
    <row r="782">
      <c r="A782" s="140" t="str">
        <f>IFERROR(__xludf.DUMMYFUNCTION("""COMPUTED_VALUE"""),"en")</f>
        <v>en</v>
      </c>
      <c r="B782">
        <f>IFERROR(__xludf.DUMMYFUNCTION("""COMPUTED_VALUE"""),972716.0)</f>
        <v>972716</v>
      </c>
      <c r="C782" t="str">
        <f>IFERROR(__xludf.DUMMYFUNCTION("""COMPUTED_VALUE"""),"Effective Communication Skills: Stakeholder Analysis")</f>
        <v>Effective Communication Skills: Stakeholder Analysis</v>
      </c>
    </row>
    <row r="783">
      <c r="A783" s="140" t="str">
        <f>IFERROR(__xludf.DUMMYFUNCTION("""COMPUTED_VALUE"""),"en")</f>
        <v>en</v>
      </c>
      <c r="B783">
        <f>IFERROR(__xludf.DUMMYFUNCTION("""COMPUTED_VALUE"""),1178124.0)</f>
        <v>1178124</v>
      </c>
      <c r="C783" t="str">
        <f>IFERROR(__xludf.DUMMYFUNCTION("""COMPUTED_VALUE"""),"Complete C# Unity Game Developer 3D")</f>
        <v>Complete C# Unity Game Developer 3D</v>
      </c>
    </row>
    <row r="784">
      <c r="A784" s="140" t="str">
        <f>IFERROR(__xludf.DUMMYFUNCTION("""COMPUTED_VALUE"""),"en")</f>
        <v>en</v>
      </c>
      <c r="B784">
        <f>IFERROR(__xludf.DUMMYFUNCTION("""COMPUTED_VALUE"""),2510230.0)</f>
        <v>2510230</v>
      </c>
      <c r="C784" t="str">
        <f>IFERROR(__xludf.DUMMYFUNCTION("""COMPUTED_VALUE"""),"Lightning Web Component Development")</f>
        <v>Lightning Web Component Development</v>
      </c>
    </row>
    <row r="785">
      <c r="A785" s="140" t="str">
        <f>IFERROR(__xludf.DUMMYFUNCTION("""COMPUTED_VALUE"""),"en")</f>
        <v>en</v>
      </c>
      <c r="B785">
        <f>IFERROR(__xludf.DUMMYFUNCTION("""COMPUTED_VALUE"""),2277883.0)</f>
        <v>2277883</v>
      </c>
      <c r="C785" t="str">
        <f>IFERROR(__xludf.DUMMYFUNCTION("""COMPUTED_VALUE"""),"Implement Adobe Analytics - The Ultimate Student Guide")</f>
        <v>Implement Adobe Analytics - The Ultimate Student Guide</v>
      </c>
    </row>
    <row r="786">
      <c r="A786" s="140" t="str">
        <f>IFERROR(__xludf.DUMMYFUNCTION("""COMPUTED_VALUE"""),"ja")</f>
        <v>ja</v>
      </c>
      <c r="B786">
        <f>IFERROR(__xludf.DUMMYFUNCTION("""COMPUTED_VALUE"""),3925204.0)</f>
        <v>3925204</v>
      </c>
      <c r="C786" t="str">
        <f>IFERROR(__xludf.DUMMYFUNCTION("""COMPUTED_VALUE"""),"Microsoft Power Apps - 入門講座")</f>
        <v>Microsoft Power Apps - 入門講座</v>
      </c>
    </row>
    <row r="787">
      <c r="A787" s="140" t="str">
        <f>IFERROR(__xludf.DUMMYFUNCTION("""COMPUTED_VALUE"""),"fr")</f>
        <v>fr</v>
      </c>
      <c r="B787">
        <f>IFERROR(__xludf.DUMMYFUNCTION("""COMPUTED_VALUE"""),2396868.0)</f>
        <v>2396868</v>
      </c>
      <c r="C787" t="str">
        <f>IFERROR(__xludf.DUMMYFUNCTION("""COMPUTED_VALUE"""),"Les animations CSS en 9 projets")</f>
        <v>Les animations CSS en 9 projets</v>
      </c>
    </row>
    <row r="788">
      <c r="A788" s="140" t="str">
        <f>IFERROR(__xludf.DUMMYFUNCTION("""COMPUTED_VALUE"""),"ja")</f>
        <v>ja</v>
      </c>
      <c r="B788">
        <f>IFERROR(__xludf.DUMMYFUNCTION("""COMPUTED_VALUE"""),1635930.0)</f>
        <v>1635930</v>
      </c>
      <c r="C788" t="str">
        <f>IFERROR(__xludf.DUMMYFUNCTION("""COMPUTED_VALUE"""),"メディアリテラシー マスター講座")</f>
        <v>メディアリテラシー マスター講座</v>
      </c>
    </row>
    <row r="789">
      <c r="A789" s="140" t="str">
        <f>IFERROR(__xludf.DUMMYFUNCTION("""COMPUTED_VALUE"""),"en")</f>
        <v>en</v>
      </c>
      <c r="B789">
        <f>IFERROR(__xludf.DUMMYFUNCTION("""COMPUTED_VALUE"""),348432.0)</f>
        <v>348432</v>
      </c>
      <c r="C789" t="str">
        <f>IFERROR(__xludf.DUMMYFUNCTION("""COMPUTED_VALUE"""),"Presentation Skills: Give a Great Team Presentation")</f>
        <v>Presentation Skills: Give a Great Team Presentation</v>
      </c>
    </row>
    <row r="790">
      <c r="A790" s="140" t="str">
        <f>IFERROR(__xludf.DUMMYFUNCTION("""COMPUTED_VALUE"""),"pt")</f>
        <v>pt</v>
      </c>
      <c r="B790">
        <f>IFERROR(__xludf.DUMMYFUNCTION("""COMPUTED_VALUE"""),1361092.0)</f>
        <v>1361092</v>
      </c>
      <c r="C790" t="str">
        <f>IFERROR(__xludf.DUMMYFUNCTION("""COMPUTED_VALUE"""),"Crie sites ASP.NET (webforms) utilizando C# e JavaScript")</f>
        <v>Crie sites ASP.NET (webforms) utilizando C# e JavaScript</v>
      </c>
    </row>
    <row r="791">
      <c r="A791" s="140" t="str">
        <f>IFERROR(__xludf.DUMMYFUNCTION("""COMPUTED_VALUE"""),"en")</f>
        <v>en</v>
      </c>
      <c r="B791">
        <f>IFERROR(__xludf.DUMMYFUNCTION("""COMPUTED_VALUE"""),1861088.0)</f>
        <v>1861088</v>
      </c>
      <c r="C791" t="str">
        <f>IFERROR(__xludf.DUMMYFUNCTION("""COMPUTED_VALUE"""),"Ionic 4 Crash Course with Heartstone API &amp; Angular")</f>
        <v>Ionic 4 Crash Course with Heartstone API &amp; Angular</v>
      </c>
    </row>
    <row r="792">
      <c r="A792" s="140" t="str">
        <f>IFERROR(__xludf.DUMMYFUNCTION("""COMPUTED_VALUE"""),"en")</f>
        <v>en</v>
      </c>
      <c r="B792">
        <f>IFERROR(__xludf.DUMMYFUNCTION("""COMPUTED_VALUE"""),2289147.0)</f>
        <v>2289147</v>
      </c>
      <c r="C792" t="str">
        <f>IFERROR(__xludf.DUMMYFUNCTION("""COMPUTED_VALUE"""),"Motivation and Employee Engagement, a Research based Guide !")</f>
        <v>Motivation and Employee Engagement, a Research based Guide !</v>
      </c>
    </row>
    <row r="793">
      <c r="A793" s="140" t="str">
        <f>IFERROR(__xludf.DUMMYFUNCTION("""COMPUTED_VALUE"""),"es")</f>
        <v>es</v>
      </c>
      <c r="B793">
        <f>IFERROR(__xludf.DUMMYFUNCTION("""COMPUTED_VALUE"""),3647157.0)</f>
        <v>3647157</v>
      </c>
      <c r="C793" t="str">
        <f>IFERROR(__xludf.DUMMYFUNCTION("""COMPUTED_VALUE"""),"Desarrollo de apps para iOS con SwiftUI y UIKit")</f>
        <v>Desarrollo de apps para iOS con SwiftUI y UIKit</v>
      </c>
    </row>
    <row r="794">
      <c r="A794" s="140" t="str">
        <f>IFERROR(__xludf.DUMMYFUNCTION("""COMPUTED_VALUE"""),"en")</f>
        <v>en</v>
      </c>
      <c r="B794">
        <f>IFERROR(__xludf.DUMMYFUNCTION("""COMPUTED_VALUE"""),3670336.0)</f>
        <v>3670336</v>
      </c>
      <c r="C794" t="str">
        <f>IFERROR(__xludf.DUMMYFUNCTION("""COMPUTED_VALUE"""),"SaaS Marketing: SaaS Startup Lead Generation Lean Startup")</f>
        <v>SaaS Marketing: SaaS Startup Lead Generation Lean Startup</v>
      </c>
    </row>
    <row r="795">
      <c r="A795" s="140" t="str">
        <f>IFERROR(__xludf.DUMMYFUNCTION("""COMPUTED_VALUE"""),"es")</f>
        <v>es</v>
      </c>
      <c r="B795">
        <f>IFERROR(__xludf.DUMMYFUNCTION("""COMPUTED_VALUE"""),2880864.0)</f>
        <v>2880864</v>
      </c>
      <c r="C795" t="str">
        <f>IFERROR(__xludf.DUMMYFUNCTION("""COMPUTED_VALUE"""),"ISO 28000:2007 Sistema de Gestión para la Seguridad de la CS")</f>
        <v>ISO 28000:2007 Sistema de Gestión para la Seguridad de la CS</v>
      </c>
    </row>
    <row r="796">
      <c r="A796" s="140" t="str">
        <f>IFERROR(__xludf.DUMMYFUNCTION("""COMPUTED_VALUE"""),"en")</f>
        <v>en</v>
      </c>
      <c r="B796">
        <f>IFERROR(__xludf.DUMMYFUNCTION("""COMPUTED_VALUE"""),1808728.0)</f>
        <v>1808728</v>
      </c>
      <c r="C796" t="str">
        <f>IFERROR(__xludf.DUMMYFUNCTION("""COMPUTED_VALUE"""),"Master Microsoft Outlook - Outlook from Beginner to Advanced")</f>
        <v>Master Microsoft Outlook - Outlook from Beginner to Advanced</v>
      </c>
    </row>
    <row r="797">
      <c r="A797" s="140" t="str">
        <f>IFERROR(__xludf.DUMMYFUNCTION("""COMPUTED_VALUE"""),"pt")</f>
        <v>pt</v>
      </c>
      <c r="B797">
        <f>IFERROR(__xludf.DUMMYFUNCTION("""COMPUTED_VALUE"""),2315854.0)</f>
        <v>2315854</v>
      </c>
      <c r="C797" t="str">
        <f>IFERROR(__xludf.DUMMYFUNCTION("""COMPUTED_VALUE"""),"Curso Blender 2.8 | Maquete de Interiores com Cycles")</f>
        <v>Curso Blender 2.8 | Maquete de Interiores com Cycles</v>
      </c>
    </row>
    <row r="798">
      <c r="A798" s="140" t="str">
        <f>IFERROR(__xludf.DUMMYFUNCTION("""COMPUTED_VALUE"""),"tr")</f>
        <v>tr</v>
      </c>
      <c r="B798">
        <f>IFERROR(__xludf.DUMMYFUNCTION("""COMPUTED_VALUE"""),2953574.0)</f>
        <v>2953574</v>
      </c>
      <c r="C798" t="str">
        <f>IFERROR(__xludf.DUMMYFUNCTION("""COMPUTED_VALUE"""),"Altı Şapkalı Düşünme Tekniği")</f>
        <v>Altı Şapkalı Düşünme Tekniği</v>
      </c>
    </row>
    <row r="799">
      <c r="A799" s="140" t="str">
        <f>IFERROR(__xludf.DUMMYFUNCTION("""COMPUTED_VALUE"""),"en")</f>
        <v>en</v>
      </c>
      <c r="B799">
        <f>IFERROR(__xludf.DUMMYFUNCTION("""COMPUTED_VALUE"""),3941860.0)</f>
        <v>3941860</v>
      </c>
      <c r="C799" t="str">
        <f>IFERROR(__xludf.DUMMYFUNCTION("""COMPUTED_VALUE"""),"Boolean Search for Recruitment &amp; Sourcing (Human Resource)")</f>
        <v>Boolean Search for Recruitment &amp; Sourcing (Human Resource)</v>
      </c>
    </row>
    <row r="800">
      <c r="A800" s="140" t="str">
        <f>IFERROR(__xludf.DUMMYFUNCTION("""COMPUTED_VALUE"""),"en")</f>
        <v>en</v>
      </c>
      <c r="B800">
        <f>IFERROR(__xludf.DUMMYFUNCTION("""COMPUTED_VALUE"""),4305273.0)</f>
        <v>4305273</v>
      </c>
      <c r="C800" t="str">
        <f>IFERROR(__xludf.DUMMYFUNCTION("""COMPUTED_VALUE"""),"Alteryx Training (Discover, Prepare, Analyze &amp; Present)")</f>
        <v>Alteryx Training (Discover, Prepare, Analyze &amp; Present)</v>
      </c>
    </row>
    <row r="801">
      <c r="A801" s="140" t="str">
        <f>IFERROR(__xludf.DUMMYFUNCTION("""COMPUTED_VALUE"""),"ja")</f>
        <v>ja</v>
      </c>
      <c r="B801">
        <f>IFERROR(__xludf.DUMMYFUNCTION("""COMPUTED_VALUE"""),2383764.0)</f>
        <v>2383764</v>
      </c>
      <c r="C801" t="str">
        <f>IFERROR(__xludf.DUMMYFUNCTION("""COMPUTED_VALUE"""),"Excel VBA[第5弾]ファイル出力マクロ編！ブックをシート別に分割して自動出力。CSVやPDF出力、印刷も自動化！")</f>
        <v>Excel VBA[第5弾]ファイル出力マクロ編！ブックをシート別に分割して自動出力。CSVやPDF出力、印刷も自動化！</v>
      </c>
    </row>
    <row r="802">
      <c r="A802" s="140" t="str">
        <f>IFERROR(__xludf.DUMMYFUNCTION("""COMPUTED_VALUE"""),"tr")</f>
        <v>tr</v>
      </c>
      <c r="B802">
        <f>IFERROR(__xludf.DUMMYFUNCTION("""COMPUTED_VALUE"""),2791950.0)</f>
        <v>2791950</v>
      </c>
      <c r="C802" t="str">
        <f>IFERROR(__xludf.DUMMYFUNCTION("""COMPUTED_VALUE"""),"Veritabanı Yönetim Sistemleri ve Microsoft SQL Server [2020]")</f>
        <v>Veritabanı Yönetim Sistemleri ve Microsoft SQL Server [2020]</v>
      </c>
    </row>
    <row r="803">
      <c r="A803" s="140" t="str">
        <f>IFERROR(__xludf.DUMMYFUNCTION("""COMPUTED_VALUE"""),"ja")</f>
        <v>ja</v>
      </c>
      <c r="B803">
        <f>IFERROR(__xludf.DUMMYFUNCTION("""COMPUTED_VALUE"""),3881440.0)</f>
        <v>3881440</v>
      </c>
      <c r="C803" t="str">
        <f>IFERROR(__xludf.DUMMYFUNCTION("""COMPUTED_VALUE"""),"マイクロサービスアーキテクチャ")</f>
        <v>マイクロサービスアーキテクチャ</v>
      </c>
    </row>
    <row r="804">
      <c r="A804" s="140" t="str">
        <f>IFERROR(__xludf.DUMMYFUNCTION("""COMPUTED_VALUE"""),"ja")</f>
        <v>ja</v>
      </c>
      <c r="B804">
        <f>IFERROR(__xludf.DUMMYFUNCTION("""COMPUTED_VALUE"""),1187504.0)</f>
        <v>1187504</v>
      </c>
      <c r="C804" t="str">
        <f>IFERROR(__xludf.DUMMYFUNCTION("""COMPUTED_VALUE"""),"Premiere Pro/AfterEffects cc 新機能エッセンシャルグラフィックスの活用方法")</f>
        <v>Premiere Pro/AfterEffects cc 新機能エッセンシャルグラフィックスの活用方法</v>
      </c>
    </row>
    <row r="805">
      <c r="A805" s="140" t="str">
        <f>IFERROR(__xludf.DUMMYFUNCTION("""COMPUTED_VALUE"""),"es")</f>
        <v>es</v>
      </c>
      <c r="B805">
        <f>IFERROR(__xludf.DUMMYFUNCTION("""COMPUTED_VALUE"""),939434.0)</f>
        <v>939434</v>
      </c>
      <c r="C805" t="str">
        <f>IFERROR(__xludf.DUMMYFUNCTION("""COMPUTED_VALUE"""),"Curso Básico de Linux")</f>
        <v>Curso Básico de Linux</v>
      </c>
    </row>
    <row r="806">
      <c r="A806" s="140" t="str">
        <f>IFERROR(__xludf.DUMMYFUNCTION("""COMPUTED_VALUE"""),"en")</f>
        <v>en</v>
      </c>
      <c r="B806">
        <f>IFERROR(__xludf.DUMMYFUNCTION("""COMPUTED_VALUE"""),1116196.0)</f>
        <v>1116196</v>
      </c>
      <c r="C806" t="str">
        <f>IFERROR(__xludf.DUMMYFUNCTION("""COMPUTED_VALUE"""),"Essential Theory and Technique for Guitar")</f>
        <v>Essential Theory and Technique for Guitar</v>
      </c>
    </row>
    <row r="807">
      <c r="A807" s="140" t="str">
        <f>IFERROR(__xludf.DUMMYFUNCTION("""COMPUTED_VALUE"""),"en")</f>
        <v>en</v>
      </c>
      <c r="B807">
        <f>IFERROR(__xludf.DUMMYFUNCTION("""COMPUTED_VALUE"""),3130514.0)</f>
        <v>3130514</v>
      </c>
      <c r="C807" t="str">
        <f>IFERROR(__xludf.DUMMYFUNCTION("""COMPUTED_VALUE"""),"HELM - Package Manager for Kubernetes Complete Master Course")</f>
        <v>HELM - Package Manager for Kubernetes Complete Master Course</v>
      </c>
    </row>
    <row r="808">
      <c r="A808" s="140" t="str">
        <f>IFERROR(__xludf.DUMMYFUNCTION("""COMPUTED_VALUE"""),"en")</f>
        <v>en</v>
      </c>
      <c r="B808">
        <f>IFERROR(__xludf.DUMMYFUNCTION("""COMPUTED_VALUE"""),1927250.0)</f>
        <v>1927250</v>
      </c>
      <c r="C808" t="str">
        <f>IFERROR(__xludf.DUMMYFUNCTION("""COMPUTED_VALUE"""),"Microsoft AZ-104:Azure Administrator Exam Certification 2020")</f>
        <v>Microsoft AZ-104:Azure Administrator Exam Certification 2020</v>
      </c>
    </row>
    <row r="809">
      <c r="A809" s="140" t="str">
        <f>IFERROR(__xludf.DUMMYFUNCTION("""COMPUTED_VALUE"""),"en")</f>
        <v>en</v>
      </c>
      <c r="B809">
        <f>IFERROR(__xludf.DUMMYFUNCTION("""COMPUTED_VALUE"""),915690.0)</f>
        <v>915690</v>
      </c>
      <c r="C809" t="str">
        <f>IFERROR(__xludf.DUMMYFUNCTION("""COMPUTED_VALUE"""),"Mastering RTOS: Hands on FreeRTOS and STM32Fx with Debugging")</f>
        <v>Mastering RTOS: Hands on FreeRTOS and STM32Fx with Debugging</v>
      </c>
    </row>
    <row r="810">
      <c r="A810" s="140" t="str">
        <f>IFERROR(__xludf.DUMMYFUNCTION("""COMPUTED_VALUE"""),"de")</f>
        <v>de</v>
      </c>
      <c r="B810">
        <f>IFERROR(__xludf.DUMMYFUNCTION("""COMPUTED_VALUE"""),2460574.0)</f>
        <v>2460574</v>
      </c>
      <c r="C810" t="str">
        <f>IFERROR(__xludf.DUMMYFUNCTION("""COMPUTED_VALUE"""),"Patentwissen kompakt")</f>
        <v>Patentwissen kompakt</v>
      </c>
    </row>
    <row r="811">
      <c r="A811" s="140" t="str">
        <f>IFERROR(__xludf.DUMMYFUNCTION("""COMPUTED_VALUE"""),"ja")</f>
        <v>ja</v>
      </c>
      <c r="B811">
        <f>IFERROR(__xludf.DUMMYFUNCTION("""COMPUTED_VALUE"""),3978248.0)</f>
        <v>3978248</v>
      </c>
      <c r="C811" t="str">
        <f>IFERROR(__xludf.DUMMYFUNCTION("""COMPUTED_VALUE"""),"【はじめての会計学】1日で学べる財務会計の基本マスターコース（Excelテンプレ付き）")</f>
        <v>【はじめての会計学】1日で学べる財務会計の基本マスターコース（Excelテンプレ付き）</v>
      </c>
    </row>
    <row r="812">
      <c r="A812" s="140" t="str">
        <f>IFERROR(__xludf.DUMMYFUNCTION("""COMPUTED_VALUE"""),"en")</f>
        <v>en</v>
      </c>
      <c r="B812">
        <f>IFERROR(__xludf.DUMMYFUNCTION("""COMPUTED_VALUE"""),2438718.0)</f>
        <v>2438718</v>
      </c>
      <c r="C812" t="str">
        <f>IFERROR(__xludf.DUMMYFUNCTION("""COMPUTED_VALUE"""),"Growth Hacking &amp; Growth Marketing Masterclass [2022]")</f>
        <v>Growth Hacking &amp; Growth Marketing Masterclass [2022]</v>
      </c>
    </row>
    <row r="813">
      <c r="A813" s="140" t="str">
        <f>IFERROR(__xludf.DUMMYFUNCTION("""COMPUTED_VALUE"""),"en")</f>
        <v>en</v>
      </c>
      <c r="B813">
        <f>IFERROR(__xludf.DUMMYFUNCTION("""COMPUTED_VALUE"""),1217244.0)</f>
        <v>1217244</v>
      </c>
      <c r="C813" t="str">
        <f>IFERROR(__xludf.DUMMYFUNCTION("""COMPUTED_VALUE"""),"AWS MasterClass: Monitoring  and DevOps with AWS CloudWatch")</f>
        <v>AWS MasterClass: Monitoring  and DevOps with AWS CloudWatch</v>
      </c>
    </row>
    <row r="814">
      <c r="A814" s="140" t="str">
        <f>IFERROR(__xludf.DUMMYFUNCTION("""COMPUTED_VALUE"""),"es")</f>
        <v>es</v>
      </c>
      <c r="B814">
        <f>IFERROR(__xludf.DUMMYFUNCTION("""COMPUTED_VALUE"""),1106266.0)</f>
        <v>1106266</v>
      </c>
      <c r="C814" t="str">
        <f>IFERROR(__xludf.DUMMYFUNCTION("""COMPUTED_VALUE"""),"Certificado de PNL Para Principiantes y Avanzados")</f>
        <v>Certificado de PNL Para Principiantes y Avanzados</v>
      </c>
    </row>
    <row r="815">
      <c r="A815" s="140" t="str">
        <f>IFERROR(__xludf.DUMMYFUNCTION("""COMPUTED_VALUE"""),"en")</f>
        <v>en</v>
      </c>
      <c r="B815">
        <f>IFERROR(__xludf.DUMMYFUNCTION("""COMPUTED_VALUE"""),1335118.0)</f>
        <v>1335118</v>
      </c>
      <c r="C815" t="str">
        <f>IFERROR(__xludf.DUMMYFUNCTION("""COMPUTED_VALUE"""),"Learn Federal Government Contracting From An Expert")</f>
        <v>Learn Federal Government Contracting From An Expert</v>
      </c>
    </row>
    <row r="816">
      <c r="A816" s="140" t="str">
        <f>IFERROR(__xludf.DUMMYFUNCTION("""COMPUTED_VALUE"""),"es")</f>
        <v>es</v>
      </c>
      <c r="B816">
        <f>IFERROR(__xludf.DUMMYFUNCTION("""COMPUTED_VALUE"""),2722404.0)</f>
        <v>2722404</v>
      </c>
      <c r="C816" t="str">
        <f>IFERROR(__xludf.DUMMYFUNCTION("""COMPUTED_VALUE"""),"Machine Learning y Data Science: Curso Completo con Python 3")</f>
        <v>Machine Learning y Data Science: Curso Completo con Python 3</v>
      </c>
    </row>
    <row r="817">
      <c r="A817" s="140" t="str">
        <f>IFERROR(__xludf.DUMMYFUNCTION("""COMPUTED_VALUE"""),"de")</f>
        <v>de</v>
      </c>
      <c r="B817">
        <f>IFERROR(__xludf.DUMMYFUNCTION("""COMPUTED_VALUE"""),2384036.0)</f>
        <v>2384036</v>
      </c>
      <c r="C817" t="str">
        <f>IFERROR(__xludf.DUMMYFUNCTION("""COMPUTED_VALUE"""),"44 Fragetechniken: Effektiver kommunizieren mit guten Fragen")</f>
        <v>44 Fragetechniken: Effektiver kommunizieren mit guten Fragen</v>
      </c>
    </row>
    <row r="818">
      <c r="A818" s="140" t="str">
        <f>IFERROR(__xludf.DUMMYFUNCTION("""COMPUTED_VALUE"""),"es")</f>
        <v>es</v>
      </c>
      <c r="B818">
        <f>IFERROR(__xludf.DUMMYFUNCTION("""COMPUTED_VALUE"""),1304386.0)</f>
        <v>1304386</v>
      </c>
      <c r="C818" t="str">
        <f>IFERROR(__xludf.DUMMYFUNCTION("""COMPUTED_VALUE"""),"Diseño Web y Móvil con Sketch")</f>
        <v>Diseño Web y Móvil con Sketch</v>
      </c>
    </row>
    <row r="819">
      <c r="A819" s="140" t="str">
        <f>IFERROR(__xludf.DUMMYFUNCTION("""COMPUTED_VALUE"""),"en")</f>
        <v>en</v>
      </c>
      <c r="B819">
        <f>IFERROR(__xludf.DUMMYFUNCTION("""COMPUTED_VALUE"""),2418748.0)</f>
        <v>2418748</v>
      </c>
      <c r="C819" t="str">
        <f>IFERROR(__xludf.DUMMYFUNCTION("""COMPUTED_VALUE"""),"The New CCNA Exam v1.0 (200-301) By Hexa CCIE Khawar Butt")</f>
        <v>The New CCNA Exam v1.0 (200-301) By Hexa CCIE Khawar Butt</v>
      </c>
    </row>
    <row r="820">
      <c r="A820" s="140" t="str">
        <f>IFERROR(__xludf.DUMMYFUNCTION("""COMPUTED_VALUE"""),"en")</f>
        <v>en</v>
      </c>
      <c r="B820">
        <f>IFERROR(__xludf.DUMMYFUNCTION("""COMPUTED_VALUE"""),2789348.0)</f>
        <v>2789348</v>
      </c>
      <c r="C820" t="str">
        <f>IFERROR(__xludf.DUMMYFUNCTION("""COMPUTED_VALUE"""),"Ultimate AWS Certified Solutions Architect Professional 2021")</f>
        <v>Ultimate AWS Certified Solutions Architect Professional 2021</v>
      </c>
    </row>
    <row r="821">
      <c r="A821" s="140" t="str">
        <f>IFERROR(__xludf.DUMMYFUNCTION("""COMPUTED_VALUE"""),"en")</f>
        <v>en</v>
      </c>
      <c r="B821">
        <f>IFERROR(__xludf.DUMMYFUNCTION("""COMPUTED_VALUE"""),1344876.0)</f>
        <v>1344876</v>
      </c>
      <c r="C821" t="str">
        <f>IFERROR(__xludf.DUMMYFUNCTION("""COMPUTED_VALUE"""),"What's New in Java 9 - Modules and More!")</f>
        <v>What's New in Java 9 - Modules and More!</v>
      </c>
    </row>
    <row r="822">
      <c r="A822" s="140" t="str">
        <f>IFERROR(__xludf.DUMMYFUNCTION("""COMPUTED_VALUE"""),"fr")</f>
        <v>fr</v>
      </c>
      <c r="B822">
        <f>IFERROR(__xludf.DUMMYFUNCTION("""COMPUTED_VALUE"""),3225647.0)</f>
        <v>3225647</v>
      </c>
      <c r="C822" t="str">
        <f>IFERROR(__xludf.DUMMYFUNCTION("""COMPUTED_VALUE"""),"La Formation Complète PyCharm")</f>
        <v>La Formation Complète PyCharm</v>
      </c>
    </row>
    <row r="823">
      <c r="A823" s="140" t="str">
        <f>IFERROR(__xludf.DUMMYFUNCTION("""COMPUTED_VALUE"""),"en")</f>
        <v>en</v>
      </c>
      <c r="B823">
        <f>IFERROR(__xludf.DUMMYFUNCTION("""COMPUTED_VALUE"""),3234659.0)</f>
        <v>3234659</v>
      </c>
      <c r="C823" t="str">
        <f>IFERROR(__xludf.DUMMYFUNCTION("""COMPUTED_VALUE"""),"Create a Twitter Clone with Node.js, Socket.IO and MongoDB")</f>
        <v>Create a Twitter Clone with Node.js, Socket.IO and MongoDB</v>
      </c>
    </row>
    <row r="824">
      <c r="A824" s="140" t="str">
        <f>IFERROR(__xludf.DUMMYFUNCTION("""COMPUTED_VALUE"""),"ja")</f>
        <v>ja</v>
      </c>
      <c r="B824">
        <f>IFERROR(__xludf.DUMMYFUNCTION("""COMPUTED_VALUE"""),3706052.0)</f>
        <v>3706052</v>
      </c>
      <c r="C824" t="str">
        <f>IFERROR(__xludf.DUMMYFUNCTION("""COMPUTED_VALUE"""),"【G検定の一部対策に】 DX推進者に不可欠なAI・機械学習の基礎と精度の測り方をコンパクトに学ぼう！")</f>
        <v>【G検定の一部対策に】 DX推進者に不可欠なAI・機械学習の基礎と精度の測り方をコンパクトに学ぼう！</v>
      </c>
    </row>
    <row r="825">
      <c r="A825" s="140" t="str">
        <f>IFERROR(__xludf.DUMMYFUNCTION("""COMPUTED_VALUE"""),"en")</f>
        <v>en</v>
      </c>
      <c r="B825">
        <f>IFERROR(__xludf.DUMMYFUNCTION("""COMPUTED_VALUE"""),3822168.0)</f>
        <v>3822168</v>
      </c>
      <c r="C825" t="str">
        <f>IFERROR(__xludf.DUMMYFUNCTION("""COMPUTED_VALUE"""),"Microservices with Java Spring Boot and Spring Cloud")</f>
        <v>Microservices with Java Spring Boot and Spring Cloud</v>
      </c>
    </row>
    <row r="826">
      <c r="A826" s="140" t="str">
        <f>IFERROR(__xludf.DUMMYFUNCTION("""COMPUTED_VALUE"""),"es")</f>
        <v>es</v>
      </c>
      <c r="B826">
        <f>IFERROR(__xludf.DUMMYFUNCTION("""COMPUTED_VALUE"""),115204.0)</f>
        <v>115204</v>
      </c>
      <c r="C826" t="str">
        <f>IFERROR(__xludf.DUMMYFUNCTION("""COMPUTED_VALUE"""),"Scrum: un marco para el desarrollo ágil de proyectos")</f>
        <v>Scrum: un marco para el desarrollo ágil de proyectos</v>
      </c>
    </row>
    <row r="827">
      <c r="A827" s="140" t="str">
        <f>IFERROR(__xludf.DUMMYFUNCTION("""COMPUTED_VALUE"""),"pt")</f>
        <v>pt</v>
      </c>
      <c r="B827">
        <f>IFERROR(__xludf.DUMMYFUNCTION("""COMPUTED_VALUE"""),908892.0)</f>
        <v>908892</v>
      </c>
      <c r="C827" t="str">
        <f>IFERROR(__xludf.DUMMYFUNCTION("""COMPUTED_VALUE"""),"Formação Inicial em Design Thinking")</f>
        <v>Formação Inicial em Design Thinking</v>
      </c>
    </row>
    <row r="828">
      <c r="A828" s="140" t="str">
        <f>IFERROR(__xludf.DUMMYFUNCTION("""COMPUTED_VALUE"""),"ja")</f>
        <v>ja</v>
      </c>
      <c r="B828">
        <f>IFERROR(__xludf.DUMMYFUNCTION("""COMPUTED_VALUE"""),2656602.0)</f>
        <v>2656602</v>
      </c>
      <c r="C828" t="str">
        <f>IFERROR(__xludf.DUMMYFUNCTION("""COMPUTED_VALUE"""),"TOEIC(R) L&amp;R テスト 730点突破！徹底復習講座")</f>
        <v>TOEIC(R) L&amp;R テスト 730点突破！徹底復習講座</v>
      </c>
    </row>
    <row r="829">
      <c r="A829" s="140" t="str">
        <f>IFERROR(__xludf.DUMMYFUNCTION("""COMPUTED_VALUE"""),"en")</f>
        <v>en</v>
      </c>
      <c r="B829">
        <f>IFERROR(__xludf.DUMMYFUNCTION("""COMPUTED_VALUE"""),2392642.0)</f>
        <v>2392642</v>
      </c>
      <c r="C829" t="str">
        <f>IFERROR(__xludf.DUMMYFUNCTION("""COMPUTED_VALUE"""),"Introduction to Azure SQL Database for Beginners")</f>
        <v>Introduction to Azure SQL Database for Beginners</v>
      </c>
    </row>
    <row r="830">
      <c r="A830" s="140" t="str">
        <f>IFERROR(__xludf.DUMMYFUNCTION("""COMPUTED_VALUE"""),"en")</f>
        <v>en</v>
      </c>
      <c r="B830">
        <f>IFERROR(__xludf.DUMMYFUNCTION("""COMPUTED_VALUE"""),258232.0)</f>
        <v>258232</v>
      </c>
      <c r="C830" t="str">
        <f>IFERROR(__xludf.DUMMYFUNCTION("""COMPUTED_VALUE"""),"Algorithmic Trading In Forex: Create Your First Forex Robot!")</f>
        <v>Algorithmic Trading In Forex: Create Your First Forex Robot!</v>
      </c>
    </row>
    <row r="831">
      <c r="A831" s="140" t="str">
        <f>IFERROR(__xludf.DUMMYFUNCTION("""COMPUTED_VALUE"""),"en")</f>
        <v>en</v>
      </c>
      <c r="B831">
        <f>IFERROR(__xludf.DUMMYFUNCTION("""COMPUTED_VALUE"""),332140.0)</f>
        <v>332140</v>
      </c>
      <c r="C831" t="str">
        <f>IFERROR(__xludf.DUMMYFUNCTION("""COMPUTED_VALUE"""),"Effective Delegation")</f>
        <v>Effective Delegation</v>
      </c>
    </row>
    <row r="832">
      <c r="A832" s="140" t="str">
        <f>IFERROR(__xludf.DUMMYFUNCTION("""COMPUTED_VALUE"""),"en")</f>
        <v>en</v>
      </c>
      <c r="B832">
        <f>IFERROR(__xludf.DUMMYFUNCTION("""COMPUTED_VALUE"""),172898.0)</f>
        <v>172898</v>
      </c>
      <c r="C832" t="str">
        <f>IFERROR(__xludf.DUMMYFUNCTION("""COMPUTED_VALUE"""),"Fundamental Financial Math")</f>
        <v>Fundamental Financial Math</v>
      </c>
    </row>
    <row r="833">
      <c r="A833" s="140" t="str">
        <f>IFERROR(__xludf.DUMMYFUNCTION("""COMPUTED_VALUE"""),"pt")</f>
        <v>pt</v>
      </c>
      <c r="B833">
        <f>IFERROR(__xludf.DUMMYFUNCTION("""COMPUTED_VALUE"""),2349752.0)</f>
        <v>2349752</v>
      </c>
      <c r="C833" t="str">
        <f>IFERROR(__xludf.DUMMYFUNCTION("""COMPUTED_VALUE"""),"Redes de computadores para iniciantes")</f>
        <v>Redes de computadores para iniciantes</v>
      </c>
    </row>
    <row r="834">
      <c r="A834" s="140" t="str">
        <f>IFERROR(__xludf.DUMMYFUNCTION("""COMPUTED_VALUE"""),"en")</f>
        <v>en</v>
      </c>
      <c r="B834">
        <f>IFERROR(__xludf.DUMMYFUNCTION("""COMPUTED_VALUE"""),365176.0)</f>
        <v>365176</v>
      </c>
      <c r="C834" t="str">
        <f>IFERROR(__xludf.DUMMYFUNCTION("""COMPUTED_VALUE"""),"SEO Training: Get Free Traffic to Your Website With SEO")</f>
        <v>SEO Training: Get Free Traffic to Your Website With SEO</v>
      </c>
    </row>
    <row r="835">
      <c r="A835" s="140" t="str">
        <f>IFERROR(__xludf.DUMMYFUNCTION("""COMPUTED_VALUE"""),"en")</f>
        <v>en</v>
      </c>
      <c r="B835">
        <f>IFERROR(__xludf.DUMMYFUNCTION("""COMPUTED_VALUE"""),2365238.0)</f>
        <v>2365238</v>
      </c>
      <c r="C835" t="str">
        <f>IFERROR(__xludf.DUMMYFUNCTION("""COMPUTED_VALUE"""),"Mobile Testing Masterclass (2021) From The Beginning")</f>
        <v>Mobile Testing Masterclass (2021) From The Beginning</v>
      </c>
    </row>
    <row r="836">
      <c r="A836" s="140" t="str">
        <f>IFERROR(__xludf.DUMMYFUNCTION("""COMPUTED_VALUE"""),"en")</f>
        <v>en</v>
      </c>
      <c r="B836">
        <f>IFERROR(__xludf.DUMMYFUNCTION("""COMPUTED_VALUE"""),3714252.0)</f>
        <v>3714252</v>
      </c>
      <c r="C836" t="str">
        <f>IFERROR(__xludf.DUMMYFUNCTION("""COMPUTED_VALUE"""),"The Complete SAP S/4HANA Bootcamp 2021")</f>
        <v>The Complete SAP S/4HANA Bootcamp 2021</v>
      </c>
    </row>
    <row r="837">
      <c r="A837" s="140" t="str">
        <f>IFERROR(__xludf.DUMMYFUNCTION("""COMPUTED_VALUE"""),"en")</f>
        <v>en</v>
      </c>
      <c r="B837">
        <f>IFERROR(__xludf.DUMMYFUNCTION("""COMPUTED_VALUE"""),526570.0)</f>
        <v>526570</v>
      </c>
      <c r="C837" t="str">
        <f>IFERROR(__xludf.DUMMYFUNCTION("""COMPUTED_VALUE"""),"Crowdfunding for Changemakers")</f>
        <v>Crowdfunding for Changemakers</v>
      </c>
    </row>
    <row r="838">
      <c r="A838" s="140" t="str">
        <f>IFERROR(__xludf.DUMMYFUNCTION("""COMPUTED_VALUE"""),"pt")</f>
        <v>pt</v>
      </c>
      <c r="B838">
        <f>IFERROR(__xludf.DUMMYFUNCTION("""COMPUTED_VALUE"""),3325842.0)</f>
        <v>3325842</v>
      </c>
      <c r="C838" t="str">
        <f>IFERROR(__xludf.DUMMYFUNCTION("""COMPUTED_VALUE"""),"Gestão de Custos Logísticos")</f>
        <v>Gestão de Custos Logísticos</v>
      </c>
    </row>
    <row r="839">
      <c r="A839" s="140" t="str">
        <f>IFERROR(__xludf.DUMMYFUNCTION("""COMPUTED_VALUE"""),"ar")</f>
        <v>ar</v>
      </c>
      <c r="B839">
        <f>IFERROR(__xludf.DUMMYFUNCTION("""COMPUTED_VALUE"""),2123990.0)</f>
        <v>2123990</v>
      </c>
      <c r="C839" t="str">
        <f>IFERROR(__xludf.DUMMYFUNCTION("""COMPUTED_VALUE"""),"طريقك للحصول على شهادة الجافا الاحترافيه من اوراكل")</f>
        <v>طريقك للحصول على شهادة الجافا الاحترافيه من اوراكل</v>
      </c>
    </row>
    <row r="840">
      <c r="A840" s="140" t="str">
        <f>IFERROR(__xludf.DUMMYFUNCTION("""COMPUTED_VALUE"""),"tr")</f>
        <v>tr</v>
      </c>
      <c r="B840">
        <f>IFERROR(__xludf.DUMMYFUNCTION("""COMPUTED_VALUE"""),2850960.0)</f>
        <v>2850960</v>
      </c>
      <c r="C840" t="str">
        <f>IFERROR(__xludf.DUMMYFUNCTION("""COMPUTED_VALUE"""),"A'dan Z'ye Uygulamalı Temel ve İleri Excel Eğitimi")</f>
        <v>A'dan Z'ye Uygulamalı Temel ve İleri Excel Eğitimi</v>
      </c>
    </row>
    <row r="841">
      <c r="A841" s="140" t="str">
        <f>IFERROR(__xludf.DUMMYFUNCTION("""COMPUTED_VALUE"""),"en")</f>
        <v>en</v>
      </c>
      <c r="B841">
        <f>IFERROR(__xludf.DUMMYFUNCTION("""COMPUTED_VALUE"""),455794.0)</f>
        <v>455794</v>
      </c>
      <c r="C841" t="str">
        <f>IFERROR(__xludf.DUMMYFUNCTION("""COMPUTED_VALUE"""),"HR 101: Compliance Made Easy  -  U.S. Employers Must Have")</f>
        <v>HR 101: Compliance Made Easy  -  U.S. Employers Must Have</v>
      </c>
    </row>
    <row r="842">
      <c r="A842" s="140" t="str">
        <f>IFERROR(__xludf.DUMMYFUNCTION("""COMPUTED_VALUE"""),"es")</f>
        <v>es</v>
      </c>
      <c r="B842">
        <f>IFERROR(__xludf.DUMMYFUNCTION("""COMPUTED_VALUE"""),3446740.0)</f>
        <v>3446740</v>
      </c>
      <c r="C842" t="str">
        <f>IFERROR(__xludf.DUMMYFUNCTION("""COMPUTED_VALUE"""),"VPS Seguro en Ubuntu 20.04 con Letsencrypt, Cloudflare y más")</f>
        <v>VPS Seguro en Ubuntu 20.04 con Letsencrypt, Cloudflare y más</v>
      </c>
    </row>
    <row r="843">
      <c r="A843" s="140" t="str">
        <f>IFERROR(__xludf.DUMMYFUNCTION("""COMPUTED_VALUE"""),"en")</f>
        <v>en</v>
      </c>
      <c r="B843">
        <f>IFERROR(__xludf.DUMMYFUNCTION("""COMPUTED_VALUE"""),2151152.0)</f>
        <v>2151152</v>
      </c>
      <c r="C843" t="str">
        <f>IFERROR(__xludf.DUMMYFUNCTION("""COMPUTED_VALUE"""),"Life Transformation Blueprint - Your Personal Growth Plan")</f>
        <v>Life Transformation Blueprint - Your Personal Growth Plan</v>
      </c>
    </row>
    <row r="844">
      <c r="A844" s="140" t="str">
        <f>IFERROR(__xludf.DUMMYFUNCTION("""COMPUTED_VALUE"""),"en")</f>
        <v>en</v>
      </c>
      <c r="B844">
        <f>IFERROR(__xludf.DUMMYFUNCTION("""COMPUTED_VALUE"""),3870162.0)</f>
        <v>3870162</v>
      </c>
      <c r="C844" t="str">
        <f>IFERROR(__xludf.DUMMYFUNCTION("""COMPUTED_VALUE"""),"The Data Strategy Course: Building a Data-driven Business")</f>
        <v>The Data Strategy Course: Building a Data-driven Business</v>
      </c>
    </row>
    <row r="845">
      <c r="A845" s="140" t="str">
        <f>IFERROR(__xludf.DUMMYFUNCTION("""COMPUTED_VALUE"""),"en")</f>
        <v>en</v>
      </c>
      <c r="B845">
        <f>IFERROR(__xludf.DUMMYFUNCTION("""COMPUTED_VALUE"""),2008080.0)</f>
        <v>2008080</v>
      </c>
      <c r="C845" t="str">
        <f>IFERROR(__xludf.DUMMYFUNCTION("""COMPUTED_VALUE"""),"Akka Essentials with Scala | Rock the JVM")</f>
        <v>Akka Essentials with Scala | Rock the JVM</v>
      </c>
    </row>
    <row r="846">
      <c r="A846" s="140" t="str">
        <f>IFERROR(__xludf.DUMMYFUNCTION("""COMPUTED_VALUE"""),"en")</f>
        <v>en</v>
      </c>
      <c r="B846">
        <f>IFERROR(__xludf.DUMMYFUNCTION("""COMPUTED_VALUE"""),970634.0)</f>
        <v>970634</v>
      </c>
      <c r="C846" t="str">
        <f>IFERROR(__xludf.DUMMYFUNCTION("""COMPUTED_VALUE"""),"Moodle 3.0x Administration Tutorial: ADVANCED COURSE")</f>
        <v>Moodle 3.0x Administration Tutorial: ADVANCED COURSE</v>
      </c>
    </row>
    <row r="847">
      <c r="A847" s="140" t="str">
        <f>IFERROR(__xludf.DUMMYFUNCTION("""COMPUTED_VALUE"""),"es")</f>
        <v>es</v>
      </c>
      <c r="B847">
        <f>IFERROR(__xludf.DUMMYFUNCTION("""COMPUTED_VALUE"""),3461632.0)</f>
        <v>3461632</v>
      </c>
      <c r="C847" t="str">
        <f>IFERROR(__xludf.DUMMYFUNCTION("""COMPUTED_VALUE"""),"Fundamentos de contabilidad financiera")</f>
        <v>Fundamentos de contabilidad financiera</v>
      </c>
    </row>
    <row r="848">
      <c r="A848" s="140" t="str">
        <f>IFERROR(__xludf.DUMMYFUNCTION("""COMPUTED_VALUE"""),"de")</f>
        <v>de</v>
      </c>
      <c r="B848">
        <f>IFERROR(__xludf.DUMMYFUNCTION("""COMPUTED_VALUE"""),1685038.0)</f>
        <v>1685038</v>
      </c>
      <c r="C848" t="str">
        <f>IFERROR(__xludf.DUMMYFUNCTION("""COMPUTED_VALUE"""),"Der ultimative JavaScript Komplettkurs")</f>
        <v>Der ultimative JavaScript Komplettkurs</v>
      </c>
    </row>
    <row r="849">
      <c r="A849" s="140" t="str">
        <f>IFERROR(__xludf.DUMMYFUNCTION("""COMPUTED_VALUE"""),"en")</f>
        <v>en</v>
      </c>
      <c r="B849">
        <f>IFERROR(__xludf.DUMMYFUNCTION("""COMPUTED_VALUE"""),3310480.0)</f>
        <v>3310480</v>
      </c>
      <c r="C849" t="str">
        <f>IFERROR(__xludf.DUMMYFUNCTION("""COMPUTED_VALUE"""),"ASP.NET Core MVC - Up and Running Part 1 (.NET 5)")</f>
        <v>ASP.NET Core MVC - Up and Running Part 1 (.NET 5)</v>
      </c>
    </row>
    <row r="850">
      <c r="A850" s="140" t="str">
        <f>IFERROR(__xludf.DUMMYFUNCTION("""COMPUTED_VALUE"""),"en")</f>
        <v>en</v>
      </c>
      <c r="B850">
        <f>IFERROR(__xludf.DUMMYFUNCTION("""COMPUTED_VALUE"""),1693392.0)</f>
        <v>1693392</v>
      </c>
      <c r="C850" t="str">
        <f>IFERROR(__xludf.DUMMYFUNCTION("""COMPUTED_VALUE"""),"Symfony API Platform with React Full Stack Masterclass")</f>
        <v>Symfony API Platform with React Full Stack Masterclass</v>
      </c>
    </row>
    <row r="851">
      <c r="A851" s="140" t="str">
        <f>IFERROR(__xludf.DUMMYFUNCTION("""COMPUTED_VALUE"""),"en")</f>
        <v>en</v>
      </c>
      <c r="B851">
        <f>IFERROR(__xludf.DUMMYFUNCTION("""COMPUTED_VALUE"""),3210881.0)</f>
        <v>3210881</v>
      </c>
      <c r="C851" t="str">
        <f>IFERROR(__xludf.DUMMYFUNCTION("""COMPUTED_VALUE"""),"CompTIA CySA+ (CS0-002) Practice Certification Exams")</f>
        <v>CompTIA CySA+ (CS0-002) Practice Certification Exams</v>
      </c>
    </row>
    <row r="852">
      <c r="A852" s="140" t="str">
        <f>IFERROR(__xludf.DUMMYFUNCTION("""COMPUTED_VALUE"""),"en")</f>
        <v>en</v>
      </c>
      <c r="B852">
        <f>IFERROR(__xludf.DUMMYFUNCTION("""COMPUTED_VALUE"""),3196352.0)</f>
        <v>3196352</v>
      </c>
      <c r="C852" t="str">
        <f>IFERROR(__xludf.DUMMYFUNCTION("""COMPUTED_VALUE"""),"Product Development &amp; Systems Engineering")</f>
        <v>Product Development &amp; Systems Engineering</v>
      </c>
    </row>
    <row r="853">
      <c r="A853" s="140" t="str">
        <f>IFERROR(__xludf.DUMMYFUNCTION("""COMPUTED_VALUE"""),"en")</f>
        <v>en</v>
      </c>
      <c r="B853">
        <f>IFERROR(__xludf.DUMMYFUNCTION("""COMPUTED_VALUE"""),2381630.0)</f>
        <v>2381630</v>
      </c>
      <c r="C853" t="str">
        <f>IFERROR(__xludf.DUMMYFUNCTION("""COMPUTED_VALUE"""),"SAP ABAP on HANA Training for Beginners")</f>
        <v>SAP ABAP on HANA Training for Beginners</v>
      </c>
    </row>
    <row r="854">
      <c r="A854" s="140" t="str">
        <f>IFERROR(__xludf.DUMMYFUNCTION("""COMPUTED_VALUE"""),"tr")</f>
        <v>tr</v>
      </c>
      <c r="B854">
        <f>IFERROR(__xludf.DUMMYFUNCTION("""COMPUTED_VALUE"""),2033760.0)</f>
        <v>2033760</v>
      </c>
      <c r="C854" t="str">
        <f>IFERROR(__xludf.DUMMYFUNCTION("""COMPUTED_VALUE"""),"Etkin Toplantı Yönetimi: Gereksiz Toplantılara Son!")</f>
        <v>Etkin Toplantı Yönetimi: Gereksiz Toplantılara Son!</v>
      </c>
    </row>
    <row r="855">
      <c r="A855" s="140" t="str">
        <f>IFERROR(__xludf.DUMMYFUNCTION("""COMPUTED_VALUE"""),"en")</f>
        <v>en</v>
      </c>
      <c r="B855">
        <f>IFERROR(__xludf.DUMMYFUNCTION("""COMPUTED_VALUE"""),936754.0)</f>
        <v>936754</v>
      </c>
      <c r="C855" t="str">
        <f>IFERROR(__xludf.DUMMYFUNCTION("""COMPUTED_VALUE"""),"Certified Six Sigma Black Belt Training")</f>
        <v>Certified Six Sigma Black Belt Training</v>
      </c>
    </row>
    <row r="856">
      <c r="A856" s="140" t="str">
        <f>IFERROR(__xludf.DUMMYFUNCTION("""COMPUTED_VALUE"""),"en")</f>
        <v>en</v>
      </c>
      <c r="B856">
        <f>IFERROR(__xludf.DUMMYFUNCTION("""COMPUTED_VALUE"""),927870.0)</f>
        <v>927870</v>
      </c>
      <c r="C856" t="str">
        <f>IFERROR(__xludf.DUMMYFUNCTION("""COMPUTED_VALUE"""),"Learning Axure RP 8 - UX Design Fundamentals")</f>
        <v>Learning Axure RP 8 - UX Design Fundamentals</v>
      </c>
    </row>
    <row r="857">
      <c r="A857" s="140" t="str">
        <f>IFERROR(__xludf.DUMMYFUNCTION("""COMPUTED_VALUE"""),"pt")</f>
        <v>pt</v>
      </c>
      <c r="B857">
        <f>IFERROR(__xludf.DUMMYFUNCTION("""COMPUTED_VALUE"""),3332312.0)</f>
        <v>3332312</v>
      </c>
      <c r="C857" t="str">
        <f>IFERROR(__xludf.DUMMYFUNCTION("""COMPUTED_VALUE"""),"Curso Completo de Google Ads (Adwords) 2022")</f>
        <v>Curso Completo de Google Ads (Adwords) 2022</v>
      </c>
    </row>
    <row r="858">
      <c r="A858" s="140" t="str">
        <f>IFERROR(__xludf.DUMMYFUNCTION("""COMPUTED_VALUE"""),"ko")</f>
        <v>ko</v>
      </c>
      <c r="B858">
        <f>IFERROR(__xludf.DUMMYFUNCTION("""COMPUTED_VALUE"""),4271458.0)</f>
        <v>4271458</v>
      </c>
      <c r="C858" t="str">
        <f>IFERROR(__xludf.DUMMYFUNCTION("""COMPUTED_VALUE"""),"현역 일본 직장인이 알려주는 활용도 100% 실무 비즈니스 일본어 &amp; 매너")</f>
        <v>현역 일본 직장인이 알려주는 활용도 100% 실무 비즈니스 일본어 &amp; 매너</v>
      </c>
    </row>
    <row r="859">
      <c r="A859" s="140" t="str">
        <f>IFERROR(__xludf.DUMMYFUNCTION("""COMPUTED_VALUE"""),"en")</f>
        <v>en</v>
      </c>
      <c r="B859">
        <f>IFERROR(__xludf.DUMMYFUNCTION("""COMPUTED_VALUE"""),2865356.0)</f>
        <v>2865356</v>
      </c>
      <c r="C859" t="str">
        <f>IFERROR(__xludf.DUMMYFUNCTION("""COMPUTED_VALUE"""),"How to Create a Custom Course in Udemy Business")</f>
        <v>How to Create a Custom Course in Udemy Business</v>
      </c>
    </row>
    <row r="860">
      <c r="A860" s="140" t="str">
        <f>IFERROR(__xludf.DUMMYFUNCTION("""COMPUTED_VALUE"""),"de")</f>
        <v>de</v>
      </c>
      <c r="B860">
        <f>IFERROR(__xludf.DUMMYFUNCTION("""COMPUTED_VALUE"""),3475758.0)</f>
        <v>3475758</v>
      </c>
      <c r="C860" t="str">
        <f>IFERROR(__xludf.DUMMYFUNCTION("""COMPUTED_VALUE"""),"Ansible Grundlagen - Automatisiere deine IT Projekte")</f>
        <v>Ansible Grundlagen - Automatisiere deine IT Projekte</v>
      </c>
    </row>
    <row r="861">
      <c r="A861" s="140" t="str">
        <f>IFERROR(__xludf.DUMMYFUNCTION("""COMPUTED_VALUE"""),"en")</f>
        <v>en</v>
      </c>
      <c r="B861">
        <f>IFERROR(__xludf.DUMMYFUNCTION("""COMPUTED_VALUE"""),756618.0)</f>
        <v>756618</v>
      </c>
      <c r="C861" t="str">
        <f>IFERROR(__xludf.DUMMYFUNCTION("""COMPUTED_VALUE"""),"Emotional Intelligence: How To Influence People &amp; Businesses")</f>
        <v>Emotional Intelligence: How To Influence People &amp; Businesses</v>
      </c>
    </row>
    <row r="862">
      <c r="A862" s="140" t="str">
        <f>IFERROR(__xludf.DUMMYFUNCTION("""COMPUTED_VALUE"""),"en")</f>
        <v>en</v>
      </c>
      <c r="B862">
        <f>IFERROR(__xludf.DUMMYFUNCTION("""COMPUTED_VALUE"""),1620262.0)</f>
        <v>1620262</v>
      </c>
      <c r="C862" t="str">
        <f>IFERROR(__xludf.DUMMYFUNCTION("""COMPUTED_VALUE"""),"Hyper-V on Windows Server 2016 and Windows 10")</f>
        <v>Hyper-V on Windows Server 2016 and Windows 10</v>
      </c>
    </row>
    <row r="863">
      <c r="A863" s="140" t="str">
        <f>IFERROR(__xludf.DUMMYFUNCTION("""COMPUTED_VALUE"""),"es")</f>
        <v>es</v>
      </c>
      <c r="B863">
        <f>IFERROR(__xludf.DUMMYFUNCTION("""COMPUTED_VALUE"""),1794022.0)</f>
        <v>1794022</v>
      </c>
      <c r="C863" t="str">
        <f>IFERROR(__xludf.DUMMYFUNCTION("""COMPUTED_VALUE"""),"Vida Asertiva: Destruyendo tus limitaciones personales.")</f>
        <v>Vida Asertiva: Destruyendo tus limitaciones personales.</v>
      </c>
    </row>
    <row r="864">
      <c r="A864" s="140" t="str">
        <f>IFERROR(__xludf.DUMMYFUNCTION("""COMPUTED_VALUE"""),"en")</f>
        <v>en</v>
      </c>
      <c r="B864">
        <f>IFERROR(__xludf.DUMMYFUNCTION("""COMPUTED_VALUE"""),1418748.0)</f>
        <v>1418748</v>
      </c>
      <c r="C864" t="str">
        <f>IFERROR(__xludf.DUMMYFUNCTION("""COMPUTED_VALUE"""),"Cantonese for Absolute Beginners")</f>
        <v>Cantonese for Absolute Beginners</v>
      </c>
    </row>
    <row r="865">
      <c r="A865" s="140" t="str">
        <f>IFERROR(__xludf.DUMMYFUNCTION("""COMPUTED_VALUE"""),"ja")</f>
        <v>ja</v>
      </c>
      <c r="B865">
        <f>IFERROR(__xludf.DUMMYFUNCTION("""COMPUTED_VALUE"""),576260.0)</f>
        <v>576260</v>
      </c>
      <c r="C865" t="str">
        <f>IFERROR(__xludf.DUMMYFUNCTION("""COMPUTED_VALUE"""),"「経営者たちのストーリー」②　ネットイヤーグループ　石黒不二代")</f>
        <v>「経営者たちのストーリー」②　ネットイヤーグループ　石黒不二代</v>
      </c>
    </row>
    <row r="866">
      <c r="A866" s="140" t="str">
        <f>IFERROR(__xludf.DUMMYFUNCTION("""COMPUTED_VALUE"""),"es")</f>
        <v>es</v>
      </c>
      <c r="B866">
        <f>IFERROR(__xludf.DUMMYFUNCTION("""COMPUTED_VALUE"""),3715612.0)</f>
        <v>3715612</v>
      </c>
      <c r="C866" t="str">
        <f>IFERROR(__xludf.DUMMYFUNCTION("""COMPUTED_VALUE"""),"Liderando reuniones laborales eficientes")</f>
        <v>Liderando reuniones laborales eficientes</v>
      </c>
    </row>
    <row r="867">
      <c r="A867" s="140" t="str">
        <f>IFERROR(__xludf.DUMMYFUNCTION("""COMPUTED_VALUE"""),"pt")</f>
        <v>pt</v>
      </c>
      <c r="B867">
        <f>IFERROR(__xludf.DUMMYFUNCTION("""COMPUTED_VALUE"""),1050618.0)</f>
        <v>1050618</v>
      </c>
      <c r="C867" t="str">
        <f>IFERROR(__xludf.DUMMYFUNCTION("""COMPUTED_VALUE"""),"Excel Profissional | Do Básico ao Avançado")</f>
        <v>Excel Profissional | Do Básico ao Avançado</v>
      </c>
    </row>
    <row r="868">
      <c r="A868" s="140" t="str">
        <f>IFERROR(__xludf.DUMMYFUNCTION("""COMPUTED_VALUE"""),"en")</f>
        <v>en</v>
      </c>
      <c r="B868">
        <f>IFERROR(__xludf.DUMMYFUNCTION("""COMPUTED_VALUE"""),317278.0)</f>
        <v>317278</v>
      </c>
      <c r="C868" t="str">
        <f>IFERROR(__xludf.DUMMYFUNCTION("""COMPUTED_VALUE"""),"Typographic Logos: Typography and Lettering for Logo Design")</f>
        <v>Typographic Logos: Typography and Lettering for Logo Design</v>
      </c>
    </row>
    <row r="869">
      <c r="A869" s="140" t="str">
        <f>IFERROR(__xludf.DUMMYFUNCTION("""COMPUTED_VALUE"""),"en")</f>
        <v>en</v>
      </c>
      <c r="B869">
        <f>IFERROR(__xludf.DUMMYFUNCTION("""COMPUTED_VALUE"""),425576.0)</f>
        <v>425576</v>
      </c>
      <c r="C869" t="str">
        <f>IFERROR(__xludf.DUMMYFUNCTION("""COMPUTED_VALUE"""),"Maven Crash Course: Step-by-Step Introduction for Beginners")</f>
        <v>Maven Crash Course: Step-by-Step Introduction for Beginners</v>
      </c>
    </row>
    <row r="870">
      <c r="A870" s="140" t="str">
        <f>IFERROR(__xludf.DUMMYFUNCTION("""COMPUTED_VALUE"""),"tr")</f>
        <v>tr</v>
      </c>
      <c r="B870">
        <f>IFERROR(__xludf.DUMMYFUNCTION("""COMPUTED_VALUE"""),2889908.0)</f>
        <v>2889908</v>
      </c>
      <c r="C870" t="str">
        <f>IFERROR(__xludf.DUMMYFUNCTION("""COMPUTED_VALUE"""),"İngilizce Telaffuz Kursu - Amerikalı Gibi İngilizce Konuşun")</f>
        <v>İngilizce Telaffuz Kursu - Amerikalı Gibi İngilizce Konuşun</v>
      </c>
    </row>
    <row r="871">
      <c r="A871" s="140" t="str">
        <f>IFERROR(__xludf.DUMMYFUNCTION("""COMPUTED_VALUE"""),"en")</f>
        <v>en</v>
      </c>
      <c r="B871">
        <f>IFERROR(__xludf.DUMMYFUNCTION("""COMPUTED_VALUE"""),708578.0)</f>
        <v>708578</v>
      </c>
      <c r="C871" t="str">
        <f>IFERROR(__xludf.DUMMYFUNCTION("""COMPUTED_VALUE"""),"Bootstrap 4 Quick Start: Code Modern Responsive Websites")</f>
        <v>Bootstrap 4 Quick Start: Code Modern Responsive Websites</v>
      </c>
    </row>
    <row r="872">
      <c r="A872" s="140" t="str">
        <f>IFERROR(__xludf.DUMMYFUNCTION("""COMPUTED_VALUE"""),"en")</f>
        <v>en</v>
      </c>
      <c r="B872">
        <f>IFERROR(__xludf.DUMMYFUNCTION("""COMPUTED_VALUE"""),758908.0)</f>
        <v>758908</v>
      </c>
      <c r="C872" t="str">
        <f>IFERROR(__xludf.DUMMYFUNCTION("""COMPUTED_VALUE"""),"Basic C# Clearly Explained")</f>
        <v>Basic C# Clearly Explained</v>
      </c>
    </row>
    <row r="873">
      <c r="A873" s="140" t="str">
        <f>IFERROR(__xludf.DUMMYFUNCTION("""COMPUTED_VALUE"""),"ja")</f>
        <v>ja</v>
      </c>
      <c r="B873">
        <f>IFERROR(__xludf.DUMMYFUNCTION("""COMPUTED_VALUE"""),1553680.0)</f>
        <v>1553680</v>
      </c>
      <c r="C873" t="str">
        <f>IFERROR(__xludf.DUMMYFUNCTION("""COMPUTED_VALUE"""),"はじめてのSQL ・データ分析入門 -データベースのデータをビジネスパーソンが現場で活用するためのSQL初心者向コース")</f>
        <v>はじめてのSQL ・データ分析入門 -データベースのデータをビジネスパーソンが現場で活用するためのSQL初心者向コース</v>
      </c>
    </row>
    <row r="874">
      <c r="A874" s="140" t="str">
        <f>IFERROR(__xludf.DUMMYFUNCTION("""COMPUTED_VALUE"""),"en")</f>
        <v>en</v>
      </c>
      <c r="B874">
        <f>IFERROR(__xludf.DUMMYFUNCTION("""COMPUTED_VALUE"""),1447810.0)</f>
        <v>1447810</v>
      </c>
      <c r="C874" t="str">
        <f>IFERROR(__xludf.DUMMYFUNCTION("""COMPUTED_VALUE"""),"Data Structures and Algorithms Bootcamp")</f>
        <v>Data Structures and Algorithms Bootcamp</v>
      </c>
    </row>
    <row r="875">
      <c r="A875" s="140" t="str">
        <f>IFERROR(__xludf.DUMMYFUNCTION("""COMPUTED_VALUE"""),"en")</f>
        <v>en</v>
      </c>
      <c r="B875">
        <f>IFERROR(__xludf.DUMMYFUNCTION("""COMPUTED_VALUE"""),1345240.0)</f>
        <v>1345240</v>
      </c>
      <c r="C875" t="str">
        <f>IFERROR(__xludf.DUMMYFUNCTION("""COMPUTED_VALUE"""),"How To Become A Shopify Expert (From Zero To Hero !)")</f>
        <v>How To Become A Shopify Expert (From Zero To Hero !)</v>
      </c>
    </row>
    <row r="876">
      <c r="A876" s="140" t="str">
        <f>IFERROR(__xludf.DUMMYFUNCTION("""COMPUTED_VALUE"""),"ko")</f>
        <v>ko</v>
      </c>
      <c r="B876">
        <f>IFERROR(__xludf.DUMMYFUNCTION("""COMPUTED_VALUE"""),4294154.0)</f>
        <v>4294154</v>
      </c>
      <c r="C876" t="str">
        <f>IFERROR(__xludf.DUMMYFUNCTION("""COMPUTED_VALUE"""),"【글로벌 Best강의】 태블로 Tableau 2020 완벽 실전 교육! 커리어 업그레이드 하기 (한글자막)")</f>
        <v>【글로벌 Best강의】 태블로 Tableau 2020 완벽 실전 교육! 커리어 업그레이드 하기 (한글자막)</v>
      </c>
    </row>
    <row r="877">
      <c r="A877" s="140" t="str">
        <f>IFERROR(__xludf.DUMMYFUNCTION("""COMPUTED_VALUE"""),"en")</f>
        <v>en</v>
      </c>
      <c r="B877">
        <f>IFERROR(__xludf.DUMMYFUNCTION("""COMPUTED_VALUE"""),830880.0)</f>
        <v>830880</v>
      </c>
      <c r="C877" t="str">
        <f>IFERROR(__xludf.DUMMYFUNCTION("""COMPUTED_VALUE"""),"SQL Server Administration Part 3")</f>
        <v>SQL Server Administration Part 3</v>
      </c>
    </row>
    <row r="878">
      <c r="A878" s="140" t="str">
        <f>IFERROR(__xludf.DUMMYFUNCTION("""COMPUTED_VALUE"""),"en")</f>
        <v>en</v>
      </c>
      <c r="B878">
        <f>IFERROR(__xludf.DUMMYFUNCTION("""COMPUTED_VALUE"""),2118128.0)</f>
        <v>2118128</v>
      </c>
      <c r="C878" t="str">
        <f>IFERROR(__xludf.DUMMYFUNCTION("""COMPUTED_VALUE"""),"Core Subjects Test Review for Social Studies")</f>
        <v>Core Subjects Test Review for Social Studies</v>
      </c>
    </row>
    <row r="879">
      <c r="A879" s="140" t="str">
        <f>IFERROR(__xludf.DUMMYFUNCTION("""COMPUTED_VALUE"""),"en")</f>
        <v>en</v>
      </c>
      <c r="B879">
        <f>IFERROR(__xludf.DUMMYFUNCTION("""COMPUTED_VALUE"""),2037902.0)</f>
        <v>2037902</v>
      </c>
      <c r="C879" t="str">
        <f>IFERROR(__xludf.DUMMYFUNCTION("""COMPUTED_VALUE"""),"Microsoft Azure Cognitive Services Crash Course")</f>
        <v>Microsoft Azure Cognitive Services Crash Course</v>
      </c>
    </row>
    <row r="880">
      <c r="A880" s="140" t="str">
        <f>IFERROR(__xludf.DUMMYFUNCTION("""COMPUTED_VALUE"""),"pt")</f>
        <v>pt</v>
      </c>
      <c r="B880">
        <f>IFERROR(__xludf.DUMMYFUNCTION("""COMPUTED_VALUE"""),1778834.0)</f>
        <v>1778834</v>
      </c>
      <c r="C880" t="str">
        <f>IFERROR(__xludf.DUMMYFUNCTION("""COMPUTED_VALUE"""),"Curso de MySQL para iniciantes - com módulo avançado!")</f>
        <v>Curso de MySQL para iniciantes - com módulo avançado!</v>
      </c>
    </row>
    <row r="881">
      <c r="A881" s="140" t="str">
        <f>IFERROR(__xludf.DUMMYFUNCTION("""COMPUTED_VALUE"""),"en")</f>
        <v>en</v>
      </c>
      <c r="B881">
        <f>IFERROR(__xludf.DUMMYFUNCTION("""COMPUTED_VALUE"""),1862914.0)</f>
        <v>1862914</v>
      </c>
      <c r="C881" t="str">
        <f>IFERROR(__xludf.DUMMYFUNCTION("""COMPUTED_VALUE"""),"Apache Kafka for Developers using Spring Boot[LatestEdition]")</f>
        <v>Apache Kafka for Developers using Spring Boot[LatestEdition]</v>
      </c>
    </row>
    <row r="882">
      <c r="A882" s="140" t="str">
        <f>IFERROR(__xludf.DUMMYFUNCTION("""COMPUTED_VALUE"""),"en")</f>
        <v>en</v>
      </c>
      <c r="B882">
        <f>IFERROR(__xludf.DUMMYFUNCTION("""COMPUTED_VALUE"""),1141696.0)</f>
        <v>1141696</v>
      </c>
      <c r="C882" t="str">
        <f>IFERROR(__xludf.DUMMYFUNCTION("""COMPUTED_VALUE"""),"Apache Kafka Series - Kafka Connect Hands-on Learning")</f>
        <v>Apache Kafka Series - Kafka Connect Hands-on Learning</v>
      </c>
    </row>
    <row r="883">
      <c r="A883" s="140" t="str">
        <f>IFERROR(__xludf.DUMMYFUNCTION("""COMPUTED_VALUE"""),"pt")</f>
        <v>pt</v>
      </c>
      <c r="B883">
        <f>IFERROR(__xludf.DUMMYFUNCTION("""COMPUTED_VALUE"""),2808551.0)</f>
        <v>2808551</v>
      </c>
      <c r="C883" t="str">
        <f>IFERROR(__xludf.DUMMYFUNCTION("""COMPUTED_VALUE"""),"Curso Completo: SQL para Análise de Dados")</f>
        <v>Curso Completo: SQL para Análise de Dados</v>
      </c>
    </row>
    <row r="884">
      <c r="A884" s="140" t="str">
        <f>IFERROR(__xludf.DUMMYFUNCTION("""COMPUTED_VALUE"""),"en")</f>
        <v>en</v>
      </c>
      <c r="B884">
        <f>IFERROR(__xludf.DUMMYFUNCTION("""COMPUTED_VALUE"""),3792332.0)</f>
        <v>3792332</v>
      </c>
      <c r="C884" t="str">
        <f>IFERROR(__xludf.DUMMYFUNCTION("""COMPUTED_VALUE"""),"Django with React | An Ecommerce Website")</f>
        <v>Django with React | An Ecommerce Website</v>
      </c>
    </row>
    <row r="885">
      <c r="A885" s="140" t="str">
        <f>IFERROR(__xludf.DUMMYFUNCTION("""COMPUTED_VALUE"""),"en")</f>
        <v>en</v>
      </c>
      <c r="B885">
        <f>IFERROR(__xludf.DUMMYFUNCTION("""COMPUTED_VALUE"""),1686164.0)</f>
        <v>1686164</v>
      </c>
      <c r="C885" t="str">
        <f>IFERROR(__xludf.DUMMYFUNCTION("""COMPUTED_VALUE"""),"Power BI Master Class-Data Models and DAX Formulas 2021")</f>
        <v>Power BI Master Class-Data Models and DAX Formulas 2021</v>
      </c>
    </row>
    <row r="886">
      <c r="A886" s="140" t="str">
        <f>IFERROR(__xludf.DUMMYFUNCTION("""COMPUTED_VALUE"""),"es")</f>
        <v>es</v>
      </c>
      <c r="B886">
        <f>IFERROR(__xludf.DUMMYFUNCTION("""COMPUTED_VALUE"""),1407694.0)</f>
        <v>1407694</v>
      </c>
      <c r="C886" t="str">
        <f>IFERROR(__xludf.DUMMYFUNCTION("""COMPUTED_VALUE"""),"MailChimp: Email Marketing Desde Cero Para Negocios")</f>
        <v>MailChimp: Email Marketing Desde Cero Para Negocios</v>
      </c>
    </row>
    <row r="887">
      <c r="A887" s="140" t="str">
        <f>IFERROR(__xludf.DUMMYFUNCTION("""COMPUTED_VALUE"""),"de")</f>
        <v>de</v>
      </c>
      <c r="B887">
        <f>IFERROR(__xludf.DUMMYFUNCTION("""COMPUTED_VALUE"""),760520.0)</f>
        <v>760520</v>
      </c>
      <c r="C887" t="str">
        <f>IFERROR(__xludf.DUMMYFUNCTION("""COMPUTED_VALUE"""),"Photoshop Werkzeuge leicht gemacht")</f>
        <v>Photoshop Werkzeuge leicht gemacht</v>
      </c>
    </row>
    <row r="888">
      <c r="A888" s="140" t="str">
        <f>IFERROR(__xludf.DUMMYFUNCTION("""COMPUTED_VALUE"""),"en")</f>
        <v>en</v>
      </c>
      <c r="B888">
        <f>IFERROR(__xludf.DUMMYFUNCTION("""COMPUTED_VALUE"""),3277654.0)</f>
        <v>3277654</v>
      </c>
      <c r="C888" t="str">
        <f>IFERROR(__xludf.DUMMYFUNCTION("""COMPUTED_VALUE"""),"C# LINQ Essentials: Learn LINQ Fundamentals in C# .NET")</f>
        <v>C# LINQ Essentials: Learn LINQ Fundamentals in C# .NET</v>
      </c>
    </row>
    <row r="889">
      <c r="A889" s="140" t="str">
        <f>IFERROR(__xludf.DUMMYFUNCTION("""COMPUTED_VALUE"""),"en")</f>
        <v>en</v>
      </c>
      <c r="B889">
        <f>IFERROR(__xludf.DUMMYFUNCTION("""COMPUTED_VALUE"""),1391332.0)</f>
        <v>1391332</v>
      </c>
      <c r="C889" t="str">
        <f>IFERROR(__xludf.DUMMYFUNCTION("""COMPUTED_VALUE"""),"Angular Progressive Web Apps (PWA) MasterClass &amp; FREE E-Book")</f>
        <v>Angular Progressive Web Apps (PWA) MasterClass &amp; FREE E-Book</v>
      </c>
    </row>
    <row r="890">
      <c r="A890" s="140" t="str">
        <f>IFERROR(__xludf.DUMMYFUNCTION("""COMPUTED_VALUE"""),"pt")</f>
        <v>pt</v>
      </c>
      <c r="B890">
        <f>IFERROR(__xludf.DUMMYFUNCTION("""COMPUTED_VALUE"""),1197280.0)</f>
        <v>1197280</v>
      </c>
      <c r="C890" t="str">
        <f>IFERROR(__xludf.DUMMYFUNCTION("""COMPUTED_VALUE"""),"Curso de Libras - Aprenda Língua de Sinais de um Jeito Fácil")</f>
        <v>Curso de Libras - Aprenda Língua de Sinais de um Jeito Fácil</v>
      </c>
    </row>
    <row r="891">
      <c r="A891" s="140" t="str">
        <f>IFERROR(__xludf.DUMMYFUNCTION("""COMPUTED_VALUE"""),"pt")</f>
        <v>pt</v>
      </c>
      <c r="B891">
        <f>IFERROR(__xludf.DUMMYFUNCTION("""COMPUTED_VALUE"""),1491672.0)</f>
        <v>1491672</v>
      </c>
      <c r="C891" t="str">
        <f>IFERROR(__xludf.DUMMYFUNCTION("""COMPUTED_VALUE"""),"Power BI &amp; DAX Avançado - Guia Completo para Análises Reais")</f>
        <v>Power BI &amp; DAX Avançado - Guia Completo para Análises Reais</v>
      </c>
    </row>
    <row r="892">
      <c r="A892" s="140" t="str">
        <f>IFERROR(__xludf.DUMMYFUNCTION("""COMPUTED_VALUE"""),"es")</f>
        <v>es</v>
      </c>
      <c r="B892">
        <f>IFERROR(__xludf.DUMMYFUNCTION("""COMPUTED_VALUE"""),2351224.0)</f>
        <v>2351224</v>
      </c>
      <c r="C892" t="str">
        <f>IFERROR(__xludf.DUMMYFUNCTION("""COMPUTED_VALUE"""),"5 Formas de conectar C# a una base de datos Sql Server")</f>
        <v>5 Formas de conectar C# a una base de datos Sql Server</v>
      </c>
    </row>
    <row r="893">
      <c r="A893" s="140" t="str">
        <f>IFERROR(__xludf.DUMMYFUNCTION("""COMPUTED_VALUE"""),"en")</f>
        <v>en</v>
      </c>
      <c r="B893">
        <f>IFERROR(__xludf.DUMMYFUNCTION("""COMPUTED_VALUE"""),1568344.0)</f>
        <v>1568344</v>
      </c>
      <c r="C893" t="str">
        <f>IFERROR(__xludf.DUMMYFUNCTION("""COMPUTED_VALUE"""),"Java Design Patterns &amp; SOLID Design Principles")</f>
        <v>Java Design Patterns &amp; SOLID Design Principles</v>
      </c>
    </row>
    <row r="894">
      <c r="A894" s="140" t="str">
        <f>IFERROR(__xludf.DUMMYFUNCTION("""COMPUTED_VALUE"""),"tr")</f>
        <v>tr</v>
      </c>
      <c r="B894">
        <f>IFERROR(__xludf.DUMMYFUNCTION("""COMPUTED_VALUE"""),3153752.0)</f>
        <v>3153752</v>
      </c>
      <c r="C894" t="str">
        <f>IFERROR(__xludf.DUMMYFUNCTION("""COMPUTED_VALUE"""),"Tasarım Odaklı Düşünme - Design Thinking Crash Course")</f>
        <v>Tasarım Odaklı Düşünme - Design Thinking Crash Course</v>
      </c>
    </row>
    <row r="895">
      <c r="A895" s="140" t="str">
        <f>IFERROR(__xludf.DUMMYFUNCTION("""COMPUTED_VALUE"""),"en")</f>
        <v>en</v>
      </c>
      <c r="B895">
        <f>IFERROR(__xludf.DUMMYFUNCTION("""COMPUTED_VALUE"""),555384.0)</f>
        <v>555384</v>
      </c>
      <c r="C895" t="str">
        <f>IFERROR(__xludf.DUMMYFUNCTION("""COMPUTED_VALUE"""),"70-461, 761: Querying Microsoft SQL Server with Transact-SQL")</f>
        <v>70-461, 761: Querying Microsoft SQL Server with Transact-SQL</v>
      </c>
    </row>
    <row r="896">
      <c r="A896" s="140" t="str">
        <f>IFERROR(__xludf.DUMMYFUNCTION("""COMPUTED_VALUE"""),"de")</f>
        <v>de</v>
      </c>
      <c r="B896">
        <f>IFERROR(__xludf.DUMMYFUNCTION("""COMPUTED_VALUE"""),3540242.0)</f>
        <v>3540242</v>
      </c>
      <c r="C896" t="str">
        <f>IFERROR(__xludf.DUMMYFUNCTION("""COMPUTED_VALUE"""),"Online Workshops durchführen mit Zoom")</f>
        <v>Online Workshops durchführen mit Zoom</v>
      </c>
    </row>
    <row r="897">
      <c r="A897" s="140" t="str">
        <f>IFERROR(__xludf.DUMMYFUNCTION("""COMPUTED_VALUE"""),"pt")</f>
        <v>pt</v>
      </c>
      <c r="B897">
        <f>IFERROR(__xludf.DUMMYFUNCTION("""COMPUTED_VALUE"""),2263542.0)</f>
        <v>2263542</v>
      </c>
      <c r="C897" t="str">
        <f>IFERROR(__xludf.DUMMYFUNCTION("""COMPUTED_VALUE"""),"Desenvolvimento de Jogos: Game 2D Isométrico com a Unity")</f>
        <v>Desenvolvimento de Jogos: Game 2D Isométrico com a Unity</v>
      </c>
    </row>
    <row r="898">
      <c r="A898" s="140" t="str">
        <f>IFERROR(__xludf.DUMMYFUNCTION("""COMPUTED_VALUE"""),"fr")</f>
        <v>fr</v>
      </c>
      <c r="B898">
        <f>IFERROR(__xludf.DUMMYFUNCTION("""COMPUTED_VALUE"""),3207209.0)</f>
        <v>3207209</v>
      </c>
      <c r="C898" t="str">
        <f>IFERROR(__xludf.DUMMYFUNCTION("""COMPUTED_VALUE"""),"Réussir votre transformation en devenant agent du changement")</f>
        <v>Réussir votre transformation en devenant agent du changement</v>
      </c>
    </row>
    <row r="899">
      <c r="A899" s="140" t="str">
        <f>IFERROR(__xludf.DUMMYFUNCTION("""COMPUTED_VALUE"""),"pt")</f>
        <v>pt</v>
      </c>
      <c r="B899">
        <f>IFERROR(__xludf.DUMMYFUNCTION("""COMPUTED_VALUE"""),1680432.0)</f>
        <v>1680432</v>
      </c>
      <c r="C899" t="str">
        <f>IFERROR(__xludf.DUMMYFUNCTION("""COMPUTED_VALUE"""),"Lógica de Programação e Algoritmos com VisualG")</f>
        <v>Lógica de Programação e Algoritmos com VisualG</v>
      </c>
    </row>
    <row r="900">
      <c r="A900" s="140" t="str">
        <f>IFERROR(__xludf.DUMMYFUNCTION("""COMPUTED_VALUE"""),"en")</f>
        <v>en</v>
      </c>
      <c r="B900">
        <f>IFERROR(__xludf.DUMMYFUNCTION("""COMPUTED_VALUE"""),3531972.0)</f>
        <v>3531972</v>
      </c>
      <c r="C900" t="str">
        <f>IFERROR(__xludf.DUMMYFUNCTION("""COMPUTED_VALUE"""),"Practice Exam AWS Certified Solutions Architect Professional")</f>
        <v>Practice Exam AWS Certified Solutions Architect Professional</v>
      </c>
    </row>
    <row r="901">
      <c r="A901" s="140" t="str">
        <f>IFERROR(__xludf.DUMMYFUNCTION("""COMPUTED_VALUE"""),"ja")</f>
        <v>ja</v>
      </c>
      <c r="B901">
        <f>IFERROR(__xludf.DUMMYFUNCTION("""COMPUTED_VALUE"""),2882090.0)</f>
        <v>2882090</v>
      </c>
      <c r="C901" t="str">
        <f>IFERROR(__xludf.DUMMYFUNCTION("""COMPUTED_VALUE"""),"建築CAD検定試験3級　対策講座")</f>
        <v>建築CAD検定試験3級　対策講座</v>
      </c>
    </row>
    <row r="902">
      <c r="A902" s="140" t="str">
        <f>IFERROR(__xludf.DUMMYFUNCTION("""COMPUTED_VALUE"""),"en")</f>
        <v>en</v>
      </c>
      <c r="B902">
        <f>IFERROR(__xludf.DUMMYFUNCTION("""COMPUTED_VALUE"""),2683796.0)</f>
        <v>2683796</v>
      </c>
      <c r="C902" t="str">
        <f>IFERROR(__xludf.DUMMYFUNCTION("""COMPUTED_VALUE"""),"HashiCorp Certified: Vault Associate - Practice Exam - 2021")</f>
        <v>HashiCorp Certified: Vault Associate - Practice Exam - 2021</v>
      </c>
    </row>
    <row r="903">
      <c r="A903" s="140" t="str">
        <f>IFERROR(__xludf.DUMMYFUNCTION("""COMPUTED_VALUE"""),"tr")</f>
        <v>tr</v>
      </c>
      <c r="B903">
        <f>IFERROR(__xludf.DUMMYFUNCTION("""COMPUTED_VALUE"""),3401562.0)</f>
        <v>3401562</v>
      </c>
      <c r="C903" t="str">
        <f>IFERROR(__xludf.DUMMYFUNCTION("""COMPUTED_VALUE"""),"Kripto Para Piyasası - Teknik Analiz Eğitimi")</f>
        <v>Kripto Para Piyasası - Teknik Analiz Eğitimi</v>
      </c>
    </row>
    <row r="904">
      <c r="A904" s="140" t="str">
        <f>IFERROR(__xludf.DUMMYFUNCTION("""COMPUTED_VALUE"""),"en")</f>
        <v>en</v>
      </c>
      <c r="B904">
        <f>IFERROR(__xludf.DUMMYFUNCTION("""COMPUTED_VALUE"""),1322058.0)</f>
        <v>1322058</v>
      </c>
      <c r="C904" t="str">
        <f>IFERROR(__xludf.DUMMYFUNCTION("""COMPUTED_VALUE"""),"Big Data with Apache Spark and AWS")</f>
        <v>Big Data with Apache Spark and AWS</v>
      </c>
    </row>
    <row r="905">
      <c r="A905" s="140" t="str">
        <f>IFERROR(__xludf.DUMMYFUNCTION("""COMPUTED_VALUE"""),"zh")</f>
        <v>zh</v>
      </c>
      <c r="B905">
        <f>IFERROR(__xludf.DUMMYFUNCTION("""COMPUTED_VALUE"""),2261282.0)</f>
        <v>2261282</v>
      </c>
      <c r="C905" t="str">
        <f>IFERROR(__xludf.DUMMYFUNCTION("""COMPUTED_VALUE"""),"Python-机器学习-进阶实战")</f>
        <v>Python-机器学习-进阶实战</v>
      </c>
    </row>
    <row r="906">
      <c r="A906" s="140" t="str">
        <f>IFERROR(__xludf.DUMMYFUNCTION("""COMPUTED_VALUE"""),"ja")</f>
        <v>ja</v>
      </c>
      <c r="B906">
        <f>IFERROR(__xludf.DUMMYFUNCTION("""COMPUTED_VALUE"""),1988724.0)</f>
        <v>1988724</v>
      </c>
      <c r="C906" t="str">
        <f>IFERROR(__xludf.DUMMYFUNCTION("""COMPUTED_VALUE"""),"現役クリエイターが教える！After Effects モーショングラフィックス「超」入門")</f>
        <v>現役クリエイターが教える！After Effects モーショングラフィックス「超」入門</v>
      </c>
    </row>
    <row r="907">
      <c r="A907" s="140" t="str">
        <f>IFERROR(__xludf.DUMMYFUNCTION("""COMPUTED_VALUE"""),"en")</f>
        <v>en</v>
      </c>
      <c r="B907">
        <f>IFERROR(__xludf.DUMMYFUNCTION("""COMPUTED_VALUE"""),1163324.0)</f>
        <v>1163324</v>
      </c>
      <c r="C907" t="str">
        <f>IFERROR(__xludf.DUMMYFUNCTION("""COMPUTED_VALUE"""),"Oracle database utilities - Perform data export / Import")</f>
        <v>Oracle database utilities - Perform data export / Import</v>
      </c>
    </row>
    <row r="908">
      <c r="A908" s="140" t="str">
        <f>IFERROR(__xludf.DUMMYFUNCTION("""COMPUTED_VALUE"""),"en")</f>
        <v>en</v>
      </c>
      <c r="B908">
        <f>IFERROR(__xludf.DUMMYFUNCTION("""COMPUTED_VALUE"""),1244262.0)</f>
        <v>1244262</v>
      </c>
      <c r="C908" t="str">
        <f>IFERROR(__xludf.DUMMYFUNCTION("""COMPUTED_VALUE"""),"An Introduction to Google Cloud Platform for Data Engineers")</f>
        <v>An Introduction to Google Cloud Platform for Data Engineers</v>
      </c>
    </row>
    <row r="909">
      <c r="A909" s="140" t="str">
        <f>IFERROR(__xludf.DUMMYFUNCTION("""COMPUTED_VALUE"""),"es")</f>
        <v>es</v>
      </c>
      <c r="B909">
        <f>IFERROR(__xludf.DUMMYFUNCTION("""COMPUTED_VALUE"""),421042.0)</f>
        <v>421042</v>
      </c>
      <c r="C909" t="str">
        <f>IFERROR(__xludf.DUMMYFUNCTION("""COMPUTED_VALUE"""),"Aprende Revit: orientado a la arquitectura")</f>
        <v>Aprende Revit: orientado a la arquitectura</v>
      </c>
    </row>
    <row r="910">
      <c r="A910" s="140" t="str">
        <f>IFERROR(__xludf.DUMMYFUNCTION("""COMPUTED_VALUE"""),"en")</f>
        <v>en</v>
      </c>
      <c r="B910">
        <f>IFERROR(__xludf.DUMMYFUNCTION("""COMPUTED_VALUE"""),1217894.0)</f>
        <v>1217894</v>
      </c>
      <c r="C910" t="str">
        <f>IFERROR(__xludf.DUMMYFUNCTION("""COMPUTED_VALUE"""),"Spring Framework 5: Beginner to Guru")</f>
        <v>Spring Framework 5: Beginner to Guru</v>
      </c>
    </row>
    <row r="911">
      <c r="A911" s="140" t="str">
        <f>IFERROR(__xludf.DUMMYFUNCTION("""COMPUTED_VALUE"""),"en")</f>
        <v>en</v>
      </c>
      <c r="B911">
        <f>IFERROR(__xludf.DUMMYFUNCTION("""COMPUTED_VALUE"""),1484840.0)</f>
        <v>1484840</v>
      </c>
      <c r="C911" t="str">
        <f>IFERROR(__xludf.DUMMYFUNCTION("""COMPUTED_VALUE"""),"TripAdvisor Domination For Hospitality &amp; Hotel Management")</f>
        <v>TripAdvisor Domination For Hospitality &amp; Hotel Management</v>
      </c>
    </row>
    <row r="912">
      <c r="A912" s="140" t="str">
        <f>IFERROR(__xludf.DUMMYFUNCTION("""COMPUTED_VALUE"""),"en")</f>
        <v>en</v>
      </c>
      <c r="B912">
        <f>IFERROR(__xludf.DUMMYFUNCTION("""COMPUTED_VALUE"""),2767168.0)</f>
        <v>2767168</v>
      </c>
      <c r="C912" t="str">
        <f>IFERROR(__xludf.DUMMYFUNCTION("""COMPUTED_VALUE"""),"Complete Python 3 Ethical Hacking: Beginner To Advanced!")</f>
        <v>Complete Python 3 Ethical Hacking: Beginner To Advanced!</v>
      </c>
    </row>
    <row r="913">
      <c r="A913" s="140" t="str">
        <f>IFERROR(__xludf.DUMMYFUNCTION("""COMPUTED_VALUE"""),"en")</f>
        <v>en</v>
      </c>
      <c r="B913">
        <f>IFERROR(__xludf.DUMMYFUNCTION("""COMPUTED_VALUE"""),332928.0)</f>
        <v>332928</v>
      </c>
      <c r="C913" t="str">
        <f>IFERROR(__xludf.DUMMYFUNCTION("""COMPUTED_VALUE"""),"Successful HR in Business")</f>
        <v>Successful HR in Business</v>
      </c>
    </row>
    <row r="914">
      <c r="A914" s="140" t="str">
        <f>IFERROR(__xludf.DUMMYFUNCTION("""COMPUTED_VALUE"""),"en")</f>
        <v>en</v>
      </c>
      <c r="B914">
        <f>IFERROR(__xludf.DUMMYFUNCTION("""COMPUTED_VALUE"""),1630738.0)</f>
        <v>1630738</v>
      </c>
      <c r="C914" t="str">
        <f>IFERROR(__xludf.DUMMYFUNCTION("""COMPUTED_VALUE"""),"Complete Media Training Master Class - Confidence on Camera")</f>
        <v>Complete Media Training Master Class - Confidence on Camera</v>
      </c>
    </row>
    <row r="915">
      <c r="A915" s="140" t="str">
        <f>IFERROR(__xludf.DUMMYFUNCTION("""COMPUTED_VALUE"""),"en")</f>
        <v>en</v>
      </c>
      <c r="B915">
        <f>IFERROR(__xludf.DUMMYFUNCTION("""COMPUTED_VALUE"""),810712.0)</f>
        <v>810712</v>
      </c>
      <c r="C915" t="str">
        <f>IFERROR(__xludf.DUMMYFUNCTION("""COMPUTED_VALUE"""),"Project Management Skills #1 - Financial Appraisal with NPV")</f>
        <v>Project Management Skills #1 - Financial Appraisal with NPV</v>
      </c>
    </row>
    <row r="916">
      <c r="A916" s="140" t="str">
        <f>IFERROR(__xludf.DUMMYFUNCTION("""COMPUTED_VALUE"""),"en")</f>
        <v>en</v>
      </c>
      <c r="B916">
        <f>IFERROR(__xludf.DUMMYFUNCTION("""COMPUTED_VALUE"""),507088.0)</f>
        <v>507088</v>
      </c>
      <c r="C916" t="str">
        <f>IFERROR(__xludf.DUMMYFUNCTION("""COMPUTED_VALUE"""),"MDX Training Part 1")</f>
        <v>MDX Training Part 1</v>
      </c>
    </row>
    <row r="917">
      <c r="A917" s="140" t="str">
        <f>IFERROR(__xludf.DUMMYFUNCTION("""COMPUTED_VALUE"""),"en")</f>
        <v>en</v>
      </c>
      <c r="B917">
        <f>IFERROR(__xludf.DUMMYFUNCTION("""COMPUTED_VALUE"""),713754.0)</f>
        <v>713754</v>
      </c>
      <c r="C917" t="str">
        <f>IFERROR(__xludf.DUMMYFUNCTION("""COMPUTED_VALUE"""),"The 28 Day Gratitude Workout")</f>
        <v>The 28 Day Gratitude Workout</v>
      </c>
    </row>
    <row r="918">
      <c r="A918" s="140" t="str">
        <f>IFERROR(__xludf.DUMMYFUNCTION("""COMPUTED_VALUE"""),"tr")</f>
        <v>tr</v>
      </c>
      <c r="B918">
        <f>IFERROR(__xludf.DUMMYFUNCTION("""COMPUTED_VALUE"""),1886628.0)</f>
        <v>1886628</v>
      </c>
      <c r="C918" t="str">
        <f>IFERROR(__xludf.DUMMYFUNCTION("""COMPUTED_VALUE"""),"Modül C - Etkin İletişim Becerileri Modülü (Ortak Modül)")</f>
        <v>Modül C - Etkin İletişim Becerileri Modülü (Ortak Modül)</v>
      </c>
    </row>
    <row r="919">
      <c r="A919" s="140" t="str">
        <f>IFERROR(__xludf.DUMMYFUNCTION("""COMPUTED_VALUE"""),"en")</f>
        <v>en</v>
      </c>
      <c r="B919">
        <f>IFERROR(__xludf.DUMMYFUNCTION("""COMPUTED_VALUE"""),1171870.0)</f>
        <v>1171870</v>
      </c>
      <c r="C919" t="str">
        <f>IFERROR(__xludf.DUMMYFUNCTION("""COMPUTED_VALUE"""),"Oracle Goldengate 12c")</f>
        <v>Oracle Goldengate 12c</v>
      </c>
    </row>
    <row r="920">
      <c r="A920" s="140" t="str">
        <f>IFERROR(__xludf.DUMMYFUNCTION("""COMPUTED_VALUE"""),"en")</f>
        <v>en</v>
      </c>
      <c r="B920">
        <f>IFERROR(__xludf.DUMMYFUNCTION("""COMPUTED_VALUE"""),4206756.0)</f>
        <v>4206756</v>
      </c>
      <c r="C920" t="str">
        <f>IFERROR(__xludf.DUMMYFUNCTION("""COMPUTED_VALUE"""),"Complete CCNP ENARSI (300-410) Master Class")</f>
        <v>Complete CCNP ENARSI (300-410) Master Class</v>
      </c>
    </row>
    <row r="921">
      <c r="A921" s="140" t="str">
        <f>IFERROR(__xludf.DUMMYFUNCTION("""COMPUTED_VALUE"""),"en")</f>
        <v>en</v>
      </c>
      <c r="B921">
        <f>IFERROR(__xludf.DUMMYFUNCTION("""COMPUTED_VALUE"""),2687366.0)</f>
        <v>2687366</v>
      </c>
      <c r="C921" t="str">
        <f>IFERROR(__xludf.DUMMYFUNCTION("""COMPUTED_VALUE"""),"DP-200 Implementing Azure Data Exam Prep In One Day")</f>
        <v>DP-200 Implementing Azure Data Exam Prep In One Day</v>
      </c>
    </row>
    <row r="922">
      <c r="A922" s="140" t="str">
        <f>IFERROR(__xludf.DUMMYFUNCTION("""COMPUTED_VALUE"""),"en")</f>
        <v>en</v>
      </c>
      <c r="B922">
        <f>IFERROR(__xludf.DUMMYFUNCTION("""COMPUTED_VALUE"""),1009226.0)</f>
        <v>1009226</v>
      </c>
      <c r="C922" t="str">
        <f>IFERROR(__xludf.DUMMYFUNCTION("""COMPUTED_VALUE"""),"Mobile Product Design: From Napkin to Launch")</f>
        <v>Mobile Product Design: From Napkin to Launch</v>
      </c>
    </row>
    <row r="923">
      <c r="A923" s="140" t="str">
        <f>IFERROR(__xludf.DUMMYFUNCTION("""COMPUTED_VALUE"""),"en")</f>
        <v>en</v>
      </c>
      <c r="B923">
        <f>IFERROR(__xludf.DUMMYFUNCTION("""COMPUTED_VALUE"""),1706036.0)</f>
        <v>1706036</v>
      </c>
      <c r="C923" t="str">
        <f>IFERROR(__xludf.DUMMYFUNCTION("""COMPUTED_VALUE"""),"PLC Programming - Training from Scratch on RSLogix500 &amp; 5000")</f>
        <v>PLC Programming - Training from Scratch on RSLogix500 &amp; 5000</v>
      </c>
    </row>
    <row r="924">
      <c r="A924" s="140" t="str">
        <f>IFERROR(__xludf.DUMMYFUNCTION("""COMPUTED_VALUE"""),"en")</f>
        <v>en</v>
      </c>
      <c r="B924">
        <f>IFERROR(__xludf.DUMMYFUNCTION("""COMPUTED_VALUE"""),4381416.0)</f>
        <v>4381416</v>
      </c>
      <c r="C924" t="str">
        <f>IFERROR(__xludf.DUMMYFUNCTION("""COMPUTED_VALUE"""),"Learn Microsoft Windows 11: Comprehensive Windows 11 Course")</f>
        <v>Learn Microsoft Windows 11: Comprehensive Windows 11 Course</v>
      </c>
    </row>
    <row r="925">
      <c r="A925" s="140" t="str">
        <f>IFERROR(__xludf.DUMMYFUNCTION("""COMPUTED_VALUE"""),"en")</f>
        <v>en</v>
      </c>
      <c r="B925">
        <f>IFERROR(__xludf.DUMMYFUNCTION("""COMPUTED_VALUE"""),1329228.0)</f>
        <v>1329228</v>
      </c>
      <c r="C925" t="str">
        <f>IFERROR(__xludf.DUMMYFUNCTION("""COMPUTED_VALUE"""),"Building Structures in Italian - Structure 1")</f>
        <v>Building Structures in Italian - Structure 1</v>
      </c>
    </row>
    <row r="926">
      <c r="A926" s="140" t="str">
        <f>IFERROR(__xludf.DUMMYFUNCTION("""COMPUTED_VALUE"""),"es")</f>
        <v>es</v>
      </c>
      <c r="B926">
        <f>IFERROR(__xludf.DUMMYFUNCTION("""COMPUTED_VALUE"""),2632632.0)</f>
        <v>2632632</v>
      </c>
      <c r="C926" t="str">
        <f>IFERROR(__xludf.DUMMYFUNCTION("""COMPUTED_VALUE"""),"Twitter Marketing para principiantes")</f>
        <v>Twitter Marketing para principiantes</v>
      </c>
    </row>
    <row r="927">
      <c r="A927" s="140" t="str">
        <f>IFERROR(__xludf.DUMMYFUNCTION("""COMPUTED_VALUE"""),"en")</f>
        <v>en</v>
      </c>
      <c r="B927">
        <f>IFERROR(__xludf.DUMMYFUNCTION("""COMPUTED_VALUE"""),1360234.0)</f>
        <v>1360234</v>
      </c>
      <c r="C927" t="str">
        <f>IFERROR(__xludf.DUMMYFUNCTION("""COMPUTED_VALUE"""),"HTTP to HTTPS - Secure your Website with SSL for Free")</f>
        <v>HTTP to HTTPS - Secure your Website with SSL for Free</v>
      </c>
    </row>
    <row r="928">
      <c r="A928" s="140" t="str">
        <f>IFERROR(__xludf.DUMMYFUNCTION("""COMPUTED_VALUE"""),"en")</f>
        <v>en</v>
      </c>
      <c r="B928">
        <f>IFERROR(__xludf.DUMMYFUNCTION("""COMPUTED_VALUE"""),709152.0)</f>
        <v>709152</v>
      </c>
      <c r="C928" t="str">
        <f>IFERROR(__xludf.DUMMYFUNCTION("""COMPUTED_VALUE"""),"Kinetic Typography in After Effects: Motion Graphics Course")</f>
        <v>Kinetic Typography in After Effects: Motion Graphics Course</v>
      </c>
    </row>
    <row r="929">
      <c r="A929" s="140" t="str">
        <f>IFERROR(__xludf.DUMMYFUNCTION("""COMPUTED_VALUE"""),"pt")</f>
        <v>pt</v>
      </c>
      <c r="B929">
        <f>IFERROR(__xludf.DUMMYFUNCTION("""COMPUTED_VALUE"""),775066.0)</f>
        <v>775066</v>
      </c>
      <c r="C929" t="str">
        <f>IFERROR(__xludf.DUMMYFUNCTION("""COMPUTED_VALUE"""),"Planejamento e Gestão de Projetos COMPLETO + 5 cursos Extras")</f>
        <v>Planejamento e Gestão de Projetos COMPLETO + 5 cursos Extras</v>
      </c>
    </row>
    <row r="930">
      <c r="A930" s="140" t="str">
        <f>IFERROR(__xludf.DUMMYFUNCTION("""COMPUTED_VALUE"""),"en")</f>
        <v>en</v>
      </c>
      <c r="B930">
        <f>IFERROR(__xludf.DUMMYFUNCTION("""COMPUTED_VALUE"""),1896718.0)</f>
        <v>1896718</v>
      </c>
      <c r="C930" t="str">
        <f>IFERROR(__xludf.DUMMYFUNCTION("""COMPUTED_VALUE"""),"The Complete Guide to Designing a Mobile App")</f>
        <v>The Complete Guide to Designing a Mobile App</v>
      </c>
    </row>
    <row r="931">
      <c r="A931" s="140" t="str">
        <f>IFERROR(__xludf.DUMMYFUNCTION("""COMPUTED_VALUE"""),"en")</f>
        <v>en</v>
      </c>
      <c r="B931">
        <f>IFERROR(__xludf.DUMMYFUNCTION("""COMPUTED_VALUE"""),1653160.0)</f>
        <v>1653160</v>
      </c>
      <c r="C931" t="str">
        <f>IFERROR(__xludf.DUMMYFUNCTION("""COMPUTED_VALUE"""),"Effective Human Resource Administration")</f>
        <v>Effective Human Resource Administration</v>
      </c>
    </row>
    <row r="932">
      <c r="A932" s="140" t="str">
        <f>IFERROR(__xludf.DUMMYFUNCTION("""COMPUTED_VALUE"""),"en")</f>
        <v>en</v>
      </c>
      <c r="B932">
        <f>IFERROR(__xludf.DUMMYFUNCTION("""COMPUTED_VALUE"""),257414.0)</f>
        <v>257414</v>
      </c>
      <c r="C932" t="str">
        <f>IFERROR(__xludf.DUMMYFUNCTION("""COMPUTED_VALUE"""),"R Level 1 - Data Analytics with R")</f>
        <v>R Level 1 - Data Analytics with R</v>
      </c>
    </row>
    <row r="933">
      <c r="A933" s="140" t="str">
        <f>IFERROR(__xludf.DUMMYFUNCTION("""COMPUTED_VALUE"""),"pt")</f>
        <v>pt</v>
      </c>
      <c r="B933">
        <f>IFERROR(__xludf.DUMMYFUNCTION("""COMPUTED_VALUE"""),2467412.0)</f>
        <v>2467412</v>
      </c>
      <c r="C933" t="str">
        <f>IFERROR(__xludf.DUMMYFUNCTION("""COMPUTED_VALUE"""),"Master Power BI - De A à Z")</f>
        <v>Master Power BI - De A à Z</v>
      </c>
    </row>
    <row r="934">
      <c r="A934" s="140" t="str">
        <f>IFERROR(__xludf.DUMMYFUNCTION("""COMPUTED_VALUE"""),"en")</f>
        <v>en</v>
      </c>
      <c r="B934">
        <f>IFERROR(__xludf.DUMMYFUNCTION("""COMPUTED_VALUE"""),333894.0)</f>
        <v>333894</v>
      </c>
      <c r="C934" t="str">
        <f>IFERROR(__xludf.DUMMYFUNCTION("""COMPUTED_VALUE"""),"Professional documents using Word 2013")</f>
        <v>Professional documents using Word 2013</v>
      </c>
    </row>
    <row r="935">
      <c r="A935" s="140" t="str">
        <f>IFERROR(__xludf.DUMMYFUNCTION("""COMPUTED_VALUE"""),"es")</f>
        <v>es</v>
      </c>
      <c r="B935">
        <f>IFERROR(__xludf.DUMMYFUNCTION("""COMPUTED_VALUE"""),1779130.0)</f>
        <v>1779130</v>
      </c>
      <c r="C935" t="str">
        <f>IFERROR(__xludf.DUMMYFUNCTION("""COMPUTED_VALUE"""),"BPMN para Analistas y Arquitectos de Negocios")</f>
        <v>BPMN para Analistas y Arquitectos de Negocios</v>
      </c>
    </row>
    <row r="936">
      <c r="A936" s="140" t="str">
        <f>IFERROR(__xludf.DUMMYFUNCTION("""COMPUTED_VALUE"""),"en")</f>
        <v>en</v>
      </c>
      <c r="B936">
        <f>IFERROR(__xludf.DUMMYFUNCTION("""COMPUTED_VALUE"""),1350412.0)</f>
        <v>1350412</v>
      </c>
      <c r="C936" t="str">
        <f>IFERROR(__xludf.DUMMYFUNCTION("""COMPUTED_VALUE"""),"Learn DevOps: Advanced Kubernetes Usage")</f>
        <v>Learn DevOps: Advanced Kubernetes Usage</v>
      </c>
    </row>
    <row r="937">
      <c r="A937" s="140" t="str">
        <f>IFERROR(__xludf.DUMMYFUNCTION("""COMPUTED_VALUE"""),"es")</f>
        <v>es</v>
      </c>
      <c r="B937">
        <f>IFERROR(__xludf.DUMMYFUNCTION("""COMPUTED_VALUE"""),1192724.0)</f>
        <v>1192724</v>
      </c>
      <c r="C937" t="str">
        <f>IFERROR(__xludf.DUMMYFUNCTION("""COMPUTED_VALUE"""),"Google Analytics, Curso completo con Profesor Certificado")</f>
        <v>Google Analytics, Curso completo con Profesor Certificado</v>
      </c>
    </row>
    <row r="938">
      <c r="A938" s="140" t="str">
        <f>IFERROR(__xludf.DUMMYFUNCTION("""COMPUTED_VALUE"""),"ja")</f>
        <v>ja</v>
      </c>
      <c r="B938">
        <f>IFERROR(__xludf.DUMMYFUNCTION("""COMPUTED_VALUE"""),2366638.0)</f>
        <v>2366638</v>
      </c>
      <c r="C938" t="str">
        <f>IFERROR(__xludf.DUMMYFUNCTION("""COMPUTED_VALUE"""),"（経営者・リーダー向け）AI開発の全工程をライブ解説！　AI・機械学習を理論と実践の両面から理解する")</f>
        <v>（経営者・リーダー向け）AI開発の全工程をライブ解説！　AI・機械学習を理論と実践の両面から理解する</v>
      </c>
    </row>
    <row r="939">
      <c r="A939" s="140" t="str">
        <f>IFERROR(__xludf.DUMMYFUNCTION("""COMPUTED_VALUE"""),"en")</f>
        <v>en</v>
      </c>
      <c r="B939">
        <f>IFERROR(__xludf.DUMMYFUNCTION("""COMPUTED_VALUE"""),292038.0)</f>
        <v>292038</v>
      </c>
      <c r="C939" t="str">
        <f>IFERROR(__xludf.DUMMYFUNCTION("""COMPUTED_VALUE"""),"Quality Management for Business Excellence")</f>
        <v>Quality Management for Business Excellence</v>
      </c>
    </row>
    <row r="940">
      <c r="A940" s="140" t="str">
        <f>IFERROR(__xludf.DUMMYFUNCTION("""COMPUTED_VALUE"""),"en")</f>
        <v>en</v>
      </c>
      <c r="B940">
        <f>IFERROR(__xludf.DUMMYFUNCTION("""COMPUTED_VALUE"""),1493346.0)</f>
        <v>1493346</v>
      </c>
      <c r="C940" t="str">
        <f>IFERROR(__xludf.DUMMYFUNCTION("""COMPUTED_VALUE"""),"YouTube Marketing: Grow Your Business with YouTube")</f>
        <v>YouTube Marketing: Grow Your Business with YouTube</v>
      </c>
    </row>
    <row r="941">
      <c r="A941" s="140" t="str">
        <f>IFERROR(__xludf.DUMMYFUNCTION("""COMPUTED_VALUE"""),"ja")</f>
        <v>ja</v>
      </c>
      <c r="B941">
        <f>IFERROR(__xludf.DUMMYFUNCTION("""COMPUTED_VALUE"""),4167120.0)</f>
        <v>4167120</v>
      </c>
      <c r="C941" t="str">
        <f>IFERROR(__xludf.DUMMYFUNCTION("""COMPUTED_VALUE"""),"＜完全図解＞日本一やさしいマーケティング戦略講座【入門編】～あらゆるマーケティングの本質＆構造を専門用語０で学ぶ～")</f>
        <v>＜完全図解＞日本一やさしいマーケティング戦略講座【入門編】～あらゆるマーケティングの本質＆構造を専門用語０で学ぶ～</v>
      </c>
    </row>
    <row r="942">
      <c r="A942" s="140" t="str">
        <f>IFERROR(__xludf.DUMMYFUNCTION("""COMPUTED_VALUE"""),"de")</f>
        <v>de</v>
      </c>
      <c r="B942">
        <f>IFERROR(__xludf.DUMMYFUNCTION("""COMPUTED_VALUE"""),2336810.0)</f>
        <v>2336810</v>
      </c>
      <c r="C942" t="str">
        <f>IFERROR(__xludf.DUMMYFUNCTION("""COMPUTED_VALUE"""),"Rhetorik: 7 Fakten warum Menschen nicht wahrgenommen werden.")</f>
        <v>Rhetorik: 7 Fakten warum Menschen nicht wahrgenommen werden.</v>
      </c>
    </row>
    <row r="943">
      <c r="A943" s="140" t="str">
        <f>IFERROR(__xludf.DUMMYFUNCTION("""COMPUTED_VALUE"""),"en")</f>
        <v>en</v>
      </c>
      <c r="B943">
        <f>IFERROR(__xludf.DUMMYFUNCTION("""COMPUTED_VALUE"""),1766420.0)</f>
        <v>1766420</v>
      </c>
      <c r="C943" t="str">
        <f>IFERROR(__xludf.DUMMYFUNCTION("""COMPUTED_VALUE"""),"PMP PMBOK 6 Practice Exams: Set One for PMP Candidates")</f>
        <v>PMP PMBOK 6 Practice Exams: Set One for PMP Candidates</v>
      </c>
    </row>
    <row r="944">
      <c r="A944" s="140" t="str">
        <f>IFERROR(__xludf.DUMMYFUNCTION("""COMPUTED_VALUE"""),"en")</f>
        <v>en</v>
      </c>
      <c r="B944">
        <f>IFERROR(__xludf.DUMMYFUNCTION("""COMPUTED_VALUE"""),808542.0)</f>
        <v>808542</v>
      </c>
      <c r="C944" t="str">
        <f>IFERROR(__xludf.DUMMYFUNCTION("""COMPUTED_VALUE"""),"Sketchbook Pro for Beginners on PC Mac and iPad Pro")</f>
        <v>Sketchbook Pro for Beginners on PC Mac and iPad Pro</v>
      </c>
    </row>
    <row r="945">
      <c r="A945" s="140" t="str">
        <f>IFERROR(__xludf.DUMMYFUNCTION("""COMPUTED_VALUE"""),"de")</f>
        <v>de</v>
      </c>
      <c r="B945">
        <f>IFERROR(__xludf.DUMMYFUNCTION("""COMPUTED_VALUE"""),842454.0)</f>
        <v>842454</v>
      </c>
      <c r="C945" t="str">
        <f>IFERROR(__xludf.DUMMYFUNCTION("""COMPUTED_VALUE"""),"Lerne Linux in 5 Tagen und steigere deine Karrierechancen")</f>
        <v>Lerne Linux in 5 Tagen und steigere deine Karrierechancen</v>
      </c>
    </row>
    <row r="946">
      <c r="A946" s="140" t="str">
        <f>IFERROR(__xludf.DUMMYFUNCTION("""COMPUTED_VALUE"""),"en")</f>
        <v>en</v>
      </c>
      <c r="B946">
        <f>IFERROR(__xludf.DUMMYFUNCTION("""COMPUTED_VALUE"""),4309418.0)</f>
        <v>4309418</v>
      </c>
      <c r="C946" t="str">
        <f>IFERROR(__xludf.DUMMYFUNCTION("""COMPUTED_VALUE"""),"The Ultimate Beginners Guide to Genetic Algorithms In Python")</f>
        <v>The Ultimate Beginners Guide to Genetic Algorithms In Python</v>
      </c>
    </row>
    <row r="947">
      <c r="A947" s="140" t="str">
        <f>IFERROR(__xludf.DUMMYFUNCTION("""COMPUTED_VALUE"""),"en")</f>
        <v>en</v>
      </c>
      <c r="B947">
        <f>IFERROR(__xludf.DUMMYFUNCTION("""COMPUTED_VALUE"""),3065398.0)</f>
        <v>3065398</v>
      </c>
      <c r="C947" t="str">
        <f>IFERROR(__xludf.DUMMYFUNCTION("""COMPUTED_VALUE"""),"Oracle Cloud Infrastructure Foundations 2020 Practice sets")</f>
        <v>Oracle Cloud Infrastructure Foundations 2020 Practice sets</v>
      </c>
    </row>
    <row r="948">
      <c r="A948" s="140" t="str">
        <f>IFERROR(__xludf.DUMMYFUNCTION("""COMPUTED_VALUE"""),"ja")</f>
        <v>ja</v>
      </c>
      <c r="B948">
        <f>IFERROR(__xludf.DUMMYFUNCTION("""COMPUTED_VALUE"""),3896860.0)</f>
        <v>3896860</v>
      </c>
      <c r="C948" t="str">
        <f>IFERROR(__xludf.DUMMYFUNCTION("""COMPUTED_VALUE"""),"iPadノートアプリ「GoodNotes5」を120%使いこなす！完全攻略ガイド")</f>
        <v>iPadノートアプリ「GoodNotes5」を120%使いこなす！完全攻略ガイド</v>
      </c>
    </row>
    <row r="949">
      <c r="A949" s="140" t="str">
        <f>IFERROR(__xludf.DUMMYFUNCTION("""COMPUTED_VALUE"""),"en")</f>
        <v>en</v>
      </c>
      <c r="B949">
        <f>IFERROR(__xludf.DUMMYFUNCTION("""COMPUTED_VALUE"""),1916470.0)</f>
        <v>1916470</v>
      </c>
      <c r="C949" t="str">
        <f>IFERROR(__xludf.DUMMYFUNCTION("""COMPUTED_VALUE"""),"The Complete Google Sheets Course: Beginner to Advanced!")</f>
        <v>The Complete Google Sheets Course: Beginner to Advanced!</v>
      </c>
    </row>
    <row r="950">
      <c r="A950" s="140" t="str">
        <f>IFERROR(__xludf.DUMMYFUNCTION("""COMPUTED_VALUE"""),"en")</f>
        <v>en</v>
      </c>
      <c r="B950">
        <f>IFERROR(__xludf.DUMMYFUNCTION("""COMPUTED_VALUE"""),1805286.0)</f>
        <v>1805286</v>
      </c>
      <c r="C950" t="str">
        <f>IFERROR(__xludf.DUMMYFUNCTION("""COMPUTED_VALUE"""),"Instant Test Driven Development with Java, JUnit and Mockito")</f>
        <v>Instant Test Driven Development with Java, JUnit and Mockito</v>
      </c>
    </row>
    <row r="951">
      <c r="A951" s="140" t="str">
        <f>IFERROR(__xludf.DUMMYFUNCTION("""COMPUTED_VALUE"""),"pt")</f>
        <v>pt</v>
      </c>
      <c r="B951">
        <f>IFERROR(__xludf.DUMMYFUNCTION("""COMPUTED_VALUE"""),3965402.0)</f>
        <v>3965402</v>
      </c>
      <c r="C951" t="str">
        <f>IFERROR(__xludf.DUMMYFUNCTION("""COMPUTED_VALUE"""),"Kanban COMPLETO de A a Z + 4 Cursos Extras")</f>
        <v>Kanban COMPLETO de A a Z + 4 Cursos Extras</v>
      </c>
    </row>
    <row r="952">
      <c r="A952" s="140" t="str">
        <f>IFERROR(__xludf.DUMMYFUNCTION("""COMPUTED_VALUE"""),"en")</f>
        <v>en</v>
      </c>
      <c r="B952">
        <f>IFERROR(__xludf.DUMMYFUNCTION("""COMPUTED_VALUE"""),2807003.0)</f>
        <v>2807003</v>
      </c>
      <c r="C952" t="str">
        <f>IFERROR(__xludf.DUMMYFUNCTION("""COMPUTED_VALUE"""),"5G NR - Radio Link Control (RLC) Protocol - RAN Layer 2")</f>
        <v>5G NR - Radio Link Control (RLC) Protocol - RAN Layer 2</v>
      </c>
    </row>
    <row r="953">
      <c r="A953" s="140" t="str">
        <f>IFERROR(__xludf.DUMMYFUNCTION("""COMPUTED_VALUE"""),"en")</f>
        <v>en</v>
      </c>
      <c r="B953">
        <f>IFERROR(__xludf.DUMMYFUNCTION("""COMPUTED_VALUE"""),1201406.0)</f>
        <v>1201406</v>
      </c>
      <c r="C953" t="str">
        <f>IFERROR(__xludf.DUMMYFUNCTION("""COMPUTED_VALUE"""),"Employee Training:  Your Rapid Roadmap to Classroom Success")</f>
        <v>Employee Training:  Your Rapid Roadmap to Classroom Success</v>
      </c>
    </row>
    <row r="954">
      <c r="A954" s="140" t="str">
        <f>IFERROR(__xludf.DUMMYFUNCTION("""COMPUTED_VALUE"""),"es")</f>
        <v>es</v>
      </c>
      <c r="B954">
        <f>IFERROR(__xludf.DUMMYFUNCTION("""COMPUTED_VALUE"""),4059110.0)</f>
        <v>4059110</v>
      </c>
      <c r="C954" t="str">
        <f>IFERROR(__xludf.DUMMYFUNCTION("""COMPUTED_VALUE"""),"Tableau 2021 de la A a la Z: Domina Tableau en Data Science")</f>
        <v>Tableau 2021 de la A a la Z: Domina Tableau en Data Science</v>
      </c>
    </row>
    <row r="955">
      <c r="A955" s="140" t="str">
        <f>IFERROR(__xludf.DUMMYFUNCTION("""COMPUTED_VALUE"""),"en")</f>
        <v>en</v>
      </c>
      <c r="B955">
        <f>IFERROR(__xludf.DUMMYFUNCTION("""COMPUTED_VALUE"""),1344686.0)</f>
        <v>1344686</v>
      </c>
      <c r="C955" t="str">
        <f>IFERROR(__xludf.DUMMYFUNCTION("""COMPUTED_VALUE"""),"Music Production in Logic Pro X : Digital Audio Mastering")</f>
        <v>Music Production in Logic Pro X : Digital Audio Mastering</v>
      </c>
    </row>
    <row r="956">
      <c r="A956" s="140" t="str">
        <f>IFERROR(__xludf.DUMMYFUNCTION("""COMPUTED_VALUE"""),"ja")</f>
        <v>ja</v>
      </c>
      <c r="B956">
        <f>IFERROR(__xludf.DUMMYFUNCTION("""COMPUTED_VALUE"""),2641420.0)</f>
        <v>2641420</v>
      </c>
      <c r="C956" t="str">
        <f>IFERROR(__xludf.DUMMYFUNCTION("""COMPUTED_VALUE"""),"新任リーダーのためのITプロジェクト管理入門")</f>
        <v>新任リーダーのためのITプロジェクト管理入門</v>
      </c>
    </row>
    <row r="957">
      <c r="A957" s="140" t="str">
        <f>IFERROR(__xludf.DUMMYFUNCTION("""COMPUTED_VALUE"""),"en")</f>
        <v>en</v>
      </c>
      <c r="B957">
        <f>IFERROR(__xludf.DUMMYFUNCTION("""COMPUTED_VALUE"""),1343564.0)</f>
        <v>1343564</v>
      </c>
      <c r="C957" t="str">
        <f>IFERROR(__xludf.DUMMYFUNCTION("""COMPUTED_VALUE"""),"Ultimate Electrical Design Engineering Course Bundle")</f>
        <v>Ultimate Electrical Design Engineering Course Bundle</v>
      </c>
    </row>
    <row r="958">
      <c r="A958" s="140" t="str">
        <f>IFERROR(__xludf.DUMMYFUNCTION("""COMPUTED_VALUE"""),"de")</f>
        <v>de</v>
      </c>
      <c r="B958">
        <f>IFERROR(__xludf.DUMMYFUNCTION("""COMPUTED_VALUE"""),2159128.0)</f>
        <v>2159128</v>
      </c>
      <c r="C958" t="str">
        <f>IFERROR(__xludf.DUMMYFUNCTION("""COMPUTED_VALUE"""),"Nginx High Performance Webserver - Der schnelle Einstieg")</f>
        <v>Nginx High Performance Webserver - Der schnelle Einstieg</v>
      </c>
    </row>
    <row r="959">
      <c r="A959" s="140" t="str">
        <f>IFERROR(__xludf.DUMMYFUNCTION("""COMPUTED_VALUE"""),"en")</f>
        <v>en</v>
      </c>
      <c r="B959">
        <f>IFERROR(__xludf.DUMMYFUNCTION("""COMPUTED_VALUE"""),1326802.0)</f>
        <v>1326802</v>
      </c>
      <c r="C959" t="str">
        <f>IFERROR(__xludf.DUMMYFUNCTION("""COMPUTED_VALUE"""),"Oracle Java Certification - Pass the Associate 1Z0-808 Exam.")</f>
        <v>Oracle Java Certification - Pass the Associate 1Z0-808 Exam.</v>
      </c>
    </row>
    <row r="960">
      <c r="A960" s="140" t="str">
        <f>IFERROR(__xludf.DUMMYFUNCTION("""COMPUTED_VALUE"""),"pt")</f>
        <v>pt</v>
      </c>
      <c r="B960">
        <f>IFERROR(__xludf.DUMMYFUNCTION("""COMPUTED_VALUE"""),1556402.0)</f>
        <v>1556402</v>
      </c>
      <c r="C960" t="str">
        <f>IFERROR(__xludf.DUMMYFUNCTION("""COMPUTED_VALUE"""),"Spring Boot &amp; MVC com Thymeleaf")</f>
        <v>Spring Boot &amp; MVC com Thymeleaf</v>
      </c>
    </row>
    <row r="961">
      <c r="A961" s="140" t="str">
        <f>IFERROR(__xludf.DUMMYFUNCTION("""COMPUTED_VALUE"""),"de")</f>
        <v>de</v>
      </c>
      <c r="B961">
        <f>IFERROR(__xludf.DUMMYFUNCTION("""COMPUTED_VALUE"""),2008972.0)</f>
        <v>2008972</v>
      </c>
      <c r="C961" t="str">
        <f>IFERROR(__xludf.DUMMYFUNCTION("""COMPUTED_VALUE"""),"Das ultimative 4 in 1 Webdesigner- &amp; Webentwickler-Bootcamp!")</f>
        <v>Das ultimative 4 in 1 Webdesigner- &amp; Webentwickler-Bootcamp!</v>
      </c>
    </row>
    <row r="962">
      <c r="A962" s="140" t="str">
        <f>IFERROR(__xludf.DUMMYFUNCTION("""COMPUTED_VALUE"""),"en")</f>
        <v>en</v>
      </c>
      <c r="B962">
        <f>IFERROR(__xludf.DUMMYFUNCTION("""COMPUTED_VALUE"""),76838.0)</f>
        <v>76838</v>
      </c>
      <c r="C962" t="str">
        <f>IFERROR(__xludf.DUMMYFUNCTION("""COMPUTED_VALUE"""),"Master Computers - From Beginner to Expert in One Week")</f>
        <v>Master Computers - From Beginner to Expert in One Week</v>
      </c>
    </row>
    <row r="963">
      <c r="A963" s="140" t="str">
        <f>IFERROR(__xludf.DUMMYFUNCTION("""COMPUTED_VALUE"""),"pt")</f>
        <v>pt</v>
      </c>
      <c r="B963">
        <f>IFERROR(__xludf.DUMMYFUNCTION("""COMPUTED_VALUE"""),4234864.0)</f>
        <v>4234864</v>
      </c>
      <c r="C963" t="str">
        <f>IFERROR(__xludf.DUMMYFUNCTION("""COMPUTED_VALUE"""),"Formação Spark com Pyspark : o Curso Completo [2021]")</f>
        <v>Formação Spark com Pyspark : o Curso Completo [2021]</v>
      </c>
    </row>
    <row r="964">
      <c r="A964" s="140" t="str">
        <f>IFERROR(__xludf.DUMMYFUNCTION("""COMPUTED_VALUE"""),"pt")</f>
        <v>pt</v>
      </c>
      <c r="B964">
        <f>IFERROR(__xludf.DUMMYFUNCTION("""COMPUTED_VALUE"""),2196754.0)</f>
        <v>2196754</v>
      </c>
      <c r="C964" t="str">
        <f>IFERROR(__xludf.DUMMYFUNCTION("""COMPUTED_VALUE"""),"Flutter Essencial")</f>
        <v>Flutter Essencial</v>
      </c>
    </row>
    <row r="965">
      <c r="A965" s="140" t="str">
        <f>IFERROR(__xludf.DUMMYFUNCTION("""COMPUTED_VALUE"""),"es")</f>
        <v>es</v>
      </c>
      <c r="B965">
        <f>IFERROR(__xludf.DUMMYFUNCTION("""COMPUTED_VALUE"""),2272562.0)</f>
        <v>2272562</v>
      </c>
      <c r="C965" t="str">
        <f>IFERROR(__xludf.DUMMYFUNCTION("""COMPUTED_VALUE"""),"Consultor de Marketing y Publicidad")</f>
        <v>Consultor de Marketing y Publicidad</v>
      </c>
    </row>
    <row r="966">
      <c r="A966" s="140" t="str">
        <f>IFERROR(__xludf.DUMMYFUNCTION("""COMPUTED_VALUE"""),"de")</f>
        <v>de</v>
      </c>
      <c r="B966">
        <f>IFERROR(__xludf.DUMMYFUNCTION("""COMPUTED_VALUE"""),3294520.0)</f>
        <v>3294520</v>
      </c>
      <c r="C966" t="str">
        <f>IFERROR(__xludf.DUMMYFUNCTION("""COMPUTED_VALUE"""),"Gamification im Unternehmen - Motivation und Psychologie")</f>
        <v>Gamification im Unternehmen - Motivation und Psychologie</v>
      </c>
    </row>
    <row r="967">
      <c r="A967" s="140" t="str">
        <f>IFERROR(__xludf.DUMMYFUNCTION("""COMPUTED_VALUE"""),"en")</f>
        <v>en</v>
      </c>
      <c r="B967">
        <f>IFERROR(__xludf.DUMMYFUNCTION("""COMPUTED_VALUE"""),689296.0)</f>
        <v>689296</v>
      </c>
      <c r="C967" t="str">
        <f>IFERROR(__xludf.DUMMYFUNCTION("""COMPUTED_VALUE"""),"Modern PR — How To Get Press Coverage For Your Business")</f>
        <v>Modern PR — How To Get Press Coverage For Your Business</v>
      </c>
    </row>
    <row r="968">
      <c r="A968" s="140" t="str">
        <f>IFERROR(__xludf.DUMMYFUNCTION("""COMPUTED_VALUE"""),"ja")</f>
        <v>ja</v>
      </c>
      <c r="B968">
        <f>IFERROR(__xludf.DUMMYFUNCTION("""COMPUTED_VALUE"""),3593662.0)</f>
        <v>3593662</v>
      </c>
      <c r="C968" t="str">
        <f>IFERROR(__xludf.DUMMYFUNCTION("""COMPUTED_VALUE"""),"Spine初心者卒業カリキュラム：SDキャラクターからスチルアニメーションの制作まで")</f>
        <v>Spine初心者卒業カリキュラム：SDキャラクターからスチルアニメーションの制作まで</v>
      </c>
    </row>
    <row r="969">
      <c r="A969" s="140" t="str">
        <f>IFERROR(__xludf.DUMMYFUNCTION("""COMPUTED_VALUE"""),"en")</f>
        <v>en</v>
      </c>
      <c r="B969">
        <f>IFERROR(__xludf.DUMMYFUNCTION("""COMPUTED_VALUE"""),612914.0)</f>
        <v>612914</v>
      </c>
      <c r="C969" t="str">
        <f>IFERROR(__xludf.DUMMYFUNCTION("""COMPUTED_VALUE"""),"Effective Business English for Service Staff")</f>
        <v>Effective Business English for Service Staff</v>
      </c>
    </row>
    <row r="970">
      <c r="A970" s="140" t="str">
        <f>IFERROR(__xludf.DUMMYFUNCTION("""COMPUTED_VALUE"""),"en")</f>
        <v>en</v>
      </c>
      <c r="B970">
        <f>IFERROR(__xludf.DUMMYFUNCTION("""COMPUTED_VALUE"""),2969558.0)</f>
        <v>2969558</v>
      </c>
      <c r="C970" t="str">
        <f>IFERROR(__xludf.DUMMYFUNCTION("""COMPUTED_VALUE"""),"Becoming an Unreal Automation Expert")</f>
        <v>Becoming an Unreal Automation Expert</v>
      </c>
    </row>
    <row r="971">
      <c r="A971" s="140" t="str">
        <f>IFERROR(__xludf.DUMMYFUNCTION("""COMPUTED_VALUE"""),"en")</f>
        <v>en</v>
      </c>
      <c r="B971">
        <f>IFERROR(__xludf.DUMMYFUNCTION("""COMPUTED_VALUE"""),1693168.0)</f>
        <v>1693168</v>
      </c>
      <c r="C971" t="str">
        <f>IFERROR(__xludf.DUMMYFUNCTION("""COMPUTED_VALUE"""),"Project Planning with Advanced Roadmaps for Jira")</f>
        <v>Project Planning with Advanced Roadmaps for Jira</v>
      </c>
    </row>
    <row r="972">
      <c r="A972" s="140" t="str">
        <f>IFERROR(__xludf.DUMMYFUNCTION("""COMPUTED_VALUE"""),"en")</f>
        <v>en</v>
      </c>
      <c r="B972">
        <f>IFERROR(__xludf.DUMMYFUNCTION("""COMPUTED_VALUE"""),1211596.0)</f>
        <v>1211596</v>
      </c>
      <c r="C972" t="str">
        <f>IFERROR(__xludf.DUMMYFUNCTION("""COMPUTED_VALUE"""),"Testing Angular 4 (previously Angular 2) Apps with Jasmine")</f>
        <v>Testing Angular 4 (previously Angular 2) Apps with Jasmine</v>
      </c>
    </row>
    <row r="973">
      <c r="A973" s="140" t="str">
        <f>IFERROR(__xludf.DUMMYFUNCTION("""COMPUTED_VALUE"""),"pt")</f>
        <v>pt</v>
      </c>
      <c r="B973">
        <f>IFERROR(__xludf.DUMMYFUNCTION("""COMPUTED_VALUE"""),1971748.0)</f>
        <v>1971748</v>
      </c>
      <c r="C973" t="str">
        <f>IFERROR(__xludf.DUMMYFUNCTION("""COMPUTED_VALUE"""),"Curso de Google Search Console (Monitoramento de site e SEO)")</f>
        <v>Curso de Google Search Console (Monitoramento de site e SEO)</v>
      </c>
    </row>
    <row r="974">
      <c r="A974" s="140" t="str">
        <f>IFERROR(__xludf.DUMMYFUNCTION("""COMPUTED_VALUE"""),"en")</f>
        <v>en</v>
      </c>
      <c r="B974">
        <f>IFERROR(__xludf.DUMMYFUNCTION("""COMPUTED_VALUE"""),3448142.0)</f>
        <v>3448142</v>
      </c>
      <c r="C974" t="str">
        <f>IFERROR(__xludf.DUMMYFUNCTION("""COMPUTED_VALUE"""),"Windows Server 2019 Administration")</f>
        <v>Windows Server 2019 Administration</v>
      </c>
    </row>
    <row r="975">
      <c r="A975" s="140" t="str">
        <f>IFERROR(__xludf.DUMMYFUNCTION("""COMPUTED_VALUE"""),"en")</f>
        <v>en</v>
      </c>
      <c r="B975">
        <f>IFERROR(__xludf.DUMMYFUNCTION("""COMPUTED_VALUE"""),1918242.0)</f>
        <v>1918242</v>
      </c>
      <c r="C975" t="str">
        <f>IFERROR(__xludf.DUMMYFUNCTION("""COMPUTED_VALUE"""),"Cost Reduction: Cut Costs and Maximise Profits")</f>
        <v>Cost Reduction: Cut Costs and Maximise Profits</v>
      </c>
    </row>
    <row r="976">
      <c r="A976" s="140" t="str">
        <f>IFERROR(__xludf.DUMMYFUNCTION("""COMPUTED_VALUE"""),"pt")</f>
        <v>pt</v>
      </c>
      <c r="B976">
        <f>IFERROR(__xludf.DUMMYFUNCTION("""COMPUTED_VALUE"""),2051983.0)</f>
        <v>2051983</v>
      </c>
      <c r="C976" t="str">
        <f>IFERROR(__xludf.DUMMYFUNCTION("""COMPUTED_VALUE"""),"Curso edição de videos no celular (Android/IOS)")</f>
        <v>Curso edição de videos no celular (Android/IOS)</v>
      </c>
    </row>
    <row r="977">
      <c r="A977" s="140" t="str">
        <f>IFERROR(__xludf.DUMMYFUNCTION("""COMPUTED_VALUE"""),"en")</f>
        <v>en</v>
      </c>
      <c r="B977">
        <f>IFERROR(__xludf.DUMMYFUNCTION("""COMPUTED_VALUE"""),734002.0)</f>
        <v>734002</v>
      </c>
      <c r="C977" t="str">
        <f>IFERROR(__xludf.DUMMYFUNCTION("""COMPUTED_VALUE"""),"Pharmaceutical Supply Management for Developing Countries")</f>
        <v>Pharmaceutical Supply Management for Developing Countries</v>
      </c>
    </row>
    <row r="978">
      <c r="A978" s="140" t="str">
        <f>IFERROR(__xludf.DUMMYFUNCTION("""COMPUTED_VALUE"""),"en")</f>
        <v>en</v>
      </c>
      <c r="B978">
        <f>IFERROR(__xludf.DUMMYFUNCTION("""COMPUTED_VALUE"""),1233648.0)</f>
        <v>1233648</v>
      </c>
      <c r="C978" t="str">
        <f>IFERROR(__xludf.DUMMYFUNCTION("""COMPUTED_VALUE"""),"Progressive Web Apps: The Concise PWA Masterclass")</f>
        <v>Progressive Web Apps: The Concise PWA Masterclass</v>
      </c>
    </row>
    <row r="979">
      <c r="A979" s="140" t="str">
        <f>IFERROR(__xludf.DUMMYFUNCTION("""COMPUTED_VALUE"""),"en")</f>
        <v>en</v>
      </c>
      <c r="B979">
        <f>IFERROR(__xludf.DUMMYFUNCTION("""COMPUTED_VALUE"""),1409142.0)</f>
        <v>1409142</v>
      </c>
      <c r="C979" t="str">
        <f>IFERROR(__xludf.DUMMYFUNCTION("""COMPUTED_VALUE"""),"The Coding Interview Bootcamp: Algorithms + Data Structures")</f>
        <v>The Coding Interview Bootcamp: Algorithms + Data Structures</v>
      </c>
    </row>
    <row r="980">
      <c r="A980" s="140" t="str">
        <f>IFERROR(__xludf.DUMMYFUNCTION("""COMPUTED_VALUE"""),"en")</f>
        <v>en</v>
      </c>
      <c r="B980">
        <f>IFERROR(__xludf.DUMMYFUNCTION("""COMPUTED_VALUE"""),1351228.0)</f>
        <v>1351228</v>
      </c>
      <c r="C980" t="str">
        <f>IFERROR(__xludf.DUMMYFUNCTION("""COMPUTED_VALUE"""),"Microsoft Project ADVANCED: Project Management Technics 3PDU")</f>
        <v>Microsoft Project ADVANCED: Project Management Technics 3PDU</v>
      </c>
    </row>
    <row r="981">
      <c r="A981" s="140" t="str">
        <f>IFERROR(__xludf.DUMMYFUNCTION("""COMPUTED_VALUE"""),"en")</f>
        <v>en</v>
      </c>
      <c r="B981">
        <f>IFERROR(__xludf.DUMMYFUNCTION("""COMPUTED_VALUE"""),1503082.0)</f>
        <v>1503082</v>
      </c>
      <c r="C981" t="str">
        <f>IFERROR(__xludf.DUMMYFUNCTION("""COMPUTED_VALUE"""),"Dependency Injection in Android with Dagger 2 and Hilt")</f>
        <v>Dependency Injection in Android with Dagger 2 and Hilt</v>
      </c>
    </row>
    <row r="982">
      <c r="A982" s="140" t="str">
        <f>IFERROR(__xludf.DUMMYFUNCTION("""COMPUTED_VALUE"""),"de")</f>
        <v>de</v>
      </c>
      <c r="B982">
        <f>IFERROR(__xludf.DUMMYFUNCTION("""COMPUTED_VALUE"""),610292.0)</f>
        <v>610292</v>
      </c>
      <c r="C982" t="str">
        <f>IFERROR(__xludf.DUMMYFUNCTION("""COMPUTED_VALUE"""),"Der komplette Java Kurs - Dein Weg zum Java Profi!")</f>
        <v>Der komplette Java Kurs - Dein Weg zum Java Profi!</v>
      </c>
    </row>
    <row r="983">
      <c r="A983" s="140" t="str">
        <f>IFERROR(__xludf.DUMMYFUNCTION("""COMPUTED_VALUE"""),"en")</f>
        <v>en</v>
      </c>
      <c r="B983">
        <f>IFERROR(__xludf.DUMMYFUNCTION("""COMPUTED_VALUE"""),2530218.0)</f>
        <v>2530218</v>
      </c>
      <c r="C983" t="str">
        <f>IFERROR(__xludf.DUMMYFUNCTION("""COMPUTED_VALUE"""),"Become a Certified Ethical Hacker (CEH)")</f>
        <v>Become a Certified Ethical Hacker (CEH)</v>
      </c>
    </row>
    <row r="984">
      <c r="A984" s="140" t="str">
        <f>IFERROR(__xludf.DUMMYFUNCTION("""COMPUTED_VALUE"""),"pt")</f>
        <v>pt</v>
      </c>
      <c r="B984">
        <f>IFERROR(__xludf.DUMMYFUNCTION("""COMPUTED_VALUE"""),1095516.0)</f>
        <v>1095516</v>
      </c>
      <c r="C984" t="str">
        <f>IFERROR(__xludf.DUMMYFUNCTION("""COMPUTED_VALUE"""),"DBA Oracle Essencial - Aprenda do zero!")</f>
        <v>DBA Oracle Essencial - Aprenda do zero!</v>
      </c>
    </row>
    <row r="985">
      <c r="A985" s="140" t="str">
        <f>IFERROR(__xludf.DUMMYFUNCTION("""COMPUTED_VALUE"""),"en")</f>
        <v>en</v>
      </c>
      <c r="B985">
        <f>IFERROR(__xludf.DUMMYFUNCTION("""COMPUTED_VALUE"""),600084.0)</f>
        <v>600084</v>
      </c>
      <c r="C985" t="str">
        <f>IFERROR(__xludf.DUMMYFUNCTION("""COMPUTED_VALUE"""),"Polish Language for Beginners: Master Polish Quickly!")</f>
        <v>Polish Language for Beginners: Master Polish Quickly!</v>
      </c>
    </row>
    <row r="986">
      <c r="A986" s="140" t="str">
        <f>IFERROR(__xludf.DUMMYFUNCTION("""COMPUTED_VALUE"""),"en")</f>
        <v>en</v>
      </c>
      <c r="B986">
        <f>IFERROR(__xludf.DUMMYFUNCTION("""COMPUTED_VALUE"""),911024.0)</f>
        <v>911024</v>
      </c>
      <c r="C986" t="str">
        <f>IFERROR(__xludf.DUMMYFUNCTION("""COMPUTED_VALUE"""),"Manage Diversity")</f>
        <v>Manage Diversity</v>
      </c>
    </row>
    <row r="987">
      <c r="A987" s="140" t="str">
        <f>IFERROR(__xludf.DUMMYFUNCTION("""COMPUTED_VALUE"""),"en")</f>
        <v>en</v>
      </c>
      <c r="B987">
        <f>IFERROR(__xludf.DUMMYFUNCTION("""COMPUTED_VALUE"""),2840396.0)</f>
        <v>2840396</v>
      </c>
      <c r="C987" t="str">
        <f>IFERROR(__xludf.DUMMYFUNCTION("""COMPUTED_VALUE"""),"Executive Briefing: Reinforcement Learning (RL)")</f>
        <v>Executive Briefing: Reinforcement Learning (RL)</v>
      </c>
    </row>
    <row r="988">
      <c r="A988" s="140" t="str">
        <f>IFERROR(__xludf.DUMMYFUNCTION("""COMPUTED_VALUE"""),"en")</f>
        <v>en</v>
      </c>
      <c r="B988">
        <f>IFERROR(__xludf.DUMMYFUNCTION("""COMPUTED_VALUE"""),2334036.0)</f>
        <v>2334036</v>
      </c>
      <c r="C988" t="str">
        <f>IFERROR(__xludf.DUMMYFUNCTION("""COMPUTED_VALUE"""),"The Simplest Guide to Clinical Trials Data Analysis with SAS")</f>
        <v>The Simplest Guide to Clinical Trials Data Analysis with SAS</v>
      </c>
    </row>
    <row r="989">
      <c r="A989" s="140" t="str">
        <f>IFERROR(__xludf.DUMMYFUNCTION("""COMPUTED_VALUE"""),"en")</f>
        <v>en</v>
      </c>
      <c r="B989">
        <f>IFERROR(__xludf.DUMMYFUNCTION("""COMPUTED_VALUE"""),1917546.0)</f>
        <v>1917546</v>
      </c>
      <c r="C989" t="str">
        <f>IFERROR(__xludf.DUMMYFUNCTION("""COMPUTED_VALUE"""),"Master the Coding Interview: Data Structures + Algorithms")</f>
        <v>Master the Coding Interview: Data Structures + Algorithms</v>
      </c>
    </row>
    <row r="990">
      <c r="A990" s="140" t="str">
        <f>IFERROR(__xludf.DUMMYFUNCTION("""COMPUTED_VALUE"""),"en")</f>
        <v>en</v>
      </c>
      <c r="B990">
        <f>IFERROR(__xludf.DUMMYFUNCTION("""COMPUTED_VALUE"""),1323730.0)</f>
        <v>1323730</v>
      </c>
      <c r="C990" t="str">
        <f>IFERROR(__xludf.DUMMYFUNCTION("""COMPUTED_VALUE"""),"Viral Blogging 101: Blogging &amp; Content Writing Masterclass")</f>
        <v>Viral Blogging 101: Blogging &amp; Content Writing Masterclass</v>
      </c>
    </row>
    <row r="991">
      <c r="A991" s="140" t="str">
        <f>IFERROR(__xludf.DUMMYFUNCTION("""COMPUTED_VALUE"""),"fr")</f>
        <v>fr</v>
      </c>
      <c r="B991">
        <f>IFERROR(__xludf.DUMMYFUNCTION("""COMPUTED_VALUE"""),3603312.0)</f>
        <v>3603312</v>
      </c>
      <c r="C991" t="str">
        <f>IFERROR(__xludf.DUMMYFUNCTION("""COMPUTED_VALUE"""),"Le Webdesign pour les débutants avec Figma.")</f>
        <v>Le Webdesign pour les débutants avec Figma.</v>
      </c>
    </row>
    <row r="992">
      <c r="A992" s="140" t="str">
        <f>IFERROR(__xludf.DUMMYFUNCTION("""COMPUTED_VALUE"""),"en")</f>
        <v>en</v>
      </c>
      <c r="B992">
        <f>IFERROR(__xludf.DUMMYFUNCTION("""COMPUTED_VALUE"""),2232520.0)</f>
        <v>2232520</v>
      </c>
      <c r="C992" t="str">
        <f>IFERROR(__xludf.DUMMYFUNCTION("""COMPUTED_VALUE"""),"Ethical Hacking &amp; Bug Hunting: Buffer Overflow For Beginners")</f>
        <v>Ethical Hacking &amp; Bug Hunting: Buffer Overflow For Beginners</v>
      </c>
    </row>
    <row r="993">
      <c r="A993" s="140" t="str">
        <f>IFERROR(__xludf.DUMMYFUNCTION("""COMPUTED_VALUE"""),"fr")</f>
        <v>fr</v>
      </c>
      <c r="B993">
        <f>IFERROR(__xludf.DUMMYFUNCTION("""COMPUTED_VALUE"""),3413256.0)</f>
        <v>3413256</v>
      </c>
      <c r="C993" t="str">
        <f>IFERROR(__xludf.DUMMYFUNCTION("""COMPUTED_VALUE"""),"Python &amp; Django - Formation Développeur Web Full Stack")</f>
        <v>Python &amp; Django - Formation Développeur Web Full Stack</v>
      </c>
    </row>
    <row r="994">
      <c r="A994" s="140" t="str">
        <f>IFERROR(__xludf.DUMMYFUNCTION("""COMPUTED_VALUE"""),"en")</f>
        <v>en</v>
      </c>
      <c r="B994">
        <f>IFERROR(__xludf.DUMMYFUNCTION("""COMPUTED_VALUE"""),1684752.0)</f>
        <v>1684752</v>
      </c>
      <c r="C994" t="str">
        <f>IFERROR(__xludf.DUMMYFUNCTION("""COMPUTED_VALUE"""),"Business Strategy Development: The Art of Differentiation")</f>
        <v>Business Strategy Development: The Art of Differentiation</v>
      </c>
    </row>
    <row r="995">
      <c r="A995" s="140" t="str">
        <f>IFERROR(__xludf.DUMMYFUNCTION("""COMPUTED_VALUE"""),"ja")</f>
        <v>ja</v>
      </c>
      <c r="B995">
        <f>IFERROR(__xludf.DUMMYFUNCTION("""COMPUTED_VALUE"""),3818086.0)</f>
        <v>3818086</v>
      </c>
      <c r="C995" t="str">
        <f>IFERROR(__xludf.DUMMYFUNCTION("""COMPUTED_VALUE"""),"本当にわかる、AI時代の数学【超初心者からの数学入門】")</f>
        <v>本当にわかる、AI時代の数学【超初心者からの数学入門】</v>
      </c>
    </row>
    <row r="996">
      <c r="A996" s="140" t="str">
        <f>IFERROR(__xludf.DUMMYFUNCTION("""COMPUTED_VALUE"""),"en")</f>
        <v>en</v>
      </c>
      <c r="B996">
        <f>IFERROR(__xludf.DUMMYFUNCTION("""COMPUTED_VALUE"""),2488744.0)</f>
        <v>2488744</v>
      </c>
      <c r="C996" t="str">
        <f>IFERROR(__xludf.DUMMYFUNCTION("""COMPUTED_VALUE"""),"An Introduction to the Ethernet/IP Protocol")</f>
        <v>An Introduction to the Ethernet/IP Protocol</v>
      </c>
    </row>
    <row r="997">
      <c r="A997" s="140" t="str">
        <f>IFERROR(__xludf.DUMMYFUNCTION("""COMPUTED_VALUE"""),"en")</f>
        <v>en</v>
      </c>
      <c r="B997">
        <f>IFERROR(__xludf.DUMMYFUNCTION("""COMPUTED_VALUE"""),2988154.0)</f>
        <v>2988154</v>
      </c>
      <c r="C997" t="str">
        <f>IFERROR(__xludf.DUMMYFUNCTION("""COMPUTED_VALUE"""),"Advanced Process Control &amp; Safety Instrumented Systems SIS")</f>
        <v>Advanced Process Control &amp; Safety Instrumented Systems SIS</v>
      </c>
    </row>
    <row r="998">
      <c r="A998" s="140" t="str">
        <f>IFERROR(__xludf.DUMMYFUNCTION("""COMPUTED_VALUE"""),"en")</f>
        <v>en</v>
      </c>
      <c r="B998">
        <f>IFERROR(__xludf.DUMMYFUNCTION("""COMPUTED_VALUE"""),1581488.0)</f>
        <v>1581488</v>
      </c>
      <c r="C998" t="str">
        <f>IFERROR(__xludf.DUMMYFUNCTION("""COMPUTED_VALUE"""),"Complete C# Masterclass")</f>
        <v>Complete C# Masterclass</v>
      </c>
    </row>
    <row r="999">
      <c r="A999" s="140" t="str">
        <f>IFERROR(__xludf.DUMMYFUNCTION("""COMPUTED_VALUE"""),"en")</f>
        <v>en</v>
      </c>
      <c r="B999">
        <f>IFERROR(__xludf.DUMMYFUNCTION("""COMPUTED_VALUE"""),1415654.0)</f>
        <v>1415654</v>
      </c>
      <c r="C999" t="str">
        <f>IFERROR(__xludf.DUMMYFUNCTION("""COMPUTED_VALUE"""),"Automation with Ansible Playbooks - Hands On !!")</f>
        <v>Automation with Ansible Playbooks - Hands On !!</v>
      </c>
    </row>
    <row r="1000">
      <c r="A1000" s="140" t="str">
        <f>IFERROR(__xludf.DUMMYFUNCTION("""COMPUTED_VALUE"""),"en")</f>
        <v>en</v>
      </c>
      <c r="B1000">
        <f>IFERROR(__xludf.DUMMYFUNCTION("""COMPUTED_VALUE"""),2566564.0)</f>
        <v>2566564</v>
      </c>
      <c r="C1000" t="str">
        <f>IFERROR(__xludf.DUMMYFUNCTION("""COMPUTED_VALUE"""),"GraphQL with Spring Boot - Foundation I")</f>
        <v>GraphQL with Spring Boot - Foundation I</v>
      </c>
    </row>
    <row r="1001">
      <c r="A1001" s="140" t="str">
        <f>IFERROR(__xludf.DUMMYFUNCTION("""COMPUTED_VALUE"""),"en")</f>
        <v>en</v>
      </c>
      <c r="B1001">
        <f>IFERROR(__xludf.DUMMYFUNCTION("""COMPUTED_VALUE"""),351090.0)</f>
        <v>351090</v>
      </c>
      <c r="C1001" t="str">
        <f>IFERROR(__xludf.DUMMYFUNCTION("""COMPUTED_VALUE"""),"Charisma: You Can Develop Charisma")</f>
        <v>Charisma: You Can Develop Charisma</v>
      </c>
    </row>
    <row r="1002">
      <c r="A1002" s="140" t="str">
        <f>IFERROR(__xludf.DUMMYFUNCTION("""COMPUTED_VALUE"""),"en")</f>
        <v>en</v>
      </c>
      <c r="B1002">
        <f>IFERROR(__xludf.DUMMYFUNCTION("""COMPUTED_VALUE"""),1350334.0)</f>
        <v>1350334</v>
      </c>
      <c r="C1002" t="str">
        <f>IFERROR(__xludf.DUMMYFUNCTION("""COMPUTED_VALUE"""),"Learn Vietnamese for beginners")</f>
        <v>Learn Vietnamese for beginners</v>
      </c>
    </row>
    <row r="1003">
      <c r="A1003" s="140" t="str">
        <f>IFERROR(__xludf.DUMMYFUNCTION("""COMPUTED_VALUE"""),"de")</f>
        <v>de</v>
      </c>
      <c r="B1003">
        <f>IFERROR(__xludf.DUMMYFUNCTION("""COMPUTED_VALUE"""),2570764.0)</f>
        <v>2570764</v>
      </c>
      <c r="C1003" t="str">
        <f>IFERROR(__xludf.DUMMYFUNCTION("""COMPUTED_VALUE"""),"Docker für Softwareentwickler - Schnellstart für den Alltag")</f>
        <v>Docker für Softwareentwickler - Schnellstart für den Alltag</v>
      </c>
    </row>
    <row r="1004">
      <c r="A1004" s="140" t="str">
        <f>IFERROR(__xludf.DUMMYFUNCTION("""COMPUTED_VALUE"""),"en")</f>
        <v>en</v>
      </c>
      <c r="B1004">
        <f>IFERROR(__xludf.DUMMYFUNCTION("""COMPUTED_VALUE"""),560408.0)</f>
        <v>560408</v>
      </c>
      <c r="C1004" t="str">
        <f>IFERROR(__xludf.DUMMYFUNCTION("""COMPUTED_VALUE"""),"Conversational Russian for beginners")</f>
        <v>Conversational Russian for beginners</v>
      </c>
    </row>
    <row r="1005">
      <c r="A1005" s="140" t="str">
        <f>IFERROR(__xludf.DUMMYFUNCTION("""COMPUTED_VALUE"""),"pt")</f>
        <v>pt</v>
      </c>
      <c r="B1005">
        <f>IFERROR(__xludf.DUMMYFUNCTION("""COMPUTED_VALUE"""),2545905.0)</f>
        <v>2545905</v>
      </c>
      <c r="C1005" t="str">
        <f>IFERROR(__xludf.DUMMYFUNCTION("""COMPUTED_VALUE"""),"Curso de Day Trade Avançado no Mini Índice")</f>
        <v>Curso de Day Trade Avançado no Mini Índice</v>
      </c>
    </row>
    <row r="1006">
      <c r="A1006" s="140" t="str">
        <f>IFERROR(__xludf.DUMMYFUNCTION("""COMPUTED_VALUE"""),"en")</f>
        <v>en</v>
      </c>
      <c r="B1006">
        <f>IFERROR(__xludf.DUMMYFUNCTION("""COMPUTED_VALUE"""),1808398.0)</f>
        <v>1808398</v>
      </c>
      <c r="C1006" t="str">
        <f>IFERROR(__xludf.DUMMYFUNCTION("""COMPUTED_VALUE"""),"Cyber Security Operations and Technology Solutions")</f>
        <v>Cyber Security Operations and Technology Solutions</v>
      </c>
    </row>
    <row r="1007">
      <c r="A1007" s="140" t="str">
        <f>IFERROR(__xludf.DUMMYFUNCTION("""COMPUTED_VALUE"""),"en")</f>
        <v>en</v>
      </c>
      <c r="B1007">
        <f>IFERROR(__xludf.DUMMYFUNCTION("""COMPUTED_VALUE"""),700114.0)</f>
        <v>700114</v>
      </c>
      <c r="C1007" t="str">
        <f>IFERROR(__xludf.DUMMYFUNCTION("""COMPUTED_VALUE"""),"Active Directory &amp; Group Policy Lab")</f>
        <v>Active Directory &amp; Group Policy Lab</v>
      </c>
    </row>
    <row r="1008">
      <c r="A1008" s="140" t="str">
        <f>IFERROR(__xludf.DUMMYFUNCTION("""COMPUTED_VALUE"""),"ja")</f>
        <v>ja</v>
      </c>
      <c r="B1008">
        <f>IFERROR(__xludf.DUMMYFUNCTION("""COMPUTED_VALUE"""),3218451.0)</f>
        <v>3218451</v>
      </c>
      <c r="C1008" t="str">
        <f>IFERROR(__xludf.DUMMYFUNCTION("""COMPUTED_VALUE"""),"現役プロライターが教える超実践型SEOライティング講座 ～SEOに強い文章を書くための黄金の6ステップ～")</f>
        <v>現役プロライターが教える超実践型SEOライティング講座 ～SEOに強い文章を書くための黄金の6ステップ～</v>
      </c>
    </row>
    <row r="1009">
      <c r="A1009" s="140" t="str">
        <f>IFERROR(__xludf.DUMMYFUNCTION("""COMPUTED_VALUE"""),"en")</f>
        <v>en</v>
      </c>
      <c r="B1009">
        <f>IFERROR(__xludf.DUMMYFUNCTION("""COMPUTED_VALUE"""),1204240.0)</f>
        <v>1204240</v>
      </c>
      <c r="C1009" t="str">
        <f>IFERROR(__xludf.DUMMYFUNCTION("""COMPUTED_VALUE"""),"Using SOLID Principles to Write Better Code - A Crash Course")</f>
        <v>Using SOLID Principles to Write Better Code - A Crash Course</v>
      </c>
    </row>
    <row r="1010">
      <c r="A1010" s="140" t="str">
        <f>IFERROR(__xludf.DUMMYFUNCTION("""COMPUTED_VALUE"""),"en")</f>
        <v>en</v>
      </c>
      <c r="B1010">
        <f>IFERROR(__xludf.DUMMYFUNCTION("""COMPUTED_VALUE"""),1769536.0)</f>
        <v>1769536</v>
      </c>
      <c r="C1010" t="str">
        <f>IFERROR(__xludf.DUMMYFUNCTION("""COMPUTED_VALUE"""),"Solid Foundations in Intercultural Communication")</f>
        <v>Solid Foundations in Intercultural Communication</v>
      </c>
    </row>
    <row r="1011">
      <c r="A1011" s="140" t="str">
        <f>IFERROR(__xludf.DUMMYFUNCTION("""COMPUTED_VALUE"""),"de")</f>
        <v>de</v>
      </c>
      <c r="B1011">
        <f>IFERROR(__xludf.DUMMYFUNCTION("""COMPUTED_VALUE"""),1853432.0)</f>
        <v>1853432</v>
      </c>
      <c r="C1011" t="str">
        <f>IFERROR(__xludf.DUMMYFUNCTION("""COMPUTED_VALUE"""),"Webentwicklung mit Python und Django")</f>
        <v>Webentwicklung mit Python und Django</v>
      </c>
    </row>
    <row r="1012">
      <c r="A1012" s="140" t="str">
        <f>IFERROR(__xludf.DUMMYFUNCTION("""COMPUTED_VALUE"""),"en")</f>
        <v>en</v>
      </c>
      <c r="B1012">
        <f>IFERROR(__xludf.DUMMYFUNCTION("""COMPUTED_VALUE"""),1319746.0)</f>
        <v>1319746</v>
      </c>
      <c r="C1012" t="str">
        <f>IFERROR(__xludf.DUMMYFUNCTION("""COMPUTED_VALUE"""),"Automated Software Testing with Python")</f>
        <v>Automated Software Testing with Python</v>
      </c>
    </row>
    <row r="1013">
      <c r="A1013" s="140" t="str">
        <f>IFERROR(__xludf.DUMMYFUNCTION("""COMPUTED_VALUE"""),"es")</f>
        <v>es</v>
      </c>
      <c r="B1013">
        <f>IFERROR(__xludf.DUMMYFUNCTION("""COMPUTED_VALUE"""),751768.0)</f>
        <v>751768</v>
      </c>
      <c r="C1013" t="str">
        <f>IFERROR(__xludf.DUMMYFUNCTION("""COMPUTED_VALUE"""),"JavaScript: de cero hasta los detalles (ES5)")</f>
        <v>JavaScript: de cero hasta los detalles (ES5)</v>
      </c>
    </row>
    <row r="1014">
      <c r="A1014" s="140" t="str">
        <f>IFERROR(__xludf.DUMMYFUNCTION("""COMPUTED_VALUE"""),"ja")</f>
        <v>ja</v>
      </c>
      <c r="B1014">
        <f>IFERROR(__xludf.DUMMYFUNCTION("""COMPUTED_VALUE"""),2361020.0)</f>
        <v>2361020</v>
      </c>
      <c r="C1014" t="str">
        <f>IFERROR(__xludf.DUMMYFUNCTION("""COMPUTED_VALUE"""),"AWS：ゼロから実践するAmazon Web Services。手を動かしながらインフラの基礎を習得")</f>
        <v>AWS：ゼロから実践するAmazon Web Services。手を動かしながらインフラの基礎を習得</v>
      </c>
    </row>
    <row r="1015">
      <c r="A1015" s="140" t="str">
        <f>IFERROR(__xludf.DUMMYFUNCTION("""COMPUTED_VALUE"""),"en")</f>
        <v>en</v>
      </c>
      <c r="B1015">
        <f>IFERROR(__xludf.DUMMYFUNCTION("""COMPUTED_VALUE"""),2868462.0)</f>
        <v>2868462</v>
      </c>
      <c r="C1015" t="str">
        <f>IFERROR(__xludf.DUMMYFUNCTION("""COMPUTED_VALUE"""),"Spark Streaming 3 with Scala | Rock the JVM")</f>
        <v>Spark Streaming 3 with Scala | Rock the JVM</v>
      </c>
    </row>
    <row r="1016">
      <c r="A1016" s="140" t="str">
        <f>IFERROR(__xludf.DUMMYFUNCTION("""COMPUTED_VALUE"""),"en")</f>
        <v>en</v>
      </c>
      <c r="B1016">
        <f>IFERROR(__xludf.DUMMYFUNCTION("""COMPUTED_VALUE"""),1286120.0)</f>
        <v>1286120</v>
      </c>
      <c r="C1016" t="str">
        <f>IFERROR(__xludf.DUMMYFUNCTION("""COMPUTED_VALUE"""),"Hive to ADVANCE Hive (Real time usage) :Hadoop querying tool")</f>
        <v>Hive to ADVANCE Hive (Real time usage) :Hadoop querying tool</v>
      </c>
    </row>
    <row r="1017">
      <c r="A1017" s="140" t="str">
        <f>IFERROR(__xludf.DUMMYFUNCTION("""COMPUTED_VALUE"""),"en")</f>
        <v>en</v>
      </c>
      <c r="B1017">
        <f>IFERROR(__xludf.DUMMYFUNCTION("""COMPUTED_VALUE"""),2558896.0)</f>
        <v>2558896</v>
      </c>
      <c r="C1017" t="str">
        <f>IFERROR(__xludf.DUMMYFUNCTION("""COMPUTED_VALUE"""),"Unit, integration and functional Testing in Golang (Go)")</f>
        <v>Unit, integration and functional Testing in Golang (Go)</v>
      </c>
    </row>
    <row r="1018">
      <c r="A1018" s="140" t="str">
        <f>IFERROR(__xludf.DUMMYFUNCTION("""COMPUTED_VALUE"""),"en")</f>
        <v>en</v>
      </c>
      <c r="B1018">
        <f>IFERROR(__xludf.DUMMYFUNCTION("""COMPUTED_VALUE"""),1141702.0)</f>
        <v>1141702</v>
      </c>
      <c r="C1018" t="str">
        <f>IFERROR(__xludf.DUMMYFUNCTION("""COMPUTED_VALUE"""),"Apache Kafka Series - Kafka Cluster Setup &amp; Administration")</f>
        <v>Apache Kafka Series - Kafka Cluster Setup &amp; Administration</v>
      </c>
    </row>
    <row r="1019">
      <c r="A1019" s="140" t="str">
        <f>IFERROR(__xludf.DUMMYFUNCTION("""COMPUTED_VALUE"""),"en")</f>
        <v>en</v>
      </c>
      <c r="B1019">
        <f>IFERROR(__xludf.DUMMYFUNCTION("""COMPUTED_VALUE"""),3943902.0)</f>
        <v>3943902</v>
      </c>
      <c r="C1019" t="str">
        <f>IFERROR(__xludf.DUMMYFUNCTION("""COMPUTED_VALUE"""),"WebDriverIO + Node.js -JavaScript UI Automation from Scratch")</f>
        <v>WebDriverIO + Node.js -JavaScript UI Automation from Scratch</v>
      </c>
    </row>
    <row r="1020">
      <c r="A1020" s="140" t="str">
        <f>IFERROR(__xludf.DUMMYFUNCTION("""COMPUTED_VALUE"""),"en")</f>
        <v>en</v>
      </c>
      <c r="B1020">
        <f>IFERROR(__xludf.DUMMYFUNCTION("""COMPUTED_VALUE"""),891490.0)</f>
        <v>891490</v>
      </c>
      <c r="C1020" t="str">
        <f>IFERROR(__xludf.DUMMYFUNCTION("""COMPUTED_VALUE"""),"Accounting Basics for Success in Business and in Life!")</f>
        <v>Accounting Basics for Success in Business and in Life!</v>
      </c>
    </row>
    <row r="1021">
      <c r="A1021" s="140" t="str">
        <f>IFERROR(__xludf.DUMMYFUNCTION("""COMPUTED_VALUE"""),"pt")</f>
        <v>pt</v>
      </c>
      <c r="B1021">
        <f>IFERROR(__xludf.DUMMYFUNCTION("""COMPUTED_VALUE"""),3392762.0)</f>
        <v>3392762</v>
      </c>
      <c r="C1021" t="str">
        <f>IFERROR(__xludf.DUMMYFUNCTION("""COMPUTED_VALUE"""),"Amazon Web Services (AWS): Essencial")</f>
        <v>Amazon Web Services (AWS): Essencial</v>
      </c>
    </row>
    <row r="1022">
      <c r="A1022" s="140" t="str">
        <f>IFERROR(__xludf.DUMMYFUNCTION("""COMPUTED_VALUE"""),"zh")</f>
        <v>zh</v>
      </c>
      <c r="B1022">
        <f>IFERROR(__xludf.DUMMYFUNCTION("""COMPUTED_VALUE"""),2754202.0)</f>
        <v>2754202</v>
      </c>
      <c r="C1022" t="str">
        <f>IFERROR(__xludf.DUMMYFUNCTION("""COMPUTED_VALUE"""),"Photoshop 2021小白轻松成高手，从零开始学会PS，轻松搞定抠图修图设计美工特效自媒体应用")</f>
        <v>Photoshop 2021小白轻松成高手，从零开始学会PS，轻松搞定抠图修图设计美工特效自媒体应用</v>
      </c>
    </row>
    <row r="1023">
      <c r="A1023" s="140" t="str">
        <f>IFERROR(__xludf.DUMMYFUNCTION("""COMPUTED_VALUE"""),"en")</f>
        <v>en</v>
      </c>
      <c r="B1023">
        <f>IFERROR(__xludf.DUMMYFUNCTION("""COMPUTED_VALUE"""),646602.0)</f>
        <v>646602</v>
      </c>
      <c r="C1023" t="str">
        <f>IFERROR(__xludf.DUMMYFUNCTION("""COMPUTED_VALUE"""),"Learn basic high school Maths the easy way!")</f>
        <v>Learn basic high school Maths the easy way!</v>
      </c>
    </row>
    <row r="1024">
      <c r="A1024" s="140" t="str">
        <f>IFERROR(__xludf.DUMMYFUNCTION("""COMPUTED_VALUE"""),"ja")</f>
        <v>ja</v>
      </c>
      <c r="B1024">
        <f>IFERROR(__xludf.DUMMYFUNCTION("""COMPUTED_VALUE"""),4329188.0)</f>
        <v>4329188</v>
      </c>
      <c r="C1024" t="str">
        <f>IFERROR(__xludf.DUMMYFUNCTION("""COMPUTED_VALUE"""),"＜UB確認テスト＞Microsoft Power Automate Desktop 入門講座")</f>
        <v>＜UB確認テスト＞Microsoft Power Automate Desktop 入門講座</v>
      </c>
    </row>
    <row r="1025">
      <c r="A1025" s="140" t="str">
        <f>IFERROR(__xludf.DUMMYFUNCTION("""COMPUTED_VALUE"""),"en")</f>
        <v>en</v>
      </c>
      <c r="B1025">
        <f>IFERROR(__xludf.DUMMYFUNCTION("""COMPUTED_VALUE"""),2374536.0)</f>
        <v>2374536</v>
      </c>
      <c r="C1025" t="str">
        <f>IFERROR(__xludf.DUMMYFUNCTION("""COMPUTED_VALUE"""),"Python - Solve 250 Python Exercises")</f>
        <v>Python - Solve 250 Python Exercises</v>
      </c>
    </row>
    <row r="1026">
      <c r="A1026" s="140" t="str">
        <f>IFERROR(__xludf.DUMMYFUNCTION("""COMPUTED_VALUE"""),"en")</f>
        <v>en</v>
      </c>
      <c r="B1026">
        <f>IFERROR(__xludf.DUMMYFUNCTION("""COMPUTED_VALUE"""),1117752.0)</f>
        <v>1117752</v>
      </c>
      <c r="C1026" t="str">
        <f>IFERROR(__xludf.DUMMYFUNCTION("""COMPUTED_VALUE"""),"Excel VBA Macros: Hyper-disambiguated Excel VBA Programming")</f>
        <v>Excel VBA Macros: Hyper-disambiguated Excel VBA Programming</v>
      </c>
    </row>
    <row r="1027">
      <c r="A1027" s="140" t="str">
        <f>IFERROR(__xludf.DUMMYFUNCTION("""COMPUTED_VALUE"""),"ar")</f>
        <v>ar</v>
      </c>
      <c r="B1027">
        <f>IFERROR(__xludf.DUMMYFUNCTION("""COMPUTED_VALUE"""),2502494.0)</f>
        <v>2502494</v>
      </c>
      <c r="C1027" t="str">
        <f>IFERROR(__xludf.DUMMYFUNCTION("""COMPUTED_VALUE"""),"Lean Construction Management إدارة المشروعات بفاعلية")</f>
        <v>Lean Construction Management إدارة المشروعات بفاعلية</v>
      </c>
    </row>
    <row r="1028">
      <c r="A1028" s="140" t="str">
        <f>IFERROR(__xludf.DUMMYFUNCTION("""COMPUTED_VALUE"""),"en")</f>
        <v>en</v>
      </c>
      <c r="B1028">
        <f>IFERROR(__xludf.DUMMYFUNCTION("""COMPUTED_VALUE"""),2301254.0)</f>
        <v>2301254</v>
      </c>
      <c r="C1028" t="str">
        <f>IFERROR(__xludf.DUMMYFUNCTION("""COMPUTED_VALUE"""),"Certified Kubernetes Administrator (CKA) with Practice Tests")</f>
        <v>Certified Kubernetes Administrator (CKA) with Practice Tests</v>
      </c>
    </row>
    <row r="1029">
      <c r="A1029" s="140" t="str">
        <f>IFERROR(__xludf.DUMMYFUNCTION("""COMPUTED_VALUE"""),"pt")</f>
        <v>pt</v>
      </c>
      <c r="B1029">
        <f>IFERROR(__xludf.DUMMYFUNCTION("""COMPUTED_VALUE"""),2268370.0)</f>
        <v>2268370</v>
      </c>
      <c r="C1029" t="str">
        <f>IFERROR(__xludf.DUMMYFUNCTION("""COMPUTED_VALUE"""),"Python para Finanças: Investimentos &amp; Análise de Dados")</f>
        <v>Python para Finanças: Investimentos &amp; Análise de Dados</v>
      </c>
    </row>
    <row r="1030">
      <c r="A1030" s="140" t="str">
        <f>IFERROR(__xludf.DUMMYFUNCTION("""COMPUTED_VALUE"""),"en")</f>
        <v>en</v>
      </c>
      <c r="B1030">
        <f>IFERROR(__xludf.DUMMYFUNCTION("""COMPUTED_VALUE"""),2294979.0)</f>
        <v>2294979</v>
      </c>
      <c r="C1030" t="str">
        <f>IFERROR(__xludf.DUMMYFUNCTION("""COMPUTED_VALUE"""),"Computer Architecture &amp; Organization Part 1 : Cache Memory")</f>
        <v>Computer Architecture &amp; Organization Part 1 : Cache Memory</v>
      </c>
    </row>
    <row r="1031">
      <c r="A1031" s="140" t="str">
        <f>IFERROR(__xludf.DUMMYFUNCTION("""COMPUTED_VALUE"""),"en")</f>
        <v>en</v>
      </c>
      <c r="B1031">
        <f>IFERROR(__xludf.DUMMYFUNCTION("""COMPUTED_VALUE"""),685910.0)</f>
        <v>685910</v>
      </c>
      <c r="C1031" t="str">
        <f>IFERROR(__xludf.DUMMYFUNCTION("""COMPUTED_VALUE"""),"Perfect Your German: Tips &amp; Tricks to Avoid Common Mistakes")</f>
        <v>Perfect Your German: Tips &amp; Tricks to Avoid Common Mistakes</v>
      </c>
    </row>
    <row r="1032">
      <c r="A1032" s="140" t="str">
        <f>IFERROR(__xludf.DUMMYFUNCTION("""COMPUTED_VALUE"""),"fr")</f>
        <v>fr</v>
      </c>
      <c r="B1032">
        <f>IFERROR(__xludf.DUMMYFUNCTION("""COMPUTED_VALUE"""),3181220.0)</f>
        <v>3181220</v>
      </c>
      <c r="C1032" t="str">
        <f>IFERROR(__xludf.DUMMYFUNCTION("""COMPUTED_VALUE"""),"Formation Unity et C# : Développeur de jeux vidéo (2022)")</f>
        <v>Formation Unity et C# : Développeur de jeux vidéo (2022)</v>
      </c>
    </row>
    <row r="1033">
      <c r="A1033" s="140" t="str">
        <f>IFERROR(__xludf.DUMMYFUNCTION("""COMPUTED_VALUE"""),"en")</f>
        <v>en</v>
      </c>
      <c r="B1033">
        <f>IFERROR(__xludf.DUMMYFUNCTION("""COMPUTED_VALUE"""),2645068.0)</f>
        <v>2645068</v>
      </c>
      <c r="C1033" t="str">
        <f>IFERROR(__xludf.DUMMYFUNCTION("""COMPUTED_VALUE"""),"Abaqus CAE : Learn Static and Dynamic Analysis")</f>
        <v>Abaqus CAE : Learn Static and Dynamic Analysis</v>
      </c>
    </row>
    <row r="1034">
      <c r="A1034" s="140" t="str">
        <f>IFERROR(__xludf.DUMMYFUNCTION("""COMPUTED_VALUE"""),"pt")</f>
        <v>pt</v>
      </c>
      <c r="B1034">
        <f>IFERROR(__xludf.DUMMYFUNCTION("""COMPUTED_VALUE"""),3899824.0)</f>
        <v>3899824</v>
      </c>
      <c r="C1034" t="str">
        <f>IFERROR(__xludf.DUMMYFUNCTION("""COMPUTED_VALUE"""),"Certificação Google Cloud Associate Engineer (GCP) + Bonus")</f>
        <v>Certificação Google Cloud Associate Engineer (GCP) + Bonus</v>
      </c>
    </row>
    <row r="1035">
      <c r="A1035" s="140" t="str">
        <f>IFERROR(__xludf.DUMMYFUNCTION("""COMPUTED_VALUE"""),"es")</f>
        <v>es</v>
      </c>
      <c r="B1035">
        <f>IFERROR(__xludf.DUMMYFUNCTION("""COMPUTED_VALUE"""),900338.0)</f>
        <v>900338</v>
      </c>
      <c r="C1035" t="str">
        <f>IFERROR(__xludf.DUMMYFUNCTION("""COMPUTED_VALUE"""),"Esculpido Orgánico Digital con ZBrush")</f>
        <v>Esculpido Orgánico Digital con ZBrush</v>
      </c>
    </row>
    <row r="1036">
      <c r="A1036" s="140" t="str">
        <f>IFERROR(__xludf.DUMMYFUNCTION("""COMPUTED_VALUE"""),"pt")</f>
        <v>pt</v>
      </c>
      <c r="B1036">
        <f>IFERROR(__xludf.DUMMYFUNCTION("""COMPUTED_VALUE"""),1805784.0)</f>
        <v>1805784</v>
      </c>
      <c r="C1036" t="str">
        <f>IFERROR(__xludf.DUMMYFUNCTION("""COMPUTED_VALUE"""),"React Native: Desenvolva APPs Nativas para Android e iOS")</f>
        <v>React Native: Desenvolva APPs Nativas para Android e iOS</v>
      </c>
    </row>
    <row r="1037">
      <c r="A1037" s="140" t="str">
        <f>IFERROR(__xludf.DUMMYFUNCTION("""COMPUTED_VALUE"""),"en")</f>
        <v>en</v>
      </c>
      <c r="B1037">
        <f>IFERROR(__xludf.DUMMYFUNCTION("""COMPUTED_VALUE"""),2644586.0)</f>
        <v>2644586</v>
      </c>
      <c r="C1037" t="str">
        <f>IFERROR(__xludf.DUMMYFUNCTION("""COMPUTED_VALUE"""),"Tackling Snowflake Certification - Practice Questions")</f>
        <v>Tackling Snowflake Certification - Practice Questions</v>
      </c>
    </row>
    <row r="1038">
      <c r="A1038" s="140" t="str">
        <f>IFERROR(__xludf.DUMMYFUNCTION("""COMPUTED_VALUE"""),"fr")</f>
        <v>fr</v>
      </c>
      <c r="B1038">
        <f>IFERROR(__xludf.DUMMYFUNCTION("""COMPUTED_VALUE"""),1765870.0)</f>
        <v>1765870</v>
      </c>
      <c r="C1038" t="str">
        <f>IFERROR(__xludf.DUMMYFUNCTION("""COMPUTED_VALUE"""),"Intelligence Artificielle de A à Z")</f>
        <v>Intelligence Artificielle de A à Z</v>
      </c>
    </row>
    <row r="1039">
      <c r="A1039" s="140" t="str">
        <f>IFERROR(__xludf.DUMMYFUNCTION("""COMPUTED_VALUE"""),"es")</f>
        <v>es</v>
      </c>
      <c r="B1039">
        <f>IFERROR(__xludf.DUMMYFUNCTION("""COMPUTED_VALUE"""),2360128.0)</f>
        <v>2360128</v>
      </c>
      <c r="C1039" t="str">
        <f>IFERROR(__xludf.DUMMYFUNCTION("""COMPUTED_VALUE"""),"¡Destruye la procrastinación!")</f>
        <v>¡Destruye la procrastinación!</v>
      </c>
    </row>
    <row r="1040">
      <c r="A1040" s="140" t="str">
        <f>IFERROR(__xludf.DUMMYFUNCTION("""COMPUTED_VALUE"""),"tr")</f>
        <v>tr</v>
      </c>
      <c r="B1040">
        <f>IFERROR(__xludf.DUMMYFUNCTION("""COMPUTED_VALUE"""),2574858.0)</f>
        <v>2574858</v>
      </c>
      <c r="C1040" t="str">
        <f>IFERROR(__xludf.DUMMYFUNCTION("""COMPUTED_VALUE"""),".NET Core 3.0 &amp; C# 7 Backend Frontend Geliştirici Kursu - 1")</f>
        <v>.NET Core 3.0 &amp; C# 7 Backend Frontend Geliştirici Kursu - 1</v>
      </c>
    </row>
    <row r="1041">
      <c r="A1041" s="140" t="str">
        <f>IFERROR(__xludf.DUMMYFUNCTION("""COMPUTED_VALUE"""),"en")</f>
        <v>en</v>
      </c>
      <c r="B1041">
        <f>IFERROR(__xludf.DUMMYFUNCTION("""COMPUTED_VALUE"""),42651.0)</f>
        <v>42651</v>
      </c>
      <c r="C1041" t="str">
        <f>IFERROR(__xludf.DUMMYFUNCTION("""COMPUTED_VALUE"""),"Straddles and Strangles - Volatility moves in any direction")</f>
        <v>Straddles and Strangles - Volatility moves in any direction</v>
      </c>
    </row>
    <row r="1042">
      <c r="A1042" s="140" t="str">
        <f>IFERROR(__xludf.DUMMYFUNCTION("""COMPUTED_VALUE"""),"es")</f>
        <v>es</v>
      </c>
      <c r="B1042">
        <f>IFERROR(__xludf.DUMMYFUNCTION("""COMPUTED_VALUE"""),1928106.0)</f>
        <v>1928106</v>
      </c>
      <c r="C1042" t="str">
        <f>IFERROR(__xludf.DUMMYFUNCTION("""COMPUTED_VALUE"""),"Seguridad Informática para Principiantes. Empieza desde 0 Ya")</f>
        <v>Seguridad Informática para Principiantes. Empieza desde 0 Ya</v>
      </c>
    </row>
    <row r="1043">
      <c r="A1043" s="140" t="str">
        <f>IFERROR(__xludf.DUMMYFUNCTION("""COMPUTED_VALUE"""),"es")</f>
        <v>es</v>
      </c>
      <c r="B1043">
        <f>IFERROR(__xludf.DUMMYFUNCTION("""COMPUTED_VALUE"""),1113090.0)</f>
        <v>1113090</v>
      </c>
      <c r="C1043" t="str">
        <f>IFERROR(__xludf.DUMMYFUNCTION("""COMPUTED_VALUE"""),"Curso de programación C# SQL SERVER para principiantes")</f>
        <v>Curso de programación C# SQL SERVER para principiantes</v>
      </c>
    </row>
    <row r="1044">
      <c r="A1044" s="140" t="str">
        <f>IFERROR(__xludf.DUMMYFUNCTION("""COMPUTED_VALUE"""),"en")</f>
        <v>en</v>
      </c>
      <c r="B1044">
        <f>IFERROR(__xludf.DUMMYFUNCTION("""COMPUTED_VALUE"""),2334384.0)</f>
        <v>2334384</v>
      </c>
      <c r="C1044" t="str">
        <f>IFERROR(__xludf.DUMMYFUNCTION("""COMPUTED_VALUE"""),"Product Management A-Z™: A Hands-On, Real-World Simulation")</f>
        <v>Product Management A-Z™: A Hands-On, Real-World Simulation</v>
      </c>
    </row>
    <row r="1045">
      <c r="A1045" s="140" t="str">
        <f>IFERROR(__xludf.DUMMYFUNCTION("""COMPUTED_VALUE"""),"ja")</f>
        <v>ja</v>
      </c>
      <c r="B1045">
        <f>IFERROR(__xludf.DUMMYFUNCTION("""COMPUTED_VALUE"""),3670836.0)</f>
        <v>3670836</v>
      </c>
      <c r="C1045" t="str">
        <f>IFERROR(__xludf.DUMMYFUNCTION("""COMPUTED_VALUE"""),"3日間でTwitterのフォロワーを2,326人増やした技術【広告未使用・フォローバックなし】")</f>
        <v>3日間でTwitterのフォロワーを2,326人増やした技術【広告未使用・フォローバックなし】</v>
      </c>
    </row>
    <row r="1046">
      <c r="A1046" s="140" t="str">
        <f>IFERROR(__xludf.DUMMYFUNCTION("""COMPUTED_VALUE"""),"de")</f>
        <v>de</v>
      </c>
      <c r="B1046">
        <f>IFERROR(__xludf.DUMMYFUNCTION("""COMPUTED_VALUE"""),3132646.0)</f>
        <v>3132646</v>
      </c>
      <c r="C1046" t="str">
        <f>IFERROR(__xludf.DUMMYFUNCTION("""COMPUTED_VALUE"""),"Status beherrschen – gewinne mehr Respekt und Ansehen.")</f>
        <v>Status beherrschen – gewinne mehr Respekt und Ansehen.</v>
      </c>
    </row>
    <row r="1047">
      <c r="A1047" s="140" t="str">
        <f>IFERROR(__xludf.DUMMYFUNCTION("""COMPUTED_VALUE"""),"en")</f>
        <v>en</v>
      </c>
      <c r="B1047">
        <f>IFERROR(__xludf.DUMMYFUNCTION("""COMPUTED_VALUE"""),726506.0)</f>
        <v>726506</v>
      </c>
      <c r="C1047" t="str">
        <f>IFERROR(__xludf.DUMMYFUNCTION("""COMPUTED_VALUE"""),"Spanish Made Simple: Beginner Spanish")</f>
        <v>Spanish Made Simple: Beginner Spanish</v>
      </c>
    </row>
    <row r="1048">
      <c r="A1048" s="140" t="str">
        <f>IFERROR(__xludf.DUMMYFUNCTION("""COMPUTED_VALUE"""),"en")</f>
        <v>en</v>
      </c>
      <c r="B1048">
        <f>IFERROR(__xludf.DUMMYFUNCTION("""COMPUTED_VALUE"""),133428.0)</f>
        <v>133428</v>
      </c>
      <c r="C1048" t="str">
        <f>IFERROR(__xludf.DUMMYFUNCTION("""COMPUTED_VALUE"""),"Accounting: From Beginner to Advanced!")</f>
        <v>Accounting: From Beginner to Advanced!</v>
      </c>
    </row>
    <row r="1049">
      <c r="A1049" s="140" t="str">
        <f>IFERROR(__xludf.DUMMYFUNCTION("""COMPUTED_VALUE"""),"de")</f>
        <v>de</v>
      </c>
      <c r="B1049">
        <f>IFERROR(__xludf.DUMMYFUNCTION("""COMPUTED_VALUE"""),3858476.0)</f>
        <v>3858476</v>
      </c>
      <c r="C1049" t="str">
        <f>IFERROR(__xludf.DUMMYFUNCTION("""COMPUTED_VALUE"""),"Trainer für Progressive Muskelentspannung nach Jacobsen")</f>
        <v>Trainer für Progressive Muskelentspannung nach Jacobsen</v>
      </c>
    </row>
    <row r="1050">
      <c r="A1050" s="140" t="str">
        <f>IFERROR(__xludf.DUMMYFUNCTION("""COMPUTED_VALUE"""),"ar")</f>
        <v>ar</v>
      </c>
      <c r="B1050">
        <f>IFERROR(__xludf.DUMMYFUNCTION("""COMPUTED_VALUE"""),1855428.0)</f>
        <v>1855428</v>
      </c>
      <c r="C1050" t="str">
        <f>IFERROR(__xludf.DUMMYFUNCTION("""COMPUTED_VALUE"""),"دورة التصميم الجرافيكي المحترف كوريل بالعربية")</f>
        <v>دورة التصميم الجرافيكي المحترف كوريل بالعربية</v>
      </c>
    </row>
    <row r="1051">
      <c r="A1051" s="140" t="str">
        <f>IFERROR(__xludf.DUMMYFUNCTION("""COMPUTED_VALUE"""),"pt")</f>
        <v>pt</v>
      </c>
      <c r="B1051">
        <f>IFERROR(__xludf.DUMMYFUNCTION("""COMPUTED_VALUE"""),2873764.0)</f>
        <v>2873764</v>
      </c>
      <c r="C1051" t="str">
        <f>IFERROR(__xludf.DUMMYFUNCTION("""COMPUTED_VALUE"""),"Projeto Completo:  XD, NodeJs, MongoDB, React Native e React")</f>
        <v>Projeto Completo:  XD, NodeJs, MongoDB, React Native e React</v>
      </c>
    </row>
    <row r="1052">
      <c r="A1052" s="140" t="str">
        <f>IFERROR(__xludf.DUMMYFUNCTION("""COMPUTED_VALUE"""),"en")</f>
        <v>en</v>
      </c>
      <c r="B1052">
        <f>IFERROR(__xludf.DUMMYFUNCTION("""COMPUTED_VALUE"""),1299854.0)</f>
        <v>1299854</v>
      </c>
      <c r="C1052" t="str">
        <f>IFERROR(__xludf.DUMMYFUNCTION("""COMPUTED_VALUE"""),"Understanding Confluence for users, managers and admins")</f>
        <v>Understanding Confluence for users, managers and admins</v>
      </c>
    </row>
    <row r="1053">
      <c r="A1053" s="140" t="str">
        <f>IFERROR(__xludf.DUMMYFUNCTION("""COMPUTED_VALUE"""),"pt")</f>
        <v>pt</v>
      </c>
      <c r="B1053">
        <f>IFERROR(__xludf.DUMMYFUNCTION("""COMPUTED_VALUE"""),1030206.0)</f>
        <v>1030206</v>
      </c>
      <c r="C1053" t="str">
        <f>IFERROR(__xludf.DUMMYFUNCTION("""COMPUTED_VALUE"""),"Certificação Scrum Master: Curso Preparatório COMPLETO")</f>
        <v>Certificação Scrum Master: Curso Preparatório COMPLETO</v>
      </c>
    </row>
    <row r="1054">
      <c r="A1054" s="140" t="str">
        <f>IFERROR(__xludf.DUMMYFUNCTION("""COMPUTED_VALUE"""),"en")</f>
        <v>en</v>
      </c>
      <c r="B1054">
        <f>IFERROR(__xludf.DUMMYFUNCTION("""COMPUTED_VALUE"""),1498158.0)</f>
        <v>1498158</v>
      </c>
      <c r="C1054" t="str">
        <f>IFERROR(__xludf.DUMMYFUNCTION("""COMPUTED_VALUE"""),"Time and Task Management: Time Management Techniques")</f>
        <v>Time and Task Management: Time Management Techniques</v>
      </c>
    </row>
    <row r="1055">
      <c r="A1055" s="140" t="str">
        <f>IFERROR(__xludf.DUMMYFUNCTION("""COMPUTED_VALUE"""),"ja")</f>
        <v>ja</v>
      </c>
      <c r="B1055">
        <f>IFERROR(__xludf.DUMMYFUNCTION("""COMPUTED_VALUE"""),1358625.0)</f>
        <v>1358625</v>
      </c>
      <c r="C1055" t="str">
        <f>IFERROR(__xludf.DUMMYFUNCTION("""COMPUTED_VALUE"""),"【 TensorFlow・Python3 で学ぶ】深層強化学習入門")</f>
        <v>【 TensorFlow・Python3 で学ぶ】深層強化学習入門</v>
      </c>
    </row>
    <row r="1056">
      <c r="A1056" s="140" t="str">
        <f>IFERROR(__xludf.DUMMYFUNCTION("""COMPUTED_VALUE"""),"es")</f>
        <v>es</v>
      </c>
      <c r="B1056">
        <f>IFERROR(__xludf.DUMMYFUNCTION("""COMPUTED_VALUE"""),1450594.0)</f>
        <v>1450594</v>
      </c>
      <c r="C1056" t="str">
        <f>IFERROR(__xludf.DUMMYFUNCTION("""COMPUTED_VALUE"""),"Master en Excel-De novato a profesional")</f>
        <v>Master en Excel-De novato a profesional</v>
      </c>
    </row>
    <row r="1057">
      <c r="A1057" s="140" t="str">
        <f>IFERROR(__xludf.DUMMYFUNCTION("""COMPUTED_VALUE"""),"en")</f>
        <v>en</v>
      </c>
      <c r="B1057">
        <f>IFERROR(__xludf.DUMMYFUNCTION("""COMPUTED_VALUE"""),719318.0)</f>
        <v>719318</v>
      </c>
      <c r="C1057" t="str">
        <f>IFERROR(__xludf.DUMMYFUNCTION("""COMPUTED_VALUE"""),"AutoCAD 2D and 3D practice drawings")</f>
        <v>AutoCAD 2D and 3D practice drawings</v>
      </c>
    </row>
    <row r="1058">
      <c r="A1058" s="140" t="str">
        <f>IFERROR(__xludf.DUMMYFUNCTION("""COMPUTED_VALUE"""),"es")</f>
        <v>es</v>
      </c>
      <c r="B1058">
        <f>IFERROR(__xludf.DUMMYFUNCTION("""COMPUTED_VALUE"""),1902716.0)</f>
        <v>1902716</v>
      </c>
      <c r="C1058" t="str">
        <f>IFERROR(__xludf.DUMMYFUNCTION("""COMPUTED_VALUE"""),"Desarrollo Web con Python usando Django  para Principiantes")</f>
        <v>Desarrollo Web con Python usando Django  para Principiantes</v>
      </c>
    </row>
    <row r="1059">
      <c r="A1059" s="140" t="str">
        <f>IFERROR(__xludf.DUMMYFUNCTION("""COMPUTED_VALUE"""),"fr")</f>
        <v>fr</v>
      </c>
      <c r="B1059">
        <f>IFERROR(__xludf.DUMMYFUNCTION("""COMPUTED_VALUE"""),3768748.0)</f>
        <v>3768748</v>
      </c>
      <c r="C1059" t="str">
        <f>IFERROR(__xludf.DUMMYFUNCTION("""COMPUTED_VALUE"""),"Formation complète Microsoft Excel et Language VBA (2 in 1)")</f>
        <v>Formation complète Microsoft Excel et Language VBA (2 in 1)</v>
      </c>
    </row>
    <row r="1060">
      <c r="A1060" s="140" t="str">
        <f>IFERROR(__xludf.DUMMYFUNCTION("""COMPUTED_VALUE"""),"en")</f>
        <v>en</v>
      </c>
      <c r="B1060">
        <f>IFERROR(__xludf.DUMMYFUNCTION("""COMPUTED_VALUE"""),1081714.0)</f>
        <v>1081714</v>
      </c>
      <c r="C1060" t="str">
        <f>IFERROR(__xludf.DUMMYFUNCTION("""COMPUTED_VALUE"""),"Drawing and Painting on the iPad with Procreate")</f>
        <v>Drawing and Painting on the iPad with Procreate</v>
      </c>
    </row>
    <row r="1061">
      <c r="A1061" s="140" t="str">
        <f>IFERROR(__xludf.DUMMYFUNCTION("""COMPUTED_VALUE"""),"fr")</f>
        <v>fr</v>
      </c>
      <c r="B1061">
        <f>IFERROR(__xludf.DUMMYFUNCTION("""COMPUTED_VALUE"""),2343838.0)</f>
        <v>2343838</v>
      </c>
      <c r="C1061" t="str">
        <f>IFERROR(__xludf.DUMMYFUNCTION("""COMPUTED_VALUE"""),"Développez votre intelligence émotionnelle")</f>
        <v>Développez votre intelligence émotionnelle</v>
      </c>
    </row>
    <row r="1062">
      <c r="A1062" s="140" t="str">
        <f>IFERROR(__xludf.DUMMYFUNCTION("""COMPUTED_VALUE"""),"ja")</f>
        <v>ja</v>
      </c>
      <c r="B1062">
        <f>IFERROR(__xludf.DUMMYFUNCTION("""COMPUTED_VALUE"""),2170164.0)</f>
        <v>2170164</v>
      </c>
      <c r="C1062" t="str">
        <f>IFERROR(__xludf.DUMMYFUNCTION("""COMPUTED_VALUE"""),"これだけでOK！ AWS 認定ソリューションアーキテクト – アソシエイト試験突破講座（SAA-C02試験対応版）")</f>
        <v>これだけでOK！ AWS 認定ソリューションアーキテクト – アソシエイト試験突破講座（SAA-C02試験対応版）</v>
      </c>
    </row>
    <row r="1063">
      <c r="A1063" s="140" t="str">
        <f>IFERROR(__xludf.DUMMYFUNCTION("""COMPUTED_VALUE"""),"en")</f>
        <v>en</v>
      </c>
      <c r="B1063">
        <f>IFERROR(__xludf.DUMMYFUNCTION("""COMPUTED_VALUE"""),3269698.0)</f>
        <v>3269698</v>
      </c>
      <c r="C1063" t="str">
        <f>IFERROR(__xludf.DUMMYFUNCTION("""COMPUTED_VALUE"""),"Spine PRO: A Complete 2D Character Animation Guide")</f>
        <v>Spine PRO: A Complete 2D Character Animation Guide</v>
      </c>
    </row>
    <row r="1064">
      <c r="A1064" s="140" t="str">
        <f>IFERROR(__xludf.DUMMYFUNCTION("""COMPUTED_VALUE"""),"en")</f>
        <v>en</v>
      </c>
      <c r="B1064">
        <f>IFERROR(__xludf.DUMMYFUNCTION("""COMPUTED_VALUE"""),1260482.0)</f>
        <v>1260482</v>
      </c>
      <c r="C1064" t="str">
        <f>IFERROR(__xludf.DUMMYFUNCTION("""COMPUTED_VALUE"""),"Design is in the Details:  How to Accessorize Like a Pro")</f>
        <v>Design is in the Details:  How to Accessorize Like a Pro</v>
      </c>
    </row>
    <row r="1065">
      <c r="A1065" s="140" t="str">
        <f>IFERROR(__xludf.DUMMYFUNCTION("""COMPUTED_VALUE"""),"ja")</f>
        <v>ja</v>
      </c>
      <c r="B1065">
        <f>IFERROR(__xludf.DUMMYFUNCTION("""COMPUTED_VALUE"""),1384612.0)</f>
        <v>1384612</v>
      </c>
      <c r="C1065" t="str">
        <f>IFERROR(__xludf.DUMMYFUNCTION("""COMPUTED_VALUE"""),"【Pythonで学ぶ】OpenCVでの画像処理入門")</f>
        <v>【Pythonで学ぶ】OpenCVでの画像処理入門</v>
      </c>
    </row>
    <row r="1066">
      <c r="A1066" s="140" t="str">
        <f>IFERROR(__xludf.DUMMYFUNCTION("""COMPUTED_VALUE"""),"en")</f>
        <v>en</v>
      </c>
      <c r="B1066">
        <f>IFERROR(__xludf.DUMMYFUNCTION("""COMPUTED_VALUE"""),289230.0)</f>
        <v>289230</v>
      </c>
      <c r="C1066" t="str">
        <f>IFERROR(__xludf.DUMMYFUNCTION("""COMPUTED_VALUE"""),"Learn and Understand AngularJS")</f>
        <v>Learn and Understand AngularJS</v>
      </c>
    </row>
    <row r="1067">
      <c r="A1067" s="140" t="str">
        <f>IFERROR(__xludf.DUMMYFUNCTION("""COMPUTED_VALUE"""),"en")</f>
        <v>en</v>
      </c>
      <c r="B1067">
        <f>IFERROR(__xludf.DUMMYFUNCTION("""COMPUTED_VALUE"""),354422.0)</f>
        <v>354422</v>
      </c>
      <c r="C1067" t="str">
        <f>IFERROR(__xludf.DUMMYFUNCTION("""COMPUTED_VALUE"""),"Eclipse IDE for Beginners: Increase Your Java Productivity")</f>
        <v>Eclipse IDE for Beginners: Increase Your Java Productivity</v>
      </c>
    </row>
    <row r="1068">
      <c r="A1068" s="140" t="str">
        <f>IFERROR(__xludf.DUMMYFUNCTION("""COMPUTED_VALUE"""),"fr")</f>
        <v>fr</v>
      </c>
      <c r="B1068">
        <f>IFERROR(__xludf.DUMMYFUNCTION("""COMPUTED_VALUE"""),3974192.0)</f>
        <v>3974192</v>
      </c>
      <c r="C1068" t="str">
        <f>IFERROR(__xludf.DUMMYFUNCTION("""COMPUTED_VALUE"""),"Des sites webs dynamiques avec Blazor en C# et .NET 5")</f>
        <v>Des sites webs dynamiques avec Blazor en C# et .NET 5</v>
      </c>
    </row>
    <row r="1069">
      <c r="A1069" s="140" t="str">
        <f>IFERROR(__xludf.DUMMYFUNCTION("""COMPUTED_VALUE"""),"es")</f>
        <v>es</v>
      </c>
      <c r="B1069">
        <f>IFERROR(__xludf.DUMMYFUNCTION("""COMPUTED_VALUE"""),493798.0)</f>
        <v>493798</v>
      </c>
      <c r="C1069" t="str">
        <f>IFERROR(__xludf.DUMMYFUNCTION("""COMPUTED_VALUE"""),"Marketing Digital: Secretos para Acelerar tus Ventas!")</f>
        <v>Marketing Digital: Secretos para Acelerar tus Ventas!</v>
      </c>
    </row>
    <row r="1070">
      <c r="A1070" s="140" t="str">
        <f>IFERROR(__xludf.DUMMYFUNCTION("""COMPUTED_VALUE"""),"es")</f>
        <v>es</v>
      </c>
      <c r="B1070">
        <f>IFERROR(__xludf.DUMMYFUNCTION("""COMPUTED_VALUE"""),2763948.0)</f>
        <v>2763948</v>
      </c>
      <c r="C1070" t="str">
        <f>IFERROR(__xludf.DUMMYFUNCTION("""COMPUTED_VALUE"""),"Gestión inteligente del tiempo (Productividad)")</f>
        <v>Gestión inteligente del tiempo (Productividad)</v>
      </c>
    </row>
    <row r="1071">
      <c r="A1071" s="140" t="str">
        <f>IFERROR(__xludf.DUMMYFUNCTION("""COMPUTED_VALUE"""),"en")</f>
        <v>en</v>
      </c>
      <c r="B1071">
        <f>IFERROR(__xludf.DUMMYFUNCTION("""COMPUTED_VALUE"""),466736.0)</f>
        <v>466736</v>
      </c>
      <c r="C1071" t="str">
        <f>IFERROR(__xludf.DUMMYFUNCTION("""COMPUTED_VALUE"""),"Stress Management: 40+ easy ways to deal with stress")</f>
        <v>Stress Management: 40+ easy ways to deal with stress</v>
      </c>
    </row>
    <row r="1072">
      <c r="A1072" s="140" t="str">
        <f>IFERROR(__xludf.DUMMYFUNCTION("""COMPUTED_VALUE"""),"en")</f>
        <v>en</v>
      </c>
      <c r="B1072">
        <f>IFERROR(__xludf.DUMMYFUNCTION("""COMPUTED_VALUE"""),65830.0)</f>
        <v>65830</v>
      </c>
      <c r="C1072" t="str">
        <f>IFERROR(__xludf.DUMMYFUNCTION("""COMPUTED_VALUE"""),"The Java Spring Tutorial: Learn Java's Popular Web Framework")</f>
        <v>The Java Spring Tutorial: Learn Java's Popular Web Framework</v>
      </c>
    </row>
    <row r="1073">
      <c r="A1073" s="140" t="str">
        <f>IFERROR(__xludf.DUMMYFUNCTION("""COMPUTED_VALUE"""),"en")</f>
        <v>en</v>
      </c>
      <c r="B1073">
        <f>IFERROR(__xludf.DUMMYFUNCTION("""COMPUTED_VALUE"""),3624936.0)</f>
        <v>3624936</v>
      </c>
      <c r="C1073" t="str">
        <f>IFERROR(__xludf.DUMMYFUNCTION("""COMPUTED_VALUE"""),"Complete Vue Mastery 2022 (w/ Vuex, Composition API, Router)")</f>
        <v>Complete Vue Mastery 2022 (w/ Vuex, Composition API, Router)</v>
      </c>
    </row>
    <row r="1074">
      <c r="A1074" s="140" t="str">
        <f>IFERROR(__xludf.DUMMYFUNCTION("""COMPUTED_VALUE"""),"en")</f>
        <v>en</v>
      </c>
      <c r="B1074">
        <f>IFERROR(__xludf.DUMMYFUNCTION("""COMPUTED_VALUE"""),975956.0)</f>
        <v>975956</v>
      </c>
      <c r="C1074" t="str">
        <f>IFERROR(__xludf.DUMMYFUNCTION("""COMPUTED_VALUE"""),"DevOps: CI/CD using AWS CodePipeline &amp; Elastic Beanstalk")</f>
        <v>DevOps: CI/CD using AWS CodePipeline &amp; Elastic Beanstalk</v>
      </c>
    </row>
    <row r="1075">
      <c r="A1075" s="140" t="str">
        <f>IFERROR(__xludf.DUMMYFUNCTION("""COMPUTED_VALUE"""),"es")</f>
        <v>es</v>
      </c>
      <c r="B1075">
        <f>IFERROR(__xludf.DUMMYFUNCTION("""COMPUTED_VALUE"""),1230710.0)</f>
        <v>1230710</v>
      </c>
      <c r="C1075" t="str">
        <f>IFERROR(__xludf.DUMMYFUNCTION("""COMPUTED_VALUE"""),"Estrategia de Negocio")</f>
        <v>Estrategia de Negocio</v>
      </c>
    </row>
    <row r="1076">
      <c r="A1076" s="140" t="str">
        <f>IFERROR(__xludf.DUMMYFUNCTION("""COMPUTED_VALUE"""),"en")</f>
        <v>en</v>
      </c>
      <c r="B1076">
        <f>IFERROR(__xludf.DUMMYFUNCTION("""COMPUTED_VALUE"""),2350762.0)</f>
        <v>2350762</v>
      </c>
      <c r="C1076" t="str">
        <f>IFERROR(__xludf.DUMMYFUNCTION("""COMPUTED_VALUE"""),"Snowflake Decoded - Fundamentals and hands on Training")</f>
        <v>Snowflake Decoded - Fundamentals and hands on Training</v>
      </c>
    </row>
    <row r="1077">
      <c r="A1077" s="140" t="str">
        <f>IFERROR(__xludf.DUMMYFUNCTION("""COMPUTED_VALUE"""),"en")</f>
        <v>en</v>
      </c>
      <c r="B1077">
        <f>IFERROR(__xludf.DUMMYFUNCTION("""COMPUTED_VALUE"""),909354.0)</f>
        <v>909354</v>
      </c>
      <c r="C1077" t="str">
        <f>IFERROR(__xludf.DUMMYFUNCTION("""COMPUTED_VALUE"""),"Business Analyst: Project Management Techniques and Tools")</f>
        <v>Business Analyst: Project Management Techniques and Tools</v>
      </c>
    </row>
    <row r="1078">
      <c r="A1078" s="140" t="str">
        <f>IFERROR(__xludf.DUMMYFUNCTION("""COMPUTED_VALUE"""),"es")</f>
        <v>es</v>
      </c>
      <c r="B1078">
        <f>IFERROR(__xludf.DUMMYFUNCTION("""COMPUTED_VALUE"""),552984.0)</f>
        <v>552984</v>
      </c>
      <c r="C1078" t="str">
        <f>IFERROR(__xludf.DUMMYFUNCTION("""COMPUTED_VALUE"""),"SPSS, se experto en análisis estadístico (basico-intermedio)")</f>
        <v>SPSS, se experto en análisis estadístico (basico-intermedio)</v>
      </c>
    </row>
    <row r="1079">
      <c r="A1079" s="140" t="str">
        <f>IFERROR(__xludf.DUMMYFUNCTION("""COMPUTED_VALUE"""),"en")</f>
        <v>en</v>
      </c>
      <c r="B1079">
        <f>IFERROR(__xludf.DUMMYFUNCTION("""COMPUTED_VALUE"""),982724.0)</f>
        <v>982724</v>
      </c>
      <c r="C1079" t="str">
        <f>IFERROR(__xludf.DUMMYFUNCTION("""COMPUTED_VALUE"""),"30 Day Challenge to a More Productive and Much Happier You!")</f>
        <v>30 Day Challenge to a More Productive and Much Happier You!</v>
      </c>
    </row>
    <row r="1080">
      <c r="A1080" s="140" t="str">
        <f>IFERROR(__xludf.DUMMYFUNCTION("""COMPUTED_VALUE"""),"en")</f>
        <v>en</v>
      </c>
      <c r="B1080">
        <f>IFERROR(__xludf.DUMMYFUNCTION("""COMPUTED_VALUE"""),3161274.0)</f>
        <v>3161274</v>
      </c>
      <c r="C1080" t="str">
        <f>IFERROR(__xludf.DUMMYFUNCTION("""COMPUTED_VALUE"""),"SQL and Data Visualization - The Complete Bootcamp")</f>
        <v>SQL and Data Visualization - The Complete Bootcamp</v>
      </c>
    </row>
    <row r="1081">
      <c r="A1081" s="140" t="str">
        <f>IFERROR(__xludf.DUMMYFUNCTION("""COMPUTED_VALUE"""),"zh")</f>
        <v>zh</v>
      </c>
      <c r="B1081">
        <f>IFERROR(__xludf.DUMMYFUNCTION("""COMPUTED_VALUE"""),2569624.0)</f>
        <v>2569624</v>
      </c>
      <c r="C1081" t="str">
        <f>IFERROR(__xludf.DUMMYFUNCTION("""COMPUTED_VALUE"""),"深度强化学习2.0 (Deep Reinforcement Learning 2.0)")</f>
        <v>深度强化学习2.0 (Deep Reinforcement Learning 2.0)</v>
      </c>
    </row>
    <row r="1082">
      <c r="A1082" s="140" t="str">
        <f>IFERROR(__xludf.DUMMYFUNCTION("""COMPUTED_VALUE"""),"fr")</f>
        <v>fr</v>
      </c>
      <c r="B1082">
        <f>IFERROR(__xludf.DUMMYFUNCTION("""COMPUTED_VALUE"""),4011494.0)</f>
        <v>4011494</v>
      </c>
      <c r="C1082" t="str">
        <f>IFERROR(__xludf.DUMMYFUNCTION("""COMPUTED_VALUE"""),"Cybersecurity - EBIOS Risk Manager")</f>
        <v>Cybersecurity - EBIOS Risk Manager</v>
      </c>
    </row>
    <row r="1083">
      <c r="A1083" s="140" t="str">
        <f>IFERROR(__xludf.DUMMYFUNCTION("""COMPUTED_VALUE"""),"en")</f>
        <v>en</v>
      </c>
      <c r="B1083">
        <f>IFERROR(__xludf.DUMMYFUNCTION("""COMPUTED_VALUE"""),1683326.0)</f>
        <v>1683326</v>
      </c>
      <c r="C1083" t="str">
        <f>IFERROR(__xludf.DUMMYFUNCTION("""COMPUTED_VALUE"""),"TOTAL: CompTIA Cloud+ (CV0-002): 3 FULL Practice Tests")</f>
        <v>TOTAL: CompTIA Cloud+ (CV0-002): 3 FULL Practice Tests</v>
      </c>
    </row>
    <row r="1084">
      <c r="A1084" s="140" t="str">
        <f>IFERROR(__xludf.DUMMYFUNCTION("""COMPUTED_VALUE"""),"en")</f>
        <v>en</v>
      </c>
      <c r="B1084">
        <f>IFERROR(__xludf.DUMMYFUNCTION("""COMPUTED_VALUE"""),1459330.0)</f>
        <v>1459330</v>
      </c>
      <c r="C1084" t="str">
        <f>IFERROR(__xludf.DUMMYFUNCTION("""COMPUTED_VALUE"""),"Application of WSH Policy")</f>
        <v>Application of WSH Policy</v>
      </c>
    </row>
    <row r="1085">
      <c r="A1085" s="140" t="str">
        <f>IFERROR(__xludf.DUMMYFUNCTION("""COMPUTED_VALUE"""),"fr")</f>
        <v>fr</v>
      </c>
      <c r="B1085">
        <f>IFERROR(__xludf.DUMMYFUNCTION("""COMPUTED_VALUE"""),1571092.0)</f>
        <v>1571092</v>
      </c>
      <c r="C1085" t="str">
        <f>IFERROR(__xludf.DUMMYFUNCTION("""COMPUTED_VALUE"""),"Ce que vous devez savoir AVANT d'apprendre la PROGRAMMATION")</f>
        <v>Ce que vous devez savoir AVANT d'apprendre la PROGRAMMATION</v>
      </c>
    </row>
    <row r="1086">
      <c r="A1086" s="140" t="str">
        <f>IFERROR(__xludf.DUMMYFUNCTION("""COMPUTED_VALUE"""),"en")</f>
        <v>en</v>
      </c>
      <c r="B1086">
        <f>IFERROR(__xludf.DUMMYFUNCTION("""COMPUTED_VALUE"""),1471444.0)</f>
        <v>1471444</v>
      </c>
      <c r="C1086" t="str">
        <f>IFERROR(__xludf.DUMMYFUNCTION("""COMPUTED_VALUE"""),"The Complete React Js &amp; Redux Course - Build Modern Web Apps")</f>
        <v>The Complete React Js &amp; Redux Course - Build Modern Web Apps</v>
      </c>
    </row>
    <row r="1087">
      <c r="A1087" s="140" t="str">
        <f>IFERROR(__xludf.DUMMYFUNCTION("""COMPUTED_VALUE"""),"en")</f>
        <v>en</v>
      </c>
      <c r="B1087">
        <f>IFERROR(__xludf.DUMMYFUNCTION("""COMPUTED_VALUE"""),3398710.0)</f>
        <v>3398710</v>
      </c>
      <c r="C1087" t="str">
        <f>IFERROR(__xludf.DUMMYFUNCTION("""COMPUTED_VALUE"""),"Mindfulness Teacher Training Certificate")</f>
        <v>Mindfulness Teacher Training Certificate</v>
      </c>
    </row>
    <row r="1088">
      <c r="A1088" s="140" t="str">
        <f>IFERROR(__xludf.DUMMYFUNCTION("""COMPUTED_VALUE"""),"en")</f>
        <v>en</v>
      </c>
      <c r="B1088">
        <f>IFERROR(__xludf.DUMMYFUNCTION("""COMPUTED_VALUE"""),1661690.0)</f>
        <v>1661690</v>
      </c>
      <c r="C1088" t="str">
        <f>IFERROR(__xludf.DUMMYFUNCTION("""COMPUTED_VALUE"""),"Customer Success: How to Reduce Churn and Increase Retention")</f>
        <v>Customer Success: How to Reduce Churn and Increase Retention</v>
      </c>
    </row>
    <row r="1089">
      <c r="A1089" s="140" t="str">
        <f>IFERROR(__xludf.DUMMYFUNCTION("""COMPUTED_VALUE"""),"es")</f>
        <v>es</v>
      </c>
      <c r="B1089">
        <f>IFERROR(__xludf.DUMMYFUNCTION("""COMPUTED_VALUE"""),3062026.0)</f>
        <v>3062026</v>
      </c>
      <c r="C1089" t="str">
        <f>IFERROR(__xludf.DUMMYFUNCTION("""COMPUTED_VALUE"""),"Domina Laravel y Crea Aplicaciones de Alto Nivel con Laravel")</f>
        <v>Domina Laravel y Crea Aplicaciones de Alto Nivel con Laravel</v>
      </c>
    </row>
    <row r="1090">
      <c r="A1090" s="140" t="str">
        <f>IFERROR(__xludf.DUMMYFUNCTION("""COMPUTED_VALUE"""),"en")</f>
        <v>en</v>
      </c>
      <c r="B1090">
        <f>IFERROR(__xludf.DUMMYFUNCTION("""COMPUTED_VALUE"""),2934016.0)</f>
        <v>2934016</v>
      </c>
      <c r="C1090" t="str">
        <f>IFERROR(__xludf.DUMMYFUNCTION("""COMPUTED_VALUE"""),"ASP.NET Core API and Blazor (WASM and Server) Development")</f>
        <v>ASP.NET Core API and Blazor (WASM and Server) Development</v>
      </c>
    </row>
    <row r="1091">
      <c r="A1091" s="140" t="str">
        <f>IFERROR(__xludf.DUMMYFUNCTION("""COMPUTED_VALUE"""),"en")</f>
        <v>en</v>
      </c>
      <c r="B1091">
        <f>IFERROR(__xludf.DUMMYFUNCTION("""COMPUTED_VALUE"""),483692.0)</f>
        <v>483692</v>
      </c>
      <c r="C1091" t="str">
        <f>IFERROR(__xludf.DUMMYFUNCTION("""COMPUTED_VALUE"""),"Be Approachable &amp; Coach as a Manager")</f>
        <v>Be Approachable &amp; Coach as a Manager</v>
      </c>
    </row>
    <row r="1092">
      <c r="A1092" s="140" t="str">
        <f>IFERROR(__xludf.DUMMYFUNCTION("""COMPUTED_VALUE"""),"en")</f>
        <v>en</v>
      </c>
      <c r="B1092">
        <f>IFERROR(__xludf.DUMMYFUNCTION("""COMPUTED_VALUE"""),2554557.0)</f>
        <v>2554557</v>
      </c>
      <c r="C1092" t="str">
        <f>IFERROR(__xludf.DUMMYFUNCTION("""COMPUTED_VALUE"""),"Advanced SQL: MySQL Data Analysis &amp; Business Intelligence")</f>
        <v>Advanced SQL: MySQL Data Analysis &amp; Business Intelligence</v>
      </c>
    </row>
    <row r="1093">
      <c r="A1093" s="140" t="str">
        <f>IFERROR(__xludf.DUMMYFUNCTION("""COMPUTED_VALUE"""),"en")</f>
        <v>en</v>
      </c>
      <c r="B1093">
        <f>IFERROR(__xludf.DUMMYFUNCTION("""COMPUTED_VALUE"""),1163956.0)</f>
        <v>1163956</v>
      </c>
      <c r="C1093" t="str">
        <f>IFERROR(__xludf.DUMMYFUNCTION("""COMPUTED_VALUE"""),"The Complete Ethical Hacker Certification Exam Prep Course")</f>
        <v>The Complete Ethical Hacker Certification Exam Prep Course</v>
      </c>
    </row>
    <row r="1094">
      <c r="A1094" s="140" t="str">
        <f>IFERROR(__xludf.DUMMYFUNCTION("""COMPUTED_VALUE"""),"pt")</f>
        <v>pt</v>
      </c>
      <c r="B1094">
        <f>IFERROR(__xludf.DUMMYFUNCTION("""COMPUTED_VALUE"""),2132906.0)</f>
        <v>2132906</v>
      </c>
      <c r="C1094" t="str">
        <f>IFERROR(__xludf.DUMMYFUNCTION("""COMPUTED_VALUE"""),"Certificação Scrum Product Owner: Preparatório COMPLETO")</f>
        <v>Certificação Scrum Product Owner: Preparatório COMPLETO</v>
      </c>
    </row>
    <row r="1095">
      <c r="A1095" s="140" t="str">
        <f>IFERROR(__xludf.DUMMYFUNCTION("""COMPUTED_VALUE"""),"es")</f>
        <v>es</v>
      </c>
      <c r="B1095">
        <f>IFERROR(__xludf.DUMMYFUNCTION("""COMPUTED_VALUE"""),3337046.0)</f>
        <v>3337046</v>
      </c>
      <c r="C1095" t="str">
        <f>IFERROR(__xludf.DUMMYFUNCTION("""COMPUTED_VALUE"""),"Analista de datos con Power BI Certificado por Microsoft")</f>
        <v>Analista de datos con Power BI Certificado por Microsoft</v>
      </c>
    </row>
    <row r="1096">
      <c r="A1096" s="140" t="str">
        <f>IFERROR(__xludf.DUMMYFUNCTION("""COMPUTED_VALUE"""),"en")</f>
        <v>en</v>
      </c>
      <c r="B1096">
        <f>IFERROR(__xludf.DUMMYFUNCTION("""COMPUTED_VALUE"""),2231916.0)</f>
        <v>2231916</v>
      </c>
      <c r="C1096" t="str">
        <f>IFERROR(__xludf.DUMMYFUNCTION("""COMPUTED_VALUE"""),"Build a Data Analysis Library from Scratch in Python")</f>
        <v>Build a Data Analysis Library from Scratch in Python</v>
      </c>
    </row>
    <row r="1097">
      <c r="A1097" s="140" t="str">
        <f>IFERROR(__xludf.DUMMYFUNCTION("""COMPUTED_VALUE"""),"es")</f>
        <v>es</v>
      </c>
      <c r="B1097">
        <f>IFERROR(__xludf.DUMMYFUNCTION("""COMPUTED_VALUE"""),1895692.0)</f>
        <v>1895692</v>
      </c>
      <c r="C1097" t="str">
        <f>IFERROR(__xludf.DUMMYFUNCTION("""COMPUTED_VALUE"""),"C# Programación Orientada a Objetos")</f>
        <v>C# Programación Orientada a Objetos</v>
      </c>
    </row>
    <row r="1098">
      <c r="A1098" s="140" t="str">
        <f>IFERROR(__xludf.DUMMYFUNCTION("""COMPUTED_VALUE"""),"en")</f>
        <v>en</v>
      </c>
      <c r="B1098">
        <f>IFERROR(__xludf.DUMMYFUNCTION("""COMPUTED_VALUE"""),1439744.0)</f>
        <v>1439744</v>
      </c>
      <c r="C1098" t="str">
        <f>IFERROR(__xludf.DUMMYFUNCTION("""COMPUTED_VALUE"""),"React For The Rest Of Us")</f>
        <v>React For The Rest Of Us</v>
      </c>
    </row>
    <row r="1099">
      <c r="A1099" s="140" t="str">
        <f>IFERROR(__xludf.DUMMYFUNCTION("""COMPUTED_VALUE"""),"pt")</f>
        <v>pt</v>
      </c>
      <c r="B1099">
        <f>IFERROR(__xludf.DUMMYFUNCTION("""COMPUTED_VALUE"""),969548.0)</f>
        <v>969548</v>
      </c>
      <c r="C1099" t="str">
        <f>IFERROR(__xludf.DUMMYFUNCTION("""COMPUTED_VALUE"""),"Orientação a Objetos com Java")</f>
        <v>Orientação a Objetos com Java</v>
      </c>
    </row>
    <row r="1100">
      <c r="A1100" s="140" t="str">
        <f>IFERROR(__xludf.DUMMYFUNCTION("""COMPUTED_VALUE"""),"en")</f>
        <v>en</v>
      </c>
      <c r="B1100">
        <f>IFERROR(__xludf.DUMMYFUNCTION("""COMPUTED_VALUE"""),2323926.0)</f>
        <v>2323926</v>
      </c>
      <c r="C1100" t="str">
        <f>IFERROR(__xludf.DUMMYFUNCTION("""COMPUTED_VALUE"""),"Write Like a Boss: Master Your Business Writing Skills")</f>
        <v>Write Like a Boss: Master Your Business Writing Skills</v>
      </c>
    </row>
    <row r="1101">
      <c r="A1101" s="140" t="str">
        <f>IFERROR(__xludf.DUMMYFUNCTION("""COMPUTED_VALUE"""),"pt")</f>
        <v>pt</v>
      </c>
      <c r="B1101">
        <f>IFERROR(__xludf.DUMMYFUNCTION("""COMPUTED_VALUE"""),3269358.0)</f>
        <v>3269358</v>
      </c>
      <c r="C1101" t="str">
        <f>IFERROR(__xludf.DUMMYFUNCTION("""COMPUTED_VALUE"""),"Como estruturar a área de Customer Success do zero")</f>
        <v>Como estruturar a área de Customer Success do zero</v>
      </c>
    </row>
    <row r="1102">
      <c r="A1102" s="140" t="str">
        <f>IFERROR(__xludf.DUMMYFUNCTION("""COMPUTED_VALUE"""),"ko")</f>
        <v>ko</v>
      </c>
      <c r="B1102">
        <f>IFERROR(__xludf.DUMMYFUNCTION("""COMPUTED_VALUE"""),2826231.0)</f>
        <v>2826231</v>
      </c>
      <c r="C1102" t="str">
        <f>IFERROR(__xludf.DUMMYFUNCTION("""COMPUTED_VALUE"""),"Django(장고) 프레임워크로 주식 검색 웹 만들기")</f>
        <v>Django(장고) 프레임워크로 주식 검색 웹 만들기</v>
      </c>
    </row>
    <row r="1103">
      <c r="A1103" s="140" t="str">
        <f>IFERROR(__xludf.DUMMYFUNCTION("""COMPUTED_VALUE"""),"pt")</f>
        <v>pt</v>
      </c>
      <c r="B1103">
        <f>IFERROR(__xludf.DUMMYFUNCTION("""COMPUTED_VALUE"""),2017662.0)</f>
        <v>2017662</v>
      </c>
      <c r="C1103" t="str">
        <f>IFERROR(__xludf.DUMMYFUNCTION("""COMPUTED_VALUE"""),"Curso básico francês em francês 1: aprenda com aulas online")</f>
        <v>Curso básico francês em francês 1: aprenda com aulas online</v>
      </c>
    </row>
    <row r="1104">
      <c r="A1104" s="140" t="str">
        <f>IFERROR(__xludf.DUMMYFUNCTION("""COMPUTED_VALUE"""),"tr")</f>
        <v>tr</v>
      </c>
      <c r="B1104">
        <f>IFERROR(__xludf.DUMMYFUNCTION("""COMPUTED_VALUE"""),2151560.0)</f>
        <v>2151560</v>
      </c>
      <c r="C1104" t="str">
        <f>IFERROR(__xludf.DUMMYFUNCTION("""COMPUTED_VALUE"""),"Asp.NET MVC Yönetim Panelli Kurumsal Web Sitesi Eğitimi")</f>
        <v>Asp.NET MVC Yönetim Panelli Kurumsal Web Sitesi Eğitimi</v>
      </c>
    </row>
    <row r="1105">
      <c r="A1105" s="140" t="str">
        <f>IFERROR(__xludf.DUMMYFUNCTION("""COMPUTED_VALUE"""),"en")</f>
        <v>en</v>
      </c>
      <c r="B1105">
        <f>IFERROR(__xludf.DUMMYFUNCTION("""COMPUTED_VALUE"""),1034284.0)</f>
        <v>1034284</v>
      </c>
      <c r="C1105" t="str">
        <f>IFERROR(__xludf.DUMMYFUNCTION("""COMPUTED_VALUE"""),"Practice Python with 100 Python Exercises")</f>
        <v>Practice Python with 100 Python Exercises</v>
      </c>
    </row>
    <row r="1106">
      <c r="A1106" s="140" t="str">
        <f>IFERROR(__xludf.DUMMYFUNCTION("""COMPUTED_VALUE"""),"es")</f>
        <v>es</v>
      </c>
      <c r="B1106">
        <f>IFERROR(__xludf.DUMMYFUNCTION("""COMPUTED_VALUE"""),1146812.0)</f>
        <v>1146812</v>
      </c>
      <c r="C1106" t="str">
        <f>IFERROR(__xludf.DUMMYFUNCTION("""COMPUTED_VALUE"""),"SAP ABAP completo en Español")</f>
        <v>SAP ABAP completo en Español</v>
      </c>
    </row>
    <row r="1107">
      <c r="A1107" s="140" t="str">
        <f>IFERROR(__xludf.DUMMYFUNCTION("""COMPUTED_VALUE"""),"tr")</f>
        <v>tr</v>
      </c>
      <c r="B1107">
        <f>IFERROR(__xludf.DUMMYFUNCTION("""COMPUTED_VALUE"""),3309230.0)</f>
        <v>3309230</v>
      </c>
      <c r="C1107" t="str">
        <f>IFERROR(__xludf.DUMMYFUNCTION("""COMPUTED_VALUE"""),"(25+Saat) C |Sıfırdan İleri Seviyeye Uygulamalı Programlama")</f>
        <v>(25+Saat) C |Sıfırdan İleri Seviyeye Uygulamalı Programlama</v>
      </c>
    </row>
    <row r="1108">
      <c r="A1108" s="140" t="str">
        <f>IFERROR(__xludf.DUMMYFUNCTION("""COMPUTED_VALUE"""),"en")</f>
        <v>en</v>
      </c>
      <c r="B1108">
        <f>IFERROR(__xludf.DUMMYFUNCTION("""COMPUTED_VALUE"""),1459818.0)</f>
        <v>1459818</v>
      </c>
      <c r="C1108" t="str">
        <f>IFERROR(__xludf.DUMMYFUNCTION("""COMPUTED_VALUE"""),"Leading Virtual Teams - A Quick Course")</f>
        <v>Leading Virtual Teams - A Quick Course</v>
      </c>
    </row>
    <row r="1109">
      <c r="A1109" s="140" t="str">
        <f>IFERROR(__xludf.DUMMYFUNCTION("""COMPUTED_VALUE"""),"ja")</f>
        <v>ja</v>
      </c>
      <c r="B1109">
        <f>IFERROR(__xludf.DUMMYFUNCTION("""COMPUTED_VALUE"""),2036472.0)</f>
        <v>2036472</v>
      </c>
      <c r="C1109" t="str">
        <f>IFERROR(__xludf.DUMMYFUNCTION("""COMPUTED_VALUE"""),"【Apple mac版】 マイクロソフトオフィス『エクセル』『パワーポイント』『ワード』をイチから学ぼう！初心者向け講座")</f>
        <v>【Apple mac版】 マイクロソフトオフィス『エクセル』『パワーポイント』『ワード』をイチから学ぼう！初心者向け講座</v>
      </c>
    </row>
    <row r="1110">
      <c r="A1110" s="140" t="str">
        <f>IFERROR(__xludf.DUMMYFUNCTION("""COMPUTED_VALUE"""),"tr")</f>
        <v>tr</v>
      </c>
      <c r="B1110">
        <f>IFERROR(__xludf.DUMMYFUNCTION("""COMPUTED_VALUE"""),1958398.0)</f>
        <v>1958398</v>
      </c>
      <c r="C1110" t="str">
        <f>IFERROR(__xludf.DUMMYFUNCTION("""COMPUTED_VALUE"""),"Mali Tablolar Analizi Nasıl Yapılır?")</f>
        <v>Mali Tablolar Analizi Nasıl Yapılır?</v>
      </c>
    </row>
    <row r="1111">
      <c r="A1111" s="140" t="str">
        <f>IFERROR(__xludf.DUMMYFUNCTION("""COMPUTED_VALUE"""),"tr")</f>
        <v>tr</v>
      </c>
      <c r="B1111">
        <f>IFERROR(__xludf.DUMMYFUNCTION("""COMPUTED_VALUE"""),3663868.0)</f>
        <v>3663868</v>
      </c>
      <c r="C1111" t="str">
        <f>IFERROR(__xludf.DUMMYFUNCTION("""COMPUTED_VALUE"""),"Key for YDS/ YÖKDİL - Temel 1")</f>
        <v>Key for YDS/ YÖKDİL - Temel 1</v>
      </c>
    </row>
    <row r="1112">
      <c r="A1112" s="140" t="str">
        <f>IFERROR(__xludf.DUMMYFUNCTION("""COMPUTED_VALUE"""),"en")</f>
        <v>en</v>
      </c>
      <c r="B1112">
        <f>IFERROR(__xludf.DUMMYFUNCTION("""COMPUTED_VALUE"""),1384764.0)</f>
        <v>1384764</v>
      </c>
      <c r="C1112" t="str">
        <f>IFERROR(__xludf.DUMMYFUNCTION("""COMPUTED_VALUE"""),"Building Structures in Italian - Structure 2")</f>
        <v>Building Structures in Italian - Structure 2</v>
      </c>
    </row>
    <row r="1113">
      <c r="A1113" s="140" t="str">
        <f>IFERROR(__xludf.DUMMYFUNCTION("""COMPUTED_VALUE"""),"en")</f>
        <v>en</v>
      </c>
      <c r="B1113">
        <f>IFERROR(__xludf.DUMMYFUNCTION("""COMPUTED_VALUE"""),1110904.0)</f>
        <v>1110904</v>
      </c>
      <c r="C1113" t="str">
        <f>IFERROR(__xludf.DUMMYFUNCTION("""COMPUTED_VALUE"""),"Complete Filmmaker Guide: Become an Incredible Video Creator")</f>
        <v>Complete Filmmaker Guide: Become an Incredible Video Creator</v>
      </c>
    </row>
    <row r="1114">
      <c r="A1114" s="140" t="str">
        <f>IFERROR(__xludf.DUMMYFUNCTION("""COMPUTED_VALUE"""),"en")</f>
        <v>en</v>
      </c>
      <c r="B1114">
        <f>IFERROR(__xludf.DUMMYFUNCTION("""COMPUTED_VALUE"""),317166.0)</f>
        <v>317166</v>
      </c>
      <c r="C1114" t="str">
        <f>IFERROR(__xludf.DUMMYFUNCTION("""COMPUTED_VALUE"""),"Greek for Beginners. The complete Method. Level 1 Part 1")</f>
        <v>Greek for Beginners. The complete Method. Level 1 Part 1</v>
      </c>
    </row>
    <row r="1115">
      <c r="A1115" s="140" t="str">
        <f>IFERROR(__xludf.DUMMYFUNCTION("""COMPUTED_VALUE"""),"pt")</f>
        <v>pt</v>
      </c>
      <c r="B1115">
        <f>IFERROR(__xludf.DUMMYFUNCTION("""COMPUTED_VALUE"""),1529576.0)</f>
        <v>1529576</v>
      </c>
      <c r="C1115" t="str">
        <f>IFERROR(__xludf.DUMMYFUNCTION("""COMPUTED_VALUE"""),"Curso Completo Criar Sites com Design Profissional WordPress")</f>
        <v>Curso Completo Criar Sites com Design Profissional WordPress</v>
      </c>
    </row>
    <row r="1116">
      <c r="A1116" s="140" t="str">
        <f>IFERROR(__xludf.DUMMYFUNCTION("""COMPUTED_VALUE"""),"ar")</f>
        <v>ar</v>
      </c>
      <c r="B1116">
        <f>IFERROR(__xludf.DUMMYFUNCTION("""COMPUTED_VALUE"""),2857856.0)</f>
        <v>2857856</v>
      </c>
      <c r="C1116" t="str">
        <f>IFERROR(__xludf.DUMMYFUNCTION("""COMPUTED_VALUE"""),"3Ds Max and Corona | الدورة الشاملة لتعلم برنامج")</f>
        <v>3Ds Max and Corona | الدورة الشاملة لتعلم برنامج</v>
      </c>
    </row>
    <row r="1117">
      <c r="A1117" s="140" t="str">
        <f>IFERROR(__xludf.DUMMYFUNCTION("""COMPUTED_VALUE"""),"en")</f>
        <v>en</v>
      </c>
      <c r="B1117">
        <f>IFERROR(__xludf.DUMMYFUNCTION("""COMPUTED_VALUE"""),2322416.0)</f>
        <v>2322416</v>
      </c>
      <c r="C1117" t="str">
        <f>IFERROR(__xludf.DUMMYFUNCTION("""COMPUTED_VALUE"""),"IELTS Step-by-step | Mastering Listening")</f>
        <v>IELTS Step-by-step | Mastering Listening</v>
      </c>
    </row>
    <row r="1118">
      <c r="A1118" s="140" t="str">
        <f>IFERROR(__xludf.DUMMYFUNCTION("""COMPUTED_VALUE"""),"es")</f>
        <v>es</v>
      </c>
      <c r="B1118">
        <f>IFERROR(__xludf.DUMMYFUNCTION("""COMPUTED_VALUE"""),1998310.0)</f>
        <v>1998310</v>
      </c>
      <c r="C1118" t="str">
        <f>IFERROR(__xludf.DUMMYFUNCTION("""COMPUTED_VALUE"""),"Inteligencia Emocional en Relaciones Personales y Laborales")</f>
        <v>Inteligencia Emocional en Relaciones Personales y Laborales</v>
      </c>
    </row>
    <row r="1119">
      <c r="A1119" s="140" t="str">
        <f>IFERROR(__xludf.DUMMYFUNCTION("""COMPUTED_VALUE"""),"en")</f>
        <v>en</v>
      </c>
      <c r="B1119">
        <f>IFERROR(__xludf.DUMMYFUNCTION("""COMPUTED_VALUE"""),1304336.0)</f>
        <v>1304336</v>
      </c>
      <c r="C1119" t="str">
        <f>IFERROR(__xludf.DUMMYFUNCTION("""COMPUTED_VALUE"""),"Succeed, Influence and Inspire as a Woman in Leadership")</f>
        <v>Succeed, Influence and Inspire as a Woman in Leadership</v>
      </c>
    </row>
    <row r="1120">
      <c r="A1120" s="140" t="str">
        <f>IFERROR(__xludf.DUMMYFUNCTION("""COMPUTED_VALUE"""),"tr")</f>
        <v>tr</v>
      </c>
      <c r="B1120">
        <f>IFERROR(__xludf.DUMMYFUNCTION("""COMPUTED_VALUE"""),1521220.0)</f>
        <v>1521220</v>
      </c>
      <c r="C1120" t="str">
        <f>IFERROR(__xludf.DUMMYFUNCTION("""COMPUTED_VALUE"""),"İleri Düzey Excel|Dashboard|Excel İp Uçları")</f>
        <v>İleri Düzey Excel|Dashboard|Excel İp Uçları</v>
      </c>
    </row>
    <row r="1121">
      <c r="A1121" s="140" t="str">
        <f>IFERROR(__xludf.DUMMYFUNCTION("""COMPUTED_VALUE"""),"fr")</f>
        <v>fr</v>
      </c>
      <c r="B1121">
        <f>IFERROR(__xludf.DUMMYFUNCTION("""COMPUTED_VALUE"""),1942392.0)</f>
        <v>1942392</v>
      </c>
      <c r="C1121" t="str">
        <f>IFERROR(__xludf.DUMMYFUNCTION("""COMPUTED_VALUE"""),"Socket.IO : Créer une discussion instantanée de A à Z")</f>
        <v>Socket.IO : Créer une discussion instantanée de A à Z</v>
      </c>
    </row>
    <row r="1122">
      <c r="A1122" s="140" t="str">
        <f>IFERROR(__xludf.DUMMYFUNCTION("""COMPUTED_VALUE"""),"en")</f>
        <v>en</v>
      </c>
      <c r="B1122">
        <f>IFERROR(__xludf.DUMMYFUNCTION("""COMPUTED_VALUE"""),1637872.0)</f>
        <v>1637872</v>
      </c>
      <c r="C1122" t="str">
        <f>IFERROR(__xludf.DUMMYFUNCTION("""COMPUTED_VALUE"""),"Oracle SQL Performance Tuning Masterclass (2022)")</f>
        <v>Oracle SQL Performance Tuning Masterclass (2022)</v>
      </c>
    </row>
    <row r="1123">
      <c r="A1123" s="140" t="str">
        <f>IFERROR(__xludf.DUMMYFUNCTION("""COMPUTED_VALUE"""),"fr")</f>
        <v>fr</v>
      </c>
      <c r="B1123">
        <f>IFERROR(__xludf.DUMMYFUNCTION("""COMPUTED_VALUE"""),3828556.0)</f>
        <v>3828556</v>
      </c>
      <c r="C1123" t="str">
        <f>IFERROR(__xludf.DUMMYFUNCTION("""COMPUTED_VALUE"""),"Le SEO pour les développeurs")</f>
        <v>Le SEO pour les développeurs</v>
      </c>
    </row>
    <row r="1124">
      <c r="A1124" s="140" t="str">
        <f>IFERROR(__xludf.DUMMYFUNCTION("""COMPUTED_VALUE"""),"ja")</f>
        <v>ja</v>
      </c>
      <c r="B1124">
        <f>IFERROR(__xludf.DUMMYFUNCTION("""COMPUTED_VALUE"""),2101146.0)</f>
        <v>2101146</v>
      </c>
      <c r="C1124" t="str">
        <f>IFERROR(__xludf.DUMMYFUNCTION("""COMPUTED_VALUE"""),"自然言語処理とチャットボット: AIによる文章生成と会話エンジン開発")</f>
        <v>自然言語処理とチャットボット: AIによる文章生成と会話エンジン開発</v>
      </c>
    </row>
    <row r="1125">
      <c r="A1125" s="140" t="str">
        <f>IFERROR(__xludf.DUMMYFUNCTION("""COMPUTED_VALUE"""),"en")</f>
        <v>en</v>
      </c>
      <c r="B1125">
        <f>IFERROR(__xludf.DUMMYFUNCTION("""COMPUTED_VALUE"""),1691782.0)</f>
        <v>1691782</v>
      </c>
      <c r="C1125" t="str">
        <f>IFERROR(__xludf.DUMMYFUNCTION("""COMPUTED_VALUE"""),"Instagram Domination: Build Your Brand &amp; Get More Followers")</f>
        <v>Instagram Domination: Build Your Brand &amp; Get More Followers</v>
      </c>
    </row>
    <row r="1126">
      <c r="A1126" s="140" t="str">
        <f>IFERROR(__xludf.DUMMYFUNCTION("""COMPUTED_VALUE"""),"en")</f>
        <v>en</v>
      </c>
      <c r="B1126">
        <f>IFERROR(__xludf.DUMMYFUNCTION("""COMPUTED_VALUE"""),3564811.0)</f>
        <v>3564811</v>
      </c>
      <c r="C1126" t="str">
        <f>IFERROR(__xludf.DUMMYFUNCTION("""COMPUTED_VALUE"""),"Learn to Write Unity Compute Shaders")</f>
        <v>Learn to Write Unity Compute Shaders</v>
      </c>
    </row>
    <row r="1127">
      <c r="A1127" s="140" t="str">
        <f>IFERROR(__xludf.DUMMYFUNCTION("""COMPUTED_VALUE"""),"en")</f>
        <v>en</v>
      </c>
      <c r="B1127">
        <f>IFERROR(__xludf.DUMMYFUNCTION("""COMPUTED_VALUE"""),2786310.0)</f>
        <v>2786310</v>
      </c>
      <c r="C1127" t="str">
        <f>IFERROR(__xludf.DUMMYFUNCTION("""COMPUTED_VALUE"""),"Machine Learning and Artificial Intelligence Using Swift")</f>
        <v>Machine Learning and Artificial Intelligence Using Swift</v>
      </c>
    </row>
    <row r="1128">
      <c r="A1128" s="140" t="str">
        <f>IFERROR(__xludf.DUMMYFUNCTION("""COMPUTED_VALUE"""),"pt")</f>
        <v>pt</v>
      </c>
      <c r="B1128">
        <f>IFERROR(__xludf.DUMMYFUNCTION("""COMPUTED_VALUE"""),3604320.0)</f>
        <v>3604320</v>
      </c>
      <c r="C1128" t="str">
        <f>IFERROR(__xludf.DUMMYFUNCTION("""COMPUTED_VALUE"""),"Curso de SQL Completo - Aplicado ao Mercado de Trabalho")</f>
        <v>Curso de SQL Completo - Aplicado ao Mercado de Trabalho</v>
      </c>
    </row>
    <row r="1129">
      <c r="A1129" s="140" t="str">
        <f>IFERROR(__xludf.DUMMYFUNCTION("""COMPUTED_VALUE"""),"en")</f>
        <v>en</v>
      </c>
      <c r="B1129">
        <f>IFERROR(__xludf.DUMMYFUNCTION("""COMPUTED_VALUE"""),828314.0)</f>
        <v>828314</v>
      </c>
      <c r="C1129" t="str">
        <f>IFERROR(__xludf.DUMMYFUNCTION("""COMPUTED_VALUE"""),"Fun food safety and sanitation course")</f>
        <v>Fun food safety and sanitation course</v>
      </c>
    </row>
    <row r="1130">
      <c r="A1130" s="140" t="str">
        <f>IFERROR(__xludf.DUMMYFUNCTION("""COMPUTED_VALUE"""),"en")</f>
        <v>en</v>
      </c>
      <c r="B1130">
        <f>IFERROR(__xludf.DUMMYFUNCTION("""COMPUTED_VALUE"""),2733334.0)</f>
        <v>2733334</v>
      </c>
      <c r="C1130" t="str">
        <f>IFERROR(__xludf.DUMMYFUNCTION("""COMPUTED_VALUE"""),"Prediction Mapping Using GIS Data and Advanced ML Algorithms")</f>
        <v>Prediction Mapping Using GIS Data and Advanced ML Algorithms</v>
      </c>
    </row>
    <row r="1131">
      <c r="A1131" s="140" t="str">
        <f>IFERROR(__xludf.DUMMYFUNCTION("""COMPUTED_VALUE"""),"en")</f>
        <v>en</v>
      </c>
      <c r="B1131">
        <f>IFERROR(__xludf.DUMMYFUNCTION("""COMPUTED_VALUE"""),1477998.0)</f>
        <v>1477998</v>
      </c>
      <c r="C1131" t="str">
        <f>IFERROR(__xludf.DUMMYFUNCTION("""COMPUTED_VALUE"""),"AWS Certified Cloud Practitioner - Updated 2020")</f>
        <v>AWS Certified Cloud Practitioner - Updated 2020</v>
      </c>
    </row>
    <row r="1132">
      <c r="A1132" s="140" t="str">
        <f>IFERROR(__xludf.DUMMYFUNCTION("""COMPUTED_VALUE"""),"en")</f>
        <v>en</v>
      </c>
      <c r="B1132">
        <f>IFERROR(__xludf.DUMMYFUNCTION("""COMPUTED_VALUE"""),735056.0)</f>
        <v>735056</v>
      </c>
      <c r="C1132" t="str">
        <f>IFERROR(__xludf.DUMMYFUNCTION("""COMPUTED_VALUE"""),"Connecting and working with Oracle Cloud DBaaS")</f>
        <v>Connecting and working with Oracle Cloud DBaaS</v>
      </c>
    </row>
    <row r="1133">
      <c r="A1133" s="140" t="str">
        <f>IFERROR(__xludf.DUMMYFUNCTION("""COMPUTED_VALUE"""),"es")</f>
        <v>es</v>
      </c>
      <c r="B1133">
        <f>IFERROR(__xludf.DUMMYFUNCTION("""COMPUTED_VALUE"""),3426668.0)</f>
        <v>3426668</v>
      </c>
      <c r="C1133" t="str">
        <f>IFERROR(__xludf.DUMMYFUNCTION("""COMPUTED_VALUE"""),"LinkedIn Ads: curso completo para dominar la plataforma")</f>
        <v>LinkedIn Ads: curso completo para dominar la plataforma</v>
      </c>
    </row>
    <row r="1134">
      <c r="A1134" s="140" t="str">
        <f>IFERROR(__xludf.DUMMYFUNCTION("""COMPUTED_VALUE"""),"en")</f>
        <v>en</v>
      </c>
      <c r="B1134">
        <f>IFERROR(__xludf.DUMMYFUNCTION("""COMPUTED_VALUE"""),2000856.0)</f>
        <v>2000856</v>
      </c>
      <c r="C1134" t="str">
        <f>IFERROR(__xludf.DUMMYFUNCTION("""COMPUTED_VALUE"""),"Complete Next.js with React &amp; Node - Beautiful Portfolio App")</f>
        <v>Complete Next.js with React &amp; Node - Beautiful Portfolio App</v>
      </c>
    </row>
    <row r="1135">
      <c r="A1135" s="140" t="str">
        <f>IFERROR(__xludf.DUMMYFUNCTION("""COMPUTED_VALUE"""),"en")</f>
        <v>en</v>
      </c>
      <c r="B1135">
        <f>IFERROR(__xludf.DUMMYFUNCTION("""COMPUTED_VALUE"""),806710.0)</f>
        <v>806710</v>
      </c>
      <c r="C1135" t="str">
        <f>IFERROR(__xludf.DUMMYFUNCTION("""COMPUTED_VALUE"""),"Microsoft Excel for Project Management  - Earn 5 PDUs")</f>
        <v>Microsoft Excel for Project Management  - Earn 5 PDUs</v>
      </c>
    </row>
    <row r="1136">
      <c r="A1136" s="140" t="str">
        <f>IFERROR(__xludf.DUMMYFUNCTION("""COMPUTED_VALUE"""),"en")</f>
        <v>en</v>
      </c>
      <c r="B1136">
        <f>IFERROR(__xludf.DUMMYFUNCTION("""COMPUTED_VALUE"""),1362070.0)</f>
        <v>1362070</v>
      </c>
      <c r="C1136" t="str">
        <f>IFERROR(__xludf.DUMMYFUNCTION("""COMPUTED_VALUE"""),"React - The Complete Guide (incl Hooks, React Router, Redux)")</f>
        <v>React - The Complete Guide (incl Hooks, React Router, Redux)</v>
      </c>
    </row>
    <row r="1137">
      <c r="A1137" s="140" t="str">
        <f>IFERROR(__xludf.DUMMYFUNCTION("""COMPUTED_VALUE"""),"en")</f>
        <v>en</v>
      </c>
      <c r="B1137">
        <f>IFERROR(__xludf.DUMMYFUNCTION("""COMPUTED_VALUE"""),3284724.0)</f>
        <v>3284724</v>
      </c>
      <c r="C1137" t="str">
        <f>IFERROR(__xludf.DUMMYFUNCTION("""COMPUTED_VALUE"""),"ISTQB Certified Tester - Foundation Level - Agile Extension")</f>
        <v>ISTQB Certified Tester - Foundation Level - Agile Extension</v>
      </c>
    </row>
    <row r="1138">
      <c r="A1138" s="140" t="str">
        <f>IFERROR(__xludf.DUMMYFUNCTION("""COMPUTED_VALUE"""),"en")</f>
        <v>en</v>
      </c>
      <c r="B1138">
        <f>IFERROR(__xludf.DUMMYFUNCTION("""COMPUTED_VALUE"""),1085100.0)</f>
        <v>1085100</v>
      </c>
      <c r="C1138" t="str">
        <f>IFERROR(__xludf.DUMMYFUNCTION("""COMPUTED_VALUE"""),"The Complete Twitter Marketing Bootcamp")</f>
        <v>The Complete Twitter Marketing Bootcamp</v>
      </c>
    </row>
    <row r="1139">
      <c r="A1139" s="140" t="str">
        <f>IFERROR(__xludf.DUMMYFUNCTION("""COMPUTED_VALUE"""),"ja")</f>
        <v>ja</v>
      </c>
      <c r="B1139">
        <f>IFERROR(__xludf.DUMMYFUNCTION("""COMPUTED_VALUE"""),2582264.0)</f>
        <v>2582264</v>
      </c>
      <c r="C1139" t="str">
        <f>IFERROR(__xludf.DUMMYFUNCTION("""COMPUTED_VALUE"""),"WEBデザイナーになりたい人のための【WEBデザイン入門講座】初心者を対象に基礎知識を入門レベルで幅広く学べる講座です！")</f>
        <v>WEBデザイナーになりたい人のための【WEBデザイン入門講座】初心者を対象に基礎知識を入門レベルで幅広く学べる講座です！</v>
      </c>
    </row>
    <row r="1140">
      <c r="A1140" s="140" t="str">
        <f>IFERROR(__xludf.DUMMYFUNCTION("""COMPUTED_VALUE"""),"ar")</f>
        <v>ar</v>
      </c>
      <c r="B1140">
        <f>IFERROR(__xludf.DUMMYFUNCTION("""COMPUTED_VALUE"""),1916994.0)</f>
        <v>1916994</v>
      </c>
      <c r="C1140" t="str">
        <f>IFERROR(__xludf.DUMMYFUNCTION("""COMPUTED_VALUE"""),"LTE, LTE-A and LTE-A Pro From A to Z in Arabic")</f>
        <v>LTE, LTE-A and LTE-A Pro From A to Z in Arabic</v>
      </c>
    </row>
    <row r="1141">
      <c r="A1141" s="140" t="str">
        <f>IFERROR(__xludf.DUMMYFUNCTION("""COMPUTED_VALUE"""),"ja")</f>
        <v>ja</v>
      </c>
      <c r="B1141">
        <f>IFERROR(__xludf.DUMMYFUNCTION("""COMPUTED_VALUE"""),2306248.0)</f>
        <v>2306248</v>
      </c>
      <c r="C1141" t="str">
        <f>IFERROR(__xludf.DUMMYFUNCTION("""COMPUTED_VALUE"""),"はじめての AI")</f>
        <v>はじめての AI</v>
      </c>
    </row>
    <row r="1142">
      <c r="A1142" s="140" t="str">
        <f>IFERROR(__xludf.DUMMYFUNCTION("""COMPUTED_VALUE"""),"en")</f>
        <v>en</v>
      </c>
      <c r="B1142">
        <f>IFERROR(__xludf.DUMMYFUNCTION("""COMPUTED_VALUE"""),1563268.0)</f>
        <v>1563268</v>
      </c>
      <c r="C1142" t="str">
        <f>IFERROR(__xludf.DUMMYFUNCTION("""COMPUTED_VALUE"""),"Rest Api's in Asp.Net Core and C# 2021 Edition")</f>
        <v>Rest Api's in Asp.Net Core and C# 2021 Edition</v>
      </c>
    </row>
    <row r="1143">
      <c r="A1143" s="140" t="str">
        <f>IFERROR(__xludf.DUMMYFUNCTION("""COMPUTED_VALUE"""),"es")</f>
        <v>es</v>
      </c>
      <c r="B1143">
        <f>IFERROR(__xludf.DUMMYFUNCTION("""COMPUTED_VALUE"""),2992804.0)</f>
        <v>2992804</v>
      </c>
      <c r="C1143" t="str">
        <f>IFERROR(__xludf.DUMMYFUNCTION("""COMPUTED_VALUE"""),"Masterclass en Innovación y Organizaciones Exponenciales")</f>
        <v>Masterclass en Innovación y Organizaciones Exponenciales</v>
      </c>
    </row>
    <row r="1144">
      <c r="A1144" s="140" t="str">
        <f>IFERROR(__xludf.DUMMYFUNCTION("""COMPUTED_VALUE"""),"ja")</f>
        <v>ja</v>
      </c>
      <c r="B1144">
        <f>IFERROR(__xludf.DUMMYFUNCTION("""COMPUTED_VALUE"""),3741090.0)</f>
        <v>3741090</v>
      </c>
      <c r="C1144" t="str">
        <f>IFERROR(__xludf.DUMMYFUNCTION("""COMPUTED_VALUE"""),"【挫折した人へ】ITパスポート/基本情報技術者_ネットワーク+情報セキュリティ講座")</f>
        <v>【挫折した人へ】ITパスポート/基本情報技術者_ネットワーク+情報セキュリティ講座</v>
      </c>
    </row>
    <row r="1145">
      <c r="A1145" s="140" t="str">
        <f>IFERROR(__xludf.DUMMYFUNCTION("""COMPUTED_VALUE"""),"en")</f>
        <v>en</v>
      </c>
      <c r="B1145">
        <f>IFERROR(__xludf.DUMMYFUNCTION("""COMPUTED_VALUE"""),3137638.0)</f>
        <v>3137638</v>
      </c>
      <c r="C1145" t="str">
        <f>IFERROR(__xludf.DUMMYFUNCTION("""COMPUTED_VALUE"""),"HashiCorp Certified: Vault Associate 2021")</f>
        <v>HashiCorp Certified: Vault Associate 2021</v>
      </c>
    </row>
    <row r="1146">
      <c r="A1146" s="140" t="str">
        <f>IFERROR(__xludf.DUMMYFUNCTION("""COMPUTED_VALUE"""),"en")</f>
        <v>en</v>
      </c>
      <c r="B1146">
        <f>IFERROR(__xludf.DUMMYFUNCTION("""COMPUTED_VALUE"""),3500566.0)</f>
        <v>3500566</v>
      </c>
      <c r="C1146" t="str">
        <f>IFERROR(__xludf.DUMMYFUNCTION("""COMPUTED_VALUE"""),"Microsoft Windows 10 MD-100 Prep w/ FULL Practice Exam!")</f>
        <v>Microsoft Windows 10 MD-100 Prep w/ FULL Practice Exam!</v>
      </c>
    </row>
    <row r="1147">
      <c r="A1147" s="140" t="str">
        <f>IFERROR(__xludf.DUMMYFUNCTION("""COMPUTED_VALUE"""),"pt")</f>
        <v>pt</v>
      </c>
      <c r="B1147">
        <f>IFERROR(__xludf.DUMMYFUNCTION("""COMPUTED_VALUE"""),1947948.0)</f>
        <v>1947948</v>
      </c>
      <c r="C1147" t="str">
        <f>IFERROR(__xludf.DUMMYFUNCTION("""COMPUTED_VALUE"""),"Gestão de Tempo - como aumentar sua produtividade")</f>
        <v>Gestão de Tempo - como aumentar sua produtividade</v>
      </c>
    </row>
    <row r="1148">
      <c r="A1148" s="140" t="str">
        <f>IFERROR(__xludf.DUMMYFUNCTION("""COMPUTED_VALUE"""),"pt")</f>
        <v>pt</v>
      </c>
      <c r="B1148">
        <f>IFERROR(__xludf.DUMMYFUNCTION("""COMPUTED_VALUE"""),3315572.0)</f>
        <v>3315572</v>
      </c>
      <c r="C1148" t="str">
        <f>IFERROR(__xludf.DUMMYFUNCTION("""COMPUTED_VALUE"""),"Formação Cientista de Dados II: Tópicos Avançados")</f>
        <v>Formação Cientista de Dados II: Tópicos Avançados</v>
      </c>
    </row>
    <row r="1149">
      <c r="A1149" s="140" t="str">
        <f>IFERROR(__xludf.DUMMYFUNCTION("""COMPUTED_VALUE"""),"en")</f>
        <v>en</v>
      </c>
      <c r="B1149">
        <f>IFERROR(__xludf.DUMMYFUNCTION("""COMPUTED_VALUE"""),3742998.0)</f>
        <v>3742998</v>
      </c>
      <c r="C1149" t="str">
        <f>IFERROR(__xludf.DUMMYFUNCTION("""COMPUTED_VALUE"""),"CATIA V5 BASIC TO EXPERT IN INTERIOR &amp; EXTERIOR")</f>
        <v>CATIA V5 BASIC TO EXPERT IN INTERIOR &amp; EXTERIOR</v>
      </c>
    </row>
    <row r="1150">
      <c r="A1150" s="140" t="str">
        <f>IFERROR(__xludf.DUMMYFUNCTION("""COMPUTED_VALUE"""),"en")</f>
        <v>en</v>
      </c>
      <c r="B1150">
        <f>IFERROR(__xludf.DUMMYFUNCTION("""COMPUTED_VALUE"""),1111694.0)</f>
        <v>1111694</v>
      </c>
      <c r="C1150" t="str">
        <f>IFERROR(__xludf.DUMMYFUNCTION("""COMPUTED_VALUE"""),"Cisco CyberOps Associate CBROPS 200-201: Part 1 Course")</f>
        <v>Cisco CyberOps Associate CBROPS 200-201: Part 1 Course</v>
      </c>
    </row>
    <row r="1151">
      <c r="A1151" s="140" t="str">
        <f>IFERROR(__xludf.DUMMYFUNCTION("""COMPUTED_VALUE"""),"en")</f>
        <v>en</v>
      </c>
      <c r="B1151">
        <f>IFERROR(__xludf.DUMMYFUNCTION("""COMPUTED_VALUE"""),779842.0)</f>
        <v>779842</v>
      </c>
      <c r="C1151" t="str">
        <f>IFERROR(__xludf.DUMMYFUNCTION("""COMPUTED_VALUE"""),"Cisco Nexus &amp; ACI Training : Go from Beginner to Advanced!")</f>
        <v>Cisco Nexus &amp; ACI Training : Go from Beginner to Advanced!</v>
      </c>
    </row>
    <row r="1152">
      <c r="A1152" s="140" t="str">
        <f>IFERROR(__xludf.DUMMYFUNCTION("""COMPUTED_VALUE"""),"en")</f>
        <v>en</v>
      </c>
      <c r="B1152">
        <f>IFERROR(__xludf.DUMMYFUNCTION("""COMPUTED_VALUE"""),1220862.0)</f>
        <v>1220862</v>
      </c>
      <c r="C1152" t="str">
        <f>IFERROR(__xludf.DUMMYFUNCTION("""COMPUTED_VALUE"""),"Stock Market Success : Secret Sauce - Stock Market Trading")</f>
        <v>Stock Market Success : Secret Sauce - Stock Market Trading</v>
      </c>
    </row>
    <row r="1153">
      <c r="A1153" s="140" t="str">
        <f>IFERROR(__xludf.DUMMYFUNCTION("""COMPUTED_VALUE"""),"tr")</f>
        <v>tr</v>
      </c>
      <c r="B1153">
        <f>IFERROR(__xludf.DUMMYFUNCTION("""COMPUTED_VALUE"""),2219352.0)</f>
        <v>2219352</v>
      </c>
      <c r="C1153" t="str">
        <f>IFERROR(__xludf.DUMMYFUNCTION("""COMPUTED_VALUE"""),"C++ |Sıfırdan İleri Seviyeye C++ Nesneye Yönelik Programlama")</f>
        <v>C++ |Sıfırdan İleri Seviyeye C++ Nesneye Yönelik Programlama</v>
      </c>
    </row>
    <row r="1154">
      <c r="A1154" s="140" t="str">
        <f>IFERROR(__xludf.DUMMYFUNCTION("""COMPUTED_VALUE"""),"es")</f>
        <v>es</v>
      </c>
      <c r="B1154">
        <f>IFERROR(__xludf.DUMMYFUNCTION("""COMPUTED_VALUE"""),3702016.0)</f>
        <v>3702016</v>
      </c>
      <c r="C1154" t="str">
        <f>IFERROR(__xludf.DUMMYFUNCTION("""COMPUTED_VALUE"""),"Introducción a la Gestión de Servicios")</f>
        <v>Introducción a la Gestión de Servicios</v>
      </c>
    </row>
    <row r="1155">
      <c r="A1155" s="140" t="str">
        <f>IFERROR(__xludf.DUMMYFUNCTION("""COMPUTED_VALUE"""),"en")</f>
        <v>en</v>
      </c>
      <c r="B1155">
        <f>IFERROR(__xludf.DUMMYFUNCTION("""COMPUTED_VALUE"""),2468694.0)</f>
        <v>2468694</v>
      </c>
      <c r="C1155" t="str">
        <f>IFERROR(__xludf.DUMMYFUNCTION("""COMPUTED_VALUE"""),"Chinese language for beginners : Mandarin Chinese HSK1-HSK3")</f>
        <v>Chinese language for beginners : Mandarin Chinese HSK1-HSK3</v>
      </c>
    </row>
    <row r="1156">
      <c r="A1156" s="140" t="str">
        <f>IFERROR(__xludf.DUMMYFUNCTION("""COMPUTED_VALUE"""),"pt")</f>
        <v>pt</v>
      </c>
      <c r="B1156">
        <f>IFERROR(__xludf.DUMMYFUNCTION("""COMPUTED_VALUE"""),2244874.0)</f>
        <v>2244874</v>
      </c>
      <c r="C1156" t="str">
        <f>IFERROR(__xludf.DUMMYFUNCTION("""COMPUTED_VALUE"""),"Interface Gráfica para Apps Python com GTK e Glade")</f>
        <v>Interface Gráfica para Apps Python com GTK e Glade</v>
      </c>
    </row>
    <row r="1157">
      <c r="A1157" s="140" t="str">
        <f>IFERROR(__xludf.DUMMYFUNCTION("""COMPUTED_VALUE"""),"en")</f>
        <v>en</v>
      </c>
      <c r="B1157">
        <f>IFERROR(__xludf.DUMMYFUNCTION("""COMPUTED_VALUE"""),3122850.0)</f>
        <v>3122850</v>
      </c>
      <c r="C1157" t="str">
        <f>IFERROR(__xludf.DUMMYFUNCTION("""COMPUTED_VALUE"""),"Meditate for How You Feel")</f>
        <v>Meditate for How You Feel</v>
      </c>
    </row>
    <row r="1158">
      <c r="A1158" s="140" t="str">
        <f>IFERROR(__xludf.DUMMYFUNCTION("""COMPUTED_VALUE"""),"en")</f>
        <v>en</v>
      </c>
      <c r="B1158">
        <f>IFERROR(__xludf.DUMMYFUNCTION("""COMPUTED_VALUE"""),14346.0)</f>
        <v>14346</v>
      </c>
      <c r="C1158" t="str">
        <f>IFERROR(__xludf.DUMMYFUNCTION("""COMPUTED_VALUE"""),"Learn C# Programming (In Ten Easy Steps)")</f>
        <v>Learn C# Programming (In Ten Easy Steps)</v>
      </c>
    </row>
    <row r="1159">
      <c r="A1159" s="140" t="str">
        <f>IFERROR(__xludf.DUMMYFUNCTION("""COMPUTED_VALUE"""),"pt")</f>
        <v>pt</v>
      </c>
      <c r="B1159">
        <f>IFERROR(__xludf.DUMMYFUNCTION("""COMPUTED_VALUE"""),2957296.0)</f>
        <v>2957296</v>
      </c>
      <c r="C1159" t="str">
        <f>IFERROR(__xludf.DUMMYFUNCTION("""COMPUTED_VALUE"""),"Power BI para Data Science: Além da Visualização!")</f>
        <v>Power BI para Data Science: Além da Visualização!</v>
      </c>
    </row>
    <row r="1160">
      <c r="A1160" s="140" t="str">
        <f>IFERROR(__xludf.DUMMYFUNCTION("""COMPUTED_VALUE"""),"de")</f>
        <v>de</v>
      </c>
      <c r="B1160">
        <f>IFERROR(__xludf.DUMMYFUNCTION("""COMPUTED_VALUE"""),1158546.0)</f>
        <v>1158546</v>
      </c>
      <c r="C1160" t="str">
        <f>IFERROR(__xludf.DUMMYFUNCTION("""COMPUTED_VALUE"""),"HTML in 1 Stunde vollständig lernen - HTML5 Online Kurs")</f>
        <v>HTML in 1 Stunde vollständig lernen - HTML5 Online Kurs</v>
      </c>
    </row>
    <row r="1161">
      <c r="A1161" s="140" t="str">
        <f>IFERROR(__xludf.DUMMYFUNCTION("""COMPUTED_VALUE"""),"es")</f>
        <v>es</v>
      </c>
      <c r="B1161">
        <f>IFERROR(__xludf.DUMMYFUNCTION("""COMPUTED_VALUE"""),2912068.0)</f>
        <v>2912068</v>
      </c>
      <c r="C1161" t="str">
        <f>IFERROR(__xludf.DUMMYFUNCTION("""COMPUTED_VALUE"""),"Cisco CCNA 200-301 en Español + Simulador de Preguntas !")</f>
        <v>Cisco CCNA 200-301 en Español + Simulador de Preguntas !</v>
      </c>
    </row>
    <row r="1162">
      <c r="A1162" s="140" t="str">
        <f>IFERROR(__xludf.DUMMYFUNCTION("""COMPUTED_VALUE"""),"en")</f>
        <v>en</v>
      </c>
      <c r="B1162">
        <f>IFERROR(__xludf.DUMMYFUNCTION("""COMPUTED_VALUE"""),772172.0)</f>
        <v>772172</v>
      </c>
      <c r="C1162" t="str">
        <f>IFERROR(__xludf.DUMMYFUNCTION("""COMPUTED_VALUE"""),"Microsoft Access: Networking Made Simple")</f>
        <v>Microsoft Access: Networking Made Simple</v>
      </c>
    </row>
    <row r="1163">
      <c r="A1163" s="140" t="str">
        <f>IFERROR(__xludf.DUMMYFUNCTION("""COMPUTED_VALUE"""),"de")</f>
        <v>de</v>
      </c>
      <c r="B1163">
        <f>IFERROR(__xludf.DUMMYFUNCTION("""COMPUTED_VALUE"""),1196108.0)</f>
        <v>1196108</v>
      </c>
      <c r="C1163" t="str">
        <f>IFERROR(__xludf.DUMMYFUNCTION("""COMPUTED_VALUE"""),"Adobe Lightroom CC: Landschaftsfotografie Master Class")</f>
        <v>Adobe Lightroom CC: Landschaftsfotografie Master Class</v>
      </c>
    </row>
    <row r="1164">
      <c r="A1164" s="140" t="str">
        <f>IFERROR(__xludf.DUMMYFUNCTION("""COMPUTED_VALUE"""),"en")</f>
        <v>en</v>
      </c>
      <c r="B1164">
        <f>IFERROR(__xludf.DUMMYFUNCTION("""COMPUTED_VALUE"""),4179514.0)</f>
        <v>4179514</v>
      </c>
      <c r="C1164" t="str">
        <f>IFERROR(__xludf.DUMMYFUNCTION("""COMPUTED_VALUE"""),"CSR Development &amp; Communications: Make a Difference Today!")</f>
        <v>CSR Development &amp; Communications: Make a Difference Today!</v>
      </c>
    </row>
    <row r="1165">
      <c r="A1165" s="140" t="str">
        <f>IFERROR(__xludf.DUMMYFUNCTION("""COMPUTED_VALUE"""),"pt")</f>
        <v>pt</v>
      </c>
      <c r="B1165">
        <f>IFERROR(__xludf.DUMMYFUNCTION("""COMPUTED_VALUE"""),1394546.0)</f>
        <v>1394546</v>
      </c>
      <c r="C1165" t="str">
        <f>IFERROR(__xludf.DUMMYFUNCTION("""COMPUTED_VALUE"""),"Ferramentas Google para Aumentar a sua Produtividade Online")</f>
        <v>Ferramentas Google para Aumentar a sua Produtividade Online</v>
      </c>
    </row>
    <row r="1166">
      <c r="A1166" s="140" t="str">
        <f>IFERROR(__xludf.DUMMYFUNCTION("""COMPUTED_VALUE"""),"en")</f>
        <v>en</v>
      </c>
      <c r="B1166">
        <f>IFERROR(__xludf.DUMMYFUNCTION("""COMPUTED_VALUE"""),2341082.0)</f>
        <v>2341082</v>
      </c>
      <c r="C1166" t="str">
        <f>IFERROR(__xludf.DUMMYFUNCTION("""COMPUTED_VALUE"""),"CCA 159 - Data Analyst using Sqoop, Hive and Impala")</f>
        <v>CCA 159 - Data Analyst using Sqoop, Hive and Impala</v>
      </c>
    </row>
    <row r="1167">
      <c r="A1167" s="140" t="str">
        <f>IFERROR(__xludf.DUMMYFUNCTION("""COMPUTED_VALUE"""),"de")</f>
        <v>de</v>
      </c>
      <c r="B1167">
        <f>IFERROR(__xludf.DUMMYFUNCTION("""COMPUTED_VALUE"""),2513540.0)</f>
        <v>2513540</v>
      </c>
      <c r="C1167" t="str">
        <f>IFERROR(__xludf.DUMMYFUNCTION("""COMPUTED_VALUE"""),"Mit Übung Power für die Stimme!")</f>
        <v>Mit Übung Power für die Stimme!</v>
      </c>
    </row>
    <row r="1168">
      <c r="A1168" s="140" t="str">
        <f>IFERROR(__xludf.DUMMYFUNCTION("""COMPUTED_VALUE"""),"ja")</f>
        <v>ja</v>
      </c>
      <c r="B1168">
        <f>IFERROR(__xludf.DUMMYFUNCTION("""COMPUTED_VALUE"""),3479336.0)</f>
        <v>3479336</v>
      </c>
      <c r="C1168" t="str">
        <f>IFERROR(__xludf.DUMMYFUNCTION("""COMPUTED_VALUE"""),"【中級編】RPAコンサルタントが教えるUiPath Studio ～開発担当者が知るべき安定したロボットの作り方～")</f>
        <v>【中級編】RPAコンサルタントが教えるUiPath Studio ～開発担当者が知るべき安定したロボットの作り方～</v>
      </c>
    </row>
    <row r="1169">
      <c r="A1169" s="140" t="str">
        <f>IFERROR(__xludf.DUMMYFUNCTION("""COMPUTED_VALUE"""),"tr")</f>
        <v>tr</v>
      </c>
      <c r="B1169">
        <f>IFERROR(__xludf.DUMMYFUNCTION("""COMPUTED_VALUE"""),3600102.0)</f>
        <v>3600102</v>
      </c>
      <c r="C1169" t="str">
        <f>IFERROR(__xludf.DUMMYFUNCTION("""COMPUTED_VALUE"""),"2021 Unity C# | Profesyonel Düzeyde Mobil Oyun Geliştirme")</f>
        <v>2021 Unity C# | Profesyonel Düzeyde Mobil Oyun Geliştirme</v>
      </c>
    </row>
    <row r="1170">
      <c r="A1170" s="140" t="str">
        <f>IFERROR(__xludf.DUMMYFUNCTION("""COMPUTED_VALUE"""),"en")</f>
        <v>en</v>
      </c>
      <c r="B1170">
        <f>IFERROR(__xludf.DUMMYFUNCTION("""COMPUTED_VALUE"""),1058670.0)</f>
        <v>1058670</v>
      </c>
      <c r="C1170" t="str">
        <f>IFERROR(__xludf.DUMMYFUNCTION("""COMPUTED_VALUE"""),"Learn Advanced T-SQL For SQL Server Administrator")</f>
        <v>Learn Advanced T-SQL For SQL Server Administrator</v>
      </c>
    </row>
    <row r="1171">
      <c r="A1171" s="140" t="str">
        <f>IFERROR(__xludf.DUMMYFUNCTION("""COMPUTED_VALUE"""),"en")</f>
        <v>en</v>
      </c>
      <c r="B1171">
        <f>IFERROR(__xludf.DUMMYFUNCTION("""COMPUTED_VALUE"""),2675170.0)</f>
        <v>2675170</v>
      </c>
      <c r="C1171" t="str">
        <f>IFERROR(__xludf.DUMMYFUNCTION("""COMPUTED_VALUE"""),"Product Launch: How to Go to Market Product Marketing Plan")</f>
        <v>Product Launch: How to Go to Market Product Marketing Plan</v>
      </c>
    </row>
    <row r="1172">
      <c r="A1172" s="140" t="str">
        <f>IFERROR(__xludf.DUMMYFUNCTION("""COMPUTED_VALUE"""),"tr")</f>
        <v>tr</v>
      </c>
      <c r="B1172">
        <f>IFERROR(__xludf.DUMMYFUNCTION("""COMPUTED_VALUE"""),3385548.0)</f>
        <v>3385548</v>
      </c>
      <c r="C1172" t="str">
        <f>IFERROR(__xludf.DUMMYFUNCTION("""COMPUTED_VALUE"""),"Sıfırdan Kore Alfâbesi'ni Öğrenin! (Hangıl Öğreniyorum)")</f>
        <v>Sıfırdan Kore Alfâbesi'ni Öğrenin! (Hangıl Öğreniyorum)</v>
      </c>
    </row>
    <row r="1173">
      <c r="A1173" s="140" t="str">
        <f>IFERROR(__xludf.DUMMYFUNCTION("""COMPUTED_VALUE"""),"en")</f>
        <v>en</v>
      </c>
      <c r="B1173">
        <f>IFERROR(__xludf.DUMMYFUNCTION("""COMPUTED_VALUE"""),1264466.0)</f>
        <v>1264466</v>
      </c>
      <c r="C1173" t="str">
        <f>IFERROR(__xludf.DUMMYFUNCTION("""COMPUTED_VALUE"""),"MikroTik Routing All-in-1 Video Bootcamp (RouterOS v7)")</f>
        <v>MikroTik Routing All-in-1 Video Bootcamp (RouterOS v7)</v>
      </c>
    </row>
    <row r="1174">
      <c r="A1174" s="140" t="str">
        <f>IFERROR(__xludf.DUMMYFUNCTION("""COMPUTED_VALUE"""),"es")</f>
        <v>es</v>
      </c>
      <c r="B1174">
        <f>IFERROR(__xludf.DUMMYFUNCTION("""COMPUTED_VALUE"""),557464.0)</f>
        <v>557464</v>
      </c>
      <c r="C1174" t="str">
        <f>IFERROR(__xludf.DUMMYFUNCTION("""COMPUTED_VALUE"""),"JPA Avanzado: Uso profesional de JPA con Hibernate")</f>
        <v>JPA Avanzado: Uso profesional de JPA con Hibernate</v>
      </c>
    </row>
    <row r="1175">
      <c r="A1175" s="140" t="str">
        <f>IFERROR(__xludf.DUMMYFUNCTION("""COMPUTED_VALUE"""),"pt")</f>
        <v>pt</v>
      </c>
      <c r="B1175">
        <f>IFERROR(__xludf.DUMMYFUNCTION("""COMPUTED_VALUE"""),1246410.0)</f>
        <v>1246410</v>
      </c>
      <c r="C1175" t="str">
        <f>IFERROR(__xludf.DUMMYFUNCTION("""COMPUTED_VALUE"""),"ASP.NET Core: Aprendendo do zero ao avançado (v 1.1 e 2.0)")</f>
        <v>ASP.NET Core: Aprendendo do zero ao avançado (v 1.1 e 2.0)</v>
      </c>
    </row>
    <row r="1176">
      <c r="A1176" s="140" t="str">
        <f>IFERROR(__xludf.DUMMYFUNCTION("""COMPUTED_VALUE"""),"fr")</f>
        <v>fr</v>
      </c>
      <c r="B1176">
        <f>IFERROR(__xludf.DUMMYFUNCTION("""COMPUTED_VALUE"""),2183604.0)</f>
        <v>2183604</v>
      </c>
      <c r="C1176" t="str">
        <f>IFERROR(__xludf.DUMMYFUNCTION("""COMPUTED_VALUE"""),"La MEAN stack par la pratique")</f>
        <v>La MEAN stack par la pratique</v>
      </c>
    </row>
    <row r="1177">
      <c r="A1177" s="140" t="str">
        <f>IFERROR(__xludf.DUMMYFUNCTION("""COMPUTED_VALUE"""),"en")</f>
        <v>en</v>
      </c>
      <c r="B1177">
        <f>IFERROR(__xludf.DUMMYFUNCTION("""COMPUTED_VALUE"""),861106.0)</f>
        <v>861106</v>
      </c>
      <c r="C1177" t="str">
        <f>IFERROR(__xludf.DUMMYFUNCTION("""COMPUTED_VALUE"""),"Learning Sketchup for Beginners")</f>
        <v>Learning Sketchup for Beginners</v>
      </c>
    </row>
    <row r="1178">
      <c r="A1178" s="140" t="str">
        <f>IFERROR(__xludf.DUMMYFUNCTION("""COMPUTED_VALUE"""),"en")</f>
        <v>en</v>
      </c>
      <c r="B1178">
        <f>IFERROR(__xludf.DUMMYFUNCTION("""COMPUTED_VALUE"""),2212072.0)</f>
        <v>2212072</v>
      </c>
      <c r="C1178" t="str">
        <f>IFERROR(__xludf.DUMMYFUNCTION("""COMPUTED_VALUE"""),"Fibonacci Technical Analysis Skill for Forex &amp; Stock Trading")</f>
        <v>Fibonacci Technical Analysis Skill for Forex &amp; Stock Trading</v>
      </c>
    </row>
    <row r="1179">
      <c r="A1179" s="140" t="str">
        <f>IFERROR(__xludf.DUMMYFUNCTION("""COMPUTED_VALUE"""),"en")</f>
        <v>en</v>
      </c>
      <c r="B1179">
        <f>IFERROR(__xludf.DUMMYFUNCTION("""COMPUTED_VALUE"""),2742660.0)</f>
        <v>2742660</v>
      </c>
      <c r="C1179" t="str">
        <f>IFERROR(__xludf.DUMMYFUNCTION("""COMPUTED_VALUE"""),"Complete Agile Scrum Management + Kanban + 4 EXTRA courses")</f>
        <v>Complete Agile Scrum Management + Kanban + 4 EXTRA courses</v>
      </c>
    </row>
    <row r="1180">
      <c r="A1180" s="140" t="str">
        <f>IFERROR(__xludf.DUMMYFUNCTION("""COMPUTED_VALUE"""),"ar")</f>
        <v>ar</v>
      </c>
      <c r="B1180">
        <f>IFERROR(__xludf.DUMMYFUNCTION("""COMPUTED_VALUE"""),3446980.0)</f>
        <v>3446980</v>
      </c>
      <c r="C1180" t="str">
        <f>IFERROR(__xludf.DUMMYFUNCTION("""COMPUTED_VALUE"""),"Azure DevOps Training in Arabic")</f>
        <v>Azure DevOps Training in Arabic</v>
      </c>
    </row>
    <row r="1181">
      <c r="A1181" s="140" t="str">
        <f>IFERROR(__xludf.DUMMYFUNCTION("""COMPUTED_VALUE"""),"en")</f>
        <v>en</v>
      </c>
      <c r="B1181">
        <f>IFERROR(__xludf.DUMMYFUNCTION("""COMPUTED_VALUE"""),3710188.0)</f>
        <v>3710188</v>
      </c>
      <c r="C1181" t="str">
        <f>IFERROR(__xludf.DUMMYFUNCTION("""COMPUTED_VALUE"""),"A Course on Part Modelling in PTC Creo Software")</f>
        <v>A Course on Part Modelling in PTC Creo Software</v>
      </c>
    </row>
    <row r="1182">
      <c r="A1182" s="140" t="str">
        <f>IFERROR(__xludf.DUMMYFUNCTION("""COMPUTED_VALUE"""),"en")</f>
        <v>en</v>
      </c>
      <c r="B1182">
        <f>IFERROR(__xludf.DUMMYFUNCTION("""COMPUTED_VALUE"""),636806.0)</f>
        <v>636806</v>
      </c>
      <c r="C1182" t="str">
        <f>IFERROR(__xludf.DUMMYFUNCTION("""COMPUTED_VALUE"""),"Personal Branding Mastery: The System To Reinvent Yourself!")</f>
        <v>Personal Branding Mastery: The System To Reinvent Yourself!</v>
      </c>
    </row>
    <row r="1183">
      <c r="A1183" s="140" t="str">
        <f>IFERROR(__xludf.DUMMYFUNCTION("""COMPUTED_VALUE"""),"de")</f>
        <v>de</v>
      </c>
      <c r="B1183">
        <f>IFERROR(__xludf.DUMMYFUNCTION("""COMPUTED_VALUE"""),3864872.0)</f>
        <v>3864872</v>
      </c>
      <c r="C1183" t="str">
        <f>IFERROR(__xludf.DUMMYFUNCTION("""COMPUTED_VALUE"""),"NLP Crashkurs, Einstieg in Neurolinguistisches Programmieren")</f>
        <v>NLP Crashkurs, Einstieg in Neurolinguistisches Programmieren</v>
      </c>
    </row>
    <row r="1184">
      <c r="A1184" s="140" t="str">
        <f>IFERROR(__xludf.DUMMYFUNCTION("""COMPUTED_VALUE"""),"pt")</f>
        <v>pt</v>
      </c>
      <c r="B1184">
        <f>IFERROR(__xludf.DUMMYFUNCTION("""COMPUTED_VALUE"""),3437390.0)</f>
        <v>3437390</v>
      </c>
      <c r="C1184" t="str">
        <f>IFERROR(__xludf.DUMMYFUNCTION("""COMPUTED_VALUE"""),"Azure Pipelines - CI/CD, Docker e Kubernetes no Azure DevOps")</f>
        <v>Azure Pipelines - CI/CD, Docker e Kubernetes no Azure DevOps</v>
      </c>
    </row>
    <row r="1185">
      <c r="A1185" s="140" t="str">
        <f>IFERROR(__xludf.DUMMYFUNCTION("""COMPUTED_VALUE"""),"en")</f>
        <v>en</v>
      </c>
      <c r="B1185">
        <f>IFERROR(__xludf.DUMMYFUNCTION("""COMPUTED_VALUE"""),1260576.0)</f>
        <v>1260576</v>
      </c>
      <c r="C1185" t="str">
        <f>IFERROR(__xludf.DUMMYFUNCTION("""COMPUTED_VALUE"""),"PMP Certification:35+ PDU Formal PMP Exam Prep _New PMP 2021")</f>
        <v>PMP Certification:35+ PDU Formal PMP Exam Prep _New PMP 2021</v>
      </c>
    </row>
    <row r="1186">
      <c r="A1186" s="140" t="str">
        <f>IFERROR(__xludf.DUMMYFUNCTION("""COMPUTED_VALUE"""),"en")</f>
        <v>en</v>
      </c>
      <c r="B1186">
        <f>IFERROR(__xludf.DUMMYFUNCTION("""COMPUTED_VALUE"""),2360318.0)</f>
        <v>2360318</v>
      </c>
      <c r="C1186" t="str">
        <f>IFERROR(__xludf.DUMMYFUNCTION("""COMPUTED_VALUE"""),"CRISPR/Cas9 Crash Course for Beginners")</f>
        <v>CRISPR/Cas9 Crash Course for Beginners</v>
      </c>
    </row>
    <row r="1187">
      <c r="A1187" s="140" t="str">
        <f>IFERROR(__xludf.DUMMYFUNCTION("""COMPUTED_VALUE"""),"en")</f>
        <v>en</v>
      </c>
      <c r="B1187">
        <f>IFERROR(__xludf.DUMMYFUNCTION("""COMPUTED_VALUE"""),306024.0)</f>
        <v>306024</v>
      </c>
      <c r="C1187" t="str">
        <f>IFERROR(__xludf.DUMMYFUNCTION("""COMPUTED_VALUE"""),"TCP/IP Socket Programming in C# .Net For Coders &amp; Students")</f>
        <v>TCP/IP Socket Programming in C# .Net For Coders &amp; Students</v>
      </c>
    </row>
    <row r="1188">
      <c r="A1188" s="140" t="str">
        <f>IFERROR(__xludf.DUMMYFUNCTION("""COMPUTED_VALUE"""),"es")</f>
        <v>es</v>
      </c>
      <c r="B1188">
        <f>IFERROR(__xludf.DUMMYFUNCTION("""COMPUTED_VALUE"""),2992030.0)</f>
        <v>2992030</v>
      </c>
      <c r="C1188" t="str">
        <f>IFERROR(__xludf.DUMMYFUNCTION("""COMPUTED_VALUE"""),"Power BI &amp; Business Intelligence 2021")</f>
        <v>Power BI &amp; Business Intelligence 2021</v>
      </c>
    </row>
    <row r="1189">
      <c r="A1189" s="140" t="str">
        <f>IFERROR(__xludf.DUMMYFUNCTION("""COMPUTED_VALUE"""),"de")</f>
        <v>de</v>
      </c>
      <c r="B1189">
        <f>IFERROR(__xludf.DUMMYFUNCTION("""COMPUTED_VALUE"""),288206.0)</f>
        <v>288206</v>
      </c>
      <c r="C1189" t="str">
        <f>IFERROR(__xludf.DUMMYFUNCTION("""COMPUTED_VALUE"""),"PHP Programmierung für Anfänger - Grundlagen")</f>
        <v>PHP Programmierung für Anfänger - Grundlagen</v>
      </c>
    </row>
    <row r="1190">
      <c r="A1190" s="140" t="str">
        <f>IFERROR(__xludf.DUMMYFUNCTION("""COMPUTED_VALUE"""),"en")</f>
        <v>en</v>
      </c>
      <c r="B1190">
        <f>IFERROR(__xludf.DUMMYFUNCTION("""COMPUTED_VALUE"""),4105498.0)</f>
        <v>4105498</v>
      </c>
      <c r="C1190" t="str">
        <f>IFERROR(__xludf.DUMMYFUNCTION("""COMPUTED_VALUE"""),"Postman for API Automation Testing with Javascript -2021")</f>
        <v>Postman for API Automation Testing with Javascript -2021</v>
      </c>
    </row>
    <row r="1191">
      <c r="A1191" s="140" t="str">
        <f>IFERROR(__xludf.DUMMYFUNCTION("""COMPUTED_VALUE"""),"de")</f>
        <v>de</v>
      </c>
      <c r="B1191">
        <f>IFERROR(__xludf.DUMMYFUNCTION("""COMPUTED_VALUE"""),1124964.0)</f>
        <v>1124964</v>
      </c>
      <c r="C1191" t="str">
        <f>IFERROR(__xludf.DUMMYFUNCTION("""COMPUTED_VALUE"""),"Erfolgreich verhandeln! Verhandlungstraining für Top-Deals")</f>
        <v>Erfolgreich verhandeln! Verhandlungstraining für Top-Deals</v>
      </c>
    </row>
    <row r="1192">
      <c r="A1192" s="140" t="str">
        <f>IFERROR(__xludf.DUMMYFUNCTION("""COMPUTED_VALUE"""),"en")</f>
        <v>en</v>
      </c>
      <c r="B1192">
        <f>IFERROR(__xludf.DUMMYFUNCTION("""COMPUTED_VALUE"""),2615622.0)</f>
        <v>2615622</v>
      </c>
      <c r="C1192" t="str">
        <f>IFERROR(__xludf.DUMMYFUNCTION("""COMPUTED_VALUE"""),"Mastering Conflict Management and Resolution at Work")</f>
        <v>Mastering Conflict Management and Resolution at Work</v>
      </c>
    </row>
    <row r="1193">
      <c r="A1193" s="140" t="str">
        <f>IFERROR(__xludf.DUMMYFUNCTION("""COMPUTED_VALUE"""),"es")</f>
        <v>es</v>
      </c>
      <c r="B1193">
        <f>IFERROR(__xludf.DUMMYFUNCTION("""COMPUTED_VALUE"""),1161550.0)</f>
        <v>1161550</v>
      </c>
      <c r="C1193" t="str">
        <f>IFERROR(__xludf.DUMMYFUNCTION("""COMPUTED_VALUE"""),"Curso Completo Google Ads (AdWords)-Actualizado 2021")</f>
        <v>Curso Completo Google Ads (AdWords)-Actualizado 2021</v>
      </c>
    </row>
    <row r="1194">
      <c r="A1194" s="140" t="str">
        <f>IFERROR(__xludf.DUMMYFUNCTION("""COMPUTED_VALUE"""),"es")</f>
        <v>es</v>
      </c>
      <c r="B1194">
        <f>IFERROR(__xludf.DUMMYFUNCTION("""COMPUTED_VALUE"""),1657034.0)</f>
        <v>1657034</v>
      </c>
      <c r="C1194" t="str">
        <f>IFERROR(__xludf.DUMMYFUNCTION("""COMPUTED_VALUE"""),"Guía Definitiva: 70-532 Developing Microsoft Azure Solutions")</f>
        <v>Guía Definitiva: 70-532 Developing Microsoft Azure Solutions</v>
      </c>
    </row>
    <row r="1195">
      <c r="A1195" s="140" t="str">
        <f>IFERROR(__xludf.DUMMYFUNCTION("""COMPUTED_VALUE"""),"en")</f>
        <v>en</v>
      </c>
      <c r="B1195">
        <f>IFERROR(__xludf.DUMMYFUNCTION("""COMPUTED_VALUE"""),1934598.0)</f>
        <v>1934598</v>
      </c>
      <c r="C1195" t="str">
        <f>IFERROR(__xludf.DUMMYFUNCTION("""COMPUTED_VALUE"""),"Petrochemicals - Complete Guide to Process &amp; Industry")</f>
        <v>Petrochemicals - Complete Guide to Process &amp; Industry</v>
      </c>
    </row>
    <row r="1196">
      <c r="A1196" s="140" t="str">
        <f>IFERROR(__xludf.DUMMYFUNCTION("""COMPUTED_VALUE"""),"en")</f>
        <v>en</v>
      </c>
      <c r="B1196">
        <f>IFERROR(__xludf.DUMMYFUNCTION("""COMPUTED_VALUE"""),655940.0)</f>
        <v>655940</v>
      </c>
      <c r="C1196" t="str">
        <f>IFERROR(__xludf.DUMMYFUNCTION("""COMPUTED_VALUE"""),"Electricity &amp; electronics - Robotics, learn by building")</f>
        <v>Electricity &amp; electronics - Robotics, learn by building</v>
      </c>
    </row>
    <row r="1197">
      <c r="A1197" s="140" t="str">
        <f>IFERROR(__xludf.DUMMYFUNCTION("""COMPUTED_VALUE"""),"en")</f>
        <v>en</v>
      </c>
      <c r="B1197">
        <f>IFERROR(__xludf.DUMMYFUNCTION("""COMPUTED_VALUE"""),1595276.0)</f>
        <v>1595276</v>
      </c>
      <c r="C1197" t="str">
        <f>IFERROR(__xludf.DUMMYFUNCTION("""COMPUTED_VALUE"""),"Salesforce Interview Question with Answers")</f>
        <v>Salesforce Interview Question with Answers</v>
      </c>
    </row>
    <row r="1198">
      <c r="A1198" s="140" t="str">
        <f>IFERROR(__xludf.DUMMYFUNCTION("""COMPUTED_VALUE"""),"es")</f>
        <v>es</v>
      </c>
      <c r="B1198">
        <f>IFERROR(__xludf.DUMMYFUNCTION("""COMPUTED_VALUE"""),878120.0)</f>
        <v>878120</v>
      </c>
      <c r="C1198" t="str">
        <f>IFERROR(__xludf.DUMMYFUNCTION("""COMPUTED_VALUE"""),"Curso de ArcGIS 10")</f>
        <v>Curso de ArcGIS 10</v>
      </c>
    </row>
    <row r="1199">
      <c r="A1199" s="140" t="str">
        <f>IFERROR(__xludf.DUMMYFUNCTION("""COMPUTED_VALUE"""),"en")</f>
        <v>en</v>
      </c>
      <c r="B1199">
        <f>IFERROR(__xludf.DUMMYFUNCTION("""COMPUTED_VALUE"""),139200.0)</f>
        <v>139200</v>
      </c>
      <c r="C1199" t="str">
        <f>IFERROR(__xludf.DUMMYFUNCTION("""COMPUTED_VALUE"""),"Powerful speaking")</f>
        <v>Powerful speaking</v>
      </c>
    </row>
    <row r="1200">
      <c r="A1200" s="140" t="str">
        <f>IFERROR(__xludf.DUMMYFUNCTION("""COMPUTED_VALUE"""),"ja")</f>
        <v>ja</v>
      </c>
      <c r="B1200">
        <f>IFERROR(__xludf.DUMMYFUNCTION("""COMPUTED_VALUE"""),3156278.0)</f>
        <v>3156278</v>
      </c>
      <c r="C1200" t="str">
        <f>IFERROR(__xludf.DUMMYFUNCTION("""COMPUTED_VALUE"""),"コロナ時代の「超 テレワーク 仕事術」　週4日の働きで成果を上げる、リモートワーク先進企業の生産性アップ術 160分講座")</f>
        <v>コロナ時代の「超 テレワーク 仕事術」　週4日の働きで成果を上げる、リモートワーク先進企業の生産性アップ術 160分講座</v>
      </c>
    </row>
    <row r="1201">
      <c r="A1201" s="140" t="str">
        <f>IFERROR(__xludf.DUMMYFUNCTION("""COMPUTED_VALUE"""),"en")</f>
        <v>en</v>
      </c>
      <c r="B1201">
        <f>IFERROR(__xludf.DUMMYFUNCTION("""COMPUTED_VALUE"""),733228.0)</f>
        <v>733228</v>
      </c>
      <c r="C1201" t="str">
        <f>IFERROR(__xludf.DUMMYFUNCTION("""COMPUTED_VALUE"""),"Copywriting - The Psychology Of Your Irresistible Offer")</f>
        <v>Copywriting - The Psychology Of Your Irresistible Offer</v>
      </c>
    </row>
    <row r="1202">
      <c r="A1202" s="140" t="str">
        <f>IFERROR(__xludf.DUMMYFUNCTION("""COMPUTED_VALUE"""),"es")</f>
        <v>es</v>
      </c>
      <c r="B1202">
        <f>IFERROR(__xludf.DUMMYFUNCTION("""COMPUTED_VALUE"""),932624.0)</f>
        <v>932624</v>
      </c>
      <c r="C1202" t="str">
        <f>IFERROR(__xludf.DUMMYFUNCTION("""COMPUTED_VALUE"""),"Transformación Digital para Empresas y Profesionales.")</f>
        <v>Transformación Digital para Empresas y Profesionales.</v>
      </c>
    </row>
    <row r="1203">
      <c r="A1203" s="140" t="str">
        <f>IFERROR(__xludf.DUMMYFUNCTION("""COMPUTED_VALUE"""),"de")</f>
        <v>de</v>
      </c>
      <c r="B1203">
        <f>IFERROR(__xludf.DUMMYFUNCTION("""COMPUTED_VALUE"""),1229104.0)</f>
        <v>1229104</v>
      </c>
      <c r="C1203" t="str">
        <f>IFERROR(__xludf.DUMMYFUNCTION("""COMPUTED_VALUE"""),"Adobe Lightroom: Alles komplett von A bis Z inkl. Plugins")</f>
        <v>Adobe Lightroom: Alles komplett von A bis Z inkl. Plugins</v>
      </c>
    </row>
    <row r="1204">
      <c r="A1204" s="140" t="str">
        <f>IFERROR(__xludf.DUMMYFUNCTION("""COMPUTED_VALUE"""),"en")</f>
        <v>en</v>
      </c>
      <c r="B1204">
        <f>IFERROR(__xludf.DUMMYFUNCTION("""COMPUTED_VALUE"""),836302.0)</f>
        <v>836302</v>
      </c>
      <c r="C1204" t="str">
        <f>IFERROR(__xludf.DUMMYFUNCTION("""COMPUTED_VALUE"""),"Happiness Psychology: 5 Proven Tips")</f>
        <v>Happiness Psychology: 5 Proven Tips</v>
      </c>
    </row>
    <row r="1205">
      <c r="A1205" s="140" t="str">
        <f>IFERROR(__xludf.DUMMYFUNCTION("""COMPUTED_VALUE"""),"es")</f>
        <v>es</v>
      </c>
      <c r="B1205">
        <f>IFERROR(__xludf.DUMMYFUNCTION("""COMPUTED_VALUE"""),2213954.0)</f>
        <v>2213954</v>
      </c>
      <c r="C1205" t="str">
        <f>IFERROR(__xludf.DUMMYFUNCTION("""COMPUTED_VALUE"""),"Aprende a administrar Facebook para tu negocio desde 0%")</f>
        <v>Aprende a administrar Facebook para tu negocio desde 0%</v>
      </c>
    </row>
    <row r="1206">
      <c r="A1206" s="140" t="str">
        <f>IFERROR(__xludf.DUMMYFUNCTION("""COMPUTED_VALUE"""),"fr")</f>
        <v>fr</v>
      </c>
      <c r="B1206">
        <f>IFERROR(__xludf.DUMMYFUNCTION("""COMPUTED_VALUE"""),805992.0)</f>
        <v>805992</v>
      </c>
      <c r="C1206" t="str">
        <f>IFERROR(__xludf.DUMMYFUNCTION("""COMPUTED_VALUE"""),"Formation Complète Développeur Web")</f>
        <v>Formation Complète Développeur Web</v>
      </c>
    </row>
    <row r="1207">
      <c r="A1207" s="140" t="str">
        <f>IFERROR(__xludf.DUMMYFUNCTION("""COMPUTED_VALUE"""),"pt")</f>
        <v>pt</v>
      </c>
      <c r="B1207">
        <f>IFERROR(__xludf.DUMMYFUNCTION("""COMPUTED_VALUE"""),3125000.0)</f>
        <v>3125000</v>
      </c>
      <c r="C1207" t="str">
        <f>IFERROR(__xludf.DUMMYFUNCTION("""COMPUTED_VALUE"""),"Google Analytics COMPLETO - Do Zero ao PRO")</f>
        <v>Google Analytics COMPLETO - Do Zero ao PRO</v>
      </c>
    </row>
    <row r="1208">
      <c r="A1208" s="140" t="str">
        <f>IFERROR(__xludf.DUMMYFUNCTION("""COMPUTED_VALUE"""),"en")</f>
        <v>en</v>
      </c>
      <c r="B1208">
        <f>IFERROR(__xludf.DUMMYFUNCTION("""COMPUTED_VALUE"""),928478.0)</f>
        <v>928478</v>
      </c>
      <c r="C1208" t="str">
        <f>IFERROR(__xludf.DUMMYFUNCTION("""COMPUTED_VALUE"""),"Intellectual Property: Inventors, Entrepreneurs, Creators")</f>
        <v>Intellectual Property: Inventors, Entrepreneurs, Creators</v>
      </c>
    </row>
    <row r="1209">
      <c r="A1209" s="140" t="str">
        <f>IFERROR(__xludf.DUMMYFUNCTION("""COMPUTED_VALUE"""),"en")</f>
        <v>en</v>
      </c>
      <c r="B1209">
        <f>IFERROR(__xludf.DUMMYFUNCTION("""COMPUTED_VALUE"""),2645756.0)</f>
        <v>2645756</v>
      </c>
      <c r="C1209" t="str">
        <f>IFERROR(__xludf.DUMMYFUNCTION("""COMPUTED_VALUE"""),"Identity Federation using Microsoft ADFS And Azure AD")</f>
        <v>Identity Federation using Microsoft ADFS And Azure AD</v>
      </c>
    </row>
    <row r="1210">
      <c r="A1210" s="140" t="str">
        <f>IFERROR(__xludf.DUMMYFUNCTION("""COMPUTED_VALUE"""),"en")</f>
        <v>en</v>
      </c>
      <c r="B1210">
        <f>IFERROR(__xludf.DUMMYFUNCTION("""COMPUTED_VALUE"""),791548.0)</f>
        <v>791548</v>
      </c>
      <c r="C1210" t="str">
        <f>IFERROR(__xludf.DUMMYFUNCTION("""COMPUTED_VALUE"""),"Scala Applied, Part 1")</f>
        <v>Scala Applied, Part 1</v>
      </c>
    </row>
    <row r="1211">
      <c r="A1211" s="140" t="str">
        <f>IFERROR(__xludf.DUMMYFUNCTION("""COMPUTED_VALUE"""),"en")</f>
        <v>en</v>
      </c>
      <c r="B1211">
        <f>IFERROR(__xludf.DUMMYFUNCTION("""COMPUTED_VALUE"""),1790358.0)</f>
        <v>1790358</v>
      </c>
      <c r="C1211" t="str">
        <f>IFERROR(__xludf.DUMMYFUNCTION("""COMPUTED_VALUE"""),"Digital Marketing Automation: Save Time and Get More Done")</f>
        <v>Digital Marketing Automation: Save Time and Get More Done</v>
      </c>
    </row>
    <row r="1212">
      <c r="A1212" s="140" t="str">
        <f>IFERROR(__xludf.DUMMYFUNCTION("""COMPUTED_VALUE"""),"en")</f>
        <v>en</v>
      </c>
      <c r="B1212">
        <f>IFERROR(__xludf.DUMMYFUNCTION("""COMPUTED_VALUE"""),2567118.0)</f>
        <v>2567118</v>
      </c>
      <c r="C1212" t="str">
        <f>IFERROR(__xludf.DUMMYFUNCTION("""COMPUTED_VALUE"""),"Practice Exam | AWS Certified DevOps Engineer Professional")</f>
        <v>Practice Exam | AWS Certified DevOps Engineer Professional</v>
      </c>
    </row>
    <row r="1213">
      <c r="A1213" s="140" t="str">
        <f>IFERROR(__xludf.DUMMYFUNCTION("""COMPUTED_VALUE"""),"en")</f>
        <v>en</v>
      </c>
      <c r="B1213">
        <f>IFERROR(__xludf.DUMMYFUNCTION("""COMPUTED_VALUE"""),1336420.0)</f>
        <v>1336420</v>
      </c>
      <c r="C1213" t="str">
        <f>IFERROR(__xludf.DUMMYFUNCTION("""COMPUTED_VALUE"""),"PHP: The Complete PHP MVC Course")</f>
        <v>PHP: The Complete PHP MVC Course</v>
      </c>
    </row>
    <row r="1214">
      <c r="A1214" s="140" t="str">
        <f>IFERROR(__xludf.DUMMYFUNCTION("""COMPUTED_VALUE"""),"es")</f>
        <v>es</v>
      </c>
      <c r="B1214">
        <f>IFERROR(__xludf.DUMMYFUNCTION("""COMPUTED_VALUE"""),990674.0)</f>
        <v>990674</v>
      </c>
      <c r="C1214" t="str">
        <f>IFERROR(__xludf.DUMMYFUNCTION("""COMPUTED_VALUE"""),"Curso de NodeJS y Angular - Crea webapps con el MEAN Stack")</f>
        <v>Curso de NodeJS y Angular - Crea webapps con el MEAN Stack</v>
      </c>
    </row>
    <row r="1215">
      <c r="A1215" s="140" t="str">
        <f>IFERROR(__xludf.DUMMYFUNCTION("""COMPUTED_VALUE"""),"en")</f>
        <v>en</v>
      </c>
      <c r="B1215">
        <f>IFERROR(__xludf.DUMMYFUNCTION("""COMPUTED_VALUE"""),895138.0)</f>
        <v>895138</v>
      </c>
      <c r="C1215" t="str">
        <f>IFERROR(__xludf.DUMMYFUNCTION("""COMPUTED_VALUE"""),"JSP, Servlet, JSLT + Hibernate: A complete guide")</f>
        <v>JSP, Servlet, JSLT + Hibernate: A complete guide</v>
      </c>
    </row>
    <row r="1216">
      <c r="A1216" s="140" t="str">
        <f>IFERROR(__xludf.DUMMYFUNCTION("""COMPUTED_VALUE"""),"es")</f>
        <v>es</v>
      </c>
      <c r="B1216">
        <f>IFERROR(__xludf.DUMMYFUNCTION("""COMPUTED_VALUE"""),2767652.0)</f>
        <v>2767652</v>
      </c>
      <c r="C1216" t="str">
        <f>IFERROR(__xludf.DUMMYFUNCTION("""COMPUTED_VALUE"""),"Tienda Online: NodeJS + MongoDB + Stripe + GraphQL - MEAN+G")</f>
        <v>Tienda Online: NodeJS + MongoDB + Stripe + GraphQL - MEAN+G</v>
      </c>
    </row>
    <row r="1217">
      <c r="A1217" s="140" t="str">
        <f>IFERROR(__xludf.DUMMYFUNCTION("""COMPUTED_VALUE"""),"es")</f>
        <v>es</v>
      </c>
      <c r="B1217">
        <f>IFERROR(__xludf.DUMMYFUNCTION("""COMPUTED_VALUE"""),1716582.0)</f>
        <v>1716582</v>
      </c>
      <c r="C1217" t="str">
        <f>IFERROR(__xludf.DUMMYFUNCTION("""COMPUTED_VALUE"""),"Liderazgo 2020. Mejores prácticas")</f>
        <v>Liderazgo 2020. Mejores prácticas</v>
      </c>
    </row>
    <row r="1218">
      <c r="A1218" s="140" t="str">
        <f>IFERROR(__xludf.DUMMYFUNCTION("""COMPUTED_VALUE"""),"en")</f>
        <v>en</v>
      </c>
      <c r="B1218">
        <f>IFERROR(__xludf.DUMMYFUNCTION("""COMPUTED_VALUE"""),2289889.0)</f>
        <v>2289889</v>
      </c>
      <c r="C1218" t="str">
        <f>IFERROR(__xludf.DUMMYFUNCTION("""COMPUTED_VALUE"""),"ANSYS ICEMCFD Hexa Basic course  (Part 1)")</f>
        <v>ANSYS ICEMCFD Hexa Basic course  (Part 1)</v>
      </c>
    </row>
    <row r="1219">
      <c r="A1219" s="140" t="str">
        <f>IFERROR(__xludf.DUMMYFUNCTION("""COMPUTED_VALUE"""),"en")</f>
        <v>en</v>
      </c>
      <c r="B1219">
        <f>IFERROR(__xludf.DUMMYFUNCTION("""COMPUTED_VALUE"""),1105316.0)</f>
        <v>1105316</v>
      </c>
      <c r="C1219" t="str">
        <f>IFERROR(__xludf.DUMMYFUNCTION("""COMPUTED_VALUE"""),"Big Geospatial Data Analysis with Google Earth Engine")</f>
        <v>Big Geospatial Data Analysis with Google Earth Engine</v>
      </c>
    </row>
    <row r="1220">
      <c r="A1220" s="140" t="str">
        <f>IFERROR(__xludf.DUMMYFUNCTION("""COMPUTED_VALUE"""),"en")</f>
        <v>en</v>
      </c>
      <c r="B1220">
        <f>IFERROR(__xludf.DUMMYFUNCTION("""COMPUTED_VALUE"""),3874244.0)</f>
        <v>3874244</v>
      </c>
      <c r="C1220" t="str">
        <f>IFERROR(__xludf.DUMMYFUNCTION("""COMPUTED_VALUE"""),"The Windows Presentation Foundation WPF Guide for beginners")</f>
        <v>The Windows Presentation Foundation WPF Guide for beginners</v>
      </c>
    </row>
    <row r="1221">
      <c r="A1221" s="140" t="str">
        <f>IFERROR(__xludf.DUMMYFUNCTION("""COMPUTED_VALUE"""),"de")</f>
        <v>de</v>
      </c>
      <c r="B1221">
        <f>IFERROR(__xludf.DUMMYFUNCTION("""COMPUTED_VALUE"""),3749850.0)</f>
        <v>3749850</v>
      </c>
      <c r="C1221" t="str">
        <f>IFERROR(__xludf.DUMMYFUNCTION("""COMPUTED_VALUE"""),"Die große Kryptowährungen Masterclass - Das Komplettpaket")</f>
        <v>Die große Kryptowährungen Masterclass - Das Komplettpaket</v>
      </c>
    </row>
    <row r="1222">
      <c r="A1222" s="140" t="str">
        <f>IFERROR(__xludf.DUMMYFUNCTION("""COMPUTED_VALUE"""),"ja")</f>
        <v>ja</v>
      </c>
      <c r="B1222">
        <f>IFERROR(__xludf.DUMMYFUNCTION("""COMPUTED_VALUE"""),4125072.0)</f>
        <v>4125072</v>
      </c>
      <c r="C1222" t="str">
        <f>IFERROR(__xludf.DUMMYFUNCTION("""COMPUTED_VALUE"""),"【2021年最新】現場のプロが教えるfigma初心者はまずはこれ！|０からWEBサイトを簡単に作成。爆速習得裏ワザ公開")</f>
        <v>【2021年最新】現場のプロが教えるfigma初心者はまずはこれ！|０からWEBサイトを簡単に作成。爆速習得裏ワザ公開</v>
      </c>
    </row>
    <row r="1223">
      <c r="A1223" s="140" t="str">
        <f>IFERROR(__xludf.DUMMYFUNCTION("""COMPUTED_VALUE"""),"es")</f>
        <v>es</v>
      </c>
      <c r="B1223">
        <f>IFERROR(__xludf.DUMMYFUNCTION("""COMPUTED_VALUE"""),2541416.0)</f>
        <v>2541416</v>
      </c>
      <c r="C1223" t="str">
        <f>IFERROR(__xludf.DUMMYFUNCTION("""COMPUTED_VALUE"""),"Entrena Tu Mente: Aumenta tus Capacidades Cerebrales.")</f>
        <v>Entrena Tu Mente: Aumenta tus Capacidades Cerebrales.</v>
      </c>
    </row>
    <row r="1224">
      <c r="A1224" s="140" t="str">
        <f>IFERROR(__xludf.DUMMYFUNCTION("""COMPUTED_VALUE"""),"tr")</f>
        <v>tr</v>
      </c>
      <c r="B1224">
        <f>IFERROR(__xludf.DUMMYFUNCTION("""COMPUTED_VALUE"""),2936306.0)</f>
        <v>2936306</v>
      </c>
      <c r="C1224" t="str">
        <f>IFERROR(__xludf.DUMMYFUNCTION("""COMPUTED_VALUE"""),"Appinventor ile Mobil Programlama")</f>
        <v>Appinventor ile Mobil Programlama</v>
      </c>
    </row>
    <row r="1225">
      <c r="A1225" s="140" t="str">
        <f>IFERROR(__xludf.DUMMYFUNCTION("""COMPUTED_VALUE"""),"en")</f>
        <v>en</v>
      </c>
      <c r="B1225">
        <f>IFERROR(__xludf.DUMMYFUNCTION("""COMPUTED_VALUE"""),1770580.0)</f>
        <v>1770580</v>
      </c>
      <c r="C1225" t="str">
        <f>IFERROR(__xludf.DUMMYFUNCTION("""COMPUTED_VALUE"""),"Build NodeJS applications with Mongodb")</f>
        <v>Build NodeJS applications with Mongodb</v>
      </c>
    </row>
    <row r="1226">
      <c r="A1226" s="140" t="str">
        <f>IFERROR(__xludf.DUMMYFUNCTION("""COMPUTED_VALUE"""),"es")</f>
        <v>es</v>
      </c>
      <c r="B1226">
        <f>IFERROR(__xludf.DUMMYFUNCTION("""COMPUTED_VALUE"""),902626.0)</f>
        <v>902626</v>
      </c>
      <c r="C1226" t="str">
        <f>IFERROR(__xludf.DUMMYFUNCTION("""COMPUTED_VALUE"""),"Aprende a programar y crea tus programas desde cero")</f>
        <v>Aprende a programar y crea tus programas desde cero</v>
      </c>
    </row>
    <row r="1227">
      <c r="A1227" s="140" t="str">
        <f>IFERROR(__xludf.DUMMYFUNCTION("""COMPUTED_VALUE"""),"en")</f>
        <v>en</v>
      </c>
      <c r="B1227">
        <f>IFERROR(__xludf.DUMMYFUNCTION("""COMPUTED_VALUE"""),1856566.0)</f>
        <v>1856566</v>
      </c>
      <c r="C1227" t="str">
        <f>IFERROR(__xludf.DUMMYFUNCTION("""COMPUTED_VALUE"""),"Full Stack Project: Spring Boot 2.0, ReactJS, Redux")</f>
        <v>Full Stack Project: Spring Boot 2.0, ReactJS, Redux</v>
      </c>
    </row>
    <row r="1228">
      <c r="A1228" s="140" t="str">
        <f>IFERROR(__xludf.DUMMYFUNCTION("""COMPUTED_VALUE"""),"en")</f>
        <v>en</v>
      </c>
      <c r="B1228">
        <f>IFERROR(__xludf.DUMMYFUNCTION("""COMPUTED_VALUE"""),1384082.0)</f>
        <v>1384082</v>
      </c>
      <c r="C1228" t="str">
        <f>IFERROR(__xludf.DUMMYFUNCTION("""COMPUTED_VALUE"""),"Bank Reconciliation Statement  using Excel - Easy Guide")</f>
        <v>Bank Reconciliation Statement  using Excel - Easy Guide</v>
      </c>
    </row>
    <row r="1229">
      <c r="A1229" s="140" t="str">
        <f>IFERROR(__xludf.DUMMYFUNCTION("""COMPUTED_VALUE"""),"en")</f>
        <v>en</v>
      </c>
      <c r="B1229">
        <f>IFERROR(__xludf.DUMMYFUNCTION("""COMPUTED_VALUE"""),3734830.0)</f>
        <v>3734830</v>
      </c>
      <c r="C1229" t="str">
        <f>IFERROR(__xludf.DUMMYFUNCTION("""COMPUTED_VALUE"""),"International Trade Finance - An Overview")</f>
        <v>International Trade Finance - An Overview</v>
      </c>
    </row>
    <row r="1230">
      <c r="A1230" s="140" t="str">
        <f>IFERROR(__xludf.DUMMYFUNCTION("""COMPUTED_VALUE"""),"en")</f>
        <v>en</v>
      </c>
      <c r="B1230">
        <f>IFERROR(__xludf.DUMMYFUNCTION("""COMPUTED_VALUE"""),2504438.0)</f>
        <v>2504438</v>
      </c>
      <c r="C1230" t="str">
        <f>IFERROR(__xludf.DUMMYFUNCTION("""COMPUTED_VALUE"""),"Apache Airflow: The Hands-On Guide")</f>
        <v>Apache Airflow: The Hands-On Guide</v>
      </c>
    </row>
    <row r="1231">
      <c r="A1231" s="140" t="str">
        <f>IFERROR(__xludf.DUMMYFUNCTION("""COMPUTED_VALUE"""),"en")</f>
        <v>en</v>
      </c>
      <c r="B1231">
        <f>IFERROR(__xludf.DUMMYFUNCTION("""COMPUTED_VALUE"""),661628.0)</f>
        <v>661628</v>
      </c>
      <c r="C1231" t="str">
        <f>IFERROR(__xludf.DUMMYFUNCTION("""COMPUTED_VALUE"""),"Logo Design: Mastering the Wordmark")</f>
        <v>Logo Design: Mastering the Wordmark</v>
      </c>
    </row>
    <row r="1232">
      <c r="A1232" s="140" t="str">
        <f>IFERROR(__xludf.DUMMYFUNCTION("""COMPUTED_VALUE"""),"en")</f>
        <v>en</v>
      </c>
      <c r="B1232">
        <f>IFERROR(__xludf.DUMMYFUNCTION("""COMPUTED_VALUE"""),496924.0)</f>
        <v>496924</v>
      </c>
      <c r="C1232" t="str">
        <f>IFERROR(__xludf.DUMMYFUNCTION("""COMPUTED_VALUE"""),"[2022] Growth Hacking with Digital Marketing (Version 7.4)")</f>
        <v>[2022] Growth Hacking with Digital Marketing (Version 7.4)</v>
      </c>
    </row>
    <row r="1233">
      <c r="A1233" s="140" t="str">
        <f>IFERROR(__xludf.DUMMYFUNCTION("""COMPUTED_VALUE"""),"en")</f>
        <v>en</v>
      </c>
      <c r="B1233">
        <f>IFERROR(__xludf.DUMMYFUNCTION("""COMPUTED_VALUE"""),1363378.0)</f>
        <v>1363378</v>
      </c>
      <c r="C1233" t="str">
        <f>IFERROR(__xludf.DUMMYFUNCTION("""COMPUTED_VALUE"""),"Linux for Network Engineers: Practical Linux with GNS3")</f>
        <v>Linux for Network Engineers: Practical Linux with GNS3</v>
      </c>
    </row>
    <row r="1234">
      <c r="A1234" s="140" t="str">
        <f>IFERROR(__xludf.DUMMYFUNCTION("""COMPUTED_VALUE"""),"en")</f>
        <v>en</v>
      </c>
      <c r="B1234">
        <f>IFERROR(__xludf.DUMMYFUNCTION("""COMPUTED_VALUE"""),1047436.0)</f>
        <v>1047436</v>
      </c>
      <c r="C1234" t="str">
        <f>IFERROR(__xludf.DUMMYFUNCTION("""COMPUTED_VALUE"""),"How to Draw and Sketch for Absolute Beginners pt 1")</f>
        <v>How to Draw and Sketch for Absolute Beginners pt 1</v>
      </c>
    </row>
    <row r="1235">
      <c r="A1235" s="140" t="str">
        <f>IFERROR(__xludf.DUMMYFUNCTION("""COMPUTED_VALUE"""),"en")</f>
        <v>en</v>
      </c>
      <c r="B1235">
        <f>IFERROR(__xludf.DUMMYFUNCTION("""COMPUTED_VALUE"""),3150584.0)</f>
        <v>3150584</v>
      </c>
      <c r="C1235" t="str">
        <f>IFERROR(__xludf.DUMMYFUNCTION("""COMPUTED_VALUE"""),"Machine Learning No-Code Approach: Using Azure ML Studio")</f>
        <v>Machine Learning No-Code Approach: Using Azure ML Studio</v>
      </c>
    </row>
    <row r="1236">
      <c r="A1236" s="140" t="str">
        <f>IFERROR(__xludf.DUMMYFUNCTION("""COMPUTED_VALUE"""),"en")</f>
        <v>en</v>
      </c>
      <c r="B1236">
        <f>IFERROR(__xludf.DUMMYFUNCTION("""COMPUTED_VALUE"""),1434698.0)</f>
        <v>1434698</v>
      </c>
      <c r="C1236" t="str">
        <f>IFERROR(__xludf.DUMMYFUNCTION("""COMPUTED_VALUE"""),"[2022] Negotiating: Learn Negotiation Skills in 70 Minutes!")</f>
        <v>[2022] Negotiating: Learn Negotiation Skills in 70 Minutes!</v>
      </c>
    </row>
    <row r="1237">
      <c r="A1237" s="140" t="str">
        <f>IFERROR(__xludf.DUMMYFUNCTION("""COMPUTED_VALUE"""),"en")</f>
        <v>en</v>
      </c>
      <c r="B1237">
        <f>IFERROR(__xludf.DUMMYFUNCTION("""COMPUTED_VALUE"""),2866094.0)</f>
        <v>2866094</v>
      </c>
      <c r="C1237" t="str">
        <f>IFERROR(__xludf.DUMMYFUNCTION("""COMPUTED_VALUE"""),"An Introduction to DataDog for Developers")</f>
        <v>An Introduction to DataDog for Developers</v>
      </c>
    </row>
    <row r="1238">
      <c r="A1238" s="140" t="str">
        <f>IFERROR(__xludf.DUMMYFUNCTION("""COMPUTED_VALUE"""),"ja")</f>
        <v>ja</v>
      </c>
      <c r="B1238">
        <f>IFERROR(__xludf.DUMMYFUNCTION("""COMPUTED_VALUE"""),3825352.0)</f>
        <v>3825352</v>
      </c>
      <c r="C1238" t="str">
        <f>IFERROR(__xludf.DUMMYFUNCTION("""COMPUTED_VALUE"""),"ノーコードツール【 Bubble 】を使ってツイッターを作ろう！（基礎をしっかり学べます）")</f>
        <v>ノーコードツール【 Bubble 】を使ってツイッターを作ろう！（基礎をしっかり学べます）</v>
      </c>
    </row>
    <row r="1239">
      <c r="A1239" s="140" t="str">
        <f>IFERROR(__xludf.DUMMYFUNCTION("""COMPUTED_VALUE"""),"ja")</f>
        <v>ja</v>
      </c>
      <c r="B1239">
        <f>IFERROR(__xludf.DUMMYFUNCTION("""COMPUTED_VALUE"""),2462266.0)</f>
        <v>2462266</v>
      </c>
      <c r="C1239" t="str">
        <f>IFERROR(__xludf.DUMMYFUNCTION("""COMPUTED_VALUE"""),"【iOS】SwiftUI 超入門 - Swift を基礎から学んで iOS (iPhone) アプリを開発しよう")</f>
        <v>【iOS】SwiftUI 超入門 - Swift を基礎から学んで iOS (iPhone) アプリを開発しよう</v>
      </c>
    </row>
    <row r="1240">
      <c r="A1240" s="140" t="str">
        <f>IFERROR(__xludf.DUMMYFUNCTION("""COMPUTED_VALUE"""),"es")</f>
        <v>es</v>
      </c>
      <c r="B1240">
        <f>IFERROR(__xludf.DUMMYFUNCTION("""COMPUTED_VALUE"""),1510132.0)</f>
        <v>1510132</v>
      </c>
      <c r="C1240" t="str">
        <f>IFERROR(__xludf.DUMMYFUNCTION("""COMPUTED_VALUE"""),"Aprende a usar un CRM (Customer Relationship Management)")</f>
        <v>Aprende a usar un CRM (Customer Relationship Management)</v>
      </c>
    </row>
    <row r="1241">
      <c r="A1241" s="140" t="str">
        <f>IFERROR(__xludf.DUMMYFUNCTION("""COMPUTED_VALUE"""),"en")</f>
        <v>en</v>
      </c>
      <c r="B1241">
        <f>IFERROR(__xludf.DUMMYFUNCTION("""COMPUTED_VALUE"""),226718.0)</f>
        <v>226718</v>
      </c>
      <c r="C1241" t="str">
        <f>IFERROR(__xludf.DUMMYFUNCTION("""COMPUTED_VALUE"""),"Productivity for Mac Users: 10x Your Productivity")</f>
        <v>Productivity for Mac Users: 10x Your Productivity</v>
      </c>
    </row>
    <row r="1242">
      <c r="A1242" s="140" t="str">
        <f>IFERROR(__xludf.DUMMYFUNCTION("""COMPUTED_VALUE"""),"ar")</f>
        <v>ar</v>
      </c>
      <c r="B1242">
        <f>IFERROR(__xludf.DUMMYFUNCTION("""COMPUTED_VALUE"""),1552376.0)</f>
        <v>1552376</v>
      </c>
      <c r="C1242" t="str">
        <f>IFERROR(__xludf.DUMMYFUNCTION("""COMPUTED_VALUE"""),"PMP Preparation Course 6th Edition includes 42 PDUs - Arabic")</f>
        <v>PMP Preparation Course 6th Edition includes 42 PDUs - Arabic</v>
      </c>
    </row>
    <row r="1243">
      <c r="A1243" s="140" t="str">
        <f>IFERROR(__xludf.DUMMYFUNCTION("""COMPUTED_VALUE"""),"en")</f>
        <v>en</v>
      </c>
      <c r="B1243">
        <f>IFERROR(__xludf.DUMMYFUNCTION("""COMPUTED_VALUE"""),1343662.0)</f>
        <v>1343662</v>
      </c>
      <c r="C1243" t="str">
        <f>IFERROR(__xludf.DUMMYFUNCTION("""COMPUTED_VALUE"""),"Selenium WebDriver with Java &amp; Cucumber BDD")</f>
        <v>Selenium WebDriver with Java &amp; Cucumber BDD</v>
      </c>
    </row>
    <row r="1244">
      <c r="A1244" s="140" t="str">
        <f>IFERROR(__xludf.DUMMYFUNCTION("""COMPUTED_VALUE"""),"tr")</f>
        <v>tr</v>
      </c>
      <c r="B1244">
        <f>IFERROR(__xludf.DUMMYFUNCTION("""COMPUTED_VALUE"""),3542884.0)</f>
        <v>3542884</v>
      </c>
      <c r="C1244" t="str">
        <f>IFERROR(__xludf.DUMMYFUNCTION("""COMPUTED_VALUE"""),"KALİTE MÜHENDİSİ YETİŞTİRME KURSU (Yeni başlayanlar için)")</f>
        <v>KALİTE MÜHENDİSİ YETİŞTİRME KURSU (Yeni başlayanlar için)</v>
      </c>
    </row>
    <row r="1245">
      <c r="A1245" s="140" t="str">
        <f>IFERROR(__xludf.DUMMYFUNCTION("""COMPUTED_VALUE"""),"en")</f>
        <v>en</v>
      </c>
      <c r="B1245">
        <f>IFERROR(__xludf.DUMMYFUNCTION("""COMPUTED_VALUE"""),2780734.0)</f>
        <v>2780734</v>
      </c>
      <c r="C1245" t="str">
        <f>IFERROR(__xludf.DUMMYFUNCTION("""COMPUTED_VALUE"""),"Vue JS 2 + Google Maps API: Build Location Based Web Apps")</f>
        <v>Vue JS 2 + Google Maps API: Build Location Based Web Apps</v>
      </c>
    </row>
    <row r="1246">
      <c r="A1246" s="140" t="str">
        <f>IFERROR(__xludf.DUMMYFUNCTION("""COMPUTED_VALUE"""),"en")</f>
        <v>en</v>
      </c>
      <c r="B1246">
        <f>IFERROR(__xludf.DUMMYFUNCTION("""COMPUTED_VALUE"""),476622.0)</f>
        <v>476622</v>
      </c>
      <c r="C1246" t="str">
        <f>IFERROR(__xludf.DUMMYFUNCTION("""COMPUTED_VALUE"""),"Basel Norms (Basel 1/ Basel 2/ Basel 3 till 2015) Simplified")</f>
        <v>Basel Norms (Basel 1/ Basel 2/ Basel 3 till 2015) Simplified</v>
      </c>
    </row>
    <row r="1247">
      <c r="A1247" s="140" t="str">
        <f>IFERROR(__xludf.DUMMYFUNCTION("""COMPUTED_VALUE"""),"en")</f>
        <v>en</v>
      </c>
      <c r="B1247">
        <f>IFERROR(__xludf.DUMMYFUNCTION("""COMPUTED_VALUE"""),3711744.0)</f>
        <v>3711744</v>
      </c>
      <c r="C1247" t="str">
        <f>IFERROR(__xludf.DUMMYFUNCTION("""COMPUTED_VALUE"""),"5G Masterclass: Architecture, NR RAN, Core and Call flows")</f>
        <v>5G Masterclass: Architecture, NR RAN, Core and Call flows</v>
      </c>
    </row>
    <row r="1248">
      <c r="A1248" s="140" t="str">
        <f>IFERROR(__xludf.DUMMYFUNCTION("""COMPUTED_VALUE"""),"pt")</f>
        <v>pt</v>
      </c>
      <c r="B1248">
        <f>IFERROR(__xludf.DUMMYFUNCTION("""COMPUTED_VALUE"""),1561402.0)</f>
        <v>1561402</v>
      </c>
      <c r="C1248" t="str">
        <f>IFERROR(__xludf.DUMMYFUNCTION("""COMPUTED_VALUE"""),"Algoritmos Inteligentes de Busca com Python")</f>
        <v>Algoritmos Inteligentes de Busca com Python</v>
      </c>
    </row>
    <row r="1249">
      <c r="A1249" s="140" t="str">
        <f>IFERROR(__xludf.DUMMYFUNCTION("""COMPUTED_VALUE"""),"en")</f>
        <v>en</v>
      </c>
      <c r="B1249">
        <f>IFERROR(__xludf.DUMMYFUNCTION("""COMPUTED_VALUE"""),830834.0)</f>
        <v>830834</v>
      </c>
      <c r="C1249" t="str">
        <f>IFERROR(__xludf.DUMMYFUNCTION("""COMPUTED_VALUE"""),"Learn jQuery for beginners web development")</f>
        <v>Learn jQuery for beginners web development</v>
      </c>
    </row>
    <row r="1250">
      <c r="A1250" s="140" t="str">
        <f>IFERROR(__xludf.DUMMYFUNCTION("""COMPUTED_VALUE"""),"en")</f>
        <v>en</v>
      </c>
      <c r="B1250">
        <f>IFERROR(__xludf.DUMMYFUNCTION("""COMPUTED_VALUE"""),2493580.0)</f>
        <v>2493580</v>
      </c>
      <c r="C1250" t="str">
        <f>IFERROR(__xludf.DUMMYFUNCTION("""COMPUTED_VALUE"""),"Creating Accessible Websites")</f>
        <v>Creating Accessible Websites</v>
      </c>
    </row>
    <row r="1251">
      <c r="A1251" s="140" t="str">
        <f>IFERROR(__xludf.DUMMYFUNCTION("""COMPUTED_VALUE"""),"ja")</f>
        <v>ja</v>
      </c>
      <c r="B1251">
        <f>IFERROR(__xludf.DUMMYFUNCTION("""COMPUTED_VALUE"""),3572357.0)</f>
        <v>3572357</v>
      </c>
      <c r="C1251" t="str">
        <f>IFERROR(__xludf.DUMMYFUNCTION("""COMPUTED_VALUE"""),"ノンデザイナーのための「デザインをする前に知っておきたい7ステップ」〜問題解決に向けた思考の整理術〜")</f>
        <v>ノンデザイナーのための「デザインをする前に知っておきたい7ステップ」〜問題解決に向けた思考の整理術〜</v>
      </c>
    </row>
    <row r="1252">
      <c r="A1252" s="140" t="str">
        <f>IFERROR(__xludf.DUMMYFUNCTION("""COMPUTED_VALUE"""),"es")</f>
        <v>es</v>
      </c>
      <c r="B1252">
        <f>IFERROR(__xludf.DUMMYFUNCTION("""COMPUTED_VALUE"""),3145366.0)</f>
        <v>3145366</v>
      </c>
      <c r="C1252" t="str">
        <f>IFERROR(__xludf.DUMMYFUNCTION("""COMPUTED_VALUE"""),"Domina Microsoft Word 2019: De cero a experto")</f>
        <v>Domina Microsoft Word 2019: De cero a experto</v>
      </c>
    </row>
    <row r="1253">
      <c r="A1253" s="140" t="str">
        <f>IFERROR(__xludf.DUMMYFUNCTION("""COMPUTED_VALUE"""),"fr")</f>
        <v>fr</v>
      </c>
      <c r="B1253">
        <f>IFERROR(__xludf.DUMMYFUNCTION("""COMPUTED_VALUE"""),762174.0)</f>
        <v>762174</v>
      </c>
      <c r="C1253" t="str">
        <f>IFERROR(__xludf.DUMMYFUNCTION("""COMPUTED_VALUE"""),"Bootstrap - Le Cours Complet")</f>
        <v>Bootstrap - Le Cours Complet</v>
      </c>
    </row>
    <row r="1254">
      <c r="A1254" s="140" t="str">
        <f>IFERROR(__xludf.DUMMYFUNCTION("""COMPUTED_VALUE"""),"en")</f>
        <v>en</v>
      </c>
      <c r="B1254">
        <f>IFERROR(__xludf.DUMMYFUNCTION("""COMPUTED_VALUE"""),1711158.0)</f>
        <v>1711158</v>
      </c>
      <c r="C1254" t="str">
        <f>IFERROR(__xludf.DUMMYFUNCTION("""COMPUTED_VALUE"""),"Prepare &amp; Pass AWS Certified Cloud Practitioner Exam")</f>
        <v>Prepare &amp; Pass AWS Certified Cloud Practitioner Exam</v>
      </c>
    </row>
    <row r="1255">
      <c r="A1255" s="140" t="str">
        <f>IFERROR(__xludf.DUMMYFUNCTION("""COMPUTED_VALUE"""),"en")</f>
        <v>en</v>
      </c>
      <c r="B1255">
        <f>IFERROR(__xludf.DUMMYFUNCTION("""COMPUTED_VALUE"""),1265618.0)</f>
        <v>1265618</v>
      </c>
      <c r="C1255" t="str">
        <f>IFERROR(__xludf.DUMMYFUNCTION("""COMPUTED_VALUE"""),"Learn English Speaking Course: English speaking secrets")</f>
        <v>Learn English Speaking Course: English speaking secrets</v>
      </c>
    </row>
    <row r="1256">
      <c r="A1256" s="140" t="str">
        <f>IFERROR(__xludf.DUMMYFUNCTION("""COMPUTED_VALUE"""),"pt")</f>
        <v>pt</v>
      </c>
      <c r="B1256">
        <f>IFERROR(__xludf.DUMMYFUNCTION("""COMPUTED_VALUE"""),1329656.0)</f>
        <v>1329656</v>
      </c>
      <c r="C1256" t="str">
        <f>IFERROR(__xludf.DUMMYFUNCTION("""COMPUTED_VALUE"""),"API RESTful com Spring Boot e Java 8 - Guia de Referência")</f>
        <v>API RESTful com Spring Boot e Java 8 - Guia de Referência</v>
      </c>
    </row>
    <row r="1257">
      <c r="A1257" s="140" t="str">
        <f>IFERROR(__xludf.DUMMYFUNCTION("""COMPUTED_VALUE"""),"es")</f>
        <v>es</v>
      </c>
      <c r="B1257">
        <f>IFERROR(__xludf.DUMMYFUNCTION("""COMPUTED_VALUE"""),3224649.0)</f>
        <v>3224649</v>
      </c>
      <c r="C1257" t="str">
        <f>IFERROR(__xludf.DUMMYFUNCTION("""COMPUTED_VALUE"""),"El mejor método para aprender inglés conversacional.")</f>
        <v>El mejor método para aprender inglés conversacional.</v>
      </c>
    </row>
    <row r="1258">
      <c r="A1258" s="140" t="str">
        <f>IFERROR(__xludf.DUMMYFUNCTION("""COMPUTED_VALUE"""),"ja")</f>
        <v>ja</v>
      </c>
      <c r="B1258">
        <f>IFERROR(__xludf.DUMMYFUNCTION("""COMPUTED_VALUE"""),2707752.0)</f>
        <v>2707752</v>
      </c>
      <c r="C1258" t="str">
        <f>IFERROR(__xludf.DUMMYFUNCTION("""COMPUTED_VALUE"""),"【JavaScript＆CSS】ガチで学びたい人のためのWEB開発徹底実践（フロントエンド編）")</f>
        <v>【JavaScript＆CSS】ガチで学びたい人のためのWEB開発徹底実践（フロントエンド編）</v>
      </c>
    </row>
    <row r="1259">
      <c r="A1259" s="140" t="str">
        <f>IFERROR(__xludf.DUMMYFUNCTION("""COMPUTED_VALUE"""),"pt")</f>
        <v>pt</v>
      </c>
      <c r="B1259">
        <f>IFERROR(__xludf.DUMMYFUNCTION("""COMPUTED_VALUE"""),2414176.0)</f>
        <v>2414176</v>
      </c>
      <c r="C1259" t="str">
        <f>IFERROR(__xludf.DUMMYFUNCTION("""COMPUTED_VALUE"""),"Docker do 0 à Maestria: Contêineres Desmistificados + BÔNUS")</f>
        <v>Docker do 0 à Maestria: Contêineres Desmistificados + BÔNUS</v>
      </c>
    </row>
    <row r="1260">
      <c r="A1260" s="140" t="str">
        <f>IFERROR(__xludf.DUMMYFUNCTION("""COMPUTED_VALUE"""),"en")</f>
        <v>en</v>
      </c>
      <c r="B1260">
        <f>IFERROR(__xludf.DUMMYFUNCTION("""COMPUTED_VALUE"""),2357210.0)</f>
        <v>2357210</v>
      </c>
      <c r="C1260" t="str">
        <f>IFERROR(__xludf.DUMMYFUNCTION("""COMPUTED_VALUE"""),"The Ultimate Hands-On Lightning Web Component")</f>
        <v>The Ultimate Hands-On Lightning Web Component</v>
      </c>
    </row>
    <row r="1261">
      <c r="A1261" s="140" t="str">
        <f>IFERROR(__xludf.DUMMYFUNCTION("""COMPUTED_VALUE"""),"en")</f>
        <v>en</v>
      </c>
      <c r="B1261">
        <f>IFERROR(__xludf.DUMMYFUNCTION("""COMPUTED_VALUE"""),4174868.0)</f>
        <v>4174868</v>
      </c>
      <c r="C1261" t="str">
        <f>IFERROR(__xludf.DUMMYFUNCTION("""COMPUTED_VALUE"""),"Learn Microsoft Publisher 2016 Complete Course for Beginners")</f>
        <v>Learn Microsoft Publisher 2016 Complete Course for Beginners</v>
      </c>
    </row>
    <row r="1262">
      <c r="A1262" s="140" t="str">
        <f>IFERROR(__xludf.DUMMYFUNCTION("""COMPUTED_VALUE"""),"en")</f>
        <v>en</v>
      </c>
      <c r="B1262">
        <f>IFERROR(__xludf.DUMMYFUNCTION("""COMPUTED_VALUE"""),625846.0)</f>
        <v>625846</v>
      </c>
      <c r="C1262" t="str">
        <f>IFERROR(__xludf.DUMMYFUNCTION("""COMPUTED_VALUE"""),"Learn Blender 3D Modeling for Unity Video Game Development")</f>
        <v>Learn Blender 3D Modeling for Unity Video Game Development</v>
      </c>
    </row>
    <row r="1263">
      <c r="A1263" s="140" t="str">
        <f>IFERROR(__xludf.DUMMYFUNCTION("""COMPUTED_VALUE"""),"en")</f>
        <v>en</v>
      </c>
      <c r="B1263">
        <f>IFERROR(__xludf.DUMMYFUNCTION("""COMPUTED_VALUE"""),620476.0)</f>
        <v>620476</v>
      </c>
      <c r="C1263" t="str">
        <f>IFERROR(__xludf.DUMMYFUNCTION("""COMPUTED_VALUE"""),"Self-Discipline Hacks: Increase Productivity &amp; Achieve Goals")</f>
        <v>Self-Discipline Hacks: Increase Productivity &amp; Achieve Goals</v>
      </c>
    </row>
    <row r="1264">
      <c r="A1264" s="140" t="str">
        <f>IFERROR(__xludf.DUMMYFUNCTION("""COMPUTED_VALUE"""),"en")</f>
        <v>en</v>
      </c>
      <c r="B1264">
        <f>IFERROR(__xludf.DUMMYFUNCTION("""COMPUTED_VALUE"""),3584534.0)</f>
        <v>3584534</v>
      </c>
      <c r="C1264" t="str">
        <f>IFERROR(__xludf.DUMMYFUNCTION("""COMPUTED_VALUE"""),"Smart Tips: Wellness")</f>
        <v>Smart Tips: Wellness</v>
      </c>
    </row>
    <row r="1265">
      <c r="A1265" s="140" t="str">
        <f>IFERROR(__xludf.DUMMYFUNCTION("""COMPUTED_VALUE"""),"en")</f>
        <v>en</v>
      </c>
      <c r="B1265">
        <f>IFERROR(__xludf.DUMMYFUNCTION("""COMPUTED_VALUE"""),2041462.0)</f>
        <v>2041462</v>
      </c>
      <c r="C1265" t="str">
        <f>IFERROR(__xludf.DUMMYFUNCTION("""COMPUTED_VALUE"""),"Robotic Process Automation: RPA Fundamentals + Build a Robot")</f>
        <v>Robotic Process Automation: RPA Fundamentals + Build a Robot</v>
      </c>
    </row>
    <row r="1266">
      <c r="A1266" s="140" t="str">
        <f>IFERROR(__xludf.DUMMYFUNCTION("""COMPUTED_VALUE"""),"de")</f>
        <v>de</v>
      </c>
      <c r="B1266">
        <f>IFERROR(__xludf.DUMMYFUNCTION("""COMPUTED_VALUE"""),788298.0)</f>
        <v>788298</v>
      </c>
      <c r="C1266" t="str">
        <f>IFERROR(__xludf.DUMMYFUNCTION("""COMPUTED_VALUE"""),"SAP ABAP für Anfänger 1: Programmieren lernen im SAP")</f>
        <v>SAP ABAP für Anfänger 1: Programmieren lernen im SAP</v>
      </c>
    </row>
    <row r="1267">
      <c r="A1267" s="140" t="str">
        <f>IFERROR(__xludf.DUMMYFUNCTION("""COMPUTED_VALUE"""),"en")</f>
        <v>en</v>
      </c>
      <c r="B1267">
        <f>IFERROR(__xludf.DUMMYFUNCTION("""COMPUTED_VALUE"""),826410.0)</f>
        <v>826410</v>
      </c>
      <c r="C1267" t="str">
        <f>IFERROR(__xludf.DUMMYFUNCTION("""COMPUTED_VALUE"""),"Software Development From A to Z - OOP, UML, Agile, Python")</f>
        <v>Software Development From A to Z - OOP, UML, Agile, Python</v>
      </c>
    </row>
    <row r="1268">
      <c r="A1268" s="140" t="str">
        <f>IFERROR(__xludf.DUMMYFUNCTION("""COMPUTED_VALUE"""),"en")</f>
        <v>en</v>
      </c>
      <c r="B1268">
        <f>IFERROR(__xludf.DUMMYFUNCTION("""COMPUTED_VALUE"""),3769310.0)</f>
        <v>3769310</v>
      </c>
      <c r="C1268" t="str">
        <f>IFERROR(__xludf.DUMMYFUNCTION("""COMPUTED_VALUE"""),"UX Fundamentals: Practical Usability for Product Design")</f>
        <v>UX Fundamentals: Practical Usability for Product Design</v>
      </c>
    </row>
    <row r="1269">
      <c r="A1269" s="140" t="str">
        <f>IFERROR(__xludf.DUMMYFUNCTION("""COMPUTED_VALUE"""),"en")</f>
        <v>en</v>
      </c>
      <c r="B1269">
        <f>IFERROR(__xludf.DUMMYFUNCTION("""COMPUTED_VALUE"""),1691572.0)</f>
        <v>1691572</v>
      </c>
      <c r="C1269" t="str">
        <f>IFERROR(__xludf.DUMMYFUNCTION("""COMPUTED_VALUE"""),"Ionic Apps with Firebase")</f>
        <v>Ionic Apps with Firebase</v>
      </c>
    </row>
    <row r="1270">
      <c r="A1270" s="140" t="str">
        <f>IFERROR(__xludf.DUMMYFUNCTION("""COMPUTED_VALUE"""),"es")</f>
        <v>es</v>
      </c>
      <c r="B1270">
        <f>IFERROR(__xludf.DUMMYFUNCTION("""COMPUTED_VALUE"""),3136486.0)</f>
        <v>3136486</v>
      </c>
      <c r="C1270" t="str">
        <f>IFERROR(__xludf.DUMMYFUNCTION("""COMPUTED_VALUE"""),"Master API RESTful con ASP.NET Core Web API")</f>
        <v>Master API RESTful con ASP.NET Core Web API</v>
      </c>
    </row>
    <row r="1271">
      <c r="A1271" s="140" t="str">
        <f>IFERROR(__xludf.DUMMYFUNCTION("""COMPUTED_VALUE"""),"en")</f>
        <v>en</v>
      </c>
      <c r="B1271">
        <f>IFERROR(__xludf.DUMMYFUNCTION("""COMPUTED_VALUE"""),2787956.0)</f>
        <v>2787956</v>
      </c>
      <c r="C1271" t="str">
        <f>IFERROR(__xludf.DUMMYFUNCTION("""COMPUTED_VALUE"""),"Growth Mindset: The Key to Greater Confidence and Impact")</f>
        <v>Growth Mindset: The Key to Greater Confidence and Impact</v>
      </c>
    </row>
    <row r="1272">
      <c r="A1272" s="140" t="str">
        <f>IFERROR(__xludf.DUMMYFUNCTION("""COMPUTED_VALUE"""),"ja")</f>
        <v>ja</v>
      </c>
      <c r="B1272">
        <f>IFERROR(__xludf.DUMMYFUNCTION("""COMPUTED_VALUE"""),2655172.0)</f>
        <v>2655172</v>
      </c>
      <c r="C1272" t="str">
        <f>IFERROR(__xludf.DUMMYFUNCTION("""COMPUTED_VALUE"""),"【ベストセラー著者が教える】組織でイノベーションを生み出す！「デザイン思考」実践講座～入門編")</f>
        <v>【ベストセラー著者が教える】組織でイノベーションを生み出す！「デザイン思考」実践講座～入門編</v>
      </c>
    </row>
    <row r="1273">
      <c r="A1273" s="140" t="str">
        <f>IFERROR(__xludf.DUMMYFUNCTION("""COMPUTED_VALUE"""),"en")</f>
        <v>en</v>
      </c>
      <c r="B1273">
        <f>IFERROR(__xludf.DUMMYFUNCTION("""COMPUTED_VALUE"""),2605804.0)</f>
        <v>2605804</v>
      </c>
      <c r="C1273" t="str">
        <f>IFERROR(__xludf.DUMMYFUNCTION("""COMPUTED_VALUE"""),"Measurement System Analysis (MSA) for Quality / Operations")</f>
        <v>Measurement System Analysis (MSA) for Quality / Operations</v>
      </c>
    </row>
    <row r="1274">
      <c r="A1274" s="140" t="str">
        <f>IFERROR(__xludf.DUMMYFUNCTION("""COMPUTED_VALUE"""),"ja")</f>
        <v>ja</v>
      </c>
      <c r="B1274">
        <f>IFERROR(__xludf.DUMMYFUNCTION("""COMPUTED_VALUE"""),1634784.0)</f>
        <v>1634784</v>
      </c>
      <c r="C1274" t="str">
        <f>IFERROR(__xludf.DUMMYFUNCTION("""COMPUTED_VALUE"""),"業界最先端の動画制作テクニックを制覇！Adobe Premiere Pro 完全版")</f>
        <v>業界最先端の動画制作テクニックを制覇！Adobe Premiere Pro 完全版</v>
      </c>
    </row>
    <row r="1275">
      <c r="A1275" s="140" t="str">
        <f>IFERROR(__xludf.DUMMYFUNCTION("""COMPUTED_VALUE"""),"ja")</f>
        <v>ja</v>
      </c>
      <c r="B1275">
        <f>IFERROR(__xludf.DUMMYFUNCTION("""COMPUTED_VALUE"""),2891862.0)</f>
        <v>2891862</v>
      </c>
      <c r="C1275" t="str">
        <f>IFERROR(__xludf.DUMMYFUNCTION("""COMPUTED_VALUE"""),"セキュリティ入門（情報セキュリティマネジメント試験レベル）")</f>
        <v>セキュリティ入門（情報セキュリティマネジメント試験レベル）</v>
      </c>
    </row>
    <row r="1276">
      <c r="A1276" s="140" t="str">
        <f>IFERROR(__xludf.DUMMYFUNCTION("""COMPUTED_VALUE"""),"de")</f>
        <v>de</v>
      </c>
      <c r="B1276">
        <f>IFERROR(__xludf.DUMMYFUNCTION("""COMPUTED_VALUE"""),2235238.0)</f>
        <v>2235238</v>
      </c>
      <c r="C1276" t="str">
        <f>IFERROR(__xludf.DUMMYFUNCTION("""COMPUTED_VALUE"""),"Website Traffic - Kostenlos mehr Website-Besucher generieren")</f>
        <v>Website Traffic - Kostenlos mehr Website-Besucher generieren</v>
      </c>
    </row>
    <row r="1277">
      <c r="A1277" s="140" t="str">
        <f>IFERROR(__xludf.DUMMYFUNCTION("""COMPUTED_VALUE"""),"ja")</f>
        <v>ja</v>
      </c>
      <c r="B1277">
        <f>IFERROR(__xludf.DUMMYFUNCTION("""COMPUTED_VALUE"""),3461980.0)</f>
        <v>3461980</v>
      </c>
      <c r="C1277" t="str">
        <f>IFERROR(__xludf.DUMMYFUNCTION("""COMPUTED_VALUE"""),"【Go入門】Golang基礎入門 + 各種ライブラリ + 簡単なTodoWebアプリケーション開発(Go言語)")</f>
        <v>【Go入門】Golang基礎入門 + 各種ライブラリ + 簡単なTodoWebアプリケーション開発(Go言語)</v>
      </c>
    </row>
    <row r="1278">
      <c r="A1278" s="140" t="str">
        <f>IFERROR(__xludf.DUMMYFUNCTION("""COMPUTED_VALUE"""),"en")</f>
        <v>en</v>
      </c>
      <c r="B1278">
        <f>IFERROR(__xludf.DUMMYFUNCTION("""COMPUTED_VALUE"""),857010.0)</f>
        <v>857010</v>
      </c>
      <c r="C1278" t="str">
        <f>IFERROR(__xludf.DUMMYFUNCTION("""COMPUTED_VALUE"""),"Learn Ethical Hacking From Scratch")</f>
        <v>Learn Ethical Hacking From Scratch</v>
      </c>
    </row>
    <row r="1279">
      <c r="A1279" s="140" t="str">
        <f>IFERROR(__xludf.DUMMYFUNCTION("""COMPUTED_VALUE"""),"tr")</f>
        <v>tr</v>
      </c>
      <c r="B1279">
        <f>IFERROR(__xludf.DUMMYFUNCTION("""COMPUTED_VALUE"""),3646561.0)</f>
        <v>3646561</v>
      </c>
      <c r="C1279" t="str">
        <f>IFERROR(__xludf.DUMMYFUNCTION("""COMPUTED_VALUE"""),"Bilgisayar İşletmenliği (Operatörlüğü) Kursu - Sertifikalı")</f>
        <v>Bilgisayar İşletmenliği (Operatörlüğü) Kursu - Sertifikalı</v>
      </c>
    </row>
    <row r="1280">
      <c r="A1280" s="140" t="str">
        <f>IFERROR(__xludf.DUMMYFUNCTION("""COMPUTED_VALUE"""),"pt")</f>
        <v>pt</v>
      </c>
      <c r="B1280">
        <f>IFERROR(__xludf.DUMMYFUNCTION("""COMPUTED_VALUE"""),1292876.0)</f>
        <v>1292876</v>
      </c>
      <c r="C1280" t="str">
        <f>IFERROR(__xludf.DUMMYFUNCTION("""COMPUTED_VALUE"""),"Curso de Inglês! - O Fantástico Método para Ser Fluente")</f>
        <v>Curso de Inglês! - O Fantástico Método para Ser Fluente</v>
      </c>
    </row>
    <row r="1281">
      <c r="A1281" s="140" t="str">
        <f>IFERROR(__xludf.DUMMYFUNCTION("""COMPUTED_VALUE"""),"en")</f>
        <v>en</v>
      </c>
      <c r="B1281">
        <f>IFERROR(__xludf.DUMMYFUNCTION("""COMPUTED_VALUE"""),3979164.0)</f>
        <v>3979164</v>
      </c>
      <c r="C1281" t="str">
        <f>IFERROR(__xludf.DUMMYFUNCTION("""COMPUTED_VALUE"""),"Apache Atlas : A Hands-on Course")</f>
        <v>Apache Atlas : A Hands-on Course</v>
      </c>
    </row>
    <row r="1282">
      <c r="A1282" s="140" t="str">
        <f>IFERROR(__xludf.DUMMYFUNCTION("""COMPUTED_VALUE"""),"en")</f>
        <v>en</v>
      </c>
      <c r="B1282">
        <f>IFERROR(__xludf.DUMMYFUNCTION("""COMPUTED_VALUE"""),2534994.0)</f>
        <v>2534994</v>
      </c>
      <c r="C1282" t="str">
        <f>IFERROR(__xludf.DUMMYFUNCTION("""COMPUTED_VALUE"""),"Part A - Networking Projects - Implement TCP/IP Stack in C")</f>
        <v>Part A - Networking Projects - Implement TCP/IP Stack in C</v>
      </c>
    </row>
    <row r="1283">
      <c r="A1283" s="140" t="str">
        <f>IFERROR(__xludf.DUMMYFUNCTION("""COMPUTED_VALUE"""),"ar")</f>
        <v>ar</v>
      </c>
      <c r="B1283">
        <f>IFERROR(__xludf.DUMMYFUNCTION("""COMPUTED_VALUE"""),2996938.0)</f>
        <v>2996938</v>
      </c>
      <c r="C1283" t="str">
        <f>IFERROR(__xludf.DUMMYFUNCTION("""COMPUTED_VALUE"""),"Excel From Zero to Hero - تعلم أساسيات الإكسل للمبتدئين")</f>
        <v>Excel From Zero to Hero - تعلم أساسيات الإكسل للمبتدئين</v>
      </c>
    </row>
    <row r="1284">
      <c r="A1284" s="140" t="str">
        <f>IFERROR(__xludf.DUMMYFUNCTION("""COMPUTED_VALUE"""),"de")</f>
        <v>de</v>
      </c>
      <c r="B1284">
        <f>IFERROR(__xludf.DUMMYFUNCTION("""COMPUTED_VALUE"""),3778852.0)</f>
        <v>3778852</v>
      </c>
      <c r="C1284" t="str">
        <f>IFERROR(__xludf.DUMMYFUNCTION("""COMPUTED_VALUE"""),"Spanisch für Anfänger (A1) | Spanisch lernen leicht gemacht!")</f>
        <v>Spanisch für Anfänger (A1) | Spanisch lernen leicht gemacht!</v>
      </c>
    </row>
    <row r="1285">
      <c r="A1285" s="140" t="str">
        <f>IFERROR(__xludf.DUMMYFUNCTION("""COMPUTED_VALUE"""),"es")</f>
        <v>es</v>
      </c>
      <c r="B1285">
        <f>IFERROR(__xludf.DUMMYFUNCTION("""COMPUTED_VALUE"""),3131302.0)</f>
        <v>3131302</v>
      </c>
      <c r="C1285" t="str">
        <f>IFERROR(__xludf.DUMMYFUNCTION("""COMPUTED_VALUE"""),"Curso online preparación del título oficial inglés B1 o B2")</f>
        <v>Curso online preparación del título oficial inglés B1 o B2</v>
      </c>
    </row>
    <row r="1286">
      <c r="A1286" s="140" t="str">
        <f>IFERROR(__xludf.DUMMYFUNCTION("""COMPUTED_VALUE"""),"ko")</f>
        <v>ko</v>
      </c>
      <c r="B1286">
        <f>IFERROR(__xludf.DUMMYFUNCTION("""COMPUTED_VALUE"""),532808.0)</f>
        <v>532808</v>
      </c>
      <c r="C1286" t="str">
        <f>IFERROR(__xludf.DUMMYFUNCTION("""COMPUTED_VALUE"""),"교육, 게임처럼 즐겨라: 교육 게이미피케이션(Gamification) 전문가 과정")</f>
        <v>교육, 게임처럼 즐겨라: 교육 게이미피케이션(Gamification) 전문가 과정</v>
      </c>
    </row>
    <row r="1287">
      <c r="A1287" s="140" t="str">
        <f>IFERROR(__xludf.DUMMYFUNCTION("""COMPUTED_VALUE"""),"fr")</f>
        <v>fr</v>
      </c>
      <c r="B1287">
        <f>IFERROR(__xludf.DUMMYFUNCTION("""COMPUTED_VALUE"""),2317726.0)</f>
        <v>2317726</v>
      </c>
      <c r="C1287" t="str">
        <f>IFERROR(__xludf.DUMMYFUNCTION("""COMPUTED_VALUE"""),"iOS 13 Swift 5.1: Le cours complet")</f>
        <v>iOS 13 Swift 5.1: Le cours complet</v>
      </c>
    </row>
    <row r="1288">
      <c r="A1288" s="140" t="str">
        <f>IFERROR(__xludf.DUMMYFUNCTION("""COMPUTED_VALUE"""),"es")</f>
        <v>es</v>
      </c>
      <c r="B1288">
        <f>IFERROR(__xludf.DUMMYFUNCTION("""COMPUTED_VALUE"""),1266900.0)</f>
        <v>1266900</v>
      </c>
      <c r="C1288" t="str">
        <f>IFERROR(__xludf.DUMMYFUNCTION("""COMPUTED_VALUE"""),"Certificado de PNL: Practicante Master (Experto)")</f>
        <v>Certificado de PNL: Practicante Master (Experto)</v>
      </c>
    </row>
    <row r="1289">
      <c r="A1289" s="140" t="str">
        <f>IFERROR(__xludf.DUMMYFUNCTION("""COMPUTED_VALUE"""),"es")</f>
        <v>es</v>
      </c>
      <c r="B1289">
        <f>IFERROR(__xludf.DUMMYFUNCTION("""COMPUTED_VALUE"""),1977962.0)</f>
        <v>1977962</v>
      </c>
      <c r="C1289" t="str">
        <f>IFERROR(__xludf.DUMMYFUNCTION("""COMPUTED_VALUE"""),"Curso de Español para Principiantes")</f>
        <v>Curso de Español para Principiantes</v>
      </c>
    </row>
    <row r="1290">
      <c r="A1290" s="140" t="str">
        <f>IFERROR(__xludf.DUMMYFUNCTION("""COMPUTED_VALUE"""),"en")</f>
        <v>en</v>
      </c>
      <c r="B1290">
        <f>IFERROR(__xludf.DUMMYFUNCTION("""COMPUTED_VALUE"""),2776242.0)</f>
        <v>2776242</v>
      </c>
      <c r="C1290" t="str">
        <f>IFERROR(__xludf.DUMMYFUNCTION("""COMPUTED_VALUE"""),"Selenium WebDriver and Design Patterns")</f>
        <v>Selenium WebDriver and Design Patterns</v>
      </c>
    </row>
    <row r="1291">
      <c r="A1291" s="140" t="str">
        <f>IFERROR(__xludf.DUMMYFUNCTION("""COMPUTED_VALUE"""),"es")</f>
        <v>es</v>
      </c>
      <c r="B1291">
        <f>IFERROR(__xludf.DUMMYFUNCTION("""COMPUTED_VALUE"""),809410.0)</f>
        <v>809410</v>
      </c>
      <c r="C1291" t="str">
        <f>IFERROR(__xludf.DUMMYFUNCTION("""COMPUTED_VALUE"""),"Diseño Web Desde Cero a Avanzado 45h Curso COMPLETO")</f>
        <v>Diseño Web Desde Cero a Avanzado 45h Curso COMPLETO</v>
      </c>
    </row>
    <row r="1292">
      <c r="A1292" s="140" t="str">
        <f>IFERROR(__xludf.DUMMYFUNCTION("""COMPUTED_VALUE"""),"en")</f>
        <v>en</v>
      </c>
      <c r="B1292">
        <f>IFERROR(__xludf.DUMMYFUNCTION("""COMPUTED_VALUE"""),317978.0)</f>
        <v>317978</v>
      </c>
      <c r="C1292" t="str">
        <f>IFERROR(__xludf.DUMMYFUNCTION("""COMPUTED_VALUE"""),"Jewelry Making: Wire Wrapping for Beginners")</f>
        <v>Jewelry Making: Wire Wrapping for Beginners</v>
      </c>
    </row>
    <row r="1293">
      <c r="A1293" s="140" t="str">
        <f>IFERROR(__xludf.DUMMYFUNCTION("""COMPUTED_VALUE"""),"tr")</f>
        <v>tr</v>
      </c>
      <c r="B1293">
        <f>IFERROR(__xludf.DUMMYFUNCTION("""COMPUTED_VALUE"""),1656498.0)</f>
        <v>1656498</v>
      </c>
      <c r="C1293" t="str">
        <f>IFERROR(__xludf.DUMMYFUNCTION("""COMPUTED_VALUE"""),"Sıfırdan Her Yönüyle React ve Redux")</f>
        <v>Sıfırdan Her Yönüyle React ve Redux</v>
      </c>
    </row>
    <row r="1294">
      <c r="A1294" s="140" t="str">
        <f>IFERROR(__xludf.DUMMYFUNCTION("""COMPUTED_VALUE"""),"es")</f>
        <v>es</v>
      </c>
      <c r="B1294">
        <f>IFERROR(__xludf.DUMMYFUNCTION("""COMPUTED_VALUE"""),1265942.0)</f>
        <v>1265942</v>
      </c>
      <c r="C1294" t="str">
        <f>IFERROR(__xludf.DUMMYFUNCTION("""COMPUTED_VALUE"""),"Universidad Java 2021 - De Cero a Experto! +106 hrs")</f>
        <v>Universidad Java 2021 - De Cero a Experto! +106 hrs</v>
      </c>
    </row>
    <row r="1295">
      <c r="A1295" s="140" t="str">
        <f>IFERROR(__xludf.DUMMYFUNCTION("""COMPUTED_VALUE"""),"ja")</f>
        <v>ja</v>
      </c>
      <c r="B1295">
        <f>IFERROR(__xludf.DUMMYFUNCTION("""COMPUTED_VALUE"""),1703474.0)</f>
        <v>1703474</v>
      </c>
      <c r="C1295" t="str">
        <f>IFERROR(__xludf.DUMMYFUNCTION("""COMPUTED_VALUE"""),"Vue.js 3 入門決定版！jQuery を使わないウェブ開発 - 導入からアプリケーション開発まで体系的に動画で学ぶ")</f>
        <v>Vue.js 3 入門決定版！jQuery を使わないウェブ開発 - 導入からアプリケーション開発まで体系的に動画で学ぶ</v>
      </c>
    </row>
    <row r="1296">
      <c r="A1296" s="140" t="str">
        <f>IFERROR(__xludf.DUMMYFUNCTION("""COMPUTED_VALUE"""),"en")</f>
        <v>en</v>
      </c>
      <c r="B1296">
        <f>IFERROR(__xludf.DUMMYFUNCTION("""COMPUTED_VALUE"""),1181236.0)</f>
        <v>1181236</v>
      </c>
      <c r="C1296" t="str">
        <f>IFERROR(__xludf.DUMMYFUNCTION("""COMPUTED_VALUE"""),"RF Basic Concepts &amp; Components Radio Frequency- Entry Level")</f>
        <v>RF Basic Concepts &amp; Components Radio Frequency- Entry Level</v>
      </c>
    </row>
    <row r="1297">
      <c r="A1297" s="140" t="str">
        <f>IFERROR(__xludf.DUMMYFUNCTION("""COMPUTED_VALUE"""),"en")</f>
        <v>en</v>
      </c>
      <c r="B1297">
        <f>IFERROR(__xludf.DUMMYFUNCTION("""COMPUTED_VALUE"""),4259658.0)</f>
        <v>4259658</v>
      </c>
      <c r="C1297" t="str">
        <f>IFERROR(__xludf.DUMMYFUNCTION("""COMPUTED_VALUE"""),"Machine Learning for BI, PART 3: Regression &amp; Forecasting")</f>
        <v>Machine Learning for BI, PART 3: Regression &amp; Forecasting</v>
      </c>
    </row>
    <row r="1298">
      <c r="A1298" s="140" t="str">
        <f>IFERROR(__xludf.DUMMYFUNCTION("""COMPUTED_VALUE"""),"es")</f>
        <v>es</v>
      </c>
      <c r="B1298">
        <f>IFERROR(__xludf.DUMMYFUNCTION("""COMPUTED_VALUE"""),1464084.0)</f>
        <v>1464084</v>
      </c>
      <c r="C1298" t="str">
        <f>IFERROR(__xludf.DUMMYFUNCTION("""COMPUTED_VALUE"""),"Hacking Ético Profesional - Hackeo mediante Google")</f>
        <v>Hacking Ético Profesional - Hackeo mediante Google</v>
      </c>
    </row>
    <row r="1299">
      <c r="A1299" s="140" t="str">
        <f>IFERROR(__xludf.DUMMYFUNCTION("""COMPUTED_VALUE"""),"ja")</f>
        <v>ja</v>
      </c>
      <c r="B1299">
        <f>IFERROR(__xludf.DUMMYFUNCTION("""COMPUTED_VALUE"""),2902192.0)</f>
        <v>2902192</v>
      </c>
      <c r="C1299" t="str">
        <f>IFERROR(__xludf.DUMMYFUNCTION("""COMPUTED_VALUE"""),"初心者でもマスター出来る！ホワイボートアニメーション【VideoScribe】の完全講義【最新版 Version3.5】")</f>
        <v>初心者でもマスター出来る！ホワイボートアニメーション【VideoScribe】の完全講義【最新版 Version3.5】</v>
      </c>
    </row>
    <row r="1300">
      <c r="A1300" s="140" t="str">
        <f>IFERROR(__xludf.DUMMYFUNCTION("""COMPUTED_VALUE"""),"de")</f>
        <v>de</v>
      </c>
      <c r="B1300">
        <f>IFERROR(__xludf.DUMMYFUNCTION("""COMPUTED_VALUE"""),1820282.0)</f>
        <v>1820282</v>
      </c>
      <c r="C1300" t="str">
        <f>IFERROR(__xludf.DUMMYFUNCTION("""COMPUTED_VALUE"""),"Microsoft Excel Masterclass – einfach &amp; schnell zum Experten")</f>
        <v>Microsoft Excel Masterclass – einfach &amp; schnell zum Experten</v>
      </c>
    </row>
    <row r="1301">
      <c r="A1301" s="140" t="str">
        <f>IFERROR(__xludf.DUMMYFUNCTION("""COMPUTED_VALUE"""),"pt")</f>
        <v>pt</v>
      </c>
      <c r="B1301">
        <f>IFERROR(__xludf.DUMMYFUNCTION("""COMPUTED_VALUE"""),849132.0)</f>
        <v>849132</v>
      </c>
      <c r="C1301" t="str">
        <f>IFERROR(__xludf.DUMMYFUNCTION("""COMPUTED_VALUE"""),"Desenvolvimento Ágil com Scrum na prática com Trello")</f>
        <v>Desenvolvimento Ágil com Scrum na prática com Trello</v>
      </c>
    </row>
    <row r="1302">
      <c r="A1302" s="140" t="str">
        <f>IFERROR(__xludf.DUMMYFUNCTION("""COMPUTED_VALUE"""),"en")</f>
        <v>en</v>
      </c>
      <c r="B1302">
        <f>IFERROR(__xludf.DUMMYFUNCTION("""COMPUTED_VALUE"""),2422318.0)</f>
        <v>2422318</v>
      </c>
      <c r="C1302" t="str">
        <f>IFERROR(__xludf.DUMMYFUNCTION("""COMPUTED_VALUE"""),"SQL for Data Analysis: Beginner MySQL Business Intelligence")</f>
        <v>SQL for Data Analysis: Beginner MySQL Business Intelligence</v>
      </c>
    </row>
    <row r="1303">
      <c r="A1303" s="140" t="str">
        <f>IFERROR(__xludf.DUMMYFUNCTION("""COMPUTED_VALUE"""),"en")</f>
        <v>en</v>
      </c>
      <c r="B1303">
        <f>IFERROR(__xludf.DUMMYFUNCTION("""COMPUTED_VALUE"""),1417610.0)</f>
        <v>1417610</v>
      </c>
      <c r="C1303" t="str">
        <f>IFERROR(__xludf.DUMMYFUNCTION("""COMPUTED_VALUE"""),"Unit Testing and Test Driven Development in Python")</f>
        <v>Unit Testing and Test Driven Development in Python</v>
      </c>
    </row>
    <row r="1304">
      <c r="A1304" s="140" t="str">
        <f>IFERROR(__xludf.DUMMYFUNCTION("""COMPUTED_VALUE"""),"en")</f>
        <v>en</v>
      </c>
      <c r="B1304">
        <f>IFERROR(__xludf.DUMMYFUNCTION("""COMPUTED_VALUE"""),3425918.0)</f>
        <v>3425918</v>
      </c>
      <c r="C1304" t="str">
        <f>IFERROR(__xludf.DUMMYFUNCTION("""COMPUTED_VALUE"""),"Practice Exam | AWS Certified Database Specialty")</f>
        <v>Practice Exam | AWS Certified Database Specialty</v>
      </c>
    </row>
    <row r="1305">
      <c r="A1305" s="140" t="str">
        <f>IFERROR(__xludf.DUMMYFUNCTION("""COMPUTED_VALUE"""),"en")</f>
        <v>en</v>
      </c>
      <c r="B1305">
        <f>IFERROR(__xludf.DUMMYFUNCTION("""COMPUTED_VALUE"""),3448444.0)</f>
        <v>3448444</v>
      </c>
      <c r="C1305" t="str">
        <f>IFERROR(__xludf.DUMMYFUNCTION("""COMPUTED_VALUE"""),"Gradle for java developers")</f>
        <v>Gradle for java developers</v>
      </c>
    </row>
    <row r="1306">
      <c r="A1306" s="140" t="str">
        <f>IFERROR(__xludf.DUMMYFUNCTION("""COMPUTED_VALUE"""),"en")</f>
        <v>en</v>
      </c>
      <c r="B1306">
        <f>IFERROR(__xludf.DUMMYFUNCTION("""COMPUTED_VALUE"""),1592862.0)</f>
        <v>1592862</v>
      </c>
      <c r="C1306" t="str">
        <f>IFERROR(__xludf.DUMMYFUNCTION("""COMPUTED_VALUE"""),"SAP FICO (Financial Accounting &amp; Management Accounting)")</f>
        <v>SAP FICO (Financial Accounting &amp; Management Accounting)</v>
      </c>
    </row>
    <row r="1307">
      <c r="A1307" s="140" t="str">
        <f>IFERROR(__xludf.DUMMYFUNCTION("""COMPUTED_VALUE"""),"en")</f>
        <v>en</v>
      </c>
      <c r="B1307">
        <f>IFERROR(__xludf.DUMMYFUNCTION("""COMPUTED_VALUE"""),664052.0)</f>
        <v>664052</v>
      </c>
      <c r="C1307" t="str">
        <f>IFERROR(__xludf.DUMMYFUNCTION("""COMPUTED_VALUE"""),"Escalate Scala Training - Setup Instructions")</f>
        <v>Escalate Scala Training - Setup Instructions</v>
      </c>
    </row>
    <row r="1308">
      <c r="A1308" s="140" t="str">
        <f>IFERROR(__xludf.DUMMYFUNCTION("""COMPUTED_VALUE"""),"en")</f>
        <v>en</v>
      </c>
      <c r="B1308">
        <f>IFERROR(__xludf.DUMMYFUNCTION("""COMPUTED_VALUE"""),2119600.0)</f>
        <v>2119600</v>
      </c>
      <c r="C1308" t="str">
        <f>IFERROR(__xludf.DUMMYFUNCTION("""COMPUTED_VALUE"""),"Unreal Engine:  Character Skill System")</f>
        <v>Unreal Engine:  Character Skill System</v>
      </c>
    </row>
    <row r="1309">
      <c r="A1309" s="140" t="str">
        <f>IFERROR(__xludf.DUMMYFUNCTION("""COMPUTED_VALUE"""),"fr")</f>
        <v>fr</v>
      </c>
      <c r="B1309">
        <f>IFERROR(__xludf.DUMMYFUNCTION("""COMPUTED_VALUE"""),2860272.0)</f>
        <v>2860272</v>
      </c>
      <c r="C1309" t="str">
        <f>IFERROR(__xludf.DUMMYFUNCTION("""COMPUTED_VALUE"""),"Yin Yoga : de raide à très souple en quelques semaines")</f>
        <v>Yin Yoga : de raide à très souple en quelques semaines</v>
      </c>
    </row>
    <row r="1310">
      <c r="A1310" s="140" t="str">
        <f>IFERROR(__xludf.DUMMYFUNCTION("""COMPUTED_VALUE"""),"pt")</f>
        <v>pt</v>
      </c>
      <c r="B1310">
        <f>IFERROR(__xludf.DUMMYFUNCTION("""COMPUTED_VALUE"""),2883802.0)</f>
        <v>2883802</v>
      </c>
      <c r="C1310" t="str">
        <f>IFERROR(__xludf.DUMMYFUNCTION("""COMPUTED_VALUE"""),"Técnicas de Vendas Básicas e Conceitos de Negociação")</f>
        <v>Técnicas de Vendas Básicas e Conceitos de Negociação</v>
      </c>
    </row>
    <row r="1311">
      <c r="A1311" s="140" t="str">
        <f>IFERROR(__xludf.DUMMYFUNCTION("""COMPUTED_VALUE"""),"en")</f>
        <v>en</v>
      </c>
      <c r="B1311">
        <f>IFERROR(__xludf.DUMMYFUNCTION("""COMPUTED_VALUE"""),548278.0)</f>
        <v>548278</v>
      </c>
      <c r="C1311" t="str">
        <f>IFERROR(__xludf.DUMMYFUNCTION("""COMPUTED_VALUE"""),"The Complete 2021 Web Development Course - Build 15 Projects")</f>
        <v>The Complete 2021 Web Development Course - Build 15 Projects</v>
      </c>
    </row>
    <row r="1312">
      <c r="A1312" s="140" t="str">
        <f>IFERROR(__xludf.DUMMYFUNCTION("""COMPUTED_VALUE"""),"en")</f>
        <v>en</v>
      </c>
      <c r="B1312">
        <f>IFERROR(__xludf.DUMMYFUNCTION("""COMPUTED_VALUE"""),1580400.0)</f>
        <v>1580400</v>
      </c>
      <c r="C1312" t="str">
        <f>IFERROR(__xludf.DUMMYFUNCTION("""COMPUTED_VALUE"""),"ASIC Bootcamp for VLSI Engineer: STA Basic Concepts")</f>
        <v>ASIC Bootcamp for VLSI Engineer: STA Basic Concepts</v>
      </c>
    </row>
    <row r="1313">
      <c r="A1313" s="140" t="str">
        <f>IFERROR(__xludf.DUMMYFUNCTION("""COMPUTED_VALUE"""),"en")</f>
        <v>en</v>
      </c>
      <c r="B1313">
        <f>IFERROR(__xludf.DUMMYFUNCTION("""COMPUTED_VALUE"""),341348.0)</f>
        <v>341348</v>
      </c>
      <c r="C1313" t="str">
        <f>IFERROR(__xludf.DUMMYFUNCTION("""COMPUTED_VALUE"""),"Software Quality Assurance")</f>
        <v>Software Quality Assurance</v>
      </c>
    </row>
    <row r="1314">
      <c r="A1314" s="140" t="str">
        <f>IFERROR(__xludf.DUMMYFUNCTION("""COMPUTED_VALUE"""),"en")</f>
        <v>en</v>
      </c>
      <c r="B1314">
        <f>IFERROR(__xludf.DUMMYFUNCTION("""COMPUTED_VALUE"""),1107944.0)</f>
        <v>1107944</v>
      </c>
      <c r="C1314" t="str">
        <f>IFERROR(__xludf.DUMMYFUNCTION("""COMPUTED_VALUE"""),"Get up to speed with Windows 10")</f>
        <v>Get up to speed with Windows 10</v>
      </c>
    </row>
    <row r="1315">
      <c r="A1315" s="140" t="str">
        <f>IFERROR(__xludf.DUMMYFUNCTION("""COMPUTED_VALUE"""),"es")</f>
        <v>es</v>
      </c>
      <c r="B1315">
        <f>IFERROR(__xludf.DUMMYFUNCTION("""COMPUTED_VALUE"""),2685196.0)</f>
        <v>2685196</v>
      </c>
      <c r="C1315" t="str">
        <f>IFERROR(__xludf.DUMMYFUNCTION("""COMPUTED_VALUE"""),"Aprende Catia Desde Cero ACDC")</f>
        <v>Aprende Catia Desde Cero ACDC</v>
      </c>
    </row>
    <row r="1316">
      <c r="A1316" s="140" t="str">
        <f>IFERROR(__xludf.DUMMYFUNCTION("""COMPUTED_VALUE"""),"en")</f>
        <v>en</v>
      </c>
      <c r="B1316">
        <f>IFERROR(__xludf.DUMMYFUNCTION("""COMPUTED_VALUE"""),1175200.0)</f>
        <v>1175200</v>
      </c>
      <c r="C1316" t="str">
        <f>IFERROR(__xludf.DUMMYFUNCTION("""COMPUTED_VALUE"""),"Statistics for Business Analytics and Data Science A-Z™")</f>
        <v>Statistics for Business Analytics and Data Science A-Z™</v>
      </c>
    </row>
    <row r="1317">
      <c r="A1317" s="140" t="str">
        <f>IFERROR(__xludf.DUMMYFUNCTION("""COMPUTED_VALUE"""),"en")</f>
        <v>en</v>
      </c>
      <c r="B1317">
        <f>IFERROR(__xludf.DUMMYFUNCTION("""COMPUTED_VALUE"""),756296.0)</f>
        <v>756296</v>
      </c>
      <c r="C1317" t="str">
        <f>IFERROR(__xludf.DUMMYFUNCTION("""COMPUTED_VALUE"""),"SharePoint Online part 1 Sites, Lists and Libraries")</f>
        <v>SharePoint Online part 1 Sites, Lists and Libraries</v>
      </c>
    </row>
    <row r="1318">
      <c r="A1318" s="140" t="str">
        <f>IFERROR(__xludf.DUMMYFUNCTION("""COMPUTED_VALUE"""),"pt")</f>
        <v>pt</v>
      </c>
      <c r="B1318">
        <f>IFERROR(__xludf.DUMMYFUNCTION("""COMPUTED_VALUE"""),1566920.0)</f>
        <v>1566920</v>
      </c>
      <c r="C1318" t="str">
        <f>IFERROR(__xludf.DUMMYFUNCTION("""COMPUTED_VALUE"""),"Construa aplicativos mobile do zero com React Native e Redux")</f>
        <v>Construa aplicativos mobile do zero com React Native e Redux</v>
      </c>
    </row>
    <row r="1319">
      <c r="A1319" s="140" t="str">
        <f>IFERROR(__xludf.DUMMYFUNCTION("""COMPUTED_VALUE"""),"en")</f>
        <v>en</v>
      </c>
      <c r="B1319">
        <f>IFERROR(__xludf.DUMMYFUNCTION("""COMPUTED_VALUE"""),3160664.0)</f>
        <v>3160664</v>
      </c>
      <c r="C1319" t="str">
        <f>IFERROR(__xludf.DUMMYFUNCTION("""COMPUTED_VALUE"""),"Master statistics &amp; machine learning: intuition, math, code")</f>
        <v>Master statistics &amp; machine learning: intuition, math, code</v>
      </c>
    </row>
    <row r="1320">
      <c r="A1320" s="140" t="str">
        <f>IFERROR(__xludf.DUMMYFUNCTION("""COMPUTED_VALUE"""),"de")</f>
        <v>de</v>
      </c>
      <c r="B1320">
        <f>IFERROR(__xludf.DUMMYFUNCTION("""COMPUTED_VALUE"""),1767792.0)</f>
        <v>1767792</v>
      </c>
      <c r="C1320" t="str">
        <f>IFERROR(__xludf.DUMMYFUNCTION("""COMPUTED_VALUE"""),"Grafik Design Masterclass: Ein reales Projekt von A bis Z!")</f>
        <v>Grafik Design Masterclass: Ein reales Projekt von A bis Z!</v>
      </c>
    </row>
    <row r="1321">
      <c r="A1321" s="140" t="str">
        <f>IFERROR(__xludf.DUMMYFUNCTION("""COMPUTED_VALUE"""),"es")</f>
        <v>es</v>
      </c>
      <c r="B1321">
        <f>IFERROR(__xludf.DUMMYFUNCTION("""COMPUTED_VALUE"""),1630138.0)</f>
        <v>1630138</v>
      </c>
      <c r="C1321" t="str">
        <f>IFERROR(__xludf.DUMMYFUNCTION("""COMPUTED_VALUE"""),"Administración de Base de Datos Con SQL Server")</f>
        <v>Administración de Base de Datos Con SQL Server</v>
      </c>
    </row>
    <row r="1322">
      <c r="A1322" s="140" t="str">
        <f>IFERROR(__xludf.DUMMYFUNCTION("""COMPUTED_VALUE"""),"ko")</f>
        <v>ko</v>
      </c>
      <c r="B1322">
        <f>IFERROR(__xludf.DUMMYFUNCTION("""COMPUTED_VALUE"""),4238982.0)</f>
        <v>4238982</v>
      </c>
      <c r="C1322" t="str">
        <f>IFERROR(__xludf.DUMMYFUNCTION("""COMPUTED_VALUE"""),"인정받는 직장인을 위한 체계적 성과관리 방법 Part 1. 기본이론")</f>
        <v>인정받는 직장인을 위한 체계적 성과관리 방법 Part 1. 기본이론</v>
      </c>
    </row>
    <row r="1323">
      <c r="A1323" s="140" t="str">
        <f>IFERROR(__xludf.DUMMYFUNCTION("""COMPUTED_VALUE"""),"ja")</f>
        <v>ja</v>
      </c>
      <c r="B1323">
        <f>IFERROR(__xludf.DUMMYFUNCTION("""COMPUTED_VALUE"""),3922526.0)</f>
        <v>3922526</v>
      </c>
      <c r="C1323" t="str">
        <f>IFERROR(__xludf.DUMMYFUNCTION("""COMPUTED_VALUE"""),"はじめてのマーケティング ～豊富な事例をベースに理論の全体像を理解しよう！3時間半であなたもマーケター脳になれる")</f>
        <v>はじめてのマーケティング ～豊富な事例をベースに理論の全体像を理解しよう！3時間半であなたもマーケター脳になれる</v>
      </c>
    </row>
    <row r="1324">
      <c r="A1324" s="140" t="str">
        <f>IFERROR(__xludf.DUMMYFUNCTION("""COMPUTED_VALUE"""),"pt")</f>
        <v>pt</v>
      </c>
      <c r="B1324">
        <f>IFERROR(__xludf.DUMMYFUNCTION("""COMPUTED_VALUE"""),3639658.0)</f>
        <v>3639658</v>
      </c>
      <c r="C1324" t="str">
        <f>IFERROR(__xludf.DUMMYFUNCTION("""COMPUTED_VALUE"""),"Sumarização de Textos com Processamento de Linguagem Natural")</f>
        <v>Sumarização de Textos com Processamento de Linguagem Natural</v>
      </c>
    </row>
    <row r="1325">
      <c r="A1325" s="140" t="str">
        <f>IFERROR(__xludf.DUMMYFUNCTION("""COMPUTED_VALUE"""),"es")</f>
        <v>es</v>
      </c>
      <c r="B1325">
        <f>IFERROR(__xludf.DUMMYFUNCTION("""COMPUTED_VALUE"""),1349964.0)</f>
        <v>1349964</v>
      </c>
      <c r="C1325" t="str">
        <f>IFERROR(__xludf.DUMMYFUNCTION("""COMPUTED_VALUE"""),"Aprende Laravel y desarrolla una app de pedidos en línea")</f>
        <v>Aprende Laravel y desarrolla una app de pedidos en línea</v>
      </c>
    </row>
    <row r="1326">
      <c r="A1326" s="140" t="str">
        <f>IFERROR(__xludf.DUMMYFUNCTION("""COMPUTED_VALUE"""),"en")</f>
        <v>en</v>
      </c>
      <c r="B1326">
        <f>IFERROR(__xludf.DUMMYFUNCTION("""COMPUTED_VALUE"""),1578322.0)</f>
        <v>1578322</v>
      </c>
      <c r="C1326" t="str">
        <f>IFERROR(__xludf.DUMMYFUNCTION("""COMPUTED_VALUE"""),"Platform App Builder: Rapid Exam Prep")</f>
        <v>Platform App Builder: Rapid Exam Prep</v>
      </c>
    </row>
    <row r="1327">
      <c r="A1327" s="140" t="str">
        <f>IFERROR(__xludf.DUMMYFUNCTION("""COMPUTED_VALUE"""),"en")</f>
        <v>en</v>
      </c>
      <c r="B1327">
        <f>IFERROR(__xludf.DUMMYFUNCTION("""COMPUTED_VALUE"""),1417656.0)</f>
        <v>1417656</v>
      </c>
      <c r="C1327" t="str">
        <f>IFERROR(__xludf.DUMMYFUNCTION("""COMPUTED_VALUE"""),"ServiceNow Certified Administration For Beginners")</f>
        <v>ServiceNow Certified Administration For Beginners</v>
      </c>
    </row>
    <row r="1328">
      <c r="A1328" s="140" t="str">
        <f>IFERROR(__xludf.DUMMYFUNCTION("""COMPUTED_VALUE"""),"de")</f>
        <v>de</v>
      </c>
      <c r="B1328">
        <f>IFERROR(__xludf.DUMMYFUNCTION("""COMPUTED_VALUE"""),1499788.0)</f>
        <v>1499788</v>
      </c>
      <c r="C1328" t="str">
        <f>IFERROR(__xludf.DUMMYFUNCTION("""COMPUTED_VALUE"""),"Bewerben für Führungskräfte - Verkaufe dich optimal")</f>
        <v>Bewerben für Führungskräfte - Verkaufe dich optimal</v>
      </c>
    </row>
    <row r="1329">
      <c r="A1329" s="140" t="str">
        <f>IFERROR(__xludf.DUMMYFUNCTION("""COMPUTED_VALUE"""),"en")</f>
        <v>en</v>
      </c>
      <c r="B1329">
        <f>IFERROR(__xludf.DUMMYFUNCTION("""COMPUTED_VALUE"""),2517884.0)</f>
        <v>2517884</v>
      </c>
      <c r="C1329" t="str">
        <f>IFERROR(__xludf.DUMMYFUNCTION("""COMPUTED_VALUE"""),"TensorFlow 2.0 Practical")</f>
        <v>TensorFlow 2.0 Practical</v>
      </c>
    </row>
    <row r="1330">
      <c r="A1330" s="140" t="str">
        <f>IFERROR(__xludf.DUMMYFUNCTION("""COMPUTED_VALUE"""),"en")</f>
        <v>en</v>
      </c>
      <c r="B1330">
        <f>IFERROR(__xludf.DUMMYFUNCTION("""COMPUTED_VALUE"""),1406344.0)</f>
        <v>1406344</v>
      </c>
      <c r="C1330" t="str">
        <f>IFERROR(__xludf.DUMMYFUNCTION("""COMPUTED_VALUE"""),"JavaScript Algorithms and Data Structures Masterclass")</f>
        <v>JavaScript Algorithms and Data Structures Masterclass</v>
      </c>
    </row>
    <row r="1331">
      <c r="A1331" s="140" t="str">
        <f>IFERROR(__xludf.DUMMYFUNCTION("""COMPUTED_VALUE"""),"pt")</f>
        <v>pt</v>
      </c>
      <c r="B1331">
        <f>IFERROR(__xludf.DUMMYFUNCTION("""COMPUTED_VALUE"""),2361686.0)</f>
        <v>2361686</v>
      </c>
      <c r="C1331" t="str">
        <f>IFERROR(__xludf.DUMMYFUNCTION("""COMPUTED_VALUE"""),"Inglês e Inteligência Artificial: Pronúncia Perfeita")</f>
        <v>Inglês e Inteligência Artificial: Pronúncia Perfeita</v>
      </c>
    </row>
    <row r="1332">
      <c r="A1332" s="140" t="str">
        <f>IFERROR(__xludf.DUMMYFUNCTION("""COMPUTED_VALUE"""),"en")</f>
        <v>en</v>
      </c>
      <c r="B1332">
        <f>IFERROR(__xludf.DUMMYFUNCTION("""COMPUTED_VALUE"""),1676310.0)</f>
        <v>1676310</v>
      </c>
      <c r="C1332" t="str">
        <f>IFERROR(__xludf.DUMMYFUNCTION("""COMPUTED_VALUE"""),"Tableau Data Analyst/Specialist Desktop Certification")</f>
        <v>Tableau Data Analyst/Specialist Desktop Certification</v>
      </c>
    </row>
    <row r="1333">
      <c r="A1333" s="140" t="str">
        <f>IFERROR(__xludf.DUMMYFUNCTION("""COMPUTED_VALUE"""),"en")</f>
        <v>en</v>
      </c>
      <c r="B1333">
        <f>IFERROR(__xludf.DUMMYFUNCTION("""COMPUTED_VALUE"""),1394594.0)</f>
        <v>1394594</v>
      </c>
      <c r="C1333" t="str">
        <f>IFERROR(__xludf.DUMMYFUNCTION("""COMPUTED_VALUE"""),"Cost of Quality Analysis and Reporting")</f>
        <v>Cost of Quality Analysis and Reporting</v>
      </c>
    </row>
    <row r="1334">
      <c r="A1334" s="140" t="str">
        <f>IFERROR(__xludf.DUMMYFUNCTION("""COMPUTED_VALUE"""),"en")</f>
        <v>en</v>
      </c>
      <c r="B1334">
        <f>IFERROR(__xludf.DUMMYFUNCTION("""COMPUTED_VALUE"""),375628.0)</f>
        <v>375628</v>
      </c>
      <c r="C1334" t="str">
        <f>IFERROR(__xludf.DUMMYFUNCTION("""COMPUTED_VALUE"""),"SDF: Windows Prefetch Forensics")</f>
        <v>SDF: Windows Prefetch Forensics</v>
      </c>
    </row>
    <row r="1335">
      <c r="A1335" s="140" t="str">
        <f>IFERROR(__xludf.DUMMYFUNCTION("""COMPUTED_VALUE"""),"id")</f>
        <v>id</v>
      </c>
      <c r="B1335">
        <f>IFERROR(__xludf.DUMMYFUNCTION("""COMPUTED_VALUE"""),1184840.0)</f>
        <v>1184840</v>
      </c>
      <c r="C1335" t="str">
        <f>IFERROR(__xludf.DUMMYFUNCTION("""COMPUTED_VALUE"""),"Power BI Essentials 2021: Power BI Training and DA-100 Prep")</f>
        <v>Power BI Essentials 2021: Power BI Training and DA-100 Prep</v>
      </c>
    </row>
    <row r="1336">
      <c r="A1336" s="140" t="str">
        <f>IFERROR(__xludf.DUMMYFUNCTION("""COMPUTED_VALUE"""),"pt")</f>
        <v>pt</v>
      </c>
      <c r="B1336">
        <f>IFERROR(__xludf.DUMMYFUNCTION("""COMPUTED_VALUE"""),3850148.0)</f>
        <v>3850148</v>
      </c>
      <c r="C1336" t="str">
        <f>IFERROR(__xludf.DUMMYFUNCTION("""COMPUTED_VALUE"""),"Clean Architecture Essencial -  ASP .NET Core com C#")</f>
        <v>Clean Architecture Essencial -  ASP .NET Core com C#</v>
      </c>
    </row>
    <row r="1337">
      <c r="A1337" s="140" t="str">
        <f>IFERROR(__xludf.DUMMYFUNCTION("""COMPUTED_VALUE"""),"de")</f>
        <v>de</v>
      </c>
      <c r="B1337">
        <f>IFERROR(__xludf.DUMMYFUNCTION("""COMPUTED_VALUE"""),2974624.0)</f>
        <v>2974624</v>
      </c>
      <c r="C1337" t="str">
        <f>IFERROR(__xludf.DUMMYFUNCTION("""COMPUTED_VALUE"""),"Fortgeschrittene Python Programmierung")</f>
        <v>Fortgeschrittene Python Programmierung</v>
      </c>
    </row>
    <row r="1338">
      <c r="A1338" s="140" t="str">
        <f>IFERROR(__xludf.DUMMYFUNCTION("""COMPUTED_VALUE"""),"en")</f>
        <v>en</v>
      </c>
      <c r="B1338">
        <f>IFERROR(__xludf.DUMMYFUNCTION("""COMPUTED_VALUE"""),822444.0)</f>
        <v>822444</v>
      </c>
      <c r="C1338" t="str">
        <f>IFERROR(__xludf.DUMMYFUNCTION("""COMPUTED_VALUE"""),"Python and Django Full Stack Web Developer Bootcamp")</f>
        <v>Python and Django Full Stack Web Developer Bootcamp</v>
      </c>
    </row>
    <row r="1339">
      <c r="A1339" s="140" t="str">
        <f>IFERROR(__xludf.DUMMYFUNCTION("""COMPUTED_VALUE"""),"en")</f>
        <v>en</v>
      </c>
      <c r="B1339">
        <f>IFERROR(__xludf.DUMMYFUNCTION("""COMPUTED_VALUE"""),1691786.0)</f>
        <v>1691786</v>
      </c>
      <c r="C1339" t="str">
        <f>IFERROR(__xludf.DUMMYFUNCTION("""COMPUTED_VALUE"""),"Work with RDS and DynamoDB: AWS with Python and Boto3 Series")</f>
        <v>Work with RDS and DynamoDB: AWS with Python and Boto3 Series</v>
      </c>
    </row>
    <row r="1340">
      <c r="A1340" s="140" t="str">
        <f>IFERROR(__xludf.DUMMYFUNCTION("""COMPUTED_VALUE"""),"en")</f>
        <v>en</v>
      </c>
      <c r="B1340">
        <f>IFERROR(__xludf.DUMMYFUNCTION("""COMPUTED_VALUE"""),2701952.0)</f>
        <v>2701952</v>
      </c>
      <c r="C1340" t="str">
        <f>IFERROR(__xludf.DUMMYFUNCTION("""COMPUTED_VALUE"""),"Complete Kotlin Coroutines development course")</f>
        <v>Complete Kotlin Coroutines development course</v>
      </c>
    </row>
    <row r="1341">
      <c r="A1341" s="140" t="str">
        <f>IFERROR(__xludf.DUMMYFUNCTION("""COMPUTED_VALUE"""),"pt")</f>
        <v>pt</v>
      </c>
      <c r="B1341">
        <f>IFERROR(__xludf.DUMMYFUNCTION("""COMPUTED_VALUE"""),1396362.0)</f>
        <v>1396362</v>
      </c>
      <c r="C1341" t="str">
        <f>IFERROR(__xludf.DUMMYFUNCTION("""COMPUTED_VALUE"""),"Como Vender Mais Identificando o Estilo do Cliente")</f>
        <v>Como Vender Mais Identificando o Estilo do Cliente</v>
      </c>
    </row>
    <row r="1342">
      <c r="A1342" s="140" t="str">
        <f>IFERROR(__xludf.DUMMYFUNCTION("""COMPUTED_VALUE"""),"tr")</f>
        <v>tr</v>
      </c>
      <c r="B1342">
        <f>IFERROR(__xludf.DUMMYFUNCTION("""COMPUTED_VALUE"""),2975146.0)</f>
        <v>2975146</v>
      </c>
      <c r="C1342" t="str">
        <f>IFERROR(__xludf.DUMMYFUNCTION("""COMPUTED_VALUE"""),"2021 Wordpress WooCommerce Eğitimi Kod Yazmadan E-Ticaret")</f>
        <v>2021 Wordpress WooCommerce Eğitimi Kod Yazmadan E-Ticaret</v>
      </c>
    </row>
    <row r="1343">
      <c r="A1343" s="140" t="str">
        <f>IFERROR(__xludf.DUMMYFUNCTION("""COMPUTED_VALUE"""),"en")</f>
        <v>en</v>
      </c>
      <c r="B1343">
        <f>IFERROR(__xludf.DUMMYFUNCTION("""COMPUTED_VALUE"""),1710882.0)</f>
        <v>1710882</v>
      </c>
      <c r="C1343" t="str">
        <f>IFERROR(__xludf.DUMMYFUNCTION("""COMPUTED_VALUE"""),"Mastering Server Side Swift Using Vapor 3")</f>
        <v>Mastering Server Side Swift Using Vapor 3</v>
      </c>
    </row>
    <row r="1344">
      <c r="A1344" s="140" t="str">
        <f>IFERROR(__xludf.DUMMYFUNCTION("""COMPUTED_VALUE"""),"en")</f>
        <v>en</v>
      </c>
      <c r="B1344">
        <f>IFERROR(__xludf.DUMMYFUNCTION("""COMPUTED_VALUE"""),1426364.0)</f>
        <v>1426364</v>
      </c>
      <c r="C1344" t="str">
        <f>IFERROR(__xludf.DUMMYFUNCTION("""COMPUTED_VALUE"""),"Sales Machine: The Sales Training B2B Master Course")</f>
        <v>Sales Machine: The Sales Training B2B Master Course</v>
      </c>
    </row>
    <row r="1345">
      <c r="A1345" s="140" t="str">
        <f>IFERROR(__xludf.DUMMYFUNCTION("""COMPUTED_VALUE"""),"es")</f>
        <v>es</v>
      </c>
      <c r="B1345">
        <f>IFERROR(__xludf.DUMMYFUNCTION("""COMPUTED_VALUE"""),1686432.0)</f>
        <v>1686432</v>
      </c>
      <c r="C1345" t="str">
        <f>IFERROR(__xludf.DUMMYFUNCTION("""COMPUTED_VALUE"""),"Curso completo de R para Data Science con Tidyverse")</f>
        <v>Curso completo de R para Data Science con Tidyverse</v>
      </c>
    </row>
    <row r="1346">
      <c r="A1346" s="140" t="str">
        <f>IFERROR(__xludf.DUMMYFUNCTION("""COMPUTED_VALUE"""),"es")</f>
        <v>es</v>
      </c>
      <c r="B1346">
        <f>IFERROR(__xludf.DUMMYFUNCTION("""COMPUTED_VALUE"""),3109474.0)</f>
        <v>3109474</v>
      </c>
      <c r="C1346" t="str">
        <f>IFERROR(__xludf.DUMMYFUNCTION("""COMPUTED_VALUE"""),"Programación en C de Cero a Experto con Estructuras de Datos")</f>
        <v>Programación en C de Cero a Experto con Estructuras de Datos</v>
      </c>
    </row>
    <row r="1347">
      <c r="A1347" s="140" t="str">
        <f>IFERROR(__xludf.DUMMYFUNCTION("""COMPUTED_VALUE"""),"en")</f>
        <v>en</v>
      </c>
      <c r="B1347">
        <f>IFERROR(__xludf.DUMMYFUNCTION("""COMPUTED_VALUE"""),2118492.0)</f>
        <v>2118492</v>
      </c>
      <c r="C1347" t="str">
        <f>IFERROR(__xludf.DUMMYFUNCTION("""COMPUTED_VALUE"""),"Lean Six Sigma Black Belt for Service Industry Professionals")</f>
        <v>Lean Six Sigma Black Belt for Service Industry Professionals</v>
      </c>
    </row>
    <row r="1348">
      <c r="A1348" s="140" t="str">
        <f>IFERROR(__xludf.DUMMYFUNCTION("""COMPUTED_VALUE"""),"en")</f>
        <v>en</v>
      </c>
      <c r="B1348">
        <f>IFERROR(__xludf.DUMMYFUNCTION("""COMPUTED_VALUE"""),452208.0)</f>
        <v>452208</v>
      </c>
      <c r="C1348" t="str">
        <f>IFERROR(__xludf.DUMMYFUNCTION("""COMPUTED_VALUE"""),"JSF 2.2 - Java Server Faces for Beginners - Build a DB App")</f>
        <v>JSF 2.2 - Java Server Faces for Beginners - Build a DB App</v>
      </c>
    </row>
    <row r="1349">
      <c r="A1349" s="140" t="str">
        <f>IFERROR(__xludf.DUMMYFUNCTION("""COMPUTED_VALUE"""),"en")</f>
        <v>en</v>
      </c>
      <c r="B1349">
        <f>IFERROR(__xludf.DUMMYFUNCTION("""COMPUTED_VALUE"""),1547268.0)</f>
        <v>1547268</v>
      </c>
      <c r="C1349" t="str">
        <f>IFERROR(__xludf.DUMMYFUNCTION("""COMPUTED_VALUE"""),"The Complete Python Course | Learn Python by Doing in 2022")</f>
        <v>The Complete Python Course | Learn Python by Doing in 2022</v>
      </c>
    </row>
    <row r="1350">
      <c r="A1350" s="140" t="str">
        <f>IFERROR(__xludf.DUMMYFUNCTION("""COMPUTED_VALUE"""),"en")</f>
        <v>en</v>
      </c>
      <c r="B1350">
        <f>IFERROR(__xludf.DUMMYFUNCTION("""COMPUTED_VALUE"""),767462.0)</f>
        <v>767462</v>
      </c>
      <c r="C1350" t="str">
        <f>IFERROR(__xludf.DUMMYFUNCTION("""COMPUTED_VALUE"""),"Spice Up Your C# Code With Advanced Language Features")</f>
        <v>Spice Up Your C# Code With Advanced Language Features</v>
      </c>
    </row>
    <row r="1351">
      <c r="A1351" s="140" t="str">
        <f>IFERROR(__xludf.DUMMYFUNCTION("""COMPUTED_VALUE"""),"ja")</f>
        <v>ja</v>
      </c>
      <c r="B1351">
        <f>IFERROR(__xludf.DUMMYFUNCTION("""COMPUTED_VALUE"""),2307940.0)</f>
        <v>2307940</v>
      </c>
      <c r="C1351" t="str">
        <f>IFERROR(__xludf.DUMMYFUNCTION("""COMPUTED_VALUE"""),"はじめての働き方改革")</f>
        <v>はじめての働き方改革</v>
      </c>
    </row>
    <row r="1352">
      <c r="A1352" s="140" t="str">
        <f>IFERROR(__xludf.DUMMYFUNCTION("""COMPUTED_VALUE"""),"ko")</f>
        <v>ko</v>
      </c>
      <c r="B1352">
        <f>IFERROR(__xludf.DUMMYFUNCTION("""COMPUTED_VALUE"""),1162936.0)</f>
        <v>1162936</v>
      </c>
      <c r="C1352" t="str">
        <f>IFERROR(__xludf.DUMMYFUNCTION("""COMPUTED_VALUE"""),"업무가 100배 빨라지는 엑셀 데이터 활용과 분석 노하우")</f>
        <v>업무가 100배 빨라지는 엑셀 데이터 활용과 분석 노하우</v>
      </c>
    </row>
    <row r="1353">
      <c r="A1353" s="140" t="str">
        <f>IFERROR(__xludf.DUMMYFUNCTION("""COMPUTED_VALUE"""),"en")</f>
        <v>en</v>
      </c>
      <c r="B1353">
        <f>IFERROR(__xludf.DUMMYFUNCTION("""COMPUTED_VALUE"""),4241488.0)</f>
        <v>4241488</v>
      </c>
      <c r="C1353" t="str">
        <f>IFERROR(__xludf.DUMMYFUNCTION("""COMPUTED_VALUE"""),"[NEW] DP-900: Microsoft Azure Data Fundamentals in a Weekend")</f>
        <v>[NEW] DP-900: Microsoft Azure Data Fundamentals in a Weekend</v>
      </c>
    </row>
    <row r="1354">
      <c r="A1354" s="140" t="str">
        <f>IFERROR(__xludf.DUMMYFUNCTION("""COMPUTED_VALUE"""),"en")</f>
        <v>en</v>
      </c>
      <c r="B1354">
        <f>IFERROR(__xludf.DUMMYFUNCTION("""COMPUTED_VALUE"""),311048.0)</f>
        <v>311048</v>
      </c>
      <c r="C1354" t="str">
        <f>IFERROR(__xludf.DUMMYFUNCTION("""COMPUTED_VALUE"""),"Virtual Presentation Skills Webinar - Beginner to Advanced!")</f>
        <v>Virtual Presentation Skills Webinar - Beginner to Advanced!</v>
      </c>
    </row>
    <row r="1355">
      <c r="A1355" s="140" t="str">
        <f>IFERROR(__xludf.DUMMYFUNCTION("""COMPUTED_VALUE"""),"en")</f>
        <v>en</v>
      </c>
      <c r="B1355">
        <f>IFERROR(__xludf.DUMMYFUNCTION("""COMPUTED_VALUE"""),1743568.0)</f>
        <v>1743568</v>
      </c>
      <c r="C1355" t="str">
        <f>IFERROR(__xludf.DUMMYFUNCTION("""COMPUTED_VALUE"""),"How to Unlock Your True Potential")</f>
        <v>How to Unlock Your True Potential</v>
      </c>
    </row>
    <row r="1356">
      <c r="A1356" s="140" t="str">
        <f>IFERROR(__xludf.DUMMYFUNCTION("""COMPUTED_VALUE"""),"es")</f>
        <v>es</v>
      </c>
      <c r="B1356">
        <f>IFERROR(__xludf.DUMMYFUNCTION("""COMPUTED_VALUE"""),3888242.0)</f>
        <v>3888242</v>
      </c>
      <c r="C1356" t="str">
        <f>IFERROR(__xludf.DUMMYFUNCTION("""COMPUTED_VALUE"""),"Análisis Básico de Estados Financieros")</f>
        <v>Análisis Básico de Estados Financieros</v>
      </c>
    </row>
    <row r="1357">
      <c r="A1357" s="140" t="str">
        <f>IFERROR(__xludf.DUMMYFUNCTION("""COMPUTED_VALUE"""),"ja")</f>
        <v>ja</v>
      </c>
      <c r="B1357">
        <f>IFERROR(__xludf.DUMMYFUNCTION("""COMPUTED_VALUE"""),1788392.0)</f>
        <v>1788392</v>
      </c>
      <c r="C1357" t="str">
        <f>IFERROR(__xludf.DUMMYFUNCTION("""COMPUTED_VALUE"""),"現役女子アナ直伝！コミュニケーション研修")</f>
        <v>現役女子アナ直伝！コミュニケーション研修</v>
      </c>
    </row>
    <row r="1358">
      <c r="A1358" s="140" t="str">
        <f>IFERROR(__xludf.DUMMYFUNCTION("""COMPUTED_VALUE"""),"en")</f>
        <v>en</v>
      </c>
      <c r="B1358">
        <f>IFERROR(__xludf.DUMMYFUNCTION("""COMPUTED_VALUE"""),940714.0)</f>
        <v>940714</v>
      </c>
      <c r="C1358" t="str">
        <f>IFERROR(__xludf.DUMMYFUNCTION("""COMPUTED_VALUE"""),"Adobe After Effects CC - Motion Graphics Design &amp; VFX")</f>
        <v>Adobe After Effects CC - Motion Graphics Design &amp; VFX</v>
      </c>
    </row>
    <row r="1359">
      <c r="A1359" s="140" t="str">
        <f>IFERROR(__xludf.DUMMYFUNCTION("""COMPUTED_VALUE"""),"es")</f>
        <v>es</v>
      </c>
      <c r="B1359">
        <f>IFERROR(__xludf.DUMMYFUNCTION("""COMPUTED_VALUE"""),3601550.0)</f>
        <v>3601550</v>
      </c>
      <c r="C1359" t="str">
        <f>IFERROR(__xludf.DUMMYFUNCTION("""COMPUTED_VALUE"""),"Ciencia de datos para todos los publicos")</f>
        <v>Ciencia de datos para todos los publicos</v>
      </c>
    </row>
    <row r="1360">
      <c r="A1360" s="140" t="str">
        <f>IFERROR(__xludf.DUMMYFUNCTION("""COMPUTED_VALUE"""),"tr")</f>
        <v>tr</v>
      </c>
      <c r="B1360">
        <f>IFERROR(__xludf.DUMMYFUNCTION("""COMPUTED_VALUE"""),2606024.0)</f>
        <v>2606024</v>
      </c>
      <c r="C1360" t="str">
        <f>IFERROR(__xludf.DUMMYFUNCTION("""COMPUTED_VALUE"""),"Temel UIPath Dersleri | Sıfırdan Robotik Kodlama")</f>
        <v>Temel UIPath Dersleri | Sıfırdan Robotik Kodlama</v>
      </c>
    </row>
    <row r="1361">
      <c r="A1361" s="140" t="str">
        <f>IFERROR(__xludf.DUMMYFUNCTION("""COMPUTED_VALUE"""),"en")</f>
        <v>en</v>
      </c>
      <c r="B1361">
        <f>IFERROR(__xludf.DUMMYFUNCTION("""COMPUTED_VALUE"""),2819035.0)</f>
        <v>2819035</v>
      </c>
      <c r="C1361" t="str">
        <f>IFERROR(__xludf.DUMMYFUNCTION("""COMPUTED_VALUE"""),"Track Any HTML5 Content with Custom SCORM")</f>
        <v>Track Any HTML5 Content with Custom SCORM</v>
      </c>
    </row>
    <row r="1362">
      <c r="A1362" s="140" t="str">
        <f>IFERROR(__xludf.DUMMYFUNCTION("""COMPUTED_VALUE"""),"es")</f>
        <v>es</v>
      </c>
      <c r="B1362">
        <f>IFERROR(__xludf.DUMMYFUNCTION("""COMPUTED_VALUE"""),4029130.0)</f>
        <v>4029130</v>
      </c>
      <c r="C1362" t="str">
        <f>IFERROR(__xludf.DUMMYFUNCTION("""COMPUTED_VALUE"""),"Firebase para Android con Kotlin de la A a la Z")</f>
        <v>Firebase para Android con Kotlin de la A a la Z</v>
      </c>
    </row>
    <row r="1363">
      <c r="A1363" s="140" t="str">
        <f>IFERROR(__xludf.DUMMYFUNCTION("""COMPUTED_VALUE"""),"en")</f>
        <v>en</v>
      </c>
      <c r="B1363">
        <f>IFERROR(__xludf.DUMMYFUNCTION("""COMPUTED_VALUE"""),3591484.0)</f>
        <v>3591484</v>
      </c>
      <c r="C1363" t="str">
        <f>IFERROR(__xludf.DUMMYFUNCTION("""COMPUTED_VALUE"""),"Excel Automation Using Python")</f>
        <v>Excel Automation Using Python</v>
      </c>
    </row>
    <row r="1364">
      <c r="A1364" s="140" t="str">
        <f>IFERROR(__xludf.DUMMYFUNCTION("""COMPUTED_VALUE"""),"en")</f>
        <v>en</v>
      </c>
      <c r="B1364">
        <f>IFERROR(__xludf.DUMMYFUNCTION("""COMPUTED_VALUE"""),557194.0)</f>
        <v>557194</v>
      </c>
      <c r="C1364" t="str">
        <f>IFERROR(__xludf.DUMMYFUNCTION("""COMPUTED_VALUE"""),"Adobe Lightroom CC + Classic 11 / Learn Photo Editing by Pro")</f>
        <v>Adobe Lightroom CC + Classic 11 / Learn Photo Editing by Pro</v>
      </c>
    </row>
    <row r="1365">
      <c r="A1365" s="140" t="str">
        <f>IFERROR(__xludf.DUMMYFUNCTION("""COMPUTED_VALUE"""),"en")</f>
        <v>en</v>
      </c>
      <c r="B1365">
        <f>IFERROR(__xludf.DUMMYFUNCTION("""COMPUTED_VALUE"""),2101404.0)</f>
        <v>2101404</v>
      </c>
      <c r="C1365" t="str">
        <f>IFERROR(__xludf.DUMMYFUNCTION("""COMPUTED_VALUE"""),"Akka Persistence with Scala | Rock the JVM")</f>
        <v>Akka Persistence with Scala | Rock the JVM</v>
      </c>
    </row>
    <row r="1366">
      <c r="A1366" s="140" t="str">
        <f>IFERROR(__xludf.DUMMYFUNCTION("""COMPUTED_VALUE"""),"pt")</f>
        <v>pt</v>
      </c>
      <c r="B1366">
        <f>IFERROR(__xludf.DUMMYFUNCTION("""COMPUTED_VALUE"""),1505288.0)</f>
        <v>1505288</v>
      </c>
      <c r="C1366" t="str">
        <f>IFERROR(__xludf.DUMMYFUNCTION("""COMPUTED_VALUE"""),"SPA com Vue JS e  API com Laravel")</f>
        <v>SPA com Vue JS e  API com Laravel</v>
      </c>
    </row>
    <row r="1367">
      <c r="A1367" s="140" t="str">
        <f>IFERROR(__xludf.DUMMYFUNCTION("""COMPUTED_VALUE"""),"ja")</f>
        <v>ja</v>
      </c>
      <c r="B1367">
        <f>IFERROR(__xludf.DUMMYFUNCTION("""COMPUTED_VALUE"""),647600.0)</f>
        <v>647600</v>
      </c>
      <c r="C1367" t="str">
        <f>IFERROR(__xludf.DUMMYFUNCTION("""COMPUTED_VALUE"""),"【 5日でできる】はじめての Java プログラミング入門")</f>
        <v>【 5日でできる】はじめての Java プログラミング入門</v>
      </c>
    </row>
    <row r="1368">
      <c r="A1368" s="140" t="str">
        <f>IFERROR(__xludf.DUMMYFUNCTION("""COMPUTED_VALUE"""),"en")</f>
        <v>en</v>
      </c>
      <c r="B1368">
        <f>IFERROR(__xludf.DUMMYFUNCTION("""COMPUTED_VALUE"""),3014898.0)</f>
        <v>3014898</v>
      </c>
      <c r="C1368" t="str">
        <f>IFERROR(__xludf.DUMMYFUNCTION("""COMPUTED_VALUE"""),"The Creative HTML5 &amp; CSS3 Course - Build Awesome Websites")</f>
        <v>The Creative HTML5 &amp; CSS3 Course - Build Awesome Websites</v>
      </c>
    </row>
    <row r="1369">
      <c r="A1369" s="140" t="str">
        <f>IFERROR(__xludf.DUMMYFUNCTION("""COMPUTED_VALUE"""),"en")</f>
        <v>en</v>
      </c>
      <c r="B1369">
        <f>IFERROR(__xludf.DUMMYFUNCTION("""COMPUTED_VALUE"""),3908850.0)</f>
        <v>3908850</v>
      </c>
      <c r="C1369" t="str">
        <f>IFERROR(__xludf.DUMMYFUNCTION("""COMPUTED_VALUE"""),"Typescript with React classes - quick start - Jest testing")</f>
        <v>Typescript with React classes - quick start - Jest testing</v>
      </c>
    </row>
    <row r="1370">
      <c r="A1370" s="140" t="str">
        <f>IFERROR(__xludf.DUMMYFUNCTION("""COMPUTED_VALUE"""),"en")</f>
        <v>en</v>
      </c>
      <c r="B1370">
        <f>IFERROR(__xludf.DUMMYFUNCTION("""COMPUTED_VALUE"""),945336.0)</f>
        <v>945336</v>
      </c>
      <c r="C1370" t="str">
        <f>IFERROR(__xludf.DUMMYFUNCTION("""COMPUTED_VALUE"""),"Javascript Intermediate level 1 - Mastering the DOM")</f>
        <v>Javascript Intermediate level 1 - Mastering the DOM</v>
      </c>
    </row>
    <row r="1371">
      <c r="A1371" s="140" t="str">
        <f>IFERROR(__xludf.DUMMYFUNCTION("""COMPUTED_VALUE"""),"es")</f>
        <v>es</v>
      </c>
      <c r="B1371">
        <f>IFERROR(__xludf.DUMMYFUNCTION("""COMPUTED_VALUE"""),3307260.0)</f>
        <v>3307260</v>
      </c>
      <c r="C1371" t="str">
        <f>IFERROR(__xludf.DUMMYFUNCTION("""COMPUTED_VALUE"""),"Aprende todo sobre Notion: 3 cursos en 1")</f>
        <v>Aprende todo sobre Notion: 3 cursos en 1</v>
      </c>
    </row>
    <row r="1372">
      <c r="A1372" s="140" t="str">
        <f>IFERROR(__xludf.DUMMYFUNCTION("""COMPUTED_VALUE"""),"en")</f>
        <v>en</v>
      </c>
      <c r="B1372">
        <f>IFERROR(__xludf.DUMMYFUNCTION("""COMPUTED_VALUE"""),308694.0)</f>
        <v>308694</v>
      </c>
      <c r="C1372" t="str">
        <f>IFERROR(__xludf.DUMMYFUNCTION("""COMPUTED_VALUE"""),"Forex Strategies: Kelly Criterion, Larry Williams and more!")</f>
        <v>Forex Strategies: Kelly Criterion, Larry Williams and more!</v>
      </c>
    </row>
    <row r="1373">
      <c r="A1373" s="140" t="str">
        <f>IFERROR(__xludf.DUMMYFUNCTION("""COMPUTED_VALUE"""),"ja")</f>
        <v>ja</v>
      </c>
      <c r="B1373">
        <f>IFERROR(__xludf.DUMMYFUNCTION("""COMPUTED_VALUE"""),3228095.0)</f>
        <v>3228095</v>
      </c>
      <c r="C1373" t="str">
        <f>IFERROR(__xludf.DUMMYFUNCTION("""COMPUTED_VALUE"""),"元キー局ANの「かんたん滑舌ボイトレ」LIVE＆音声配信＆動画作成向け「ゆっくりういろううり」で話し方に自信を！")</f>
        <v>元キー局ANの「かんたん滑舌ボイトレ」LIVE＆音声配信＆動画作成向け「ゆっくりういろううり」で話し方に自信を！</v>
      </c>
    </row>
    <row r="1374">
      <c r="A1374" s="140" t="str">
        <f>IFERROR(__xludf.DUMMYFUNCTION("""COMPUTED_VALUE"""),"pt")</f>
        <v>pt</v>
      </c>
      <c r="B1374">
        <f>IFERROR(__xludf.DUMMYFUNCTION("""COMPUTED_VALUE"""),1795966.0)</f>
        <v>1795966</v>
      </c>
      <c r="C1374" t="str">
        <f>IFERROR(__xludf.DUMMYFUNCTION("""COMPUTED_VALUE"""),"Marketing Digital PRO [do ZERO à EXECUÇÃO]")</f>
        <v>Marketing Digital PRO [do ZERO à EXECUÇÃO]</v>
      </c>
    </row>
    <row r="1375">
      <c r="A1375" s="140" t="str">
        <f>IFERROR(__xludf.DUMMYFUNCTION("""COMPUTED_VALUE"""),"en")</f>
        <v>en</v>
      </c>
      <c r="B1375">
        <f>IFERROR(__xludf.DUMMYFUNCTION("""COMPUTED_VALUE"""),8814.0)</f>
        <v>8814</v>
      </c>
      <c r="C1375" t="str">
        <f>IFERROR(__xludf.DUMMYFUNCTION("""COMPUTED_VALUE"""),"Creating Responsive Web Design")</f>
        <v>Creating Responsive Web Design</v>
      </c>
    </row>
    <row r="1376">
      <c r="A1376" s="140" t="str">
        <f>IFERROR(__xludf.DUMMYFUNCTION("""COMPUTED_VALUE"""),"tr")</f>
        <v>tr</v>
      </c>
      <c r="B1376">
        <f>IFERROR(__xludf.DUMMYFUNCTION("""COMPUTED_VALUE"""),2760358.0)</f>
        <v>2760358</v>
      </c>
      <c r="C1376" t="str">
        <f>IFERROR(__xludf.DUMMYFUNCTION("""COMPUTED_VALUE"""),"Asp.Net Core Security(Güvenlik)")</f>
        <v>Asp.Net Core Security(Güvenlik)</v>
      </c>
    </row>
    <row r="1377">
      <c r="A1377" s="140" t="str">
        <f>IFERROR(__xludf.DUMMYFUNCTION("""COMPUTED_VALUE"""),"tr")</f>
        <v>tr</v>
      </c>
      <c r="B1377">
        <f>IFERROR(__xludf.DUMMYFUNCTION("""COMPUTED_VALUE"""),2023388.0)</f>
        <v>2023388</v>
      </c>
      <c r="C1377" t="str">
        <f>IFERROR(__xludf.DUMMYFUNCTION("""COMPUTED_VALUE"""),"Şirket Değerleme Eğitimi")</f>
        <v>Şirket Değerleme Eğitimi</v>
      </c>
    </row>
    <row r="1378">
      <c r="A1378" s="140" t="str">
        <f>IFERROR(__xludf.DUMMYFUNCTION("""COMPUTED_VALUE"""),"es")</f>
        <v>es</v>
      </c>
      <c r="B1378">
        <f>IFERROR(__xludf.DUMMYFUNCTION("""COMPUTED_VALUE"""),3072382.0)</f>
        <v>3072382</v>
      </c>
      <c r="C1378" t="str">
        <f>IFERROR(__xludf.DUMMYFUNCTION("""COMPUTED_VALUE"""),"Productividad de FÓRMULA 1 para equipos físicos y virtuales")</f>
        <v>Productividad de FÓRMULA 1 para equipos físicos y virtuales</v>
      </c>
    </row>
    <row r="1379">
      <c r="A1379" s="140" t="str">
        <f>IFERROR(__xludf.DUMMYFUNCTION("""COMPUTED_VALUE"""),"en")</f>
        <v>en</v>
      </c>
      <c r="B1379">
        <f>IFERROR(__xludf.DUMMYFUNCTION("""COMPUTED_VALUE"""),439432.0)</f>
        <v>439432</v>
      </c>
      <c r="C1379" t="str">
        <f>IFERROR(__xludf.DUMMYFUNCTION("""COMPUTED_VALUE"""),"Learn SAP Query Step by Step")</f>
        <v>Learn SAP Query Step by Step</v>
      </c>
    </row>
    <row r="1380">
      <c r="A1380" s="140" t="str">
        <f>IFERROR(__xludf.DUMMYFUNCTION("""COMPUTED_VALUE"""),"fr")</f>
        <v>fr</v>
      </c>
      <c r="B1380">
        <f>IFERROR(__xludf.DUMMYFUNCTION("""COMPUTED_VALUE"""),3892756.0)</f>
        <v>3892756</v>
      </c>
      <c r="C1380" t="str">
        <f>IFERROR(__xludf.DUMMYFUNCTION("""COMPUTED_VALUE"""),"Gestion de projet : les fondamentaux")</f>
        <v>Gestion de projet : les fondamentaux</v>
      </c>
    </row>
    <row r="1381">
      <c r="A1381" s="140" t="str">
        <f>IFERROR(__xludf.DUMMYFUNCTION("""COMPUTED_VALUE"""),"en")</f>
        <v>en</v>
      </c>
      <c r="B1381">
        <f>IFERROR(__xludf.DUMMYFUNCTION("""COMPUTED_VALUE"""),2570906.0)</f>
        <v>2570906</v>
      </c>
      <c r="C1381" t="str">
        <f>IFERROR(__xludf.DUMMYFUNCTION("""COMPUTED_VALUE"""),"LPI Linux Essentials (010-160) Complete Course and Exams")</f>
        <v>LPI Linux Essentials (010-160) Complete Course and Exams</v>
      </c>
    </row>
    <row r="1382">
      <c r="A1382" s="140" t="str">
        <f>IFERROR(__xludf.DUMMYFUNCTION("""COMPUTED_VALUE"""),"pt")</f>
        <v>pt</v>
      </c>
      <c r="B1382">
        <f>IFERROR(__xludf.DUMMYFUNCTION("""COMPUTED_VALUE"""),2506602.0)</f>
        <v>2506602</v>
      </c>
      <c r="C1382" t="str">
        <f>IFERROR(__xludf.DUMMYFUNCTION("""COMPUTED_VALUE"""),"Curso de SEO ON-PAGE do Iniciante ao Avançado (2021)")</f>
        <v>Curso de SEO ON-PAGE do Iniciante ao Avançado (2021)</v>
      </c>
    </row>
    <row r="1383">
      <c r="A1383" s="140" t="str">
        <f>IFERROR(__xludf.DUMMYFUNCTION("""COMPUTED_VALUE"""),"en")</f>
        <v>en</v>
      </c>
      <c r="B1383">
        <f>IFERROR(__xludf.DUMMYFUNCTION("""COMPUTED_VALUE"""),549998.0)</f>
        <v>549998</v>
      </c>
      <c r="C1383" t="str">
        <f>IFERROR(__xludf.DUMMYFUNCTION("""COMPUTED_VALUE"""),"The Complete Oracle SQL Bootcamp (2022)")</f>
        <v>The Complete Oracle SQL Bootcamp (2022)</v>
      </c>
    </row>
    <row r="1384">
      <c r="A1384" s="140" t="str">
        <f>IFERROR(__xludf.DUMMYFUNCTION("""COMPUTED_VALUE"""),"pt")</f>
        <v>pt</v>
      </c>
      <c r="B1384">
        <f>IFERROR(__xludf.DUMMYFUNCTION("""COMPUTED_VALUE"""),1585344.0)</f>
        <v>1585344</v>
      </c>
      <c r="C1384" t="str">
        <f>IFERROR(__xludf.DUMMYFUNCTION("""COMPUTED_VALUE"""),"Criando uma planilha de controle financeiro empresarial")</f>
        <v>Criando uma planilha de controle financeiro empresarial</v>
      </c>
    </row>
    <row r="1385">
      <c r="A1385" s="140" t="str">
        <f>IFERROR(__xludf.DUMMYFUNCTION("""COMPUTED_VALUE"""),"en")</f>
        <v>en</v>
      </c>
      <c r="B1385">
        <f>IFERROR(__xludf.DUMMYFUNCTION("""COMPUTED_VALUE"""),1570296.0)</f>
        <v>1570296</v>
      </c>
      <c r="C1385" t="str">
        <f>IFERROR(__xludf.DUMMYFUNCTION("""COMPUTED_VALUE"""),"AutoCAD 2021 Complete Beginners Course")</f>
        <v>AutoCAD 2021 Complete Beginners Course</v>
      </c>
    </row>
    <row r="1386">
      <c r="A1386" s="140" t="str">
        <f>IFERROR(__xludf.DUMMYFUNCTION("""COMPUTED_VALUE"""),"en")</f>
        <v>en</v>
      </c>
      <c r="B1386">
        <f>IFERROR(__xludf.DUMMYFUNCTION("""COMPUTED_VALUE"""),425086.0)</f>
        <v>425086</v>
      </c>
      <c r="C1386" t="str">
        <f>IFERROR(__xludf.DUMMYFUNCTION("""COMPUTED_VALUE"""),"Implementing a Data Warehouse with SQL Server 2012")</f>
        <v>Implementing a Data Warehouse with SQL Server 2012</v>
      </c>
    </row>
    <row r="1387">
      <c r="A1387" s="140" t="str">
        <f>IFERROR(__xludf.DUMMYFUNCTION("""COMPUTED_VALUE"""),"en")</f>
        <v>en</v>
      </c>
      <c r="B1387">
        <f>IFERROR(__xludf.DUMMYFUNCTION("""COMPUTED_VALUE"""),1726122.0)</f>
        <v>1726122</v>
      </c>
      <c r="C1387" t="str">
        <f>IFERROR(__xludf.DUMMYFUNCTION("""COMPUTED_VALUE"""),"Coding for Beginners 1: You Can Learn to Code!")</f>
        <v>Coding for Beginners 1: You Can Learn to Code!</v>
      </c>
    </row>
    <row r="1388">
      <c r="A1388" s="140" t="str">
        <f>IFERROR(__xludf.DUMMYFUNCTION("""COMPUTED_VALUE"""),"en")</f>
        <v>en</v>
      </c>
      <c r="B1388">
        <f>IFERROR(__xludf.DUMMYFUNCTION("""COMPUTED_VALUE"""),316750.0)</f>
        <v>316750</v>
      </c>
      <c r="C1388" t="str">
        <f>IFERROR(__xludf.DUMMYFUNCTION("""COMPUTED_VALUE"""),"Technical Analysis 101: Master the Basics of Trading")</f>
        <v>Technical Analysis 101: Master the Basics of Trading</v>
      </c>
    </row>
    <row r="1389">
      <c r="A1389" s="140" t="str">
        <f>IFERROR(__xludf.DUMMYFUNCTION("""COMPUTED_VALUE"""),"en")</f>
        <v>en</v>
      </c>
      <c r="B1389">
        <f>IFERROR(__xludf.DUMMYFUNCTION("""COMPUTED_VALUE"""),1380500.0)</f>
        <v>1380500</v>
      </c>
      <c r="C1389" t="str">
        <f>IFERROR(__xludf.DUMMYFUNCTION("""COMPUTED_VALUE"""),"Up and Running with Microsoft Teams")</f>
        <v>Up and Running with Microsoft Teams</v>
      </c>
    </row>
    <row r="1390">
      <c r="A1390" s="140" t="str">
        <f>IFERROR(__xludf.DUMMYFUNCTION("""COMPUTED_VALUE"""),"en")</f>
        <v>en</v>
      </c>
      <c r="B1390">
        <f>IFERROR(__xludf.DUMMYFUNCTION("""COMPUTED_VALUE"""),972044.0)</f>
        <v>972044</v>
      </c>
      <c r="C1390" t="str">
        <f>IFERROR(__xludf.DUMMYFUNCTION("""COMPUTED_VALUE"""),"Mergers &amp; Acquisitions - M&amp;A, Valuation &amp; Selling a Company")</f>
        <v>Mergers &amp; Acquisitions - M&amp;A, Valuation &amp; Selling a Company</v>
      </c>
    </row>
    <row r="1391">
      <c r="A1391" s="140" t="str">
        <f>IFERROR(__xludf.DUMMYFUNCTION("""COMPUTED_VALUE"""),"pt")</f>
        <v>pt</v>
      </c>
      <c r="B1391">
        <f>IFERROR(__xludf.DUMMYFUNCTION("""COMPUTED_VALUE"""),1975802.0)</f>
        <v>1975802</v>
      </c>
      <c r="C1391" t="str">
        <f>IFERROR(__xludf.DUMMYFUNCTION("""COMPUTED_VALUE"""),"Outlook para Windows")</f>
        <v>Outlook para Windows</v>
      </c>
    </row>
    <row r="1392">
      <c r="A1392" s="140" t="str">
        <f>IFERROR(__xludf.DUMMYFUNCTION("""COMPUTED_VALUE"""),"es")</f>
        <v>es</v>
      </c>
      <c r="B1392">
        <f>IFERROR(__xludf.DUMMYFUNCTION("""COMPUTED_VALUE"""),3390010.0)</f>
        <v>3390010</v>
      </c>
      <c r="C1392" t="str">
        <f>IFERROR(__xludf.DUMMYFUNCTION("""COMPUTED_VALUE"""),"Windows Server 2019:  Active Directory y Directivas de Grupo")</f>
        <v>Windows Server 2019:  Active Directory y Directivas de Grupo</v>
      </c>
    </row>
    <row r="1393">
      <c r="A1393" s="140" t="str">
        <f>IFERROR(__xludf.DUMMYFUNCTION("""COMPUTED_VALUE"""),"pt")</f>
        <v>pt</v>
      </c>
      <c r="B1393">
        <f>IFERROR(__xludf.DUMMYFUNCTION("""COMPUTED_VALUE"""),1433122.0)</f>
        <v>1433122</v>
      </c>
      <c r="C1393" t="str">
        <f>IFERROR(__xludf.DUMMYFUNCTION("""COMPUTED_VALUE"""),"Contratação de pessoas com deficiência e gestão inclusiva")</f>
        <v>Contratação de pessoas com deficiência e gestão inclusiva</v>
      </c>
    </row>
    <row r="1394">
      <c r="A1394" s="140" t="str">
        <f>IFERROR(__xludf.DUMMYFUNCTION("""COMPUTED_VALUE"""),"tr")</f>
        <v>tr</v>
      </c>
      <c r="B1394">
        <f>IFERROR(__xludf.DUMMYFUNCTION("""COMPUTED_VALUE"""),1444492.0)</f>
        <v>1444492</v>
      </c>
      <c r="C1394" t="str">
        <f>IFERROR(__xludf.DUMMYFUNCTION("""COMPUTED_VALUE"""),"HTML ve Css ile Kurumsal Web Sitesi Yapımı")</f>
        <v>HTML ve Css ile Kurumsal Web Sitesi Yapımı</v>
      </c>
    </row>
    <row r="1395">
      <c r="A1395" s="140" t="str">
        <f>IFERROR(__xludf.DUMMYFUNCTION("""COMPUTED_VALUE"""),"en")</f>
        <v>en</v>
      </c>
      <c r="B1395">
        <f>IFERROR(__xludf.DUMMYFUNCTION("""COMPUTED_VALUE"""),4089874.0)</f>
        <v>4089874</v>
      </c>
      <c r="C1395" t="str">
        <f>IFERROR(__xludf.DUMMYFUNCTION("""COMPUTED_VALUE"""),"Advanced React For Enterprise: React for senior engineers")</f>
        <v>Advanced React For Enterprise: React for senior engineers</v>
      </c>
    </row>
    <row r="1396">
      <c r="A1396" s="140" t="str">
        <f>IFERROR(__xludf.DUMMYFUNCTION("""COMPUTED_VALUE"""),"en")</f>
        <v>en</v>
      </c>
      <c r="B1396">
        <f>IFERROR(__xludf.DUMMYFUNCTION("""COMPUTED_VALUE"""),3584730.0)</f>
        <v>3584730</v>
      </c>
      <c r="C1396" t="str">
        <f>IFERROR(__xludf.DUMMYFUNCTION("""COMPUTED_VALUE"""),"Twilio - Make a complete Call Centre in React and Node")</f>
        <v>Twilio - Make a complete Call Centre in React and Node</v>
      </c>
    </row>
    <row r="1397">
      <c r="A1397" s="140" t="str">
        <f>IFERROR(__xludf.DUMMYFUNCTION("""COMPUTED_VALUE"""),"en")</f>
        <v>en</v>
      </c>
      <c r="B1397">
        <f>IFERROR(__xludf.DUMMYFUNCTION("""COMPUTED_VALUE"""),2160176.0)</f>
        <v>2160176</v>
      </c>
      <c r="C1397" t="str">
        <f>IFERROR(__xludf.DUMMYFUNCTION("""COMPUTED_VALUE"""),"The Divi WordPress Theme for Beginners")</f>
        <v>The Divi WordPress Theme for Beginners</v>
      </c>
    </row>
    <row r="1398">
      <c r="A1398" s="140" t="str">
        <f>IFERROR(__xludf.DUMMYFUNCTION("""COMPUTED_VALUE"""),"en")</f>
        <v>en</v>
      </c>
      <c r="B1398">
        <f>IFERROR(__xludf.DUMMYFUNCTION("""COMPUTED_VALUE"""),1856950.0)</f>
        <v>1856950</v>
      </c>
      <c r="C1398" t="str">
        <f>IFERROR(__xludf.DUMMYFUNCTION("""COMPUTED_VALUE"""),"Full Stack: Angular and Java Spring Boot E-Commerce Website")</f>
        <v>Full Stack: Angular and Java Spring Boot E-Commerce Website</v>
      </c>
    </row>
    <row r="1399">
      <c r="A1399" s="140" t="str">
        <f>IFERROR(__xludf.DUMMYFUNCTION("""COMPUTED_VALUE"""),"de")</f>
        <v>de</v>
      </c>
      <c r="B1399">
        <f>IFERROR(__xludf.DUMMYFUNCTION("""COMPUTED_VALUE"""),1404090.0)</f>
        <v>1404090</v>
      </c>
      <c r="C1399" t="str">
        <f>IFERROR(__xludf.DUMMYFUNCTION("""COMPUTED_VALUE"""),"Deep Learning, Neuronale Netze und TensorFlow 2 in Python")</f>
        <v>Deep Learning, Neuronale Netze und TensorFlow 2 in Python</v>
      </c>
    </row>
    <row r="1400">
      <c r="A1400" s="140" t="str">
        <f>IFERROR(__xludf.DUMMYFUNCTION("""COMPUTED_VALUE"""),"en")</f>
        <v>en</v>
      </c>
      <c r="B1400">
        <f>IFERROR(__xludf.DUMMYFUNCTION("""COMPUTED_VALUE"""),1070124.0)</f>
        <v>1070124</v>
      </c>
      <c r="C1400" t="str">
        <f>IFERROR(__xludf.DUMMYFUNCTION("""COMPUTED_VALUE"""),"Ionic - Build iOS, Android &amp; Web Apps with Ionic &amp; Angular")</f>
        <v>Ionic - Build iOS, Android &amp; Web Apps with Ionic &amp; Angular</v>
      </c>
    </row>
    <row r="1401">
      <c r="A1401" s="140" t="str">
        <f>IFERROR(__xludf.DUMMYFUNCTION("""COMPUTED_VALUE"""),"en")</f>
        <v>en</v>
      </c>
      <c r="B1401">
        <f>IFERROR(__xludf.DUMMYFUNCTION("""COMPUTED_VALUE"""),3859044.0)</f>
        <v>3859044</v>
      </c>
      <c r="C1401" t="str">
        <f>IFERROR(__xludf.DUMMYFUNCTION("""COMPUTED_VALUE"""),"Coaching for Growth and Success")</f>
        <v>Coaching for Growth and Success</v>
      </c>
    </row>
    <row r="1402">
      <c r="A1402" s="140" t="str">
        <f>IFERROR(__xludf.DUMMYFUNCTION("""COMPUTED_VALUE"""),"en")</f>
        <v>en</v>
      </c>
      <c r="B1402">
        <f>IFERROR(__xludf.DUMMYFUNCTION("""COMPUTED_VALUE"""),1675518.0)</f>
        <v>1675518</v>
      </c>
      <c r="C1402" t="str">
        <f>IFERROR(__xludf.DUMMYFUNCTION("""COMPUTED_VALUE"""),"76 Digital Marketing Hacks | Social Media Marketing Growth")</f>
        <v>76 Digital Marketing Hacks | Social Media Marketing Growth</v>
      </c>
    </row>
    <row r="1403">
      <c r="A1403" s="140" t="str">
        <f>IFERROR(__xludf.DUMMYFUNCTION("""COMPUTED_VALUE"""),"fr")</f>
        <v>fr</v>
      </c>
      <c r="B1403">
        <f>IFERROR(__xludf.DUMMYFUNCTION("""COMPUTED_VALUE"""),2759152.0)</f>
        <v>2759152</v>
      </c>
      <c r="C1403" t="str">
        <f>IFERROR(__xludf.DUMMYFUNCTION("""COMPUTED_VALUE"""),"Activer une nouvelle dynamique d'équipe")</f>
        <v>Activer une nouvelle dynamique d'équipe</v>
      </c>
    </row>
    <row r="1404">
      <c r="A1404" s="140" t="str">
        <f>IFERROR(__xludf.DUMMYFUNCTION("""COMPUTED_VALUE"""),"en")</f>
        <v>en</v>
      </c>
      <c r="B1404">
        <f>IFERROR(__xludf.DUMMYFUNCTION("""COMPUTED_VALUE"""),746432.0)</f>
        <v>746432</v>
      </c>
      <c r="C1404" t="str">
        <f>IFERROR(__xludf.DUMMYFUNCTION("""COMPUTED_VALUE"""),"Start Trading Stocks Using Technical Analysis!")</f>
        <v>Start Trading Stocks Using Technical Analysis!</v>
      </c>
    </row>
    <row r="1405">
      <c r="A1405" s="140" t="str">
        <f>IFERROR(__xludf.DUMMYFUNCTION("""COMPUTED_VALUE"""),"en")</f>
        <v>en</v>
      </c>
      <c r="B1405">
        <f>IFERROR(__xludf.DUMMYFUNCTION("""COMPUTED_VALUE"""),2034380.0)</f>
        <v>2034380</v>
      </c>
      <c r="C1405" t="str">
        <f>IFERROR(__xludf.DUMMYFUNCTION("""COMPUTED_VALUE"""),"Making HTML5 Games with Phaser 3")</f>
        <v>Making HTML5 Games with Phaser 3</v>
      </c>
    </row>
    <row r="1406">
      <c r="A1406" s="140" t="str">
        <f>IFERROR(__xludf.DUMMYFUNCTION("""COMPUTED_VALUE"""),"es")</f>
        <v>es</v>
      </c>
      <c r="B1406">
        <f>IFERROR(__xludf.DUMMYFUNCTION("""COMPUTED_VALUE"""),1852524.0)</f>
        <v>1852524</v>
      </c>
      <c r="C1406" t="str">
        <f>IFERROR(__xludf.DUMMYFUNCTION("""COMPUTED_VALUE"""),"Diseño gráfico para SUPER NOVATOS")</f>
        <v>Diseño gráfico para SUPER NOVATOS</v>
      </c>
    </row>
    <row r="1407">
      <c r="A1407" s="140" t="str">
        <f>IFERROR(__xludf.DUMMYFUNCTION("""COMPUTED_VALUE"""),"en")</f>
        <v>en</v>
      </c>
      <c r="B1407">
        <f>IFERROR(__xludf.DUMMYFUNCTION("""COMPUTED_VALUE"""),1298780.0)</f>
        <v>1298780</v>
      </c>
      <c r="C1407" t="str">
        <f>IFERROR(__xludf.DUMMYFUNCTION("""COMPUTED_VALUE"""),"Statistics for Data Science and Business Analysis")</f>
        <v>Statistics for Data Science and Business Analysis</v>
      </c>
    </row>
    <row r="1408">
      <c r="A1408" s="140" t="str">
        <f>IFERROR(__xludf.DUMMYFUNCTION("""COMPUTED_VALUE"""),"en")</f>
        <v>en</v>
      </c>
      <c r="B1408">
        <f>IFERROR(__xludf.DUMMYFUNCTION("""COMPUTED_VALUE"""),128298.0)</f>
        <v>128298</v>
      </c>
      <c r="C1408" t="str">
        <f>IFERROR(__xludf.DUMMYFUNCTION("""COMPUTED_VALUE"""),"Become a Calculus 2 Master")</f>
        <v>Become a Calculus 2 Master</v>
      </c>
    </row>
    <row r="1409">
      <c r="A1409" s="140" t="str">
        <f>IFERROR(__xludf.DUMMYFUNCTION("""COMPUTED_VALUE"""),"ja")</f>
        <v>ja</v>
      </c>
      <c r="B1409">
        <f>IFERROR(__xludf.DUMMYFUNCTION("""COMPUTED_VALUE"""),2646558.0)</f>
        <v>2646558</v>
      </c>
      <c r="C1409" t="str">
        <f>IFERROR(__xludf.DUMMYFUNCTION("""COMPUTED_VALUE"""),"GmailをLINEで受信！Messaging APIとGASで作りながら覚えるLinebot作り方講座")</f>
        <v>GmailをLINEで受信！Messaging APIとGASで作りながら覚えるLinebot作り方講座</v>
      </c>
    </row>
    <row r="1410">
      <c r="A1410" s="140" t="str">
        <f>IFERROR(__xludf.DUMMYFUNCTION("""COMPUTED_VALUE"""),"en")</f>
        <v>en</v>
      </c>
      <c r="B1410">
        <f>IFERROR(__xludf.DUMMYFUNCTION("""COMPUTED_VALUE"""),3072650.0)</f>
        <v>3072650</v>
      </c>
      <c r="C1410" t="str">
        <f>IFERROR(__xludf.DUMMYFUNCTION("""COMPUTED_VALUE"""),"Aruba Wireless Training With Labs For ACMA ACMP")</f>
        <v>Aruba Wireless Training With Labs For ACMA ACMP</v>
      </c>
    </row>
    <row r="1411">
      <c r="A1411" s="140" t="str">
        <f>IFERROR(__xludf.DUMMYFUNCTION("""COMPUTED_VALUE"""),"en")</f>
        <v>en</v>
      </c>
      <c r="B1411">
        <f>IFERROR(__xludf.DUMMYFUNCTION("""COMPUTED_VALUE"""),1213796.0)</f>
        <v>1213796</v>
      </c>
      <c r="C1411" t="str">
        <f>IFERROR(__xludf.DUMMYFUNCTION("""COMPUTED_VALUE"""),"Photography Fundamentals for Beginners")</f>
        <v>Photography Fundamentals for Beginners</v>
      </c>
    </row>
    <row r="1412">
      <c r="A1412" s="140" t="str">
        <f>IFERROR(__xludf.DUMMYFUNCTION("""COMPUTED_VALUE"""),"fr")</f>
        <v>fr</v>
      </c>
      <c r="B1412">
        <f>IFERROR(__xludf.DUMMYFUNCTION("""COMPUTED_VALUE"""),1557054.0)</f>
        <v>1557054</v>
      </c>
      <c r="C1412" t="str">
        <f>IFERROR(__xludf.DUMMYFUNCTION("""COMPUTED_VALUE"""),"Jeux &amp; App en Réalité augmentée avec Unity et Vuforia")</f>
        <v>Jeux &amp; App en Réalité augmentée avec Unity et Vuforia</v>
      </c>
    </row>
    <row r="1413">
      <c r="A1413" s="140" t="str">
        <f>IFERROR(__xludf.DUMMYFUNCTION("""COMPUTED_VALUE"""),"es")</f>
        <v>es</v>
      </c>
      <c r="B1413">
        <f>IFERROR(__xludf.DUMMYFUNCTION("""COMPUTED_VALUE"""),1461866.0)</f>
        <v>1461866</v>
      </c>
      <c r="C1413" t="str">
        <f>IFERROR(__xludf.DUMMYFUNCTION("""COMPUTED_VALUE"""),"Diseña en Canva Gráficos Profesionales con Proyectos Reales")</f>
        <v>Diseña en Canva Gráficos Profesionales con Proyectos Reales</v>
      </c>
    </row>
    <row r="1414">
      <c r="A1414" s="140" t="str">
        <f>IFERROR(__xludf.DUMMYFUNCTION("""COMPUTED_VALUE"""),"pt")</f>
        <v>pt</v>
      </c>
      <c r="B1414">
        <f>IFERROR(__xludf.DUMMYFUNCTION("""COMPUTED_VALUE"""),1261284.0)</f>
        <v>1261284</v>
      </c>
      <c r="C1414" t="str">
        <f>IFERROR(__xludf.DUMMYFUNCTION("""COMPUTED_VALUE"""),"TDD com Ruby on Rails, RSpec e Capybara")</f>
        <v>TDD com Ruby on Rails, RSpec e Capybara</v>
      </c>
    </row>
    <row r="1415">
      <c r="A1415" s="140" t="str">
        <f>IFERROR(__xludf.DUMMYFUNCTION("""COMPUTED_VALUE"""),"en")</f>
        <v>en</v>
      </c>
      <c r="B1415">
        <f>IFERROR(__xludf.DUMMYFUNCTION("""COMPUTED_VALUE"""),1089812.0)</f>
        <v>1089812</v>
      </c>
      <c r="C1415" t="str">
        <f>IFERROR(__xludf.DUMMYFUNCTION("""COMPUTED_VALUE"""),"Mastering SQL Server Reporting Services (SSRS) From Scratch")</f>
        <v>Mastering SQL Server Reporting Services (SSRS) From Scratch</v>
      </c>
    </row>
    <row r="1416">
      <c r="A1416" s="140" t="str">
        <f>IFERROR(__xludf.DUMMYFUNCTION("""COMPUTED_VALUE"""),"es")</f>
        <v>es</v>
      </c>
      <c r="B1416">
        <f>IFERROR(__xludf.DUMMYFUNCTION("""COMPUTED_VALUE"""),2632604.0)</f>
        <v>2632604</v>
      </c>
      <c r="C1416" t="str">
        <f>IFERROR(__xludf.DUMMYFUNCTION("""COMPUTED_VALUE"""),"Curso de Git y Github:  GIT PROFESIONAL desde cero + E-Book")</f>
        <v>Curso de Git y Github:  GIT PROFESIONAL desde cero + E-Book</v>
      </c>
    </row>
    <row r="1417">
      <c r="A1417" s="140" t="str">
        <f>IFERROR(__xludf.DUMMYFUNCTION("""COMPUTED_VALUE"""),"de")</f>
        <v>de</v>
      </c>
      <c r="B1417">
        <f>IFERROR(__xludf.DUMMYFUNCTION("""COMPUTED_VALUE"""),782434.0)</f>
        <v>782434</v>
      </c>
      <c r="C1417" t="str">
        <f>IFERROR(__xludf.DUMMYFUNCTION("""COMPUTED_VALUE"""),"Einführung in die Verschlüsselung: Terminologie &amp; Technik")</f>
        <v>Einführung in die Verschlüsselung: Terminologie &amp; Technik</v>
      </c>
    </row>
    <row r="1418">
      <c r="A1418" s="140" t="str">
        <f>IFERROR(__xludf.DUMMYFUNCTION("""COMPUTED_VALUE"""),"en")</f>
        <v>en</v>
      </c>
      <c r="B1418">
        <f>IFERROR(__xludf.DUMMYFUNCTION("""COMPUTED_VALUE"""),4099212.0)</f>
        <v>4099212</v>
      </c>
      <c r="C1418" t="str">
        <f>IFERROR(__xludf.DUMMYFUNCTION("""COMPUTED_VALUE"""),"Practical AI with Python and Reinforcement Learning")</f>
        <v>Practical AI with Python and Reinforcement Learning</v>
      </c>
    </row>
    <row r="1419">
      <c r="A1419" s="140" t="str">
        <f>IFERROR(__xludf.DUMMYFUNCTION("""COMPUTED_VALUE"""),"en")</f>
        <v>en</v>
      </c>
      <c r="B1419">
        <f>IFERROR(__xludf.DUMMYFUNCTION("""COMPUTED_VALUE"""),1562632.0)</f>
        <v>1562632</v>
      </c>
      <c r="C1419" t="str">
        <f>IFERROR(__xludf.DUMMYFUNCTION("""COMPUTED_VALUE"""),"Django 2.2 &amp; Python | The Ultimate Web Development Bootcamp")</f>
        <v>Django 2.2 &amp; Python | The Ultimate Web Development Bootcamp</v>
      </c>
    </row>
    <row r="1420">
      <c r="A1420" s="140" t="str">
        <f>IFERROR(__xludf.DUMMYFUNCTION("""COMPUTED_VALUE"""),"de")</f>
        <v>de</v>
      </c>
      <c r="B1420">
        <f>IFERROR(__xludf.DUMMYFUNCTION("""COMPUTED_VALUE"""),2903324.0)</f>
        <v>2903324</v>
      </c>
      <c r="C1420" t="str">
        <f>IFERROR(__xludf.DUMMYFUNCTION("""COMPUTED_VALUE"""),"Zuhause fit ohne Geräte - Wirkungsvolles Mitmachtraining")</f>
        <v>Zuhause fit ohne Geräte - Wirkungsvolles Mitmachtraining</v>
      </c>
    </row>
    <row r="1421">
      <c r="A1421" s="140" t="str">
        <f>IFERROR(__xludf.DUMMYFUNCTION("""COMPUTED_VALUE"""),"en")</f>
        <v>en</v>
      </c>
      <c r="B1421">
        <f>IFERROR(__xludf.DUMMYFUNCTION("""COMPUTED_VALUE"""),612904.0)</f>
        <v>612904</v>
      </c>
      <c r="C1421" t="str">
        <f>IFERROR(__xludf.DUMMYFUNCTION("""COMPUTED_VALUE"""),"Business English: Easy English for Meetings")</f>
        <v>Business English: Easy English for Meetings</v>
      </c>
    </row>
    <row r="1422">
      <c r="A1422" s="140" t="str">
        <f>IFERROR(__xludf.DUMMYFUNCTION("""COMPUTED_VALUE"""),"en")</f>
        <v>en</v>
      </c>
      <c r="B1422">
        <f>IFERROR(__xludf.DUMMYFUNCTION("""COMPUTED_VALUE"""),2786210.0)</f>
        <v>2786210</v>
      </c>
      <c r="C1422" t="str">
        <f>IFERROR(__xludf.DUMMYFUNCTION("""COMPUTED_VALUE"""),"Azure Kubernetes Service - AKS")</f>
        <v>Azure Kubernetes Service - AKS</v>
      </c>
    </row>
    <row r="1423">
      <c r="A1423" s="140" t="str">
        <f>IFERROR(__xludf.DUMMYFUNCTION("""COMPUTED_VALUE"""),"es")</f>
        <v>es</v>
      </c>
      <c r="B1423">
        <f>IFERROR(__xludf.DUMMYFUNCTION("""COMPUTED_VALUE"""),1051702.0)</f>
        <v>1051702</v>
      </c>
      <c r="C1423" t="str">
        <f>IFERROR(__xludf.DUMMYFUNCTION("""COMPUTED_VALUE"""),"Negocia como experto")</f>
        <v>Negocia como experto</v>
      </c>
    </row>
    <row r="1424">
      <c r="A1424" s="140" t="str">
        <f>IFERROR(__xludf.DUMMYFUNCTION("""COMPUTED_VALUE"""),"en")</f>
        <v>en</v>
      </c>
      <c r="B1424">
        <f>IFERROR(__xludf.DUMMYFUNCTION("""COMPUTED_VALUE"""),3060440.0)</f>
        <v>3060440</v>
      </c>
      <c r="C1424" t="str">
        <f>IFERROR(__xludf.DUMMYFUNCTION("""COMPUTED_VALUE"""),"AIGPEs Six Sigma Green Belt Certification Simulation Exam")</f>
        <v>AIGPEs Six Sigma Green Belt Certification Simulation Exam</v>
      </c>
    </row>
    <row r="1425">
      <c r="A1425" s="140" t="str">
        <f>IFERROR(__xludf.DUMMYFUNCTION("""COMPUTED_VALUE"""),"ko")</f>
        <v>ko</v>
      </c>
      <c r="B1425">
        <f>IFERROR(__xludf.DUMMYFUNCTION("""COMPUTED_VALUE"""),4234852.0)</f>
        <v>4234852</v>
      </c>
      <c r="C1425" t="str">
        <f>IFERROR(__xludf.DUMMYFUNCTION("""COMPUTED_VALUE"""),"【글로벌 Best강의】 Typescript :기초부터 실전형 프로젝트까지 with React + NodeJS")</f>
        <v>【글로벌 Best강의】 Typescript :기초부터 실전형 프로젝트까지 with React + NodeJS</v>
      </c>
    </row>
    <row r="1426">
      <c r="A1426" s="140" t="str">
        <f>IFERROR(__xludf.DUMMYFUNCTION("""COMPUTED_VALUE"""),"en")</f>
        <v>en</v>
      </c>
      <c r="B1426">
        <f>IFERROR(__xludf.DUMMYFUNCTION("""COMPUTED_VALUE"""),693188.0)</f>
        <v>693188</v>
      </c>
      <c r="C1426" t="str">
        <f>IFERROR(__xludf.DUMMYFUNCTION("""COMPUTED_VALUE"""),"Complete Guide to Elasticsearch")</f>
        <v>Complete Guide to Elasticsearch</v>
      </c>
    </row>
    <row r="1427">
      <c r="A1427" s="140" t="str">
        <f>IFERROR(__xludf.DUMMYFUNCTION("""COMPUTED_VALUE"""),"en")</f>
        <v>en</v>
      </c>
      <c r="B1427">
        <f>IFERROR(__xludf.DUMMYFUNCTION("""COMPUTED_VALUE"""),658286.0)</f>
        <v>658286</v>
      </c>
      <c r="C1427" t="str">
        <f>IFERROR(__xludf.DUMMYFUNCTION("""COMPUTED_VALUE"""),"Recursion, Backtracking and Dynamic Programming in Python")</f>
        <v>Recursion, Backtracking and Dynamic Programming in Python</v>
      </c>
    </row>
    <row r="1428">
      <c r="A1428" s="140" t="str">
        <f>IFERROR(__xludf.DUMMYFUNCTION("""COMPUTED_VALUE"""),"pt")</f>
        <v>pt</v>
      </c>
      <c r="B1428">
        <f>IFERROR(__xludf.DUMMYFUNCTION("""COMPUTED_VALUE"""),2641500.0)</f>
        <v>2641500</v>
      </c>
      <c r="C1428" t="str">
        <f>IFERROR(__xludf.DUMMYFUNCTION("""COMPUTED_VALUE"""),"Microsoft Project Completo - Do Básico ao Avançado")</f>
        <v>Microsoft Project Completo - Do Básico ao Avançado</v>
      </c>
    </row>
    <row r="1429">
      <c r="A1429" s="140" t="str">
        <f>IFERROR(__xludf.DUMMYFUNCTION("""COMPUTED_VALUE"""),"pt")</f>
        <v>pt</v>
      </c>
      <c r="B1429">
        <f>IFERROR(__xludf.DUMMYFUNCTION("""COMPUTED_VALUE"""),1232364.0)</f>
        <v>1232364</v>
      </c>
      <c r="C1429" t="str">
        <f>IFERROR(__xludf.DUMMYFUNCTION("""COMPUTED_VALUE"""),"Linguagem R: do zero absoluto ao domínio em menos de 7 horas")</f>
        <v>Linguagem R: do zero absoluto ao domínio em menos de 7 horas</v>
      </c>
    </row>
    <row r="1430">
      <c r="A1430" s="140" t="str">
        <f>IFERROR(__xludf.DUMMYFUNCTION("""COMPUTED_VALUE"""),"en")</f>
        <v>en</v>
      </c>
      <c r="B1430">
        <f>IFERROR(__xludf.DUMMYFUNCTION("""COMPUTED_VALUE"""),915782.0)</f>
        <v>915782</v>
      </c>
      <c r="C1430" t="str">
        <f>IFERROR(__xludf.DUMMYFUNCTION("""COMPUTED_VALUE"""),"Master Microsoft PowerShell")</f>
        <v>Master Microsoft PowerShell</v>
      </c>
    </row>
    <row r="1431">
      <c r="A1431" s="140" t="str">
        <f>IFERROR(__xludf.DUMMYFUNCTION("""COMPUTED_VALUE"""),"ja")</f>
        <v>ja</v>
      </c>
      <c r="B1431">
        <f>IFERROR(__xludf.DUMMYFUNCTION("""COMPUTED_VALUE"""),2641288.0)</f>
        <v>2641288</v>
      </c>
      <c r="C1431" t="str">
        <f>IFERROR(__xludf.DUMMYFUNCTION("""COMPUTED_VALUE"""),"現役エンジニアのためのWebpack環境構築入門 with Babel｜Sass｜Eslint")</f>
        <v>現役エンジニアのためのWebpack環境構築入門 with Babel｜Sass｜Eslint</v>
      </c>
    </row>
    <row r="1432">
      <c r="A1432" s="140" t="str">
        <f>IFERROR(__xludf.DUMMYFUNCTION("""COMPUTED_VALUE"""),"pt")</f>
        <v>pt</v>
      </c>
      <c r="B1432">
        <f>IFERROR(__xludf.DUMMYFUNCTION("""COMPUTED_VALUE"""),2420534.0)</f>
        <v>2420534</v>
      </c>
      <c r="C1432" t="str">
        <f>IFERROR(__xludf.DUMMYFUNCTION("""COMPUTED_VALUE"""),"Algoritmos e Lógica de Programação 2021 - O Curso COMPLETO")</f>
        <v>Algoritmos e Lógica de Programação 2021 - O Curso COMPLETO</v>
      </c>
    </row>
    <row r="1433">
      <c r="A1433" s="140" t="str">
        <f>IFERROR(__xludf.DUMMYFUNCTION("""COMPUTED_VALUE"""),"en")</f>
        <v>en</v>
      </c>
      <c r="B1433">
        <f>IFERROR(__xludf.DUMMYFUNCTION("""COMPUTED_VALUE"""),1282490.0)</f>
        <v>1282490</v>
      </c>
      <c r="C1433" t="str">
        <f>IFERROR(__xludf.DUMMYFUNCTION("""COMPUTED_VALUE"""),"DAX Power Pivot Time Intelligence - 10 Easy Steps")</f>
        <v>DAX Power Pivot Time Intelligence - 10 Easy Steps</v>
      </c>
    </row>
    <row r="1434">
      <c r="A1434" s="140" t="str">
        <f>IFERROR(__xludf.DUMMYFUNCTION("""COMPUTED_VALUE"""),"ar")</f>
        <v>ar</v>
      </c>
      <c r="B1434">
        <f>IFERROR(__xludf.DUMMYFUNCTION("""COMPUTED_VALUE"""),1500010.0)</f>
        <v>1500010</v>
      </c>
      <c r="C1434" t="str">
        <f>IFERROR(__xludf.DUMMYFUNCTION("""COMPUTED_VALUE"""),"Project Risk Management - Arabic")</f>
        <v>Project Risk Management - Arabic</v>
      </c>
    </row>
    <row r="1435">
      <c r="A1435" s="140" t="str">
        <f>IFERROR(__xludf.DUMMYFUNCTION("""COMPUTED_VALUE"""),"en")</f>
        <v>en</v>
      </c>
      <c r="B1435">
        <f>IFERROR(__xludf.DUMMYFUNCTION("""COMPUTED_VALUE"""),4166164.0)</f>
        <v>4166164</v>
      </c>
      <c r="C1435" t="str">
        <f>IFERROR(__xludf.DUMMYFUNCTION("""COMPUTED_VALUE"""),"SolarWinds NPM Training Course | NCM | NTA | Full LAB")</f>
        <v>SolarWinds NPM Training Course | NCM | NTA | Full LAB</v>
      </c>
    </row>
    <row r="1436">
      <c r="A1436" s="140" t="str">
        <f>IFERROR(__xludf.DUMMYFUNCTION("""COMPUTED_VALUE"""),"tr")</f>
        <v>tr</v>
      </c>
      <c r="B1436">
        <f>IFERROR(__xludf.DUMMYFUNCTION("""COMPUTED_VALUE"""),1440660.0)</f>
        <v>1440660</v>
      </c>
      <c r="C1436" t="str">
        <f>IFERROR(__xludf.DUMMYFUNCTION("""COMPUTED_VALUE"""),"Asp.Net Core Mvc ile Sıfırdan İleri Seviye Web Programlama")</f>
        <v>Asp.Net Core Mvc ile Sıfırdan İleri Seviye Web Programlama</v>
      </c>
    </row>
    <row r="1437">
      <c r="A1437" s="140" t="str">
        <f>IFERROR(__xludf.DUMMYFUNCTION("""COMPUTED_VALUE"""),"ja")</f>
        <v>ja</v>
      </c>
      <c r="B1437">
        <f>IFERROR(__xludf.DUMMYFUNCTION("""COMPUTED_VALUE"""),2497584.0)</f>
        <v>2497584</v>
      </c>
      <c r="C1437" t="str">
        <f>IFERROR(__xludf.DUMMYFUNCTION("""COMPUTED_VALUE"""),"【数字を味方につける：初級編】ビジネスの現場で使えるデータ分析")</f>
        <v>【数字を味方につける：初級編】ビジネスの現場で使えるデータ分析</v>
      </c>
    </row>
    <row r="1438">
      <c r="A1438" s="140" t="str">
        <f>IFERROR(__xludf.DUMMYFUNCTION("""COMPUTED_VALUE"""),"pt")</f>
        <v>pt</v>
      </c>
      <c r="B1438">
        <f>IFERROR(__xludf.DUMMYFUNCTION("""COMPUTED_VALUE"""),1567920.0)</f>
        <v>1567920</v>
      </c>
      <c r="C1438" t="str">
        <f>IFERROR(__xludf.DUMMYFUNCTION("""COMPUTED_VALUE"""),"Excel Essencial - Curso Completo")</f>
        <v>Excel Essencial - Curso Completo</v>
      </c>
    </row>
    <row r="1439">
      <c r="A1439" s="140" t="str">
        <f>IFERROR(__xludf.DUMMYFUNCTION("""COMPUTED_VALUE"""),"en")</f>
        <v>en</v>
      </c>
      <c r="B1439">
        <f>IFERROR(__xludf.DUMMYFUNCTION("""COMPUTED_VALUE"""),1106490.0)</f>
        <v>1106490</v>
      </c>
      <c r="C1439" t="str">
        <f>IFERROR(__xludf.DUMMYFUNCTION("""COMPUTED_VALUE"""),"Design Theory Blitz: Quickly Understand GREAT Design")</f>
        <v>Design Theory Blitz: Quickly Understand GREAT Design</v>
      </c>
    </row>
    <row r="1440">
      <c r="A1440" s="140" t="str">
        <f>IFERROR(__xludf.DUMMYFUNCTION("""COMPUTED_VALUE"""),"ja")</f>
        <v>ja</v>
      </c>
      <c r="B1440">
        <f>IFERROR(__xludf.DUMMYFUNCTION("""COMPUTED_VALUE"""),2764808.0)</f>
        <v>2764808</v>
      </c>
      <c r="C1440" t="str">
        <f>IFERROR(__xludf.DUMMYFUNCTION("""COMPUTED_VALUE"""),"アウトプットで確実に身につける薬局英会話講座！調剤の現場ですぐに使える英語をマスターする特訓コース(ネイティブ音声付き)")</f>
        <v>アウトプットで確実に身につける薬局英会話講座！調剤の現場ですぐに使える英語をマスターする特訓コース(ネイティブ音声付き)</v>
      </c>
    </row>
    <row r="1441">
      <c r="A1441" s="140" t="str">
        <f>IFERROR(__xludf.DUMMYFUNCTION("""COMPUTED_VALUE"""),"en")</f>
        <v>en</v>
      </c>
      <c r="B1441">
        <f>IFERROR(__xludf.DUMMYFUNCTION("""COMPUTED_VALUE"""),1836390.0)</f>
        <v>1836390</v>
      </c>
      <c r="C1441" t="str">
        <f>IFERROR(__xludf.DUMMYFUNCTION("""COMPUTED_VALUE"""),"Apache Kafka Series - Kafka Monitoring &amp; Operations")</f>
        <v>Apache Kafka Series - Kafka Monitoring &amp; Operations</v>
      </c>
    </row>
    <row r="1442">
      <c r="A1442" s="140" t="str">
        <f>IFERROR(__xludf.DUMMYFUNCTION("""COMPUTED_VALUE"""),"en")</f>
        <v>en</v>
      </c>
      <c r="B1442">
        <f>IFERROR(__xludf.DUMMYFUNCTION("""COMPUTED_VALUE"""),2744814.0)</f>
        <v>2744814</v>
      </c>
      <c r="C1442" t="str">
        <f>IFERROR(__xludf.DUMMYFUNCTION("""COMPUTED_VALUE"""),"Professional Scrum Product Owner™ II (PSPO II) Exam Prep")</f>
        <v>Professional Scrum Product Owner™ II (PSPO II) Exam Prep</v>
      </c>
    </row>
    <row r="1443">
      <c r="A1443" s="140" t="str">
        <f>IFERROR(__xludf.DUMMYFUNCTION("""COMPUTED_VALUE"""),"en")</f>
        <v>en</v>
      </c>
      <c r="B1443">
        <f>IFERROR(__xludf.DUMMYFUNCTION("""COMPUTED_VALUE"""),624252.0)</f>
        <v>624252</v>
      </c>
      <c r="C1443" t="str">
        <f>IFERROR(__xludf.DUMMYFUNCTION("""COMPUTED_VALUE"""),"The Rust Programming Language")</f>
        <v>The Rust Programming Language</v>
      </c>
    </row>
    <row r="1444">
      <c r="A1444" s="140" t="str">
        <f>IFERROR(__xludf.DUMMYFUNCTION("""COMPUTED_VALUE"""),"ja")</f>
        <v>ja</v>
      </c>
      <c r="B1444">
        <f>IFERROR(__xludf.DUMMYFUNCTION("""COMPUTED_VALUE"""),2476312.0)</f>
        <v>2476312</v>
      </c>
      <c r="C1444" t="str">
        <f>IFERROR(__xludf.DUMMYFUNCTION("""COMPUTED_VALUE"""),"Unityゲーム開発入門：Unityインストラクターが教えるマリオ風2Dアクションゲームを作成する方法【スタジオしまづ】")</f>
        <v>Unityゲーム開発入門：Unityインストラクターが教えるマリオ風2Dアクションゲームを作成する方法【スタジオしまづ】</v>
      </c>
    </row>
    <row r="1445">
      <c r="A1445" s="140" t="str">
        <f>IFERROR(__xludf.DUMMYFUNCTION("""COMPUTED_VALUE"""),"en")</f>
        <v>en</v>
      </c>
      <c r="B1445">
        <f>IFERROR(__xludf.DUMMYFUNCTION("""COMPUTED_VALUE"""),1809504.0)</f>
        <v>1809504</v>
      </c>
      <c r="C1445" t="str">
        <f>IFERROR(__xludf.DUMMYFUNCTION("""COMPUTED_VALUE"""),"Hack Credit and Debit Card via Dark Web")</f>
        <v>Hack Credit and Debit Card via Dark Web</v>
      </c>
    </row>
    <row r="1446">
      <c r="A1446" s="140" t="str">
        <f>IFERROR(__xludf.DUMMYFUNCTION("""COMPUTED_VALUE"""),"es")</f>
        <v>es</v>
      </c>
      <c r="B1446">
        <f>IFERROR(__xludf.DUMMYFUNCTION("""COMPUTED_VALUE"""),1357160.0)</f>
        <v>1357160</v>
      </c>
      <c r="C1446" t="str">
        <f>IFERROR(__xludf.DUMMYFUNCTION("""COMPUTED_VALUE"""),"Aprende Microsoft Access a fondo")</f>
        <v>Aprende Microsoft Access a fondo</v>
      </c>
    </row>
    <row r="1447">
      <c r="A1447" s="140" t="str">
        <f>IFERROR(__xludf.DUMMYFUNCTION("""COMPUTED_VALUE"""),"en")</f>
        <v>en</v>
      </c>
      <c r="B1447">
        <f>IFERROR(__xludf.DUMMYFUNCTION("""COMPUTED_VALUE"""),407940.0)</f>
        <v>407940</v>
      </c>
      <c r="C1447" t="str">
        <f>IFERROR(__xludf.DUMMYFUNCTION("""COMPUTED_VALUE"""),"Mastering Your Industry: Competitors, Products, &amp; Suppliers")</f>
        <v>Mastering Your Industry: Competitors, Products, &amp; Suppliers</v>
      </c>
    </row>
    <row r="1448">
      <c r="A1448" s="140" t="str">
        <f>IFERROR(__xludf.DUMMYFUNCTION("""COMPUTED_VALUE"""),"en")</f>
        <v>en</v>
      </c>
      <c r="B1448">
        <f>IFERROR(__xludf.DUMMYFUNCTION("""COMPUTED_VALUE"""),2064941.0)</f>
        <v>2064941</v>
      </c>
      <c r="C1448" t="str">
        <f>IFERROR(__xludf.DUMMYFUNCTION("""COMPUTED_VALUE"""),"SOLID Principles of Object-Oriented Design and Architecture")</f>
        <v>SOLID Principles of Object-Oriented Design and Architecture</v>
      </c>
    </row>
    <row r="1449">
      <c r="A1449" s="140" t="str">
        <f>IFERROR(__xludf.DUMMYFUNCTION("""COMPUTED_VALUE"""),"en")</f>
        <v>en</v>
      </c>
      <c r="B1449">
        <f>IFERROR(__xludf.DUMMYFUNCTION("""COMPUTED_VALUE"""),180384.0)</f>
        <v>180384</v>
      </c>
      <c r="C1449" t="str">
        <f>IFERROR(__xludf.DUMMYFUNCTION("""COMPUTED_VALUE"""),"Yield Curve Dynamics")</f>
        <v>Yield Curve Dynamics</v>
      </c>
    </row>
    <row r="1450">
      <c r="A1450" s="140" t="str">
        <f>IFERROR(__xludf.DUMMYFUNCTION("""COMPUTED_VALUE"""),"en")</f>
        <v>en</v>
      </c>
      <c r="B1450">
        <f>IFERROR(__xludf.DUMMYFUNCTION("""COMPUTED_VALUE"""),3329962.0)</f>
        <v>3329962</v>
      </c>
      <c r="C1450" t="str">
        <f>IFERROR(__xludf.DUMMYFUNCTION("""COMPUTED_VALUE"""),"Introduction to Cloud Computing on Amazon AWS for Beginners")</f>
        <v>Introduction to Cloud Computing on Amazon AWS for Beginners</v>
      </c>
    </row>
    <row r="1451">
      <c r="A1451" s="140" t="str">
        <f>IFERROR(__xludf.DUMMYFUNCTION("""COMPUTED_VALUE"""),"zh")</f>
        <v>zh</v>
      </c>
      <c r="B1451">
        <f>IFERROR(__xludf.DUMMYFUNCTION("""COMPUTED_VALUE"""),1427824.0)</f>
        <v>1427824</v>
      </c>
      <c r="C1451" t="str">
        <f>IFERROR(__xludf.DUMMYFUNCTION("""COMPUTED_VALUE"""),"零基础七天入门Linux")</f>
        <v>零基础七天入门Linux</v>
      </c>
    </row>
    <row r="1452">
      <c r="A1452" s="140" t="str">
        <f>IFERROR(__xludf.DUMMYFUNCTION("""COMPUTED_VALUE"""),"en")</f>
        <v>en</v>
      </c>
      <c r="B1452">
        <f>IFERROR(__xludf.DUMMYFUNCTION("""COMPUTED_VALUE"""),1870670.0)</f>
        <v>1870670</v>
      </c>
      <c r="C1452" t="str">
        <f>IFERROR(__xludf.DUMMYFUNCTION("""COMPUTED_VALUE"""),"AWS Certified Solutions Architect Associate (SAA-C01) Prep")</f>
        <v>AWS Certified Solutions Architect Associate (SAA-C01) Prep</v>
      </c>
    </row>
    <row r="1453">
      <c r="A1453" s="140" t="str">
        <f>IFERROR(__xludf.DUMMYFUNCTION("""COMPUTED_VALUE"""),"pt")</f>
        <v>pt</v>
      </c>
      <c r="B1453">
        <f>IFERROR(__xludf.DUMMYFUNCTION("""COMPUTED_VALUE"""),2208238.0)</f>
        <v>2208238</v>
      </c>
      <c r="C1453" t="str">
        <f>IFERROR(__xludf.DUMMYFUNCTION("""COMPUTED_VALUE"""),"Microsoft Windows Server 2019 [COMPLETO]")</f>
        <v>Microsoft Windows Server 2019 [COMPLETO]</v>
      </c>
    </row>
    <row r="1454">
      <c r="A1454" s="140" t="str">
        <f>IFERROR(__xludf.DUMMYFUNCTION("""COMPUTED_VALUE"""),"en")</f>
        <v>en</v>
      </c>
      <c r="B1454">
        <f>IFERROR(__xludf.DUMMYFUNCTION("""COMPUTED_VALUE"""),2591686.0)</f>
        <v>2591686</v>
      </c>
      <c r="C1454" t="str">
        <f>IFERROR(__xludf.DUMMYFUNCTION("""COMPUTED_VALUE"""),"Cisco CUCM Training ( Install Configure Maintain ) CLCOR SIP")</f>
        <v>Cisco CUCM Training ( Install Configure Maintain ) CLCOR SIP</v>
      </c>
    </row>
    <row r="1455">
      <c r="A1455" s="140" t="str">
        <f>IFERROR(__xludf.DUMMYFUNCTION("""COMPUTED_VALUE"""),"es")</f>
        <v>es</v>
      </c>
      <c r="B1455">
        <f>IFERROR(__xludf.DUMMYFUNCTION("""COMPUTED_VALUE"""),1691106.0)</f>
        <v>1691106</v>
      </c>
      <c r="C1455" t="str">
        <f>IFERROR(__xludf.DUMMYFUNCTION("""COMPUTED_VALUE"""),"Hacking Ético Profesional - Enumeración de Objetivos")</f>
        <v>Hacking Ético Profesional - Enumeración de Objetivos</v>
      </c>
    </row>
    <row r="1456">
      <c r="A1456" s="140" t="str">
        <f>IFERROR(__xludf.DUMMYFUNCTION("""COMPUTED_VALUE"""),"en")</f>
        <v>en</v>
      </c>
      <c r="B1456">
        <f>IFERROR(__xludf.DUMMYFUNCTION("""COMPUTED_VALUE"""),1906014.0)</f>
        <v>1906014</v>
      </c>
      <c r="C1456" t="str">
        <f>IFERROR(__xludf.DUMMYFUNCTION("""COMPUTED_VALUE"""),"ArtWorks! Art Therapy Guide For Personal Development")</f>
        <v>ArtWorks! Art Therapy Guide For Personal Development</v>
      </c>
    </row>
    <row r="1457">
      <c r="A1457" s="140" t="str">
        <f>IFERROR(__xludf.DUMMYFUNCTION("""COMPUTED_VALUE"""),"es")</f>
        <v>es</v>
      </c>
      <c r="B1457">
        <f>IFERROR(__xludf.DUMMYFUNCTION("""COMPUTED_VALUE"""),1199700.0)</f>
        <v>1199700</v>
      </c>
      <c r="C1457" t="str">
        <f>IFERROR(__xludf.DUMMYFUNCTION("""COMPUTED_VALUE"""),"Cómo Vender Software en Empresas. Técnicas de Venta B2B")</f>
        <v>Cómo Vender Software en Empresas. Técnicas de Venta B2B</v>
      </c>
    </row>
    <row r="1458">
      <c r="A1458" s="140" t="str">
        <f>IFERROR(__xludf.DUMMYFUNCTION("""COMPUTED_VALUE"""),"de")</f>
        <v>de</v>
      </c>
      <c r="B1458">
        <f>IFERROR(__xludf.DUMMYFUNCTION("""COMPUTED_VALUE"""),1241838.0)</f>
        <v>1241838</v>
      </c>
      <c r="C1458" t="str">
        <f>IFERROR(__xludf.DUMMYFUNCTION("""COMPUTED_VALUE"""),"Chrome Developer Tools: Vom Anfänger zum Profi!")</f>
        <v>Chrome Developer Tools: Vom Anfänger zum Profi!</v>
      </c>
    </row>
    <row r="1459">
      <c r="A1459" s="140" t="str">
        <f>IFERROR(__xludf.DUMMYFUNCTION("""COMPUTED_VALUE"""),"en")</f>
        <v>en</v>
      </c>
      <c r="B1459">
        <f>IFERROR(__xludf.DUMMYFUNCTION("""COMPUTED_VALUE"""),363348.0)</f>
        <v>363348</v>
      </c>
      <c r="C1459" t="str">
        <f>IFERROR(__xludf.DUMMYFUNCTION("""COMPUTED_VALUE"""),"Workplace Communication: Effectively Deliver Criticism")</f>
        <v>Workplace Communication: Effectively Deliver Criticism</v>
      </c>
    </row>
    <row r="1460">
      <c r="A1460" s="140" t="str">
        <f>IFERROR(__xludf.DUMMYFUNCTION("""COMPUTED_VALUE"""),"es")</f>
        <v>es</v>
      </c>
      <c r="B1460">
        <f>IFERROR(__xludf.DUMMYFUNCTION("""COMPUTED_VALUE"""),300660.0)</f>
        <v>300660</v>
      </c>
      <c r="C1460" t="str">
        <f>IFERROR(__xludf.DUMMYFUNCTION("""COMPUTED_VALUE"""),"Fundamentos de SCRUM, metodología ágil gestión de proyectos")</f>
        <v>Fundamentos de SCRUM, metodología ágil gestión de proyectos</v>
      </c>
    </row>
    <row r="1461">
      <c r="A1461" s="140" t="str">
        <f>IFERROR(__xludf.DUMMYFUNCTION("""COMPUTED_VALUE"""),"de")</f>
        <v>de</v>
      </c>
      <c r="B1461">
        <f>IFERROR(__xludf.DUMMYFUNCTION("""COMPUTED_VALUE"""),1776568.0)</f>
        <v>1776568</v>
      </c>
      <c r="C1461" t="str">
        <f>IFERROR(__xludf.DUMMYFUNCTION("""COMPUTED_VALUE"""),"Grundlagen von Kryptowährungen: Coins, Wallets, ICOs &amp; mehr")</f>
        <v>Grundlagen von Kryptowährungen: Coins, Wallets, ICOs &amp; mehr</v>
      </c>
    </row>
    <row r="1462">
      <c r="A1462" s="140" t="str">
        <f>IFERROR(__xludf.DUMMYFUNCTION("""COMPUTED_VALUE"""),"pt")</f>
        <v>pt</v>
      </c>
      <c r="B1462">
        <f>IFERROR(__xludf.DUMMYFUNCTION("""COMPUTED_VALUE"""),1616562.0)</f>
        <v>1616562</v>
      </c>
      <c r="C1462" t="str">
        <f>IFERROR(__xludf.DUMMYFUNCTION("""COMPUTED_VALUE"""),"PROPAGANDA DE RESULTADO - Como criar a sua.")</f>
        <v>PROPAGANDA DE RESULTADO - Como criar a sua.</v>
      </c>
    </row>
    <row r="1463">
      <c r="A1463" s="140" t="str">
        <f>IFERROR(__xludf.DUMMYFUNCTION("""COMPUTED_VALUE"""),"en")</f>
        <v>en</v>
      </c>
      <c r="B1463">
        <f>IFERROR(__xludf.DUMMYFUNCTION("""COMPUTED_VALUE"""),3104504.0)</f>
        <v>3104504</v>
      </c>
      <c r="C1463" t="str">
        <f>IFERROR(__xludf.DUMMYFUNCTION("""COMPUTED_VALUE"""),"CPA Marketing With Push Ads (+ Successful Case Study)")</f>
        <v>CPA Marketing With Push Ads (+ Successful Case Study)</v>
      </c>
    </row>
    <row r="1464">
      <c r="A1464" s="140" t="str">
        <f>IFERROR(__xludf.DUMMYFUNCTION("""COMPUTED_VALUE"""),"en")</f>
        <v>en</v>
      </c>
      <c r="B1464">
        <f>IFERROR(__xludf.DUMMYFUNCTION("""COMPUTED_VALUE"""),1477762.0)</f>
        <v>1477762</v>
      </c>
      <c r="C1464" t="str">
        <f>IFERROR(__xludf.DUMMYFUNCTION("""COMPUTED_VALUE"""),"LumaFusion Ver 2+ for Beginners")</f>
        <v>LumaFusion Ver 2+ for Beginners</v>
      </c>
    </row>
    <row r="1465">
      <c r="A1465" s="140" t="str">
        <f>IFERROR(__xludf.DUMMYFUNCTION("""COMPUTED_VALUE"""),"fr")</f>
        <v>fr</v>
      </c>
      <c r="B1465">
        <f>IFERROR(__xludf.DUMMYFUNCTION("""COMPUTED_VALUE"""),1460572.0)</f>
        <v>1460572</v>
      </c>
      <c r="C1465" t="str">
        <f>IFERROR(__xludf.DUMMYFUNCTION("""COMPUTED_VALUE"""),"Créer un logo avec Inkscape")</f>
        <v>Créer un logo avec Inkscape</v>
      </c>
    </row>
    <row r="1466">
      <c r="A1466" s="140" t="str">
        <f>IFERROR(__xludf.DUMMYFUNCTION("""COMPUTED_VALUE"""),"pt")</f>
        <v>pt</v>
      </c>
      <c r="B1466">
        <f>IFERROR(__xludf.DUMMYFUNCTION("""COMPUTED_VALUE"""),642848.0)</f>
        <v>642848</v>
      </c>
      <c r="C1466" t="str">
        <f>IFERROR(__xludf.DUMMYFUNCTION("""COMPUTED_VALUE"""),"Cisco CCNA - Curso Completo de Segurança em Redes")</f>
        <v>Cisco CCNA - Curso Completo de Segurança em Redes</v>
      </c>
    </row>
    <row r="1467">
      <c r="A1467" s="140" t="str">
        <f>IFERROR(__xludf.DUMMYFUNCTION("""COMPUTED_VALUE"""),"pt")</f>
        <v>pt</v>
      </c>
      <c r="B1467">
        <f>IFERROR(__xludf.DUMMYFUNCTION("""COMPUTED_VALUE"""),943436.0)</f>
        <v>943436</v>
      </c>
      <c r="C1467" t="str">
        <f>IFERROR(__xludf.DUMMYFUNCTION("""COMPUTED_VALUE"""),"SIP em profundidade")</f>
        <v>SIP em profundidade</v>
      </c>
    </row>
    <row r="1468">
      <c r="A1468" s="140" t="str">
        <f>IFERROR(__xludf.DUMMYFUNCTION("""COMPUTED_VALUE"""),"es")</f>
        <v>es</v>
      </c>
      <c r="B1468">
        <f>IFERROR(__xludf.DUMMYFUNCTION("""COMPUTED_VALUE"""),1521942.0)</f>
        <v>1521942</v>
      </c>
      <c r="C1468" t="str">
        <f>IFERROR(__xludf.DUMMYFUNCTION("""COMPUTED_VALUE"""),"Libérate de la Ansiedad")</f>
        <v>Libérate de la Ansiedad</v>
      </c>
    </row>
    <row r="1469">
      <c r="A1469" s="140" t="str">
        <f>IFERROR(__xludf.DUMMYFUNCTION("""COMPUTED_VALUE"""),"en")</f>
        <v>en</v>
      </c>
      <c r="B1469">
        <f>IFERROR(__xludf.DUMMYFUNCTION("""COMPUTED_VALUE"""),1137048.0)</f>
        <v>1137048</v>
      </c>
      <c r="C1469" t="str">
        <f>IFERROR(__xludf.DUMMYFUNCTION("""COMPUTED_VALUE"""),"Microsoft Excel: Business Intelligence w/ Power Query &amp; DAX")</f>
        <v>Microsoft Excel: Business Intelligence w/ Power Query &amp; DAX</v>
      </c>
    </row>
    <row r="1470">
      <c r="A1470" s="140" t="str">
        <f>IFERROR(__xludf.DUMMYFUNCTION("""COMPUTED_VALUE"""),"pt")</f>
        <v>pt</v>
      </c>
      <c r="B1470">
        <f>IFERROR(__xludf.DUMMYFUNCTION("""COMPUTED_VALUE"""),1499542.0)</f>
        <v>1499542</v>
      </c>
      <c r="C1470" t="str">
        <f>IFERROR(__xludf.DUMMYFUNCTION("""COMPUTED_VALUE"""),"Pacote Office - Microsoft Office Essencial")</f>
        <v>Pacote Office - Microsoft Office Essencial</v>
      </c>
    </row>
    <row r="1471">
      <c r="A1471" s="140" t="str">
        <f>IFERROR(__xludf.DUMMYFUNCTION("""COMPUTED_VALUE"""),"en")</f>
        <v>en</v>
      </c>
      <c r="B1471">
        <f>IFERROR(__xludf.DUMMYFUNCTION("""COMPUTED_VALUE"""),2949774.0)</f>
        <v>2949774</v>
      </c>
      <c r="C1471" t="str">
        <f>IFERROR(__xludf.DUMMYFUNCTION("""COMPUTED_VALUE"""),"Taking the Pain Out of Collaboration: Tips &amp; Best Practices")</f>
        <v>Taking the Pain Out of Collaboration: Tips &amp; Best Practices</v>
      </c>
    </row>
    <row r="1472">
      <c r="A1472" s="140" t="str">
        <f>IFERROR(__xludf.DUMMYFUNCTION("""COMPUTED_VALUE"""),"ja")</f>
        <v>ja</v>
      </c>
      <c r="B1472">
        <f>IFERROR(__xludf.DUMMYFUNCTION("""COMPUTED_VALUE"""),4021568.0)</f>
        <v>4021568</v>
      </c>
      <c r="C1472" t="str">
        <f>IFERROR(__xludf.DUMMYFUNCTION("""COMPUTED_VALUE"""),"【初学者のステップアップに】パーティクルエフェクト講座")</f>
        <v>【初学者のステップアップに】パーティクルエフェクト講座</v>
      </c>
    </row>
    <row r="1473">
      <c r="A1473" s="140" t="str">
        <f>IFERROR(__xludf.DUMMYFUNCTION("""COMPUTED_VALUE"""),"pt")</f>
        <v>pt</v>
      </c>
      <c r="B1473">
        <f>IFERROR(__xludf.DUMMYFUNCTION("""COMPUTED_VALUE"""),2389086.0)</f>
        <v>2389086</v>
      </c>
      <c r="C1473" t="str">
        <f>IFERROR(__xludf.DUMMYFUNCTION("""COMPUTED_VALUE"""),"Formação em Redes de Computadores - Módulo 3")</f>
        <v>Formação em Redes de Computadores - Módulo 3</v>
      </c>
    </row>
    <row r="1474">
      <c r="A1474" s="140" t="str">
        <f>IFERROR(__xludf.DUMMYFUNCTION("""COMPUTED_VALUE"""),"en")</f>
        <v>en</v>
      </c>
      <c r="B1474">
        <f>IFERROR(__xludf.DUMMYFUNCTION("""COMPUTED_VALUE"""),2160644.0)</f>
        <v>2160644</v>
      </c>
      <c r="C1474" t="str">
        <f>IFERROR(__xludf.DUMMYFUNCTION("""COMPUTED_VALUE"""),"Procedural Race Tracks - Houdini 17.5/18 and Houdini Engine")</f>
        <v>Procedural Race Tracks - Houdini 17.5/18 and Houdini Engine</v>
      </c>
    </row>
    <row r="1475">
      <c r="A1475" s="140" t="str">
        <f>IFERROR(__xludf.DUMMYFUNCTION("""COMPUTED_VALUE"""),"en")</f>
        <v>en</v>
      </c>
      <c r="B1475">
        <f>IFERROR(__xludf.DUMMYFUNCTION("""COMPUTED_VALUE"""),3594850.0)</f>
        <v>3594850</v>
      </c>
      <c r="C1475" t="str">
        <f>IFERROR(__xludf.DUMMYFUNCTION("""COMPUTED_VALUE"""),"AWS Certification - Developer Associate - 2021")</f>
        <v>AWS Certification - Developer Associate - 2021</v>
      </c>
    </row>
    <row r="1476">
      <c r="A1476" s="140" t="str">
        <f>IFERROR(__xludf.DUMMYFUNCTION("""COMPUTED_VALUE"""),"en")</f>
        <v>en</v>
      </c>
      <c r="B1476">
        <f>IFERROR(__xludf.DUMMYFUNCTION("""COMPUTED_VALUE"""),1600586.0)</f>
        <v>1600586</v>
      </c>
      <c r="C1476" t="str">
        <f>IFERROR(__xludf.DUMMYFUNCTION("""COMPUTED_VALUE"""),"Learn the Fundamentals of VHDL and FPGA Development")</f>
        <v>Learn the Fundamentals of VHDL and FPGA Development</v>
      </c>
    </row>
    <row r="1477">
      <c r="A1477" s="140" t="str">
        <f>IFERROR(__xludf.DUMMYFUNCTION("""COMPUTED_VALUE"""),"en")</f>
        <v>en</v>
      </c>
      <c r="B1477">
        <f>IFERROR(__xludf.DUMMYFUNCTION("""COMPUTED_VALUE"""),3604434.0)</f>
        <v>3604434</v>
      </c>
      <c r="C1477" t="str">
        <f>IFERROR(__xludf.DUMMYFUNCTION("""COMPUTED_VALUE"""),"Microfrontends with React: A Complete Developer's Guide")</f>
        <v>Microfrontends with React: A Complete Developer's Guide</v>
      </c>
    </row>
    <row r="1478">
      <c r="A1478" s="140" t="str">
        <f>IFERROR(__xludf.DUMMYFUNCTION("""COMPUTED_VALUE"""),"en")</f>
        <v>en</v>
      </c>
      <c r="B1478">
        <f>IFERROR(__xludf.DUMMYFUNCTION("""COMPUTED_VALUE"""),2445302.0)</f>
        <v>2445302</v>
      </c>
      <c r="C1478" t="str">
        <f>IFERROR(__xludf.DUMMYFUNCTION("""COMPUTED_VALUE"""),"Django with GraphQL")</f>
        <v>Django with GraphQL</v>
      </c>
    </row>
    <row r="1479">
      <c r="A1479" s="140" t="str">
        <f>IFERROR(__xludf.DUMMYFUNCTION("""COMPUTED_VALUE"""),"en")</f>
        <v>en</v>
      </c>
      <c r="B1479">
        <f>IFERROR(__xludf.DUMMYFUNCTION("""COMPUTED_VALUE"""),1412930.0)</f>
        <v>1412930</v>
      </c>
      <c r="C1479" t="str">
        <f>IFERROR(__xludf.DUMMYFUNCTION("""COMPUTED_VALUE"""),"MATLAB onramp 2021: coding, concepts, confidence, and style")</f>
        <v>MATLAB onramp 2021: coding, concepts, confidence, and style</v>
      </c>
    </row>
    <row r="1480">
      <c r="A1480" s="140" t="str">
        <f>IFERROR(__xludf.DUMMYFUNCTION("""COMPUTED_VALUE"""),"fr")</f>
        <v>fr</v>
      </c>
      <c r="B1480">
        <f>IFERROR(__xludf.DUMMYFUNCTION("""COMPUTED_VALUE"""),1526522.0)</f>
        <v>1526522</v>
      </c>
      <c r="C1480" t="str">
        <f>IFERROR(__xludf.DUMMYFUNCTION("""COMPUTED_VALUE"""),"Excel : Macro - VBA")</f>
        <v>Excel : Macro - VBA</v>
      </c>
    </row>
    <row r="1481">
      <c r="A1481" s="140" t="str">
        <f>IFERROR(__xludf.DUMMYFUNCTION("""COMPUTED_VALUE"""),"pt")</f>
        <v>pt</v>
      </c>
      <c r="B1481">
        <f>IFERROR(__xludf.DUMMYFUNCTION("""COMPUTED_VALUE"""),3599634.0)</f>
        <v>3599634</v>
      </c>
      <c r="C1481" t="str">
        <f>IFERROR(__xludf.DUMMYFUNCTION("""COMPUTED_VALUE"""),"Criando microsserviços em Java com AWS ECS e Fargate")</f>
        <v>Criando microsserviços em Java com AWS ECS e Fargate</v>
      </c>
    </row>
    <row r="1482">
      <c r="A1482" s="140" t="str">
        <f>IFERROR(__xludf.DUMMYFUNCTION("""COMPUTED_VALUE"""),"en")</f>
        <v>en</v>
      </c>
      <c r="B1482">
        <f>IFERROR(__xludf.DUMMYFUNCTION("""COMPUTED_VALUE"""),3827154.0)</f>
        <v>3827154</v>
      </c>
      <c r="C1482" t="str">
        <f>IFERROR(__xludf.DUMMYFUNCTION("""COMPUTED_VALUE"""),"GCP Associate Cloud Engineer - Google Cloud Certification")</f>
        <v>GCP Associate Cloud Engineer - Google Cloud Certification</v>
      </c>
    </row>
    <row r="1483">
      <c r="A1483" s="140" t="str">
        <f>IFERROR(__xludf.DUMMYFUNCTION("""COMPUTED_VALUE"""),"en")</f>
        <v>en</v>
      </c>
      <c r="B1483">
        <f>IFERROR(__xludf.DUMMYFUNCTION("""COMPUTED_VALUE"""),3249386.0)</f>
        <v>3249386</v>
      </c>
      <c r="C1483" t="str">
        <f>IFERROR(__xludf.DUMMYFUNCTION("""COMPUTED_VALUE"""),"Learn Online Workshop Facilitation &amp; Tips For MS Teams")</f>
        <v>Learn Online Workshop Facilitation &amp; Tips For MS Teams</v>
      </c>
    </row>
    <row r="1484">
      <c r="A1484" s="140" t="str">
        <f>IFERROR(__xludf.DUMMYFUNCTION("""COMPUTED_VALUE"""),"en")</f>
        <v>en</v>
      </c>
      <c r="B1484">
        <f>IFERROR(__xludf.DUMMYFUNCTION("""COMPUTED_VALUE"""),785066.0)</f>
        <v>785066</v>
      </c>
      <c r="C1484" t="str">
        <f>IFERROR(__xludf.DUMMYFUNCTION("""COMPUTED_VALUE"""),"The Complete MySQL Developer Course")</f>
        <v>The Complete MySQL Developer Course</v>
      </c>
    </row>
    <row r="1485">
      <c r="A1485" s="140" t="str">
        <f>IFERROR(__xludf.DUMMYFUNCTION("""COMPUTED_VALUE"""),"en")</f>
        <v>en</v>
      </c>
      <c r="B1485">
        <f>IFERROR(__xludf.DUMMYFUNCTION("""COMPUTED_VALUE"""),430282.0)</f>
        <v>430282</v>
      </c>
      <c r="C1485" t="str">
        <f>IFERROR(__xludf.DUMMYFUNCTION("""COMPUTED_VALUE"""),"Life Purpose Life Coach Certification 2WEC Training")</f>
        <v>Life Purpose Life Coach Certification 2WEC Training</v>
      </c>
    </row>
    <row r="1486">
      <c r="A1486" s="140" t="str">
        <f>IFERROR(__xludf.DUMMYFUNCTION("""COMPUTED_VALUE"""),"en")</f>
        <v>en</v>
      </c>
      <c r="B1486">
        <f>IFERROR(__xludf.DUMMYFUNCTION("""COMPUTED_VALUE"""),1575278.0)</f>
        <v>1575278</v>
      </c>
      <c r="C1486" t="str">
        <f>IFERROR(__xludf.DUMMYFUNCTION("""COMPUTED_VALUE"""),"Flutter &amp; Dart - The Complete Flutter App Development Course")</f>
        <v>Flutter &amp; Dart - The Complete Flutter App Development Course</v>
      </c>
    </row>
    <row r="1487">
      <c r="A1487" s="140" t="str">
        <f>IFERROR(__xludf.DUMMYFUNCTION("""COMPUTED_VALUE"""),"pt")</f>
        <v>pt</v>
      </c>
      <c r="B1487">
        <f>IFERROR(__xludf.DUMMYFUNCTION("""COMPUTED_VALUE"""),1231884.0)</f>
        <v>1231884</v>
      </c>
      <c r="C1487" t="str">
        <f>IFERROR(__xludf.DUMMYFUNCTION("""COMPUTED_VALUE"""),"Docker do zero - introdução a administração de containers")</f>
        <v>Docker do zero - introdução a administração de containers</v>
      </c>
    </row>
    <row r="1488">
      <c r="A1488" s="140" t="str">
        <f>IFERROR(__xludf.DUMMYFUNCTION("""COMPUTED_VALUE"""),"en")</f>
        <v>en</v>
      </c>
      <c r="B1488">
        <f>IFERROR(__xludf.DUMMYFUNCTION("""COMPUTED_VALUE"""),613946.0)</f>
        <v>613946</v>
      </c>
      <c r="C1488" t="str">
        <f>IFERROR(__xludf.DUMMYFUNCTION("""COMPUTED_VALUE"""),"Google Analytics for Beginners - Master Google Analytics")</f>
        <v>Google Analytics for Beginners - Master Google Analytics</v>
      </c>
    </row>
    <row r="1489">
      <c r="A1489" s="140" t="str">
        <f>IFERROR(__xludf.DUMMYFUNCTION("""COMPUTED_VALUE"""),"es")</f>
        <v>es</v>
      </c>
      <c r="B1489">
        <f>IFERROR(__xludf.DUMMYFUNCTION("""COMPUTED_VALUE"""),1397068.0)</f>
        <v>1397068</v>
      </c>
      <c r="C1489" t="str">
        <f>IFERROR(__xludf.DUMMYFUNCTION("""COMPUTED_VALUE"""),"Excel 2016 ¡Desde cero hasta experto!")</f>
        <v>Excel 2016 ¡Desde cero hasta experto!</v>
      </c>
    </row>
    <row r="1490">
      <c r="A1490" s="140" t="str">
        <f>IFERROR(__xludf.DUMMYFUNCTION("""COMPUTED_VALUE"""),"en")</f>
        <v>en</v>
      </c>
      <c r="B1490">
        <f>IFERROR(__xludf.DUMMYFUNCTION("""COMPUTED_VALUE"""),2370038.0)</f>
        <v>2370038</v>
      </c>
      <c r="C1490" t="str">
        <f>IFERROR(__xludf.DUMMYFUNCTION("""COMPUTED_VALUE"""),"Bitrix24 implementation masterclass")</f>
        <v>Bitrix24 implementation masterclass</v>
      </c>
    </row>
    <row r="1491">
      <c r="A1491" s="140" t="str">
        <f>IFERROR(__xludf.DUMMYFUNCTION("""COMPUTED_VALUE"""),"en")</f>
        <v>en</v>
      </c>
      <c r="B1491">
        <f>IFERROR(__xludf.DUMMYFUNCTION("""COMPUTED_VALUE"""),829566.0)</f>
        <v>829566</v>
      </c>
      <c r="C1491" t="str">
        <f>IFERROR(__xludf.DUMMYFUNCTION("""COMPUTED_VALUE"""),"Introduction to Linguistics")</f>
        <v>Introduction to Linguistics</v>
      </c>
    </row>
    <row r="1492">
      <c r="A1492" s="140" t="str">
        <f>IFERROR(__xludf.DUMMYFUNCTION("""COMPUTED_VALUE"""),"en")</f>
        <v>en</v>
      </c>
      <c r="B1492">
        <f>IFERROR(__xludf.DUMMYFUNCTION("""COMPUTED_VALUE"""),2709124.0)</f>
        <v>2709124</v>
      </c>
      <c r="C1492" t="str">
        <f>IFERROR(__xludf.DUMMYFUNCTION("""COMPUTED_VALUE"""),"Kids Yoga Teacher Training Certificate Course - Ages 2-17")</f>
        <v>Kids Yoga Teacher Training Certificate Course - Ages 2-17</v>
      </c>
    </row>
    <row r="1493">
      <c r="A1493" s="140" t="str">
        <f>IFERROR(__xludf.DUMMYFUNCTION("""COMPUTED_VALUE"""),"en")</f>
        <v>en</v>
      </c>
      <c r="B1493">
        <f>IFERROR(__xludf.DUMMYFUNCTION("""COMPUTED_VALUE"""),2261040.0)</f>
        <v>2261040</v>
      </c>
      <c r="C1493" t="str">
        <f>IFERROR(__xludf.DUMMYFUNCTION("""COMPUTED_VALUE"""),"23 x Ways your IT Support Company Can Make More Profit")</f>
        <v>23 x Ways your IT Support Company Can Make More Profit</v>
      </c>
    </row>
    <row r="1494">
      <c r="A1494" s="140" t="str">
        <f>IFERROR(__xludf.DUMMYFUNCTION("""COMPUTED_VALUE"""),"en")</f>
        <v>en</v>
      </c>
      <c r="B1494">
        <f>IFERROR(__xludf.DUMMYFUNCTION("""COMPUTED_VALUE"""),1531492.0)</f>
        <v>1531492</v>
      </c>
      <c r="C1494" t="str">
        <f>IFERROR(__xludf.DUMMYFUNCTION("""COMPUTED_VALUE"""),"The Complete Social Engineering, Phishing, OSINT &amp; Malware")</f>
        <v>The Complete Social Engineering, Phishing, OSINT &amp; Malware</v>
      </c>
    </row>
    <row r="1495">
      <c r="A1495" s="140" t="str">
        <f>IFERROR(__xludf.DUMMYFUNCTION("""COMPUTED_VALUE"""),"en")</f>
        <v>en</v>
      </c>
      <c r="B1495">
        <f>IFERROR(__xludf.DUMMYFUNCTION("""COMPUTED_VALUE"""),1720356.0)</f>
        <v>1720356</v>
      </c>
      <c r="C1495" t="str">
        <f>IFERROR(__xludf.DUMMYFUNCTION("""COMPUTED_VALUE"""),"Learning how to learn: brain hacks that actually work.")</f>
        <v>Learning how to learn: brain hacks that actually work.</v>
      </c>
    </row>
    <row r="1496">
      <c r="A1496" s="140" t="str">
        <f>IFERROR(__xludf.DUMMYFUNCTION("""COMPUTED_VALUE"""),"en")</f>
        <v>en</v>
      </c>
      <c r="B1496">
        <f>IFERROR(__xludf.DUMMYFUNCTION("""COMPUTED_VALUE"""),587890.0)</f>
        <v>587890</v>
      </c>
      <c r="C1496" t="str">
        <f>IFERROR(__xludf.DUMMYFUNCTION("""COMPUTED_VALUE"""),"Getting Started with Google Office: Docs, Sheets, Slides")</f>
        <v>Getting Started with Google Office: Docs, Sheets, Slides</v>
      </c>
    </row>
    <row r="1497">
      <c r="A1497" s="140" t="str">
        <f>IFERROR(__xludf.DUMMYFUNCTION("""COMPUTED_VALUE"""),"en")</f>
        <v>en</v>
      </c>
      <c r="B1497">
        <f>IFERROR(__xludf.DUMMYFUNCTION("""COMPUTED_VALUE"""),1556346.0)</f>
        <v>1556346</v>
      </c>
      <c r="C1497" t="str">
        <f>IFERROR(__xludf.DUMMYFUNCTION("""COMPUTED_VALUE"""),"Effective Delegation for New Managers")</f>
        <v>Effective Delegation for New Managers</v>
      </c>
    </row>
    <row r="1498">
      <c r="A1498" s="140" t="str">
        <f>IFERROR(__xludf.DUMMYFUNCTION("""COMPUTED_VALUE"""),"pt")</f>
        <v>pt</v>
      </c>
      <c r="B1498">
        <f>IFERROR(__xludf.DUMMYFUNCTION("""COMPUTED_VALUE"""),767614.0)</f>
        <v>767614</v>
      </c>
      <c r="C1498" t="str">
        <f>IFERROR(__xludf.DUMMYFUNCTION("""COMPUTED_VALUE"""),"Cisco CCNA Data Center")</f>
        <v>Cisco CCNA Data Center</v>
      </c>
    </row>
    <row r="1499">
      <c r="A1499" s="140" t="str">
        <f>IFERROR(__xludf.DUMMYFUNCTION("""COMPUTED_VALUE"""),"pt")</f>
        <v>pt</v>
      </c>
      <c r="B1499">
        <f>IFERROR(__xludf.DUMMYFUNCTION("""COMPUTED_VALUE"""),1449370.0)</f>
        <v>1449370</v>
      </c>
      <c r="C1499" t="str">
        <f>IFERROR(__xludf.DUMMYFUNCTION("""COMPUTED_VALUE"""),"Windows Server 2016 (SERVER CORE / POWERSHELL)")</f>
        <v>Windows Server 2016 (SERVER CORE / POWERSHELL)</v>
      </c>
    </row>
    <row r="1500">
      <c r="A1500" s="140" t="str">
        <f>IFERROR(__xludf.DUMMYFUNCTION("""COMPUTED_VALUE"""),"de")</f>
        <v>de</v>
      </c>
      <c r="B1500">
        <f>IFERROR(__xludf.DUMMYFUNCTION("""COMPUTED_VALUE"""),862886.0)</f>
        <v>862886</v>
      </c>
      <c r="C1500" t="str">
        <f>IFERROR(__xludf.DUMMYFUNCTION("""COMPUTED_VALUE"""),"Produktivität im Arbeitsalltag")</f>
        <v>Produktivität im Arbeitsalltag</v>
      </c>
    </row>
    <row r="1501">
      <c r="A1501" s="140" t="str">
        <f>IFERROR(__xludf.DUMMYFUNCTION("""COMPUTED_VALUE"""),"en")</f>
        <v>en</v>
      </c>
      <c r="B1501">
        <f>IFERROR(__xludf.DUMMYFUNCTION("""COMPUTED_VALUE"""),747292.0)</f>
        <v>747292</v>
      </c>
      <c r="C1501" t="str">
        <f>IFERROR(__xludf.DUMMYFUNCTION("""COMPUTED_VALUE"""),"Mastering QlikView Set Analysis")</f>
        <v>Mastering QlikView Set Analysis</v>
      </c>
    </row>
    <row r="1502">
      <c r="A1502" s="140" t="str">
        <f>IFERROR(__xludf.DUMMYFUNCTION("""COMPUTED_VALUE"""),"es")</f>
        <v>es</v>
      </c>
      <c r="B1502">
        <f>IFERROR(__xludf.DUMMYFUNCTION("""COMPUTED_VALUE"""),3722572.0)</f>
        <v>3722572</v>
      </c>
      <c r="C1502" t="str">
        <f>IFERROR(__xludf.DUMMYFUNCTION("""COMPUTED_VALUE"""),"Curso de Instagram Marketing: Estrategias, tácticas y diseño")</f>
        <v>Curso de Instagram Marketing: Estrategias, tácticas y diseño</v>
      </c>
    </row>
    <row r="1503">
      <c r="A1503" s="140" t="str">
        <f>IFERROR(__xludf.DUMMYFUNCTION("""COMPUTED_VALUE"""),"en")</f>
        <v>en</v>
      </c>
      <c r="B1503">
        <f>IFERROR(__xludf.DUMMYFUNCTION("""COMPUTED_VALUE"""),3449304.0)</f>
        <v>3449304</v>
      </c>
      <c r="C1503" t="str">
        <f>IFERROR(__xludf.DUMMYFUNCTION("""COMPUTED_VALUE"""),"Self-Advocacy: Be Your Own Champion")</f>
        <v>Self-Advocacy: Be Your Own Champion</v>
      </c>
    </row>
    <row r="1504">
      <c r="A1504" s="140" t="str">
        <f>IFERROR(__xludf.DUMMYFUNCTION("""COMPUTED_VALUE"""),"en")</f>
        <v>en</v>
      </c>
      <c r="B1504">
        <f>IFERROR(__xludf.DUMMYFUNCTION("""COMPUTED_VALUE"""),1811532.0)</f>
        <v>1811532</v>
      </c>
      <c r="C1504" t="str">
        <f>IFERROR(__xludf.DUMMYFUNCTION("""COMPUTED_VALUE"""),"DevOps: Certified Jenkins Engineer")</f>
        <v>DevOps: Certified Jenkins Engineer</v>
      </c>
    </row>
    <row r="1505">
      <c r="A1505" s="140" t="str">
        <f>IFERROR(__xludf.DUMMYFUNCTION("""COMPUTED_VALUE"""),"en")</f>
        <v>en</v>
      </c>
      <c r="B1505">
        <f>IFERROR(__xludf.DUMMYFUNCTION("""COMPUTED_VALUE"""),2506628.0)</f>
        <v>2506628</v>
      </c>
      <c r="C1505" t="str">
        <f>IFERROR(__xludf.DUMMYFUNCTION("""COMPUTED_VALUE"""),"Master CI/CD for Android Developers")</f>
        <v>Master CI/CD for Android Developers</v>
      </c>
    </row>
    <row r="1506">
      <c r="A1506" s="140" t="str">
        <f>IFERROR(__xludf.DUMMYFUNCTION("""COMPUTED_VALUE"""),"en")</f>
        <v>en</v>
      </c>
      <c r="B1506">
        <f>IFERROR(__xludf.DUMMYFUNCTION("""COMPUTED_VALUE"""),619698.0)</f>
        <v>619698</v>
      </c>
      <c r="C1506" t="str">
        <f>IFERROR(__xludf.DUMMYFUNCTION("""COMPUTED_VALUE"""),"Learn Advanced C++ Programming")</f>
        <v>Learn Advanced C++ Programming</v>
      </c>
    </row>
    <row r="1507">
      <c r="A1507" s="140" t="str">
        <f>IFERROR(__xludf.DUMMYFUNCTION("""COMPUTED_VALUE"""),"en")</f>
        <v>en</v>
      </c>
      <c r="B1507">
        <f>IFERROR(__xludf.DUMMYFUNCTION("""COMPUTED_VALUE"""),3683570.0)</f>
        <v>3683570</v>
      </c>
      <c r="C1507" t="str">
        <f>IFERROR(__xludf.DUMMYFUNCTION("""COMPUTED_VALUE"""),"Corel DRAW for Beginners: Design in Corel Draw 2020")</f>
        <v>Corel DRAW for Beginners: Design in Corel Draw 2020</v>
      </c>
    </row>
    <row r="1508">
      <c r="A1508" s="140" t="str">
        <f>IFERROR(__xludf.DUMMYFUNCTION("""COMPUTED_VALUE"""),"pt")</f>
        <v>pt</v>
      </c>
      <c r="B1508">
        <f>IFERROR(__xludf.DUMMYFUNCTION("""COMPUTED_VALUE"""),2110806.0)</f>
        <v>2110806</v>
      </c>
      <c r="C1508" t="str">
        <f>IFERROR(__xludf.DUMMYFUNCTION("""COMPUTED_VALUE"""),"Estratégia de Marketing")</f>
        <v>Estratégia de Marketing</v>
      </c>
    </row>
    <row r="1509">
      <c r="A1509" s="140" t="str">
        <f>IFERROR(__xludf.DUMMYFUNCTION("""COMPUTED_VALUE"""),"en")</f>
        <v>en</v>
      </c>
      <c r="B1509">
        <f>IFERROR(__xludf.DUMMYFUNCTION("""COMPUTED_VALUE"""),1424258.0)</f>
        <v>1424258</v>
      </c>
      <c r="C1509" t="str">
        <f>IFERROR(__xludf.DUMMYFUNCTION("""COMPUTED_VALUE"""),"High Performance Learning 2.0")</f>
        <v>High Performance Learning 2.0</v>
      </c>
    </row>
    <row r="1510">
      <c r="A1510" s="140" t="str">
        <f>IFERROR(__xludf.DUMMYFUNCTION("""COMPUTED_VALUE"""),"pt")</f>
        <v>pt</v>
      </c>
      <c r="B1510">
        <f>IFERROR(__xludf.DUMMYFUNCTION("""COMPUTED_VALUE"""),1563626.0)</f>
        <v>1563626</v>
      </c>
      <c r="C1510" t="str">
        <f>IFERROR(__xludf.DUMMYFUNCTION("""COMPUTED_VALUE"""),"Descomplicando a Linguagem C")</f>
        <v>Descomplicando a Linguagem C</v>
      </c>
    </row>
    <row r="1511">
      <c r="A1511" s="140" t="str">
        <f>IFERROR(__xludf.DUMMYFUNCTION("""COMPUTED_VALUE"""),"en")</f>
        <v>en</v>
      </c>
      <c r="B1511">
        <f>IFERROR(__xludf.DUMMYFUNCTION("""COMPUTED_VALUE"""),2431528.0)</f>
        <v>2431528</v>
      </c>
      <c r="C1511" t="str">
        <f>IFERROR(__xludf.DUMMYFUNCTION("""COMPUTED_VALUE"""),"CISA Exam Preparation Model Test (New Syllabus)")</f>
        <v>CISA Exam Preparation Model Test (New Syllabus)</v>
      </c>
    </row>
    <row r="1512">
      <c r="A1512" s="140" t="str">
        <f>IFERROR(__xludf.DUMMYFUNCTION("""COMPUTED_VALUE"""),"en")</f>
        <v>en</v>
      </c>
      <c r="B1512">
        <f>IFERROR(__xludf.DUMMYFUNCTION("""COMPUTED_VALUE"""),382966.0)</f>
        <v>382966</v>
      </c>
      <c r="C1512" t="str">
        <f>IFERROR(__xludf.DUMMYFUNCTION("""COMPUTED_VALUE"""),"Neuroscience for parents: How to raise amazing kids")</f>
        <v>Neuroscience for parents: How to raise amazing kids</v>
      </c>
    </row>
    <row r="1513">
      <c r="A1513" s="140" t="str">
        <f>IFERROR(__xludf.DUMMYFUNCTION("""COMPUTED_VALUE"""),"en")</f>
        <v>en</v>
      </c>
      <c r="B1513">
        <f>IFERROR(__xludf.DUMMYFUNCTION("""COMPUTED_VALUE"""),1726420.0)</f>
        <v>1726420</v>
      </c>
      <c r="C1513" t="str">
        <f>IFERROR(__xludf.DUMMYFUNCTION("""COMPUTED_VALUE"""),"RxJs In Practice (with FREE E-Book)")</f>
        <v>RxJs In Practice (with FREE E-Book)</v>
      </c>
    </row>
    <row r="1514">
      <c r="A1514" s="140" t="str">
        <f>IFERROR(__xludf.DUMMYFUNCTION("""COMPUTED_VALUE"""),"en")</f>
        <v>en</v>
      </c>
      <c r="B1514">
        <f>IFERROR(__xludf.DUMMYFUNCTION("""COMPUTED_VALUE"""),1337064.0)</f>
        <v>1337064</v>
      </c>
      <c r="C1514" t="str">
        <f>IFERROR(__xludf.DUMMYFUNCTION("""COMPUTED_VALUE"""),"Mastering QuickBooks Online")</f>
        <v>Mastering QuickBooks Online</v>
      </c>
    </row>
    <row r="1515">
      <c r="A1515" s="140" t="str">
        <f>IFERROR(__xludf.DUMMYFUNCTION("""COMPUTED_VALUE"""),"de")</f>
        <v>de</v>
      </c>
      <c r="B1515">
        <f>IFERROR(__xludf.DUMMYFUNCTION("""COMPUTED_VALUE"""),2126546.0)</f>
        <v>2126546</v>
      </c>
      <c r="C1515" t="str">
        <f>IFERROR(__xludf.DUMMYFUNCTION("""COMPUTED_VALUE"""),"Die SEO Masterclass: Lerne Suchmaschinenoptimierung von A-Z")</f>
        <v>Die SEO Masterclass: Lerne Suchmaschinenoptimierung von A-Z</v>
      </c>
    </row>
    <row r="1516">
      <c r="A1516" s="140" t="str">
        <f>IFERROR(__xludf.DUMMYFUNCTION("""COMPUTED_VALUE"""),"en")</f>
        <v>en</v>
      </c>
      <c r="B1516">
        <f>IFERROR(__xludf.DUMMYFUNCTION("""COMPUTED_VALUE"""),1038568.0)</f>
        <v>1038568</v>
      </c>
      <c r="C1516" t="str">
        <f>IFERROR(__xludf.DUMMYFUNCTION("""COMPUTED_VALUE"""),"Adobe Muse CC Course - Design and Launch Websites")</f>
        <v>Adobe Muse CC Course - Design and Launch Websites</v>
      </c>
    </row>
    <row r="1517">
      <c r="A1517" s="140" t="str">
        <f>IFERROR(__xludf.DUMMYFUNCTION("""COMPUTED_VALUE"""),"en")</f>
        <v>en</v>
      </c>
      <c r="B1517">
        <f>IFERROR(__xludf.DUMMYFUNCTION("""COMPUTED_VALUE"""),1097168.0)</f>
        <v>1097168</v>
      </c>
      <c r="C1517" t="str">
        <f>IFERROR(__xludf.DUMMYFUNCTION("""COMPUTED_VALUE"""),"Electrical Control &amp; Protection Systems")</f>
        <v>Electrical Control &amp; Protection Systems</v>
      </c>
    </row>
    <row r="1518">
      <c r="A1518" s="140" t="str">
        <f>IFERROR(__xludf.DUMMYFUNCTION("""COMPUTED_VALUE"""),"en")</f>
        <v>en</v>
      </c>
      <c r="B1518">
        <f>IFERROR(__xludf.DUMMYFUNCTION("""COMPUTED_VALUE"""),497736.0)</f>
        <v>497736</v>
      </c>
      <c r="C1518" t="str">
        <f>IFERROR(__xludf.DUMMYFUNCTION("""COMPUTED_VALUE"""),"Learn Social Psychology")</f>
        <v>Learn Social Psychology</v>
      </c>
    </row>
    <row r="1519">
      <c r="A1519" s="140" t="str">
        <f>IFERROR(__xludf.DUMMYFUNCTION("""COMPUTED_VALUE"""),"en")</f>
        <v>en</v>
      </c>
      <c r="B1519">
        <f>IFERROR(__xludf.DUMMYFUNCTION("""COMPUTED_VALUE"""),1968882.0)</f>
        <v>1968882</v>
      </c>
      <c r="C1519" t="str">
        <f>IFERROR(__xludf.DUMMYFUNCTION("""COMPUTED_VALUE"""),"Master Apache Spark - Hands On!")</f>
        <v>Master Apache Spark - Hands On!</v>
      </c>
    </row>
    <row r="1520">
      <c r="A1520" s="140" t="str">
        <f>IFERROR(__xludf.DUMMYFUNCTION("""COMPUTED_VALUE"""),"en")</f>
        <v>en</v>
      </c>
      <c r="B1520">
        <f>IFERROR(__xludf.DUMMYFUNCTION("""COMPUTED_VALUE"""),1245096.0)</f>
        <v>1245096</v>
      </c>
      <c r="C1520" t="str">
        <f>IFERROR(__xludf.DUMMYFUNCTION("""COMPUTED_VALUE"""),"Get your PfMP® Certification on your first attempt")</f>
        <v>Get your PfMP® Certification on your first attempt</v>
      </c>
    </row>
    <row r="1521">
      <c r="A1521" s="140" t="str">
        <f>IFERROR(__xludf.DUMMYFUNCTION("""COMPUTED_VALUE"""),"pt")</f>
        <v>pt</v>
      </c>
      <c r="B1521">
        <f>IFERROR(__xludf.DUMMYFUNCTION("""COMPUTED_VALUE"""),3146740.0)</f>
        <v>3146740</v>
      </c>
      <c r="C1521" t="str">
        <f>IFERROR(__xludf.DUMMYFUNCTION("""COMPUTED_VALUE"""),"Como medir a Experiência do Cliente")</f>
        <v>Como medir a Experiência do Cliente</v>
      </c>
    </row>
    <row r="1522">
      <c r="A1522" s="140" t="str">
        <f>IFERROR(__xludf.DUMMYFUNCTION("""COMPUTED_VALUE"""),"pt")</f>
        <v>pt</v>
      </c>
      <c r="B1522">
        <f>IFERROR(__xludf.DUMMYFUNCTION("""COMPUTED_VALUE"""),1412564.0)</f>
        <v>1412564</v>
      </c>
      <c r="C1522" t="str">
        <f>IFERROR(__xludf.DUMMYFUNCTION("""COMPUTED_VALUE"""),"Fast MBA Lead - Liderança e Gestão de Pessoas")</f>
        <v>Fast MBA Lead - Liderança e Gestão de Pessoas</v>
      </c>
    </row>
    <row r="1523">
      <c r="A1523" s="140" t="str">
        <f>IFERROR(__xludf.DUMMYFUNCTION("""COMPUTED_VALUE"""),"es")</f>
        <v>es</v>
      </c>
      <c r="B1523">
        <f>IFERROR(__xludf.DUMMYFUNCTION("""COMPUTED_VALUE"""),1515972.0)</f>
        <v>1515972</v>
      </c>
      <c r="C1523" t="str">
        <f>IFERROR(__xludf.DUMMYFUNCTION("""COMPUTED_VALUE"""),"Aplicaciones Big Data para Data Scientist con R y Shiny")</f>
        <v>Aplicaciones Big Data para Data Scientist con R y Shiny</v>
      </c>
    </row>
    <row r="1524">
      <c r="A1524" s="140" t="str">
        <f>IFERROR(__xludf.DUMMYFUNCTION("""COMPUTED_VALUE"""),"ja")</f>
        <v>ja</v>
      </c>
      <c r="B1524">
        <f>IFERROR(__xludf.DUMMYFUNCTION("""COMPUTED_VALUE"""),3924972.0)</f>
        <v>3924972</v>
      </c>
      <c r="C1524" t="str">
        <f>IFERROR(__xludf.DUMMYFUNCTION("""COMPUTED_VALUE"""),"【強化学習】ロボットの最適ルートを決める実装を通じ、強化学習のアルゴリズム（Q学習）を理解しよう")</f>
        <v>【強化学習】ロボットの最適ルートを決める実装を通じ、強化学習のアルゴリズム（Q学習）を理解しよう</v>
      </c>
    </row>
    <row r="1525">
      <c r="A1525" s="140" t="str">
        <f>IFERROR(__xludf.DUMMYFUNCTION("""COMPUTED_VALUE"""),"ja")</f>
        <v>ja</v>
      </c>
      <c r="B1525">
        <f>IFERROR(__xludf.DUMMYFUNCTION("""COMPUTED_VALUE"""),1938484.0)</f>
        <v>1938484</v>
      </c>
      <c r="C1525" t="str">
        <f>IFERROR(__xludf.DUMMYFUNCTION("""COMPUTED_VALUE"""),"人工知能（AI）×IoT×ブロックチェーン時代のテクノロジー／次世代ビジネスモデルノウハウの全ての基礎知識を獲得する講座")</f>
        <v>人工知能（AI）×IoT×ブロックチェーン時代のテクノロジー／次世代ビジネスモデルノウハウの全ての基礎知識を獲得する講座</v>
      </c>
    </row>
    <row r="1526">
      <c r="A1526" s="140" t="str">
        <f>IFERROR(__xludf.DUMMYFUNCTION("""COMPUTED_VALUE"""),"en")</f>
        <v>en</v>
      </c>
      <c r="B1526">
        <f>IFERROR(__xludf.DUMMYFUNCTION("""COMPUTED_VALUE"""),1518696.0)</f>
        <v>1518696</v>
      </c>
      <c r="C1526" t="str">
        <f>IFERROR(__xludf.DUMMYFUNCTION("""COMPUTED_VALUE"""),"Project Management Fundamentals: Run projects effectively")</f>
        <v>Project Management Fundamentals: Run projects effectively</v>
      </c>
    </row>
    <row r="1527">
      <c r="A1527" s="140" t="str">
        <f>IFERROR(__xludf.DUMMYFUNCTION("""COMPUTED_VALUE"""),"en")</f>
        <v>en</v>
      </c>
      <c r="B1527">
        <f>IFERROR(__xludf.DUMMYFUNCTION("""COMPUTED_VALUE"""),176722.0)</f>
        <v>176722</v>
      </c>
      <c r="C1527" t="str">
        <f>IFERROR(__xludf.DUMMYFUNCTION("""COMPUTED_VALUE"""),"U.S. Residential Mortgage Business")</f>
        <v>U.S. Residential Mortgage Business</v>
      </c>
    </row>
    <row r="1528">
      <c r="A1528" s="140" t="str">
        <f>IFERROR(__xludf.DUMMYFUNCTION("""COMPUTED_VALUE"""),"es")</f>
        <v>es</v>
      </c>
      <c r="B1528">
        <f>IFERROR(__xludf.DUMMYFUNCTION("""COMPUTED_VALUE"""),3894250.0)</f>
        <v>3894250</v>
      </c>
      <c r="C1528" t="str">
        <f>IFERROR(__xludf.DUMMYFUNCTION("""COMPUTED_VALUE"""),"API Test Automation: Los dos Frameworks esenciales, a fondo!")</f>
        <v>API Test Automation: Los dos Frameworks esenciales, a fondo!</v>
      </c>
    </row>
    <row r="1529">
      <c r="A1529" s="140" t="str">
        <f>IFERROR(__xludf.DUMMYFUNCTION("""COMPUTED_VALUE"""),"de")</f>
        <v>de</v>
      </c>
      <c r="B1529">
        <f>IFERROR(__xludf.DUMMYFUNCTION("""COMPUTED_VALUE"""),949012.0)</f>
        <v>949012</v>
      </c>
      <c r="C1529" t="str">
        <f>IFERROR(__xludf.DUMMYFUNCTION("""COMPUTED_VALUE"""),"IPv6 in der Praxis: Grundlagen und Workshops")</f>
        <v>IPv6 in der Praxis: Grundlagen und Workshops</v>
      </c>
    </row>
    <row r="1530">
      <c r="A1530" s="140" t="str">
        <f>IFERROR(__xludf.DUMMYFUNCTION("""COMPUTED_VALUE"""),"en")</f>
        <v>en</v>
      </c>
      <c r="B1530">
        <f>IFERROR(__xludf.DUMMYFUNCTION("""COMPUTED_VALUE"""),875194.0)</f>
        <v>875194</v>
      </c>
      <c r="C1530" t="str">
        <f>IFERROR(__xludf.DUMMYFUNCTION("""COMPUTED_VALUE"""),"Build Incredible Chatbots")</f>
        <v>Build Incredible Chatbots</v>
      </c>
    </row>
    <row r="1531">
      <c r="A1531" s="140" t="str">
        <f>IFERROR(__xludf.DUMMYFUNCTION("""COMPUTED_VALUE"""),"en")</f>
        <v>en</v>
      </c>
      <c r="B1531">
        <f>IFERROR(__xludf.DUMMYFUNCTION("""COMPUTED_VALUE"""),3868118.0)</f>
        <v>3868118</v>
      </c>
      <c r="C1531" t="str">
        <f>IFERROR(__xludf.DUMMYFUNCTION("""COMPUTED_VALUE"""),"Seth Godin on learning and education")</f>
        <v>Seth Godin on learning and education</v>
      </c>
    </row>
    <row r="1532">
      <c r="A1532" s="140" t="str">
        <f>IFERROR(__xludf.DUMMYFUNCTION("""COMPUTED_VALUE"""),"en")</f>
        <v>en</v>
      </c>
      <c r="B1532">
        <f>IFERROR(__xludf.DUMMYFUNCTION("""COMPUTED_VALUE"""),2827592.0)</f>
        <v>2827592</v>
      </c>
      <c r="C1532" t="str">
        <f>IFERROR(__xludf.DUMMYFUNCTION("""COMPUTED_VALUE"""),"Google Cloud Platform MasterClass - All 4 GCP Certification")</f>
        <v>Google Cloud Platform MasterClass - All 4 GCP Certification</v>
      </c>
    </row>
    <row r="1533">
      <c r="A1533" s="140" t="str">
        <f>IFERROR(__xludf.DUMMYFUNCTION("""COMPUTED_VALUE"""),"en")</f>
        <v>en</v>
      </c>
      <c r="B1533">
        <f>IFERROR(__xludf.DUMMYFUNCTION("""COMPUTED_VALUE"""),440332.0)</f>
        <v>440332</v>
      </c>
      <c r="C1533" t="str">
        <f>IFERROR(__xludf.DUMMYFUNCTION("""COMPUTED_VALUE"""),"Leadership: How to Become an Effective CEO, Leader, Manager")</f>
        <v>Leadership: How to Become an Effective CEO, Leader, Manager</v>
      </c>
    </row>
    <row r="1534">
      <c r="A1534" s="140" t="str">
        <f>IFERROR(__xludf.DUMMYFUNCTION("""COMPUTED_VALUE"""),"ar")</f>
        <v>ar</v>
      </c>
      <c r="B1534">
        <f>IFERROR(__xludf.DUMMYFUNCTION("""COMPUTED_VALUE"""),2415156.0)</f>
        <v>2415156</v>
      </c>
      <c r="C1534" t="str">
        <f>IFERROR(__xludf.DUMMYFUNCTION("""COMPUTED_VALUE"""),"تعلم اساسيات سي وبايثون 3 بالتفصيل")</f>
        <v>تعلم اساسيات سي وبايثون 3 بالتفصيل</v>
      </c>
    </row>
    <row r="1535">
      <c r="A1535" s="140" t="str">
        <f>IFERROR(__xludf.DUMMYFUNCTION("""COMPUTED_VALUE"""),"en")</f>
        <v>en</v>
      </c>
      <c r="B1535">
        <f>IFERROR(__xludf.DUMMYFUNCTION("""COMPUTED_VALUE"""),1118724.0)</f>
        <v>1118724</v>
      </c>
      <c r="C1535" t="str">
        <f>IFERROR(__xludf.DUMMYFUNCTION("""COMPUTED_VALUE"""),"The Complete Nmap Ethical Hacking Course : Network Security")</f>
        <v>The Complete Nmap Ethical Hacking Course : Network Security</v>
      </c>
    </row>
    <row r="1536">
      <c r="A1536" s="140" t="str">
        <f>IFERROR(__xludf.DUMMYFUNCTION("""COMPUTED_VALUE"""),"en")</f>
        <v>en</v>
      </c>
      <c r="B1536">
        <f>IFERROR(__xludf.DUMMYFUNCTION("""COMPUTED_VALUE"""),2562342.0)</f>
        <v>2562342</v>
      </c>
      <c r="C1536" t="str">
        <f>IFERROR(__xludf.DUMMYFUNCTION("""COMPUTED_VALUE"""),"Diversity, Equity, and Inclusion: A Beginner’s Guide")</f>
        <v>Diversity, Equity, and Inclusion: A Beginner’s Guide</v>
      </c>
    </row>
    <row r="1537">
      <c r="A1537" s="140" t="str">
        <f>IFERROR(__xludf.DUMMYFUNCTION("""COMPUTED_VALUE"""),"en")</f>
        <v>en</v>
      </c>
      <c r="B1537">
        <f>IFERROR(__xludf.DUMMYFUNCTION("""COMPUTED_VALUE"""),2640900.0)</f>
        <v>2640900</v>
      </c>
      <c r="C1537" t="str">
        <f>IFERROR(__xludf.DUMMYFUNCTION("""COMPUTED_VALUE"""),"UX and Information Architecture Basics for Technical Writers")</f>
        <v>UX and Information Architecture Basics for Technical Writers</v>
      </c>
    </row>
    <row r="1538">
      <c r="A1538" s="140" t="str">
        <f>IFERROR(__xludf.DUMMYFUNCTION("""COMPUTED_VALUE"""),"pt")</f>
        <v>pt</v>
      </c>
      <c r="B1538">
        <f>IFERROR(__xludf.DUMMYFUNCTION("""COMPUTED_VALUE"""),1039202.0)</f>
        <v>1039202</v>
      </c>
      <c r="C1538" t="str">
        <f>IFERROR(__xludf.DUMMYFUNCTION("""COMPUTED_VALUE"""),"Certificação Cisco CCNA CCENT 100-105")</f>
        <v>Certificação Cisco CCNA CCENT 100-105</v>
      </c>
    </row>
    <row r="1539">
      <c r="A1539" s="140" t="str">
        <f>IFERROR(__xludf.DUMMYFUNCTION("""COMPUTED_VALUE"""),"en")</f>
        <v>en</v>
      </c>
      <c r="B1539">
        <f>IFERROR(__xludf.DUMMYFUNCTION("""COMPUTED_VALUE"""),1742812.0)</f>
        <v>1742812</v>
      </c>
      <c r="C1539" t="str">
        <f>IFERROR(__xludf.DUMMYFUNCTION("""COMPUTED_VALUE"""),"Biostatistics Fundamentals using Python")</f>
        <v>Biostatistics Fundamentals using Python</v>
      </c>
    </row>
    <row r="1540">
      <c r="A1540" s="140" t="str">
        <f>IFERROR(__xludf.DUMMYFUNCTION("""COMPUTED_VALUE"""),"fr")</f>
        <v>fr</v>
      </c>
      <c r="B1540">
        <f>IFERROR(__xludf.DUMMYFUNCTION("""COMPUTED_VALUE"""),1722764.0)</f>
        <v>1722764</v>
      </c>
      <c r="C1540" t="str">
        <f>IFERROR(__xludf.DUMMYFUNCTION("""COMPUTED_VALUE"""),"Programmer en R pour la Data Science de A à Z")</f>
        <v>Programmer en R pour la Data Science de A à Z</v>
      </c>
    </row>
    <row r="1541">
      <c r="A1541" s="140" t="str">
        <f>IFERROR(__xludf.DUMMYFUNCTION("""COMPUTED_VALUE"""),"de")</f>
        <v>de</v>
      </c>
      <c r="B1541">
        <f>IFERROR(__xludf.DUMMYFUNCTION("""COMPUTED_VALUE"""),1314788.0)</f>
        <v>1314788</v>
      </c>
      <c r="C1541" t="str">
        <f>IFERROR(__xludf.DUMMYFUNCTION("""COMPUTED_VALUE"""),"Datenvisualisierung mit D3.js - Einfach und Unkompliziert")</f>
        <v>Datenvisualisierung mit D3.js - Einfach und Unkompliziert</v>
      </c>
    </row>
    <row r="1542">
      <c r="A1542" s="140" t="str">
        <f>IFERROR(__xludf.DUMMYFUNCTION("""COMPUTED_VALUE"""),"fr")</f>
        <v>fr</v>
      </c>
      <c r="B1542">
        <f>IFERROR(__xludf.DUMMYFUNCTION("""COMPUTED_VALUE"""),1993820.0)</f>
        <v>1993820</v>
      </c>
      <c r="C1542" t="str">
        <f>IFERROR(__xludf.DUMMYFUNCTION("""COMPUTED_VALUE"""),"Apprendre la comptabilité générale")</f>
        <v>Apprendre la comptabilité générale</v>
      </c>
    </row>
    <row r="1543">
      <c r="A1543" s="140" t="str">
        <f>IFERROR(__xludf.DUMMYFUNCTION("""COMPUTED_VALUE"""),"en")</f>
        <v>en</v>
      </c>
      <c r="B1543">
        <f>IFERROR(__xludf.DUMMYFUNCTION("""COMPUTED_VALUE"""),1513970.0)</f>
        <v>1513970</v>
      </c>
      <c r="C1543" t="str">
        <f>IFERROR(__xludf.DUMMYFUNCTION("""COMPUTED_VALUE"""),"Procurement Management")</f>
        <v>Procurement Management</v>
      </c>
    </row>
    <row r="1544">
      <c r="A1544" s="140" t="str">
        <f>IFERROR(__xludf.DUMMYFUNCTION("""COMPUTED_VALUE"""),"en")</f>
        <v>en</v>
      </c>
      <c r="B1544">
        <f>IFERROR(__xludf.DUMMYFUNCTION("""COMPUTED_VALUE"""),2059535.0)</f>
        <v>2059535</v>
      </c>
      <c r="C1544" t="str">
        <f>IFERROR(__xludf.DUMMYFUNCTION("""COMPUTED_VALUE"""),"AZ-303 Azure Architect Technologies Certification 2021")</f>
        <v>AZ-303 Azure Architect Technologies Certification 2021</v>
      </c>
    </row>
    <row r="1545">
      <c r="A1545" s="140" t="str">
        <f>IFERROR(__xludf.DUMMYFUNCTION("""COMPUTED_VALUE"""),"pt")</f>
        <v>pt</v>
      </c>
      <c r="B1545">
        <f>IFERROR(__xludf.DUMMYFUNCTION("""COMPUTED_VALUE"""),1733380.0)</f>
        <v>1733380</v>
      </c>
      <c r="C1545" t="str">
        <f>IFERROR(__xludf.DUMMYFUNCTION("""COMPUTED_VALUE"""),"Ansible para SysAdmin")</f>
        <v>Ansible para SysAdmin</v>
      </c>
    </row>
    <row r="1546">
      <c r="A1546" s="140" t="str">
        <f>IFERROR(__xludf.DUMMYFUNCTION("""COMPUTED_VALUE"""),"tr")</f>
        <v>tr</v>
      </c>
      <c r="B1546">
        <f>IFERROR(__xludf.DUMMYFUNCTION("""COMPUTED_VALUE"""),2076592.0)</f>
        <v>2076592</v>
      </c>
      <c r="C1546" t="str">
        <f>IFERROR(__xludf.DUMMYFUNCTION("""COMPUTED_VALUE"""),"Somachine ve C# ile Otomasyon Dünyasına Giriş")</f>
        <v>Somachine ve C# ile Otomasyon Dünyasına Giriş</v>
      </c>
    </row>
    <row r="1547">
      <c r="A1547" s="140" t="str">
        <f>IFERROR(__xludf.DUMMYFUNCTION("""COMPUTED_VALUE"""),"es")</f>
        <v>es</v>
      </c>
      <c r="B1547">
        <f>IFERROR(__xludf.DUMMYFUNCTION("""COMPUTED_VALUE"""),2314132.0)</f>
        <v>2314132</v>
      </c>
      <c r="C1547" t="str">
        <f>IFERROR(__xludf.DUMMYFUNCTION("""COMPUTED_VALUE"""),"Deep Learning - Redes Neuronales con Python")</f>
        <v>Deep Learning - Redes Neuronales con Python</v>
      </c>
    </row>
    <row r="1548">
      <c r="A1548" s="140" t="str">
        <f>IFERROR(__xludf.DUMMYFUNCTION("""COMPUTED_VALUE"""),"ja")</f>
        <v>ja</v>
      </c>
      <c r="B1548">
        <f>IFERROR(__xludf.DUMMYFUNCTION("""COMPUTED_VALUE"""),3567007.0)</f>
        <v>3567007</v>
      </c>
      <c r="C1548" t="str">
        <f>IFERROR(__xludf.DUMMYFUNCTION("""COMPUTED_VALUE"""),"JDBCの基礎はこれでバッチリ！挫折させないJavaプログラミング講座～DB活用編～")</f>
        <v>JDBCの基礎はこれでバッチリ！挫折させないJavaプログラミング講座～DB活用編～</v>
      </c>
    </row>
    <row r="1549">
      <c r="A1549" s="140" t="str">
        <f>IFERROR(__xludf.DUMMYFUNCTION("""COMPUTED_VALUE"""),"es")</f>
        <v>es</v>
      </c>
      <c r="B1549">
        <f>IFERROR(__xludf.DUMMYFUNCTION("""COMPUTED_VALUE"""),3891920.0)</f>
        <v>3891920</v>
      </c>
      <c r="C1549" t="str">
        <f>IFERROR(__xludf.DUMMYFUNCTION("""COMPUTED_VALUE"""),"Linux Email Server: crear servidor de correo multidominio.")</f>
        <v>Linux Email Server: crear servidor de correo multidominio.</v>
      </c>
    </row>
    <row r="1550">
      <c r="A1550" s="140" t="str">
        <f>IFERROR(__xludf.DUMMYFUNCTION("""COMPUTED_VALUE"""),"ja")</f>
        <v>ja</v>
      </c>
      <c r="B1550">
        <f>IFERROR(__xludf.DUMMYFUNCTION("""COMPUTED_VALUE"""),2579452.0)</f>
        <v>2579452</v>
      </c>
      <c r="C1550" t="str">
        <f>IFERROR(__xludf.DUMMYFUNCTION("""COMPUTED_VALUE"""),"Excel VBA エキスパート認定への道 ～マクロ初心者から資格試験レベルへ ＆7つの自動化 マクロ を作る15時間")</f>
        <v>Excel VBA エキスパート認定への道 ～マクロ初心者から資格試験レベルへ ＆7つの自動化 マクロ を作る15時間</v>
      </c>
    </row>
    <row r="1551">
      <c r="A1551" s="140" t="str">
        <f>IFERROR(__xludf.DUMMYFUNCTION("""COMPUTED_VALUE"""),"pt")</f>
        <v>pt</v>
      </c>
      <c r="B1551">
        <f>IFERROR(__xludf.DUMMYFUNCTION("""COMPUTED_VALUE"""),2575266.0)</f>
        <v>2575266</v>
      </c>
      <c r="C1551" t="str">
        <f>IFERROR(__xludf.DUMMYFUNCTION("""COMPUTED_VALUE"""),"Curso de JavaScript e TypeScript do básico ao avançado 2021")</f>
        <v>Curso de JavaScript e TypeScript do básico ao avançado 2021</v>
      </c>
    </row>
    <row r="1552">
      <c r="A1552" s="140" t="str">
        <f>IFERROR(__xludf.DUMMYFUNCTION("""COMPUTED_VALUE"""),"en")</f>
        <v>en</v>
      </c>
      <c r="B1552">
        <f>IFERROR(__xludf.DUMMYFUNCTION("""COMPUTED_VALUE"""),1252406.0)</f>
        <v>1252406</v>
      </c>
      <c r="C1552" t="str">
        <f>IFERROR(__xludf.DUMMYFUNCTION("""COMPUTED_VALUE"""),"Mobile Penetration Testing of Android Applications")</f>
        <v>Mobile Penetration Testing of Android Applications</v>
      </c>
    </row>
    <row r="1553">
      <c r="A1553" s="140" t="str">
        <f>IFERROR(__xludf.DUMMYFUNCTION("""COMPUTED_VALUE"""),"en")</f>
        <v>en</v>
      </c>
      <c r="B1553">
        <f>IFERROR(__xludf.DUMMYFUNCTION("""COMPUTED_VALUE"""),600500.0)</f>
        <v>600500</v>
      </c>
      <c r="C1553" t="str">
        <f>IFERROR(__xludf.DUMMYFUNCTION("""COMPUTED_VALUE"""),"High Performance Habits - The Complete Guide To Good Habits")</f>
        <v>High Performance Habits - The Complete Guide To Good Habits</v>
      </c>
    </row>
    <row r="1554">
      <c r="A1554" s="140" t="str">
        <f>IFERROR(__xludf.DUMMYFUNCTION("""COMPUTED_VALUE"""),"ko")</f>
        <v>ko</v>
      </c>
      <c r="B1554">
        <f>IFERROR(__xludf.DUMMYFUNCTION("""COMPUTED_VALUE"""),4236782.0)</f>
        <v>4236782</v>
      </c>
      <c r="C1554" t="str">
        <f>IFERROR(__xludf.DUMMYFUNCTION("""COMPUTED_VALUE"""),"【글로벌 Best강의】 OpenCV 및 딥러닝 을 이용한 Computer Vision 파이썬 (한글자막)")</f>
        <v>【글로벌 Best강의】 OpenCV 및 딥러닝 을 이용한 Computer Vision 파이썬 (한글자막)</v>
      </c>
    </row>
    <row r="1555">
      <c r="A1555" s="140" t="str">
        <f>IFERROR(__xludf.DUMMYFUNCTION("""COMPUTED_VALUE"""),"pt")</f>
        <v>pt</v>
      </c>
      <c r="B1555">
        <f>IFERROR(__xludf.DUMMYFUNCTION("""COMPUTED_VALUE"""),3031268.0)</f>
        <v>3031268</v>
      </c>
      <c r="C1555" t="str">
        <f>IFERROR(__xludf.DUMMYFUNCTION("""COMPUTED_VALUE"""),"Aprenda MATLAB do zero. Básico ao avançado + SIMULINK")</f>
        <v>Aprenda MATLAB do zero. Básico ao avançado + SIMULINK</v>
      </c>
    </row>
    <row r="1556">
      <c r="A1556" s="140" t="str">
        <f>IFERROR(__xludf.DUMMYFUNCTION("""COMPUTED_VALUE"""),"en")</f>
        <v>en</v>
      </c>
      <c r="B1556">
        <f>IFERROR(__xludf.DUMMYFUNCTION("""COMPUTED_VALUE"""),1792372.0)</f>
        <v>1792372</v>
      </c>
      <c r="C1556" t="str">
        <f>IFERROR(__xludf.DUMMYFUNCTION("""COMPUTED_VALUE"""),"Personality: Understanding DISC Behavioural Styles at Work")</f>
        <v>Personality: Understanding DISC Behavioural Styles at Work</v>
      </c>
    </row>
    <row r="1557">
      <c r="A1557" s="140" t="str">
        <f>IFERROR(__xludf.DUMMYFUNCTION("""COMPUTED_VALUE"""),"en")</f>
        <v>en</v>
      </c>
      <c r="B1557">
        <f>IFERROR(__xludf.DUMMYFUNCTION("""COMPUTED_VALUE"""),120978.0)</f>
        <v>120978</v>
      </c>
      <c r="C1557" t="str">
        <f>IFERROR(__xludf.DUMMYFUNCTION("""COMPUTED_VALUE"""),"Customer Success | How to Exceed Your Customers Expectations")</f>
        <v>Customer Success | How to Exceed Your Customers Expectations</v>
      </c>
    </row>
    <row r="1558">
      <c r="A1558" s="140" t="str">
        <f>IFERROR(__xludf.DUMMYFUNCTION("""COMPUTED_VALUE"""),"ja")</f>
        <v>ja</v>
      </c>
      <c r="B1558">
        <f>IFERROR(__xludf.DUMMYFUNCTION("""COMPUTED_VALUE"""),3829690.0)</f>
        <v>3829690</v>
      </c>
      <c r="C1558" t="str">
        <f>IFERROR(__xludf.DUMMYFUNCTION("""COMPUTED_VALUE"""),"【実践】ビジネスケースとつなげてPythonで出来ること5つを学べる3日間集中コース")</f>
        <v>【実践】ビジネスケースとつなげてPythonで出来ること5つを学べる3日間集中コース</v>
      </c>
    </row>
    <row r="1559">
      <c r="A1559" s="140" t="str">
        <f>IFERROR(__xludf.DUMMYFUNCTION("""COMPUTED_VALUE"""),"en")</f>
        <v>en</v>
      </c>
      <c r="B1559">
        <f>IFERROR(__xludf.DUMMYFUNCTION("""COMPUTED_VALUE"""),721884.0)</f>
        <v>721884</v>
      </c>
      <c r="C1559" t="str">
        <f>IFERROR(__xludf.DUMMYFUNCTION("""COMPUTED_VALUE"""),"MSTest Unit Testing Tutorial for beginners : C# Unit Testing")</f>
        <v>MSTest Unit Testing Tutorial for beginners : C# Unit Testing</v>
      </c>
    </row>
    <row r="1560">
      <c r="A1560" s="140" t="str">
        <f>IFERROR(__xludf.DUMMYFUNCTION("""COMPUTED_VALUE"""),"fr")</f>
        <v>fr</v>
      </c>
      <c r="B1560">
        <f>IFERROR(__xludf.DUMMYFUNCTION("""COMPUTED_VALUE"""),1690474.0)</f>
        <v>1690474</v>
      </c>
      <c r="C1560" t="str">
        <f>IFERROR(__xludf.DUMMYFUNCTION("""COMPUTED_VALUE"""),"Exploiter pleinement la messagerie Gmail")</f>
        <v>Exploiter pleinement la messagerie Gmail</v>
      </c>
    </row>
    <row r="1561">
      <c r="A1561" s="140" t="str">
        <f>IFERROR(__xludf.DUMMYFUNCTION("""COMPUTED_VALUE"""),"en")</f>
        <v>en</v>
      </c>
      <c r="B1561">
        <f>IFERROR(__xludf.DUMMYFUNCTION("""COMPUTED_VALUE"""),361810.0)</f>
        <v>361810</v>
      </c>
      <c r="C1561" t="str">
        <f>IFERROR(__xludf.DUMMYFUNCTION("""COMPUTED_VALUE"""),"Microsoft MTA Security Fundamentals: 98-367")</f>
        <v>Microsoft MTA Security Fundamentals: 98-367</v>
      </c>
    </row>
    <row r="1562">
      <c r="A1562" s="140" t="str">
        <f>IFERROR(__xludf.DUMMYFUNCTION("""COMPUTED_VALUE"""),"en")</f>
        <v>en</v>
      </c>
      <c r="B1562">
        <f>IFERROR(__xludf.DUMMYFUNCTION("""COMPUTED_VALUE"""),2125112.0)</f>
        <v>2125112</v>
      </c>
      <c r="C1562" t="str">
        <f>IFERROR(__xludf.DUMMYFUNCTION("""COMPUTED_VALUE"""),"The Complete 2021 Software Testing Bootcamp")</f>
        <v>The Complete 2021 Software Testing Bootcamp</v>
      </c>
    </row>
    <row r="1563">
      <c r="A1563" s="140" t="str">
        <f>IFERROR(__xludf.DUMMYFUNCTION("""COMPUTED_VALUE"""),"pt")</f>
        <v>pt</v>
      </c>
      <c r="B1563">
        <f>IFERROR(__xludf.DUMMYFUNCTION("""COMPUTED_VALUE"""),2560044.0)</f>
        <v>2560044</v>
      </c>
      <c r="C1563" t="str">
        <f>IFERROR(__xludf.DUMMYFUNCTION("""COMPUTED_VALUE"""),"Criando um Dashboard do Zero com PHP,MySQL e Bootstrap")</f>
        <v>Criando um Dashboard do Zero com PHP,MySQL e Bootstrap</v>
      </c>
    </row>
    <row r="1564">
      <c r="A1564" s="140" t="str">
        <f>IFERROR(__xludf.DUMMYFUNCTION("""COMPUTED_VALUE"""),"en")</f>
        <v>en</v>
      </c>
      <c r="B1564">
        <f>IFERROR(__xludf.DUMMYFUNCTION("""COMPUTED_VALUE"""),3278710.0)</f>
        <v>3278710</v>
      </c>
      <c r="C1564" t="str">
        <f>IFERROR(__xludf.DUMMYFUNCTION("""COMPUTED_VALUE"""),"Java (and Cucumber) for Automation Testing")</f>
        <v>Java (and Cucumber) for Automation Testing</v>
      </c>
    </row>
    <row r="1565">
      <c r="A1565" s="140" t="str">
        <f>IFERROR(__xludf.DUMMYFUNCTION("""COMPUTED_VALUE"""),"es")</f>
        <v>es</v>
      </c>
      <c r="B1565">
        <f>IFERROR(__xludf.DUMMYFUNCTION("""COMPUTED_VALUE"""),2428004.0)</f>
        <v>2428004</v>
      </c>
      <c r="C1565" t="str">
        <f>IFERROR(__xludf.DUMMYFUNCTION("""COMPUTED_VALUE"""),"Gestión de Proyectos: Los 49 procesos de la Guía PMBOK VI")</f>
        <v>Gestión de Proyectos: Los 49 procesos de la Guía PMBOK VI</v>
      </c>
    </row>
    <row r="1566">
      <c r="A1566" s="140" t="str">
        <f>IFERROR(__xludf.DUMMYFUNCTION("""COMPUTED_VALUE"""),"pt")</f>
        <v>pt</v>
      </c>
      <c r="B1566">
        <f>IFERROR(__xludf.DUMMYFUNCTION("""COMPUTED_VALUE"""),873388.0)</f>
        <v>873388</v>
      </c>
      <c r="C1566" t="str">
        <f>IFERROR(__xludf.DUMMYFUNCTION("""COMPUTED_VALUE"""),"Certificação Cisco CCNA 200-301 + 4 CURSOS")</f>
        <v>Certificação Cisco CCNA 200-301 + 4 CURSOS</v>
      </c>
    </row>
    <row r="1567">
      <c r="A1567" s="140" t="str">
        <f>IFERROR(__xludf.DUMMYFUNCTION("""COMPUTED_VALUE"""),"es")</f>
        <v>es</v>
      </c>
      <c r="B1567">
        <f>IFERROR(__xludf.DUMMYFUNCTION("""COMPUTED_VALUE"""),2696806.0)</f>
        <v>2696806</v>
      </c>
      <c r="C1567" t="str">
        <f>IFERROR(__xludf.DUMMYFUNCTION("""COMPUTED_VALUE"""),"MS SQL Server 2019. Programación de Bases de Datos con T-SQL")</f>
        <v>MS SQL Server 2019. Programación de Bases de Datos con T-SQL</v>
      </c>
    </row>
    <row r="1568">
      <c r="A1568" s="140" t="str">
        <f>IFERROR(__xludf.DUMMYFUNCTION("""COMPUTED_VALUE"""),"fr")</f>
        <v>fr</v>
      </c>
      <c r="B1568">
        <f>IFERROR(__xludf.DUMMYFUNCTION("""COMPUTED_VALUE"""),1454492.0)</f>
        <v>1454492</v>
      </c>
      <c r="C1568" t="str">
        <f>IFERROR(__xludf.DUMMYFUNCTION("""COMPUTED_VALUE"""),"Javascript débarque dans notre Navigateur")</f>
        <v>Javascript débarque dans notre Navigateur</v>
      </c>
    </row>
    <row r="1569">
      <c r="A1569" s="140" t="str">
        <f>IFERROR(__xludf.DUMMYFUNCTION("""COMPUTED_VALUE"""),"ja")</f>
        <v>ja</v>
      </c>
      <c r="B1569">
        <f>IFERROR(__xludf.DUMMYFUNCTION("""COMPUTED_VALUE"""),2365030.0)</f>
        <v>2365030</v>
      </c>
      <c r="C1569" t="str">
        <f>IFERROR(__xludf.DUMMYFUNCTION("""COMPUTED_VALUE"""),"【画像判定AIアプリ開発パート2】Django・TensorFlow・Python・転移学習による高精度AIアプリ開発")</f>
        <v>【画像判定AIアプリ開発パート2】Django・TensorFlow・Python・転移学習による高精度AIアプリ開発</v>
      </c>
    </row>
    <row r="1570">
      <c r="A1570" s="140" t="str">
        <f>IFERROR(__xludf.DUMMYFUNCTION("""COMPUTED_VALUE"""),"en")</f>
        <v>en</v>
      </c>
      <c r="B1570">
        <f>IFERROR(__xludf.DUMMYFUNCTION("""COMPUTED_VALUE"""),797040.0)</f>
        <v>797040</v>
      </c>
      <c r="C1570" t="str">
        <f>IFERROR(__xludf.DUMMYFUNCTION("""COMPUTED_VALUE"""),"Complete FrontEnd Web Development and Design HTML CSS JS")</f>
        <v>Complete FrontEnd Web Development and Design HTML CSS JS</v>
      </c>
    </row>
    <row r="1571">
      <c r="A1571" s="140" t="str">
        <f>IFERROR(__xludf.DUMMYFUNCTION("""COMPUTED_VALUE"""),"en")</f>
        <v>en</v>
      </c>
      <c r="B1571">
        <f>IFERROR(__xludf.DUMMYFUNCTION("""COMPUTED_VALUE"""),2849582.0)</f>
        <v>2849582</v>
      </c>
      <c r="C1571" t="str">
        <f>IFERROR(__xludf.DUMMYFUNCTION("""COMPUTED_VALUE"""),"React + Shopify (Headless CMS): Build a Custom Storefront")</f>
        <v>React + Shopify (Headless CMS): Build a Custom Storefront</v>
      </c>
    </row>
    <row r="1572">
      <c r="A1572" s="140" t="str">
        <f>IFERROR(__xludf.DUMMYFUNCTION("""COMPUTED_VALUE"""),"en")</f>
        <v>en</v>
      </c>
      <c r="B1572">
        <f>IFERROR(__xludf.DUMMYFUNCTION("""COMPUTED_VALUE"""),3540848.0)</f>
        <v>3540848</v>
      </c>
      <c r="C1572" t="str">
        <f>IFERROR(__xludf.DUMMYFUNCTION("""COMPUTED_VALUE"""),"Unreal Engine:  Character UI")</f>
        <v>Unreal Engine:  Character UI</v>
      </c>
    </row>
    <row r="1573">
      <c r="A1573" s="140" t="str">
        <f>IFERROR(__xludf.DUMMYFUNCTION("""COMPUTED_VALUE"""),"ja")</f>
        <v>ja</v>
      </c>
      <c r="B1573">
        <f>IFERROR(__xludf.DUMMYFUNCTION("""COMPUTED_VALUE"""),1012796.0)</f>
        <v>1012796</v>
      </c>
      <c r="C1573" t="str">
        <f>IFERROR(__xludf.DUMMYFUNCTION("""COMPUTED_VALUE"""),"Excelエキスパート認定への道【MOS資格エキスパート試験対策オンライン講座】エクセル兄さんのスピードMOS合格コース")</f>
        <v>Excelエキスパート認定への道【MOS資格エキスパート試験対策オンライン講座】エクセル兄さんのスピードMOS合格コース</v>
      </c>
    </row>
    <row r="1574">
      <c r="A1574" s="140" t="str">
        <f>IFERROR(__xludf.DUMMYFUNCTION("""COMPUTED_VALUE"""),"en")</f>
        <v>en</v>
      </c>
      <c r="B1574">
        <f>IFERROR(__xludf.DUMMYFUNCTION("""COMPUTED_VALUE"""),2279412.0)</f>
        <v>2279412</v>
      </c>
      <c r="C1574" t="str">
        <f>IFERROR(__xludf.DUMMYFUNCTION("""COMPUTED_VALUE"""),"Complete UiPath RPA Developer Course: Build 7 Robots")</f>
        <v>Complete UiPath RPA Developer Course: Build 7 Robots</v>
      </c>
    </row>
    <row r="1575">
      <c r="A1575" s="140" t="str">
        <f>IFERROR(__xludf.DUMMYFUNCTION("""COMPUTED_VALUE"""),"en")</f>
        <v>en</v>
      </c>
      <c r="B1575">
        <f>IFERROR(__xludf.DUMMYFUNCTION("""COMPUTED_VALUE"""),3692056.0)</f>
        <v>3692056</v>
      </c>
      <c r="C1575" t="str">
        <f>IFERROR(__xludf.DUMMYFUNCTION("""COMPUTED_VALUE"""),"Blazor - The Complete Guide (WASM &amp; Server .NET Core 5)")</f>
        <v>Blazor - The Complete Guide (WASM &amp; Server .NET Core 5)</v>
      </c>
    </row>
    <row r="1576">
      <c r="A1576" s="140" t="str">
        <f>IFERROR(__xludf.DUMMYFUNCTION("""COMPUTED_VALUE"""),"en")</f>
        <v>en</v>
      </c>
      <c r="B1576">
        <f>IFERROR(__xludf.DUMMYFUNCTION("""COMPUTED_VALUE"""),863812.0)</f>
        <v>863812</v>
      </c>
      <c r="C1576" t="str">
        <f>IFERROR(__xludf.DUMMYFUNCTION("""COMPUTED_VALUE"""),"Spring Framework DevOps on AWS")</f>
        <v>Spring Framework DevOps on AWS</v>
      </c>
    </row>
    <row r="1577">
      <c r="A1577" s="140" t="str">
        <f>IFERROR(__xludf.DUMMYFUNCTION("""COMPUTED_VALUE"""),"de")</f>
        <v>de</v>
      </c>
      <c r="B1577">
        <f>IFERROR(__xludf.DUMMYFUNCTION("""COMPUTED_VALUE"""),1419060.0)</f>
        <v>1419060</v>
      </c>
      <c r="C1577" t="str">
        <f>IFERROR(__xludf.DUMMYFUNCTION("""COMPUTED_VALUE"""),"Komplettanleitung - Thrive Architect alles im Detail erklärt")</f>
        <v>Komplettanleitung - Thrive Architect alles im Detail erklärt</v>
      </c>
    </row>
    <row r="1578">
      <c r="A1578" s="140" t="str">
        <f>IFERROR(__xludf.DUMMYFUNCTION("""COMPUTED_VALUE"""),"ja")</f>
        <v>ja</v>
      </c>
      <c r="B1578">
        <f>IFERROR(__xludf.DUMMYFUNCTION("""COMPUTED_VALUE"""),2774790.0)</f>
        <v>2774790</v>
      </c>
      <c r="C1578" t="str">
        <f>IFERROR(__xludf.DUMMYFUNCTION("""COMPUTED_VALUE"""),"チームの生産性が2倍！！最高品質の会議術〜生産性の向上は会議で9割決まる〜")</f>
        <v>チームの生産性が2倍！！最高品質の会議術〜生産性の向上は会議で9割決まる〜</v>
      </c>
    </row>
    <row r="1579">
      <c r="A1579" s="140" t="str">
        <f>IFERROR(__xludf.DUMMYFUNCTION("""COMPUTED_VALUE"""),"de")</f>
        <v>de</v>
      </c>
      <c r="B1579">
        <f>IFERROR(__xludf.DUMMYFUNCTION("""COMPUTED_VALUE"""),722080.0)</f>
        <v>722080</v>
      </c>
      <c r="C1579" t="str">
        <f>IFERROR(__xludf.DUMMYFUNCTION("""COMPUTED_VALUE"""),"Rhetorik: Selbstbewusst kommunizieren und überzeugen!")</f>
        <v>Rhetorik: Selbstbewusst kommunizieren und überzeugen!</v>
      </c>
    </row>
    <row r="1580">
      <c r="A1580" s="140" t="str">
        <f>IFERROR(__xludf.DUMMYFUNCTION("""COMPUTED_VALUE"""),"en")</f>
        <v>en</v>
      </c>
      <c r="B1580">
        <f>IFERROR(__xludf.DUMMYFUNCTION("""COMPUTED_VALUE"""),1045098.0)</f>
        <v>1045098</v>
      </c>
      <c r="C1580" t="str">
        <f>IFERROR(__xludf.DUMMYFUNCTION("""COMPUTED_VALUE"""),"RESTful Web Service with Java JAX-RS. Create &amp; Deploy to AWS")</f>
        <v>RESTful Web Service with Java JAX-RS. Create &amp; Deploy to AWS</v>
      </c>
    </row>
    <row r="1581">
      <c r="A1581" s="140" t="str">
        <f>IFERROR(__xludf.DUMMYFUNCTION("""COMPUTED_VALUE"""),"en")</f>
        <v>en</v>
      </c>
      <c r="B1581">
        <f>IFERROR(__xludf.DUMMYFUNCTION("""COMPUTED_VALUE"""),1806572.0)</f>
        <v>1806572</v>
      </c>
      <c r="C1581" t="str">
        <f>IFERROR(__xludf.DUMMYFUNCTION("""COMPUTED_VALUE"""),"Build a Slack Chat App with React, Redux, and Firebase")</f>
        <v>Build a Slack Chat App with React, Redux, and Firebase</v>
      </c>
    </row>
    <row r="1582">
      <c r="A1582" s="140" t="str">
        <f>IFERROR(__xludf.DUMMYFUNCTION("""COMPUTED_VALUE"""),"en")</f>
        <v>en</v>
      </c>
      <c r="B1582">
        <f>IFERROR(__xludf.DUMMYFUNCTION("""COMPUTED_VALUE"""),2063613.0)</f>
        <v>2063613</v>
      </c>
      <c r="C1582" t="str">
        <f>IFERROR(__xludf.DUMMYFUNCTION("""COMPUTED_VALUE"""),"Fundamentals of Logistics, Supply Chain &amp; Customer Service")</f>
        <v>Fundamentals of Logistics, Supply Chain &amp; Customer Service</v>
      </c>
    </row>
    <row r="1583">
      <c r="A1583" s="140" t="str">
        <f>IFERROR(__xludf.DUMMYFUNCTION("""COMPUTED_VALUE"""),"ja")</f>
        <v>ja</v>
      </c>
      <c r="B1583">
        <f>IFERROR(__xludf.DUMMYFUNCTION("""COMPUTED_VALUE"""),2325976.0)</f>
        <v>2325976</v>
      </c>
      <c r="C1583" t="str">
        <f>IFERROR(__xludf.DUMMYFUNCTION("""COMPUTED_VALUE"""),"【SAA-C02版】AWS 認定ソリューションアーキテクト アソシエイト模擬試験問題集（6回分390問）")</f>
        <v>【SAA-C02版】AWS 認定ソリューションアーキテクト アソシエイト模擬試験問題集（6回分390問）</v>
      </c>
    </row>
    <row r="1584">
      <c r="A1584" s="140" t="str">
        <f>IFERROR(__xludf.DUMMYFUNCTION("""COMPUTED_VALUE"""),"de")</f>
        <v>de</v>
      </c>
      <c r="B1584">
        <f>IFERROR(__xludf.DUMMYFUNCTION("""COMPUTED_VALUE"""),3001946.0)</f>
        <v>3001946</v>
      </c>
      <c r="C1584" t="str">
        <f>IFERROR(__xludf.DUMMYFUNCTION("""COMPUTED_VALUE"""),"R komplett: Data Science, Machine Learning &amp; Neuronale Netze")</f>
        <v>R komplett: Data Science, Machine Learning &amp; Neuronale Netze</v>
      </c>
    </row>
    <row r="1585">
      <c r="A1585" s="140" t="str">
        <f>IFERROR(__xludf.DUMMYFUNCTION("""COMPUTED_VALUE"""),"pt")</f>
        <v>pt</v>
      </c>
      <c r="B1585">
        <f>IFERROR(__xludf.DUMMYFUNCTION("""COMPUTED_VALUE"""),1334248.0)</f>
        <v>1334248</v>
      </c>
      <c r="C1585" t="str">
        <f>IFERROR(__xludf.DUMMYFUNCTION("""COMPUTED_VALUE"""),"Super Formação Inteligência Artificial e Machine Learning")</f>
        <v>Super Formação Inteligência Artificial e Machine Learning</v>
      </c>
    </row>
    <row r="1586">
      <c r="A1586" s="140" t="str">
        <f>IFERROR(__xludf.DUMMYFUNCTION("""COMPUTED_VALUE"""),"ko")</f>
        <v>ko</v>
      </c>
      <c r="B1586">
        <f>IFERROR(__xludf.DUMMYFUNCTION("""COMPUTED_VALUE"""),4260110.0)</f>
        <v>4260110</v>
      </c>
      <c r="C1586" t="str">
        <f>IFERROR(__xludf.DUMMYFUNCTION("""COMPUTED_VALUE"""),"Microsoft 365 관리자 교육")</f>
        <v>Microsoft 365 관리자 교육</v>
      </c>
    </row>
    <row r="1587">
      <c r="A1587" s="140" t="str">
        <f>IFERROR(__xludf.DUMMYFUNCTION("""COMPUTED_VALUE"""),"fr")</f>
        <v>fr</v>
      </c>
      <c r="B1587">
        <f>IFERROR(__xludf.DUMMYFUNCTION("""COMPUTED_VALUE"""),2616454.0)</f>
        <v>2616454</v>
      </c>
      <c r="C1587" t="str">
        <f>IFERROR(__xludf.DUMMYFUNCTION("""COMPUTED_VALUE"""),"Spring Batch par la pratique")</f>
        <v>Spring Batch par la pratique</v>
      </c>
    </row>
    <row r="1588">
      <c r="A1588" s="140" t="str">
        <f>IFERROR(__xludf.DUMMYFUNCTION("""COMPUTED_VALUE"""),"es")</f>
        <v>es</v>
      </c>
      <c r="B1588">
        <f>IFERROR(__xludf.DUMMYFUNCTION("""COMPUTED_VALUE"""),2407400.0)</f>
        <v>2407400</v>
      </c>
      <c r="C1588" t="str">
        <f>IFERROR(__xludf.DUMMYFUNCTION("""COMPUTED_VALUE"""),"Design Sprints: validar mi idea en 5 días")</f>
        <v>Design Sprints: validar mi idea en 5 días</v>
      </c>
    </row>
    <row r="1589">
      <c r="A1589" s="140" t="str">
        <f>IFERROR(__xludf.DUMMYFUNCTION("""COMPUTED_VALUE"""),"es")</f>
        <v>es</v>
      </c>
      <c r="B1589">
        <f>IFERROR(__xludf.DUMMYFUNCTION("""COMPUTED_VALUE"""),606620.0)</f>
        <v>606620</v>
      </c>
      <c r="C1589" t="str">
        <f>IFERROR(__xludf.DUMMYFUNCTION("""COMPUTED_VALUE"""),"Como configurar una red de datos desde Cero de forma fácil")</f>
        <v>Como configurar una red de datos desde Cero de forma fácil</v>
      </c>
    </row>
    <row r="1590">
      <c r="A1590" s="140" t="str">
        <f>IFERROR(__xludf.DUMMYFUNCTION("""COMPUTED_VALUE"""),"pt")</f>
        <v>pt</v>
      </c>
      <c r="B1590">
        <f>IFERROR(__xludf.DUMMYFUNCTION("""COMPUTED_VALUE"""),1594344.0)</f>
        <v>1594344</v>
      </c>
      <c r="C1590" t="str">
        <f>IFERROR(__xludf.DUMMYFUNCTION("""COMPUTED_VALUE"""),"Algoritmos Genéticos em Python")</f>
        <v>Algoritmos Genéticos em Python</v>
      </c>
    </row>
    <row r="1591">
      <c r="A1591" s="140" t="str">
        <f>IFERROR(__xludf.DUMMYFUNCTION("""COMPUTED_VALUE"""),"de")</f>
        <v>de</v>
      </c>
      <c r="B1591">
        <f>IFERROR(__xludf.DUMMYFUNCTION("""COMPUTED_VALUE"""),1196108.0)</f>
        <v>1196108</v>
      </c>
      <c r="C1591" t="str">
        <f>IFERROR(__xludf.DUMMYFUNCTION("""COMPUTED_VALUE"""),"Adobe Lightroom CC: Landschaftsfotografie Master Class")</f>
        <v>Adobe Lightroom CC: Landschaftsfotografie Master Class</v>
      </c>
    </row>
    <row r="1592">
      <c r="A1592" s="140" t="str">
        <f>IFERROR(__xludf.DUMMYFUNCTION("""COMPUTED_VALUE"""),"ja")</f>
        <v>ja</v>
      </c>
      <c r="B1592">
        <f>IFERROR(__xludf.DUMMYFUNCTION("""COMPUTED_VALUE"""),2872640.0)</f>
        <v>2872640</v>
      </c>
      <c r="C1592" t="str">
        <f>IFERROR(__xludf.DUMMYFUNCTION("""COMPUTED_VALUE"""),"最短・最速で学ぶ React製 静的サイトジェネレータ GatsbyJS +  CMS Contentfulブログ実装編")</f>
        <v>最短・最速で学ぶ React製 静的サイトジェネレータ GatsbyJS +  CMS Contentfulブログ実装編</v>
      </c>
    </row>
    <row r="1593">
      <c r="A1593" s="140" t="str">
        <f>IFERROR(__xludf.DUMMYFUNCTION("""COMPUTED_VALUE"""),"en")</f>
        <v>en</v>
      </c>
      <c r="B1593">
        <f>IFERROR(__xludf.DUMMYFUNCTION("""COMPUTED_VALUE"""),4019592.0)</f>
        <v>4019592</v>
      </c>
      <c r="C1593" t="str">
        <f>IFERROR(__xludf.DUMMYFUNCTION("""COMPUTED_VALUE"""),"SCS-C01: AWS Certified Security – Specialty Practice Exams")</f>
        <v>SCS-C01: AWS Certified Security – Specialty Practice Exams</v>
      </c>
    </row>
    <row r="1594">
      <c r="A1594" s="140" t="str">
        <f>IFERROR(__xludf.DUMMYFUNCTION("""COMPUTED_VALUE"""),"en")</f>
        <v>en</v>
      </c>
      <c r="B1594">
        <f>IFERROR(__xludf.DUMMYFUNCTION("""COMPUTED_VALUE"""),1568344.0)</f>
        <v>1568344</v>
      </c>
      <c r="C1594" t="str">
        <f>IFERROR(__xludf.DUMMYFUNCTION("""COMPUTED_VALUE"""),"Java Design Patterns &amp; SOLID Design Principles")</f>
        <v>Java Design Patterns &amp; SOLID Design Principles</v>
      </c>
    </row>
    <row r="1595">
      <c r="A1595" s="140" t="str">
        <f>IFERROR(__xludf.DUMMYFUNCTION("""COMPUTED_VALUE"""),"ko")</f>
        <v>ko</v>
      </c>
      <c r="B1595">
        <f>IFERROR(__xludf.DUMMYFUNCTION("""COMPUTED_VALUE"""),964856.0)</f>
        <v>964856</v>
      </c>
      <c r="C1595" t="str">
        <f>IFERROR(__xludf.DUMMYFUNCTION("""COMPUTED_VALUE"""),"안드로이드 공식 언어 : 코틀린(Kotlin) 시작하기(2017년11월 리뉴얼)")</f>
        <v>안드로이드 공식 언어 : 코틀린(Kotlin) 시작하기(2017년11월 리뉴얼)</v>
      </c>
    </row>
    <row r="1596">
      <c r="A1596" s="140" t="str">
        <f>IFERROR(__xludf.DUMMYFUNCTION("""COMPUTED_VALUE"""),"en")</f>
        <v>en</v>
      </c>
      <c r="B1596">
        <f>IFERROR(__xludf.DUMMYFUNCTION("""COMPUTED_VALUE"""),2730996.0)</f>
        <v>2730996</v>
      </c>
      <c r="C1596" t="str">
        <f>IFERROR(__xludf.DUMMYFUNCTION("""COMPUTED_VALUE"""),"Certified Quality Process Analyst Training")</f>
        <v>Certified Quality Process Analyst Training</v>
      </c>
    </row>
    <row r="1597">
      <c r="A1597" s="140" t="str">
        <f>IFERROR(__xludf.DUMMYFUNCTION("""COMPUTED_VALUE"""),"en")</f>
        <v>en</v>
      </c>
      <c r="B1597">
        <f>IFERROR(__xludf.DUMMYFUNCTION("""COMPUTED_VALUE"""),939708.0)</f>
        <v>939708</v>
      </c>
      <c r="C1597" t="str">
        <f>IFERROR(__xludf.DUMMYFUNCTION("""COMPUTED_VALUE"""),"SQL Server 2017 Express Basics")</f>
        <v>SQL Server 2017 Express Basics</v>
      </c>
    </row>
    <row r="1598">
      <c r="A1598" s="140" t="str">
        <f>IFERROR(__xludf.DUMMYFUNCTION("""COMPUTED_VALUE"""),"en")</f>
        <v>en</v>
      </c>
      <c r="B1598">
        <f>IFERROR(__xludf.DUMMYFUNCTION("""COMPUTED_VALUE"""),1165096.0)</f>
        <v>1165096</v>
      </c>
      <c r="C1598" t="str">
        <f>IFERROR(__xludf.DUMMYFUNCTION("""COMPUTED_VALUE"""),"Vue JS 2.0 - Mastering Web Apps")</f>
        <v>Vue JS 2.0 - Mastering Web Apps</v>
      </c>
    </row>
    <row r="1599">
      <c r="A1599" s="140" t="str">
        <f>IFERROR(__xludf.DUMMYFUNCTION("""COMPUTED_VALUE"""),"pt")</f>
        <v>pt</v>
      </c>
      <c r="B1599">
        <f>IFERROR(__xludf.DUMMYFUNCTION("""COMPUTED_VALUE"""),2719246.0)</f>
        <v>2719246</v>
      </c>
      <c r="C1599" t="str">
        <f>IFERROR(__xludf.DUMMYFUNCTION("""COMPUTED_VALUE"""),"ISO 45001:2018 - Interpretação e implantação - BÁSICO")</f>
        <v>ISO 45001:2018 - Interpretação e implantação - BÁSICO</v>
      </c>
    </row>
    <row r="1600">
      <c r="A1600" s="140" t="str">
        <f>IFERROR(__xludf.DUMMYFUNCTION("""COMPUTED_VALUE"""),"es")</f>
        <v>es</v>
      </c>
      <c r="B1600">
        <f>IFERROR(__xludf.DUMMYFUNCTION("""COMPUTED_VALUE"""),3507366.0)</f>
        <v>3507366</v>
      </c>
      <c r="C1600" t="str">
        <f>IFERROR(__xludf.DUMMYFUNCTION("""COMPUTED_VALUE"""),"Programar Blueprints en Unreal Engine de 0 a profesional")</f>
        <v>Programar Blueprints en Unreal Engine de 0 a profesional</v>
      </c>
    </row>
    <row r="1601">
      <c r="A1601" s="140" t="str">
        <f>IFERROR(__xludf.DUMMYFUNCTION("""COMPUTED_VALUE"""),"en")</f>
        <v>en</v>
      </c>
      <c r="B1601">
        <f>IFERROR(__xludf.DUMMYFUNCTION("""COMPUTED_VALUE"""),2135894.0)</f>
        <v>2135894</v>
      </c>
      <c r="C1601" t="str">
        <f>IFERROR(__xludf.DUMMYFUNCTION("""COMPUTED_VALUE"""),"How To Create Complete Oracle APEX Web Apps Easily")</f>
        <v>How To Create Complete Oracle APEX Web Apps Easily</v>
      </c>
    </row>
    <row r="1602">
      <c r="A1602" s="140" t="str">
        <f>IFERROR(__xludf.DUMMYFUNCTION("""COMPUTED_VALUE"""),"en")</f>
        <v>en</v>
      </c>
      <c r="B1602">
        <f>IFERROR(__xludf.DUMMYFUNCTION("""COMPUTED_VALUE"""),2695096.0)</f>
        <v>2695096</v>
      </c>
      <c r="C1602" t="str">
        <f>IFERROR(__xludf.DUMMYFUNCTION("""COMPUTED_VALUE"""),"SQLServer 2019 Data Analytics &amp; Tableau Data Visualisation")</f>
        <v>SQLServer 2019 Data Analytics &amp; Tableau Data Visualisation</v>
      </c>
    </row>
    <row r="1603">
      <c r="A1603" s="140" t="str">
        <f>IFERROR(__xludf.DUMMYFUNCTION("""COMPUTED_VALUE"""),"en")</f>
        <v>en</v>
      </c>
      <c r="B1603">
        <f>IFERROR(__xludf.DUMMYFUNCTION("""COMPUTED_VALUE"""),2280894.0)</f>
        <v>2280894</v>
      </c>
      <c r="C1603" t="str">
        <f>IFERROR(__xludf.DUMMYFUNCTION("""COMPUTED_VALUE"""),"Fundamentals of Business Taxes")</f>
        <v>Fundamentals of Business Taxes</v>
      </c>
    </row>
    <row r="1604">
      <c r="A1604" s="140" t="str">
        <f>IFERROR(__xludf.DUMMYFUNCTION("""COMPUTED_VALUE"""),"pt")</f>
        <v>pt</v>
      </c>
      <c r="B1604">
        <f>IFERROR(__xludf.DUMMYFUNCTION("""COMPUTED_VALUE"""),854298.0)</f>
        <v>854298</v>
      </c>
      <c r="C1604" t="str">
        <f>IFERROR(__xludf.DUMMYFUNCTION("""COMPUTED_VALUE"""),"Como Superar Bloqueios Emocionais que Impedem a Prosperidade")</f>
        <v>Como Superar Bloqueios Emocionais que Impedem a Prosperidade</v>
      </c>
    </row>
    <row r="1605">
      <c r="A1605" s="140" t="str">
        <f>IFERROR(__xludf.DUMMYFUNCTION("""COMPUTED_VALUE"""),"es")</f>
        <v>es</v>
      </c>
      <c r="B1605">
        <f>IFERROR(__xludf.DUMMYFUNCTION("""COMPUTED_VALUE"""),1784234.0)</f>
        <v>1784234</v>
      </c>
      <c r="C1605" t="str">
        <f>IFERROR(__xludf.DUMMYFUNCTION("""COMPUTED_VALUE"""),"Elastic Stack 7. Beats, Logstash, Elasticsearch, Kibana. ELK")</f>
        <v>Elastic Stack 7. Beats, Logstash, Elasticsearch, Kibana. ELK</v>
      </c>
    </row>
    <row r="1606">
      <c r="A1606" s="140" t="str">
        <f>IFERROR(__xludf.DUMMYFUNCTION("""COMPUTED_VALUE"""),"tr")</f>
        <v>tr</v>
      </c>
      <c r="B1606">
        <f>IFERROR(__xludf.DUMMYFUNCTION("""COMPUTED_VALUE"""),2377526.0)</f>
        <v>2377526</v>
      </c>
      <c r="C1606" t="str">
        <f>IFERROR(__xludf.DUMMYFUNCTION("""COMPUTED_VALUE"""),"C# ile Web Kazıma (Web Scraping &amp; Web Crawling), Fiddler")</f>
        <v>C# ile Web Kazıma (Web Scraping &amp; Web Crawling), Fiddler</v>
      </c>
    </row>
    <row r="1607">
      <c r="A1607" s="140" t="str">
        <f>IFERROR(__xludf.DUMMYFUNCTION("""COMPUTED_VALUE"""),"en")</f>
        <v>en</v>
      </c>
      <c r="B1607">
        <f>IFERROR(__xludf.DUMMYFUNCTION("""COMPUTED_VALUE"""),1215682.0)</f>
        <v>1215682</v>
      </c>
      <c r="C1607" t="str">
        <f>IFERROR(__xludf.DUMMYFUNCTION("""COMPUTED_VALUE"""),"Introduction to RF Design Theory and Principles - RAHRF201")</f>
        <v>Introduction to RF Design Theory and Principles - RAHRF201</v>
      </c>
    </row>
    <row r="1608">
      <c r="A1608" s="140" t="str">
        <f>IFERROR(__xludf.DUMMYFUNCTION("""COMPUTED_VALUE"""),"en")</f>
        <v>en</v>
      </c>
      <c r="B1608">
        <f>IFERROR(__xludf.DUMMYFUNCTION("""COMPUTED_VALUE"""),2140706.0)</f>
        <v>2140706</v>
      </c>
      <c r="C1608" t="str">
        <f>IFERROR(__xludf.DUMMYFUNCTION("""COMPUTED_VALUE"""),"Tech Writers Master Class")</f>
        <v>Tech Writers Master Class</v>
      </c>
    </row>
    <row r="1609">
      <c r="A1609" s="140" t="str">
        <f>IFERROR(__xludf.DUMMYFUNCTION("""COMPUTED_VALUE"""),"pt")</f>
        <v>pt</v>
      </c>
      <c r="B1609">
        <f>IFERROR(__xludf.DUMMYFUNCTION("""COMPUTED_VALUE"""),1981750.0)</f>
        <v>1981750</v>
      </c>
      <c r="C1609" t="str">
        <f>IFERROR(__xludf.DUMMYFUNCTION("""COMPUTED_VALUE"""),"Melhore Resultados com Gestão Metas e Avaliação Performance")</f>
        <v>Melhore Resultados com Gestão Metas e Avaliação Performance</v>
      </c>
    </row>
    <row r="1610">
      <c r="A1610" s="140" t="str">
        <f>IFERROR(__xludf.DUMMYFUNCTION("""COMPUTED_VALUE"""),"en")</f>
        <v>en</v>
      </c>
      <c r="B1610">
        <f>IFERROR(__xludf.DUMMYFUNCTION("""COMPUTED_VALUE"""),1355158.0)</f>
        <v>1355158</v>
      </c>
      <c r="C1610" t="str">
        <f>IFERROR(__xludf.DUMMYFUNCTION("""COMPUTED_VALUE"""),"Creativity, Design Thinking, and Innovation for Business")</f>
        <v>Creativity, Design Thinking, and Innovation for Business</v>
      </c>
    </row>
    <row r="1611">
      <c r="A1611" s="140" t="str">
        <f>IFERROR(__xludf.DUMMYFUNCTION("""COMPUTED_VALUE"""),"pt")</f>
        <v>pt</v>
      </c>
      <c r="B1611">
        <f>IFERROR(__xludf.DUMMYFUNCTION("""COMPUTED_VALUE"""),1246796.0)</f>
        <v>1246796</v>
      </c>
      <c r="C1611" t="str">
        <f>IFERROR(__xludf.DUMMYFUNCTION("""COMPUTED_VALUE"""),"Japonês Básico - Escreva em japonês")</f>
        <v>Japonês Básico - Escreva em japonês</v>
      </c>
    </row>
    <row r="1612">
      <c r="A1612" s="140" t="str">
        <f>IFERROR(__xludf.DUMMYFUNCTION("""COMPUTED_VALUE"""),"de")</f>
        <v>de</v>
      </c>
      <c r="B1612">
        <f>IFERROR(__xludf.DUMMYFUNCTION("""COMPUTED_VALUE"""),1320062.0)</f>
        <v>1320062</v>
      </c>
      <c r="C1612" t="str">
        <f>IFERROR(__xludf.DUMMYFUNCTION("""COMPUTED_VALUE"""),"Divi: WordPress Theme Grundlagen")</f>
        <v>Divi: WordPress Theme Grundlagen</v>
      </c>
    </row>
    <row r="1613">
      <c r="A1613" s="140" t="str">
        <f>IFERROR(__xludf.DUMMYFUNCTION("""COMPUTED_VALUE"""),"es")</f>
        <v>es</v>
      </c>
      <c r="B1613">
        <f>IFERROR(__xludf.DUMMYFUNCTION("""COMPUTED_VALUE"""),2607514.0)</f>
        <v>2607514</v>
      </c>
      <c r="C1613" t="str">
        <f>IFERROR(__xludf.DUMMYFUNCTION("""COMPUTED_VALUE"""),"Curso avanzado de estadística multivariante con R y Python")</f>
        <v>Curso avanzado de estadística multivariante con R y Python</v>
      </c>
    </row>
    <row r="1614">
      <c r="A1614" s="140" t="str">
        <f>IFERROR(__xludf.DUMMYFUNCTION("""COMPUTED_VALUE"""),"en")</f>
        <v>en</v>
      </c>
      <c r="B1614">
        <f>IFERROR(__xludf.DUMMYFUNCTION("""COMPUTED_VALUE"""),321410.0)</f>
        <v>321410</v>
      </c>
      <c r="C1614" t="str">
        <f>IFERROR(__xludf.DUMMYFUNCTION("""COMPUTED_VALUE"""),"Beginner to Pro in Excel: Financial Modeling and Valuation")</f>
        <v>Beginner to Pro in Excel: Financial Modeling and Valuation</v>
      </c>
    </row>
    <row r="1615">
      <c r="A1615" s="140" t="str">
        <f>IFERROR(__xludf.DUMMYFUNCTION("""COMPUTED_VALUE"""),"ja")</f>
        <v>ja</v>
      </c>
      <c r="B1615">
        <f>IFERROR(__xludf.DUMMYFUNCTION("""COMPUTED_VALUE"""),647630.0)</f>
        <v>647630</v>
      </c>
      <c r="C1615" t="str">
        <f>IFERROR(__xludf.DUMMYFUNCTION("""COMPUTED_VALUE"""),"未経験からプロのWebデザイナーになる！ 400レッスン以上の完全マスターコース")</f>
        <v>未経験からプロのWebデザイナーになる！ 400レッスン以上の完全マスターコース</v>
      </c>
    </row>
    <row r="1616">
      <c r="A1616" s="140" t="str">
        <f>IFERROR(__xludf.DUMMYFUNCTION("""COMPUTED_VALUE"""),"es")</f>
        <v>es</v>
      </c>
      <c r="B1616">
        <f>IFERROR(__xludf.DUMMYFUNCTION("""COMPUTED_VALUE"""),1909300.0)</f>
        <v>1909300</v>
      </c>
      <c r="C1616" t="str">
        <f>IFERROR(__xludf.DUMMYFUNCTION("""COMPUTED_VALUE"""),"Invertir en [ FOREX] y ACCIONES EEUU - 0 a Experto (16hs)")</f>
        <v>Invertir en [ FOREX] y ACCIONES EEUU - 0 a Experto (16hs)</v>
      </c>
    </row>
    <row r="1617">
      <c r="A1617" s="140" t="str">
        <f>IFERROR(__xludf.DUMMYFUNCTION("""COMPUTED_VALUE"""),"en")</f>
        <v>en</v>
      </c>
      <c r="B1617">
        <f>IFERROR(__xludf.DUMMYFUNCTION("""COMPUTED_VALUE"""),1414266.0)</f>
        <v>1414266</v>
      </c>
      <c r="C1617" t="str">
        <f>IFERROR(__xludf.DUMMYFUNCTION("""COMPUTED_VALUE"""),"Node, SQL, &amp; PostgreSQL - Mastering Backend Web Development")</f>
        <v>Node, SQL, &amp; PostgreSQL - Mastering Backend Web Development</v>
      </c>
    </row>
    <row r="1618">
      <c r="A1618" s="140" t="str">
        <f>IFERROR(__xludf.DUMMYFUNCTION("""COMPUTED_VALUE"""),"en")</f>
        <v>en</v>
      </c>
      <c r="B1618">
        <f>IFERROR(__xludf.DUMMYFUNCTION("""COMPUTED_VALUE"""),1361814.0)</f>
        <v>1361814</v>
      </c>
      <c r="C1618" t="str">
        <f>IFERROR(__xludf.DUMMYFUNCTION("""COMPUTED_VALUE"""),"Giving Effective Feedback: Empower and Retain Your Employees")</f>
        <v>Giving Effective Feedback: Empower and Retain Your Employees</v>
      </c>
    </row>
    <row r="1619">
      <c r="A1619" s="140" t="str">
        <f>IFERROR(__xludf.DUMMYFUNCTION("""COMPUTED_VALUE"""),"en")</f>
        <v>en</v>
      </c>
      <c r="B1619">
        <f>IFERROR(__xludf.DUMMYFUNCTION("""COMPUTED_VALUE"""),1095296.0)</f>
        <v>1095296</v>
      </c>
      <c r="C1619" t="str">
        <f>IFERROR(__xludf.DUMMYFUNCTION("""COMPUTED_VALUE"""),"ISO 14001:2015 Environmental management system")</f>
        <v>ISO 14001:2015 Environmental management system</v>
      </c>
    </row>
    <row r="1620">
      <c r="A1620" s="140" t="str">
        <f>IFERROR(__xludf.DUMMYFUNCTION("""COMPUTED_VALUE"""),"en")</f>
        <v>en</v>
      </c>
      <c r="B1620">
        <f>IFERROR(__xludf.DUMMYFUNCTION("""COMPUTED_VALUE"""),1595080.0)</f>
        <v>1595080</v>
      </c>
      <c r="C1620" t="str">
        <f>IFERROR(__xludf.DUMMYFUNCTION("""COMPUTED_VALUE"""),"SQL for Microsoft Access")</f>
        <v>SQL for Microsoft Access</v>
      </c>
    </row>
    <row r="1621">
      <c r="A1621" s="140" t="str">
        <f>IFERROR(__xludf.DUMMYFUNCTION("""COMPUTED_VALUE"""),"en")</f>
        <v>en</v>
      </c>
      <c r="B1621">
        <f>IFERROR(__xludf.DUMMYFUNCTION("""COMPUTED_VALUE"""),2089742.0)</f>
        <v>2089742</v>
      </c>
      <c r="C1621" t="str">
        <f>IFERROR(__xludf.DUMMYFUNCTION("""COMPUTED_VALUE"""),"AZ-900 Exam-Prep: Microsoft Azure Fundamentals (NOV 2021)")</f>
        <v>AZ-900 Exam-Prep: Microsoft Azure Fundamentals (NOV 2021)</v>
      </c>
    </row>
    <row r="1622">
      <c r="A1622" s="140" t="str">
        <f>IFERROR(__xludf.DUMMYFUNCTION("""COMPUTED_VALUE"""),"pt")</f>
        <v>pt</v>
      </c>
      <c r="B1622">
        <f>IFERROR(__xludf.DUMMYFUNCTION("""COMPUTED_VALUE"""),2025714.0)</f>
        <v>2025714</v>
      </c>
      <c r="C1622" t="str">
        <f>IFERROR(__xludf.DUMMYFUNCTION("""COMPUTED_VALUE"""),"Curso Básico de Adobe Photoshop CC para 3D e Design de Games")</f>
        <v>Curso Básico de Adobe Photoshop CC para 3D e Design de Games</v>
      </c>
    </row>
    <row r="1623">
      <c r="A1623" s="140" t="str">
        <f>IFERROR(__xludf.DUMMYFUNCTION("""COMPUTED_VALUE"""),"en")</f>
        <v>en</v>
      </c>
      <c r="B1623">
        <f>IFERROR(__xludf.DUMMYFUNCTION("""COMPUTED_VALUE"""),4035162.0)</f>
        <v>4035162</v>
      </c>
      <c r="C1623" t="str">
        <f>IFERROR(__xludf.DUMMYFUNCTION("""COMPUTED_VALUE"""),"Complete Google Hacking Practical Course C|GHPC")</f>
        <v>Complete Google Hacking Practical Course C|GHPC</v>
      </c>
    </row>
    <row r="1624">
      <c r="A1624" s="140" t="str">
        <f>IFERROR(__xludf.DUMMYFUNCTION("""COMPUTED_VALUE"""),"es")</f>
        <v>es</v>
      </c>
      <c r="B1624">
        <f>IFERROR(__xludf.DUMMYFUNCTION("""COMPUTED_VALUE"""),1852982.0)</f>
        <v>1852982</v>
      </c>
      <c r="C1624" t="str">
        <f>IFERROR(__xludf.DUMMYFUNCTION("""COMPUTED_VALUE"""),"Mega Curso de Wordpress de Cero a Maestro")</f>
        <v>Mega Curso de Wordpress de Cero a Maestro</v>
      </c>
    </row>
    <row r="1625">
      <c r="A1625" s="140" t="str">
        <f>IFERROR(__xludf.DUMMYFUNCTION("""COMPUTED_VALUE"""),"ar")</f>
        <v>ar</v>
      </c>
      <c r="B1625">
        <f>IFERROR(__xludf.DUMMYFUNCTION("""COMPUTED_VALUE"""),2353344.0)</f>
        <v>2353344</v>
      </c>
      <c r="C1625" t="str">
        <f>IFERROR(__xludf.DUMMYFUNCTION("""COMPUTED_VALUE"""),"Construction Claims Management - Arabic")</f>
        <v>Construction Claims Management - Arabic</v>
      </c>
    </row>
    <row r="1626">
      <c r="A1626" s="140" t="str">
        <f>IFERROR(__xludf.DUMMYFUNCTION("""COMPUTED_VALUE"""),"fr")</f>
        <v>fr</v>
      </c>
      <c r="B1626">
        <f>IFERROR(__xludf.DUMMYFUNCTION("""COMPUTED_VALUE"""),3619332.0)</f>
        <v>3619332</v>
      </c>
      <c r="C1626" t="str">
        <f>IFERROR(__xludf.DUMMYFUNCTION("""COMPUTED_VALUE"""),"Probabilité et Statistiques pour la Data Science et Business")</f>
        <v>Probabilité et Statistiques pour la Data Science et Business</v>
      </c>
    </row>
    <row r="1627">
      <c r="A1627" s="140" t="str">
        <f>IFERROR(__xludf.DUMMYFUNCTION("""COMPUTED_VALUE"""),"en")</f>
        <v>en</v>
      </c>
      <c r="B1627">
        <f>IFERROR(__xludf.DUMMYFUNCTION("""COMPUTED_VALUE"""),1135088.0)</f>
        <v>1135088</v>
      </c>
      <c r="C1627" t="str">
        <f>IFERROR(__xludf.DUMMYFUNCTION("""COMPUTED_VALUE"""),"Unity Game Development: Make Professional 3D Games")</f>
        <v>Unity Game Development: Make Professional 3D Games</v>
      </c>
    </row>
    <row r="1628">
      <c r="A1628" s="140" t="str">
        <f>IFERROR(__xludf.DUMMYFUNCTION("""COMPUTED_VALUE"""),"en")</f>
        <v>en</v>
      </c>
      <c r="B1628">
        <f>IFERROR(__xludf.DUMMYFUNCTION("""COMPUTED_VALUE"""),205270.0)</f>
        <v>205270</v>
      </c>
      <c r="C1628" t="str">
        <f>IFERROR(__xludf.DUMMYFUNCTION("""COMPUTED_VALUE"""),"Salesforce New User Training")</f>
        <v>Salesforce New User Training</v>
      </c>
    </row>
    <row r="1629">
      <c r="A1629" s="140" t="str">
        <f>IFERROR(__xludf.DUMMYFUNCTION("""COMPUTED_VALUE"""),"en")</f>
        <v>en</v>
      </c>
      <c r="B1629">
        <f>IFERROR(__xludf.DUMMYFUNCTION("""COMPUTED_VALUE"""),22169.0)</f>
        <v>22169</v>
      </c>
      <c r="C1629" t="str">
        <f>IFERROR(__xludf.DUMMYFUNCTION("""COMPUTED_VALUE"""),"Java Multithreading")</f>
        <v>Java Multithreading</v>
      </c>
    </row>
    <row r="1630">
      <c r="A1630" s="140" t="str">
        <f>IFERROR(__xludf.DUMMYFUNCTION("""COMPUTED_VALUE"""),"en")</f>
        <v>en</v>
      </c>
      <c r="B1630">
        <f>IFERROR(__xludf.DUMMYFUNCTION("""COMPUTED_VALUE"""),742114.0)</f>
        <v>742114</v>
      </c>
      <c r="C1630" t="str">
        <f>IFERROR(__xludf.DUMMYFUNCTION("""COMPUTED_VALUE"""),"Introduction to Cloud Computing")</f>
        <v>Introduction to Cloud Computing</v>
      </c>
    </row>
    <row r="1631">
      <c r="A1631" s="140" t="str">
        <f>IFERROR(__xludf.DUMMYFUNCTION("""COMPUTED_VALUE"""),"en")</f>
        <v>en</v>
      </c>
      <c r="B1631">
        <f>IFERROR(__xludf.DUMMYFUNCTION("""COMPUTED_VALUE"""),1777078.0)</f>
        <v>1777078</v>
      </c>
      <c r="C1631" t="str">
        <f>IFERROR(__xludf.DUMMYFUNCTION("""COMPUTED_VALUE"""),"QlikSense Visualizations Masterclass")</f>
        <v>QlikSense Visualizations Masterclass</v>
      </c>
    </row>
    <row r="1632">
      <c r="A1632" s="140" t="str">
        <f>IFERROR(__xludf.DUMMYFUNCTION("""COMPUTED_VALUE"""),"de")</f>
        <v>de</v>
      </c>
      <c r="B1632">
        <f>IFERROR(__xludf.DUMMYFUNCTION("""COMPUTED_VALUE"""),1128160.0)</f>
        <v>1128160</v>
      </c>
      <c r="C1632" t="str">
        <f>IFERROR(__xludf.DUMMYFUNCTION("""COMPUTED_VALUE"""),"Microsoft Access 365 – Das Einsteiger-Datenbank-Training")</f>
        <v>Microsoft Access 365 – Das Einsteiger-Datenbank-Training</v>
      </c>
    </row>
    <row r="1633">
      <c r="A1633" s="140" t="str">
        <f>IFERROR(__xludf.DUMMYFUNCTION("""COMPUTED_VALUE"""),"en")</f>
        <v>en</v>
      </c>
      <c r="B1633">
        <f>IFERROR(__xludf.DUMMYFUNCTION("""COMPUTED_VALUE"""),3827154.0)</f>
        <v>3827154</v>
      </c>
      <c r="C1633" t="str">
        <f>IFERROR(__xludf.DUMMYFUNCTION("""COMPUTED_VALUE"""),"GCP Associate Cloud Engineer - Google Cloud Certification")</f>
        <v>GCP Associate Cloud Engineer - Google Cloud Certification</v>
      </c>
    </row>
    <row r="1634">
      <c r="A1634" s="140" t="str">
        <f>IFERROR(__xludf.DUMMYFUNCTION("""COMPUTED_VALUE"""),"en")</f>
        <v>en</v>
      </c>
      <c r="B1634">
        <f>IFERROR(__xludf.DUMMYFUNCTION("""COMPUTED_VALUE"""),2131244.0)</f>
        <v>2131244</v>
      </c>
      <c r="C1634" t="str">
        <f>IFERROR(__xludf.DUMMYFUNCTION("""COMPUTED_VALUE"""),"AZ-104 Microsoft Azure Administrator Certification 2021")</f>
        <v>AZ-104 Microsoft Azure Administrator Certification 2021</v>
      </c>
    </row>
    <row r="1635">
      <c r="A1635" s="140" t="str">
        <f>IFERROR(__xludf.DUMMYFUNCTION("""COMPUTED_VALUE"""),"ja")</f>
        <v>ja</v>
      </c>
      <c r="B1635">
        <f>IFERROR(__xludf.DUMMYFUNCTION("""COMPUTED_VALUE"""),2574700.0)</f>
        <v>2574700</v>
      </c>
      <c r="C1635" t="str">
        <f>IFERROR(__xludf.DUMMYFUNCTION("""COMPUTED_VALUE"""),"AIパーフェクトマスター講座 -Google Colaboratoryで隅々まで学ぶ実用的な人工知能/機械学習-")</f>
        <v>AIパーフェクトマスター講座 -Google Colaboratoryで隅々まで学ぶ実用的な人工知能/機械学習-</v>
      </c>
    </row>
    <row r="1636">
      <c r="A1636" s="140" t="str">
        <f>IFERROR(__xludf.DUMMYFUNCTION("""COMPUTED_VALUE"""),"en")</f>
        <v>en</v>
      </c>
      <c r="B1636">
        <f>IFERROR(__xludf.DUMMYFUNCTION("""COMPUTED_VALUE"""),1310106.0)</f>
        <v>1310106</v>
      </c>
      <c r="C1636" t="str">
        <f>IFERROR(__xludf.DUMMYFUNCTION("""COMPUTED_VALUE"""),"Struts 2 Framework for Beginners")</f>
        <v>Struts 2 Framework for Beginners</v>
      </c>
    </row>
    <row r="1637">
      <c r="A1637" s="140" t="str">
        <f>IFERROR(__xludf.DUMMYFUNCTION("""COMPUTED_VALUE"""),"en")</f>
        <v>en</v>
      </c>
      <c r="B1637">
        <f>IFERROR(__xludf.DUMMYFUNCTION("""COMPUTED_VALUE"""),72764.0)</f>
        <v>72764</v>
      </c>
      <c r="C1637" t="str">
        <f>IFERROR(__xludf.DUMMYFUNCTION("""COMPUTED_VALUE"""),"Jump Start Your Presentation Skills Today to Be The Best!")</f>
        <v>Jump Start Your Presentation Skills Today to Be The Best!</v>
      </c>
    </row>
    <row r="1638">
      <c r="A1638" s="140" t="str">
        <f>IFERROR(__xludf.DUMMYFUNCTION("""COMPUTED_VALUE"""),"ar")</f>
        <v>ar</v>
      </c>
      <c r="B1638">
        <f>IFERROR(__xludf.DUMMYFUNCTION("""COMPUTED_VALUE"""),1135118.0)</f>
        <v>1135118</v>
      </c>
      <c r="C1638" t="str">
        <f>IFERROR(__xludf.DUMMYFUNCTION("""COMPUTED_VALUE"""),"Electrical Power Substation محطات التحويل الكهربائية")</f>
        <v>Electrical Power Substation محطات التحويل الكهربائية</v>
      </c>
    </row>
    <row r="1639">
      <c r="A1639" s="140" t="str">
        <f>IFERROR(__xludf.DUMMYFUNCTION("""COMPUTED_VALUE"""),"en")</f>
        <v>en</v>
      </c>
      <c r="B1639">
        <f>IFERROR(__xludf.DUMMYFUNCTION("""COMPUTED_VALUE"""),3549346.0)</f>
        <v>3549346</v>
      </c>
      <c r="C1639" t="str">
        <f>IFERROR(__xludf.DUMMYFUNCTION("""COMPUTED_VALUE"""),"MCIA- Mulesoft Certified Integration Architect course")</f>
        <v>MCIA- Mulesoft Certified Integration Architect course</v>
      </c>
    </row>
    <row r="1640">
      <c r="A1640" s="140" t="str">
        <f>IFERROR(__xludf.DUMMYFUNCTION("""COMPUTED_VALUE"""),"en")</f>
        <v>en</v>
      </c>
      <c r="B1640">
        <f>IFERROR(__xludf.DUMMYFUNCTION("""COMPUTED_VALUE"""),1343662.0)</f>
        <v>1343662</v>
      </c>
      <c r="C1640" t="str">
        <f>IFERROR(__xludf.DUMMYFUNCTION("""COMPUTED_VALUE"""),"Selenium WebDriver with Java &amp; Cucumber BDD")</f>
        <v>Selenium WebDriver with Java &amp; Cucumber BDD</v>
      </c>
    </row>
    <row r="1641">
      <c r="A1641" s="140" t="str">
        <f>IFERROR(__xludf.DUMMYFUNCTION("""COMPUTED_VALUE"""),"en")</f>
        <v>en</v>
      </c>
      <c r="B1641">
        <f>IFERROR(__xludf.DUMMYFUNCTION("""COMPUTED_VALUE"""),110240.0)</f>
        <v>110240</v>
      </c>
      <c r="C1641" t="str">
        <f>IFERROR(__xludf.DUMMYFUNCTION("""COMPUTED_VALUE"""),"How to Manage &amp; Influence Your Virtual Team")</f>
        <v>How to Manage &amp; Influence Your Virtual Team</v>
      </c>
    </row>
    <row r="1642">
      <c r="A1642" s="140" t="str">
        <f>IFERROR(__xludf.DUMMYFUNCTION("""COMPUTED_VALUE"""),"en")</f>
        <v>en</v>
      </c>
      <c r="B1642">
        <f>IFERROR(__xludf.DUMMYFUNCTION("""COMPUTED_VALUE"""),2648868.0)</f>
        <v>2648868</v>
      </c>
      <c r="C1642" t="str">
        <f>IFERROR(__xludf.DUMMYFUNCTION("""COMPUTED_VALUE"""),"ISO/IEC 27701. Privacy Information Management System")</f>
        <v>ISO/IEC 27701. Privacy Information Management System</v>
      </c>
    </row>
    <row r="1643">
      <c r="A1643" s="140" t="str">
        <f>IFERROR(__xludf.DUMMYFUNCTION("""COMPUTED_VALUE"""),"tr")</f>
        <v>tr</v>
      </c>
      <c r="B1643">
        <f>IFERROR(__xludf.DUMMYFUNCTION("""COMPUTED_VALUE"""),2808255.0)</f>
        <v>2808255</v>
      </c>
      <c r="C1643" t="str">
        <f>IFERROR(__xludf.DUMMYFUNCTION("""COMPUTED_VALUE"""),"AspNet Core Web/API + Çok Katmanlı Mimari | Best Practices")</f>
        <v>AspNet Core Web/API + Çok Katmanlı Mimari | Best Practices</v>
      </c>
    </row>
    <row r="1644">
      <c r="A1644" s="140" t="str">
        <f>IFERROR(__xludf.DUMMYFUNCTION("""COMPUTED_VALUE"""),"fr")</f>
        <v>fr</v>
      </c>
      <c r="B1644">
        <f>IFERROR(__xludf.DUMMYFUNCTION("""COMPUTED_VALUE"""),2683004.0)</f>
        <v>2683004</v>
      </c>
      <c r="C1644" t="str">
        <f>IFERROR(__xludf.DUMMYFUNCTION("""COMPUTED_VALUE"""),"Stratégie de prises de décisions : les succès de vos projets")</f>
        <v>Stratégie de prises de décisions : les succès de vos projets</v>
      </c>
    </row>
    <row r="1645">
      <c r="A1645" s="140" t="str">
        <f>IFERROR(__xludf.DUMMYFUNCTION("""COMPUTED_VALUE"""),"en")</f>
        <v>en</v>
      </c>
      <c r="B1645">
        <f>IFERROR(__xludf.DUMMYFUNCTION("""COMPUTED_VALUE"""),472214.0)</f>
        <v>472214</v>
      </c>
      <c r="C1645" t="str">
        <f>IFERROR(__xludf.DUMMYFUNCTION("""COMPUTED_VALUE"""),"Introduction to Microsoft Excel 2010")</f>
        <v>Introduction to Microsoft Excel 2010</v>
      </c>
    </row>
    <row r="1646">
      <c r="A1646" s="140" t="str">
        <f>IFERROR(__xludf.DUMMYFUNCTION("""COMPUTED_VALUE"""),"de")</f>
        <v>de</v>
      </c>
      <c r="B1646">
        <f>IFERROR(__xludf.DUMMYFUNCTION("""COMPUTED_VALUE"""),2872370.0)</f>
        <v>2872370</v>
      </c>
      <c r="C1646" t="str">
        <f>IFERROR(__xludf.DUMMYFUNCTION("""COMPUTED_VALUE"""),"Microsoft Power BI – Die vollständige Einführung von A-Z")</f>
        <v>Microsoft Power BI – Die vollständige Einführung von A-Z</v>
      </c>
    </row>
    <row r="1647">
      <c r="A1647" s="140" t="str">
        <f>IFERROR(__xludf.DUMMYFUNCTION("""COMPUTED_VALUE"""),"en")</f>
        <v>en</v>
      </c>
      <c r="B1647">
        <f>IFERROR(__xludf.DUMMYFUNCTION("""COMPUTED_VALUE"""),2410976.0)</f>
        <v>2410976</v>
      </c>
      <c r="C1647" t="str">
        <f>IFERROR(__xludf.DUMMYFUNCTION("""COMPUTED_VALUE"""),"NGINX, Apache, SSL Encryption - Certification Course")</f>
        <v>NGINX, Apache, SSL Encryption - Certification Course</v>
      </c>
    </row>
    <row r="1648">
      <c r="A1648" s="140" t="str">
        <f>IFERROR(__xludf.DUMMYFUNCTION("""COMPUTED_VALUE"""),"es")</f>
        <v>es</v>
      </c>
      <c r="B1648">
        <f>IFERROR(__xludf.DUMMYFUNCTION("""COMPUTED_VALUE"""),3796924.0)</f>
        <v>3796924</v>
      </c>
      <c r="C1648" t="str">
        <f>IFERROR(__xludf.DUMMYFUNCTION("""COMPUTED_VALUE"""),"Google Ads (Adwords) 2021 - 0% Humo")</f>
        <v>Google Ads (Adwords) 2021 - 0% Humo</v>
      </c>
    </row>
    <row r="1649">
      <c r="A1649" s="140" t="str">
        <f>IFERROR(__xludf.DUMMYFUNCTION("""COMPUTED_VALUE"""),"zh")</f>
        <v>zh</v>
      </c>
      <c r="B1649">
        <f>IFERROR(__xludf.DUMMYFUNCTION("""COMPUTED_VALUE"""),2499786.0)</f>
        <v>2499786</v>
      </c>
      <c r="C1649" t="str">
        <f>IFERROR(__xludf.DUMMYFUNCTION("""COMPUTED_VALUE"""),"Spring Boot从入门到进阶教程")</f>
        <v>Spring Boot从入门到进阶教程</v>
      </c>
    </row>
    <row r="1650">
      <c r="A1650" s="140" t="str">
        <f>IFERROR(__xludf.DUMMYFUNCTION("""COMPUTED_VALUE"""),"es")</f>
        <v>es</v>
      </c>
      <c r="B1650">
        <f>IFERROR(__xludf.DUMMYFUNCTION("""COMPUTED_VALUE"""),1910458.0)</f>
        <v>1910458</v>
      </c>
      <c r="C1650" t="str">
        <f>IFERROR(__xludf.DUMMYFUNCTION("""COMPUTED_VALUE"""),"Desarrollo de juegos con Unreal Engine de 0 a profesional")</f>
        <v>Desarrollo de juegos con Unreal Engine de 0 a profesional</v>
      </c>
    </row>
    <row r="1651">
      <c r="A1651" s="140" t="str">
        <f>IFERROR(__xludf.DUMMYFUNCTION("""COMPUTED_VALUE"""),"es")</f>
        <v>es</v>
      </c>
      <c r="B1651">
        <f>IFERROR(__xludf.DUMMYFUNCTION("""COMPUTED_VALUE"""),3434914.0)</f>
        <v>3434914</v>
      </c>
      <c r="C1651" t="str">
        <f>IFERROR(__xludf.DUMMYFUNCTION("""COMPUTED_VALUE"""),"Evaluación Financiera de Proyectos de Inversión")</f>
        <v>Evaluación Financiera de Proyectos de Inversión</v>
      </c>
    </row>
    <row r="1652">
      <c r="A1652" s="140" t="str">
        <f>IFERROR(__xludf.DUMMYFUNCTION("""COMPUTED_VALUE"""),"ja")</f>
        <v>ja</v>
      </c>
      <c r="B1652">
        <f>IFERROR(__xludf.DUMMYFUNCTION("""COMPUTED_VALUE"""),1634784.0)</f>
        <v>1634784</v>
      </c>
      <c r="C1652" t="str">
        <f>IFERROR(__xludf.DUMMYFUNCTION("""COMPUTED_VALUE"""),"業界最先端の動画制作テクニックを制覇！Adobe Premiere Pro 完全版")</f>
        <v>業界最先端の動画制作テクニックを制覇！Adobe Premiere Pro 完全版</v>
      </c>
    </row>
    <row r="1653">
      <c r="A1653" s="140" t="str">
        <f>IFERROR(__xludf.DUMMYFUNCTION("""COMPUTED_VALUE"""),"en")</f>
        <v>en</v>
      </c>
      <c r="B1653">
        <f>IFERROR(__xludf.DUMMYFUNCTION("""COMPUTED_VALUE"""),1302610.0)</f>
        <v>1302610</v>
      </c>
      <c r="C1653" t="str">
        <f>IFERROR(__xludf.DUMMYFUNCTION("""COMPUTED_VALUE"""),"Master Java Web Services and RESTful API with Spring Boot")</f>
        <v>Master Java Web Services and RESTful API with Spring Boot</v>
      </c>
    </row>
    <row r="1654">
      <c r="A1654" s="140" t="str">
        <f>IFERROR(__xludf.DUMMYFUNCTION("""COMPUTED_VALUE"""),"pt")</f>
        <v>pt</v>
      </c>
      <c r="B1654">
        <f>IFERROR(__xludf.DUMMYFUNCTION("""COMPUTED_VALUE"""),2013228.0)</f>
        <v>2013228</v>
      </c>
      <c r="C1654" t="str">
        <f>IFERROR(__xludf.DUMMYFUNCTION("""COMPUTED_VALUE"""),"PDCA na prática COMPLETO")</f>
        <v>PDCA na prática COMPLETO</v>
      </c>
    </row>
    <row r="1655">
      <c r="A1655" s="140" t="str">
        <f>IFERROR(__xludf.DUMMYFUNCTION("""COMPUTED_VALUE"""),"en")</f>
        <v>en</v>
      </c>
      <c r="B1655">
        <f>IFERROR(__xludf.DUMMYFUNCTION("""COMPUTED_VALUE"""),1236580.0)</f>
        <v>1236580</v>
      </c>
      <c r="C1655" t="str">
        <f>IFERROR(__xludf.DUMMYFUNCTION("""COMPUTED_VALUE"""),"Application security on AWS with Amazon Cognito (June 2017)")</f>
        <v>Application security on AWS with Amazon Cognito (June 2017)</v>
      </c>
    </row>
    <row r="1656">
      <c r="A1656" s="140" t="str">
        <f>IFERROR(__xludf.DUMMYFUNCTION("""COMPUTED_VALUE"""),"en")</f>
        <v>en</v>
      </c>
      <c r="B1656">
        <f>IFERROR(__xludf.DUMMYFUNCTION("""COMPUTED_VALUE"""),821312.0)</f>
        <v>821312</v>
      </c>
      <c r="C1656" t="str">
        <f>IFERROR(__xludf.DUMMYFUNCTION("""COMPUTED_VALUE"""),"Complete Step By Step Java For Testers")</f>
        <v>Complete Step By Step Java For Testers</v>
      </c>
    </row>
    <row r="1657">
      <c r="A1657" s="140" t="str">
        <f>IFERROR(__xludf.DUMMYFUNCTION("""COMPUTED_VALUE"""),"en")</f>
        <v>en</v>
      </c>
      <c r="B1657">
        <f>IFERROR(__xludf.DUMMYFUNCTION("""COMPUTED_VALUE"""),498996.0)</f>
        <v>498996</v>
      </c>
      <c r="C1657" t="str">
        <f>IFERROR(__xludf.DUMMYFUNCTION("""COMPUTED_VALUE"""),"Crazy about Arduino: Your End-to-End Workshop - Level 1")</f>
        <v>Crazy about Arduino: Your End-to-End Workshop - Level 1</v>
      </c>
    </row>
    <row r="1658">
      <c r="A1658" s="140" t="str">
        <f>IFERROR(__xludf.DUMMYFUNCTION("""COMPUTED_VALUE"""),"de")</f>
        <v>de</v>
      </c>
      <c r="B1658">
        <f>IFERROR(__xludf.DUMMYFUNCTION("""COMPUTED_VALUE"""),1836608.0)</f>
        <v>1836608</v>
      </c>
      <c r="C1658" t="str">
        <f>IFERROR(__xludf.DUMMYFUNCTION("""COMPUTED_VALUE"""),"Statistik mit IBM SPSS Statistics")</f>
        <v>Statistik mit IBM SPSS Statistics</v>
      </c>
    </row>
    <row r="1659">
      <c r="A1659" s="140" t="str">
        <f>IFERROR(__xludf.DUMMYFUNCTION("""COMPUTED_VALUE"""),"tr")</f>
        <v>tr</v>
      </c>
      <c r="B1659">
        <f>IFERROR(__xludf.DUMMYFUNCTION("""COMPUTED_VALUE"""),2787534.0)</f>
        <v>2787534</v>
      </c>
      <c r="C1659" t="str">
        <f>IFERROR(__xludf.DUMMYFUNCTION("""COMPUTED_VALUE"""),"Flutter ile Android  &amp; IOS Uygulama Geliştirme Kursu")</f>
        <v>Flutter ile Android  &amp; IOS Uygulama Geliştirme Kursu</v>
      </c>
    </row>
    <row r="1660">
      <c r="A1660" s="140" t="str">
        <f>IFERROR(__xludf.DUMMYFUNCTION("""COMPUTED_VALUE"""),"en")</f>
        <v>en</v>
      </c>
      <c r="B1660">
        <f>IFERROR(__xludf.DUMMYFUNCTION("""COMPUTED_VALUE"""),947354.0)</f>
        <v>947354</v>
      </c>
      <c r="C1660" t="str">
        <f>IFERROR(__xludf.DUMMYFUNCTION("""COMPUTED_VALUE"""),"Ultimate Microsoft Project 2016 Course - Beginner to Expert")</f>
        <v>Ultimate Microsoft Project 2016 Course - Beginner to Expert</v>
      </c>
    </row>
    <row r="1661">
      <c r="A1661" s="140" t="str">
        <f>IFERROR(__xludf.DUMMYFUNCTION("""COMPUTED_VALUE"""),"en")</f>
        <v>en</v>
      </c>
      <c r="B1661">
        <f>IFERROR(__xludf.DUMMYFUNCTION("""COMPUTED_VALUE"""),888716.0)</f>
        <v>888716</v>
      </c>
      <c r="C1661" t="str">
        <f>IFERROR(__xludf.DUMMYFUNCTION("""COMPUTED_VALUE"""),"Introduction to Finance, Accounting, Modeling and Valuation")</f>
        <v>Introduction to Finance, Accounting, Modeling and Valuation</v>
      </c>
    </row>
    <row r="1662">
      <c r="A1662" s="140" t="str">
        <f>IFERROR(__xludf.DUMMYFUNCTION("""COMPUTED_VALUE"""),"en")</f>
        <v>en</v>
      </c>
      <c r="B1662">
        <f>IFERROR(__xludf.DUMMYFUNCTION("""COMPUTED_VALUE"""),3387948.0)</f>
        <v>3387948</v>
      </c>
      <c r="C1662" t="str">
        <f>IFERROR(__xludf.DUMMYFUNCTION("""COMPUTED_VALUE"""),"Zero to Hero with Azure Virtual Desktop AVD (previously WVD)")</f>
        <v>Zero to Hero with Azure Virtual Desktop AVD (previously WVD)</v>
      </c>
    </row>
    <row r="1663">
      <c r="A1663" s="140" t="str">
        <f>IFERROR(__xludf.DUMMYFUNCTION("""COMPUTED_VALUE"""),"pt")</f>
        <v>pt</v>
      </c>
      <c r="B1663">
        <f>IFERROR(__xludf.DUMMYFUNCTION("""COMPUTED_VALUE"""),3937934.0)</f>
        <v>3937934</v>
      </c>
      <c r="C1663" t="str">
        <f>IFERROR(__xludf.DUMMYFUNCTION("""COMPUTED_VALUE"""),"Recursos humanos analytics I People analytics em RH")</f>
        <v>Recursos humanos analytics I People analytics em RH</v>
      </c>
    </row>
    <row r="1664">
      <c r="A1664" s="140" t="str">
        <f>IFERROR(__xludf.DUMMYFUNCTION("""COMPUTED_VALUE"""),"fr")</f>
        <v>fr</v>
      </c>
      <c r="B1664">
        <f>IFERROR(__xludf.DUMMYFUNCTION("""COMPUTED_VALUE"""),3727780.0)</f>
        <v>3727780</v>
      </c>
      <c r="C1664" t="str">
        <f>IFERROR(__xludf.DUMMYFUNCTION("""COMPUTED_VALUE"""),"Excel &amp; Data Visualisation, créez des rapports percutants")</f>
        <v>Excel &amp; Data Visualisation, créez des rapports percutants</v>
      </c>
    </row>
    <row r="1665">
      <c r="A1665" s="140" t="str">
        <f>IFERROR(__xludf.DUMMYFUNCTION("""COMPUTED_VALUE"""),"fr")</f>
        <v>fr</v>
      </c>
      <c r="B1665">
        <f>IFERROR(__xludf.DUMMYFUNCTION("""COMPUTED_VALUE"""),2025986.0)</f>
        <v>2025986</v>
      </c>
      <c r="C1665" t="str">
        <f>IFERROR(__xludf.DUMMYFUNCTION("""COMPUTED_VALUE"""),"Apprendre les Macros et le langage VBA avec Excel")</f>
        <v>Apprendre les Macros et le langage VBA avec Excel</v>
      </c>
    </row>
    <row r="1666">
      <c r="A1666" s="140" t="str">
        <f>IFERROR(__xludf.DUMMYFUNCTION("""COMPUTED_VALUE"""),"en")</f>
        <v>en</v>
      </c>
      <c r="B1666">
        <f>IFERROR(__xludf.DUMMYFUNCTION("""COMPUTED_VALUE"""),1645294.0)</f>
        <v>1645294</v>
      </c>
      <c r="C1666" t="str">
        <f>IFERROR(__xludf.DUMMYFUNCTION("""COMPUTED_VALUE"""),"POSTMAN API Testing - Step by Step for Beginners")</f>
        <v>POSTMAN API Testing - Step by Step for Beginners</v>
      </c>
    </row>
    <row r="1667">
      <c r="A1667" s="140" t="str">
        <f>IFERROR(__xludf.DUMMYFUNCTION("""COMPUTED_VALUE"""),"en")</f>
        <v>en</v>
      </c>
      <c r="B1667">
        <f>IFERROR(__xludf.DUMMYFUNCTION("""COMPUTED_VALUE"""),3710504.0)</f>
        <v>3710504</v>
      </c>
      <c r="C1667" t="str">
        <f>IFERROR(__xludf.DUMMYFUNCTION("""COMPUTED_VALUE"""),"DevOps Projects | 20 Real Time DevOps Projects")</f>
        <v>DevOps Projects | 20 Real Time DevOps Projects</v>
      </c>
    </row>
    <row r="1668">
      <c r="A1668" s="140" t="str">
        <f>IFERROR(__xludf.DUMMYFUNCTION("""COMPUTED_VALUE"""),"de")</f>
        <v>de</v>
      </c>
      <c r="B1668">
        <f>IFERROR(__xludf.DUMMYFUNCTION("""COMPUTED_VALUE"""),2281962.0)</f>
        <v>2281962</v>
      </c>
      <c r="C1668" t="str">
        <f>IFERROR(__xludf.DUMMYFUNCTION("""COMPUTED_VALUE"""),"Körpersprache: Lügen aufdecken!")</f>
        <v>Körpersprache: Lügen aufdecken!</v>
      </c>
    </row>
    <row r="1669">
      <c r="A1669" s="140" t="str">
        <f>IFERROR(__xludf.DUMMYFUNCTION("""COMPUTED_VALUE"""),"en")</f>
        <v>en</v>
      </c>
      <c r="B1669">
        <f>IFERROR(__xludf.DUMMYFUNCTION("""COMPUTED_VALUE"""),4287514.0)</f>
        <v>4287514</v>
      </c>
      <c r="C1669" t="str">
        <f>IFERROR(__xludf.DUMMYFUNCTION("""COMPUTED_VALUE"""),"Jira for Beginners - Detailed Course to Get Started in Jira")</f>
        <v>Jira for Beginners - Detailed Course to Get Started in Jira</v>
      </c>
    </row>
    <row r="1670">
      <c r="A1670" s="140" t="str">
        <f>IFERROR(__xludf.DUMMYFUNCTION("""COMPUTED_VALUE"""),"pt")</f>
        <v>pt</v>
      </c>
      <c r="B1670">
        <f>IFERROR(__xludf.DUMMYFUNCTION("""COMPUTED_VALUE"""),2014966.0)</f>
        <v>2014966</v>
      </c>
      <c r="C1670" t="str">
        <f>IFERROR(__xludf.DUMMYFUNCTION("""COMPUTED_VALUE"""),"Curso Google Analytics")</f>
        <v>Curso Google Analytics</v>
      </c>
    </row>
    <row r="1671">
      <c r="A1671" s="140" t="str">
        <f>IFERROR(__xludf.DUMMYFUNCTION("""COMPUTED_VALUE"""),"en")</f>
        <v>en</v>
      </c>
      <c r="B1671">
        <f>IFERROR(__xludf.DUMMYFUNCTION("""COMPUTED_VALUE"""),1554180.0)</f>
        <v>1554180</v>
      </c>
      <c r="C1671" t="str">
        <f>IFERROR(__xludf.DUMMYFUNCTION("""COMPUTED_VALUE"""),"Python Network Programming for Network Engineers (Python 3)")</f>
        <v>Python Network Programming for Network Engineers (Python 3)</v>
      </c>
    </row>
    <row r="1672">
      <c r="A1672" s="140" t="str">
        <f>IFERROR(__xludf.DUMMYFUNCTION("""COMPUTED_VALUE"""),"en")</f>
        <v>en</v>
      </c>
      <c r="B1672">
        <f>IFERROR(__xludf.DUMMYFUNCTION("""COMPUTED_VALUE"""),433024.0)</f>
        <v>433024</v>
      </c>
      <c r="C1672" t="str">
        <f>IFERROR(__xludf.DUMMYFUNCTION("""COMPUTED_VALUE"""),"The Complete Goal Setting and Action Planning Masterclass")</f>
        <v>The Complete Goal Setting and Action Planning Masterclass</v>
      </c>
    </row>
    <row r="1673">
      <c r="A1673" s="140" t="str">
        <f>IFERROR(__xludf.DUMMYFUNCTION("""COMPUTED_VALUE"""),"en")</f>
        <v>en</v>
      </c>
      <c r="B1673">
        <f>IFERROR(__xludf.DUMMYFUNCTION("""COMPUTED_VALUE"""),75742.0)</f>
        <v>75742</v>
      </c>
      <c r="C1673" t="str">
        <f>IFERROR(__xludf.DUMMYFUNCTION("""COMPUTED_VALUE"""),"Entrepreneurship and Business Life Coach Certification")</f>
        <v>Entrepreneurship and Business Life Coach Certification</v>
      </c>
    </row>
    <row r="1674">
      <c r="A1674" s="140" t="str">
        <f>IFERROR(__xludf.DUMMYFUNCTION("""COMPUTED_VALUE"""),"en")</f>
        <v>en</v>
      </c>
      <c r="B1674">
        <f>IFERROR(__xludf.DUMMYFUNCTION("""COMPUTED_VALUE"""),3550842.0)</f>
        <v>3550842</v>
      </c>
      <c r="C1674" t="str">
        <f>IFERROR(__xludf.DUMMYFUNCTION("""COMPUTED_VALUE"""),"Vuetify: Create an App with Vue JS &amp; Vuex - in 5 Hours!")</f>
        <v>Vuetify: Create an App with Vue JS &amp; Vuex - in 5 Hours!</v>
      </c>
    </row>
    <row r="1675">
      <c r="A1675" s="140" t="str">
        <f>IFERROR(__xludf.DUMMYFUNCTION("""COMPUTED_VALUE"""),"pt")</f>
        <v>pt</v>
      </c>
      <c r="B1675">
        <f>IFERROR(__xludf.DUMMYFUNCTION("""COMPUTED_VALUE"""),1062626.0)</f>
        <v>1062626</v>
      </c>
      <c r="C1675" t="str">
        <f>IFERROR(__xludf.DUMMYFUNCTION("""COMPUTED_VALUE"""),"MS Project completo + Fundamentos da Gestão de Projetos")</f>
        <v>MS Project completo + Fundamentos da Gestão de Projetos</v>
      </c>
    </row>
    <row r="1676">
      <c r="A1676" s="140" t="str">
        <f>IFERROR(__xludf.DUMMYFUNCTION("""COMPUTED_VALUE"""),"es")</f>
        <v>es</v>
      </c>
      <c r="B1676">
        <f>IFERROR(__xludf.DUMMYFUNCTION("""COMPUTED_VALUE"""),2751620.0)</f>
        <v>2751620</v>
      </c>
      <c r="C1676" t="str">
        <f>IFERROR(__xludf.DUMMYFUNCTION("""COMPUTED_VALUE"""),"Nutrición Holística: DISEÑA TU ""DIETA""")</f>
        <v>Nutrición Holística: DISEÑA TU "DIETA"</v>
      </c>
    </row>
    <row r="1677">
      <c r="A1677" s="140" t="str">
        <f>IFERROR(__xludf.DUMMYFUNCTION("""COMPUTED_VALUE"""),"es")</f>
        <v>es</v>
      </c>
      <c r="B1677">
        <f>IFERROR(__xludf.DUMMYFUNCTION("""COMPUTED_VALUE"""),2063809.0)</f>
        <v>2063809</v>
      </c>
      <c r="C1677" t="str">
        <f>IFERROR(__xludf.DUMMYFUNCTION("""COMPUTED_VALUE"""),"Productividad Personal. Gana más Tiempo, se más Feliz. 2021.")</f>
        <v>Productividad Personal. Gana más Tiempo, se más Feliz. 2021.</v>
      </c>
    </row>
    <row r="1678">
      <c r="A1678" s="140" t="str">
        <f>IFERROR(__xludf.DUMMYFUNCTION("""COMPUTED_VALUE"""),"pt")</f>
        <v>pt</v>
      </c>
      <c r="B1678">
        <f>IFERROR(__xludf.DUMMYFUNCTION("""COMPUTED_VALUE"""),1535776.0)</f>
        <v>1535776</v>
      </c>
      <c r="C1678" t="str">
        <f>IFERROR(__xludf.DUMMYFUNCTION("""COMPUTED_VALUE"""),"Inteligência de Vendas")</f>
        <v>Inteligência de Vendas</v>
      </c>
    </row>
    <row r="1679">
      <c r="A1679" s="140" t="str">
        <f>IFERROR(__xludf.DUMMYFUNCTION("""COMPUTED_VALUE"""),"ja")</f>
        <v>ja</v>
      </c>
      <c r="B1679">
        <f>IFERROR(__xludf.DUMMYFUNCTION("""COMPUTED_VALUE"""),2073632.0)</f>
        <v>2073632</v>
      </c>
      <c r="C1679" t="str">
        <f>IFERROR(__xludf.DUMMYFUNCTION("""COMPUTED_VALUE"""),"モジュールバンドラー webpack を1日で習得！フルスクラッチでインストールからカスタマイズまでを理解する")</f>
        <v>モジュールバンドラー webpack を1日で習得！フルスクラッチでインストールからカスタマイズまでを理解する</v>
      </c>
    </row>
    <row r="1680">
      <c r="A1680" s="140" t="str">
        <f>IFERROR(__xludf.DUMMYFUNCTION("""COMPUTED_VALUE"""),"pt")</f>
        <v>pt</v>
      </c>
      <c r="B1680">
        <f>IFERROR(__xludf.DUMMYFUNCTION("""COMPUTED_VALUE"""),1449842.0)</f>
        <v>1449842</v>
      </c>
      <c r="C1680" t="str">
        <f>IFERROR(__xludf.DUMMYFUNCTION("""COMPUTED_VALUE"""),"Programando em ADVPL - Aprenda do Zero")</f>
        <v>Programando em ADVPL - Aprenda do Zero</v>
      </c>
    </row>
    <row r="1681">
      <c r="A1681" s="140" t="str">
        <f>IFERROR(__xludf.DUMMYFUNCTION("""COMPUTED_VALUE"""),"de")</f>
        <v>de</v>
      </c>
      <c r="B1681">
        <f>IFERROR(__xludf.DUMMYFUNCTION("""COMPUTED_VALUE"""),1517076.0)</f>
        <v>1517076</v>
      </c>
      <c r="C1681" t="str">
        <f>IFERROR(__xludf.DUMMYFUNCTION("""COMPUTED_VALUE"""),"Mindset Finanzen: GRAFISCHES Coaching (Kursbeschreibung!!)")</f>
        <v>Mindset Finanzen: GRAFISCHES Coaching (Kursbeschreibung!!)</v>
      </c>
    </row>
    <row r="1682">
      <c r="A1682" s="140" t="str">
        <f>IFERROR(__xludf.DUMMYFUNCTION("""COMPUTED_VALUE"""),"tr")</f>
        <v>tr</v>
      </c>
      <c r="B1682">
        <f>IFERROR(__xludf.DUMMYFUNCTION("""COMPUTED_VALUE"""),3096474.0)</f>
        <v>3096474</v>
      </c>
      <c r="C1682" t="str">
        <f>IFERROR(__xludf.DUMMYFUNCTION("""COMPUTED_VALUE"""),"Asp.Net Core + SignalR")</f>
        <v>Asp.Net Core + SignalR</v>
      </c>
    </row>
    <row r="1683">
      <c r="A1683" s="140" t="str">
        <f>IFERROR(__xludf.DUMMYFUNCTION("""COMPUTED_VALUE"""),"tr")</f>
        <v>tr</v>
      </c>
      <c r="B1683">
        <f>IFERROR(__xludf.DUMMYFUNCTION("""COMPUTED_VALUE"""),2039184.0)</f>
        <v>2039184</v>
      </c>
      <c r="C1683" t="str">
        <f>IFERROR(__xludf.DUMMYFUNCTION("""COMPUTED_VALUE"""),"Android Mobil Uygulama Geliştirme Kursu: Java | 2020")</f>
        <v>Android Mobil Uygulama Geliştirme Kursu: Java | 2020</v>
      </c>
    </row>
    <row r="1684">
      <c r="A1684" s="140" t="str">
        <f>IFERROR(__xludf.DUMMYFUNCTION("""COMPUTED_VALUE"""),"pt")</f>
        <v>pt</v>
      </c>
      <c r="B1684">
        <f>IFERROR(__xludf.DUMMYFUNCTION("""COMPUTED_VALUE"""),1428768.0)</f>
        <v>1428768</v>
      </c>
      <c r="C1684" t="str">
        <f>IFERROR(__xludf.DUMMYFUNCTION("""COMPUTED_VALUE"""),"Curso Edição de Vídeo COMPLETO, 4 Cursos do Zero ao Avançado")</f>
        <v>Curso Edição de Vídeo COMPLETO, 4 Cursos do Zero ao Avançado</v>
      </c>
    </row>
    <row r="1685">
      <c r="A1685" s="140" t="str">
        <f>IFERROR(__xludf.DUMMYFUNCTION("""COMPUTED_VALUE"""),"en")</f>
        <v>en</v>
      </c>
      <c r="B1685">
        <f>IFERROR(__xludf.DUMMYFUNCTION("""COMPUTED_VALUE"""),159998.0)</f>
        <v>159998</v>
      </c>
      <c r="C1685" t="str">
        <f>IFERROR(__xludf.DUMMYFUNCTION("""COMPUTED_VALUE"""),"How to Write a Nonfiction Book That Actually Sells")</f>
        <v>How to Write a Nonfiction Book That Actually Sells</v>
      </c>
    </row>
    <row r="1686">
      <c r="A1686" s="140" t="str">
        <f>IFERROR(__xludf.DUMMYFUNCTION("""COMPUTED_VALUE"""),"en")</f>
        <v>en</v>
      </c>
      <c r="B1686">
        <f>IFERROR(__xludf.DUMMYFUNCTION("""COMPUTED_VALUE"""),1138282.0)</f>
        <v>1138282</v>
      </c>
      <c r="C1686" t="str">
        <f>IFERROR(__xludf.DUMMYFUNCTION("""COMPUTED_VALUE"""),"REST Assured API Automation,Allure Reports - An Introduction")</f>
        <v>REST Assured API Automation,Allure Reports - An Introduction</v>
      </c>
    </row>
    <row r="1687">
      <c r="A1687" s="140" t="str">
        <f>IFERROR(__xludf.DUMMYFUNCTION("""COMPUTED_VALUE"""),"pt")</f>
        <v>pt</v>
      </c>
      <c r="B1687">
        <f>IFERROR(__xludf.DUMMYFUNCTION("""COMPUTED_VALUE"""),1979166.0)</f>
        <v>1979166</v>
      </c>
      <c r="C1687" t="str">
        <f>IFERROR(__xludf.DUMMYFUNCTION("""COMPUTED_VALUE"""),"Curso de Excel Avançado - Gráficos Previsto e Realizado")</f>
        <v>Curso de Excel Avançado - Gráficos Previsto e Realizado</v>
      </c>
    </row>
    <row r="1688">
      <c r="A1688" s="140" t="str">
        <f>IFERROR(__xludf.DUMMYFUNCTION("""COMPUTED_VALUE"""),"de")</f>
        <v>de</v>
      </c>
      <c r="B1688">
        <f>IFERROR(__xludf.DUMMYFUNCTION("""COMPUTED_VALUE"""),699850.0)</f>
        <v>699850</v>
      </c>
      <c r="C1688" t="str">
        <f>IFERROR(__xludf.DUMMYFUNCTION("""COMPUTED_VALUE"""),"MS Outlook - Das ultimative Training vom Anfänger zum Profi")</f>
        <v>MS Outlook - Das ultimative Training vom Anfänger zum Profi</v>
      </c>
    </row>
    <row r="1689">
      <c r="A1689" s="140" t="str">
        <f>IFERROR(__xludf.DUMMYFUNCTION("""COMPUTED_VALUE"""),"en")</f>
        <v>en</v>
      </c>
      <c r="B1689">
        <f>IFERROR(__xludf.DUMMYFUNCTION("""COMPUTED_VALUE"""),4086040.0)</f>
        <v>4086040</v>
      </c>
      <c r="C1689" t="str">
        <f>IFERROR(__xludf.DUMMYFUNCTION("""COMPUTED_VALUE"""),"Azure - HashiCorp Certified: Terraform Associate -70 Demos")</f>
        <v>Azure - HashiCorp Certified: Terraform Associate -70 Demos</v>
      </c>
    </row>
    <row r="1690">
      <c r="A1690" s="140" t="str">
        <f>IFERROR(__xludf.DUMMYFUNCTION("""COMPUTED_VALUE"""),"ja")</f>
        <v>ja</v>
      </c>
      <c r="B1690">
        <f>IFERROR(__xludf.DUMMYFUNCTION("""COMPUTED_VALUE"""),3552625.0)</f>
        <v>3552625</v>
      </c>
      <c r="C1690" t="str">
        <f>IFERROR(__xludf.DUMMYFUNCTION("""COMPUTED_VALUE"""),"はじめましてJulia~次世代のデータサイエンス・科学計算のためのプログラミング")</f>
        <v>はじめましてJulia~次世代のデータサイエンス・科学計算のためのプログラミング</v>
      </c>
    </row>
    <row r="1691">
      <c r="A1691" s="140" t="str">
        <f>IFERROR(__xludf.DUMMYFUNCTION("""COMPUTED_VALUE"""),"tr")</f>
        <v>tr</v>
      </c>
      <c r="B1691">
        <f>IFERROR(__xludf.DUMMYFUNCTION("""COMPUTED_VALUE"""),1384236.0)</f>
        <v>1384236</v>
      </c>
      <c r="C1691" t="str">
        <f>IFERROR(__xludf.DUMMYFUNCTION("""COMPUTED_VALUE"""),"Uygulama Geliştirerek C# Öğrenin: A'dan Z'ye Eğitim Seti")</f>
        <v>Uygulama Geliştirerek C# Öğrenin: A'dan Z'ye Eğitim Seti</v>
      </c>
    </row>
    <row r="1692">
      <c r="A1692" s="140" t="str">
        <f>IFERROR(__xludf.DUMMYFUNCTION("""COMPUTED_VALUE"""),"es")</f>
        <v>es</v>
      </c>
      <c r="B1692">
        <f>IFERROR(__xludf.DUMMYFUNCTION("""COMPUTED_VALUE"""),1890922.0)</f>
        <v>1890922</v>
      </c>
      <c r="C1692" t="str">
        <f>IFERROR(__xludf.DUMMYFUNCTION("""COMPUTED_VALUE"""),"UX: Máster en Diseño web y Experiencia de Usuario")</f>
        <v>UX: Máster en Diseño web y Experiencia de Usuario</v>
      </c>
    </row>
    <row r="1693">
      <c r="A1693" s="140" t="str">
        <f>IFERROR(__xludf.DUMMYFUNCTION("""COMPUTED_VALUE"""),"en")</f>
        <v>en</v>
      </c>
      <c r="B1693">
        <f>IFERROR(__xludf.DUMMYFUNCTION("""COMPUTED_VALUE"""),1675372.0)</f>
        <v>1675372</v>
      </c>
      <c r="C1693" t="str">
        <f>IFERROR(__xludf.DUMMYFUNCTION("""COMPUTED_VALUE"""),"CISSP Certification: CISSP Domain 7 &amp; 8 Boot Camp UPDATED 22")</f>
        <v>CISSP Certification: CISSP Domain 7 &amp; 8 Boot Camp UPDATED 22</v>
      </c>
    </row>
    <row r="1694">
      <c r="A1694" s="140" t="str">
        <f>IFERROR(__xludf.DUMMYFUNCTION("""COMPUTED_VALUE"""),"en")</f>
        <v>en</v>
      </c>
      <c r="B1694">
        <f>IFERROR(__xludf.DUMMYFUNCTION("""COMPUTED_VALUE"""),76838.0)</f>
        <v>76838</v>
      </c>
      <c r="C1694" t="str">
        <f>IFERROR(__xludf.DUMMYFUNCTION("""COMPUTED_VALUE"""),"Master Computers - From Beginner to Expert in One Week")</f>
        <v>Master Computers - From Beginner to Expert in One Week</v>
      </c>
    </row>
    <row r="1695">
      <c r="A1695" s="140" t="str">
        <f>IFERROR(__xludf.DUMMYFUNCTION("""COMPUTED_VALUE"""),"ar")</f>
        <v>ar</v>
      </c>
      <c r="B1695">
        <f>IFERROR(__xludf.DUMMYFUNCTION("""COMPUTED_VALUE"""),2706724.0)</f>
        <v>2706724</v>
      </c>
      <c r="C1695" t="str">
        <f>IFERROR(__xludf.DUMMYFUNCTION("""COMPUTED_VALUE"""),"2021 (ManyChat) كورس احتراف شات بوت 101 للفيسبوك &amp; انستجرام")</f>
        <v>2021 (ManyChat) كورس احتراف شات بوت 101 للفيسبوك &amp; انستجرام</v>
      </c>
    </row>
    <row r="1696">
      <c r="A1696" s="140" t="str">
        <f>IFERROR(__xludf.DUMMYFUNCTION("""COMPUTED_VALUE"""),"es")</f>
        <v>es</v>
      </c>
      <c r="B1696">
        <f>IFERROR(__xludf.DUMMYFUNCTION("""COMPUTED_VALUE"""),3590282.0)</f>
        <v>3590282</v>
      </c>
      <c r="C1696" t="str">
        <f>IFERROR(__xludf.DUMMYFUNCTION("""COMPUTED_VALUE"""),"Microservicios con spring boot Docker Open API y Swagger")</f>
        <v>Microservicios con spring boot Docker Open API y Swagger</v>
      </c>
    </row>
    <row r="1697">
      <c r="A1697" s="140" t="str">
        <f>IFERROR(__xludf.DUMMYFUNCTION("""COMPUTED_VALUE"""),"en")</f>
        <v>en</v>
      </c>
      <c r="B1697">
        <f>IFERROR(__xludf.DUMMYFUNCTION("""COMPUTED_VALUE"""),1888842.0)</f>
        <v>1888842</v>
      </c>
      <c r="C1697" t="str">
        <f>IFERROR(__xludf.DUMMYFUNCTION("""COMPUTED_VALUE"""),"Altair Hypermesh : Learn Meshing and Linear Static Analysis")</f>
        <v>Altair Hypermesh : Learn Meshing and Linear Static Analysis</v>
      </c>
    </row>
    <row r="1698">
      <c r="A1698" s="140" t="str">
        <f>IFERROR(__xludf.DUMMYFUNCTION("""COMPUTED_VALUE"""),"ja")</f>
        <v>ja</v>
      </c>
      <c r="B1698">
        <f>IFERROR(__xludf.DUMMYFUNCTION("""COMPUTED_VALUE"""),3333134.0)</f>
        <v>3333134</v>
      </c>
      <c r="C1698" t="str">
        <f>IFERROR(__xludf.DUMMYFUNCTION("""COMPUTED_VALUE"""),"LIFFを使ってLINEのミニアプリを開発しよう！")</f>
        <v>LIFFを使ってLINEのミニアプリを開発しよう！</v>
      </c>
    </row>
    <row r="1699">
      <c r="A1699" s="140" t="str">
        <f>IFERROR(__xludf.DUMMYFUNCTION("""COMPUTED_VALUE"""),"de")</f>
        <v>de</v>
      </c>
      <c r="B1699">
        <f>IFERROR(__xludf.DUMMYFUNCTION("""COMPUTED_VALUE"""),3514670.0)</f>
        <v>3514670</v>
      </c>
      <c r="C1699" t="str">
        <f>IFERROR(__xludf.DUMMYFUNCTION("""COMPUTED_VALUE"""),"Microsoft Forms: Professionelle Umfragen &amp; Tests!")</f>
        <v>Microsoft Forms: Professionelle Umfragen &amp; Tests!</v>
      </c>
    </row>
    <row r="1700">
      <c r="A1700" s="140" t="str">
        <f>IFERROR(__xludf.DUMMYFUNCTION("""COMPUTED_VALUE"""),"en")</f>
        <v>en</v>
      </c>
      <c r="B1700">
        <f>IFERROR(__xludf.DUMMYFUNCTION("""COMPUTED_VALUE"""),968750.0)</f>
        <v>968750</v>
      </c>
      <c r="C1700" t="str">
        <f>IFERROR(__xludf.DUMMYFUNCTION("""COMPUTED_VALUE"""),"UX Design &amp; User Experience Design Course - Theory Only")</f>
        <v>UX Design &amp; User Experience Design Course - Theory Only</v>
      </c>
    </row>
    <row r="1701">
      <c r="A1701" s="140" t="str">
        <f>IFERROR(__xludf.DUMMYFUNCTION("""COMPUTED_VALUE"""),"en")</f>
        <v>en</v>
      </c>
      <c r="B1701">
        <f>IFERROR(__xludf.DUMMYFUNCTION("""COMPUTED_VALUE"""),1583904.0)</f>
        <v>1583904</v>
      </c>
      <c r="C1701" t="str">
        <f>IFERROR(__xludf.DUMMYFUNCTION("""COMPUTED_VALUE"""),"The Ultimate ClickFunnels Training Course + FREE Funnels!")</f>
        <v>The Ultimate ClickFunnels Training Course + FREE Funnels!</v>
      </c>
    </row>
    <row r="1702">
      <c r="A1702" s="140" t="str">
        <f>IFERROR(__xludf.DUMMYFUNCTION("""COMPUTED_VALUE"""),"ar")</f>
        <v>ar</v>
      </c>
      <c r="B1702">
        <f>IFERROR(__xludf.DUMMYFUNCTION("""COMPUTED_VALUE"""),1809110.0)</f>
        <v>1809110</v>
      </c>
      <c r="C1702" t="str">
        <f>IFERROR(__xludf.DUMMYFUNCTION("""COMPUTED_VALUE"""),"C#+SQL الدورة الشاملة لمطورى تطبيقات سطح المكتب  برمجة+تسويق")</f>
        <v>C#+SQL الدورة الشاملة لمطورى تطبيقات سطح المكتب  برمجة+تسويق</v>
      </c>
    </row>
    <row r="1703">
      <c r="A1703" s="140" t="str">
        <f>IFERROR(__xludf.DUMMYFUNCTION("""COMPUTED_VALUE"""),"en")</f>
        <v>en</v>
      </c>
      <c r="B1703">
        <f>IFERROR(__xludf.DUMMYFUNCTION("""COMPUTED_VALUE"""),3797234.0)</f>
        <v>3797234</v>
      </c>
      <c r="C1703" t="str">
        <f>IFERROR(__xludf.DUMMYFUNCTION("""COMPUTED_VALUE"""),"RESTful Services in Oracle APEX - The Complete Guide (2021)")</f>
        <v>RESTful Services in Oracle APEX - The Complete Guide (2021)</v>
      </c>
    </row>
    <row r="1704">
      <c r="A1704" s="140" t="str">
        <f>IFERROR(__xludf.DUMMYFUNCTION("""COMPUTED_VALUE"""),"ja")</f>
        <v>ja</v>
      </c>
      <c r="B1704">
        <f>IFERROR(__xludf.DUMMYFUNCTION("""COMPUTED_VALUE"""),3406688.0)</f>
        <v>3406688</v>
      </c>
      <c r="C1704" t="str">
        <f>IFERROR(__xludf.DUMMYFUNCTION("""COMPUTED_VALUE"""),"【初めてのチーム管理】エクセルで学ぶ業績評価と予算管理（管理会計）")</f>
        <v>【初めてのチーム管理】エクセルで学ぶ業績評価と予算管理（管理会計）</v>
      </c>
    </row>
    <row r="1705">
      <c r="A1705" s="140" t="str">
        <f>IFERROR(__xludf.DUMMYFUNCTION("""COMPUTED_VALUE"""),"es")</f>
        <v>es</v>
      </c>
      <c r="B1705">
        <f>IFERROR(__xludf.DUMMYFUNCTION("""COMPUTED_VALUE"""),245880.0)</f>
        <v>245880</v>
      </c>
      <c r="C1705" t="str">
        <f>IFERROR(__xludf.DUMMYFUNCTION("""COMPUTED_VALUE"""),"Master en Inteligencia Emocional y Soft Skills YPD")</f>
        <v>Master en Inteligencia Emocional y Soft Skills YPD</v>
      </c>
    </row>
    <row r="1706">
      <c r="A1706" s="140" t="str">
        <f>IFERROR(__xludf.DUMMYFUNCTION("""COMPUTED_VALUE"""),"en")</f>
        <v>en</v>
      </c>
      <c r="B1706">
        <f>IFERROR(__xludf.DUMMYFUNCTION("""COMPUTED_VALUE"""),3501974.0)</f>
        <v>3501974</v>
      </c>
      <c r="C1706" t="str">
        <f>IFERROR(__xludf.DUMMYFUNCTION("""COMPUTED_VALUE"""),"PSM2 Professional Scrum Master II certification Practice")</f>
        <v>PSM2 Professional Scrum Master II certification Practice</v>
      </c>
    </row>
    <row r="1707">
      <c r="A1707" s="140" t="str">
        <f>IFERROR(__xludf.DUMMYFUNCTION("""COMPUTED_VALUE"""),"en")</f>
        <v>en</v>
      </c>
      <c r="B1707">
        <f>IFERROR(__xludf.DUMMYFUNCTION("""COMPUTED_VALUE"""),1935322.0)</f>
        <v>1935322</v>
      </c>
      <c r="C1707" t="str">
        <f>IFERROR(__xludf.DUMMYFUNCTION("""COMPUTED_VALUE"""),"Testing Spring Boot: Beginner to Guru")</f>
        <v>Testing Spring Boot: Beginner to Guru</v>
      </c>
    </row>
    <row r="1708">
      <c r="A1708" s="140" t="str">
        <f>IFERROR(__xludf.DUMMYFUNCTION("""COMPUTED_VALUE"""),"en")</f>
        <v>en</v>
      </c>
      <c r="B1708">
        <f>IFERROR(__xludf.DUMMYFUNCTION("""COMPUTED_VALUE"""),1862802.0)</f>
        <v>1862802</v>
      </c>
      <c r="C1708" t="str">
        <f>IFERROR(__xludf.DUMMYFUNCTION("""COMPUTED_VALUE"""),"iOS 12: Learn to Code &amp; Build Real iOS 12 Apps in Swift 4.2")</f>
        <v>iOS 12: Learn to Code &amp; Build Real iOS 12 Apps in Swift 4.2</v>
      </c>
    </row>
    <row r="1709">
      <c r="A1709" s="140" t="str">
        <f>IFERROR(__xludf.DUMMYFUNCTION("""COMPUTED_VALUE"""),"en")</f>
        <v>en</v>
      </c>
      <c r="B1709">
        <f>IFERROR(__xludf.DUMMYFUNCTION("""COMPUTED_VALUE"""),889438.0)</f>
        <v>889438</v>
      </c>
      <c r="C1709" t="str">
        <f>IFERROR(__xludf.DUMMYFUNCTION("""COMPUTED_VALUE"""),"ChatBots: Messenger ChatBot - DialogFlow and nodejs")</f>
        <v>ChatBots: Messenger ChatBot - DialogFlow and nodejs</v>
      </c>
    </row>
    <row r="1710">
      <c r="A1710" s="140" t="str">
        <f>IFERROR(__xludf.DUMMYFUNCTION("""COMPUTED_VALUE"""),"en")</f>
        <v>en</v>
      </c>
      <c r="B1710">
        <f>IFERROR(__xludf.DUMMYFUNCTION("""COMPUTED_VALUE"""),2320594.0)</f>
        <v>2320594</v>
      </c>
      <c r="C1710" t="str">
        <f>IFERROR(__xludf.DUMMYFUNCTION("""COMPUTED_VALUE"""),"Modern Android app using Kotlin, MVVM, Dagger2, RxJava &amp;more")</f>
        <v>Modern Android app using Kotlin, MVVM, Dagger2, RxJava &amp;more</v>
      </c>
    </row>
    <row r="1711">
      <c r="A1711" s="140" t="str">
        <f>IFERROR(__xludf.DUMMYFUNCTION("""COMPUTED_VALUE"""),"en")</f>
        <v>en</v>
      </c>
      <c r="B1711">
        <f>IFERROR(__xludf.DUMMYFUNCTION("""COMPUTED_VALUE"""),1361790.0)</f>
        <v>1361790</v>
      </c>
      <c r="C1711" t="str">
        <f>IFERROR(__xludf.DUMMYFUNCTION("""COMPUTED_VALUE"""),"PMP Exam Prep Seminar - 2021 Exam Content with 35 PDUs")</f>
        <v>PMP Exam Prep Seminar - 2021 Exam Content with 35 PDUs</v>
      </c>
    </row>
    <row r="1712">
      <c r="A1712" s="140" t="str">
        <f>IFERROR(__xludf.DUMMYFUNCTION("""COMPUTED_VALUE"""),"en")</f>
        <v>en</v>
      </c>
      <c r="B1712">
        <f>IFERROR(__xludf.DUMMYFUNCTION("""COMPUTED_VALUE"""),1629362.0)</f>
        <v>1629362</v>
      </c>
      <c r="C1712" t="str">
        <f>IFERROR(__xludf.DUMMYFUNCTION("""COMPUTED_VALUE"""),"Unity Tech Art: Realistic Lighting For Game Development")</f>
        <v>Unity Tech Art: Realistic Lighting For Game Development</v>
      </c>
    </row>
    <row r="1713">
      <c r="A1713" s="140" t="str">
        <f>IFERROR(__xludf.DUMMYFUNCTION("""COMPUTED_VALUE"""),"es")</f>
        <v>es</v>
      </c>
      <c r="B1713">
        <f>IFERROR(__xludf.DUMMYFUNCTION("""COMPUTED_VALUE"""),3821294.0)</f>
        <v>3821294</v>
      </c>
      <c r="C1713" t="str">
        <f>IFERROR(__xludf.DUMMYFUNCTION("""COMPUTED_VALUE"""),"Curso Completo de Marketing Digital - Con Proyecto desde 0")</f>
        <v>Curso Completo de Marketing Digital - Con Proyecto desde 0</v>
      </c>
    </row>
    <row r="1714">
      <c r="A1714" s="140" t="str">
        <f>IFERROR(__xludf.DUMMYFUNCTION("""COMPUTED_VALUE"""),"en")</f>
        <v>en</v>
      </c>
      <c r="B1714">
        <f>IFERROR(__xludf.DUMMYFUNCTION("""COMPUTED_VALUE"""),1309166.0)</f>
        <v>1309166</v>
      </c>
      <c r="C1714" t="str">
        <f>IFERROR(__xludf.DUMMYFUNCTION("""COMPUTED_VALUE"""),"Become a Junior Java Software Developer")</f>
        <v>Become a Junior Java Software Developer</v>
      </c>
    </row>
    <row r="1715">
      <c r="A1715" s="140" t="str">
        <f>IFERROR(__xludf.DUMMYFUNCTION("""COMPUTED_VALUE"""),"en")</f>
        <v>en</v>
      </c>
      <c r="B1715">
        <f>IFERROR(__xludf.DUMMYFUNCTION("""COMPUTED_VALUE"""),2313280.0)</f>
        <v>2313280</v>
      </c>
      <c r="C1715" t="str">
        <f>IFERROR(__xludf.DUMMYFUNCTION("""COMPUTED_VALUE"""),"Spring Boot Microservices with Spring Cloud Beginner to Guru")</f>
        <v>Spring Boot Microservices with Spring Cloud Beginner to Guru</v>
      </c>
    </row>
    <row r="1716">
      <c r="A1716" s="140" t="str">
        <f>IFERROR(__xludf.DUMMYFUNCTION("""COMPUTED_VALUE"""),"en")</f>
        <v>en</v>
      </c>
      <c r="B1716">
        <f>IFERROR(__xludf.DUMMYFUNCTION("""COMPUTED_VALUE"""),1305696.0)</f>
        <v>1305696</v>
      </c>
      <c r="C1716" t="str">
        <f>IFERROR(__xludf.DUMMYFUNCTION("""COMPUTED_VALUE"""),"Clear and Simple VMware vSphere 6.5 VCP-DCV (VCP 2019)")</f>
        <v>Clear and Simple VMware vSphere 6.5 VCP-DCV (VCP 2019)</v>
      </c>
    </row>
    <row r="1717">
      <c r="A1717" s="140" t="str">
        <f>IFERROR(__xludf.DUMMYFUNCTION("""COMPUTED_VALUE"""),"en")</f>
        <v>en</v>
      </c>
      <c r="B1717">
        <f>IFERROR(__xludf.DUMMYFUNCTION("""COMPUTED_VALUE"""),842300.0)</f>
        <v>842300</v>
      </c>
      <c r="C1717" t="str">
        <f>IFERROR(__xludf.DUMMYFUNCTION("""COMPUTED_VALUE"""),"Management Consulting Productivity Hacks")</f>
        <v>Management Consulting Productivity Hacks</v>
      </c>
    </row>
    <row r="1718">
      <c r="A1718" s="140" t="str">
        <f>IFERROR(__xludf.DUMMYFUNCTION("""COMPUTED_VALUE"""),"pt")</f>
        <v>pt</v>
      </c>
      <c r="B1718">
        <f>IFERROR(__xludf.DUMMYFUNCTION("""COMPUTED_VALUE"""),2841348.0)</f>
        <v>2841348</v>
      </c>
      <c r="C1718" t="str">
        <f>IFERROR(__xludf.DUMMYFUNCTION("""COMPUTED_VALUE"""),"Vue JS - Curso COMPLETO do Básico ao Avançado")</f>
        <v>Vue JS - Curso COMPLETO do Básico ao Avançado</v>
      </c>
    </row>
    <row r="1719">
      <c r="A1719" s="140" t="str">
        <f>IFERROR(__xludf.DUMMYFUNCTION("""COMPUTED_VALUE"""),"en")</f>
        <v>en</v>
      </c>
      <c r="B1719">
        <f>IFERROR(__xludf.DUMMYFUNCTION("""COMPUTED_VALUE"""),1783040.0)</f>
        <v>1783040</v>
      </c>
      <c r="C1719" t="str">
        <f>IFERROR(__xludf.DUMMYFUNCTION("""COMPUTED_VALUE"""),"Java Certification - OCP (1Z0-809) Topic-wise Tests [2021]")</f>
        <v>Java Certification - OCP (1Z0-809) Topic-wise Tests [2021]</v>
      </c>
    </row>
    <row r="1720">
      <c r="A1720" s="140" t="str">
        <f>IFERROR(__xludf.DUMMYFUNCTION("""COMPUTED_VALUE"""),"en")</f>
        <v>en</v>
      </c>
      <c r="B1720">
        <f>IFERROR(__xludf.DUMMYFUNCTION("""COMPUTED_VALUE"""),829846.0)</f>
        <v>829846</v>
      </c>
      <c r="C1720" t="str">
        <f>IFERROR(__xludf.DUMMYFUNCTION("""COMPUTED_VALUE"""),"Graph Theory")</f>
        <v>Graph Theory</v>
      </c>
    </row>
    <row r="1721">
      <c r="A1721" s="140" t="str">
        <f>IFERROR(__xludf.DUMMYFUNCTION("""COMPUTED_VALUE"""),"en")</f>
        <v>en</v>
      </c>
      <c r="B1721">
        <f>IFERROR(__xludf.DUMMYFUNCTION("""COMPUTED_VALUE"""),3429656.0)</f>
        <v>3429656</v>
      </c>
      <c r="C1721" t="str">
        <f>IFERROR(__xludf.DUMMYFUNCTION("""COMPUTED_VALUE"""),"AWS Certified Security – Specialty SCS-C01 [New]")</f>
        <v>AWS Certified Security – Specialty SCS-C01 [New]</v>
      </c>
    </row>
    <row r="1722">
      <c r="A1722" s="140" t="str">
        <f>IFERROR(__xludf.DUMMYFUNCTION("""COMPUTED_VALUE"""),"es")</f>
        <v>es</v>
      </c>
      <c r="B1722">
        <f>IFERROR(__xludf.DUMMYFUNCTION("""COMPUTED_VALUE"""),421198.0)</f>
        <v>421198</v>
      </c>
      <c r="C1722" t="str">
        <f>IFERROR(__xludf.DUMMYFUNCTION("""COMPUTED_VALUE"""),"Liderazgo en Ventas con Calidad Humana")</f>
        <v>Liderazgo en Ventas con Calidad Humana</v>
      </c>
    </row>
    <row r="1723">
      <c r="A1723" s="140" t="str">
        <f>IFERROR(__xludf.DUMMYFUNCTION("""COMPUTED_VALUE"""),"fr")</f>
        <v>fr</v>
      </c>
      <c r="B1723">
        <f>IFERROR(__xludf.DUMMYFUNCTION("""COMPUTED_VALUE"""),3808456.0)</f>
        <v>3808456</v>
      </c>
      <c r="C1723" t="str">
        <f>IFERROR(__xludf.DUMMYFUNCTION("""COMPUTED_VALUE"""),"Bien tester son API Web avec POSTMAN")</f>
        <v>Bien tester son API Web avec POSTMAN</v>
      </c>
    </row>
    <row r="1724">
      <c r="A1724" s="140" t="str">
        <f>IFERROR(__xludf.DUMMYFUNCTION("""COMPUTED_VALUE"""),"en")</f>
        <v>en</v>
      </c>
      <c r="B1724">
        <f>IFERROR(__xludf.DUMMYFUNCTION("""COMPUTED_VALUE"""),1475056.0)</f>
        <v>1475056</v>
      </c>
      <c r="C1724" t="str">
        <f>IFERROR(__xludf.DUMMYFUNCTION("""COMPUTED_VALUE"""),"Recruiting Talent: How to find &amp; attract the best candidates")</f>
        <v>Recruiting Talent: How to find &amp; attract the best candidates</v>
      </c>
    </row>
    <row r="1725">
      <c r="A1725" s="140" t="str">
        <f>IFERROR(__xludf.DUMMYFUNCTION("""COMPUTED_VALUE"""),"zh")</f>
        <v>zh</v>
      </c>
      <c r="B1725">
        <f>IFERROR(__xludf.DUMMYFUNCTION("""COMPUTED_VALUE"""),2144246.0)</f>
        <v>2144246</v>
      </c>
      <c r="C1725" t="str">
        <f>IFERROR(__xludf.DUMMYFUNCTION("""COMPUTED_VALUE"""),"Java Web从入门到实战：老程序员手把手带您完成一个【网上商城】Web项目")</f>
        <v>Java Web从入门到实战：老程序员手把手带您完成一个【网上商城】Web项目</v>
      </c>
    </row>
    <row r="1726">
      <c r="A1726" s="140" t="str">
        <f>IFERROR(__xludf.DUMMYFUNCTION("""COMPUTED_VALUE"""),"en")</f>
        <v>en</v>
      </c>
      <c r="B1726">
        <f>IFERROR(__xludf.DUMMYFUNCTION("""COMPUTED_VALUE"""),1072420.0)</f>
        <v>1072420</v>
      </c>
      <c r="C1726" t="str">
        <f>IFERROR(__xludf.DUMMYFUNCTION("""COMPUTED_VALUE"""),"Advanced JavaScript Topics")</f>
        <v>Advanced JavaScript Topics</v>
      </c>
    </row>
    <row r="1727">
      <c r="A1727" s="140" t="str">
        <f>IFERROR(__xludf.DUMMYFUNCTION("""COMPUTED_VALUE"""),"en")</f>
        <v>en</v>
      </c>
      <c r="B1727">
        <f>IFERROR(__xludf.DUMMYFUNCTION("""COMPUTED_VALUE"""),860394.0)</f>
        <v>860394</v>
      </c>
      <c r="C1727" t="str">
        <f>IFERROR(__xludf.DUMMYFUNCTION("""COMPUTED_VALUE"""),"Java/Apache Maven: The Truth About Building Java Programs")</f>
        <v>Java/Apache Maven: The Truth About Building Java Programs</v>
      </c>
    </row>
    <row r="1728">
      <c r="A1728" s="140" t="str">
        <f>IFERROR(__xludf.DUMMYFUNCTION("""COMPUTED_VALUE"""),"en")</f>
        <v>en</v>
      </c>
      <c r="B1728">
        <f>IFERROR(__xludf.DUMMYFUNCTION("""COMPUTED_VALUE"""),3387966.0)</f>
        <v>3387966</v>
      </c>
      <c r="C1728" t="str">
        <f>IFERROR(__xludf.DUMMYFUNCTION("""COMPUTED_VALUE"""),"TypeScript for Professionals")</f>
        <v>TypeScript for Professionals</v>
      </c>
    </row>
    <row r="1729">
      <c r="A1729" s="140" t="str">
        <f>IFERROR(__xludf.DUMMYFUNCTION("""COMPUTED_VALUE"""),"pt")</f>
        <v>pt</v>
      </c>
      <c r="B1729">
        <f>IFERROR(__xludf.DUMMYFUNCTION("""COMPUTED_VALUE"""),2437778.0)</f>
        <v>2437778</v>
      </c>
      <c r="C1729" t="str">
        <f>IFERROR(__xludf.DUMMYFUNCTION("""COMPUTED_VALUE"""),"Automatizando Campanhas de Email Marketing com Mautic")</f>
        <v>Automatizando Campanhas de Email Marketing com Mautic</v>
      </c>
    </row>
    <row r="1730">
      <c r="A1730" s="140" t="str">
        <f>IFERROR(__xludf.DUMMYFUNCTION("""COMPUTED_VALUE"""),"en")</f>
        <v>en</v>
      </c>
      <c r="B1730">
        <f>IFERROR(__xludf.DUMMYFUNCTION("""COMPUTED_VALUE"""),1733972.0)</f>
        <v>1733972</v>
      </c>
      <c r="C1730" t="str">
        <f>IFERROR(__xludf.DUMMYFUNCTION("""COMPUTED_VALUE"""),"Monitoring and Alerting with Prometheus")</f>
        <v>Monitoring and Alerting with Prometheus</v>
      </c>
    </row>
    <row r="1731">
      <c r="A1731" s="140" t="str">
        <f>IFERROR(__xludf.DUMMYFUNCTION("""COMPUTED_VALUE"""),"en")</f>
        <v>en</v>
      </c>
      <c r="B1731">
        <f>IFERROR(__xludf.DUMMYFUNCTION("""COMPUTED_VALUE"""),2452786.0)</f>
        <v>2452786</v>
      </c>
      <c r="C1731" t="str">
        <f>IFERROR(__xludf.DUMMYFUNCTION("""COMPUTED_VALUE"""),"Parcel Bundler: The Complete Tutorial")</f>
        <v>Parcel Bundler: The Complete Tutorial</v>
      </c>
    </row>
    <row r="1732">
      <c r="A1732" s="140" t="str">
        <f>IFERROR(__xludf.DUMMYFUNCTION("""COMPUTED_VALUE"""),"de")</f>
        <v>de</v>
      </c>
      <c r="B1732">
        <f>IFERROR(__xludf.DUMMYFUNCTION("""COMPUTED_VALUE"""),2309846.0)</f>
        <v>2309846</v>
      </c>
      <c r="C1732" t="str">
        <f>IFERROR(__xludf.DUMMYFUNCTION("""COMPUTED_VALUE"""),"Adobe XD Einfach &amp; Komplett: Der große UI-/UX-Praxis-Kurs")</f>
        <v>Adobe XD Einfach &amp; Komplett: Der große UI-/UX-Praxis-Kurs</v>
      </c>
    </row>
    <row r="1733">
      <c r="A1733" s="140" t="str">
        <f>IFERROR(__xludf.DUMMYFUNCTION("""COMPUTED_VALUE"""),"ja")</f>
        <v>ja</v>
      </c>
      <c r="B1733">
        <f>IFERROR(__xludf.DUMMYFUNCTION("""COMPUTED_VALUE"""),3669876.0)</f>
        <v>3669876</v>
      </c>
      <c r="C1733" t="str">
        <f>IFERROR(__xludf.DUMMYFUNCTION("""COMPUTED_VALUE"""),"【初心者から上級者まで】１日で学べる Word の教科書マスターコース")</f>
        <v>【初心者から上級者まで】１日で学べる Word の教科書マスターコース</v>
      </c>
    </row>
    <row r="1734">
      <c r="A1734" s="140" t="str">
        <f>IFERROR(__xludf.DUMMYFUNCTION("""COMPUTED_VALUE"""),"de")</f>
        <v>de</v>
      </c>
      <c r="B1734">
        <f>IFERROR(__xludf.DUMMYFUNCTION("""COMPUTED_VALUE"""),1580318.0)</f>
        <v>1580318</v>
      </c>
      <c r="C1734" t="str">
        <f>IFERROR(__xludf.DUMMYFUNCTION("""COMPUTED_VALUE"""),"Microsoft Excel - Excel für Anfänger")</f>
        <v>Microsoft Excel - Excel für Anfänger</v>
      </c>
    </row>
    <row r="1735">
      <c r="A1735" s="140" t="str">
        <f>IFERROR(__xludf.DUMMYFUNCTION("""COMPUTED_VALUE"""),"en")</f>
        <v>en</v>
      </c>
      <c r="B1735">
        <f>IFERROR(__xludf.DUMMYFUNCTION("""COMPUTED_VALUE"""),2324994.0)</f>
        <v>2324994</v>
      </c>
      <c r="C1735" t="str">
        <f>IFERROR(__xludf.DUMMYFUNCTION("""COMPUTED_VALUE"""),"ISO 31000. Risk manager training")</f>
        <v>ISO 31000. Risk manager training</v>
      </c>
    </row>
    <row r="1736">
      <c r="A1736" s="140" t="str">
        <f>IFERROR(__xludf.DUMMYFUNCTION("""COMPUTED_VALUE"""),"en")</f>
        <v>en</v>
      </c>
      <c r="B1736">
        <f>IFERROR(__xludf.DUMMYFUNCTION("""COMPUTED_VALUE"""),3375072.0)</f>
        <v>3375072</v>
      </c>
      <c r="C1736" t="str">
        <f>IFERROR(__xludf.DUMMYFUNCTION("""COMPUTED_VALUE"""),"BIG-IP Local Traffic Manager(LTM) V13 Training")</f>
        <v>BIG-IP Local Traffic Manager(LTM) V13 Training</v>
      </c>
    </row>
    <row r="1737">
      <c r="A1737" s="140" t="str">
        <f>IFERROR(__xludf.DUMMYFUNCTION("""COMPUTED_VALUE"""),"en")</f>
        <v>en</v>
      </c>
      <c r="B1737">
        <f>IFERROR(__xludf.DUMMYFUNCTION("""COMPUTED_VALUE"""),2728672.0)</f>
        <v>2728672</v>
      </c>
      <c r="C1737" t="str">
        <f>IFERROR(__xludf.DUMMYFUNCTION("""COMPUTED_VALUE"""),"Construction Management: Construction Claims 101 (2 PDUs)")</f>
        <v>Construction Management: Construction Claims 101 (2 PDUs)</v>
      </c>
    </row>
    <row r="1738">
      <c r="A1738" s="140" t="str">
        <f>IFERROR(__xludf.DUMMYFUNCTION("""COMPUTED_VALUE"""),"fr")</f>
        <v>fr</v>
      </c>
      <c r="B1738">
        <f>IFERROR(__xludf.DUMMYFUNCTION("""COMPUTED_VALUE"""),3772410.0)</f>
        <v>3772410</v>
      </c>
      <c r="C1738" t="str">
        <f>IFERROR(__xludf.DUMMYFUNCTION("""COMPUTED_VALUE"""),"TypeScript Pour Tous: L'ultime Formation 2021")</f>
        <v>TypeScript Pour Tous: L'ultime Formation 2021</v>
      </c>
    </row>
    <row r="1739">
      <c r="A1739" s="140" t="str">
        <f>IFERROR(__xludf.DUMMYFUNCTION("""COMPUTED_VALUE"""),"en")</f>
        <v>en</v>
      </c>
      <c r="B1739">
        <f>IFERROR(__xludf.DUMMYFUNCTION("""COMPUTED_VALUE"""),2682556.0)</f>
        <v>2682556</v>
      </c>
      <c r="C1739" t="str">
        <f>IFERROR(__xludf.DUMMYFUNCTION("""COMPUTED_VALUE"""),"The Complete Hiera Course: A Puppet Masterclass")</f>
        <v>The Complete Hiera Course: A Puppet Masterclass</v>
      </c>
    </row>
    <row r="1740">
      <c r="A1740" s="140" t="str">
        <f>IFERROR(__xludf.DUMMYFUNCTION("""COMPUTED_VALUE"""),"en")</f>
        <v>en</v>
      </c>
      <c r="B1740">
        <f>IFERROR(__xludf.DUMMYFUNCTION("""COMPUTED_VALUE"""),573978.0)</f>
        <v>573978</v>
      </c>
      <c r="C1740" t="str">
        <f>IFERROR(__xludf.DUMMYFUNCTION("""COMPUTED_VALUE"""),"Wireshark Tutorial - Get Wireshark Certification")</f>
        <v>Wireshark Tutorial - Get Wireshark Certification</v>
      </c>
    </row>
    <row r="1741">
      <c r="A1741" s="140" t="str">
        <f>IFERROR(__xludf.DUMMYFUNCTION("""COMPUTED_VALUE"""),"en")</f>
        <v>en</v>
      </c>
      <c r="B1741">
        <f>IFERROR(__xludf.DUMMYFUNCTION("""COMPUTED_VALUE"""),1694794.0)</f>
        <v>1694794</v>
      </c>
      <c r="C1741" t="str">
        <f>IFERROR(__xludf.DUMMYFUNCTION("""COMPUTED_VALUE"""),"Cryptography and Hashing Fundamentals in Python and Java")</f>
        <v>Cryptography and Hashing Fundamentals in Python and Java</v>
      </c>
    </row>
    <row r="1742">
      <c r="A1742" s="140" t="str">
        <f>IFERROR(__xludf.DUMMYFUNCTION("""COMPUTED_VALUE"""),"en")</f>
        <v>en</v>
      </c>
      <c r="B1742">
        <f>IFERROR(__xludf.DUMMYFUNCTION("""COMPUTED_VALUE"""),174562.0)</f>
        <v>174562</v>
      </c>
      <c r="C1742" t="str">
        <f>IFERROR(__xludf.DUMMYFUNCTION("""COMPUTED_VALUE"""),"Learn to Play Saxophone: Beginner to Pro in Under Four Hours")</f>
        <v>Learn to Play Saxophone: Beginner to Pro in Under Four Hours</v>
      </c>
    </row>
    <row r="1743">
      <c r="A1743" s="140" t="str">
        <f>IFERROR(__xludf.DUMMYFUNCTION("""COMPUTED_VALUE"""),"ko")</f>
        <v>ko</v>
      </c>
      <c r="B1743">
        <f>IFERROR(__xludf.DUMMYFUNCTION("""COMPUTED_VALUE"""),4290982.0)</f>
        <v>4290982</v>
      </c>
      <c r="C1743" t="str">
        <f>IFERROR(__xludf.DUMMYFUNCTION("""COMPUTED_VALUE"""),"【글로벌 Best강의】 비디오 게임 속 수학 : 게임 개발자로서 수학실력을 키우는 가장 빠른방법 (한글자막)")</f>
        <v>【글로벌 Best강의】 비디오 게임 속 수학 : 게임 개발자로서 수학실력을 키우는 가장 빠른방법 (한글자막)</v>
      </c>
    </row>
    <row r="1744">
      <c r="A1744" s="140" t="str">
        <f>IFERROR(__xludf.DUMMYFUNCTION("""COMPUTED_VALUE"""),"es")</f>
        <v>es</v>
      </c>
      <c r="B1744">
        <f>IFERROR(__xludf.DUMMYFUNCTION("""COMPUTED_VALUE"""),1371564.0)</f>
        <v>1371564</v>
      </c>
      <c r="C1744" t="str">
        <f>IFERROR(__xludf.DUMMYFUNCTION("""COMPUTED_VALUE"""),"Bootcamp de programación de apps Android desde cero con JB")</f>
        <v>Bootcamp de programación de apps Android desde cero con JB</v>
      </c>
    </row>
    <row r="1745">
      <c r="A1745" s="140" t="str">
        <f>IFERROR(__xludf.DUMMYFUNCTION("""COMPUTED_VALUE"""),"en")</f>
        <v>en</v>
      </c>
      <c r="B1745">
        <f>IFERROR(__xludf.DUMMYFUNCTION("""COMPUTED_VALUE"""),2065917.0)</f>
        <v>2065917</v>
      </c>
      <c r="C1745" t="str">
        <f>IFERROR(__xludf.DUMMYFUNCTION("""COMPUTED_VALUE"""),"Fire Safety and Prevention Planning")</f>
        <v>Fire Safety and Prevention Planning</v>
      </c>
    </row>
    <row r="1746">
      <c r="A1746" s="140" t="str">
        <f>IFERROR(__xludf.DUMMYFUNCTION("""COMPUTED_VALUE"""),"en")</f>
        <v>en</v>
      </c>
      <c r="B1746">
        <f>IFERROR(__xludf.DUMMYFUNCTION("""COMPUTED_VALUE"""),58489.0)</f>
        <v>58489</v>
      </c>
      <c r="C1746" t="str">
        <f>IFERROR(__xludf.DUMMYFUNCTION("""COMPUTED_VALUE"""),"Excel 2013")</f>
        <v>Excel 2013</v>
      </c>
    </row>
    <row r="1747">
      <c r="A1747" s="140" t="str">
        <f>IFERROR(__xludf.DUMMYFUNCTION("""COMPUTED_VALUE"""),"de")</f>
        <v>de</v>
      </c>
      <c r="B1747">
        <f>IFERROR(__xludf.DUMMYFUNCTION("""COMPUTED_VALUE"""),2202818.0)</f>
        <v>2202818</v>
      </c>
      <c r="C1747" t="str">
        <f>IFERROR(__xludf.DUMMYFUNCTION("""COMPUTED_VALUE"""),"Der Data Science Guide - Karriere und Jobsuche")</f>
        <v>Der Data Science Guide - Karriere und Jobsuche</v>
      </c>
    </row>
    <row r="1748">
      <c r="A1748" s="140" t="str">
        <f>IFERROR(__xludf.DUMMYFUNCTION("""COMPUTED_VALUE"""),"en")</f>
        <v>en</v>
      </c>
      <c r="B1748">
        <f>IFERROR(__xludf.DUMMYFUNCTION("""COMPUTED_VALUE"""),4146034.0)</f>
        <v>4146034</v>
      </c>
      <c r="C1748" t="str">
        <f>IFERROR(__xludf.DUMMYFUNCTION("""COMPUTED_VALUE"""),"PCI DSS Compliance : The A-Z™ Information Security Course")</f>
        <v>PCI DSS Compliance : The A-Z™ Information Security Course</v>
      </c>
    </row>
    <row r="1749">
      <c r="A1749" s="140" t="str">
        <f>IFERROR(__xludf.DUMMYFUNCTION("""COMPUTED_VALUE"""),"ja")</f>
        <v>ja</v>
      </c>
      <c r="B1749">
        <f>IFERROR(__xludf.DUMMYFUNCTION("""COMPUTED_VALUE"""),3214357.0)</f>
        <v>3214357</v>
      </c>
      <c r="C1749" t="str">
        <f>IFERROR(__xludf.DUMMYFUNCTION("""COMPUTED_VALUE"""),"Webライティング基礎講座｜現役Webライターが教える100分集中コース")</f>
        <v>Webライティング基礎講座｜現役Webライターが教える100分集中コース</v>
      </c>
    </row>
    <row r="1750">
      <c r="A1750" s="140" t="str">
        <f>IFERROR(__xludf.DUMMYFUNCTION("""COMPUTED_VALUE"""),"en")</f>
        <v>en</v>
      </c>
      <c r="B1750">
        <f>IFERROR(__xludf.DUMMYFUNCTION("""COMPUTED_VALUE"""),2551957.0)</f>
        <v>2551957</v>
      </c>
      <c r="C1750" t="str">
        <f>IFERROR(__xludf.DUMMYFUNCTION("""COMPUTED_VALUE"""),"Siemens NX 1847 - Essential Training")</f>
        <v>Siemens NX 1847 - Essential Training</v>
      </c>
    </row>
    <row r="1751">
      <c r="A1751" s="140" t="str">
        <f>IFERROR(__xludf.DUMMYFUNCTION("""COMPUTED_VALUE"""),"es")</f>
        <v>es</v>
      </c>
      <c r="B1751">
        <f>IFERROR(__xludf.DUMMYFUNCTION("""COMPUTED_VALUE"""),2219690.0)</f>
        <v>2219690</v>
      </c>
      <c r="C1751" t="str">
        <f>IFERROR(__xludf.DUMMYFUNCTION("""COMPUTED_VALUE"""),"Inglés Técnico para Contadores: Vocabulario Esencial")</f>
        <v>Inglés Técnico para Contadores: Vocabulario Esencial</v>
      </c>
    </row>
    <row r="1752">
      <c r="A1752" s="140" t="str">
        <f>IFERROR(__xludf.DUMMYFUNCTION("""COMPUTED_VALUE"""),"de")</f>
        <v>de</v>
      </c>
      <c r="B1752">
        <f>IFERROR(__xludf.DUMMYFUNCTION("""COMPUTED_VALUE"""),2370506.0)</f>
        <v>2370506</v>
      </c>
      <c r="C1752" t="str">
        <f>IFERROR(__xludf.DUMMYFUNCTION("""COMPUTED_VALUE"""),"Entwickle Berichte in SQL Server Reporting Services (SSRS)")</f>
        <v>Entwickle Berichte in SQL Server Reporting Services (SSRS)</v>
      </c>
    </row>
    <row r="1753">
      <c r="A1753" s="140" t="str">
        <f>IFERROR(__xludf.DUMMYFUNCTION("""COMPUTED_VALUE"""),"en")</f>
        <v>en</v>
      </c>
      <c r="B1753">
        <f>IFERROR(__xludf.DUMMYFUNCTION("""COMPUTED_VALUE"""),696616.0)</f>
        <v>696616</v>
      </c>
      <c r="C1753" t="str">
        <f>IFERROR(__xludf.DUMMYFUNCTION("""COMPUTED_VALUE"""),"Stock Trading &amp; Investing for Beginners 4-in-1 Course Bundle")</f>
        <v>Stock Trading &amp; Investing for Beginners 4-in-1 Course Bundle</v>
      </c>
    </row>
    <row r="1754">
      <c r="A1754" s="140" t="str">
        <f>IFERROR(__xludf.DUMMYFUNCTION("""COMPUTED_VALUE"""),"pt")</f>
        <v>pt</v>
      </c>
      <c r="B1754">
        <f>IFERROR(__xludf.DUMMYFUNCTION("""COMPUTED_VALUE"""),1958442.0)</f>
        <v>1958442</v>
      </c>
      <c r="C1754" t="str">
        <f>IFERROR(__xludf.DUMMYFUNCTION("""COMPUTED_VALUE"""),"Gestão de Marketing | Atualizado |")</f>
        <v>Gestão de Marketing | Atualizado |</v>
      </c>
    </row>
    <row r="1755">
      <c r="A1755" s="140" t="str">
        <f>IFERROR(__xludf.DUMMYFUNCTION("""COMPUTED_VALUE"""),"en")</f>
        <v>en</v>
      </c>
      <c r="B1755">
        <f>IFERROR(__xludf.DUMMYFUNCTION("""COMPUTED_VALUE"""),4144670.0)</f>
        <v>4144670</v>
      </c>
      <c r="C1755" t="str">
        <f>IFERROR(__xludf.DUMMYFUNCTION("""COMPUTED_VALUE"""),"How to Build and Implement a Winning Pricing Strategy")</f>
        <v>How to Build and Implement a Winning Pricing Strategy</v>
      </c>
    </row>
    <row r="1756">
      <c r="A1756" s="140" t="str">
        <f>IFERROR(__xludf.DUMMYFUNCTION("""COMPUTED_VALUE"""),"ja")</f>
        <v>ja</v>
      </c>
      <c r="B1756">
        <f>IFERROR(__xludf.DUMMYFUNCTION("""COMPUTED_VALUE"""),4314702.0)</f>
        <v>4314702</v>
      </c>
      <c r="C1756" t="str">
        <f>IFERROR(__xludf.DUMMYFUNCTION("""COMPUTED_VALUE"""),"【DX人材への第一歩を踏み出そう】データ分析/データリテラシーの基礎教養マスターコース（グローバルで活躍する講師が解説）")</f>
        <v>【DX人材への第一歩を踏み出そう】データ分析/データリテラシーの基礎教養マスターコース（グローバルで活躍する講師が解説）</v>
      </c>
    </row>
    <row r="1757">
      <c r="A1757" s="140" t="str">
        <f>IFERROR(__xludf.DUMMYFUNCTION("""COMPUTED_VALUE"""),"en")</f>
        <v>en</v>
      </c>
      <c r="B1757">
        <f>IFERROR(__xludf.DUMMYFUNCTION("""COMPUTED_VALUE"""),1683618.0)</f>
        <v>1683618</v>
      </c>
      <c r="C1757" t="str">
        <f>IFERROR(__xludf.DUMMYFUNCTION("""COMPUTED_VALUE"""),"Qt 5 C++ GUI Development For Beginners : The Fundamentals")</f>
        <v>Qt 5 C++ GUI Development For Beginners : The Fundamentals</v>
      </c>
    </row>
    <row r="1758">
      <c r="A1758" s="140" t="str">
        <f>IFERROR(__xludf.DUMMYFUNCTION("""COMPUTED_VALUE"""),"en")</f>
        <v>en</v>
      </c>
      <c r="B1758">
        <f>IFERROR(__xludf.DUMMYFUNCTION("""COMPUTED_VALUE"""),1070530.0)</f>
        <v>1070530</v>
      </c>
      <c r="C1758" t="str">
        <f>IFERROR(__xludf.DUMMYFUNCTION("""COMPUTED_VALUE"""),"Salesforce Certified Administrator Training (Dec 2021)")</f>
        <v>Salesforce Certified Administrator Training (Dec 2021)</v>
      </c>
    </row>
    <row r="1759">
      <c r="A1759" s="140" t="str">
        <f>IFERROR(__xludf.DUMMYFUNCTION("""COMPUTED_VALUE"""),"en")</f>
        <v>en</v>
      </c>
      <c r="B1759">
        <f>IFERROR(__xludf.DUMMYFUNCTION("""COMPUTED_VALUE"""),1317490.0)</f>
        <v>1317490</v>
      </c>
      <c r="C1759" t="str">
        <f>IFERROR(__xludf.DUMMYFUNCTION("""COMPUTED_VALUE"""),"GNS3 &amp; Packet Tracer Quick Start Guides (vs VIRL &amp; Physical)")</f>
        <v>GNS3 &amp; Packet Tracer Quick Start Guides (vs VIRL &amp; Physical)</v>
      </c>
    </row>
    <row r="1760">
      <c r="A1760" s="140" t="str">
        <f>IFERROR(__xludf.DUMMYFUNCTION("""COMPUTED_VALUE"""),"de")</f>
        <v>de</v>
      </c>
      <c r="B1760">
        <f>IFERROR(__xludf.DUMMYFUNCTION("""COMPUTED_VALUE"""),2476760.0)</f>
        <v>2476760</v>
      </c>
      <c r="C1760" t="str">
        <f>IFERROR(__xludf.DUMMYFUNCTION("""COMPUTED_VALUE"""),"Statistik mit R")</f>
        <v>Statistik mit R</v>
      </c>
    </row>
    <row r="1761">
      <c r="A1761" s="140" t="str">
        <f>IFERROR(__xludf.DUMMYFUNCTION("""COMPUTED_VALUE"""),"ja")</f>
        <v>ja</v>
      </c>
      <c r="B1761">
        <f>IFERROR(__xludf.DUMMYFUNCTION("""COMPUTED_VALUE"""),1043496.0)</f>
        <v>1043496</v>
      </c>
      <c r="C1761" t="str">
        <f>IFERROR(__xludf.DUMMYFUNCTION("""COMPUTED_VALUE"""),"はじめてのJavaScriptプログラミング入門講座【2021年リニューアル・ES2015以降へ対応】")</f>
        <v>はじめてのJavaScriptプログラミング入門講座【2021年リニューアル・ES2015以降へ対応】</v>
      </c>
    </row>
    <row r="1762">
      <c r="A1762" s="140" t="str">
        <f>IFERROR(__xludf.DUMMYFUNCTION("""COMPUTED_VALUE"""),"pt")</f>
        <v>pt</v>
      </c>
      <c r="B1762">
        <f>IFERROR(__xludf.DUMMYFUNCTION("""COMPUTED_VALUE"""),1694986.0)</f>
        <v>1694986</v>
      </c>
      <c r="C1762" t="str">
        <f>IFERROR(__xludf.DUMMYFUNCTION("""COMPUTED_VALUE"""),"Ruby on Rails 5.x - Do início ao fim!")</f>
        <v>Ruby on Rails 5.x - Do início ao fim!</v>
      </c>
    </row>
    <row r="1763">
      <c r="A1763" s="140" t="str">
        <f>IFERROR(__xludf.DUMMYFUNCTION("""COMPUTED_VALUE"""),"en")</f>
        <v>en</v>
      </c>
      <c r="B1763">
        <f>IFERROR(__xludf.DUMMYFUNCTION("""COMPUTED_VALUE"""),2058749.0)</f>
        <v>2058749</v>
      </c>
      <c r="C1763" t="str">
        <f>IFERROR(__xludf.DUMMYFUNCTION("""COMPUTED_VALUE"""),"Learn Azure step by step.")</f>
        <v>Learn Azure step by step.</v>
      </c>
    </row>
    <row r="1764">
      <c r="A1764" s="140" t="str">
        <f>IFERROR(__xludf.DUMMYFUNCTION("""COMPUTED_VALUE"""),"en")</f>
        <v>en</v>
      </c>
      <c r="B1764">
        <f>IFERROR(__xludf.DUMMYFUNCTION("""COMPUTED_VALUE"""),1362884.0)</f>
        <v>1362884</v>
      </c>
      <c r="C1764" t="str">
        <f>IFERROR(__xludf.DUMMYFUNCTION("""COMPUTED_VALUE"""),"Build Real World App In Xamarin Forms")</f>
        <v>Build Real World App In Xamarin Forms</v>
      </c>
    </row>
    <row r="1765">
      <c r="A1765" s="140" t="str">
        <f>IFERROR(__xludf.DUMMYFUNCTION("""COMPUTED_VALUE"""),"ar")</f>
        <v>ar</v>
      </c>
      <c r="B1765">
        <f>IFERROR(__xludf.DUMMYFUNCTION("""COMPUTED_VALUE"""),3478926.0)</f>
        <v>3478926</v>
      </c>
      <c r="C1765" t="str">
        <f>IFERROR(__xludf.DUMMYFUNCTION("""COMPUTED_VALUE"""),"ISO 9001:2015 المتطلبات و التطبيق العملي للمواصفة القياسية")</f>
        <v>ISO 9001:2015 المتطلبات و التطبيق العملي للمواصفة القياسية</v>
      </c>
    </row>
    <row r="1766">
      <c r="A1766" s="140" t="str">
        <f>IFERROR(__xludf.DUMMYFUNCTION("""COMPUTED_VALUE"""),"en")</f>
        <v>en</v>
      </c>
      <c r="B1766">
        <f>IFERROR(__xludf.DUMMYFUNCTION("""COMPUTED_VALUE"""),2290167.0)</f>
        <v>2290167</v>
      </c>
      <c r="C1766" t="str">
        <f>IFERROR(__xludf.DUMMYFUNCTION("""COMPUTED_VALUE"""),"AZ-104 Exam Prep: Microsoft Azure Administrator")</f>
        <v>AZ-104 Exam Prep: Microsoft Azure Administrator</v>
      </c>
    </row>
    <row r="1767">
      <c r="A1767" s="140" t="str">
        <f>IFERROR(__xludf.DUMMYFUNCTION("""COMPUTED_VALUE"""),"en")</f>
        <v>en</v>
      </c>
      <c r="B1767">
        <f>IFERROR(__xludf.DUMMYFUNCTION("""COMPUTED_VALUE"""),2745704.0)</f>
        <v>2745704</v>
      </c>
      <c r="C1767" t="str">
        <f>IFERROR(__xludf.DUMMYFUNCTION("""COMPUTED_VALUE"""),"Solar and Home Energy Storage, NV14")</f>
        <v>Solar and Home Energy Storage, NV14</v>
      </c>
    </row>
    <row r="1768">
      <c r="A1768" s="140" t="str">
        <f>IFERROR(__xludf.DUMMYFUNCTION("""COMPUTED_VALUE"""),"tr")</f>
        <v>tr</v>
      </c>
      <c r="B1768">
        <f>IFERROR(__xludf.DUMMYFUNCTION("""COMPUTED_VALUE"""),1883758.0)</f>
        <v>1883758</v>
      </c>
      <c r="C1768" t="str">
        <f>IFERROR(__xludf.DUMMYFUNCTION("""COMPUTED_VALUE"""),"Profesyonel Koçluk (Yaşam Koçluğu) Kursu-Modül A-Sertifikalı")</f>
        <v>Profesyonel Koçluk (Yaşam Koçluğu) Kursu-Modül A-Sertifikalı</v>
      </c>
    </row>
    <row r="1769">
      <c r="A1769" s="140" t="str">
        <f>IFERROR(__xludf.DUMMYFUNCTION("""COMPUTED_VALUE"""),"ja")</f>
        <v>ja</v>
      </c>
      <c r="B1769">
        <f>IFERROR(__xludf.DUMMYFUNCTION("""COMPUTED_VALUE"""),2610520.0)</f>
        <v>2610520</v>
      </c>
      <c r="C1769" t="str">
        <f>IFERROR(__xludf.DUMMYFUNCTION("""COMPUTED_VALUE"""),"【データサイエンス×ビジネスコミュニケーション】現役データサイエンティストが教える「伝えて動かすデータ分析」")</f>
        <v>【データサイエンス×ビジネスコミュニケーション】現役データサイエンティストが教える「伝えて動かすデータ分析」</v>
      </c>
    </row>
    <row r="1770">
      <c r="A1770" s="140" t="str">
        <f>IFERROR(__xludf.DUMMYFUNCTION("""COMPUTED_VALUE"""),"en")</f>
        <v>en</v>
      </c>
      <c r="B1770">
        <f>IFERROR(__xludf.DUMMYFUNCTION("""COMPUTED_VALUE"""),64422.0)</f>
        <v>64422</v>
      </c>
      <c r="C1770" t="str">
        <f>IFERROR(__xludf.DUMMYFUNCTION("""COMPUTED_VALUE"""),"1 Hour HTML")</f>
        <v>1 Hour HTML</v>
      </c>
    </row>
    <row r="1771">
      <c r="A1771" s="140" t="str">
        <f>IFERROR(__xludf.DUMMYFUNCTION("""COMPUTED_VALUE"""),"en")</f>
        <v>en</v>
      </c>
      <c r="B1771">
        <f>IFERROR(__xludf.DUMMYFUNCTION("""COMPUTED_VALUE"""),886058.0)</f>
        <v>886058</v>
      </c>
      <c r="C1771" t="str">
        <f>IFERROR(__xludf.DUMMYFUNCTION("""COMPUTED_VALUE"""),"From 0 to 1: The Cassandra Distributed Database")</f>
        <v>From 0 to 1: The Cassandra Distributed Database</v>
      </c>
    </row>
    <row r="1772">
      <c r="A1772" s="140" t="str">
        <f>IFERROR(__xludf.DUMMYFUNCTION("""COMPUTED_VALUE"""),"de")</f>
        <v>de</v>
      </c>
      <c r="B1772">
        <f>IFERROR(__xludf.DUMMYFUNCTION("""COMPUTED_VALUE"""),1318134.0)</f>
        <v>1318134</v>
      </c>
      <c r="C1772" t="str">
        <f>IFERROR(__xludf.DUMMYFUNCTION("""COMPUTED_VALUE"""),"Produktivität: Der etwas andere Produktivitätskurs")</f>
        <v>Produktivität: Der etwas andere Produktivitätskurs</v>
      </c>
    </row>
    <row r="1773">
      <c r="A1773" s="140" t="str">
        <f>IFERROR(__xludf.DUMMYFUNCTION("""COMPUTED_VALUE"""),"en")</f>
        <v>en</v>
      </c>
      <c r="B1773">
        <f>IFERROR(__xludf.DUMMYFUNCTION("""COMPUTED_VALUE"""),496208.0)</f>
        <v>496208</v>
      </c>
      <c r="C1773" t="str">
        <f>IFERROR(__xludf.DUMMYFUNCTION("""COMPUTED_VALUE"""),"HIPAA Workforce Basics")</f>
        <v>HIPAA Workforce Basics</v>
      </c>
    </row>
    <row r="1774">
      <c r="A1774" s="140" t="str">
        <f>IFERROR(__xludf.DUMMYFUNCTION("""COMPUTED_VALUE"""),"de")</f>
        <v>de</v>
      </c>
      <c r="B1774">
        <f>IFERROR(__xludf.DUMMYFUNCTION("""COMPUTED_VALUE"""),2057605.0)</f>
        <v>2057605</v>
      </c>
      <c r="C1774" t="str">
        <f>IFERROR(__xludf.DUMMYFUNCTION("""COMPUTED_VALUE"""),"Windows zu Linux Mint - Desktop-Anwender Umsteiger Training")</f>
        <v>Windows zu Linux Mint - Desktop-Anwender Umsteiger Training</v>
      </c>
    </row>
    <row r="1775">
      <c r="A1775" s="140" t="str">
        <f>IFERROR(__xludf.DUMMYFUNCTION("""COMPUTED_VALUE"""),"ar")</f>
        <v>ar</v>
      </c>
      <c r="B1775">
        <f>IFERROR(__xludf.DUMMYFUNCTION("""COMPUTED_VALUE"""),1184200.0)</f>
        <v>1184200</v>
      </c>
      <c r="C1775" t="str">
        <f>IFERROR(__xludf.DUMMYFUNCTION("""COMPUTED_VALUE"""),"تصميم وجهات التطبيقات للجوال و المواقع (Adobe XD )")</f>
        <v>تصميم وجهات التطبيقات للجوال و المواقع (Adobe XD )</v>
      </c>
    </row>
    <row r="1776">
      <c r="A1776" s="140" t="str">
        <f>IFERROR(__xludf.DUMMYFUNCTION("""COMPUTED_VALUE"""),"es")</f>
        <v>es</v>
      </c>
      <c r="B1776">
        <f>IFERROR(__xludf.DUMMYFUNCTION("""COMPUTED_VALUE"""),2994714.0)</f>
        <v>2994714</v>
      </c>
      <c r="C1776" t="str">
        <f>IFERROR(__xludf.DUMMYFUNCTION("""COMPUTED_VALUE"""),"Copywriting: textos efectivos para Marketing Online")</f>
        <v>Copywriting: textos efectivos para Marketing Online</v>
      </c>
    </row>
    <row r="1777">
      <c r="A1777" s="140" t="str">
        <f>IFERROR(__xludf.DUMMYFUNCTION("""COMPUTED_VALUE"""),"pt")</f>
        <v>pt</v>
      </c>
      <c r="B1777">
        <f>IFERROR(__xludf.DUMMYFUNCTION("""COMPUTED_VALUE"""),1654366.0)</f>
        <v>1654366</v>
      </c>
      <c r="C1777" t="str">
        <f>IFERROR(__xludf.DUMMYFUNCTION("""COMPUTED_VALUE"""),"Curso Completo de Instagram Marketing")</f>
        <v>Curso Completo de Instagram Marketing</v>
      </c>
    </row>
    <row r="1778">
      <c r="A1778" s="140" t="str">
        <f>IFERROR(__xludf.DUMMYFUNCTION("""COMPUTED_VALUE"""),"fr")</f>
        <v>fr</v>
      </c>
      <c r="B1778">
        <f>IFERROR(__xludf.DUMMYFUNCTION("""COMPUTED_VALUE"""),1611166.0)</f>
        <v>1611166</v>
      </c>
      <c r="C1778" t="str">
        <f>IFERROR(__xludf.DUMMYFUNCTION("""COMPUTED_VALUE"""),"Créez votre premier robot Forex sur MetaTrader 4 avec MQL4 !")</f>
        <v>Créez votre premier robot Forex sur MetaTrader 4 avec MQL4 !</v>
      </c>
    </row>
    <row r="1779">
      <c r="A1779" s="140" t="str">
        <f>IFERROR(__xludf.DUMMYFUNCTION("""COMPUTED_VALUE"""),"de")</f>
        <v>de</v>
      </c>
      <c r="B1779">
        <f>IFERROR(__xludf.DUMMYFUNCTION("""COMPUTED_VALUE"""),1692906.0)</f>
        <v>1692906</v>
      </c>
      <c r="C1779" t="str">
        <f>IFERROR(__xludf.DUMMYFUNCTION("""COMPUTED_VALUE"""),"Die praxisnahe BPMN 2.0 Masterclass")</f>
        <v>Die praxisnahe BPMN 2.0 Masterclass</v>
      </c>
    </row>
    <row r="1780">
      <c r="A1780" s="140" t="str">
        <f>IFERROR(__xludf.DUMMYFUNCTION("""COMPUTED_VALUE"""),"en")</f>
        <v>en</v>
      </c>
      <c r="B1780">
        <f>IFERROR(__xludf.DUMMYFUNCTION("""COMPUTED_VALUE"""),3629942.0)</f>
        <v>3629942</v>
      </c>
      <c r="C1780" t="str">
        <f>IFERROR(__xludf.DUMMYFUNCTION("""COMPUTED_VALUE"""),"Drawing Academy - Creative Drawing, Illustration &amp; Sketching")</f>
        <v>Drawing Academy - Creative Drawing, Illustration &amp; Sketching</v>
      </c>
    </row>
    <row r="1781">
      <c r="A1781" s="140" t="str">
        <f>IFERROR(__xludf.DUMMYFUNCTION("""COMPUTED_VALUE"""),"tr")</f>
        <v>tr</v>
      </c>
      <c r="B1781">
        <f>IFERROR(__xludf.DUMMYFUNCTION("""COMPUTED_VALUE"""),2554375.0)</f>
        <v>2554375</v>
      </c>
      <c r="C1781" t="str">
        <f>IFERROR(__xludf.DUMMYFUNCTION("""COMPUTED_VALUE"""),"ALMANCA ÖĞRENİYORUM A2 KONU ANLATIMI")</f>
        <v>ALMANCA ÖĞRENİYORUM A2 KONU ANLATIMI</v>
      </c>
    </row>
    <row r="1782">
      <c r="A1782" s="140" t="str">
        <f>IFERROR(__xludf.DUMMYFUNCTION("""COMPUTED_VALUE"""),"en")</f>
        <v>en</v>
      </c>
      <c r="B1782">
        <f>IFERROR(__xludf.DUMMYFUNCTION("""COMPUTED_VALUE"""),719318.0)</f>
        <v>719318</v>
      </c>
      <c r="C1782" t="str">
        <f>IFERROR(__xludf.DUMMYFUNCTION("""COMPUTED_VALUE"""),"AutoCAD 2D and 3D practice drawings")</f>
        <v>AutoCAD 2D and 3D practice drawings</v>
      </c>
    </row>
    <row r="1783">
      <c r="A1783" s="140" t="str">
        <f>IFERROR(__xludf.DUMMYFUNCTION("""COMPUTED_VALUE"""),"en")</f>
        <v>en</v>
      </c>
      <c r="B1783">
        <f>IFERROR(__xludf.DUMMYFUNCTION("""COMPUTED_VALUE"""),548078.0)</f>
        <v>548078</v>
      </c>
      <c r="C1783" t="str">
        <f>IFERROR(__xludf.DUMMYFUNCTION("""COMPUTED_VALUE"""),"XML and XML Schema Definition in Easy Steps")</f>
        <v>XML and XML Schema Definition in Easy Steps</v>
      </c>
    </row>
    <row r="1784">
      <c r="A1784" s="140" t="str">
        <f>IFERROR(__xludf.DUMMYFUNCTION("""COMPUTED_VALUE"""),"en")</f>
        <v>en</v>
      </c>
      <c r="B1784">
        <f>IFERROR(__xludf.DUMMYFUNCTION("""COMPUTED_VALUE"""),732464.0)</f>
        <v>732464</v>
      </c>
      <c r="C1784" t="str">
        <f>IFERROR(__xludf.DUMMYFUNCTION("""COMPUTED_VALUE"""),"Spring MVC For Beginners - Build Java Web App in 25 Steps")</f>
        <v>Spring MVC For Beginners - Build Java Web App in 25 Steps</v>
      </c>
    </row>
    <row r="1785">
      <c r="A1785" s="140" t="str">
        <f>IFERROR(__xludf.DUMMYFUNCTION("""COMPUTED_VALUE"""),"en")</f>
        <v>en</v>
      </c>
      <c r="B1785">
        <f>IFERROR(__xludf.DUMMYFUNCTION("""COMPUTED_VALUE"""),3533934.0)</f>
        <v>3533934</v>
      </c>
      <c r="C1785" t="str">
        <f>IFERROR(__xludf.DUMMYFUNCTION("""COMPUTED_VALUE"""),"SAP Cloud Platform Integration Certification C_CPI_13")</f>
        <v>SAP Cloud Platform Integration Certification C_CPI_13</v>
      </c>
    </row>
    <row r="1786">
      <c r="A1786" s="140" t="str">
        <f>IFERROR(__xludf.DUMMYFUNCTION("""COMPUTED_VALUE"""),"en")</f>
        <v>en</v>
      </c>
      <c r="B1786">
        <f>IFERROR(__xludf.DUMMYFUNCTION("""COMPUTED_VALUE"""),3616668.0)</f>
        <v>3616668</v>
      </c>
      <c r="C1786" t="str">
        <f>IFERROR(__xludf.DUMMYFUNCTION("""COMPUTED_VALUE"""),"The Definitive CompTIA Certified Technical Trainer (CTT+)")</f>
        <v>The Definitive CompTIA Certified Technical Trainer (CTT+)</v>
      </c>
    </row>
    <row r="1787">
      <c r="A1787" s="140" t="str">
        <f>IFERROR(__xludf.DUMMYFUNCTION("""COMPUTED_VALUE"""),"en")</f>
        <v>en</v>
      </c>
      <c r="B1787">
        <f>IFERROR(__xludf.DUMMYFUNCTION("""COMPUTED_VALUE"""),1237876.0)</f>
        <v>1237876</v>
      </c>
      <c r="C1787" t="str">
        <f>IFERROR(__xludf.DUMMYFUNCTION("""COMPUTED_VALUE"""),"Clear and Simple VMware vSphere 6.5 Foundations VCP - Part 1")</f>
        <v>Clear and Simple VMware vSphere 6.5 Foundations VCP - Part 1</v>
      </c>
    </row>
    <row r="1788">
      <c r="A1788" s="140" t="str">
        <f>IFERROR(__xludf.DUMMYFUNCTION("""COMPUTED_VALUE"""),"es")</f>
        <v>es</v>
      </c>
      <c r="B1788">
        <f>IFERROR(__xludf.DUMMYFUNCTION("""COMPUTED_VALUE"""),1235528.0)</f>
        <v>1235528</v>
      </c>
      <c r="C1788" t="str">
        <f>IFERROR(__xludf.DUMMYFUNCTION("""COMPUTED_VALUE"""),"Análisis y Visualización de Datos con Tableau")</f>
        <v>Análisis y Visualización de Datos con Tableau</v>
      </c>
    </row>
    <row r="1789">
      <c r="A1789" s="140" t="str">
        <f>IFERROR(__xludf.DUMMYFUNCTION("""COMPUTED_VALUE"""),"en")</f>
        <v>en</v>
      </c>
      <c r="B1789">
        <f>IFERROR(__xludf.DUMMYFUNCTION("""COMPUTED_VALUE"""),3131540.0)</f>
        <v>3131540</v>
      </c>
      <c r="C1789" t="str">
        <f>IFERROR(__xludf.DUMMYFUNCTION("""COMPUTED_VALUE"""),"Electron From Scratch: Build Desktop Apps With JavaScript")</f>
        <v>Electron From Scratch: Build Desktop Apps With JavaScript</v>
      </c>
    </row>
    <row r="1790">
      <c r="A1790" s="140" t="str">
        <f>IFERROR(__xludf.DUMMYFUNCTION("""COMPUTED_VALUE"""),"zh")</f>
        <v>zh</v>
      </c>
      <c r="B1790">
        <f>IFERROR(__xludf.DUMMYFUNCTION("""COMPUTED_VALUE"""),1965164.0)</f>
        <v>1965164</v>
      </c>
      <c r="C1790" t="str">
        <f>IFERROR(__xludf.DUMMYFUNCTION("""COMPUTED_VALUE"""),"Python Web之Flask框架：老程序员手把手带您完成一个【网上商城】Web项目")</f>
        <v>Python Web之Flask框架：老程序员手把手带您完成一个【网上商城】Web项目</v>
      </c>
    </row>
    <row r="1791">
      <c r="A1791" s="140" t="str">
        <f>IFERROR(__xludf.DUMMYFUNCTION("""COMPUTED_VALUE"""),"en")</f>
        <v>en</v>
      </c>
      <c r="B1791">
        <f>IFERROR(__xludf.DUMMYFUNCTION("""COMPUTED_VALUE"""),1343682.0)</f>
        <v>1343682</v>
      </c>
      <c r="C1791" t="str">
        <f>IFERROR(__xludf.DUMMYFUNCTION("""COMPUTED_VALUE"""),"Foundation of Embedded Systems with ARM Cortex and STM32")</f>
        <v>Foundation of Embedded Systems with ARM Cortex and STM32</v>
      </c>
    </row>
    <row r="1792">
      <c r="A1792" s="140" t="str">
        <f>IFERROR(__xludf.DUMMYFUNCTION("""COMPUTED_VALUE"""),"en")</f>
        <v>en</v>
      </c>
      <c r="B1792">
        <f>IFERROR(__xludf.DUMMYFUNCTION("""COMPUTED_VALUE"""),2352726.0)</f>
        <v>2352726</v>
      </c>
      <c r="C1792" t="str">
        <f>IFERROR(__xludf.DUMMYFUNCTION("""COMPUTED_VALUE"""),"The Ultimate Animal Drawing Course - beginner to advanced")</f>
        <v>The Ultimate Animal Drawing Course - beginner to advanced</v>
      </c>
    </row>
    <row r="1793">
      <c r="A1793" s="140" t="str">
        <f>IFERROR(__xludf.DUMMYFUNCTION("""COMPUTED_VALUE"""),"de")</f>
        <v>de</v>
      </c>
      <c r="B1793">
        <f>IFERROR(__xludf.DUMMYFUNCTION("""COMPUTED_VALUE"""),1611640.0)</f>
        <v>1611640</v>
      </c>
      <c r="C1793" t="str">
        <f>IFERROR(__xludf.DUMMYFUNCTION("""COMPUTED_VALUE"""),"Adobe Illustrator CC Masterclass — Vom Anfänger zum Profi")</f>
        <v>Adobe Illustrator CC Masterclass — Vom Anfänger zum Profi</v>
      </c>
    </row>
    <row r="1794">
      <c r="A1794" s="140" t="str">
        <f>IFERROR(__xludf.DUMMYFUNCTION("""COMPUTED_VALUE"""),"ja")</f>
        <v>ja</v>
      </c>
      <c r="B1794">
        <f>IFERROR(__xludf.DUMMYFUNCTION("""COMPUTED_VALUE"""),2564968.0)</f>
        <v>2564968</v>
      </c>
      <c r="C1794" t="str">
        <f>IFERROR(__xludf.DUMMYFUNCTION("""COMPUTED_VALUE"""),"組織を動かす！今日からはじめるデータ分析の『超』基本")</f>
        <v>組織を動かす！今日からはじめるデータ分析の『超』基本</v>
      </c>
    </row>
    <row r="1795">
      <c r="A1795" s="140" t="str">
        <f>IFERROR(__xludf.DUMMYFUNCTION("""COMPUTED_VALUE"""),"en")</f>
        <v>en</v>
      </c>
      <c r="B1795">
        <f>IFERROR(__xludf.DUMMYFUNCTION("""COMPUTED_VALUE"""),2914816.0)</f>
        <v>2914816</v>
      </c>
      <c r="C1795" t="str">
        <f>IFERROR(__xludf.DUMMYFUNCTION("""COMPUTED_VALUE"""),"Internal Audit: A Guide for Management")</f>
        <v>Internal Audit: A Guide for Management</v>
      </c>
    </row>
    <row r="1796">
      <c r="A1796" s="140" t="str">
        <f>IFERROR(__xludf.DUMMYFUNCTION("""COMPUTED_VALUE"""),"en")</f>
        <v>en</v>
      </c>
      <c r="B1796">
        <f>IFERROR(__xludf.DUMMYFUNCTION("""COMPUTED_VALUE"""),3212235.0)</f>
        <v>3212235</v>
      </c>
      <c r="C1796" t="str">
        <f>IFERROR(__xludf.DUMMYFUNCTION("""COMPUTED_VALUE"""),"The Complete Salesforce Development Course")</f>
        <v>The Complete Salesforce Development Course</v>
      </c>
    </row>
    <row r="1797">
      <c r="A1797" s="140" t="str">
        <f>IFERROR(__xludf.DUMMYFUNCTION("""COMPUTED_VALUE"""),"en")</f>
        <v>en</v>
      </c>
      <c r="B1797">
        <f>IFERROR(__xludf.DUMMYFUNCTION("""COMPUTED_VALUE"""),753174.0)</f>
        <v>753174</v>
      </c>
      <c r="C1797" t="str">
        <f>IFERROR(__xludf.DUMMYFUNCTION("""COMPUTED_VALUE"""),"Advanced SQL : SQL Expert Certification Preparation Course")</f>
        <v>Advanced SQL : SQL Expert Certification Preparation Course</v>
      </c>
    </row>
    <row r="1798">
      <c r="A1798" s="140" t="str">
        <f>IFERROR(__xludf.DUMMYFUNCTION("""COMPUTED_VALUE"""),"en")</f>
        <v>en</v>
      </c>
      <c r="B1798">
        <f>IFERROR(__xludf.DUMMYFUNCTION("""COMPUTED_VALUE"""),2109852.0)</f>
        <v>2109852</v>
      </c>
      <c r="C1798" t="str">
        <f>IFERROR(__xludf.DUMMYFUNCTION("""COMPUTED_VALUE"""),"Tableau 2019 + Tableau 2018: Tableau DS Certification")</f>
        <v>Tableau 2019 + Tableau 2018: Tableau DS Certification</v>
      </c>
    </row>
    <row r="1799">
      <c r="A1799" s="140" t="str">
        <f>IFERROR(__xludf.DUMMYFUNCTION("""COMPUTED_VALUE"""),"en")</f>
        <v>en</v>
      </c>
      <c r="B1799">
        <f>IFERROR(__xludf.DUMMYFUNCTION("""COMPUTED_VALUE"""),779488.0)</f>
        <v>779488</v>
      </c>
      <c r="C1799" t="str">
        <f>IFERROR(__xludf.DUMMYFUNCTION("""COMPUTED_VALUE"""),"R Data Pre-Processing &amp; Data Management - Shape your Data!")</f>
        <v>R Data Pre-Processing &amp; Data Management - Shape your Data!</v>
      </c>
    </row>
    <row r="1800">
      <c r="A1800" s="140" t="str">
        <f>IFERROR(__xludf.DUMMYFUNCTION("""COMPUTED_VALUE"""),"en")</f>
        <v>en</v>
      </c>
      <c r="B1800">
        <f>IFERROR(__xludf.DUMMYFUNCTION("""COMPUTED_VALUE"""),572338.0)</f>
        <v>572338</v>
      </c>
      <c r="C1800" t="str">
        <f>IFERROR(__xludf.DUMMYFUNCTION("""COMPUTED_VALUE"""),"Make 5 Android Apps in 1 Hour No Coding  With App Inventor 2")</f>
        <v>Make 5 Android Apps in 1 Hour No Coding  With App Inventor 2</v>
      </c>
    </row>
    <row r="1801">
      <c r="A1801" s="140" t="str">
        <f>IFERROR(__xludf.DUMMYFUNCTION("""COMPUTED_VALUE"""),"en")</f>
        <v>en</v>
      </c>
      <c r="B1801">
        <f>IFERROR(__xludf.DUMMYFUNCTION("""COMPUTED_VALUE"""),3599282.0)</f>
        <v>3599282</v>
      </c>
      <c r="C1801" t="str">
        <f>IFERROR(__xludf.DUMMYFUNCTION("""COMPUTED_VALUE"""),"Docker Masterclass for Machine Learning and Data Science")</f>
        <v>Docker Masterclass for Machine Learning and Data Science</v>
      </c>
    </row>
    <row r="1802">
      <c r="A1802" s="140" t="str">
        <f>IFERROR(__xludf.DUMMYFUNCTION("""COMPUTED_VALUE"""),"en")</f>
        <v>en</v>
      </c>
      <c r="B1802">
        <f>IFERROR(__xludf.DUMMYFUNCTION("""COMPUTED_VALUE"""),1049210.0)</f>
        <v>1049210</v>
      </c>
      <c r="C1802" t="str">
        <f>IFERROR(__xludf.DUMMYFUNCTION("""COMPUTED_VALUE"""),"ISO 9001:2015 Quality Management System Auditor Course")</f>
        <v>ISO 9001:2015 Quality Management System Auditor Course</v>
      </c>
    </row>
    <row r="1803">
      <c r="A1803" s="140" t="str">
        <f>IFERROR(__xludf.DUMMYFUNCTION("""COMPUTED_VALUE"""),"de")</f>
        <v>de</v>
      </c>
      <c r="B1803">
        <f>IFERROR(__xludf.DUMMYFUNCTION("""COMPUTED_VALUE"""),2803057.0)</f>
        <v>2803057</v>
      </c>
      <c r="C1803" t="str">
        <f>IFERROR(__xludf.DUMMYFUNCTION("""COMPUTED_VALUE"""),"Pinterest Marketing: Der perfekte Traffic Magnet")</f>
        <v>Pinterest Marketing: Der perfekte Traffic Magnet</v>
      </c>
    </row>
    <row r="1804">
      <c r="A1804" s="140" t="str">
        <f>IFERROR(__xludf.DUMMYFUNCTION("""COMPUTED_VALUE"""),"ja")</f>
        <v>ja</v>
      </c>
      <c r="B1804">
        <f>IFERROR(__xludf.DUMMYFUNCTION("""COMPUTED_VALUE"""),3894990.0)</f>
        <v>3894990</v>
      </c>
      <c r="C1804" t="str">
        <f>IFERROR(__xludf.DUMMYFUNCTION("""COMPUTED_VALUE"""),"illustrator iPad版でつくる本格メニューデザイン！【初心者向け】")</f>
        <v>illustrator iPad版でつくる本格メニューデザイン！【初心者向け】</v>
      </c>
    </row>
    <row r="1805">
      <c r="A1805" s="140" t="str">
        <f>IFERROR(__xludf.DUMMYFUNCTION("""COMPUTED_VALUE"""),"tr")</f>
        <v>tr</v>
      </c>
      <c r="B1805">
        <f>IFERROR(__xludf.DUMMYFUNCTION("""COMPUTED_VALUE"""),2440692.0)</f>
        <v>2440692</v>
      </c>
      <c r="C1805" t="str">
        <f>IFERROR(__xludf.DUMMYFUNCTION("""COMPUTED_VALUE"""),"5000 KELİME")</f>
        <v>5000 KELİME</v>
      </c>
    </row>
    <row r="1806">
      <c r="A1806" s="140" t="str">
        <f>IFERROR(__xludf.DUMMYFUNCTION("""COMPUTED_VALUE"""),"en")</f>
        <v>en</v>
      </c>
      <c r="B1806">
        <f>IFERROR(__xludf.DUMMYFUNCTION("""COMPUTED_VALUE"""),1838188.0)</f>
        <v>1838188</v>
      </c>
      <c r="C1806" t="str">
        <f>IFERROR(__xludf.DUMMYFUNCTION("""COMPUTED_VALUE"""),"Splunk 2021 - Beginner to Architect")</f>
        <v>Splunk 2021 - Beginner to Architect</v>
      </c>
    </row>
    <row r="1807">
      <c r="A1807" s="140" t="str">
        <f>IFERROR(__xludf.DUMMYFUNCTION("""COMPUTED_VALUE"""),"es")</f>
        <v>es</v>
      </c>
      <c r="B1807">
        <f>IFERROR(__xludf.DUMMYFUNCTION("""COMPUTED_VALUE"""),1559396.0)</f>
        <v>1559396</v>
      </c>
      <c r="C1807" t="str">
        <f>IFERROR(__xludf.DUMMYFUNCTION("""COMPUTED_VALUE"""),"Adobe Illustrator CC Máster: De Básico a Profesional. 2021")</f>
        <v>Adobe Illustrator CC Máster: De Básico a Profesional. 2021</v>
      </c>
    </row>
    <row r="1808">
      <c r="A1808" s="140" t="str">
        <f>IFERROR(__xludf.DUMMYFUNCTION("""COMPUTED_VALUE"""),"tr")</f>
        <v>tr</v>
      </c>
      <c r="B1808">
        <f>IFERROR(__xludf.DUMMYFUNCTION("""COMPUTED_VALUE"""),2630728.0)</f>
        <v>2630728</v>
      </c>
      <c r="C1808" t="str">
        <f>IFERROR(__xludf.DUMMYFUNCTION("""COMPUTED_VALUE"""),"Tespit Edilemeyen Malware Saldırıları")</f>
        <v>Tespit Edilemeyen Malware Saldırıları</v>
      </c>
    </row>
    <row r="1809">
      <c r="A1809" s="140" t="str">
        <f>IFERROR(__xludf.DUMMYFUNCTION("""COMPUTED_VALUE"""),"en")</f>
        <v>en</v>
      </c>
      <c r="B1809">
        <f>IFERROR(__xludf.DUMMYFUNCTION("""COMPUTED_VALUE"""),2360566.0)</f>
        <v>2360566</v>
      </c>
      <c r="C1809" t="str">
        <f>IFERROR(__xludf.DUMMYFUNCTION("""COMPUTED_VALUE"""),"Svelte.js - The Complete Guide (incl. Sapper.js)")</f>
        <v>Svelte.js - The Complete Guide (incl. Sapper.js)</v>
      </c>
    </row>
    <row r="1810">
      <c r="A1810" s="140" t="str">
        <f>IFERROR(__xludf.DUMMYFUNCTION("""COMPUTED_VALUE"""),"en")</f>
        <v>en</v>
      </c>
      <c r="B1810">
        <f>IFERROR(__xludf.DUMMYFUNCTION("""COMPUTED_VALUE"""),2760858.0)</f>
        <v>2760858</v>
      </c>
      <c r="C1810" t="str">
        <f>IFERROR(__xludf.DUMMYFUNCTION("""COMPUTED_VALUE"""),"Database Management Systems Part 4 : Transactions")</f>
        <v>Database Management Systems Part 4 : Transactions</v>
      </c>
    </row>
    <row r="1811">
      <c r="A1811" s="140" t="str">
        <f>IFERROR(__xludf.DUMMYFUNCTION("""COMPUTED_VALUE"""),"en")</f>
        <v>en</v>
      </c>
      <c r="B1811">
        <f>IFERROR(__xludf.DUMMYFUNCTION("""COMPUTED_VALUE"""),1907136.0)</f>
        <v>1907136</v>
      </c>
      <c r="C1811" t="str">
        <f>IFERROR(__xludf.DUMMYFUNCTION("""COMPUTED_VALUE"""),"Using MySQL Databases With Python")</f>
        <v>Using MySQL Databases With Python</v>
      </c>
    </row>
    <row r="1812">
      <c r="A1812" s="140" t="str">
        <f>IFERROR(__xludf.DUMMYFUNCTION("""COMPUTED_VALUE"""),"ar")</f>
        <v>ar</v>
      </c>
      <c r="B1812">
        <f>IFERROR(__xludf.DUMMYFUNCTION("""COMPUTED_VALUE"""),1226672.0)</f>
        <v>1226672</v>
      </c>
      <c r="C1812" t="str">
        <f>IFERROR(__xludf.DUMMYFUNCTION("""COMPUTED_VALUE"""),"Advanced Microsoft Excel (ARABIC) - دورة متقدمة في الاكسل")</f>
        <v>Advanced Microsoft Excel (ARABIC) - دورة متقدمة في الاكسل</v>
      </c>
    </row>
    <row r="1813">
      <c r="A1813" s="140" t="str">
        <f>IFERROR(__xludf.DUMMYFUNCTION("""COMPUTED_VALUE"""),"ja")</f>
        <v>ja</v>
      </c>
      <c r="B1813">
        <f>IFERROR(__xludf.DUMMYFUNCTION("""COMPUTED_VALUE"""),1317912.0)</f>
        <v>1317912</v>
      </c>
      <c r="C1813" t="str">
        <f>IFERROR(__xludf.DUMMYFUNCTION("""COMPUTED_VALUE"""),"【更新：2021.01.10】はじめてのSNS活用 基礎講座【企業向け】（企業ブログ活用の解説付き）")</f>
        <v>【更新：2021.01.10】はじめてのSNS活用 基礎講座【企業向け】（企業ブログ活用の解説付き）</v>
      </c>
    </row>
    <row r="1814">
      <c r="A1814" s="140" t="str">
        <f>IFERROR(__xludf.DUMMYFUNCTION("""COMPUTED_VALUE"""),"es")</f>
        <v>es</v>
      </c>
      <c r="B1814">
        <f>IFERROR(__xludf.DUMMYFUNCTION("""COMPUTED_VALUE"""),3700574.0)</f>
        <v>3700574</v>
      </c>
      <c r="C1814" t="str">
        <f>IFERROR(__xludf.DUMMYFUNCTION("""COMPUTED_VALUE"""),"AWS Certified Cloud Practitioner 2021 en Español")</f>
        <v>AWS Certified Cloud Practitioner 2021 en Español</v>
      </c>
    </row>
    <row r="1815">
      <c r="A1815" s="140" t="str">
        <f>IFERROR(__xludf.DUMMYFUNCTION("""COMPUTED_VALUE"""),"en")</f>
        <v>en</v>
      </c>
      <c r="B1815">
        <f>IFERROR(__xludf.DUMMYFUNCTION("""COMPUTED_VALUE"""),15620.0)</f>
        <v>15620</v>
      </c>
      <c r="C1815" t="str">
        <f>IFERROR(__xludf.DUMMYFUNCTION("""COMPUTED_VALUE"""),"Photoshop CS6 Crash Course")</f>
        <v>Photoshop CS6 Crash Course</v>
      </c>
    </row>
    <row r="1816">
      <c r="A1816" s="140" t="str">
        <f>IFERROR(__xludf.DUMMYFUNCTION("""COMPUTED_VALUE"""),"en")</f>
        <v>en</v>
      </c>
      <c r="B1816">
        <f>IFERROR(__xludf.DUMMYFUNCTION("""COMPUTED_VALUE"""),971962.0)</f>
        <v>971962</v>
      </c>
      <c r="C1816" t="str">
        <f>IFERROR(__xludf.DUMMYFUNCTION("""COMPUTED_VALUE"""),"Learn Guitar: Zero to Guitar Fingerpicking in 30 days")</f>
        <v>Learn Guitar: Zero to Guitar Fingerpicking in 30 days</v>
      </c>
    </row>
    <row r="1817">
      <c r="A1817" s="140" t="str">
        <f>IFERROR(__xludf.DUMMYFUNCTION("""COMPUTED_VALUE"""),"pt")</f>
        <v>pt</v>
      </c>
      <c r="B1817">
        <f>IFERROR(__xludf.DUMMYFUNCTION("""COMPUTED_VALUE"""),2437296.0)</f>
        <v>2437296</v>
      </c>
      <c r="C1817" t="str">
        <f>IFERROR(__xludf.DUMMYFUNCTION("""COMPUTED_VALUE"""),"Spring Boot + React JS: Desenvolva Aplicações Web Completas")</f>
        <v>Spring Boot + React JS: Desenvolva Aplicações Web Completas</v>
      </c>
    </row>
    <row r="1818">
      <c r="A1818" s="140" t="str">
        <f>IFERROR(__xludf.DUMMYFUNCTION("""COMPUTED_VALUE"""),"pt")</f>
        <v>pt</v>
      </c>
      <c r="B1818">
        <f>IFERROR(__xludf.DUMMYFUNCTION("""COMPUTED_VALUE"""),3097010.0)</f>
        <v>3097010</v>
      </c>
      <c r="C1818" t="str">
        <f>IFERROR(__xludf.DUMMYFUNCTION("""COMPUTED_VALUE"""),"Desenvolvimento web com Django, React e deploy AWS e Linux")</f>
        <v>Desenvolvimento web com Django, React e deploy AWS e Linux</v>
      </c>
    </row>
    <row r="1819">
      <c r="A1819" s="140" t="str">
        <f>IFERROR(__xludf.DUMMYFUNCTION("""COMPUTED_VALUE"""),"en")</f>
        <v>en</v>
      </c>
      <c r="B1819">
        <f>IFERROR(__xludf.DUMMYFUNCTION("""COMPUTED_VALUE"""),2335568.0)</f>
        <v>2335568</v>
      </c>
      <c r="C1819" t="str">
        <f>IFERROR(__xludf.DUMMYFUNCTION("""COMPUTED_VALUE"""),"Storytelling for Persuasion and Transformation")</f>
        <v>Storytelling for Persuasion and Transformation</v>
      </c>
    </row>
    <row r="1820">
      <c r="A1820" s="140" t="str">
        <f>IFERROR(__xludf.DUMMYFUNCTION("""COMPUTED_VALUE"""),"en")</f>
        <v>en</v>
      </c>
      <c r="B1820">
        <f>IFERROR(__xludf.DUMMYFUNCTION("""COMPUTED_VALUE"""),1514258.0)</f>
        <v>1514258</v>
      </c>
      <c r="C1820" t="str">
        <f>IFERROR(__xludf.DUMMYFUNCTION("""COMPUTED_VALUE"""),"Adobe Illustrator CC - Essentials Training Course")</f>
        <v>Adobe Illustrator CC - Essentials Training Course</v>
      </c>
    </row>
    <row r="1821">
      <c r="A1821" s="140" t="str">
        <f>IFERROR(__xludf.DUMMYFUNCTION("""COMPUTED_VALUE"""),"en")</f>
        <v>en</v>
      </c>
      <c r="B1821">
        <f>IFERROR(__xludf.DUMMYFUNCTION("""COMPUTED_VALUE"""),2510386.0)</f>
        <v>2510386</v>
      </c>
      <c r="C1821" t="str">
        <f>IFERROR(__xludf.DUMMYFUNCTION("""COMPUTED_VALUE"""),"Grafana Master Course - Time Series Data Visualization")</f>
        <v>Grafana Master Course - Time Series Data Visualization</v>
      </c>
    </row>
    <row r="1822">
      <c r="A1822" s="140" t="str">
        <f>IFERROR(__xludf.DUMMYFUNCTION("""COMPUTED_VALUE"""),"de")</f>
        <v>de</v>
      </c>
      <c r="B1822">
        <f>IFERROR(__xludf.DUMMYFUNCTION("""COMPUTED_VALUE"""),2591016.0)</f>
        <v>2591016</v>
      </c>
      <c r="C1822" t="str">
        <f>IFERROR(__xludf.DUMMYFUNCTION("""COMPUTED_VALUE"""),"Facebook Ads Campaign Budget Optimization CBO Kurs Deutsch")</f>
        <v>Facebook Ads Campaign Budget Optimization CBO Kurs Deutsch</v>
      </c>
    </row>
    <row r="1823">
      <c r="A1823" s="140" t="str">
        <f>IFERROR(__xludf.DUMMYFUNCTION("""COMPUTED_VALUE"""),"en")</f>
        <v>en</v>
      </c>
      <c r="B1823">
        <f>IFERROR(__xludf.DUMMYFUNCTION("""COMPUTED_VALUE"""),48841.0)</f>
        <v>48841</v>
      </c>
      <c r="C1823" t="str">
        <f>IFERROR(__xludf.DUMMYFUNCTION("""COMPUTED_VALUE"""),"Accounting in 60 Minutes - A Brief Introduction")</f>
        <v>Accounting in 60 Minutes - A Brief Introduction</v>
      </c>
    </row>
    <row r="1824">
      <c r="A1824" s="140" t="str">
        <f>IFERROR(__xludf.DUMMYFUNCTION("""COMPUTED_VALUE"""),"en")</f>
        <v>en</v>
      </c>
      <c r="B1824">
        <f>IFERROR(__xludf.DUMMYFUNCTION("""COMPUTED_VALUE"""),518152.0)</f>
        <v>518152</v>
      </c>
      <c r="C1824" t="str">
        <f>IFERROR(__xludf.DUMMYFUNCTION("""COMPUTED_VALUE"""),"Training Sets, Test Sets, R, and ggplot")</f>
        <v>Training Sets, Test Sets, R, and ggplot</v>
      </c>
    </row>
    <row r="1825">
      <c r="A1825" s="140" t="str">
        <f>IFERROR(__xludf.DUMMYFUNCTION("""COMPUTED_VALUE"""),"en")</f>
        <v>en</v>
      </c>
      <c r="B1825">
        <f>IFERROR(__xludf.DUMMYFUNCTION("""COMPUTED_VALUE"""),2475378.0)</f>
        <v>2475378</v>
      </c>
      <c r="C1825" t="str">
        <f>IFERROR(__xludf.DUMMYFUNCTION("""COMPUTED_VALUE"""),"Build Complete School Management System Using PHP Framework")</f>
        <v>Build Complete School Management System Using PHP Framework</v>
      </c>
    </row>
    <row r="1826">
      <c r="A1826" s="140" t="str">
        <f>IFERROR(__xludf.DUMMYFUNCTION("""COMPUTED_VALUE"""),"en")</f>
        <v>en</v>
      </c>
      <c r="B1826">
        <f>IFERROR(__xludf.DUMMYFUNCTION("""COMPUTED_VALUE"""),2073424.0)</f>
        <v>2073424</v>
      </c>
      <c r="C1826" t="str">
        <f>IFERROR(__xludf.DUMMYFUNCTION("""COMPUTED_VALUE"""),"REST API Using Java and BDD Cucumber: API Testing")</f>
        <v>REST API Using Java and BDD Cucumber: API Testing</v>
      </c>
    </row>
    <row r="1827">
      <c r="A1827" s="140" t="str">
        <f>IFERROR(__xludf.DUMMYFUNCTION("""COMPUTED_VALUE"""),"es")</f>
        <v>es</v>
      </c>
      <c r="B1827">
        <f>IFERROR(__xludf.DUMMYFUNCTION("""COMPUTED_VALUE"""),3010446.0)</f>
        <v>3010446</v>
      </c>
      <c r="C1827" t="str">
        <f>IFERROR(__xludf.DUMMYFUNCTION("""COMPUTED_VALUE"""),"React Native: Aprende React Native con ejercicios prácticos")</f>
        <v>React Native: Aprende React Native con ejercicios prácticos</v>
      </c>
    </row>
    <row r="1828">
      <c r="A1828" s="140" t="str">
        <f>IFERROR(__xludf.DUMMYFUNCTION("""COMPUTED_VALUE"""),"es")</f>
        <v>es</v>
      </c>
      <c r="B1828">
        <f>IFERROR(__xludf.DUMMYFUNCTION("""COMPUTED_VALUE"""),3803918.0)</f>
        <v>3803918</v>
      </c>
      <c r="C1828" t="str">
        <f>IFERROR(__xludf.DUMMYFUNCTION("""COMPUTED_VALUE"""),"Java a profundidad")</f>
        <v>Java a profundidad</v>
      </c>
    </row>
    <row r="1829">
      <c r="A1829" s="140" t="str">
        <f>IFERROR(__xludf.DUMMYFUNCTION("""COMPUTED_VALUE"""),"en")</f>
        <v>en</v>
      </c>
      <c r="B1829">
        <f>IFERROR(__xludf.DUMMYFUNCTION("""COMPUTED_VALUE"""),1146400.0)</f>
        <v>1146400</v>
      </c>
      <c r="C1829" t="str">
        <f>IFERROR(__xludf.DUMMYFUNCTION("""COMPUTED_VALUE"""),"What's New in C#7, C#8, C#9 and C#10")</f>
        <v>What's New in C#7, C#8, C#9 and C#10</v>
      </c>
    </row>
    <row r="1830">
      <c r="A1830" s="140" t="str">
        <f>IFERROR(__xludf.DUMMYFUNCTION("""COMPUTED_VALUE"""),"en")</f>
        <v>en</v>
      </c>
      <c r="B1830">
        <f>IFERROR(__xludf.DUMMYFUNCTION("""COMPUTED_VALUE"""),4253350.0)</f>
        <v>4253350</v>
      </c>
      <c r="C1830" t="str">
        <f>IFERROR(__xludf.DUMMYFUNCTION("""COMPUTED_VALUE"""),"GitLab CI - A Complete Hands-On for CI/CD Pipelines &amp; DevOps")</f>
        <v>GitLab CI - A Complete Hands-On for CI/CD Pipelines &amp; DevOps</v>
      </c>
    </row>
    <row r="1831">
      <c r="A1831" s="140" t="str">
        <f>IFERROR(__xludf.DUMMYFUNCTION("""COMPUTED_VALUE"""),"ja")</f>
        <v>ja</v>
      </c>
      <c r="B1831">
        <f>IFERROR(__xludf.DUMMYFUNCTION("""COMPUTED_VALUE"""),3536812.0)</f>
        <v>3536812</v>
      </c>
      <c r="C1831" t="str">
        <f>IFERROR(__xludf.DUMMYFUNCTION("""COMPUTED_VALUE"""),"【超入門】プロマネが教えるタスク・スケジュール作成の基礎")</f>
        <v>【超入門】プロマネが教えるタスク・スケジュール作成の基礎</v>
      </c>
    </row>
    <row r="1832">
      <c r="A1832" s="140" t="str">
        <f>IFERROR(__xludf.DUMMYFUNCTION("""COMPUTED_VALUE"""),"en")</f>
        <v>en</v>
      </c>
      <c r="B1832">
        <f>IFERROR(__xludf.DUMMYFUNCTION("""COMPUTED_VALUE"""),3642332.0)</f>
        <v>3642332</v>
      </c>
      <c r="C1832" t="str">
        <f>IFERROR(__xludf.DUMMYFUNCTION("""COMPUTED_VALUE"""),"CompTIA A+ (220-1001) Practice Exams (Over 500 questions!)")</f>
        <v>CompTIA A+ (220-1001) Practice Exams (Over 500 questions!)</v>
      </c>
    </row>
    <row r="1833">
      <c r="A1833" s="140" t="str">
        <f>IFERROR(__xludf.DUMMYFUNCTION("""COMPUTED_VALUE"""),"en")</f>
        <v>en</v>
      </c>
      <c r="B1833">
        <f>IFERROR(__xludf.DUMMYFUNCTION("""COMPUTED_VALUE"""),519050.0)</f>
        <v>519050</v>
      </c>
      <c r="C1833" t="str">
        <f>IFERROR(__xludf.DUMMYFUNCTION("""COMPUTED_VALUE"""),"Smart Marketing with Price Psychology")</f>
        <v>Smart Marketing with Price Psychology</v>
      </c>
    </row>
    <row r="1834">
      <c r="A1834" s="140" t="str">
        <f>IFERROR(__xludf.DUMMYFUNCTION("""COMPUTED_VALUE"""),"en")</f>
        <v>en</v>
      </c>
      <c r="B1834">
        <f>IFERROR(__xludf.DUMMYFUNCTION("""COMPUTED_VALUE"""),512678.0)</f>
        <v>512678</v>
      </c>
      <c r="C1834" t="str">
        <f>IFERROR(__xludf.DUMMYFUNCTION("""COMPUTED_VALUE"""),"AngularJS Crash Course for Beginners")</f>
        <v>AngularJS Crash Course for Beginners</v>
      </c>
    </row>
    <row r="1835">
      <c r="A1835" s="140" t="str">
        <f>IFERROR(__xludf.DUMMYFUNCTION("""COMPUTED_VALUE"""),"en")</f>
        <v>en</v>
      </c>
      <c r="B1835">
        <f>IFERROR(__xludf.DUMMYFUNCTION("""COMPUTED_VALUE"""),1625530.0)</f>
        <v>1625530</v>
      </c>
      <c r="C1835" t="str">
        <f>IFERROR(__xludf.DUMMYFUNCTION("""COMPUTED_VALUE"""),"AWS DynamoDB - The Complete Guide (Build 18+ Hands On Demos)")</f>
        <v>AWS DynamoDB - The Complete Guide (Build 18+ Hands On Demos)</v>
      </c>
    </row>
    <row r="1836">
      <c r="A1836" s="140" t="str">
        <f>IFERROR(__xludf.DUMMYFUNCTION("""COMPUTED_VALUE"""),"en")</f>
        <v>en</v>
      </c>
      <c r="B1836">
        <f>IFERROR(__xludf.DUMMYFUNCTION("""COMPUTED_VALUE"""),3765452.0)</f>
        <v>3765452</v>
      </c>
      <c r="C1836" t="str">
        <f>IFERROR(__xludf.DUMMYFUNCTION("""COMPUTED_VALUE"""),"Google Cloud (GCP) Professional Cloud Architect (New '21)")</f>
        <v>Google Cloud (GCP) Professional Cloud Architect (New '21)</v>
      </c>
    </row>
    <row r="1837">
      <c r="A1837" s="140" t="str">
        <f>IFERROR(__xludf.DUMMYFUNCTION("""COMPUTED_VALUE"""),"es")</f>
        <v>es</v>
      </c>
      <c r="B1837">
        <f>IFERROR(__xludf.DUMMYFUNCTION("""COMPUTED_VALUE"""),3637674.0)</f>
        <v>3637674</v>
      </c>
      <c r="C1837" t="str">
        <f>IFERROR(__xludf.DUMMYFUNCTION("""COMPUTED_VALUE"""),"Hacking Wifi. Ataque, Defensa y Expulsión de intrusos")</f>
        <v>Hacking Wifi. Ataque, Defensa y Expulsión de intrusos</v>
      </c>
    </row>
    <row r="1838">
      <c r="A1838" s="140" t="str">
        <f>IFERROR(__xludf.DUMMYFUNCTION("""COMPUTED_VALUE"""),"en")</f>
        <v>en</v>
      </c>
      <c r="B1838">
        <f>IFERROR(__xludf.DUMMYFUNCTION("""COMPUTED_VALUE"""),2748800.0)</f>
        <v>2748800</v>
      </c>
      <c r="C1838" t="str">
        <f>IFERROR(__xludf.DUMMYFUNCTION("""COMPUTED_VALUE"""),"Demystifying Oracle Database Security:On-Prem &amp; Oracle Cloud")</f>
        <v>Demystifying Oracle Database Security:On-Prem &amp; Oracle Cloud</v>
      </c>
    </row>
    <row r="1839">
      <c r="A1839" s="140" t="str">
        <f>IFERROR(__xludf.DUMMYFUNCTION("""COMPUTED_VALUE"""),"en")</f>
        <v>en</v>
      </c>
      <c r="B1839">
        <f>IFERROR(__xludf.DUMMYFUNCTION("""COMPUTED_VALUE"""),118424.0)</f>
        <v>118424</v>
      </c>
      <c r="C1839" t="str">
        <f>IFERROR(__xludf.DUMMYFUNCTION("""COMPUTED_VALUE"""),"Crystal Reports for SAP Business One Mastery Training Course")</f>
        <v>Crystal Reports for SAP Business One Mastery Training Course</v>
      </c>
    </row>
    <row r="1840">
      <c r="A1840" s="140" t="str">
        <f>IFERROR(__xludf.DUMMYFUNCTION("""COMPUTED_VALUE"""),"de")</f>
        <v>de</v>
      </c>
      <c r="B1840">
        <f>IFERROR(__xludf.DUMMYFUNCTION("""COMPUTED_VALUE"""),1942732.0)</f>
        <v>1942732</v>
      </c>
      <c r="C1840" t="str">
        <f>IFERROR(__xludf.DUMMYFUNCTION("""COMPUTED_VALUE"""),"SEO Texte richtig schreiben und formatieren")</f>
        <v>SEO Texte richtig schreiben und formatieren</v>
      </c>
    </row>
    <row r="1841">
      <c r="A1841" s="140" t="str">
        <f>IFERROR(__xludf.DUMMYFUNCTION("""COMPUTED_VALUE"""),"en")</f>
        <v>en</v>
      </c>
      <c r="B1841">
        <f>IFERROR(__xludf.DUMMYFUNCTION("""COMPUTED_VALUE"""),726230.0)</f>
        <v>726230</v>
      </c>
      <c r="C1841" t="str">
        <f>IFERROR(__xludf.DUMMYFUNCTION("""COMPUTED_VALUE"""),"Double your Gmail productivity in just over one hour")</f>
        <v>Double your Gmail productivity in just over one hour</v>
      </c>
    </row>
    <row r="1842">
      <c r="A1842" s="140" t="str">
        <f>IFERROR(__xludf.DUMMYFUNCTION("""COMPUTED_VALUE"""),"en")</f>
        <v>en</v>
      </c>
      <c r="B1842">
        <f>IFERROR(__xludf.DUMMYFUNCTION("""COMPUTED_VALUE"""),2034014.0)</f>
        <v>2034014</v>
      </c>
      <c r="C1842" t="str">
        <f>IFERROR(__xludf.DUMMYFUNCTION("""COMPUTED_VALUE"""),"Advanced Oracle ADF 12c Course")</f>
        <v>Advanced Oracle ADF 12c Course</v>
      </c>
    </row>
    <row r="1843">
      <c r="A1843" s="140" t="str">
        <f>IFERROR(__xludf.DUMMYFUNCTION("""COMPUTED_VALUE"""),"en")</f>
        <v>en</v>
      </c>
      <c r="B1843">
        <f>IFERROR(__xludf.DUMMYFUNCTION("""COMPUTED_VALUE"""),1140314.0)</f>
        <v>1140314</v>
      </c>
      <c r="C1843" t="str">
        <f>IFERROR(__xludf.DUMMYFUNCTION("""COMPUTED_VALUE"""),"Learn Microsoft Windows 10 the Easy Way for Beginners")</f>
        <v>Learn Microsoft Windows 10 the Easy Way for Beginners</v>
      </c>
    </row>
    <row r="1844">
      <c r="A1844" s="140" t="str">
        <f>IFERROR(__xludf.DUMMYFUNCTION("""COMPUTED_VALUE"""),"tr")</f>
        <v>tr</v>
      </c>
      <c r="B1844">
        <f>IFERROR(__xludf.DUMMYFUNCTION("""COMPUTED_VALUE"""),1953062.0)</f>
        <v>1953062</v>
      </c>
      <c r="C1844" t="str">
        <f>IFERROR(__xludf.DUMMYFUNCTION("""COMPUTED_VALUE"""),"A'dan Z'ye Photoshop CC 2020 Dersleri | Afgan Rasulov")</f>
        <v>A'dan Z'ye Photoshop CC 2020 Dersleri | Afgan Rasulov</v>
      </c>
    </row>
    <row r="1845">
      <c r="A1845" s="140" t="str">
        <f>IFERROR(__xludf.DUMMYFUNCTION("""COMPUTED_VALUE"""),"en")</f>
        <v>en</v>
      </c>
      <c r="B1845">
        <f>IFERROR(__xludf.DUMMYFUNCTION("""COMPUTED_VALUE"""),1494648.0)</f>
        <v>1494648</v>
      </c>
      <c r="C1845" t="str">
        <f>IFERROR(__xludf.DUMMYFUNCTION("""COMPUTED_VALUE"""),"Risk Management for Cybersecurity and IT Managers")</f>
        <v>Risk Management for Cybersecurity and IT Managers</v>
      </c>
    </row>
    <row r="1846">
      <c r="A1846" s="140" t="str">
        <f>IFERROR(__xludf.DUMMYFUNCTION("""COMPUTED_VALUE"""),"ja")</f>
        <v>ja</v>
      </c>
      <c r="B1846">
        <f>IFERROR(__xludf.DUMMYFUNCTION("""COMPUTED_VALUE"""),2769116.0)</f>
        <v>2769116</v>
      </c>
      <c r="C1846" t="str">
        <f>IFERROR(__xludf.DUMMYFUNCTION("""COMPUTED_VALUE"""),"最短・最速で学ぶTypeScript 実践入門 - 最新モダン開発には欠かせないTypeScript をマスターしよう！")</f>
        <v>最短・最速で学ぶTypeScript 実践入門 - 最新モダン開発には欠かせないTypeScript をマスターしよう！</v>
      </c>
    </row>
    <row r="1847">
      <c r="A1847" s="140" t="str">
        <f>IFERROR(__xludf.DUMMYFUNCTION("""COMPUTED_VALUE"""),"fr")</f>
        <v>fr</v>
      </c>
      <c r="B1847">
        <f>IFERROR(__xludf.DUMMYFUNCTION("""COMPUTED_VALUE"""),2128518.0)</f>
        <v>2128518</v>
      </c>
      <c r="C1847" t="str">
        <f>IFERROR(__xludf.DUMMYFUNCTION("""COMPUTED_VALUE"""),"QlikView [Français] : Formation Complète [A-Z] -Maîtrisez BI")</f>
        <v>QlikView [Français] : Formation Complète [A-Z] -Maîtrisez BI</v>
      </c>
    </row>
    <row r="1848">
      <c r="A1848" s="140" t="str">
        <f>IFERROR(__xludf.DUMMYFUNCTION("""COMPUTED_VALUE"""),"en")</f>
        <v>en</v>
      </c>
      <c r="B1848">
        <f>IFERROR(__xludf.DUMMYFUNCTION("""COMPUTED_VALUE"""),3910770.0)</f>
        <v>3910770</v>
      </c>
      <c r="C1848" t="str">
        <f>IFERROR(__xludf.DUMMYFUNCTION("""COMPUTED_VALUE"""),"RDF and SPARQL Essentials")</f>
        <v>RDF and SPARQL Essentials</v>
      </c>
    </row>
    <row r="1849">
      <c r="A1849" s="140" t="str">
        <f>IFERROR(__xludf.DUMMYFUNCTION("""COMPUTED_VALUE"""),"en")</f>
        <v>en</v>
      </c>
      <c r="B1849">
        <f>IFERROR(__xludf.DUMMYFUNCTION("""COMPUTED_VALUE"""),896264.0)</f>
        <v>896264</v>
      </c>
      <c r="C1849" t="str">
        <f>IFERROR(__xludf.DUMMYFUNCTION("""COMPUTED_VALUE"""),"Agile PM 202 - Introduction to Agile Project Management")</f>
        <v>Agile PM 202 - Introduction to Agile Project Management</v>
      </c>
    </row>
    <row r="1850">
      <c r="A1850" s="140" t="str">
        <f>IFERROR(__xludf.DUMMYFUNCTION("""COMPUTED_VALUE"""),"pt")</f>
        <v>pt</v>
      </c>
      <c r="B1850">
        <f>IFERROR(__xludf.DUMMYFUNCTION("""COMPUTED_VALUE"""),950894.0)</f>
        <v>950894</v>
      </c>
      <c r="C1850" t="str">
        <f>IFERROR(__xludf.DUMMYFUNCTION("""COMPUTED_VALUE"""),"CURSO DE PHOTOSHOP COMPLETO - DO BÁSICO AO AVANÇADO")</f>
        <v>CURSO DE PHOTOSHOP COMPLETO - DO BÁSICO AO AVANÇADO</v>
      </c>
    </row>
    <row r="1851">
      <c r="A1851" s="140" t="str">
        <f>IFERROR(__xludf.DUMMYFUNCTION("""COMPUTED_VALUE"""),"en")</f>
        <v>en</v>
      </c>
      <c r="B1851">
        <f>IFERROR(__xludf.DUMMYFUNCTION("""COMPUTED_VALUE"""),572124.0)</f>
        <v>572124</v>
      </c>
      <c r="C1851" t="str">
        <f>IFERROR(__xludf.DUMMYFUNCTION("""COMPUTED_VALUE"""),"Create hand drawn character animations using Photoshop")</f>
        <v>Create hand drawn character animations using Photoshop</v>
      </c>
    </row>
    <row r="1852">
      <c r="A1852" s="140" t="str">
        <f>IFERROR(__xludf.DUMMYFUNCTION("""COMPUTED_VALUE"""),"en")</f>
        <v>en</v>
      </c>
      <c r="B1852">
        <f>IFERROR(__xludf.DUMMYFUNCTION("""COMPUTED_VALUE"""),845946.0)</f>
        <v>845946</v>
      </c>
      <c r="C1852" t="str">
        <f>IFERROR(__xludf.DUMMYFUNCTION("""COMPUTED_VALUE"""),"Manage AWS Using Python: Core Services")</f>
        <v>Manage AWS Using Python: Core Services</v>
      </c>
    </row>
    <row r="1853">
      <c r="A1853" s="140" t="str">
        <f>IFERROR(__xludf.DUMMYFUNCTION("""COMPUTED_VALUE"""),"en")</f>
        <v>en</v>
      </c>
      <c r="B1853">
        <f>IFERROR(__xludf.DUMMYFUNCTION("""COMPUTED_VALUE"""),463830.0)</f>
        <v>463830</v>
      </c>
      <c r="C1853" t="str">
        <f>IFERROR(__xludf.DUMMYFUNCTION("""COMPUTED_VALUE"""),"Master Microsoft Excel, PowerPoint and Word 2013 - 27 Hours")</f>
        <v>Master Microsoft Excel, PowerPoint and Word 2013 - 27 Hours</v>
      </c>
    </row>
    <row r="1854">
      <c r="A1854" s="140" t="str">
        <f>IFERROR(__xludf.DUMMYFUNCTION("""COMPUTED_VALUE"""),"en")</f>
        <v>en</v>
      </c>
      <c r="B1854">
        <f>IFERROR(__xludf.DUMMYFUNCTION("""COMPUTED_VALUE"""),2573662.0)</f>
        <v>2573662</v>
      </c>
      <c r="C1854" t="str">
        <f>IFERROR(__xludf.DUMMYFUNCTION("""COMPUTED_VALUE"""),"Atlassian Confluence for Project Managers")</f>
        <v>Atlassian Confluence for Project Managers</v>
      </c>
    </row>
    <row r="1855">
      <c r="A1855" s="140" t="str">
        <f>IFERROR(__xludf.DUMMYFUNCTION("""COMPUTED_VALUE"""),"es")</f>
        <v>es</v>
      </c>
      <c r="B1855">
        <f>IFERROR(__xludf.DUMMYFUNCTION("""COMPUTED_VALUE"""),2260380.0)</f>
        <v>2260380</v>
      </c>
      <c r="C1855" t="str">
        <f>IFERROR(__xludf.DUMMYFUNCTION("""COMPUTED_VALUE"""),"ISTQB Certified Tester Foundation Level (CTFL) Jul 2021")</f>
        <v>ISTQB Certified Tester Foundation Level (CTFL) Jul 2021</v>
      </c>
    </row>
    <row r="1856">
      <c r="A1856" s="140" t="str">
        <f>IFERROR(__xludf.DUMMYFUNCTION("""COMPUTED_VALUE"""),"es")</f>
        <v>es</v>
      </c>
      <c r="B1856">
        <f>IFERROR(__xludf.DUMMYFUNCTION("""COMPUTED_VALUE"""),1330276.0)</f>
        <v>1330276</v>
      </c>
      <c r="C1856" t="str">
        <f>IFERROR(__xludf.DUMMYFUNCTION("""COMPUTED_VALUE"""),"Master Diseño Digital con Adobe Photoshop CC 2019 + 30 horas")</f>
        <v>Master Diseño Digital con Adobe Photoshop CC 2019 + 30 horas</v>
      </c>
    </row>
    <row r="1857">
      <c r="A1857" s="140" t="str">
        <f>IFERROR(__xludf.DUMMYFUNCTION("""COMPUTED_VALUE"""),"en")</f>
        <v>en</v>
      </c>
      <c r="B1857">
        <f>IFERROR(__xludf.DUMMYFUNCTION("""COMPUTED_VALUE"""),3995372.0)</f>
        <v>3995372</v>
      </c>
      <c r="C1857" t="str">
        <f>IFERROR(__xludf.DUMMYFUNCTION("""COMPUTED_VALUE"""),"GCP Professional Cloud Architect: Google Cloud Certification")</f>
        <v>GCP Professional Cloud Architect: Google Cloud Certification</v>
      </c>
    </row>
    <row r="1858">
      <c r="A1858" s="140" t="str">
        <f>IFERROR(__xludf.DUMMYFUNCTION("""COMPUTED_VALUE"""),"en")</f>
        <v>en</v>
      </c>
      <c r="B1858">
        <f>IFERROR(__xludf.DUMMYFUNCTION("""COMPUTED_VALUE"""),4045712.0)</f>
        <v>4045712</v>
      </c>
      <c r="C1858" t="str">
        <f>IFERROR(__xludf.DUMMYFUNCTION("""COMPUTED_VALUE"""),"Google Certified Associate Cloud Engineer Practice Tests")</f>
        <v>Google Certified Associate Cloud Engineer Practice Tests</v>
      </c>
    </row>
    <row r="1859">
      <c r="A1859" s="140" t="str">
        <f>IFERROR(__xludf.DUMMYFUNCTION("""COMPUTED_VALUE"""),"ar")</f>
        <v>ar</v>
      </c>
      <c r="B1859">
        <f>IFERROR(__xludf.DUMMYFUNCTION("""COMPUTED_VALUE"""),3460298.0)</f>
        <v>3460298</v>
      </c>
      <c r="C1859" t="str">
        <f>IFERROR(__xludf.DUMMYFUNCTION("""COMPUTED_VALUE"""),"تعلم الهكر الأخلاقي من الصفر")</f>
        <v>تعلم الهكر الأخلاقي من الصفر</v>
      </c>
    </row>
    <row r="1860">
      <c r="A1860" s="140" t="str">
        <f>IFERROR(__xludf.DUMMYFUNCTION("""COMPUTED_VALUE"""),"pt")</f>
        <v>pt</v>
      </c>
      <c r="B1860">
        <f>IFERROR(__xludf.DUMMYFUNCTION("""COMPUTED_VALUE"""),871674.0)</f>
        <v>871674</v>
      </c>
      <c r="C1860" t="str">
        <f>IFERROR(__xludf.DUMMYFUNCTION("""COMPUTED_VALUE"""),"Arduino - Curso Completo e Prático")</f>
        <v>Arduino - Curso Completo e Prático</v>
      </c>
    </row>
    <row r="1861">
      <c r="A1861" s="140" t="str">
        <f>IFERROR(__xludf.DUMMYFUNCTION("""COMPUTED_VALUE"""),"es")</f>
        <v>es</v>
      </c>
      <c r="B1861">
        <f>IFERROR(__xludf.DUMMYFUNCTION("""COMPUTED_VALUE"""),2086590.0)</f>
        <v>2086590</v>
      </c>
      <c r="C1861" t="str">
        <f>IFERROR(__xludf.DUMMYFUNCTION("""COMPUTED_VALUE"""),"Súper Cerebro: Lectura Rápida, Súper Lectura y Foto Lectura.")</f>
        <v>Súper Cerebro: Lectura Rápida, Súper Lectura y Foto Lectura.</v>
      </c>
    </row>
    <row r="1862">
      <c r="A1862" s="140" t="str">
        <f>IFERROR(__xludf.DUMMYFUNCTION("""COMPUTED_VALUE"""),"en")</f>
        <v>en</v>
      </c>
      <c r="B1862">
        <f>IFERROR(__xludf.DUMMYFUNCTION("""COMPUTED_VALUE"""),1252816.0)</f>
        <v>1252816</v>
      </c>
      <c r="C1862" t="str">
        <f>IFERROR(__xludf.DUMMYFUNCTION("""COMPUTED_VALUE"""),"Excel Data Analytics in AML Financial Intelligence Analysis")</f>
        <v>Excel Data Analytics in AML Financial Intelligence Analysis</v>
      </c>
    </row>
    <row r="1863">
      <c r="A1863" s="140" t="str">
        <f>IFERROR(__xludf.DUMMYFUNCTION("""COMPUTED_VALUE"""),"pt")</f>
        <v>pt</v>
      </c>
      <c r="B1863">
        <f>IFERROR(__xludf.DUMMYFUNCTION("""COMPUTED_VALUE"""),3402090.0)</f>
        <v>3402090</v>
      </c>
      <c r="C1863" t="str">
        <f>IFERROR(__xludf.DUMMYFUNCTION("""COMPUTED_VALUE"""),"SAP Crystal Reports - Do Básico ao Avançado")</f>
        <v>SAP Crystal Reports - Do Básico ao Avançado</v>
      </c>
    </row>
    <row r="1864">
      <c r="A1864" s="140" t="str">
        <f>IFERROR(__xludf.DUMMYFUNCTION("""COMPUTED_VALUE"""),"es")</f>
        <v>es</v>
      </c>
      <c r="B1864">
        <f>IFERROR(__xludf.DUMMYFUNCTION("""COMPUTED_VALUE"""),3580365.0)</f>
        <v>3580365</v>
      </c>
      <c r="C1864" t="str">
        <f>IFERROR(__xludf.DUMMYFUNCTION("""COMPUTED_VALUE"""),"Test Driven Development (TDD) en React JS")</f>
        <v>Test Driven Development (TDD) en React JS</v>
      </c>
    </row>
    <row r="1865">
      <c r="A1865" s="140" t="str">
        <f>IFERROR(__xludf.DUMMYFUNCTION("""COMPUTED_VALUE"""),"fr")</f>
        <v>fr</v>
      </c>
      <c r="B1865">
        <f>IFERROR(__xludf.DUMMYFUNCTION("""COMPUTED_VALUE"""),2129116.0)</f>
        <v>2129116</v>
      </c>
      <c r="C1865" t="str">
        <f>IFERROR(__xludf.DUMMYFUNCTION("""COMPUTED_VALUE"""),"LINKEDIN POUR LES DÉBUTANTS (2021)")</f>
        <v>LINKEDIN POUR LES DÉBUTANTS (2021)</v>
      </c>
    </row>
    <row r="1866">
      <c r="A1866" s="140" t="str">
        <f>IFERROR(__xludf.DUMMYFUNCTION("""COMPUTED_VALUE"""),"en")</f>
        <v>en</v>
      </c>
      <c r="B1866">
        <f>IFERROR(__xludf.DUMMYFUNCTION("""COMPUTED_VALUE"""),1354762.0)</f>
        <v>1354762</v>
      </c>
      <c r="C1866" t="str">
        <f>IFERROR(__xludf.DUMMYFUNCTION("""COMPUTED_VALUE"""),"English Phrasal Verbs Launch: Upgrade your speaking")</f>
        <v>English Phrasal Verbs Launch: Upgrade your speaking</v>
      </c>
    </row>
    <row r="1867">
      <c r="A1867" s="140" t="str">
        <f>IFERROR(__xludf.DUMMYFUNCTION("""COMPUTED_VALUE"""),"tr")</f>
        <v>tr</v>
      </c>
      <c r="B1867">
        <f>IFERROR(__xludf.DUMMYFUNCTION("""COMPUTED_VALUE"""),3792042.0)</f>
        <v>3792042</v>
      </c>
      <c r="C1867" t="str">
        <f>IFERROR(__xludf.DUMMYFUNCTION("""COMPUTED_VALUE"""),"Sorunlu Müşteri Yönetimi")</f>
        <v>Sorunlu Müşteri Yönetimi</v>
      </c>
    </row>
    <row r="1868">
      <c r="A1868" s="140" t="str">
        <f>IFERROR(__xludf.DUMMYFUNCTION("""COMPUTED_VALUE"""),"en")</f>
        <v>en</v>
      </c>
      <c r="B1868">
        <f>IFERROR(__xludf.DUMMYFUNCTION("""COMPUTED_VALUE"""),2507704.0)</f>
        <v>2507704</v>
      </c>
      <c r="C1868" t="str">
        <f>IFERROR(__xludf.DUMMYFUNCTION("""COMPUTED_VALUE"""),"Diversity &amp; Inclusion: Building a Grassroots Foundation")</f>
        <v>Diversity &amp; Inclusion: Building a Grassroots Foundation</v>
      </c>
    </row>
    <row r="1869">
      <c r="A1869" s="140" t="str">
        <f>IFERROR(__xludf.DUMMYFUNCTION("""COMPUTED_VALUE"""),"ja")</f>
        <v>ja</v>
      </c>
      <c r="B1869">
        <f>IFERROR(__xludf.DUMMYFUNCTION("""COMPUTED_VALUE"""),2051527.0)</f>
        <v>2051527</v>
      </c>
      <c r="C1869" t="str">
        <f>IFERROR(__xludf.DUMMYFUNCTION("""COMPUTED_VALUE"""),"オンライン講座を利用して機械学習・人工知能（AI）・ データ分析の最適な学び方を学ぶ講座")</f>
        <v>オンライン講座を利用して機械学習・人工知能（AI）・ データ分析の最適な学び方を学ぶ講座</v>
      </c>
    </row>
    <row r="1870">
      <c r="A1870" s="140" t="str">
        <f>IFERROR(__xludf.DUMMYFUNCTION("""COMPUTED_VALUE"""),"en")</f>
        <v>en</v>
      </c>
      <c r="B1870">
        <f>IFERROR(__xludf.DUMMYFUNCTION("""COMPUTED_VALUE"""),3400594.0)</f>
        <v>3400594</v>
      </c>
      <c r="C1870" t="str">
        <f>IFERROR(__xludf.DUMMYFUNCTION("""COMPUTED_VALUE"""),"Bootstrap 5 Course: The Complete Guide (Step by Step)")</f>
        <v>Bootstrap 5 Course: The Complete Guide (Step by Step)</v>
      </c>
    </row>
    <row r="1871">
      <c r="A1871" s="140" t="str">
        <f>IFERROR(__xludf.DUMMYFUNCTION("""COMPUTED_VALUE"""),"en")</f>
        <v>en</v>
      </c>
      <c r="B1871">
        <f>IFERROR(__xludf.DUMMYFUNCTION("""COMPUTED_VALUE"""),1525220.0)</f>
        <v>1525220</v>
      </c>
      <c r="C1871" t="str">
        <f>IFERROR(__xludf.DUMMYFUNCTION("""COMPUTED_VALUE"""),"Packet Tracer labs for the CCNA 200-301 exam: Practical labs")</f>
        <v>Packet Tracer labs for the CCNA 200-301 exam: Practical labs</v>
      </c>
    </row>
    <row r="1872">
      <c r="A1872" s="140" t="str">
        <f>IFERROR(__xludf.DUMMYFUNCTION("""COMPUTED_VALUE"""),"en")</f>
        <v>en</v>
      </c>
      <c r="B1872">
        <f>IFERROR(__xludf.DUMMYFUNCTION("""COMPUTED_VALUE"""),749942.0)</f>
        <v>749942</v>
      </c>
      <c r="C1872" t="str">
        <f>IFERROR(__xludf.DUMMYFUNCTION("""COMPUTED_VALUE"""),"IELTS Vocabulary: Learn 400 Essential Words for IELTS")</f>
        <v>IELTS Vocabulary: Learn 400 Essential Words for IELTS</v>
      </c>
    </row>
    <row r="1873">
      <c r="A1873" s="140" t="str">
        <f>IFERROR(__xludf.DUMMYFUNCTION("""COMPUTED_VALUE"""),"en")</f>
        <v>en</v>
      </c>
      <c r="B1873">
        <f>IFERROR(__xludf.DUMMYFUNCTION("""COMPUTED_VALUE"""),535698.0)</f>
        <v>535698</v>
      </c>
      <c r="C1873" t="str">
        <f>IFERROR(__xludf.DUMMYFUNCTION("""COMPUTED_VALUE"""),"Maven Crash Course")</f>
        <v>Maven Crash Course</v>
      </c>
    </row>
    <row r="1874">
      <c r="A1874" s="140" t="str">
        <f>IFERROR(__xludf.DUMMYFUNCTION("""COMPUTED_VALUE"""),"ja")</f>
        <v>ja</v>
      </c>
      <c r="B1874">
        <f>IFERROR(__xludf.DUMMYFUNCTION("""COMPUTED_VALUE"""),2214284.0)</f>
        <v>2214284</v>
      </c>
      <c r="C1874" t="str">
        <f>IFERROR(__xludf.DUMMYFUNCTION("""COMPUTED_VALUE"""),"Google スライド入門～プレゼンソフトの最新機能や基本操作を学び、シンプルで伝わる資料の作成方法をマスター～")</f>
        <v>Google スライド入門～プレゼンソフトの最新機能や基本操作を学び、シンプルで伝わる資料の作成方法をマスター～</v>
      </c>
    </row>
    <row r="1875">
      <c r="A1875" s="140" t="str">
        <f>IFERROR(__xludf.DUMMYFUNCTION("""COMPUTED_VALUE"""),"ko")</f>
        <v>ko</v>
      </c>
      <c r="B1875">
        <f>IFERROR(__xludf.DUMMYFUNCTION("""COMPUTED_VALUE"""),1122696.0)</f>
        <v>1122696</v>
      </c>
      <c r="C1875" t="str">
        <f>IFERROR(__xludf.DUMMYFUNCTION("""COMPUTED_VALUE"""),"인벤터 실무 동영상 강좌 1편 - 설계 환경 구성하기")</f>
        <v>인벤터 실무 동영상 강좌 1편 - 설계 환경 구성하기</v>
      </c>
    </row>
    <row r="1876">
      <c r="A1876" s="140" t="str">
        <f>IFERROR(__xludf.DUMMYFUNCTION("""COMPUTED_VALUE"""),"en")</f>
        <v>en</v>
      </c>
      <c r="B1876">
        <f>IFERROR(__xludf.DUMMYFUNCTION("""COMPUTED_VALUE"""),987428.0)</f>
        <v>987428</v>
      </c>
      <c r="C1876" t="str">
        <f>IFERROR(__xludf.DUMMYFUNCTION("""COMPUTED_VALUE"""),"The Complete Facebook Ads Course - Beginner to Advanced")</f>
        <v>The Complete Facebook Ads Course - Beginner to Advanced</v>
      </c>
    </row>
    <row r="1877">
      <c r="A1877" s="140" t="str">
        <f>IFERROR(__xludf.DUMMYFUNCTION("""COMPUTED_VALUE"""),"pt")</f>
        <v>pt</v>
      </c>
      <c r="B1877">
        <f>IFERROR(__xludf.DUMMYFUNCTION("""COMPUTED_VALUE"""),1039944.0)</f>
        <v>1039944</v>
      </c>
      <c r="C1877" t="str">
        <f>IFERROR(__xludf.DUMMYFUNCTION("""COMPUTED_VALUE"""),"Fundamentos da Liderança e como fazer Gestão de Pessoas")</f>
        <v>Fundamentos da Liderança e como fazer Gestão de Pessoas</v>
      </c>
    </row>
    <row r="1878">
      <c r="A1878" s="140" t="str">
        <f>IFERROR(__xludf.DUMMYFUNCTION("""COMPUTED_VALUE"""),"en")</f>
        <v>en</v>
      </c>
      <c r="B1878">
        <f>IFERROR(__xludf.DUMMYFUNCTION("""COMPUTED_VALUE"""),1301968.0)</f>
        <v>1301968</v>
      </c>
      <c r="C1878" t="str">
        <f>IFERROR(__xludf.DUMMYFUNCTION("""COMPUTED_VALUE"""),"Agile PM 402 - Enterprise-level Agile Project Management")</f>
        <v>Agile PM 402 - Enterprise-level Agile Project Management</v>
      </c>
    </row>
    <row r="1879">
      <c r="A1879" s="140" t="str">
        <f>IFERROR(__xludf.DUMMYFUNCTION("""COMPUTED_VALUE"""),"fr")</f>
        <v>fr</v>
      </c>
      <c r="B1879">
        <f>IFERROR(__xludf.DUMMYFUNCTION("""COMPUTED_VALUE"""),2275925.0)</f>
        <v>2275925</v>
      </c>
      <c r="C1879" t="str">
        <f>IFERROR(__xludf.DUMMYFUNCTION("""COMPUTED_VALUE"""),"Graphic Design - Cours le plus complet (AI-PSD-INDD)")</f>
        <v>Graphic Design - Cours le plus complet (AI-PSD-INDD)</v>
      </c>
    </row>
    <row r="1880">
      <c r="A1880" s="140" t="str">
        <f>IFERROR(__xludf.DUMMYFUNCTION("""COMPUTED_VALUE"""),"en")</f>
        <v>en</v>
      </c>
      <c r="B1880">
        <f>IFERROR(__xludf.DUMMYFUNCTION("""COMPUTED_VALUE"""),1318550.0)</f>
        <v>1318550</v>
      </c>
      <c r="C1880" t="str">
        <f>IFERROR(__xludf.DUMMYFUNCTION("""COMPUTED_VALUE"""),"Master Discrete Mathematics-Set Theory, Relations &amp; More")</f>
        <v>Master Discrete Mathematics-Set Theory, Relations &amp; More</v>
      </c>
    </row>
    <row r="1881">
      <c r="A1881" s="140" t="str">
        <f>IFERROR(__xludf.DUMMYFUNCTION("""COMPUTED_VALUE"""),"en")</f>
        <v>en</v>
      </c>
      <c r="B1881">
        <f>IFERROR(__xludf.DUMMYFUNCTION("""COMPUTED_VALUE"""),1418878.0)</f>
        <v>1418878</v>
      </c>
      <c r="C1881" t="str">
        <f>IFERROR(__xludf.DUMMYFUNCTION("""COMPUTED_VALUE"""),"Spring Boot For Software Engineers")</f>
        <v>Spring Boot For Software Engineers</v>
      </c>
    </row>
    <row r="1882">
      <c r="A1882" s="140" t="str">
        <f>IFERROR(__xludf.DUMMYFUNCTION("""COMPUTED_VALUE"""),"en")</f>
        <v>en</v>
      </c>
      <c r="B1882">
        <f>IFERROR(__xludf.DUMMYFUNCTION("""COMPUTED_VALUE"""),1755264.0)</f>
        <v>1755264</v>
      </c>
      <c r="C1882" t="str">
        <f>IFERROR(__xludf.DUMMYFUNCTION("""COMPUTED_VALUE"""),"CompTIA Pentest+ (Ethical Hacking) Course &amp; Practice Exam")</f>
        <v>CompTIA Pentest+ (Ethical Hacking) Course &amp; Practice Exam</v>
      </c>
    </row>
    <row r="1883">
      <c r="A1883" s="140" t="str">
        <f>IFERROR(__xludf.DUMMYFUNCTION("""COMPUTED_VALUE"""),"en")</f>
        <v>en</v>
      </c>
      <c r="B1883">
        <f>IFERROR(__xludf.DUMMYFUNCTION("""COMPUTED_VALUE"""),1327254.0)</f>
        <v>1327254</v>
      </c>
      <c r="C1883" t="str">
        <f>IFERROR(__xludf.DUMMYFUNCTION("""COMPUTED_VALUE"""),"Music Theory Comprehensive Complete: Part 7, 8, &amp; 9")</f>
        <v>Music Theory Comprehensive Complete: Part 7, 8, &amp; 9</v>
      </c>
    </row>
    <row r="1884">
      <c r="A1884" s="140" t="str">
        <f>IFERROR(__xludf.DUMMYFUNCTION("""COMPUTED_VALUE"""),"zh")</f>
        <v>zh</v>
      </c>
      <c r="B1884">
        <f>IFERROR(__xludf.DUMMYFUNCTION("""COMPUTED_VALUE"""),1787642.0)</f>
        <v>1787642</v>
      </c>
      <c r="C1884" t="str">
        <f>IFERROR(__xludf.DUMMYFUNCTION("""COMPUTED_VALUE"""),"JavaScript api——Web开发人员的课程")</f>
        <v>JavaScript api——Web开发人员的课程</v>
      </c>
    </row>
    <row r="1885">
      <c r="A1885" s="140" t="str">
        <f>IFERROR(__xludf.DUMMYFUNCTION("""COMPUTED_VALUE"""),"pt")</f>
        <v>pt</v>
      </c>
      <c r="B1885">
        <f>IFERROR(__xludf.DUMMYFUNCTION("""COMPUTED_VALUE"""),1845704.0)</f>
        <v>1845704</v>
      </c>
      <c r="C1885" t="str">
        <f>IFERROR(__xludf.DUMMYFUNCTION("""COMPUTED_VALUE"""),"O Fim da PROCRASTINAÇÃO | Uma Habilidade Oculta")</f>
        <v>O Fim da PROCRASTINAÇÃO | Uma Habilidade Oculta</v>
      </c>
    </row>
    <row r="1886">
      <c r="A1886" s="140" t="str">
        <f>IFERROR(__xludf.DUMMYFUNCTION("""COMPUTED_VALUE"""),"ko")</f>
        <v>ko</v>
      </c>
      <c r="B1886">
        <f>IFERROR(__xludf.DUMMYFUNCTION("""COMPUTED_VALUE"""),4253066.0)</f>
        <v>4253066</v>
      </c>
      <c r="C1886" t="str">
        <f>IFERROR(__xludf.DUMMYFUNCTION("""COMPUTED_VALUE"""),"AI 완전정복을 위한 딥러닝 튜토리얼 part 1")</f>
        <v>AI 완전정복을 위한 딥러닝 튜토리얼 part 1</v>
      </c>
    </row>
    <row r="1887">
      <c r="A1887" s="140" t="str">
        <f>IFERROR(__xludf.DUMMYFUNCTION("""COMPUTED_VALUE"""),"en")</f>
        <v>en</v>
      </c>
      <c r="B1887">
        <f>IFERROR(__xludf.DUMMYFUNCTION("""COMPUTED_VALUE"""),1586186.0)</f>
        <v>1586186</v>
      </c>
      <c r="C1887" t="str">
        <f>IFERROR(__xludf.DUMMYFUNCTION("""COMPUTED_VALUE"""),"Java 9 New Features In Simple Way  : JShell, JPMS and More")</f>
        <v>Java 9 New Features In Simple Way  : JShell, JPMS and More</v>
      </c>
    </row>
    <row r="1888">
      <c r="A1888" s="140" t="str">
        <f>IFERROR(__xludf.DUMMYFUNCTION("""COMPUTED_VALUE"""),"en")</f>
        <v>en</v>
      </c>
      <c r="B1888">
        <f>IFERROR(__xludf.DUMMYFUNCTION("""COMPUTED_VALUE"""),396204.0)</f>
        <v>396204</v>
      </c>
      <c r="C1888" t="str">
        <f>IFERROR(__xludf.DUMMYFUNCTION("""COMPUTED_VALUE"""),"Graphic Design Masterclass: Learn Graphic Design in Projects")</f>
        <v>Graphic Design Masterclass: Learn Graphic Design in Projects</v>
      </c>
    </row>
    <row r="1889">
      <c r="A1889" s="140" t="str">
        <f>IFERROR(__xludf.DUMMYFUNCTION("""COMPUTED_VALUE"""),"en")</f>
        <v>en</v>
      </c>
      <c r="B1889">
        <f>IFERROR(__xludf.DUMMYFUNCTION("""COMPUTED_VALUE"""),430228.0)</f>
        <v>430228</v>
      </c>
      <c r="C1889" t="str">
        <f>IFERROR(__xludf.DUMMYFUNCTION("""COMPUTED_VALUE"""),"Sit Less Move More - Office Desk Exercise To Improve Posture")</f>
        <v>Sit Less Move More - Office Desk Exercise To Improve Posture</v>
      </c>
    </row>
    <row r="1890">
      <c r="A1890" s="140" t="str">
        <f>IFERROR(__xludf.DUMMYFUNCTION("""COMPUTED_VALUE"""),"en")</f>
        <v>en</v>
      </c>
      <c r="B1890">
        <f>IFERROR(__xludf.DUMMYFUNCTION("""COMPUTED_VALUE"""),328476.0)</f>
        <v>328476</v>
      </c>
      <c r="C1890" t="str">
        <f>IFERROR(__xludf.DUMMYFUNCTION("""COMPUTED_VALUE"""),"Complete ASP NET MVC Web Development - Newbie to Ninja!")</f>
        <v>Complete ASP NET MVC Web Development - Newbie to Ninja!</v>
      </c>
    </row>
    <row r="1891">
      <c r="A1891" s="140" t="str">
        <f>IFERROR(__xludf.DUMMYFUNCTION("""COMPUTED_VALUE"""),"de")</f>
        <v>de</v>
      </c>
      <c r="B1891">
        <f>IFERROR(__xludf.DUMMYFUNCTION("""COMPUTED_VALUE"""),1322552.0)</f>
        <v>1322552</v>
      </c>
      <c r="C1891" t="str">
        <f>IFERROR(__xludf.DUMMYFUNCTION("""COMPUTED_VALUE"""),"Komplettkurs: Durchstarten mit Sass / SCSS")</f>
        <v>Komplettkurs: Durchstarten mit Sass / SCSS</v>
      </c>
    </row>
    <row r="1892">
      <c r="A1892" s="140" t="str">
        <f>IFERROR(__xludf.DUMMYFUNCTION("""COMPUTED_VALUE"""),"en")</f>
        <v>en</v>
      </c>
      <c r="B1892">
        <f>IFERROR(__xludf.DUMMYFUNCTION("""COMPUTED_VALUE"""),1382644.0)</f>
        <v>1382644</v>
      </c>
      <c r="C1892" t="str">
        <f>IFERROR(__xludf.DUMMYFUNCTION("""COMPUTED_VALUE"""),"Angry Birds, Crossy Road &amp; more: Game Development in Swift 4")</f>
        <v>Angry Birds, Crossy Road &amp; more: Game Development in Swift 4</v>
      </c>
    </row>
    <row r="1893">
      <c r="A1893" s="140" t="str">
        <f>IFERROR(__xludf.DUMMYFUNCTION("""COMPUTED_VALUE"""),"en")</f>
        <v>en</v>
      </c>
      <c r="B1893">
        <f>IFERROR(__xludf.DUMMYFUNCTION("""COMPUTED_VALUE"""),1221616.0)</f>
        <v>1221616</v>
      </c>
      <c r="C1893" t="str">
        <f>IFERROR(__xludf.DUMMYFUNCTION("""COMPUTED_VALUE"""),"SQL Server 2016 Administration")</f>
        <v>SQL Server 2016 Administration</v>
      </c>
    </row>
    <row r="1894">
      <c r="A1894" s="140" t="str">
        <f>IFERROR(__xludf.DUMMYFUNCTION("""COMPUTED_VALUE"""),"en")</f>
        <v>en</v>
      </c>
      <c r="B1894">
        <f>IFERROR(__xludf.DUMMYFUNCTION("""COMPUTED_VALUE"""),1720286.0)</f>
        <v>1720286</v>
      </c>
      <c r="C1894" t="str">
        <f>IFERROR(__xludf.DUMMYFUNCTION("""COMPUTED_VALUE"""),"Master the Art of Writing Clean Code in C#")</f>
        <v>Master the Art of Writing Clean Code in C#</v>
      </c>
    </row>
    <row r="1895">
      <c r="A1895" s="140" t="str">
        <f>IFERROR(__xludf.DUMMYFUNCTION("""COMPUTED_VALUE"""),"de")</f>
        <v>de</v>
      </c>
      <c r="B1895">
        <f>IFERROR(__xludf.DUMMYFUNCTION("""COMPUTED_VALUE"""),998520.0)</f>
        <v>998520</v>
      </c>
      <c r="C1895" t="str">
        <f>IFERROR(__xludf.DUMMYFUNCTION("""COMPUTED_VALUE"""),"In 5 Schritten zum Seminar-Konzept")</f>
        <v>In 5 Schritten zum Seminar-Konzept</v>
      </c>
    </row>
    <row r="1896">
      <c r="A1896" s="140" t="str">
        <f>IFERROR(__xludf.DUMMYFUNCTION("""COMPUTED_VALUE"""),"es")</f>
        <v>es</v>
      </c>
      <c r="B1896">
        <f>IFERROR(__xludf.DUMMYFUNCTION("""COMPUTED_VALUE"""),1814586.0)</f>
        <v>1814586</v>
      </c>
      <c r="C1896" t="str">
        <f>IFERROR(__xludf.DUMMYFUNCTION("""COMPUTED_VALUE"""),"Administra Proyectos con MS Project De Cero a Avanzado")</f>
        <v>Administra Proyectos con MS Project De Cero a Avanzado</v>
      </c>
    </row>
    <row r="1897">
      <c r="A1897" s="140" t="str">
        <f>IFERROR(__xludf.DUMMYFUNCTION("""COMPUTED_VALUE"""),"en")</f>
        <v>en</v>
      </c>
      <c r="B1897">
        <f>IFERROR(__xludf.DUMMYFUNCTION("""COMPUTED_VALUE"""),1473338.0)</f>
        <v>1473338</v>
      </c>
      <c r="C1897" t="str">
        <f>IFERROR(__xludf.DUMMYFUNCTION("""COMPUTED_VALUE"""),"CISSP Easy/Mid practice questions: Domain 5 &amp; 6 - 2022")</f>
        <v>CISSP Easy/Mid practice questions: Domain 5 &amp; 6 - 2022</v>
      </c>
    </row>
    <row r="1898">
      <c r="A1898" s="140" t="str">
        <f>IFERROR(__xludf.DUMMYFUNCTION("""COMPUTED_VALUE"""),"en")</f>
        <v>en</v>
      </c>
      <c r="B1898">
        <f>IFERROR(__xludf.DUMMYFUNCTION("""COMPUTED_VALUE"""),2897732.0)</f>
        <v>2897732</v>
      </c>
      <c r="C1898" t="str">
        <f>IFERROR(__xludf.DUMMYFUNCTION("""COMPUTED_VALUE"""),"Six Sigma: Lean Six Sigma Black Belt (Part 3) (Accredited)")</f>
        <v>Six Sigma: Lean Six Sigma Black Belt (Part 3) (Accredited)</v>
      </c>
    </row>
    <row r="1899">
      <c r="A1899" s="140" t="str">
        <f>IFERROR(__xludf.DUMMYFUNCTION("""COMPUTED_VALUE"""),"es")</f>
        <v>es</v>
      </c>
      <c r="B1899">
        <f>IFERROR(__xludf.DUMMYFUNCTION("""COMPUTED_VALUE"""),1582274.0)</f>
        <v>1582274</v>
      </c>
      <c r="C1899" t="str">
        <f>IFERROR(__xludf.DUMMYFUNCTION("""COMPUTED_VALUE"""),"Invertir en Bolsa: Introducción al Análisis Técnico")</f>
        <v>Invertir en Bolsa: Introducción al Análisis Técnico</v>
      </c>
    </row>
    <row r="1900">
      <c r="A1900" s="140" t="str">
        <f>IFERROR(__xludf.DUMMYFUNCTION("""COMPUTED_VALUE"""),"en")</f>
        <v>en</v>
      </c>
      <c r="B1900">
        <f>IFERROR(__xludf.DUMMYFUNCTION("""COMPUTED_VALUE"""),3255908.0)</f>
        <v>3255908</v>
      </c>
      <c r="C1900" t="str">
        <f>IFERROR(__xludf.DUMMYFUNCTION("""COMPUTED_VALUE"""),"Apache JMeter - Basics to Intermediate level")</f>
        <v>Apache JMeter - Basics to Intermediate level</v>
      </c>
    </row>
    <row r="1901">
      <c r="A1901" s="140" t="str">
        <f>IFERROR(__xludf.DUMMYFUNCTION("""COMPUTED_VALUE"""),"en")</f>
        <v>en</v>
      </c>
      <c r="B1901">
        <f>IFERROR(__xludf.DUMMYFUNCTION("""COMPUTED_VALUE"""),1152726.0)</f>
        <v>1152726</v>
      </c>
      <c r="C1901" t="str">
        <f>IFERROR(__xludf.DUMMYFUNCTION("""COMPUTED_VALUE"""),"Learn Unit Testing with NUnit and C#")</f>
        <v>Learn Unit Testing with NUnit and C#</v>
      </c>
    </row>
    <row r="1902">
      <c r="A1902" s="140" t="str">
        <f>IFERROR(__xludf.DUMMYFUNCTION("""COMPUTED_VALUE"""),"en")</f>
        <v>en</v>
      </c>
      <c r="B1902">
        <f>IFERROR(__xludf.DUMMYFUNCTION("""COMPUTED_VALUE"""),1659524.0)</f>
        <v>1659524</v>
      </c>
      <c r="C1902" t="str">
        <f>IFERROR(__xludf.DUMMYFUNCTION("""COMPUTED_VALUE"""),"OpenStack Installation and Deployment")</f>
        <v>OpenStack Installation and Deployment</v>
      </c>
    </row>
    <row r="1903">
      <c r="A1903" s="140" t="str">
        <f>IFERROR(__xludf.DUMMYFUNCTION("""COMPUTED_VALUE"""),"en")</f>
        <v>en</v>
      </c>
      <c r="B1903">
        <f>IFERROR(__xludf.DUMMYFUNCTION("""COMPUTED_VALUE"""),1832808.0)</f>
        <v>1832808</v>
      </c>
      <c r="C1903" t="str">
        <f>IFERROR(__xludf.DUMMYFUNCTION("""COMPUTED_VALUE"""),"Cinema 4D Masterclass: The Ultimate Guide for Beginners")</f>
        <v>Cinema 4D Masterclass: The Ultimate Guide for Beginners</v>
      </c>
    </row>
    <row r="1904">
      <c r="A1904" s="140" t="str">
        <f>IFERROR(__xludf.DUMMYFUNCTION("""COMPUTED_VALUE"""),"en")</f>
        <v>en</v>
      </c>
      <c r="B1904">
        <f>IFERROR(__xludf.DUMMYFUNCTION("""COMPUTED_VALUE"""),4188360.0)</f>
        <v>4188360</v>
      </c>
      <c r="C1904" t="str">
        <f>IFERROR(__xludf.DUMMYFUNCTION("""COMPUTED_VALUE"""),"Angular Fundamentals from Scratch &amp; Unit/Integration Testing")</f>
        <v>Angular Fundamentals from Scratch &amp; Unit/Integration Testing</v>
      </c>
    </row>
    <row r="1905">
      <c r="A1905" s="140" t="str">
        <f>IFERROR(__xludf.DUMMYFUNCTION("""COMPUTED_VALUE"""),"en")</f>
        <v>en</v>
      </c>
      <c r="B1905">
        <f>IFERROR(__xludf.DUMMYFUNCTION("""COMPUTED_VALUE"""),1336300.0)</f>
        <v>1336300</v>
      </c>
      <c r="C1905" t="str">
        <f>IFERROR(__xludf.DUMMYFUNCTION("""COMPUTED_VALUE"""),"Manager's Guide to Difficult Conversations")</f>
        <v>Manager's Guide to Difficult Conversations</v>
      </c>
    </row>
    <row r="1906">
      <c r="A1906" s="140" t="str">
        <f>IFERROR(__xludf.DUMMYFUNCTION("""COMPUTED_VALUE"""),"pt")</f>
        <v>pt</v>
      </c>
      <c r="B1906">
        <f>IFERROR(__xludf.DUMMYFUNCTION("""COMPUTED_VALUE"""),1754774.0)</f>
        <v>1754774</v>
      </c>
      <c r="C1906" t="str">
        <f>IFERROR(__xludf.DUMMYFUNCTION("""COMPUTED_VALUE"""),"REST API's RESTFul do 0 à Azure com ASP.NET Core 5 e Docker")</f>
        <v>REST API's RESTFul do 0 à Azure com ASP.NET Core 5 e Docker</v>
      </c>
    </row>
    <row r="1907">
      <c r="A1907" s="140" t="str">
        <f>IFERROR(__xludf.DUMMYFUNCTION("""COMPUTED_VALUE"""),"en")</f>
        <v>en</v>
      </c>
      <c r="B1907">
        <f>IFERROR(__xludf.DUMMYFUNCTION("""COMPUTED_VALUE"""),2301254.0)</f>
        <v>2301254</v>
      </c>
      <c r="C1907" t="str">
        <f>IFERROR(__xludf.DUMMYFUNCTION("""COMPUTED_VALUE"""),"Certified Kubernetes Administrator (CKA) with Practice Tests")</f>
        <v>Certified Kubernetes Administrator (CKA) with Practice Tests</v>
      </c>
    </row>
    <row r="1908">
      <c r="A1908" s="140" t="str">
        <f>IFERROR(__xludf.DUMMYFUNCTION("""COMPUTED_VALUE"""),"en")</f>
        <v>en</v>
      </c>
      <c r="B1908">
        <f>IFERROR(__xludf.DUMMYFUNCTION("""COMPUTED_VALUE"""),2803043.0)</f>
        <v>2803043</v>
      </c>
      <c r="C1908" t="str">
        <f>IFERROR(__xludf.DUMMYFUNCTION("""COMPUTED_VALUE"""),"Introduction to Embedded Systems")</f>
        <v>Introduction to Embedded Systems</v>
      </c>
    </row>
    <row r="1909">
      <c r="A1909" s="140" t="str">
        <f>IFERROR(__xludf.DUMMYFUNCTION("""COMPUTED_VALUE"""),"es")</f>
        <v>es</v>
      </c>
      <c r="B1909">
        <f>IFERROR(__xludf.DUMMYFUNCTION("""COMPUTED_VALUE"""),1719340.0)</f>
        <v>1719340</v>
      </c>
      <c r="C1909" t="str">
        <f>IFERROR(__xludf.DUMMYFUNCTION("""COMPUTED_VALUE"""),"Curso de SEO y Posicionamiento web para Desarrolladores web")</f>
        <v>Curso de SEO y Posicionamiento web para Desarrolladores web</v>
      </c>
    </row>
    <row r="1910">
      <c r="A1910" s="140" t="str">
        <f>IFERROR(__xludf.DUMMYFUNCTION("""COMPUTED_VALUE"""),"en")</f>
        <v>en</v>
      </c>
      <c r="B1910">
        <f>IFERROR(__xludf.DUMMYFUNCTION("""COMPUTED_VALUE"""),2746778.0)</f>
        <v>2746778</v>
      </c>
      <c r="C1910" t="str">
        <f>IFERROR(__xludf.DUMMYFUNCTION("""COMPUTED_VALUE"""),"The Complete PowerPoint and Presentation Skills Masterclass")</f>
        <v>The Complete PowerPoint and Presentation Skills Masterclass</v>
      </c>
    </row>
    <row r="1911">
      <c r="A1911" s="140" t="str">
        <f>IFERROR(__xludf.DUMMYFUNCTION("""COMPUTED_VALUE"""),"es")</f>
        <v>es</v>
      </c>
      <c r="B1911">
        <f>IFERROR(__xludf.DUMMYFUNCTION("""COMPUTED_VALUE"""),2148064.0)</f>
        <v>2148064</v>
      </c>
      <c r="C1911" t="str">
        <f>IFERROR(__xludf.DUMMYFUNCTION("""COMPUTED_VALUE"""),"Design Thinking | De Cero a MAESTRO [2021]")</f>
        <v>Design Thinking | De Cero a MAESTRO [2021]</v>
      </c>
    </row>
    <row r="1912">
      <c r="A1912" s="140" t="str">
        <f>IFERROR(__xludf.DUMMYFUNCTION("""COMPUTED_VALUE"""),"en")</f>
        <v>en</v>
      </c>
      <c r="B1912">
        <f>IFERROR(__xludf.DUMMYFUNCTION("""COMPUTED_VALUE"""),1585006.0)</f>
        <v>1585006</v>
      </c>
      <c r="C1912" t="str">
        <f>IFERROR(__xludf.DUMMYFUNCTION("""COMPUTED_VALUE"""),"Hyperledger Fabric 2.x Network Design &amp; Setup")</f>
        <v>Hyperledger Fabric 2.x Network Design &amp; Setup</v>
      </c>
    </row>
    <row r="1913">
      <c r="A1913" s="140" t="str">
        <f>IFERROR(__xludf.DUMMYFUNCTION("""COMPUTED_VALUE"""),"ja")</f>
        <v>ja</v>
      </c>
      <c r="B1913">
        <f>IFERROR(__xludf.DUMMYFUNCTION("""COMPUTED_VALUE"""),4089014.0)</f>
        <v>4089014</v>
      </c>
      <c r="C1913" t="str">
        <f>IFERROR(__xludf.DUMMYFUNCTION("""COMPUTED_VALUE"""),"はじめての財務分析（中級）～財務分析から戦略へ！解説3.5時間超の演習中心コース、多くの実例から自分の事業観を深めよう！")</f>
        <v>はじめての財務分析（中級）～財務分析から戦略へ！解説3.5時間超の演習中心コース、多くの実例から自分の事業観を深めよう！</v>
      </c>
    </row>
    <row r="1914">
      <c r="A1914" s="140" t="str">
        <f>IFERROR(__xludf.DUMMYFUNCTION("""COMPUTED_VALUE"""),"en")</f>
        <v>en</v>
      </c>
      <c r="B1914">
        <f>IFERROR(__xludf.DUMMYFUNCTION("""COMPUTED_VALUE"""),3384352.0)</f>
        <v>3384352</v>
      </c>
      <c r="C1914" t="str">
        <f>IFERROR(__xludf.DUMMYFUNCTION("""COMPUTED_VALUE"""),"Mastering Burp Suite Pro - Dynamic course")</f>
        <v>Mastering Burp Suite Pro - Dynamic course</v>
      </c>
    </row>
    <row r="1915">
      <c r="A1915" s="140" t="str">
        <f>IFERROR(__xludf.DUMMYFUNCTION("""COMPUTED_VALUE"""),"tr")</f>
        <v>tr</v>
      </c>
      <c r="B1915">
        <f>IFERROR(__xludf.DUMMYFUNCTION("""COMPUTED_VALUE"""),2652328.0)</f>
        <v>2652328</v>
      </c>
      <c r="C1915" t="str">
        <f>IFERROR(__xludf.DUMMYFUNCTION("""COMPUTED_VALUE"""),"Özel Ders Formatında Fransızca Eğitim Seti")</f>
        <v>Özel Ders Formatında Fransızca Eğitim Seti</v>
      </c>
    </row>
    <row r="1916">
      <c r="A1916" s="140" t="str">
        <f>IFERROR(__xludf.DUMMYFUNCTION("""COMPUTED_VALUE"""),"en")</f>
        <v>en</v>
      </c>
      <c r="B1916">
        <f>IFERROR(__xludf.DUMMYFUNCTION("""COMPUTED_VALUE"""),1653432.0)</f>
        <v>1653432</v>
      </c>
      <c r="C1916" t="str">
        <f>IFERROR(__xludf.DUMMYFUNCTION("""COMPUTED_VALUE"""),"The Business Intelligence Analyst Course 2021")</f>
        <v>The Business Intelligence Analyst Course 2021</v>
      </c>
    </row>
    <row r="1917">
      <c r="A1917" s="140" t="str">
        <f>IFERROR(__xludf.DUMMYFUNCTION("""COMPUTED_VALUE"""),"es")</f>
        <v>es</v>
      </c>
      <c r="B1917">
        <f>IFERROR(__xludf.DUMMYFUNCTION("""COMPUTED_VALUE"""),1561898.0)</f>
        <v>1561898</v>
      </c>
      <c r="C1917" t="str">
        <f>IFERROR(__xludf.DUMMYFUNCTION("""COMPUTED_VALUE"""),"Excel para la Gestión de Recursos Humanos")</f>
        <v>Excel para la Gestión de Recursos Humanos</v>
      </c>
    </row>
    <row r="1918">
      <c r="A1918" s="140" t="str">
        <f>IFERROR(__xludf.DUMMYFUNCTION("""COMPUTED_VALUE"""),"es")</f>
        <v>es</v>
      </c>
      <c r="B1918">
        <f>IFERROR(__xludf.DUMMYFUNCTION("""COMPUTED_VALUE"""),1304252.0)</f>
        <v>1304252</v>
      </c>
      <c r="C1918" t="str">
        <f>IFERROR(__xludf.DUMMYFUNCTION("""COMPUTED_VALUE"""),"Algoritmos y estructuras de datos")</f>
        <v>Algoritmos y estructuras de datos</v>
      </c>
    </row>
    <row r="1919">
      <c r="A1919" s="140" t="str">
        <f>IFERROR(__xludf.DUMMYFUNCTION("""COMPUTED_VALUE"""),"en")</f>
        <v>en</v>
      </c>
      <c r="B1919">
        <f>IFERROR(__xludf.DUMMYFUNCTION("""COMPUTED_VALUE"""),1975038.0)</f>
        <v>1975038</v>
      </c>
      <c r="C1919" t="str">
        <f>IFERROR(__xludf.DUMMYFUNCTION("""COMPUTED_VALUE"""),"Practice Exams | AWS Certified Developer Associate 2021")</f>
        <v>Practice Exams | AWS Certified Developer Associate 2021</v>
      </c>
    </row>
    <row r="1920">
      <c r="A1920" s="140" t="str">
        <f>IFERROR(__xludf.DUMMYFUNCTION("""COMPUTED_VALUE"""),"es")</f>
        <v>es</v>
      </c>
      <c r="B1920">
        <f>IFERROR(__xludf.DUMMYFUNCTION("""COMPUTED_VALUE"""),1621612.0)</f>
        <v>1621612</v>
      </c>
      <c r="C1920" t="str">
        <f>IFERROR(__xludf.DUMMYFUNCTION("""COMPUTED_VALUE"""),"Adobe Photoshop CC: Curso Completo de Principiante a Experto")</f>
        <v>Adobe Photoshop CC: Curso Completo de Principiante a Experto</v>
      </c>
    </row>
    <row r="1921">
      <c r="A1921" s="140" t="str">
        <f>IFERROR(__xludf.DUMMYFUNCTION("""COMPUTED_VALUE"""),"pt")</f>
        <v>pt</v>
      </c>
      <c r="B1921">
        <f>IFERROR(__xludf.DUMMYFUNCTION("""COMPUTED_VALUE"""),2993246.0)</f>
        <v>2993246</v>
      </c>
      <c r="C1921" t="str">
        <f>IFERROR(__xludf.DUMMYFUNCTION("""COMPUTED_VALUE"""),"Administração de Sistemas GNU/Linux: Fundamentos e Prática")</f>
        <v>Administração de Sistemas GNU/Linux: Fundamentos e Prática</v>
      </c>
    </row>
    <row r="1922">
      <c r="A1922" s="140" t="str">
        <f>IFERROR(__xludf.DUMMYFUNCTION("""COMPUTED_VALUE"""),"en")</f>
        <v>en</v>
      </c>
      <c r="B1922">
        <f>IFERROR(__xludf.DUMMYFUNCTION("""COMPUTED_VALUE"""),1942834.0)</f>
        <v>1942834</v>
      </c>
      <c r="C1922" t="str">
        <f>IFERROR(__xludf.DUMMYFUNCTION("""COMPUTED_VALUE"""),"MikroTik CAPsMAN with LABS")</f>
        <v>MikroTik CAPsMAN with LABS</v>
      </c>
    </row>
    <row r="1923">
      <c r="A1923" s="140" t="str">
        <f>IFERROR(__xludf.DUMMYFUNCTION("""COMPUTED_VALUE"""),"en")</f>
        <v>en</v>
      </c>
      <c r="B1923">
        <f>IFERROR(__xludf.DUMMYFUNCTION("""COMPUTED_VALUE"""),1029244.0)</f>
        <v>1029244</v>
      </c>
      <c r="C1923" t="str">
        <f>IFERROR(__xludf.DUMMYFUNCTION("""COMPUTED_VALUE"""),"CompTIA Linux+ LX0-101 &amp; LX0-102")</f>
        <v>CompTIA Linux+ LX0-101 &amp; LX0-102</v>
      </c>
    </row>
    <row r="1924">
      <c r="A1924" s="140" t="str">
        <f>IFERROR(__xludf.DUMMYFUNCTION("""COMPUTED_VALUE"""),"de")</f>
        <v>de</v>
      </c>
      <c r="B1924">
        <f>IFERROR(__xludf.DUMMYFUNCTION("""COMPUTED_VALUE"""),1412832.0)</f>
        <v>1412832</v>
      </c>
      <c r="C1924" t="str">
        <f>IFERROR(__xludf.DUMMYFUNCTION("""COMPUTED_VALUE"""),"Installationsanleitung: Java, Maven, GIT, IntelliJ &amp; Docker")</f>
        <v>Installationsanleitung: Java, Maven, GIT, IntelliJ &amp; Docker</v>
      </c>
    </row>
    <row r="1925">
      <c r="A1925" s="140" t="str">
        <f>IFERROR(__xludf.DUMMYFUNCTION("""COMPUTED_VALUE"""),"ar")</f>
        <v>ar</v>
      </c>
      <c r="B1925">
        <f>IFERROR(__xludf.DUMMYFUNCTION("""COMPUTED_VALUE"""),2220448.0)</f>
        <v>2220448</v>
      </c>
      <c r="C1925" t="str">
        <f>IFERROR(__xludf.DUMMYFUNCTION("""COMPUTED_VALUE"""),"تمرين عملي شامل|صمم شاشة تطبيق موبايل احترافية في 9 فيديوهات")</f>
        <v>تمرين عملي شامل|صمم شاشة تطبيق موبايل احترافية في 9 فيديوهات</v>
      </c>
    </row>
    <row r="1926">
      <c r="A1926" s="140" t="str">
        <f>IFERROR(__xludf.DUMMYFUNCTION("""COMPUTED_VALUE"""),"en")</f>
        <v>en</v>
      </c>
      <c r="B1926">
        <f>IFERROR(__xludf.DUMMYFUNCTION("""COMPUTED_VALUE"""),964914.0)</f>
        <v>964914</v>
      </c>
      <c r="C1926" t="str">
        <f>IFERROR(__xludf.DUMMYFUNCTION("""COMPUTED_VALUE"""),"Spring Framework In Easy Steps")</f>
        <v>Spring Framework In Easy Steps</v>
      </c>
    </row>
    <row r="1927">
      <c r="A1927" s="140" t="str">
        <f>IFERROR(__xludf.DUMMYFUNCTION("""COMPUTED_VALUE"""),"en")</f>
        <v>en</v>
      </c>
      <c r="B1927">
        <f>IFERROR(__xludf.DUMMYFUNCTION("""COMPUTED_VALUE"""),3508122.0)</f>
        <v>3508122</v>
      </c>
      <c r="C1927" t="str">
        <f>IFERROR(__xludf.DUMMYFUNCTION("""COMPUTED_VALUE"""),"The Complete Traefik Training Course")</f>
        <v>The Complete Traefik Training Course</v>
      </c>
    </row>
    <row r="1928">
      <c r="A1928" s="140" t="str">
        <f>IFERROR(__xludf.DUMMYFUNCTION("""COMPUTED_VALUE"""),"ja")</f>
        <v>ja</v>
      </c>
      <c r="B1928">
        <f>IFERROR(__xludf.DUMMYFUNCTION("""COMPUTED_VALUE"""),1895736.0)</f>
        <v>1895736</v>
      </c>
      <c r="C1928" t="str">
        <f>IFERROR(__xludf.DUMMYFUNCTION("""COMPUTED_VALUE"""),"【情報セキュリティ基礎】ハッカーの視点から見るセキュリティ対策の必要性")</f>
        <v>【情報セキュリティ基礎】ハッカーの視点から見るセキュリティ対策の必要性</v>
      </c>
    </row>
    <row r="1929">
      <c r="A1929" s="140" t="str">
        <f>IFERROR(__xludf.DUMMYFUNCTION("""COMPUTED_VALUE"""),"en")</f>
        <v>en</v>
      </c>
      <c r="B1929">
        <f>IFERROR(__xludf.DUMMYFUNCTION("""COMPUTED_VALUE"""),2768354.0)</f>
        <v>2768354</v>
      </c>
      <c r="C1929" t="str">
        <f>IFERROR(__xludf.DUMMYFUNCTION("""COMPUTED_VALUE"""),"Nonprofit Startup - How To Start a Nonprofit Business")</f>
        <v>Nonprofit Startup - How To Start a Nonprofit Business</v>
      </c>
    </row>
    <row r="1930">
      <c r="A1930" s="140" t="str">
        <f>IFERROR(__xludf.DUMMYFUNCTION("""COMPUTED_VALUE"""),"de")</f>
        <v>de</v>
      </c>
      <c r="B1930">
        <f>IFERROR(__xludf.DUMMYFUNCTION("""COMPUTED_VALUE"""),1855652.0)</f>
        <v>1855652</v>
      </c>
      <c r="C1930" t="str">
        <f>IFERROR(__xludf.DUMMYFUNCTION("""COMPUTED_VALUE"""),"Businessplan - Dein Plan für deine erfolgreiche Gründung")</f>
        <v>Businessplan - Dein Plan für deine erfolgreiche Gründung</v>
      </c>
    </row>
    <row r="1931">
      <c r="A1931" s="140" t="str">
        <f>IFERROR(__xludf.DUMMYFUNCTION("""COMPUTED_VALUE"""),"en")</f>
        <v>en</v>
      </c>
      <c r="B1931">
        <f>IFERROR(__xludf.DUMMYFUNCTION("""COMPUTED_VALUE"""),1288468.0)</f>
        <v>1288468</v>
      </c>
      <c r="C1931" t="str">
        <f>IFERROR(__xludf.DUMMYFUNCTION("""COMPUTED_VALUE"""),"Supply Chain:  Planning of Resources &amp; Detailed Scheduling")</f>
        <v>Supply Chain:  Planning of Resources &amp; Detailed Scheduling</v>
      </c>
    </row>
    <row r="1932">
      <c r="A1932" s="140" t="str">
        <f>IFERROR(__xludf.DUMMYFUNCTION("""COMPUTED_VALUE"""),"en")</f>
        <v>en</v>
      </c>
      <c r="B1932">
        <f>IFERROR(__xludf.DUMMYFUNCTION("""COMPUTED_VALUE"""),120600.0)</f>
        <v>120600</v>
      </c>
      <c r="C1932" t="str">
        <f>IFERROR(__xludf.DUMMYFUNCTION("""COMPUTED_VALUE"""),"Radiate Confidence: How to Create a 1000 Watt Presence")</f>
        <v>Radiate Confidence: How to Create a 1000 Watt Presence</v>
      </c>
    </row>
    <row r="1933">
      <c r="A1933" s="140" t="str">
        <f>IFERROR(__xludf.DUMMYFUNCTION("""COMPUTED_VALUE"""),"en")</f>
        <v>en</v>
      </c>
      <c r="B1933">
        <f>IFERROR(__xludf.DUMMYFUNCTION("""COMPUTED_VALUE"""),1640528.0)</f>
        <v>1640528</v>
      </c>
      <c r="C1933" t="str">
        <f>IFERROR(__xludf.DUMMYFUNCTION("""COMPUTED_VALUE"""),"Mastering Amazon Redshift 2021 Development &amp; Administration")</f>
        <v>Mastering Amazon Redshift 2021 Development &amp; Administration</v>
      </c>
    </row>
    <row r="1934">
      <c r="A1934" s="140" t="str">
        <f>IFERROR(__xludf.DUMMYFUNCTION("""COMPUTED_VALUE"""),"en")</f>
        <v>en</v>
      </c>
      <c r="B1934">
        <f>IFERROR(__xludf.DUMMYFUNCTION("""COMPUTED_VALUE"""),1973756.0)</f>
        <v>1973756</v>
      </c>
      <c r="C1934" t="str">
        <f>IFERROR(__xludf.DUMMYFUNCTION("""COMPUTED_VALUE"""),"The Beginners 2021 Cyber Security Awareness Training Course")</f>
        <v>The Beginners 2021 Cyber Security Awareness Training Course</v>
      </c>
    </row>
    <row r="1935">
      <c r="A1935" s="140" t="str">
        <f>IFERROR(__xludf.DUMMYFUNCTION("""COMPUTED_VALUE"""),"en")</f>
        <v>en</v>
      </c>
      <c r="B1935">
        <f>IFERROR(__xludf.DUMMYFUNCTION("""COMPUTED_VALUE"""),3369594.0)</f>
        <v>3369594</v>
      </c>
      <c r="C1935" t="str">
        <f>IFERROR(__xludf.DUMMYFUNCTION("""COMPUTED_VALUE"""),"Learn TradingView Pine Script Programming From Scratch")</f>
        <v>Learn TradingView Pine Script Programming From Scratch</v>
      </c>
    </row>
    <row r="1936">
      <c r="A1936" s="140" t="str">
        <f>IFERROR(__xludf.DUMMYFUNCTION("""COMPUTED_VALUE"""),"en")</f>
        <v>en</v>
      </c>
      <c r="B1936">
        <f>IFERROR(__xludf.DUMMYFUNCTION("""COMPUTED_VALUE"""),3730630.0)</f>
        <v>3730630</v>
      </c>
      <c r="C1936" t="str">
        <f>IFERROR(__xludf.DUMMYFUNCTION("""COMPUTED_VALUE"""),"Adobe Illustrator Mega Course - From Beginner to Advanced")</f>
        <v>Adobe Illustrator Mega Course - From Beginner to Advanced</v>
      </c>
    </row>
    <row r="1937">
      <c r="A1937" s="140" t="str">
        <f>IFERROR(__xludf.DUMMYFUNCTION("""COMPUTED_VALUE"""),"en")</f>
        <v>en</v>
      </c>
      <c r="B1937">
        <f>IFERROR(__xludf.DUMMYFUNCTION("""COMPUTED_VALUE"""),4230560.0)</f>
        <v>4230560</v>
      </c>
      <c r="C1937" t="str">
        <f>IFERROR(__xludf.DUMMYFUNCTION("""COMPUTED_VALUE"""),"Women's Leadership")</f>
        <v>Women's Leadership</v>
      </c>
    </row>
    <row r="1938">
      <c r="A1938" s="140" t="str">
        <f>IFERROR(__xludf.DUMMYFUNCTION("""COMPUTED_VALUE"""),"en")</f>
        <v>en</v>
      </c>
      <c r="B1938">
        <f>IFERROR(__xludf.DUMMYFUNCTION("""COMPUTED_VALUE"""),1941120.0)</f>
        <v>1941120</v>
      </c>
      <c r="C1938" t="str">
        <f>IFERROR(__xludf.DUMMYFUNCTION("""COMPUTED_VALUE"""),"Qt 5 Core for Beginners with C++")</f>
        <v>Qt 5 Core for Beginners with C++</v>
      </c>
    </row>
    <row r="1939">
      <c r="A1939" s="140" t="str">
        <f>IFERROR(__xludf.DUMMYFUNCTION("""COMPUTED_VALUE"""),"en")</f>
        <v>en</v>
      </c>
      <c r="B1939">
        <f>IFERROR(__xludf.DUMMYFUNCTION("""COMPUTED_VALUE"""),648530.0)</f>
        <v>648530</v>
      </c>
      <c r="C1939" t="str">
        <f>IFERROR(__xludf.DUMMYFUNCTION("""COMPUTED_VALUE"""),"Email Ninja - Take Back Control of Your Email Inbox")</f>
        <v>Email Ninja - Take Back Control of Your Email Inbox</v>
      </c>
    </row>
    <row r="1940">
      <c r="A1940" s="140" t="str">
        <f>IFERROR(__xludf.DUMMYFUNCTION("""COMPUTED_VALUE"""),"en")</f>
        <v>en</v>
      </c>
      <c r="B1940">
        <f>IFERROR(__xludf.DUMMYFUNCTION("""COMPUTED_VALUE"""),2276027.0)</f>
        <v>2276027</v>
      </c>
      <c r="C1940" t="str">
        <f>IFERROR(__xludf.DUMMYFUNCTION("""COMPUTED_VALUE"""),"Manage Finance Data with Python &amp; Pandas: Unique Masterclass")</f>
        <v>Manage Finance Data with Python &amp; Pandas: Unique Masterclass</v>
      </c>
    </row>
    <row r="1941">
      <c r="A1941" s="140" t="str">
        <f>IFERROR(__xludf.DUMMYFUNCTION("""COMPUTED_VALUE"""),"en")</f>
        <v>en</v>
      </c>
      <c r="B1941">
        <f>IFERROR(__xludf.DUMMYFUNCTION("""COMPUTED_VALUE"""),3134646.0)</f>
        <v>3134646</v>
      </c>
      <c r="C1941" t="str">
        <f>IFERROR(__xludf.DUMMYFUNCTION("""COMPUTED_VALUE"""),"Hacking and Pentesting iOS Applications")</f>
        <v>Hacking and Pentesting iOS Applications</v>
      </c>
    </row>
    <row r="1942">
      <c r="A1942" s="140" t="str">
        <f>IFERROR(__xludf.DUMMYFUNCTION("""COMPUTED_VALUE"""),"ja")</f>
        <v>ja</v>
      </c>
      <c r="B1942">
        <f>IFERROR(__xludf.DUMMYFUNCTION("""COMPUTED_VALUE"""),1259190.0)</f>
        <v>1259190</v>
      </c>
      <c r="C1942" t="str">
        <f>IFERROR(__xludf.DUMMYFUNCTION("""COMPUTED_VALUE"""),"【情報セキュリティ】Ethical Hacking：ホワイトハッカー入門")</f>
        <v>【情報セキュリティ】Ethical Hacking：ホワイトハッカー入門</v>
      </c>
    </row>
    <row r="1943">
      <c r="A1943" s="140" t="str">
        <f>IFERROR(__xludf.DUMMYFUNCTION("""COMPUTED_VALUE"""),"en")</f>
        <v>en</v>
      </c>
      <c r="B1943">
        <f>IFERROR(__xludf.DUMMYFUNCTION("""COMPUTED_VALUE"""),2555029.0)</f>
        <v>2555029</v>
      </c>
      <c r="C1943" t="str">
        <f>IFERROR(__xludf.DUMMYFUNCTION("""COMPUTED_VALUE"""),"CompTIA A+ (220-1001) Test Prep, Exams and Simulations")</f>
        <v>CompTIA A+ (220-1001) Test Prep, Exams and Simulations</v>
      </c>
    </row>
    <row r="1944">
      <c r="A1944" s="140" t="str">
        <f>IFERROR(__xludf.DUMMYFUNCTION("""COMPUTED_VALUE"""),"en")</f>
        <v>en</v>
      </c>
      <c r="B1944">
        <f>IFERROR(__xludf.DUMMYFUNCTION("""COMPUTED_VALUE"""),306556.0)</f>
        <v>306556</v>
      </c>
      <c r="C1944" t="str">
        <f>IFERROR(__xludf.DUMMYFUNCTION("""COMPUTED_VALUE"""),"Backbone Tutorial: Learn Backbonejs from Scratch")</f>
        <v>Backbone Tutorial: Learn Backbonejs from Scratch</v>
      </c>
    </row>
    <row r="1945">
      <c r="A1945" s="140" t="str">
        <f>IFERROR(__xludf.DUMMYFUNCTION("""COMPUTED_VALUE"""),"en")</f>
        <v>en</v>
      </c>
      <c r="B1945">
        <f>IFERROR(__xludf.DUMMYFUNCTION("""COMPUTED_VALUE"""),2277621.0)</f>
        <v>2277621</v>
      </c>
      <c r="C1945" t="str">
        <f>IFERROR(__xludf.DUMMYFUNCTION("""COMPUTED_VALUE"""),"Forex Trading Strategy Part 2 - Advanced ALM-TCS Progression")</f>
        <v>Forex Trading Strategy Part 2 - Advanced ALM-TCS Progression</v>
      </c>
    </row>
    <row r="1946">
      <c r="A1946" s="140" t="str">
        <f>IFERROR(__xludf.DUMMYFUNCTION("""COMPUTED_VALUE"""),"fr")</f>
        <v>fr</v>
      </c>
      <c r="B1946">
        <f>IFERROR(__xludf.DUMMYFUNCTION("""COMPUTED_VALUE"""),3034266.0)</f>
        <v>3034266</v>
      </c>
      <c r="C1946" t="str">
        <f>IFERROR(__xludf.DUMMYFUNCTION("""COMPUTED_VALUE"""),"Linux | Fondamentaux et Scripting Shell")</f>
        <v>Linux | Fondamentaux et Scripting Shell</v>
      </c>
    </row>
    <row r="1947">
      <c r="A1947" s="140" t="str">
        <f>IFERROR(__xludf.DUMMYFUNCTION("""COMPUTED_VALUE"""),"en")</f>
        <v>en</v>
      </c>
      <c r="B1947">
        <f>IFERROR(__xludf.DUMMYFUNCTION("""COMPUTED_VALUE"""),986552.0)</f>
        <v>986552</v>
      </c>
      <c r="C1947" t="str">
        <f>IFERROR(__xludf.DUMMYFUNCTION("""COMPUTED_VALUE"""),"CISSP - Certified Information Systems Security Professional")</f>
        <v>CISSP - Certified Information Systems Security Professional</v>
      </c>
    </row>
    <row r="1948">
      <c r="A1948" s="140" t="str">
        <f>IFERROR(__xludf.DUMMYFUNCTION("""COMPUTED_VALUE"""),"en")</f>
        <v>en</v>
      </c>
      <c r="B1948">
        <f>IFERROR(__xludf.DUMMYFUNCTION("""COMPUTED_VALUE"""),1695640.0)</f>
        <v>1695640</v>
      </c>
      <c r="C1948" t="str">
        <f>IFERROR(__xludf.DUMMYFUNCTION("""COMPUTED_VALUE"""),"Sales Skills &amp; Negotiation Skills - Selling Masterclass 2021")</f>
        <v>Sales Skills &amp; Negotiation Skills - Selling Masterclass 2021</v>
      </c>
    </row>
    <row r="1949">
      <c r="A1949" s="140" t="str">
        <f>IFERROR(__xludf.DUMMYFUNCTION("""COMPUTED_VALUE"""),"en")</f>
        <v>en</v>
      </c>
      <c r="B1949">
        <f>IFERROR(__xludf.DUMMYFUNCTION("""COMPUTED_VALUE"""),1820254.0)</f>
        <v>1820254</v>
      </c>
      <c r="C1949" t="str">
        <f>IFERROR(__xludf.DUMMYFUNCTION("""COMPUTED_VALUE"""),"Sexual Harassment Training for Employees in the Workplace")</f>
        <v>Sexual Harassment Training for Employees in the Workplace</v>
      </c>
    </row>
    <row r="1950">
      <c r="A1950" s="140" t="str">
        <f>IFERROR(__xludf.DUMMYFUNCTION("""COMPUTED_VALUE"""),"es")</f>
        <v>es</v>
      </c>
      <c r="B1950">
        <f>IFERROR(__xludf.DUMMYFUNCTION("""COMPUTED_VALUE"""),2712040.0)</f>
        <v>2712040</v>
      </c>
      <c r="C1950" t="str">
        <f>IFERROR(__xludf.DUMMYFUNCTION("""COMPUTED_VALUE"""),"Tiempo real y Laravel: Múltiples apps realtime con Laravel")</f>
        <v>Tiempo real y Laravel: Múltiples apps realtime con Laravel</v>
      </c>
    </row>
    <row r="1951">
      <c r="A1951" s="140" t="str">
        <f>IFERROR(__xludf.DUMMYFUNCTION("""COMPUTED_VALUE"""),"en")</f>
        <v>en</v>
      </c>
      <c r="B1951">
        <f>IFERROR(__xludf.DUMMYFUNCTION("""COMPUTED_VALUE"""),1780636.0)</f>
        <v>1780636</v>
      </c>
      <c r="C1951" t="str">
        <f>IFERROR(__xludf.DUMMYFUNCTION("""COMPUTED_VALUE"""),"Quick Introduction to Postman and API Testing for Beginners")</f>
        <v>Quick Introduction to Postman and API Testing for Beginners</v>
      </c>
    </row>
    <row r="1952">
      <c r="A1952" s="140" t="str">
        <f>IFERROR(__xludf.DUMMYFUNCTION("""COMPUTED_VALUE"""),"en")</f>
        <v>en</v>
      </c>
      <c r="B1952">
        <f>IFERROR(__xludf.DUMMYFUNCTION("""COMPUTED_VALUE"""),3014852.0)</f>
        <v>3014852</v>
      </c>
      <c r="C1952" t="str">
        <f>IFERROR(__xludf.DUMMYFUNCTION("""COMPUTED_VALUE"""),"Mastering SharePoint Framework SPFx Development")</f>
        <v>Mastering SharePoint Framework SPFx Development</v>
      </c>
    </row>
    <row r="1953">
      <c r="A1953" s="140" t="str">
        <f>IFERROR(__xludf.DUMMYFUNCTION("""COMPUTED_VALUE"""),"es")</f>
        <v>es</v>
      </c>
      <c r="B1953">
        <f>IFERROR(__xludf.DUMMYFUNCTION("""COMPUTED_VALUE"""),1618998.0)</f>
        <v>1618998</v>
      </c>
      <c r="C1953" t="str">
        <f>IFERROR(__xludf.DUMMYFUNCTION("""COMPUTED_VALUE"""),"PMP: Como Gestionar costos del Proyecto - PMBok 6ta Ed")</f>
        <v>PMP: Como Gestionar costos del Proyecto - PMBok 6ta Ed</v>
      </c>
    </row>
    <row r="1954">
      <c r="A1954" s="140" t="str">
        <f>IFERROR(__xludf.DUMMYFUNCTION("""COMPUTED_VALUE"""),"en")</f>
        <v>en</v>
      </c>
      <c r="B1954">
        <f>IFERROR(__xludf.DUMMYFUNCTION("""COMPUTED_VALUE"""),1751524.0)</f>
        <v>1751524</v>
      </c>
      <c r="C1954" t="str">
        <f>IFERROR(__xludf.DUMMYFUNCTION("""COMPUTED_VALUE"""),"PCA &amp; multivariate signal processing, applied to neural data")</f>
        <v>PCA &amp; multivariate signal processing, applied to neural data</v>
      </c>
    </row>
    <row r="1955">
      <c r="A1955" s="140" t="str">
        <f>IFERROR(__xludf.DUMMYFUNCTION("""COMPUTED_VALUE"""),"es")</f>
        <v>es</v>
      </c>
      <c r="B1955">
        <f>IFERROR(__xludf.DUMMYFUNCTION("""COMPUTED_VALUE"""),2429216.0)</f>
        <v>2429216</v>
      </c>
      <c r="C1955" t="str">
        <f>IFERROR(__xludf.DUMMYFUNCTION("""COMPUTED_VALUE"""),"Clickfunnels: Como Crear Embudos de Venta de Alta Conversión")</f>
        <v>Clickfunnels: Como Crear Embudos de Venta de Alta Conversión</v>
      </c>
    </row>
    <row r="1956">
      <c r="A1956" s="140" t="str">
        <f>IFERROR(__xludf.DUMMYFUNCTION("""COMPUTED_VALUE"""),"tr")</f>
        <v>tr</v>
      </c>
      <c r="B1956">
        <f>IFERROR(__xludf.DUMMYFUNCTION("""COMPUTED_VALUE"""),3568469.0)</f>
        <v>3568469</v>
      </c>
      <c r="C1956" t="str">
        <f>IFERROR(__xludf.DUMMYFUNCTION("""COMPUTED_VALUE"""),"A-Z™ | Raspberry Pi  ile 0'dan ileri seviyeye (Python,Java)")</f>
        <v>A-Z™ | Raspberry Pi  ile 0'dan ileri seviyeye (Python,Java)</v>
      </c>
    </row>
    <row r="1957">
      <c r="A1957" s="140" t="str">
        <f>IFERROR(__xludf.DUMMYFUNCTION("""COMPUTED_VALUE"""),"en")</f>
        <v>en</v>
      </c>
      <c r="B1957">
        <f>IFERROR(__xludf.DUMMYFUNCTION("""COMPUTED_VALUE"""),984960.0)</f>
        <v>984960</v>
      </c>
      <c r="C1957" t="str">
        <f>IFERROR(__xludf.DUMMYFUNCTION("""COMPUTED_VALUE"""),"CompTIA Advanced Security Practitioner (CASP)")</f>
        <v>CompTIA Advanced Security Practitioner (CASP)</v>
      </c>
    </row>
    <row r="1958">
      <c r="A1958" s="140" t="str">
        <f>IFERROR(__xludf.DUMMYFUNCTION("""COMPUTED_VALUE"""),"en")</f>
        <v>en</v>
      </c>
      <c r="B1958">
        <f>IFERROR(__xludf.DUMMYFUNCTION("""COMPUTED_VALUE"""),1241926.0)</f>
        <v>1241926</v>
      </c>
      <c r="C1958" t="str">
        <f>IFERROR(__xludf.DUMMYFUNCTION("""COMPUTED_VALUE"""),"Learn MAPINFO Professional from scratch ( Zero to Hero )")</f>
        <v>Learn MAPINFO Professional from scratch ( Zero to Hero )</v>
      </c>
    </row>
    <row r="1959">
      <c r="A1959" s="140" t="str">
        <f>IFERROR(__xludf.DUMMYFUNCTION("""COMPUTED_VALUE"""),"tr")</f>
        <v>tr</v>
      </c>
      <c r="B1959">
        <f>IFERROR(__xludf.DUMMYFUNCTION("""COMPUTED_VALUE"""),2282206.0)</f>
        <v>2282206</v>
      </c>
      <c r="C1959" t="str">
        <f>IFERROR(__xludf.DUMMYFUNCTION("""COMPUTED_VALUE"""),"Kodlama Serüveni : 01 - Algoritma Öğrenmeden Önce!")</f>
        <v>Kodlama Serüveni : 01 - Algoritma Öğrenmeden Önce!</v>
      </c>
    </row>
    <row r="1960">
      <c r="A1960" s="140" t="str">
        <f>IFERROR(__xludf.DUMMYFUNCTION("""COMPUTED_VALUE"""),"en")</f>
        <v>en</v>
      </c>
      <c r="B1960">
        <f>IFERROR(__xludf.DUMMYFUNCTION("""COMPUTED_VALUE"""),2865598.0)</f>
        <v>2865598</v>
      </c>
      <c r="C1960" t="str">
        <f>IFERROR(__xludf.DUMMYFUNCTION("""COMPUTED_VALUE"""),"Marketing Cloud Intro")</f>
        <v>Marketing Cloud Intro</v>
      </c>
    </row>
    <row r="1961">
      <c r="A1961" s="140" t="str">
        <f>IFERROR(__xludf.DUMMYFUNCTION("""COMPUTED_VALUE"""),"en")</f>
        <v>en</v>
      </c>
      <c r="B1961">
        <f>IFERROR(__xludf.DUMMYFUNCTION("""COMPUTED_VALUE"""),1392122.0)</f>
        <v>1392122</v>
      </c>
      <c r="C1961" t="str">
        <f>IFERROR(__xludf.DUMMYFUNCTION("""COMPUTED_VALUE"""),"iPhone Photography | Take Professional Photos On Your iPhone")</f>
        <v>iPhone Photography | Take Professional Photos On Your iPhone</v>
      </c>
    </row>
    <row r="1962">
      <c r="A1962" s="140" t="str">
        <f>IFERROR(__xludf.DUMMYFUNCTION("""COMPUTED_VALUE"""),"en")</f>
        <v>en</v>
      </c>
      <c r="B1962">
        <f>IFERROR(__xludf.DUMMYFUNCTION("""COMPUTED_VALUE"""),42271.0)</f>
        <v>42271</v>
      </c>
      <c r="C1962" t="str">
        <f>IFERROR(__xludf.DUMMYFUNCTION("""COMPUTED_VALUE"""),"Complete Guitar Lessons System - Beginner to Advanced")</f>
        <v>Complete Guitar Lessons System - Beginner to Advanced</v>
      </c>
    </row>
    <row r="1963">
      <c r="A1963" s="140" t="str">
        <f>IFERROR(__xludf.DUMMYFUNCTION("""COMPUTED_VALUE"""),"en")</f>
        <v>en</v>
      </c>
      <c r="B1963">
        <f>IFERROR(__xludf.DUMMYFUNCTION("""COMPUTED_VALUE"""),1459342.0)</f>
        <v>1459342</v>
      </c>
      <c r="C1963" t="str">
        <f>IFERROR(__xludf.DUMMYFUNCTION("""COMPUTED_VALUE"""),"How to Facilitate Effective Communication and Engagement")</f>
        <v>How to Facilitate Effective Communication and Engagement</v>
      </c>
    </row>
    <row r="1964">
      <c r="A1964" s="140" t="str">
        <f>IFERROR(__xludf.DUMMYFUNCTION("""COMPUTED_VALUE"""),"en")</f>
        <v>en</v>
      </c>
      <c r="B1964">
        <f>IFERROR(__xludf.DUMMYFUNCTION("""COMPUTED_VALUE"""),4271986.0)</f>
        <v>4271986</v>
      </c>
      <c r="C1964" t="str">
        <f>IFERROR(__xludf.DUMMYFUNCTION("""COMPUTED_VALUE"""),"Smart Tips: Soft Skills for Technical Professionals")</f>
        <v>Smart Tips: Soft Skills for Technical Professionals</v>
      </c>
    </row>
    <row r="1965">
      <c r="A1965" s="140" t="str">
        <f>IFERROR(__xludf.DUMMYFUNCTION("""COMPUTED_VALUE"""),"en")</f>
        <v>en</v>
      </c>
      <c r="B1965">
        <f>IFERROR(__xludf.DUMMYFUNCTION("""COMPUTED_VALUE"""),43256.0)</f>
        <v>43256</v>
      </c>
      <c r="C1965" t="str">
        <f>IFERROR(__xludf.DUMMYFUNCTION("""COMPUTED_VALUE"""),"How to create an awesome demo video in Keynote")</f>
        <v>How to create an awesome demo video in Keynote</v>
      </c>
    </row>
    <row r="1966">
      <c r="A1966" s="140" t="str">
        <f>IFERROR(__xludf.DUMMYFUNCTION("""COMPUTED_VALUE"""),"fr")</f>
        <v>fr</v>
      </c>
      <c r="B1966">
        <f>IFERROR(__xludf.DUMMYFUNCTION("""COMPUTED_VALUE"""),1556260.0)</f>
        <v>1556260</v>
      </c>
      <c r="C1966" t="str">
        <f>IFERROR(__xludf.DUMMYFUNCTION("""COMPUTED_VALUE"""),"Créez un site web avec SquareSpace, de 0 à la mise en ligne!")</f>
        <v>Créez un site web avec SquareSpace, de 0 à la mise en ligne!</v>
      </c>
    </row>
    <row r="1967">
      <c r="A1967" s="140" t="str">
        <f>IFERROR(__xludf.DUMMYFUNCTION("""COMPUTED_VALUE"""),"en")</f>
        <v>en</v>
      </c>
      <c r="B1967">
        <f>IFERROR(__xludf.DUMMYFUNCTION("""COMPUTED_VALUE"""),3697658.0)</f>
        <v>3697658</v>
      </c>
      <c r="C1967" t="str">
        <f>IFERROR(__xludf.DUMMYFUNCTION("""COMPUTED_VALUE"""),"Microsoft AZ-204 Cert Course: Developing Azure Solutions")</f>
        <v>Microsoft AZ-204 Cert Course: Developing Azure Solutions</v>
      </c>
    </row>
    <row r="1968">
      <c r="A1968" s="140" t="str">
        <f>IFERROR(__xludf.DUMMYFUNCTION("""COMPUTED_VALUE"""),"en")</f>
        <v>en</v>
      </c>
      <c r="B1968">
        <f>IFERROR(__xludf.DUMMYFUNCTION("""COMPUTED_VALUE"""),810960.0)</f>
        <v>810960</v>
      </c>
      <c r="C1968" t="str">
        <f>IFERROR(__xludf.DUMMYFUNCTION("""COMPUTED_VALUE"""),"Creating Wealth - The New Capitalism and Growth Strategy")</f>
        <v>Creating Wealth - The New Capitalism and Growth Strategy</v>
      </c>
    </row>
    <row r="1969">
      <c r="A1969" s="140" t="str">
        <f>IFERROR(__xludf.DUMMYFUNCTION("""COMPUTED_VALUE"""),"ar")</f>
        <v>ar</v>
      </c>
      <c r="B1969">
        <f>IFERROR(__xludf.DUMMYFUNCTION("""COMPUTED_VALUE"""),966786.0)</f>
        <v>966786</v>
      </c>
      <c r="C1969" t="str">
        <f>IFERROR(__xludf.DUMMYFUNCTION("""COMPUTED_VALUE"""),"Selenium WebDriver From Foundation to Framework [In Arabic]")</f>
        <v>Selenium WebDriver From Foundation to Framework [In Arabic]</v>
      </c>
    </row>
    <row r="1970">
      <c r="A1970" s="140" t="str">
        <f>IFERROR(__xludf.DUMMYFUNCTION("""COMPUTED_VALUE"""),"en")</f>
        <v>en</v>
      </c>
      <c r="B1970">
        <f>IFERROR(__xludf.DUMMYFUNCTION("""COMPUTED_VALUE"""),2312596.0)</f>
        <v>2312596</v>
      </c>
      <c r="C1970" t="str">
        <f>IFERROR(__xludf.DUMMYFUNCTION("""COMPUTED_VALUE"""),"Java Programming: Step by Step from A to Z")</f>
        <v>Java Programming: Step by Step from A to Z</v>
      </c>
    </row>
    <row r="1971">
      <c r="A1971" s="140" t="str">
        <f>IFERROR(__xludf.DUMMYFUNCTION("""COMPUTED_VALUE"""),"en")</f>
        <v>en</v>
      </c>
      <c r="B1971">
        <f>IFERROR(__xludf.DUMMYFUNCTION("""COMPUTED_VALUE"""),1923394.0)</f>
        <v>1923394</v>
      </c>
      <c r="C1971" t="str">
        <f>IFERROR(__xludf.DUMMYFUNCTION("""COMPUTED_VALUE"""),"Women's Leadership Masterclass")</f>
        <v>Women's Leadership Masterclass</v>
      </c>
    </row>
    <row r="1972">
      <c r="A1972" s="140" t="str">
        <f>IFERROR(__xludf.DUMMYFUNCTION("""COMPUTED_VALUE"""),"en")</f>
        <v>en</v>
      </c>
      <c r="B1972">
        <f>IFERROR(__xludf.DUMMYFUNCTION("""COMPUTED_VALUE"""),1065056.0)</f>
        <v>1065056</v>
      </c>
      <c r="C1972" t="str">
        <f>IFERROR(__xludf.DUMMYFUNCTION("""COMPUTED_VALUE"""),"Design Thinking in 3 Steps")</f>
        <v>Design Thinking in 3 Steps</v>
      </c>
    </row>
    <row r="1973">
      <c r="A1973" s="140" t="str">
        <f>IFERROR(__xludf.DUMMYFUNCTION("""COMPUTED_VALUE"""),"zh")</f>
        <v>zh</v>
      </c>
      <c r="B1973">
        <f>IFERROR(__xludf.DUMMYFUNCTION("""COMPUTED_VALUE"""),1340588.0)</f>
        <v>1340588</v>
      </c>
      <c r="C1973" t="str">
        <f>IFERROR(__xludf.DUMMYFUNCTION("""COMPUTED_VALUE"""),"Python 3 数据分析 Data Science零基础完全入门")</f>
        <v>Python 3 数据分析 Data Science零基础完全入门</v>
      </c>
    </row>
    <row r="1974">
      <c r="A1974" s="140" t="str">
        <f>IFERROR(__xludf.DUMMYFUNCTION("""COMPUTED_VALUE"""),"en")</f>
        <v>en</v>
      </c>
      <c r="B1974">
        <f>IFERROR(__xludf.DUMMYFUNCTION("""COMPUTED_VALUE"""),1477998.0)</f>
        <v>1477998</v>
      </c>
      <c r="C1974" t="str">
        <f>IFERROR(__xludf.DUMMYFUNCTION("""COMPUTED_VALUE"""),"AWS Certified Cloud Practitioner - Updated 2020")</f>
        <v>AWS Certified Cloud Practitioner - Updated 2020</v>
      </c>
    </row>
    <row r="1975">
      <c r="A1975" s="140" t="str">
        <f>IFERROR(__xludf.DUMMYFUNCTION("""COMPUTED_VALUE"""),"en")</f>
        <v>en</v>
      </c>
      <c r="B1975">
        <f>IFERROR(__xludf.DUMMYFUNCTION("""COMPUTED_VALUE"""),2480400.0)</f>
        <v>2480400</v>
      </c>
      <c r="C1975" t="str">
        <f>IFERROR(__xludf.DUMMYFUNCTION("""COMPUTED_VALUE"""),"Trauma Treatment for Children")</f>
        <v>Trauma Treatment for Children</v>
      </c>
    </row>
    <row r="1976">
      <c r="A1976" s="140" t="str">
        <f>IFERROR(__xludf.DUMMYFUNCTION("""COMPUTED_VALUE"""),"de")</f>
        <v>de</v>
      </c>
      <c r="B1976">
        <f>IFERROR(__xludf.DUMMYFUNCTION("""COMPUTED_VALUE"""),3537356.0)</f>
        <v>3537356</v>
      </c>
      <c r="C1976" t="str">
        <f>IFERROR(__xludf.DUMMYFUNCTION("""COMPUTED_VALUE"""),"Einstieg ins strategische Management")</f>
        <v>Einstieg ins strategische Management</v>
      </c>
    </row>
    <row r="1977">
      <c r="A1977" s="140" t="str">
        <f>IFERROR(__xludf.DUMMYFUNCTION("""COMPUTED_VALUE"""),"en")</f>
        <v>en</v>
      </c>
      <c r="B1977">
        <f>IFERROR(__xludf.DUMMYFUNCTION("""COMPUTED_VALUE"""),1139180.0)</f>
        <v>1139180</v>
      </c>
      <c r="C1977" t="str">
        <f>IFERROR(__xludf.DUMMYFUNCTION("""COMPUTED_VALUE"""),"Introduction to Algorithms and Data Structures in Swift 5")</f>
        <v>Introduction to Algorithms and Data Structures in Swift 5</v>
      </c>
    </row>
    <row r="1978">
      <c r="A1978" s="140" t="str">
        <f>IFERROR(__xludf.DUMMYFUNCTION("""COMPUTED_VALUE"""),"fr")</f>
        <v>fr</v>
      </c>
      <c r="B1978">
        <f>IFERROR(__xludf.DUMMYFUNCTION("""COMPUTED_VALUE"""),1097486.0)</f>
        <v>1097486</v>
      </c>
      <c r="C1978" t="str">
        <f>IFERROR(__xludf.DUMMYFUNCTION("""COMPUTED_VALUE"""),"Apprendre à trader sur le marché du Forex - guide complet")</f>
        <v>Apprendre à trader sur le marché du Forex - guide complet</v>
      </c>
    </row>
    <row r="1979">
      <c r="A1979" s="140" t="str">
        <f>IFERROR(__xludf.DUMMYFUNCTION("""COMPUTED_VALUE"""),"en")</f>
        <v>en</v>
      </c>
      <c r="B1979">
        <f>IFERROR(__xludf.DUMMYFUNCTION("""COMPUTED_VALUE"""),578350.0)</f>
        <v>578350</v>
      </c>
      <c r="C1979" t="str">
        <f>IFERROR(__xludf.DUMMYFUNCTION("""COMPUTED_VALUE"""),"Microsoft SQL Server Reporting Services (SSRS)")</f>
        <v>Microsoft SQL Server Reporting Services (SSRS)</v>
      </c>
    </row>
    <row r="1980">
      <c r="A1980" s="140" t="str">
        <f>IFERROR(__xludf.DUMMYFUNCTION("""COMPUTED_VALUE"""),"en")</f>
        <v>en</v>
      </c>
      <c r="B1980">
        <f>IFERROR(__xludf.DUMMYFUNCTION("""COMPUTED_VALUE"""),2808699.0)</f>
        <v>2808699</v>
      </c>
      <c r="C1980" t="str">
        <f>IFERROR(__xludf.DUMMYFUNCTION("""COMPUTED_VALUE"""),"Basics of Material selection for mechanical design engineers")</f>
        <v>Basics of Material selection for mechanical design engineers</v>
      </c>
    </row>
    <row r="1981">
      <c r="A1981" s="140" t="str">
        <f>IFERROR(__xludf.DUMMYFUNCTION("""COMPUTED_VALUE"""),"en")</f>
        <v>en</v>
      </c>
      <c r="B1981">
        <f>IFERROR(__xludf.DUMMYFUNCTION("""COMPUTED_VALUE"""),3807854.0)</f>
        <v>3807854</v>
      </c>
      <c r="C1981" t="str">
        <f>IFERROR(__xludf.DUMMYFUNCTION("""COMPUTED_VALUE"""),"Applied Text Mining and Sentiment Analysis with Python")</f>
        <v>Applied Text Mining and Sentiment Analysis with Python</v>
      </c>
    </row>
    <row r="1982">
      <c r="A1982" s="140" t="str">
        <f>IFERROR(__xludf.DUMMYFUNCTION("""COMPUTED_VALUE"""),"de")</f>
        <v>de</v>
      </c>
      <c r="B1982">
        <f>IFERROR(__xludf.DUMMYFUNCTION("""COMPUTED_VALUE"""),2355734.0)</f>
        <v>2355734</v>
      </c>
      <c r="C1982" t="str">
        <f>IFERROR(__xludf.DUMMYFUNCTION("""COMPUTED_VALUE"""),"Video-Kurs: Dashboards mit Excel")</f>
        <v>Video-Kurs: Dashboards mit Excel</v>
      </c>
    </row>
    <row r="1983">
      <c r="A1983" s="140" t="str">
        <f>IFERROR(__xludf.DUMMYFUNCTION("""COMPUTED_VALUE"""),"en")</f>
        <v>en</v>
      </c>
      <c r="B1983">
        <f>IFERROR(__xludf.DUMMYFUNCTION("""COMPUTED_VALUE"""),68236.0)</f>
        <v>68236</v>
      </c>
      <c r="C1983" t="str">
        <f>IFERROR(__xludf.DUMMYFUNCTION("""COMPUTED_VALUE"""),"Microsoft Project 2013 Advanced Training")</f>
        <v>Microsoft Project 2013 Advanced Training</v>
      </c>
    </row>
    <row r="1984">
      <c r="A1984" s="140" t="str">
        <f>IFERROR(__xludf.DUMMYFUNCTION("""COMPUTED_VALUE"""),"en")</f>
        <v>en</v>
      </c>
      <c r="B1984">
        <f>IFERROR(__xludf.DUMMYFUNCTION("""COMPUTED_VALUE"""),1395582.0)</f>
        <v>1395582</v>
      </c>
      <c r="C1984" t="str">
        <f>IFERROR(__xludf.DUMMYFUNCTION("""COMPUTED_VALUE"""),"Fast-start Usability Testing and UX Research – Begin Today!")</f>
        <v>Fast-start Usability Testing and UX Research – Begin Today!</v>
      </c>
    </row>
    <row r="1985">
      <c r="A1985" s="140" t="str">
        <f>IFERROR(__xludf.DUMMYFUNCTION("""COMPUTED_VALUE"""),"en")</f>
        <v>en</v>
      </c>
      <c r="B1985">
        <f>IFERROR(__xludf.DUMMYFUNCTION("""COMPUTED_VALUE"""),670034.0)</f>
        <v>670034</v>
      </c>
      <c r="C1985" t="str">
        <f>IFERROR(__xludf.DUMMYFUNCTION("""COMPUTED_VALUE"""),"Advanced Javascript")</f>
        <v>Advanced Javascript</v>
      </c>
    </row>
    <row r="1986">
      <c r="A1986" s="140" t="str">
        <f>IFERROR(__xludf.DUMMYFUNCTION("""COMPUTED_VALUE"""),"en")</f>
        <v>en</v>
      </c>
      <c r="B1986">
        <f>IFERROR(__xludf.DUMMYFUNCTION("""COMPUTED_VALUE"""),1109150.0)</f>
        <v>1109150</v>
      </c>
      <c r="C1986" t="str">
        <f>IFERROR(__xludf.DUMMYFUNCTION("""COMPUTED_VALUE"""),"RESTful API with Laravel: Build a Real API with Laravel")</f>
        <v>RESTful API with Laravel: Build a Real API with Laravel</v>
      </c>
    </row>
    <row r="1987">
      <c r="A1987" s="140" t="str">
        <f>IFERROR(__xludf.DUMMYFUNCTION("""COMPUTED_VALUE"""),"es")</f>
        <v>es</v>
      </c>
      <c r="B1987">
        <f>IFERROR(__xludf.DUMMYFUNCTION("""COMPUTED_VALUE"""),1895790.0)</f>
        <v>1895790</v>
      </c>
      <c r="C1987" t="str">
        <f>IFERROR(__xludf.DUMMYFUNCTION("""COMPUTED_VALUE"""),"[2021] Gestión de proyectos - Proyectos pequeños")</f>
        <v>[2021] Gestión de proyectos - Proyectos pequeños</v>
      </c>
    </row>
    <row r="1988">
      <c r="A1988" s="140" t="str">
        <f>IFERROR(__xludf.DUMMYFUNCTION("""COMPUTED_VALUE"""),"en")</f>
        <v>en</v>
      </c>
      <c r="B1988">
        <f>IFERROR(__xludf.DUMMYFUNCTION("""COMPUTED_VALUE"""),1057414.0)</f>
        <v>1057414</v>
      </c>
      <c r="C1988" t="str">
        <f>IFERROR(__xludf.DUMMYFUNCTION("""COMPUTED_VALUE"""),"JIRA Visual Reference: Issue Administration")</f>
        <v>JIRA Visual Reference: Issue Administration</v>
      </c>
    </row>
    <row r="1989">
      <c r="A1989" s="140" t="str">
        <f>IFERROR(__xludf.DUMMYFUNCTION("""COMPUTED_VALUE"""),"en")</f>
        <v>en</v>
      </c>
      <c r="B1989">
        <f>IFERROR(__xludf.DUMMYFUNCTION("""COMPUTED_VALUE"""),1425762.0)</f>
        <v>1425762</v>
      </c>
      <c r="C1989" t="str">
        <f>IFERROR(__xludf.DUMMYFUNCTION("""COMPUTED_VALUE"""),"AWS Certified Solutions Architect - Professional 2021")</f>
        <v>AWS Certified Solutions Architect - Professional 2021</v>
      </c>
    </row>
    <row r="1990">
      <c r="A1990" s="140" t="str">
        <f>IFERROR(__xludf.DUMMYFUNCTION("""COMPUTED_VALUE"""),"es")</f>
        <v>es</v>
      </c>
      <c r="B1990">
        <f>IFERROR(__xludf.DUMMYFUNCTION("""COMPUTED_VALUE"""),2149028.0)</f>
        <v>2149028</v>
      </c>
      <c r="C1990" t="str">
        <f>IFERROR(__xludf.DUMMYFUNCTION("""COMPUTED_VALUE"""),"Ingeniería Inversa y Cracking de Software [Preventivo]")</f>
        <v>Ingeniería Inversa y Cracking de Software [Preventivo]</v>
      </c>
    </row>
    <row r="1991">
      <c r="A1991" s="140" t="str">
        <f>IFERROR(__xludf.DUMMYFUNCTION("""COMPUTED_VALUE"""),"en")</f>
        <v>en</v>
      </c>
      <c r="B1991">
        <f>IFERROR(__xludf.DUMMYFUNCTION("""COMPUTED_VALUE"""),3298932.0)</f>
        <v>3298932</v>
      </c>
      <c r="C1991" t="str">
        <f>IFERROR(__xludf.DUMMYFUNCTION("""COMPUTED_VALUE"""),"Digital Masterclass: How Technology Is Changing The World")</f>
        <v>Digital Masterclass: How Technology Is Changing The World</v>
      </c>
    </row>
    <row r="1992">
      <c r="A1992" s="140" t="str">
        <f>IFERROR(__xludf.DUMMYFUNCTION("""COMPUTED_VALUE"""),"en")</f>
        <v>en</v>
      </c>
      <c r="B1992">
        <f>IFERROR(__xludf.DUMMYFUNCTION("""COMPUTED_VALUE"""),3040206.0)</f>
        <v>3040206</v>
      </c>
      <c r="C1992" t="str">
        <f>IFERROR(__xludf.DUMMYFUNCTION("""COMPUTED_VALUE"""),"F5 101 Exam Preparation - Complete Course w/ Practice Exams")</f>
        <v>F5 101 Exam Preparation - Complete Course w/ Practice Exams</v>
      </c>
    </row>
    <row r="1993">
      <c r="A1993" s="140" t="str">
        <f>IFERROR(__xludf.DUMMYFUNCTION("""COMPUTED_VALUE"""),"de")</f>
        <v>de</v>
      </c>
      <c r="B1993">
        <f>IFERROR(__xludf.DUMMYFUNCTION("""COMPUTED_VALUE"""),1772800.0)</f>
        <v>1772800</v>
      </c>
      <c r="C1993" t="str">
        <f>IFERROR(__xludf.DUMMYFUNCTION("""COMPUTED_VALUE"""),"Das SQL Grundlagen Bootcamp (auch für Data Science)")</f>
        <v>Das SQL Grundlagen Bootcamp (auch für Data Science)</v>
      </c>
    </row>
    <row r="1994">
      <c r="A1994" s="140" t="str">
        <f>IFERROR(__xludf.DUMMYFUNCTION("""COMPUTED_VALUE"""),"en")</f>
        <v>en</v>
      </c>
      <c r="B1994">
        <f>IFERROR(__xludf.DUMMYFUNCTION("""COMPUTED_VALUE"""),81094.0)</f>
        <v>81094</v>
      </c>
      <c r="C1994" t="str">
        <f>IFERROR(__xludf.DUMMYFUNCTION("""COMPUTED_VALUE"""),"Introduction to Data Structures &amp; Algorithms in Java")</f>
        <v>Introduction to Data Structures &amp; Algorithms in Java</v>
      </c>
    </row>
    <row r="1995">
      <c r="A1995" s="140" t="str">
        <f>IFERROR(__xludf.DUMMYFUNCTION("""COMPUTED_VALUE"""),"es")</f>
        <v>es</v>
      </c>
      <c r="B1995">
        <f>IFERROR(__xludf.DUMMYFUNCTION("""COMPUTED_VALUE"""),1954876.0)</f>
        <v>1954876</v>
      </c>
      <c r="C1995" t="str">
        <f>IFERROR(__xludf.DUMMYFUNCTION("""COMPUTED_VALUE"""),"Curso intensivo de Japonés para principiantes")</f>
        <v>Curso intensivo de Japonés para principiantes</v>
      </c>
    </row>
    <row r="1996">
      <c r="A1996" s="140" t="str">
        <f>IFERROR(__xludf.DUMMYFUNCTION("""COMPUTED_VALUE"""),"en")</f>
        <v>en</v>
      </c>
      <c r="B1996">
        <f>IFERROR(__xludf.DUMMYFUNCTION("""COMPUTED_VALUE"""),1242412.0)</f>
        <v>1242412</v>
      </c>
      <c r="C1996" t="str">
        <f>IFERROR(__xludf.DUMMYFUNCTION("""COMPUTED_VALUE"""),"Advanced iOS: Volume Two - All projects updated to Swift 5")</f>
        <v>Advanced iOS: Volume Two - All projects updated to Swift 5</v>
      </c>
    </row>
    <row r="1997">
      <c r="A1997" s="140" t="str">
        <f>IFERROR(__xludf.DUMMYFUNCTION("""COMPUTED_VALUE"""),"es")</f>
        <v>es</v>
      </c>
      <c r="B1997">
        <f>IFERROR(__xludf.DUMMYFUNCTION("""COMPUTED_VALUE"""),1903626.0)</f>
        <v>1903626</v>
      </c>
      <c r="C1997" t="str">
        <f>IFERROR(__xludf.DUMMYFUNCTION("""COMPUTED_VALUE"""),"Introducción a Serverless, Lambdas y Api Gateway con AWS")</f>
        <v>Introducción a Serverless, Lambdas y Api Gateway con AWS</v>
      </c>
    </row>
    <row r="1998">
      <c r="A1998" s="140" t="str">
        <f>IFERROR(__xludf.DUMMYFUNCTION("""COMPUTED_VALUE"""),"de")</f>
        <v>de</v>
      </c>
      <c r="B1998">
        <f>IFERROR(__xludf.DUMMYFUNCTION("""COMPUTED_VALUE"""),1298822.0)</f>
        <v>1298822</v>
      </c>
      <c r="C1998" t="str">
        <f>IFERROR(__xludf.DUMMYFUNCTION("""COMPUTED_VALUE"""),"So delegieren Profis - effektiv delegieren - mehr erreichen")</f>
        <v>So delegieren Profis - effektiv delegieren - mehr erreichen</v>
      </c>
    </row>
    <row r="1999">
      <c r="A1999" s="140" t="str">
        <f>IFERROR(__xludf.DUMMYFUNCTION("""COMPUTED_VALUE"""),"ja")</f>
        <v>ja</v>
      </c>
      <c r="B1999">
        <f>IFERROR(__xludf.DUMMYFUNCTION("""COMPUTED_VALUE"""),2316068.0)</f>
        <v>2316068</v>
      </c>
      <c r="C1999" t="str">
        <f>IFERROR(__xludf.DUMMYFUNCTION("""COMPUTED_VALUE"""),"脳科学と人工知能: シンギュラリティ前夜における、人間と機械の接点")</f>
        <v>脳科学と人工知能: シンギュラリティ前夜における、人間と機械の接点</v>
      </c>
    </row>
    <row r="2000">
      <c r="A2000" s="140" t="str">
        <f>IFERROR(__xludf.DUMMYFUNCTION("""COMPUTED_VALUE"""),"es")</f>
        <v>es</v>
      </c>
      <c r="B2000">
        <f>IFERROR(__xludf.DUMMYFUNCTION("""COMPUTED_VALUE"""),2478650.0)</f>
        <v>2478650</v>
      </c>
      <c r="C2000" t="str">
        <f>IFERROR(__xludf.DUMMYFUNCTION("""COMPUTED_VALUE"""),"Curso de Canva 2022")</f>
        <v>Curso de Canva 2022</v>
      </c>
    </row>
    <row r="2001">
      <c r="A2001" s="140" t="str">
        <f>IFERROR(__xludf.DUMMYFUNCTION("""COMPUTED_VALUE"""),"en")</f>
        <v>en</v>
      </c>
      <c r="B2001">
        <f>IFERROR(__xludf.DUMMYFUNCTION("""COMPUTED_VALUE"""),2336032.0)</f>
        <v>2336032</v>
      </c>
      <c r="C2001" t="str">
        <f>IFERROR(__xludf.DUMMYFUNCTION("""COMPUTED_VALUE"""),"MTA 98-364: Database Fundamentals Prep Exam")</f>
        <v>MTA 98-364: Database Fundamentals Prep Exam</v>
      </c>
    </row>
    <row r="2002">
      <c r="A2002" s="140" t="str">
        <f>IFERROR(__xludf.DUMMYFUNCTION("""COMPUTED_VALUE"""),"en")</f>
        <v>en</v>
      </c>
      <c r="B2002">
        <f>IFERROR(__xludf.DUMMYFUNCTION("""COMPUTED_VALUE"""),1414266.0)</f>
        <v>1414266</v>
      </c>
      <c r="C2002" t="str">
        <f>IFERROR(__xludf.DUMMYFUNCTION("""COMPUTED_VALUE"""),"Node, SQL, &amp; PostgreSQL - Mastering Backend Web Development")</f>
        <v>Node, SQL, &amp; PostgreSQL - Mastering Backend Web Development</v>
      </c>
    </row>
    <row r="2003">
      <c r="A2003" s="140" t="str">
        <f>IFERROR(__xludf.DUMMYFUNCTION("""COMPUTED_VALUE"""),"pt")</f>
        <v>pt</v>
      </c>
      <c r="B2003">
        <f>IFERROR(__xludf.DUMMYFUNCTION("""COMPUTED_VALUE"""),2266212.0)</f>
        <v>2266212</v>
      </c>
      <c r="C2003" t="str">
        <f>IFERROR(__xludf.DUMMYFUNCTION("""COMPUTED_VALUE"""),"História &amp; Roteiro: Curso Completo de Roteiro e Storytelling")</f>
        <v>História &amp; Roteiro: Curso Completo de Roteiro e Storytelling</v>
      </c>
    </row>
    <row r="2004">
      <c r="A2004" s="140" t="str">
        <f>IFERROR(__xludf.DUMMYFUNCTION("""COMPUTED_VALUE"""),"en")</f>
        <v>en</v>
      </c>
      <c r="B2004">
        <f>IFERROR(__xludf.DUMMYFUNCTION("""COMPUTED_VALUE"""),1443424.0)</f>
        <v>1443424</v>
      </c>
      <c r="C2004" t="str">
        <f>IFERROR(__xludf.DUMMYFUNCTION("""COMPUTED_VALUE"""),"The Manager's Guide to Effective One on One Meetings")</f>
        <v>The Manager's Guide to Effective One on One Meetings</v>
      </c>
    </row>
    <row r="2005">
      <c r="A2005" s="140" t="str">
        <f>IFERROR(__xludf.DUMMYFUNCTION("""COMPUTED_VALUE"""),"tr")</f>
        <v>tr</v>
      </c>
      <c r="B2005">
        <f>IFERROR(__xludf.DUMMYFUNCTION("""COMPUTED_VALUE"""),2979814.0)</f>
        <v>2979814</v>
      </c>
      <c r="C2005" t="str">
        <f>IFERROR(__xludf.DUMMYFUNCTION("""COMPUTED_VALUE"""),"MATRİKS VE İDEAL ÜZERİNDEN KISA VADELİ STRATEJİ OLUŞTURMA")</f>
        <v>MATRİKS VE İDEAL ÜZERİNDEN KISA VADELİ STRATEJİ OLUŞTURMA</v>
      </c>
    </row>
    <row r="2006">
      <c r="A2006" s="140" t="str">
        <f>IFERROR(__xludf.DUMMYFUNCTION("""COMPUTED_VALUE"""),"es")</f>
        <v>es</v>
      </c>
      <c r="B2006">
        <f>IFERROR(__xludf.DUMMYFUNCTION("""COMPUTED_VALUE"""),3706696.0)</f>
        <v>3706696</v>
      </c>
      <c r="C2006" t="str">
        <f>IFERROR(__xludf.DUMMYFUNCTION("""COMPUTED_VALUE"""),"Finanzas para No Financieros")</f>
        <v>Finanzas para No Financieros</v>
      </c>
    </row>
    <row r="2007">
      <c r="A2007" s="140" t="str">
        <f>IFERROR(__xludf.DUMMYFUNCTION("""COMPUTED_VALUE"""),"en")</f>
        <v>en</v>
      </c>
      <c r="B2007">
        <f>IFERROR(__xludf.DUMMYFUNCTION("""COMPUTED_VALUE"""),1188972.0)</f>
        <v>1188972</v>
      </c>
      <c r="C2007" t="str">
        <f>IFERROR(__xludf.DUMMYFUNCTION("""COMPUTED_VALUE"""),"Low-Poly Vehicle Design in Blender for Unity Game Developers")</f>
        <v>Low-Poly Vehicle Design in Blender for Unity Game Developers</v>
      </c>
    </row>
    <row r="2008">
      <c r="A2008" s="140" t="str">
        <f>IFERROR(__xludf.DUMMYFUNCTION("""COMPUTED_VALUE"""),"en")</f>
        <v>en</v>
      </c>
      <c r="B2008">
        <f>IFERROR(__xludf.DUMMYFUNCTION("""COMPUTED_VALUE"""),736456.0)</f>
        <v>736456</v>
      </c>
      <c r="C2008" t="str">
        <f>IFERROR(__xludf.DUMMYFUNCTION("""COMPUTED_VALUE"""),"Ninja Writing: The Four Levels Of Writing Mastery")</f>
        <v>Ninja Writing: The Four Levels Of Writing Mastery</v>
      </c>
    </row>
    <row r="2009">
      <c r="A2009" s="140" t="str">
        <f>IFERROR(__xludf.DUMMYFUNCTION("""COMPUTED_VALUE"""),"en")</f>
        <v>en</v>
      </c>
      <c r="B2009">
        <f>IFERROR(__xludf.DUMMYFUNCTION("""COMPUTED_VALUE"""),2433792.0)</f>
        <v>2433792</v>
      </c>
      <c r="C2009" t="str">
        <f>IFERROR(__xludf.DUMMYFUNCTION("""COMPUTED_VALUE"""),"Hardware Asset Management in ServiceNow")</f>
        <v>Hardware Asset Management in ServiceNow</v>
      </c>
    </row>
    <row r="2010">
      <c r="A2010" s="140" t="str">
        <f>IFERROR(__xludf.DUMMYFUNCTION("""COMPUTED_VALUE"""),"en")</f>
        <v>en</v>
      </c>
      <c r="B2010">
        <f>IFERROR(__xludf.DUMMYFUNCTION("""COMPUTED_VALUE"""),123238.0)</f>
        <v>123238</v>
      </c>
      <c r="C2010" t="str">
        <f>IFERROR(__xludf.DUMMYFUNCTION("""COMPUTED_VALUE"""),"Biotechnology/Biotech Business, Policy, Law, and Science")</f>
        <v>Biotechnology/Biotech Business, Policy, Law, and Science</v>
      </c>
    </row>
    <row r="2011">
      <c r="A2011" s="140" t="str">
        <f>IFERROR(__xludf.DUMMYFUNCTION("""COMPUTED_VALUE"""),"ja")</f>
        <v>ja</v>
      </c>
      <c r="B2011">
        <f>IFERROR(__xludf.DUMMYFUNCTION("""COMPUTED_VALUE"""),3985592.0)</f>
        <v>3985592</v>
      </c>
      <c r="C2011" t="str">
        <f>IFERROR(__xludf.DUMMYFUNCTION("""COMPUTED_VALUE"""),"＜UB確認テスト＞ITパスポート最速合格コース ～効率的な学習で0から合格まで～")</f>
        <v>＜UB確認テスト＞ITパスポート最速合格コース ～効率的な学習で0から合格まで～</v>
      </c>
    </row>
    <row r="2012">
      <c r="A2012" s="140" t="str">
        <f>IFERROR(__xludf.DUMMYFUNCTION("""COMPUTED_VALUE"""),"es")</f>
        <v>es</v>
      </c>
      <c r="B2012">
        <f>IFERROR(__xludf.DUMMYFUNCTION("""COMPUTED_VALUE"""),3938284.0)</f>
        <v>3938284</v>
      </c>
      <c r="C2012" t="str">
        <f>IFERROR(__xludf.DUMMYFUNCTION("""COMPUTED_VALUE"""),"Programación Web desde 0 con PHP 8, Mysql, Laravel y Symfony")</f>
        <v>Programación Web desde 0 con PHP 8, Mysql, Laravel y Symfony</v>
      </c>
    </row>
    <row r="2013">
      <c r="A2013" s="140" t="str">
        <f>IFERROR(__xludf.DUMMYFUNCTION("""COMPUTED_VALUE"""),"en")</f>
        <v>en</v>
      </c>
      <c r="B2013">
        <f>IFERROR(__xludf.DUMMYFUNCTION("""COMPUTED_VALUE"""),2007868.0)</f>
        <v>2007868</v>
      </c>
      <c r="C2013" t="str">
        <f>IFERROR(__xludf.DUMMYFUNCTION("""COMPUTED_VALUE"""),"Practical Java Unit Testing with JUnit 5")</f>
        <v>Practical Java Unit Testing with JUnit 5</v>
      </c>
    </row>
    <row r="2014">
      <c r="A2014" s="140" t="str">
        <f>IFERROR(__xludf.DUMMYFUNCTION("""COMPUTED_VALUE"""),"en")</f>
        <v>en</v>
      </c>
      <c r="B2014">
        <f>IFERROR(__xludf.DUMMYFUNCTION("""COMPUTED_VALUE"""),447244.0)</f>
        <v>447244</v>
      </c>
      <c r="C2014" t="str">
        <f>IFERROR(__xludf.DUMMYFUNCTION("""COMPUTED_VALUE"""),"CCIE Routing &amp; Switching Version 5.0 - Security")</f>
        <v>CCIE Routing &amp; Switching Version 5.0 - Security</v>
      </c>
    </row>
    <row r="2015">
      <c r="A2015" s="140" t="str">
        <f>IFERROR(__xludf.DUMMYFUNCTION("""COMPUTED_VALUE"""),"pt")</f>
        <v>pt</v>
      </c>
      <c r="B2015">
        <f>IFERROR(__xludf.DUMMYFUNCTION("""COMPUTED_VALUE"""),2581870.0)</f>
        <v>2581870</v>
      </c>
      <c r="C2015" t="str">
        <f>IFERROR(__xludf.DUMMYFUNCTION("""COMPUTED_VALUE"""),"Narrativas Biográficas Em Estilo de Jornalismo Literário.")</f>
        <v>Narrativas Biográficas Em Estilo de Jornalismo Literário.</v>
      </c>
    </row>
    <row r="2016">
      <c r="A2016" s="140" t="str">
        <f>IFERROR(__xludf.DUMMYFUNCTION("""COMPUTED_VALUE"""),"es")</f>
        <v>es</v>
      </c>
      <c r="B2016">
        <f>IFERROR(__xludf.DUMMYFUNCTION("""COMPUTED_VALUE"""),1192862.0)</f>
        <v>1192862</v>
      </c>
      <c r="C2016" t="str">
        <f>IFERROR(__xludf.DUMMYFUNCTION("""COMPUTED_VALUE"""),"Fotografía Digital. Aprende con nosotros")</f>
        <v>Fotografía Digital. Aprende con nosotros</v>
      </c>
    </row>
    <row r="2017">
      <c r="A2017" s="140" t="str">
        <f>IFERROR(__xludf.DUMMYFUNCTION("""COMPUTED_VALUE"""),"es")</f>
        <v>es</v>
      </c>
      <c r="B2017">
        <f>IFERROR(__xludf.DUMMYFUNCTION("""COMPUTED_VALUE"""),1847354.0)</f>
        <v>1847354</v>
      </c>
      <c r="C2017" t="str">
        <f>IFERROR(__xludf.DUMMYFUNCTION("""COMPUTED_VALUE"""),"Curso Experto en Gestión de Equipos")</f>
        <v>Curso Experto en Gestión de Equipos</v>
      </c>
    </row>
    <row r="2018">
      <c r="A2018" s="140" t="str">
        <f>IFERROR(__xludf.DUMMYFUNCTION("""COMPUTED_VALUE"""),"fr")</f>
        <v>fr</v>
      </c>
      <c r="B2018">
        <f>IFERROR(__xludf.DUMMYFUNCTION("""COMPUTED_VALUE"""),2474090.0)</f>
        <v>2474090</v>
      </c>
      <c r="C2018" t="str">
        <f>IFERROR(__xludf.DUMMYFUNCTION("""COMPUTED_VALUE"""),"Conception de bases de données et langage SQL")</f>
        <v>Conception de bases de données et langage SQL</v>
      </c>
    </row>
    <row r="2019">
      <c r="A2019" s="140" t="str">
        <f>IFERROR(__xludf.DUMMYFUNCTION("""COMPUTED_VALUE"""),"en")</f>
        <v>en</v>
      </c>
      <c r="B2019">
        <f>IFERROR(__xludf.DUMMYFUNCTION("""COMPUTED_VALUE"""),3405088.0)</f>
        <v>3405088</v>
      </c>
      <c r="C2019" t="str">
        <f>IFERROR(__xludf.DUMMYFUNCTION("""COMPUTED_VALUE"""),"MobX In Depth With React(Hooks+TypeScript)")</f>
        <v>MobX In Depth With React(Hooks+TypeScript)</v>
      </c>
    </row>
    <row r="2020">
      <c r="A2020" s="140" t="str">
        <f>IFERROR(__xludf.DUMMYFUNCTION("""COMPUTED_VALUE"""),"en")</f>
        <v>en</v>
      </c>
      <c r="B2020">
        <f>IFERROR(__xludf.DUMMYFUNCTION("""COMPUTED_VALUE"""),2264226.0)</f>
        <v>2264226</v>
      </c>
      <c r="C2020" t="str">
        <f>IFERROR(__xludf.DUMMYFUNCTION("""COMPUTED_VALUE"""),"CISM Certification: CISM Domain 3 Video Boot Camp 2022")</f>
        <v>CISM Certification: CISM Domain 3 Video Boot Camp 2022</v>
      </c>
    </row>
    <row r="2021">
      <c r="A2021" s="140" t="str">
        <f>IFERROR(__xludf.DUMMYFUNCTION("""COMPUTED_VALUE"""),"en")</f>
        <v>en</v>
      </c>
      <c r="B2021">
        <f>IFERROR(__xludf.DUMMYFUNCTION("""COMPUTED_VALUE"""),3457446.0)</f>
        <v>3457446</v>
      </c>
      <c r="C2021" t="str">
        <f>IFERROR(__xludf.DUMMYFUNCTION("""COMPUTED_VALUE"""),"Sarbanes-Oxley (SOX) ITGC Audit Concepts and Coordination")</f>
        <v>Sarbanes-Oxley (SOX) ITGC Audit Concepts and Coordination</v>
      </c>
    </row>
    <row r="2022">
      <c r="A2022" s="140" t="str">
        <f>IFERROR(__xludf.DUMMYFUNCTION("""COMPUTED_VALUE"""),"pt")</f>
        <v>pt</v>
      </c>
      <c r="B2022">
        <f>IFERROR(__xludf.DUMMYFUNCTION("""COMPUTED_VALUE"""),1033578.0)</f>
        <v>1033578</v>
      </c>
      <c r="C2022" t="str">
        <f>IFERROR(__xludf.DUMMYFUNCTION("""COMPUTED_VALUE"""),"Monitoramento com Zabbix")</f>
        <v>Monitoramento com Zabbix</v>
      </c>
    </row>
    <row r="2023">
      <c r="A2023" s="140" t="str">
        <f>IFERROR(__xludf.DUMMYFUNCTION("""COMPUTED_VALUE"""),"es")</f>
        <v>es</v>
      </c>
      <c r="B2023">
        <f>IFERROR(__xludf.DUMMYFUNCTION("""COMPUTED_VALUE"""),1481476.0)</f>
        <v>1481476</v>
      </c>
      <c r="C2023" t="str">
        <f>IFERROR(__xludf.DUMMYFUNCTION("""COMPUTED_VALUE"""),"Openshift 4 desde cero")</f>
        <v>Openshift 4 desde cero</v>
      </c>
    </row>
    <row r="2024">
      <c r="A2024" s="140" t="str">
        <f>IFERROR(__xludf.DUMMYFUNCTION("""COMPUTED_VALUE"""),"en")</f>
        <v>en</v>
      </c>
      <c r="B2024">
        <f>IFERROR(__xludf.DUMMYFUNCTION("""COMPUTED_VALUE"""),3253116.0)</f>
        <v>3253116</v>
      </c>
      <c r="C2024" t="str">
        <f>IFERROR(__xludf.DUMMYFUNCTION("""COMPUTED_VALUE"""),"Azure Cost Optimization Inside-Out_Cloud Architect must have")</f>
        <v>Azure Cost Optimization Inside-Out_Cloud Architect must have</v>
      </c>
    </row>
    <row r="2025">
      <c r="A2025" s="140" t="str">
        <f>IFERROR(__xludf.DUMMYFUNCTION("""COMPUTED_VALUE"""),"en")</f>
        <v>en</v>
      </c>
      <c r="B2025">
        <f>IFERROR(__xludf.DUMMYFUNCTION("""COMPUTED_VALUE"""),1479516.0)</f>
        <v>1479516</v>
      </c>
      <c r="C2025" t="str">
        <f>IFERROR(__xludf.DUMMYFUNCTION("""COMPUTED_VALUE"""),"Complete Wordpress Course | Elementor")</f>
        <v>Complete Wordpress Course | Elementor</v>
      </c>
    </row>
    <row r="2026">
      <c r="A2026" s="140" t="str">
        <f>IFERROR(__xludf.DUMMYFUNCTION("""COMPUTED_VALUE"""),"en")</f>
        <v>en</v>
      </c>
      <c r="B2026">
        <f>IFERROR(__xludf.DUMMYFUNCTION("""COMPUTED_VALUE"""),3413398.0)</f>
        <v>3413398</v>
      </c>
      <c r="C2026" t="str">
        <f>IFERROR(__xludf.DUMMYFUNCTION("""COMPUTED_VALUE"""),"Professional Scrum Master certification Practice Tests PSM1")</f>
        <v>Professional Scrum Master certification Practice Tests PSM1</v>
      </c>
    </row>
    <row r="2027">
      <c r="A2027" s="140" t="str">
        <f>IFERROR(__xludf.DUMMYFUNCTION("""COMPUTED_VALUE"""),"en")</f>
        <v>en</v>
      </c>
      <c r="B2027">
        <f>IFERROR(__xludf.DUMMYFUNCTION("""COMPUTED_VALUE"""),1510318.0)</f>
        <v>1510318</v>
      </c>
      <c r="C2027" t="str">
        <f>IFERROR(__xludf.DUMMYFUNCTION("""COMPUTED_VALUE"""),"Oracle Workflow Champion Course- Beginner to Advanced Level!")</f>
        <v>Oracle Workflow Champion Course- Beginner to Advanced Level!</v>
      </c>
    </row>
    <row r="2028">
      <c r="A2028" s="140" t="str">
        <f>IFERROR(__xludf.DUMMYFUNCTION("""COMPUTED_VALUE"""),"es")</f>
        <v>es</v>
      </c>
      <c r="B2028">
        <f>IFERROR(__xludf.DUMMYFUNCTION("""COMPUTED_VALUE"""),3735274.0)</f>
        <v>3735274</v>
      </c>
      <c r="C2028" t="str">
        <f>IFERROR(__xludf.DUMMYFUNCTION("""COMPUTED_VALUE"""),"Cómo Manejar Clientes Molestos")</f>
        <v>Cómo Manejar Clientes Molestos</v>
      </c>
    </row>
    <row r="2029">
      <c r="A2029" s="140" t="str">
        <f>IFERROR(__xludf.DUMMYFUNCTION("""COMPUTED_VALUE"""),"pt")</f>
        <v>pt</v>
      </c>
      <c r="B2029">
        <f>IFERROR(__xludf.DUMMYFUNCTION("""COMPUTED_VALUE"""),1686340.0)</f>
        <v>1686340</v>
      </c>
      <c r="C2029" t="str">
        <f>IFERROR(__xludf.DUMMYFUNCTION("""COMPUTED_VALUE"""),"Microsoft Office Completo - Excel, Access e Word")</f>
        <v>Microsoft Office Completo - Excel, Access e Word</v>
      </c>
    </row>
    <row r="2030">
      <c r="A2030" s="140" t="str">
        <f>IFERROR(__xludf.DUMMYFUNCTION("""COMPUTED_VALUE"""),"en")</f>
        <v>en</v>
      </c>
      <c r="B2030">
        <f>IFERROR(__xludf.DUMMYFUNCTION("""COMPUTED_VALUE"""),549848.0)</f>
        <v>549848</v>
      </c>
      <c r="C2030" t="str">
        <f>IFERROR(__xludf.DUMMYFUNCTION("""COMPUTED_VALUE"""),"Hotel Management Fundamentals: Kickstart Your Career Success")</f>
        <v>Hotel Management Fundamentals: Kickstart Your Career Success</v>
      </c>
    </row>
    <row r="2031">
      <c r="A2031" s="140" t="str">
        <f>IFERROR(__xludf.DUMMYFUNCTION("""COMPUTED_VALUE"""),"ja")</f>
        <v>ja</v>
      </c>
      <c r="B2031">
        <f>IFERROR(__xludf.DUMMYFUNCTION("""COMPUTED_VALUE"""),2723938.0)</f>
        <v>2723938</v>
      </c>
      <c r="C2031" t="str">
        <f>IFERROR(__xludf.DUMMYFUNCTION("""COMPUTED_VALUE"""),"｢PMP®認定試験｣で一発合格を目指す！ 効率的な試験対策のための戦略コース (2021) アジャイル対応")</f>
        <v>｢PMP®認定試験｣で一発合格を目指す！ 効率的な試験対策のための戦略コース (2021) アジャイル対応</v>
      </c>
    </row>
    <row r="2032">
      <c r="A2032" s="140" t="str">
        <f>IFERROR(__xludf.DUMMYFUNCTION("""COMPUTED_VALUE"""),"es")</f>
        <v>es</v>
      </c>
      <c r="B2032">
        <f>IFERROR(__xludf.DUMMYFUNCTION("""COMPUTED_VALUE"""),2332474.0)</f>
        <v>2332474</v>
      </c>
      <c r="C2032" t="str">
        <f>IFERROR(__xludf.DUMMYFUNCTION("""COMPUTED_VALUE"""),"Liderazgo Aumenta tu Nivel de Influencia Poder y Autoridad")</f>
        <v>Liderazgo Aumenta tu Nivel de Influencia Poder y Autoridad</v>
      </c>
    </row>
    <row r="2033">
      <c r="A2033" s="140" t="str">
        <f>IFERROR(__xludf.DUMMYFUNCTION("""COMPUTED_VALUE"""),"en")</f>
        <v>en</v>
      </c>
      <c r="B2033">
        <f>IFERROR(__xludf.DUMMYFUNCTION("""COMPUTED_VALUE"""),3221489.0)</f>
        <v>3221489</v>
      </c>
      <c r="C2033" t="str">
        <f>IFERROR(__xludf.DUMMYFUNCTION("""COMPUTED_VALUE"""),"Embedded Linux using Yocto")</f>
        <v>Embedded Linux using Yocto</v>
      </c>
    </row>
    <row r="2034">
      <c r="A2034" s="140" t="str">
        <f>IFERROR(__xludf.DUMMYFUNCTION("""COMPUTED_VALUE"""),"fr")</f>
        <v>fr</v>
      </c>
      <c r="B2034">
        <f>IFERROR(__xludf.DUMMYFUNCTION("""COMPUTED_VALUE"""),1882616.0)</f>
        <v>1882616</v>
      </c>
      <c r="C2034" t="str">
        <f>IFERROR(__xludf.DUMMYFUNCTION("""COMPUTED_VALUE"""),"Gestion du Stress - Comment Gérer Votre Stress Efficacement")</f>
        <v>Gestion du Stress - Comment Gérer Votre Stress Efficacement</v>
      </c>
    </row>
    <row r="2035">
      <c r="A2035" s="140" t="str">
        <f>IFERROR(__xludf.DUMMYFUNCTION("""COMPUTED_VALUE"""),"pt")</f>
        <v>pt</v>
      </c>
      <c r="B2035">
        <f>IFERROR(__xludf.DUMMYFUNCTION("""COMPUTED_VALUE"""),3377690.0)</f>
        <v>3377690</v>
      </c>
      <c r="C2035" t="str">
        <f>IFERROR(__xludf.DUMMYFUNCTION("""COMPUTED_VALUE"""),"Curso Completo MongoDB 2021 [NoSQL do Básico ao Avançado!]")</f>
        <v>Curso Completo MongoDB 2021 [NoSQL do Básico ao Avançado!]</v>
      </c>
    </row>
    <row r="2036">
      <c r="A2036" s="140" t="str">
        <f>IFERROR(__xludf.DUMMYFUNCTION("""COMPUTED_VALUE"""),"en")</f>
        <v>en</v>
      </c>
      <c r="B2036">
        <f>IFERROR(__xludf.DUMMYFUNCTION("""COMPUTED_VALUE"""),2627024.0)</f>
        <v>2627024</v>
      </c>
      <c r="C2036" t="str">
        <f>IFERROR(__xludf.DUMMYFUNCTION("""COMPUTED_VALUE"""),"Complete Electricity for Electronics, Electrical Engineering")</f>
        <v>Complete Electricity for Electronics, Electrical Engineering</v>
      </c>
    </row>
    <row r="2037">
      <c r="A2037" s="140" t="str">
        <f>IFERROR(__xludf.DUMMYFUNCTION("""COMPUTED_VALUE"""),"pt")</f>
        <v>pt</v>
      </c>
      <c r="B2037">
        <f>IFERROR(__xludf.DUMMYFUNCTION("""COMPUTED_VALUE"""),3227401.0)</f>
        <v>3227401</v>
      </c>
      <c r="C2037" t="str">
        <f>IFERROR(__xludf.DUMMYFUNCTION("""COMPUTED_VALUE"""),"Meu Primeiro Cargo de Liderança")</f>
        <v>Meu Primeiro Cargo de Liderança</v>
      </c>
    </row>
    <row r="2038">
      <c r="A2038" s="140" t="str">
        <f>IFERROR(__xludf.DUMMYFUNCTION("""COMPUTED_VALUE"""),"en")</f>
        <v>en</v>
      </c>
      <c r="B2038">
        <f>IFERROR(__xludf.DUMMYFUNCTION("""COMPUTED_VALUE"""),4110610.0)</f>
        <v>4110610</v>
      </c>
      <c r="C2038" t="str">
        <f>IFERROR(__xludf.DUMMYFUNCTION("""COMPUTED_VALUE"""),"HARD CISSP practice questions #1: All CISSP domains - 125Q")</f>
        <v>HARD CISSP practice questions #1: All CISSP domains - 125Q</v>
      </c>
    </row>
    <row r="2039">
      <c r="A2039" s="140" t="str">
        <f>IFERROR(__xludf.DUMMYFUNCTION("""COMPUTED_VALUE"""),"pt")</f>
        <v>pt</v>
      </c>
      <c r="B2039">
        <f>IFERROR(__xludf.DUMMYFUNCTION("""COMPUTED_VALUE"""),3121134.0)</f>
        <v>3121134</v>
      </c>
      <c r="C2039" t="str">
        <f>IFERROR(__xludf.DUMMYFUNCTION("""COMPUTED_VALUE"""),"Fundamentos de Segurança da Informação.")</f>
        <v>Fundamentos de Segurança da Informação.</v>
      </c>
    </row>
    <row r="2040">
      <c r="A2040" s="140" t="str">
        <f>IFERROR(__xludf.DUMMYFUNCTION("""COMPUTED_VALUE"""),"en")</f>
        <v>en</v>
      </c>
      <c r="B2040">
        <f>IFERROR(__xludf.DUMMYFUNCTION("""COMPUTED_VALUE"""),1856076.0)</f>
        <v>1856076</v>
      </c>
      <c r="C2040" t="str">
        <f>IFERROR(__xludf.DUMMYFUNCTION("""COMPUTED_VALUE"""),"The Complete Pandas Bootcamp 2022: Data Science with Python")</f>
        <v>The Complete Pandas Bootcamp 2022: Data Science with Python</v>
      </c>
    </row>
    <row r="2041">
      <c r="A2041" s="140" t="str">
        <f>IFERROR(__xludf.DUMMYFUNCTION("""COMPUTED_VALUE"""),"en")</f>
        <v>en</v>
      </c>
      <c r="B2041">
        <f>IFERROR(__xludf.DUMMYFUNCTION("""COMPUTED_VALUE"""),230066.0)</f>
        <v>230066</v>
      </c>
      <c r="C2041" t="str">
        <f>IFERROR(__xludf.DUMMYFUNCTION("""COMPUTED_VALUE"""),"Exercise Physiology")</f>
        <v>Exercise Physiology</v>
      </c>
    </row>
    <row r="2042">
      <c r="A2042" s="140" t="str">
        <f>IFERROR(__xludf.DUMMYFUNCTION("""COMPUTED_VALUE"""),"en")</f>
        <v>en</v>
      </c>
      <c r="B2042">
        <f>IFERROR(__xludf.DUMMYFUNCTION("""COMPUTED_VALUE"""),1716630.0)</f>
        <v>1716630</v>
      </c>
      <c r="C2042" t="str">
        <f>IFERROR(__xludf.DUMMYFUNCTION("""COMPUTED_VALUE"""),"Microservices Software Architecture: Patterns and Techniques")</f>
        <v>Microservices Software Architecture: Patterns and Techniques</v>
      </c>
    </row>
    <row r="2043">
      <c r="A2043" s="140" t="str">
        <f>IFERROR(__xludf.DUMMYFUNCTION("""COMPUTED_VALUE"""),"en")</f>
        <v>en</v>
      </c>
      <c r="B2043">
        <f>IFERROR(__xludf.DUMMYFUNCTION("""COMPUTED_VALUE"""),1084874.0)</f>
        <v>1084874</v>
      </c>
      <c r="C2043" t="str">
        <f>IFERROR(__xludf.DUMMYFUNCTION("""COMPUTED_VALUE"""),"Subnetting - Become a Subnet Master!")</f>
        <v>Subnetting - Become a Subnet Master!</v>
      </c>
    </row>
    <row r="2044">
      <c r="A2044" s="140" t="str">
        <f>IFERROR(__xludf.DUMMYFUNCTION("""COMPUTED_VALUE"""),"pt")</f>
        <v>pt</v>
      </c>
      <c r="B2044">
        <f>IFERROR(__xludf.DUMMYFUNCTION("""COMPUTED_VALUE"""),2737420.0)</f>
        <v>2737420</v>
      </c>
      <c r="C2044" t="str">
        <f>IFERROR(__xludf.DUMMYFUNCTION("""COMPUTED_VALUE"""),"Front-End Design Essencial - HTML, CSS e JS Completo do Zero")</f>
        <v>Front-End Design Essencial - HTML, CSS e JS Completo do Zero</v>
      </c>
    </row>
    <row r="2045">
      <c r="A2045" s="140" t="str">
        <f>IFERROR(__xludf.DUMMYFUNCTION("""COMPUTED_VALUE"""),"ar")</f>
        <v>ar</v>
      </c>
      <c r="B2045">
        <f>IFERROR(__xludf.DUMMYFUNCTION("""COMPUTED_VALUE"""),3478922.0)</f>
        <v>3478922</v>
      </c>
      <c r="C2045" t="str">
        <f>IFERROR(__xludf.DUMMYFUNCTION("""COMPUTED_VALUE"""),"Financial Accounting")</f>
        <v>Financial Accounting</v>
      </c>
    </row>
    <row r="2046">
      <c r="A2046" s="140" t="str">
        <f>IFERROR(__xludf.DUMMYFUNCTION("""COMPUTED_VALUE"""),"en")</f>
        <v>en</v>
      </c>
      <c r="B2046">
        <f>IFERROR(__xludf.DUMMYFUNCTION("""COMPUTED_VALUE"""),1250096.0)</f>
        <v>1250096</v>
      </c>
      <c r="C2046" t="str">
        <f>IFERROR(__xludf.DUMMYFUNCTION("""COMPUTED_VALUE"""),"Digital Advertising and Marketing 201: Top Topic &amp; Trends")</f>
        <v>Digital Advertising and Marketing 201: Top Topic &amp; Trends</v>
      </c>
    </row>
    <row r="2047">
      <c r="A2047" s="140" t="str">
        <f>IFERROR(__xludf.DUMMYFUNCTION("""COMPUTED_VALUE"""),"fr")</f>
        <v>fr</v>
      </c>
      <c r="B2047">
        <f>IFERROR(__xludf.DUMMYFUNCTION("""COMPUTED_VALUE"""),3656574.0)</f>
        <v>3656574</v>
      </c>
      <c r="C2047" t="str">
        <f>IFERROR(__xludf.DUMMYFUNCTION("""COMPUTED_VALUE"""),"Améliorer mon oral en anglais en moins d'1h30, it's possible")</f>
        <v>Améliorer mon oral en anglais en moins d'1h30, it's possible</v>
      </c>
    </row>
    <row r="2048">
      <c r="A2048" s="140" t="str">
        <f>IFERROR(__xludf.DUMMYFUNCTION("""COMPUTED_VALUE"""),"pt")</f>
        <v>pt</v>
      </c>
      <c r="B2048">
        <f>IFERROR(__xludf.DUMMYFUNCTION("""COMPUTED_VALUE"""),1686176.0)</f>
        <v>1686176</v>
      </c>
      <c r="C2048" t="str">
        <f>IFERROR(__xludf.DUMMYFUNCTION("""COMPUTED_VALUE"""),"Aprenda Lógica de Programação - direto ao ponto")</f>
        <v>Aprenda Lógica de Programação - direto ao ponto</v>
      </c>
    </row>
    <row r="2049">
      <c r="A2049" s="140" t="str">
        <f>IFERROR(__xludf.DUMMYFUNCTION("""COMPUTED_VALUE"""),"fr")</f>
        <v>fr</v>
      </c>
      <c r="B2049">
        <f>IFERROR(__xludf.DUMMYFUNCTION("""COMPUTED_VALUE"""),2552319.0)</f>
        <v>2552319</v>
      </c>
      <c r="C2049" t="str">
        <f>IFERROR(__xludf.DUMMYFUNCTION("""COMPUTED_VALUE"""),"Figma: maîtrisez Conception Graphique &amp; Design")</f>
        <v>Figma: maîtrisez Conception Graphique &amp; Design</v>
      </c>
    </row>
    <row r="2050">
      <c r="A2050" s="140" t="str">
        <f>IFERROR(__xludf.DUMMYFUNCTION("""COMPUTED_VALUE"""),"en")</f>
        <v>en</v>
      </c>
      <c r="B2050">
        <f>IFERROR(__xludf.DUMMYFUNCTION("""COMPUTED_VALUE"""),2523048.0)</f>
        <v>2523048</v>
      </c>
      <c r="C2050" t="str">
        <f>IFERROR(__xludf.DUMMYFUNCTION("""COMPUTED_VALUE"""),"Oracle 12c Data Guard Administration")</f>
        <v>Oracle 12c Data Guard Administration</v>
      </c>
    </row>
    <row r="2051">
      <c r="A2051" s="140" t="str">
        <f>IFERROR(__xludf.DUMMYFUNCTION("""COMPUTED_VALUE"""),"en")</f>
        <v>en</v>
      </c>
      <c r="B2051">
        <f>IFERROR(__xludf.DUMMYFUNCTION("""COMPUTED_VALUE"""),2567118.0)</f>
        <v>2567118</v>
      </c>
      <c r="C2051" t="str">
        <f>IFERROR(__xludf.DUMMYFUNCTION("""COMPUTED_VALUE"""),"Practice Exam | AWS Certified DevOps Engineer Professional")</f>
        <v>Practice Exam | AWS Certified DevOps Engineer Professional</v>
      </c>
    </row>
    <row r="2052">
      <c r="A2052" s="140" t="str">
        <f>IFERROR(__xludf.DUMMYFUNCTION("""COMPUTED_VALUE"""),"en")</f>
        <v>en</v>
      </c>
      <c r="B2052">
        <f>IFERROR(__xludf.DUMMYFUNCTION("""COMPUTED_VALUE"""),603778.0)</f>
        <v>603778</v>
      </c>
      <c r="C2052" t="str">
        <f>IFERROR(__xludf.DUMMYFUNCTION("""COMPUTED_VALUE"""),"JDBC Servlets and JSP - Java Web Development Fundamentals")</f>
        <v>JDBC Servlets and JSP - Java Web Development Fundamentals</v>
      </c>
    </row>
    <row r="2053">
      <c r="A2053" s="140" t="str">
        <f>IFERROR(__xludf.DUMMYFUNCTION("""COMPUTED_VALUE"""),"en")</f>
        <v>en</v>
      </c>
      <c r="B2053">
        <f>IFERROR(__xludf.DUMMYFUNCTION("""COMPUTED_VALUE"""),603778.0)</f>
        <v>603778</v>
      </c>
      <c r="C2053" t="str">
        <f>IFERROR(__xludf.DUMMYFUNCTION("""COMPUTED_VALUE"""),"JDBC Servlets and JSP - Java Web Development Fundamentals")</f>
        <v>JDBC Servlets and JSP - Java Web Development Fundamentals</v>
      </c>
    </row>
    <row r="2054">
      <c r="A2054" s="140" t="str">
        <f>IFERROR(__xludf.DUMMYFUNCTION("""COMPUTED_VALUE"""),"pt")</f>
        <v>pt</v>
      </c>
      <c r="B2054">
        <f>IFERROR(__xludf.DUMMYFUNCTION("""COMPUTED_VALUE"""),2397560.0)</f>
        <v>2397560</v>
      </c>
      <c r="C2054" t="str">
        <f>IFERROR(__xludf.DUMMYFUNCTION("""COMPUTED_VALUE"""),"Certificação AWS Desenvolvedor - Associate - 2021")</f>
        <v>Certificação AWS Desenvolvedor - Associate - 2021</v>
      </c>
    </row>
    <row r="2055">
      <c r="A2055" s="140" t="str">
        <f>IFERROR(__xludf.DUMMYFUNCTION("""COMPUTED_VALUE"""),"en")</f>
        <v>en</v>
      </c>
      <c r="B2055">
        <f>IFERROR(__xludf.DUMMYFUNCTION("""COMPUTED_VALUE"""),2591038.0)</f>
        <v>2591038</v>
      </c>
      <c r="C2055" t="str">
        <f>IFERROR(__xludf.DUMMYFUNCTION("""COMPUTED_VALUE"""),"Creativity Course by a Creativity Coach | Art &amp; Innovation")</f>
        <v>Creativity Course by a Creativity Coach | Art &amp; Innovation</v>
      </c>
    </row>
    <row r="2056">
      <c r="A2056" s="140" t="str">
        <f>IFERROR(__xludf.DUMMYFUNCTION("""COMPUTED_VALUE"""),"es")</f>
        <v>es</v>
      </c>
      <c r="B2056">
        <f>IFERROR(__xludf.DUMMYFUNCTION("""COMPUTED_VALUE"""),981658.0)</f>
        <v>981658</v>
      </c>
      <c r="C2056" t="str">
        <f>IFERROR(__xludf.DUMMYFUNCTION("""COMPUTED_VALUE"""),"Neuroeducación: Emociones y Aprendizaje")</f>
        <v>Neuroeducación: Emociones y Aprendizaje</v>
      </c>
    </row>
    <row r="2057">
      <c r="A2057" s="140" t="str">
        <f>IFERROR(__xludf.DUMMYFUNCTION("""COMPUTED_VALUE"""),"ja")</f>
        <v>ja</v>
      </c>
      <c r="B2057">
        <f>IFERROR(__xludf.DUMMYFUNCTION("""COMPUTED_VALUE"""),3457376.0)</f>
        <v>3457376</v>
      </c>
      <c r="C2057" t="str">
        <f>IFERROR(__xludf.DUMMYFUNCTION("""COMPUTED_VALUE"""),"【世界で2万人が受講！】EQ（心の知能指数）：感情から学び、職場で活かすために")</f>
        <v>【世界で2万人が受講！】EQ（心の知能指数）：感情から学び、職場で活かすために</v>
      </c>
    </row>
    <row r="2058">
      <c r="A2058" s="140" t="str">
        <f>IFERROR(__xludf.DUMMYFUNCTION("""COMPUTED_VALUE"""),"en")</f>
        <v>en</v>
      </c>
      <c r="B2058">
        <f>IFERROR(__xludf.DUMMYFUNCTION("""COMPUTED_VALUE"""),2094734.0)</f>
        <v>2094734</v>
      </c>
      <c r="C2058" t="str">
        <f>IFERROR(__xludf.DUMMYFUNCTION("""COMPUTED_VALUE"""),"Introduction to UX Design for Accessibility and WCAG 2.0")</f>
        <v>Introduction to UX Design for Accessibility and WCAG 2.0</v>
      </c>
    </row>
    <row r="2059">
      <c r="A2059" s="140" t="str">
        <f>IFERROR(__xludf.DUMMYFUNCTION("""COMPUTED_VALUE"""),"ja")</f>
        <v>ja</v>
      </c>
      <c r="B2059">
        <f>IFERROR(__xludf.DUMMYFUNCTION("""COMPUTED_VALUE"""),2139770.0)</f>
        <v>2139770</v>
      </c>
      <c r="C2059" t="str">
        <f>IFERROR(__xludf.DUMMYFUNCTION("""COMPUTED_VALUE"""),"【サイバーセキュリティ ハンズオン】デジタルフォレンジック技術入門（Windows解析編）")</f>
        <v>【サイバーセキュリティ ハンズオン】デジタルフォレンジック技術入門（Windows解析編）</v>
      </c>
    </row>
    <row r="2060">
      <c r="A2060" s="140" t="str">
        <f>IFERROR(__xludf.DUMMYFUNCTION("""COMPUTED_VALUE"""),"en")</f>
        <v>en</v>
      </c>
      <c r="B2060">
        <f>IFERROR(__xludf.DUMMYFUNCTION("""COMPUTED_VALUE"""),906852.0)</f>
        <v>906852</v>
      </c>
      <c r="C2060" t="str">
        <f>IFERROR(__xludf.DUMMYFUNCTION("""COMPUTED_VALUE"""),"Homeschooling 101:  Basics for Parents Before You Start")</f>
        <v>Homeschooling 101:  Basics for Parents Before You Start</v>
      </c>
    </row>
    <row r="2061">
      <c r="A2061" s="140" t="str">
        <f>IFERROR(__xludf.DUMMYFUNCTION("""COMPUTED_VALUE"""),"ja")</f>
        <v>ja</v>
      </c>
      <c r="B2061">
        <f>IFERROR(__xludf.DUMMYFUNCTION("""COMPUTED_VALUE"""),1753920.0)</f>
        <v>1753920</v>
      </c>
      <c r="C2061" t="str">
        <f>IFERROR(__xludf.DUMMYFUNCTION("""COMPUTED_VALUE"""),"感情を動かす！社外プレゼンの資料作成術")</f>
        <v>感情を動かす！社外プレゼンの資料作成術</v>
      </c>
    </row>
    <row r="2062">
      <c r="A2062" s="140" t="str">
        <f>IFERROR(__xludf.DUMMYFUNCTION("""COMPUTED_VALUE"""),"en")</f>
        <v>en</v>
      </c>
      <c r="B2062">
        <f>IFERROR(__xludf.DUMMYFUNCTION("""COMPUTED_VALUE"""),1906852.0)</f>
        <v>1906852</v>
      </c>
      <c r="C2062" t="str">
        <f>IFERROR(__xludf.DUMMYFUNCTION("""COMPUTED_VALUE"""),"MongoDB - The Complete Developer's Guide 2022")</f>
        <v>MongoDB - The Complete Developer's Guide 2022</v>
      </c>
    </row>
    <row r="2063">
      <c r="A2063" s="140" t="str">
        <f>IFERROR(__xludf.DUMMYFUNCTION("""COMPUTED_VALUE"""),"zh")</f>
        <v>zh</v>
      </c>
      <c r="B2063">
        <f>IFERROR(__xludf.DUMMYFUNCTION("""COMPUTED_VALUE"""),2983194.0)</f>
        <v>2983194</v>
      </c>
      <c r="C2063" t="str">
        <f>IFERROR(__xludf.DUMMYFUNCTION("""COMPUTED_VALUE"""),"深度学习-物体检测-YOLO实战系列")</f>
        <v>深度学习-物体检测-YOLO实战系列</v>
      </c>
    </row>
    <row r="2064">
      <c r="A2064" s="140" t="str">
        <f>IFERROR(__xludf.DUMMYFUNCTION("""COMPUTED_VALUE"""),"en")</f>
        <v>en</v>
      </c>
      <c r="B2064">
        <f>IFERROR(__xludf.DUMMYFUNCTION("""COMPUTED_VALUE"""),3962058.0)</f>
        <v>3962058</v>
      </c>
      <c r="C2064" t="str">
        <f>IFERROR(__xludf.DUMMYFUNCTION("""COMPUTED_VALUE"""),"Crash Course on Leadership Skills Development + Negotiation")</f>
        <v>Crash Course on Leadership Skills Development + Negotiation</v>
      </c>
    </row>
    <row r="2065">
      <c r="A2065" s="140" t="str">
        <f>IFERROR(__xludf.DUMMYFUNCTION("""COMPUTED_VALUE"""),"tr")</f>
        <v>tr</v>
      </c>
      <c r="B2065">
        <f>IFERROR(__xludf.DUMMYFUNCTION("""COMPUTED_VALUE"""),2831626.0)</f>
        <v>2831626</v>
      </c>
      <c r="C2065" t="str">
        <f>IFERROR(__xludf.DUMMYFUNCTION("""COMPUTED_VALUE"""),"MS PROJECT 2019 İLE PROJE PLANLAMA VE MALİYET KONTROL")</f>
        <v>MS PROJECT 2019 İLE PROJE PLANLAMA VE MALİYET KONTROL</v>
      </c>
    </row>
    <row r="2066">
      <c r="A2066" s="140" t="str">
        <f>IFERROR(__xludf.DUMMYFUNCTION("""COMPUTED_VALUE"""),"fr")</f>
        <v>fr</v>
      </c>
      <c r="B2066">
        <f>IFERROR(__xludf.DUMMYFUNCTION("""COMPUTED_VALUE"""),1298132.0)</f>
        <v>1298132</v>
      </c>
      <c r="C2066" t="str">
        <f>IFERROR(__xludf.DUMMYFUNCTION("""COMPUTED_VALUE"""),"Initiation au trading Forex en 1 heure !")</f>
        <v>Initiation au trading Forex en 1 heure !</v>
      </c>
    </row>
    <row r="2067">
      <c r="A2067" s="140" t="str">
        <f>IFERROR(__xludf.DUMMYFUNCTION("""COMPUTED_VALUE"""),"en")</f>
        <v>en</v>
      </c>
      <c r="B2067">
        <f>IFERROR(__xludf.DUMMYFUNCTION("""COMPUTED_VALUE"""),79120.0)</f>
        <v>79120</v>
      </c>
      <c r="C2067" t="str">
        <f>IFERROR(__xludf.DUMMYFUNCTION("""COMPUTED_VALUE"""),"LaTeX for Professional Publications")</f>
        <v>LaTeX for Professional Publications</v>
      </c>
    </row>
    <row r="2068">
      <c r="A2068" s="140" t="str">
        <f>IFERROR(__xludf.DUMMYFUNCTION("""COMPUTED_VALUE"""),"en")</f>
        <v>en</v>
      </c>
      <c r="B2068">
        <f>IFERROR(__xludf.DUMMYFUNCTION("""COMPUTED_VALUE"""),419404.0)</f>
        <v>419404</v>
      </c>
      <c r="C2068" t="str">
        <f>IFERROR(__xludf.DUMMYFUNCTION("""COMPUTED_VALUE"""),"Excel Power Query, Power Pivot, Power Map &amp; DAX Masterclass")</f>
        <v>Excel Power Query, Power Pivot, Power Map &amp; DAX Masterclass</v>
      </c>
    </row>
    <row r="2069">
      <c r="A2069" s="140" t="str">
        <f>IFERROR(__xludf.DUMMYFUNCTION("""COMPUTED_VALUE"""),"en")</f>
        <v>en</v>
      </c>
      <c r="B2069">
        <f>IFERROR(__xludf.DUMMYFUNCTION("""COMPUTED_VALUE"""),2432498.0)</f>
        <v>2432498</v>
      </c>
      <c r="C2069" t="str">
        <f>IFERROR(__xludf.DUMMYFUNCTION("""COMPUTED_VALUE"""),"State of the Art Android App Development in Kotlin")</f>
        <v>State of the Art Android App Development in Kotlin</v>
      </c>
    </row>
    <row r="2070">
      <c r="A2070" s="140" t="str">
        <f>IFERROR(__xludf.DUMMYFUNCTION("""COMPUTED_VALUE"""),"ja")</f>
        <v>ja</v>
      </c>
      <c r="B2070">
        <f>IFERROR(__xludf.DUMMYFUNCTION("""COMPUTED_VALUE"""),1556980.0)</f>
        <v>1556980</v>
      </c>
      <c r="C2070" t="str">
        <f>IFERROR(__xludf.DUMMYFUNCTION("""COMPUTED_VALUE"""),"【修正・内容改変のため一般非公開中】HTML・CSS・JavaScript入門・はじめてのHTMLからマスターしていこう")</f>
        <v>【修正・内容改変のため一般非公開中】HTML・CSS・JavaScript入門・はじめてのHTMLからマスターしていこう</v>
      </c>
    </row>
    <row r="2071">
      <c r="A2071" s="140" t="str">
        <f>IFERROR(__xludf.DUMMYFUNCTION("""COMPUTED_VALUE"""),"ja")</f>
        <v>ja</v>
      </c>
      <c r="B2071">
        <f>IFERROR(__xludf.DUMMYFUNCTION("""COMPUTED_VALUE"""),2301224.0)</f>
        <v>2301224</v>
      </c>
      <c r="C2071" t="str">
        <f>IFERROR(__xludf.DUMMYFUNCTION("""COMPUTED_VALUE"""),"はじめてのブロックチェーン")</f>
        <v>はじめてのブロックチェーン</v>
      </c>
    </row>
    <row r="2072">
      <c r="A2072" s="140" t="str">
        <f>IFERROR(__xludf.DUMMYFUNCTION("""COMPUTED_VALUE"""),"en")</f>
        <v>en</v>
      </c>
      <c r="B2072">
        <f>IFERROR(__xludf.DUMMYFUNCTION("""COMPUTED_VALUE"""),2280266.0)</f>
        <v>2280266</v>
      </c>
      <c r="C2072" t="str">
        <f>IFERROR(__xludf.DUMMYFUNCTION("""COMPUTED_VALUE"""),"Easily Create a vSphere 6.7 VCP Lab with VMware Workstation")</f>
        <v>Easily Create a vSphere 6.7 VCP Lab with VMware Workstation</v>
      </c>
    </row>
    <row r="2073">
      <c r="A2073" s="140" t="str">
        <f>IFERROR(__xludf.DUMMYFUNCTION("""COMPUTED_VALUE"""),"es")</f>
        <v>es</v>
      </c>
      <c r="B2073">
        <f>IFERROR(__xludf.DUMMYFUNCTION("""COMPUTED_VALUE"""),1816278.0)</f>
        <v>1816278</v>
      </c>
      <c r="C2073" t="str">
        <f>IFERROR(__xludf.DUMMYFUNCTION("""COMPUTED_VALUE"""),"Seguridad en redes WiFi, Detección y Expulsión de Hackers")</f>
        <v>Seguridad en redes WiFi, Detección y Expulsión de Hackers</v>
      </c>
    </row>
    <row r="2074">
      <c r="A2074" s="140" t="str">
        <f>IFERROR(__xludf.DUMMYFUNCTION("""COMPUTED_VALUE"""),"pt")</f>
        <v>pt</v>
      </c>
      <c r="B2074">
        <f>IFERROR(__xludf.DUMMYFUNCTION("""COMPUTED_VALUE"""),3911190.0)</f>
        <v>3911190</v>
      </c>
      <c r="C2074" t="str">
        <f>IFERROR(__xludf.DUMMYFUNCTION("""COMPUTED_VALUE"""),"Microsoft Power Automate Desktop - RPA para Iniciantes")</f>
        <v>Microsoft Power Automate Desktop - RPA para Iniciantes</v>
      </c>
    </row>
    <row r="2075">
      <c r="A2075" s="140" t="str">
        <f>IFERROR(__xludf.DUMMYFUNCTION("""COMPUTED_VALUE"""),"es")</f>
        <v>es</v>
      </c>
      <c r="B2075">
        <f>IFERROR(__xludf.DUMMYFUNCTION("""COMPUTED_VALUE"""),3595222.0)</f>
        <v>3595222</v>
      </c>
      <c r="C2075" t="str">
        <f>IFERROR(__xludf.DUMMYFUNCTION("""COMPUTED_VALUE"""),"Next JS: Crea tu tienda online completa")</f>
        <v>Next JS: Crea tu tienda online completa</v>
      </c>
    </row>
    <row r="2076">
      <c r="A2076" s="140" t="str">
        <f>IFERROR(__xludf.DUMMYFUNCTION("""COMPUTED_VALUE"""),"tr")</f>
        <v>tr</v>
      </c>
      <c r="B2076">
        <f>IFERROR(__xludf.DUMMYFUNCTION("""COMPUTED_VALUE"""),2375012.0)</f>
        <v>2375012</v>
      </c>
      <c r="C2076" t="str">
        <f>IFERROR(__xludf.DUMMYFUNCTION("""COMPUTED_VALUE"""),"MS Access Eğitim Seti - Sıfırdan Zirveye")</f>
        <v>MS Access Eğitim Seti - Sıfırdan Zirveye</v>
      </c>
    </row>
    <row r="2077">
      <c r="A2077" s="140" t="str">
        <f>IFERROR(__xludf.DUMMYFUNCTION("""COMPUTED_VALUE"""),"en")</f>
        <v>en</v>
      </c>
      <c r="B2077">
        <f>IFERROR(__xludf.DUMMYFUNCTION("""COMPUTED_VALUE"""),380582.0)</f>
        <v>380582</v>
      </c>
      <c r="C2077" t="str">
        <f>IFERROR(__xludf.DUMMYFUNCTION("""COMPUTED_VALUE"""),"Learn OAuth 2.0 - Get started as an API Security Expert")</f>
        <v>Learn OAuth 2.0 - Get started as an API Security Expert</v>
      </c>
    </row>
    <row r="2078">
      <c r="A2078" s="140" t="str">
        <f>IFERROR(__xludf.DUMMYFUNCTION("""COMPUTED_VALUE"""),"en")</f>
        <v>en</v>
      </c>
      <c r="B2078">
        <f>IFERROR(__xludf.DUMMYFUNCTION("""COMPUTED_VALUE"""),1721090.0)</f>
        <v>1721090</v>
      </c>
      <c r="C2078" t="str">
        <f>IFERROR(__xludf.DUMMYFUNCTION("""COMPUTED_VALUE"""),"HR Course - Agile PeopleOps Framework (APF) : Foundation")</f>
        <v>HR Course - Agile PeopleOps Framework (APF) : Foundation</v>
      </c>
    </row>
    <row r="2079">
      <c r="A2079" s="140" t="str">
        <f>IFERROR(__xludf.DUMMYFUNCTION("""COMPUTED_VALUE"""),"en")</f>
        <v>en</v>
      </c>
      <c r="B2079">
        <f>IFERROR(__xludf.DUMMYFUNCTION("""COMPUTED_VALUE"""),992566.0)</f>
        <v>992566</v>
      </c>
      <c r="C2079" t="str">
        <f>IFERROR(__xludf.DUMMYFUNCTION("""COMPUTED_VALUE"""),"AWS Certified Machine Learning Specialty (MLS-C01)")</f>
        <v>AWS Certified Machine Learning Specialty (MLS-C01)</v>
      </c>
    </row>
    <row r="2080">
      <c r="A2080" s="140" t="str">
        <f>IFERROR(__xludf.DUMMYFUNCTION("""COMPUTED_VALUE"""),"en")</f>
        <v>en</v>
      </c>
      <c r="B2080">
        <f>IFERROR(__xludf.DUMMYFUNCTION("""COMPUTED_VALUE"""),1490574.0)</f>
        <v>1490574</v>
      </c>
      <c r="C2080" t="str">
        <f>IFERROR(__xludf.DUMMYFUNCTION("""COMPUTED_VALUE"""),"DAX Power Pivot - 10 Easy Steps for Intermediates")</f>
        <v>DAX Power Pivot - 10 Easy Steps for Intermediates</v>
      </c>
    </row>
    <row r="2081">
      <c r="A2081" s="140" t="str">
        <f>IFERROR(__xludf.DUMMYFUNCTION("""COMPUTED_VALUE"""),"en")</f>
        <v>en</v>
      </c>
      <c r="B2081">
        <f>IFERROR(__xludf.DUMMYFUNCTION("""COMPUTED_VALUE"""),2585574.0)</f>
        <v>2585574</v>
      </c>
      <c r="C2081" t="str">
        <f>IFERROR(__xludf.DUMMYFUNCTION("""COMPUTED_VALUE"""),"AWS Advanced Security")</f>
        <v>AWS Advanced Security</v>
      </c>
    </row>
    <row r="2082">
      <c r="A2082" s="140" t="str">
        <f>IFERROR(__xludf.DUMMYFUNCTION("""COMPUTED_VALUE"""),"en")</f>
        <v>en</v>
      </c>
      <c r="B2082">
        <f>IFERROR(__xludf.DUMMYFUNCTION("""COMPUTED_VALUE"""),1833430.0)</f>
        <v>1833430</v>
      </c>
      <c r="C2082" t="str">
        <f>IFERROR(__xludf.DUMMYFUNCTION("""COMPUTED_VALUE"""),"Become An Expert At Microsoft Dynamics 365 For Sales (CRM)")</f>
        <v>Become An Expert At Microsoft Dynamics 365 For Sales (CRM)</v>
      </c>
    </row>
    <row r="2083">
      <c r="A2083" s="140" t="str">
        <f>IFERROR(__xludf.DUMMYFUNCTION("""COMPUTED_VALUE"""),"en")</f>
        <v>en</v>
      </c>
      <c r="B2083">
        <f>IFERROR(__xludf.DUMMYFUNCTION("""COMPUTED_VALUE"""),613946.0)</f>
        <v>613946</v>
      </c>
      <c r="C2083" t="str">
        <f>IFERROR(__xludf.DUMMYFUNCTION("""COMPUTED_VALUE"""),"Google Analytics for Beginners - Master Google Analytics")</f>
        <v>Google Analytics for Beginners - Master Google Analytics</v>
      </c>
    </row>
    <row r="2084">
      <c r="A2084" s="140" t="str">
        <f>IFERROR(__xludf.DUMMYFUNCTION("""COMPUTED_VALUE"""),"en")</f>
        <v>en</v>
      </c>
      <c r="B2084">
        <f>IFERROR(__xludf.DUMMYFUNCTION("""COMPUTED_VALUE"""),1597516.0)</f>
        <v>1597516</v>
      </c>
      <c r="C2084" t="str">
        <f>IFERROR(__xludf.DUMMYFUNCTION("""COMPUTED_VALUE"""),"The Story Course - Storytelling Masterclass")</f>
        <v>The Story Course - Storytelling Masterclass</v>
      </c>
    </row>
    <row r="2085">
      <c r="A2085" s="140" t="str">
        <f>IFERROR(__xludf.DUMMYFUNCTION("""COMPUTED_VALUE"""),"de")</f>
        <v>de</v>
      </c>
      <c r="B2085">
        <f>IFERROR(__xludf.DUMMYFUNCTION("""COMPUTED_VALUE"""),2734438.0)</f>
        <v>2734438</v>
      </c>
      <c r="C2085" t="str">
        <f>IFERROR(__xludf.DUMMYFUNCTION("""COMPUTED_VALUE"""),"Professionelle Webanwendungen mit CodeIgniter 3")</f>
        <v>Professionelle Webanwendungen mit CodeIgniter 3</v>
      </c>
    </row>
    <row r="2086">
      <c r="A2086" s="140" t="str">
        <f>IFERROR(__xludf.DUMMYFUNCTION("""COMPUTED_VALUE"""),"ko")</f>
        <v>ko</v>
      </c>
      <c r="B2086">
        <f>IFERROR(__xludf.DUMMYFUNCTION("""COMPUTED_VALUE"""),1035018.0)</f>
        <v>1035018</v>
      </c>
      <c r="C2086" t="str">
        <f>IFERROR(__xludf.DUMMYFUNCTION("""COMPUTED_VALUE"""),"화이트해커가 되기 위한 8가지 웹 해킹 기술")</f>
        <v>화이트해커가 되기 위한 8가지 웹 해킹 기술</v>
      </c>
    </row>
    <row r="2087">
      <c r="A2087" s="140" t="str">
        <f>IFERROR(__xludf.DUMMYFUNCTION("""COMPUTED_VALUE"""),"en")</f>
        <v>en</v>
      </c>
      <c r="B2087">
        <f>IFERROR(__xludf.DUMMYFUNCTION("""COMPUTED_VALUE"""),937678.0)</f>
        <v>937678</v>
      </c>
      <c r="C2087" t="str">
        <f>IFERROR(__xludf.DUMMYFUNCTION("""COMPUTED_VALUE"""),"Tableau 2020 A-Z: Hands-On Tableau Training for Data Science")</f>
        <v>Tableau 2020 A-Z: Hands-On Tableau Training for Data Science</v>
      </c>
    </row>
    <row r="2088">
      <c r="A2088" s="140" t="str">
        <f>IFERROR(__xludf.DUMMYFUNCTION("""COMPUTED_VALUE"""),"en")</f>
        <v>en</v>
      </c>
      <c r="B2088">
        <f>IFERROR(__xludf.DUMMYFUNCTION("""COMPUTED_VALUE"""),1776342.0)</f>
        <v>1776342</v>
      </c>
      <c r="C2088" t="str">
        <f>IFERROR(__xludf.DUMMYFUNCTION("""COMPUTED_VALUE"""),"Webpack 5: The Complete Guide For Beginners")</f>
        <v>Webpack 5: The Complete Guide For Beginners</v>
      </c>
    </row>
    <row r="2089">
      <c r="A2089" s="140" t="str">
        <f>IFERROR(__xludf.DUMMYFUNCTION("""COMPUTED_VALUE"""),"es")</f>
        <v>es</v>
      </c>
      <c r="B2089">
        <f>IFERROR(__xludf.DUMMYFUNCTION("""COMPUTED_VALUE"""),1701594.0)</f>
        <v>1701594</v>
      </c>
      <c r="C2089" t="str">
        <f>IFERROR(__xludf.DUMMYFUNCTION("""COMPUTED_VALUE"""),"Curso práctico de ortografía: ""Mejora tu ortografía ya""")</f>
        <v>Curso práctico de ortografía: "Mejora tu ortografía ya"</v>
      </c>
    </row>
    <row r="2090">
      <c r="A2090" s="140" t="str">
        <f>IFERROR(__xludf.DUMMYFUNCTION("""COMPUTED_VALUE"""),"ja")</f>
        <v>ja</v>
      </c>
      <c r="B2090">
        <f>IFERROR(__xludf.DUMMYFUNCTION("""COMPUTED_VALUE"""),1634784.0)</f>
        <v>1634784</v>
      </c>
      <c r="C2090" t="str">
        <f>IFERROR(__xludf.DUMMYFUNCTION("""COMPUTED_VALUE"""),"業界最先端の動画制作テクニックを制覇！Adobe Premiere Pro 完全版")</f>
        <v>業界最先端の動画制作テクニックを制覇！Adobe Premiere Pro 完全版</v>
      </c>
    </row>
    <row r="2091">
      <c r="A2091" s="140" t="str">
        <f>IFERROR(__xludf.DUMMYFUNCTION("""COMPUTED_VALUE"""),"en")</f>
        <v>en</v>
      </c>
      <c r="B2091">
        <f>IFERROR(__xludf.DUMMYFUNCTION("""COMPUTED_VALUE"""),3116676.0)</f>
        <v>3116676</v>
      </c>
      <c r="C2091" t="str">
        <f>IFERROR(__xludf.DUMMYFUNCTION("""COMPUTED_VALUE"""),"Cassandra - Completely Basic Hands on")</f>
        <v>Cassandra - Completely Basic Hands on</v>
      </c>
    </row>
    <row r="2092">
      <c r="A2092" s="140" t="str">
        <f>IFERROR(__xludf.DUMMYFUNCTION("""COMPUTED_VALUE"""),"en")</f>
        <v>en</v>
      </c>
      <c r="B2092">
        <f>IFERROR(__xludf.DUMMYFUNCTION("""COMPUTED_VALUE"""),4289690.0)</f>
        <v>4289690</v>
      </c>
      <c r="C2092" t="str">
        <f>IFERROR(__xludf.DUMMYFUNCTION("""COMPUTED_VALUE"""),"2021: Learn Algorithmic Trading in One Day")</f>
        <v>2021: Learn Algorithmic Trading in One Day</v>
      </c>
    </row>
    <row r="2093">
      <c r="A2093" s="140" t="str">
        <f>IFERROR(__xludf.DUMMYFUNCTION("""COMPUTED_VALUE"""),"tr")</f>
        <v>tr</v>
      </c>
      <c r="B2093">
        <f>IFERROR(__xludf.DUMMYFUNCTION("""COMPUTED_VALUE"""),2333106.0)</f>
        <v>2333106</v>
      </c>
      <c r="C2093" t="str">
        <f>IFERROR(__xludf.DUMMYFUNCTION("""COMPUTED_VALUE"""),"İş Hayatında Stratejik Planlama ve Analitik Çözüm Üretme")</f>
        <v>İş Hayatında Stratejik Planlama ve Analitik Çözüm Üretme</v>
      </c>
    </row>
    <row r="2094">
      <c r="A2094" s="140" t="str">
        <f>IFERROR(__xludf.DUMMYFUNCTION("""COMPUTED_VALUE"""),"en")</f>
        <v>en</v>
      </c>
      <c r="B2094">
        <f>IFERROR(__xludf.DUMMYFUNCTION("""COMPUTED_VALUE"""),1349662.0)</f>
        <v>1349662</v>
      </c>
      <c r="C2094" t="str">
        <f>IFERROR(__xludf.DUMMYFUNCTION("""COMPUTED_VALUE"""),"TRIZ. Engineering Problem-Solving Algorithm")</f>
        <v>TRIZ. Engineering Problem-Solving Algorithm</v>
      </c>
    </row>
    <row r="2095">
      <c r="A2095" s="140" t="str">
        <f>IFERROR(__xludf.DUMMYFUNCTION("""COMPUTED_VALUE"""),"pt")</f>
        <v>pt</v>
      </c>
      <c r="B2095">
        <f>IFERROR(__xludf.DUMMYFUNCTION("""COMPUTED_VALUE"""),1184040.0)</f>
        <v>1184040</v>
      </c>
      <c r="C2095" t="str">
        <f>IFERROR(__xludf.DUMMYFUNCTION("""COMPUTED_VALUE"""),"GIMP - Editor de Fotos Profissional (Software Grátis)")</f>
        <v>GIMP - Editor de Fotos Profissional (Software Grátis)</v>
      </c>
    </row>
    <row r="2096">
      <c r="A2096" s="140" t="str">
        <f>IFERROR(__xludf.DUMMYFUNCTION("""COMPUTED_VALUE"""),"en")</f>
        <v>en</v>
      </c>
      <c r="B2096">
        <f>IFERROR(__xludf.DUMMYFUNCTION("""COMPUTED_VALUE"""),2257336.0)</f>
        <v>2257336</v>
      </c>
      <c r="C2096" t="str">
        <f>IFERROR(__xludf.DUMMYFUNCTION("""COMPUTED_VALUE"""),"The Complete PEGA Senior Architect Course - 8.5 Updated")</f>
        <v>The Complete PEGA Senior Architect Course - 8.5 Updated</v>
      </c>
    </row>
    <row r="2097">
      <c r="A2097" s="140" t="str">
        <f>IFERROR(__xludf.DUMMYFUNCTION("""COMPUTED_VALUE"""),"en")</f>
        <v>en</v>
      </c>
      <c r="B2097">
        <f>IFERROR(__xludf.DUMMYFUNCTION("""COMPUTED_VALUE"""),684272.0)</f>
        <v>684272</v>
      </c>
      <c r="C2097" t="str">
        <f>IFERROR(__xludf.DUMMYFUNCTION("""COMPUTED_VALUE"""),"IELTS Band 7+ Complete Prep Course")</f>
        <v>IELTS Band 7+ Complete Prep Course</v>
      </c>
    </row>
    <row r="2098">
      <c r="A2098" s="140" t="str">
        <f>IFERROR(__xludf.DUMMYFUNCTION("""COMPUTED_VALUE"""),"en")</f>
        <v>en</v>
      </c>
      <c r="B2098">
        <f>IFERROR(__xludf.DUMMYFUNCTION("""COMPUTED_VALUE"""),3635516.0)</f>
        <v>3635516</v>
      </c>
      <c r="C2098" t="str">
        <f>IFERROR(__xludf.DUMMYFUNCTION("""COMPUTED_VALUE"""),"React, React Redux and Redux Saga - Master React State/Hooks")</f>
        <v>React, React Redux and Redux Saga - Master React State/Hooks</v>
      </c>
    </row>
    <row r="2099">
      <c r="A2099" s="140" t="str">
        <f>IFERROR(__xludf.DUMMYFUNCTION("""COMPUTED_VALUE"""),"ja")</f>
        <v>ja</v>
      </c>
      <c r="B2099">
        <f>IFERROR(__xludf.DUMMYFUNCTION("""COMPUTED_VALUE"""),3271656.0)</f>
        <v>3271656</v>
      </c>
      <c r="C2099" t="str">
        <f>IFERROR(__xludf.DUMMYFUNCTION("""COMPUTED_VALUE"""),"【3日で学べる】PythonでWebスクレイピング・クローリングを極めよう！（Scrapy、Selenium編）")</f>
        <v>【3日で学べる】PythonでWebスクレイピング・クローリングを極めよう！（Scrapy、Selenium編）</v>
      </c>
    </row>
    <row r="2100">
      <c r="A2100" s="140" t="str">
        <f>IFERROR(__xludf.DUMMYFUNCTION("""COMPUTED_VALUE"""),"en")</f>
        <v>en</v>
      </c>
      <c r="B2100">
        <f>IFERROR(__xludf.DUMMYFUNCTION("""COMPUTED_VALUE"""),2507564.0)</f>
        <v>2507564</v>
      </c>
      <c r="C2100" t="str">
        <f>IFERROR(__xludf.DUMMYFUNCTION("""COMPUTED_VALUE"""),"Microsoft AZ-500 Certification: Azure Security Technologies")</f>
        <v>Microsoft AZ-500 Certification: Azure Security Technologies</v>
      </c>
    </row>
    <row r="2101">
      <c r="A2101" s="140" t="str">
        <f>IFERROR(__xludf.DUMMYFUNCTION("""COMPUTED_VALUE"""),"en")</f>
        <v>en</v>
      </c>
      <c r="B2101">
        <f>IFERROR(__xludf.DUMMYFUNCTION("""COMPUTED_VALUE"""),82056.0)</f>
        <v>82056</v>
      </c>
      <c r="C2101" t="str">
        <f>IFERROR(__xludf.DUMMYFUNCTION("""COMPUTED_VALUE"""),"SAP Debugging for Functional Consultants")</f>
        <v>SAP Debugging for Functional Consultants</v>
      </c>
    </row>
    <row r="2102">
      <c r="A2102" s="140" t="str">
        <f>IFERROR(__xludf.DUMMYFUNCTION("""COMPUTED_VALUE"""),"ja")</f>
        <v>ja</v>
      </c>
      <c r="B2102">
        <f>IFERROR(__xludf.DUMMYFUNCTION("""COMPUTED_VALUE"""),2645784.0)</f>
        <v>2645784</v>
      </c>
      <c r="C2102" t="str">
        <f>IFERROR(__xludf.DUMMYFUNCTION("""COMPUTED_VALUE"""),"やさしい実用統計 Pythonによるデータ分析入門")</f>
        <v>やさしい実用統計 Pythonによるデータ分析入門</v>
      </c>
    </row>
    <row r="2103">
      <c r="A2103" s="140" t="str">
        <f>IFERROR(__xludf.DUMMYFUNCTION("""COMPUTED_VALUE"""),"en")</f>
        <v>en</v>
      </c>
      <c r="B2103">
        <f>IFERROR(__xludf.DUMMYFUNCTION("""COMPUTED_VALUE"""),1332388.0)</f>
        <v>1332388</v>
      </c>
      <c r="C2103" t="str">
        <f>IFERROR(__xludf.DUMMYFUNCTION("""COMPUTED_VALUE"""),"CISSP EASY/MID questions #1 - ALL CISSP domains 250 Q - 2022")</f>
        <v>CISSP EASY/MID questions #1 - ALL CISSP domains 250 Q - 2022</v>
      </c>
    </row>
    <row r="2104">
      <c r="A2104" s="140" t="str">
        <f>IFERROR(__xludf.DUMMYFUNCTION("""COMPUTED_VALUE"""),"en")</f>
        <v>en</v>
      </c>
      <c r="B2104">
        <f>IFERROR(__xludf.DUMMYFUNCTION("""COMPUTED_VALUE"""),1067226.0)</f>
        <v>1067226</v>
      </c>
      <c r="C2104" t="str">
        <f>IFERROR(__xludf.DUMMYFUNCTION("""COMPUTED_VALUE"""),"Introduction to Apache NiFi | Cloudera DataFlow - HDF 2.0")</f>
        <v>Introduction to Apache NiFi | Cloudera DataFlow - HDF 2.0</v>
      </c>
    </row>
    <row r="2105">
      <c r="A2105" s="140" t="str">
        <f>IFERROR(__xludf.DUMMYFUNCTION("""COMPUTED_VALUE"""),"en")</f>
        <v>en</v>
      </c>
      <c r="B2105">
        <f>IFERROR(__xludf.DUMMYFUNCTION("""COMPUTED_VALUE"""),980798.0)</f>
        <v>980798</v>
      </c>
      <c r="C2105" t="str">
        <f>IFERROR(__xludf.DUMMYFUNCTION("""COMPUTED_VALUE"""),"Spark and Python for Big Data with PySpark")</f>
        <v>Spark and Python for Big Data with PySpark</v>
      </c>
    </row>
    <row r="2106">
      <c r="A2106" s="140" t="str">
        <f>IFERROR(__xludf.DUMMYFUNCTION("""COMPUTED_VALUE"""),"en")</f>
        <v>en</v>
      </c>
      <c r="B2106">
        <f>IFERROR(__xludf.DUMMYFUNCTION("""COMPUTED_VALUE"""),1322796.0)</f>
        <v>1322796</v>
      </c>
      <c r="C2106" t="str">
        <f>IFERROR(__xludf.DUMMYFUNCTION("""COMPUTED_VALUE"""),"Kotlin for Java Developers")</f>
        <v>Kotlin for Java Developers</v>
      </c>
    </row>
    <row r="2107">
      <c r="A2107" s="140" t="str">
        <f>IFERROR(__xludf.DUMMYFUNCTION("""COMPUTED_VALUE"""),"en")</f>
        <v>en</v>
      </c>
      <c r="B2107">
        <f>IFERROR(__xludf.DUMMYFUNCTION("""COMPUTED_VALUE"""),1295078.0)</f>
        <v>1295078</v>
      </c>
      <c r="C2107" t="str">
        <f>IFERROR(__xludf.DUMMYFUNCTION("""COMPUTED_VALUE"""),"Lua Programming and Game Development with LÖVE")</f>
        <v>Lua Programming and Game Development with LÖVE</v>
      </c>
    </row>
    <row r="2108">
      <c r="A2108" s="140" t="str">
        <f>IFERROR(__xludf.DUMMYFUNCTION("""COMPUTED_VALUE"""),"en")</f>
        <v>en</v>
      </c>
      <c r="B2108">
        <f>IFERROR(__xludf.DUMMYFUNCTION("""COMPUTED_VALUE"""),1520666.0)</f>
        <v>1520666</v>
      </c>
      <c r="C2108" t="str">
        <f>IFERROR(__xludf.DUMMYFUNCTION("""COMPUTED_VALUE"""),"Atlassian Bamboo from Beginner to Advanced!")</f>
        <v>Atlassian Bamboo from Beginner to Advanced!</v>
      </c>
    </row>
    <row r="2109">
      <c r="A2109" s="140" t="str">
        <f>IFERROR(__xludf.DUMMYFUNCTION("""COMPUTED_VALUE"""),"ar")</f>
        <v>ar</v>
      </c>
      <c r="B2109">
        <f>IFERROR(__xludf.DUMMYFUNCTION("""COMPUTED_VALUE"""),3438634.0)</f>
        <v>3438634</v>
      </c>
      <c r="C2109" t="str">
        <f>IFERROR(__xludf.DUMMYFUNCTION("""COMPUTED_VALUE"""),"p6 step by step from beginning  to be professional")</f>
        <v>p6 step by step from beginning  to be professional</v>
      </c>
    </row>
    <row r="2110">
      <c r="A2110" s="140" t="str">
        <f>IFERROR(__xludf.DUMMYFUNCTION("""COMPUTED_VALUE"""),"en")</f>
        <v>en</v>
      </c>
      <c r="B2110">
        <f>IFERROR(__xludf.DUMMYFUNCTION("""COMPUTED_VALUE"""),137144.0)</f>
        <v>137144</v>
      </c>
      <c r="C2110" t="str">
        <f>IFERROR(__xludf.DUMMYFUNCTION("""COMPUTED_VALUE"""),"Public Speaking and Presentations Pro: No Beginners Allowed!")</f>
        <v>Public Speaking and Presentations Pro: No Beginners Allowed!</v>
      </c>
    </row>
    <row r="2111">
      <c r="A2111" s="140" t="str">
        <f>IFERROR(__xludf.DUMMYFUNCTION("""COMPUTED_VALUE"""),"es")</f>
        <v>es</v>
      </c>
      <c r="B2111">
        <f>IFERROR(__xludf.DUMMYFUNCTION("""COMPUTED_VALUE"""),2547345.0)</f>
        <v>2547345</v>
      </c>
      <c r="C2111" t="str">
        <f>IFERROR(__xludf.DUMMYFUNCTION("""COMPUTED_VALUE"""),"Terraform - Automatizar Infraestructuras AWS")</f>
        <v>Terraform - Automatizar Infraestructuras AWS</v>
      </c>
    </row>
    <row r="2112">
      <c r="A2112" s="140" t="str">
        <f>IFERROR(__xludf.DUMMYFUNCTION("""COMPUTED_VALUE"""),"es")</f>
        <v>es</v>
      </c>
      <c r="B2112">
        <f>IFERROR(__xludf.DUMMYFUNCTION("""COMPUTED_VALUE"""),2142594.0)</f>
        <v>2142594</v>
      </c>
      <c r="C2112" t="str">
        <f>IFERROR(__xludf.DUMMYFUNCTION("""COMPUTED_VALUE"""),"Transform Your English: 10 Steps to Your English Success")</f>
        <v>Transform Your English: 10 Steps to Your English Success</v>
      </c>
    </row>
    <row r="2113">
      <c r="A2113" s="140" t="str">
        <f>IFERROR(__xludf.DUMMYFUNCTION("""COMPUTED_VALUE"""),"pt")</f>
        <v>pt</v>
      </c>
      <c r="B2113">
        <f>IFERROR(__xludf.DUMMYFUNCTION("""COMPUTED_VALUE"""),1562180.0)</f>
        <v>1562180</v>
      </c>
      <c r="C2113" t="str">
        <f>IFERROR(__xludf.DUMMYFUNCTION("""COMPUTED_VALUE"""),"LaTeX do zero ao avançado")</f>
        <v>LaTeX do zero ao avançado</v>
      </c>
    </row>
    <row r="2114">
      <c r="A2114" s="140" t="str">
        <f>IFERROR(__xludf.DUMMYFUNCTION("""COMPUTED_VALUE"""),"en")</f>
        <v>en</v>
      </c>
      <c r="B2114">
        <f>IFERROR(__xludf.DUMMYFUNCTION("""COMPUTED_VALUE"""),115758.0)</f>
        <v>115758</v>
      </c>
      <c r="C2114" t="str">
        <f>IFERROR(__xludf.DUMMYFUNCTION("""COMPUTED_VALUE"""),"Learn the Fundamentals of Adobe Edge Animate")</f>
        <v>Learn the Fundamentals of Adobe Edge Animate</v>
      </c>
    </row>
    <row r="2115">
      <c r="A2115" s="140" t="str">
        <f>IFERROR(__xludf.DUMMYFUNCTION("""COMPUTED_VALUE"""),"es")</f>
        <v>es</v>
      </c>
      <c r="B2115">
        <f>IFERROR(__xludf.DUMMYFUNCTION("""COMPUTED_VALUE"""),3191812.0)</f>
        <v>3191812</v>
      </c>
      <c r="C2115" t="str">
        <f>IFERROR(__xludf.DUMMYFUNCTION("""COMPUTED_VALUE"""),"Programación de Microcontroladores PIC en Lenguaje C")</f>
        <v>Programación de Microcontroladores PIC en Lenguaje C</v>
      </c>
    </row>
    <row r="2116">
      <c r="A2116" s="140" t="str">
        <f>IFERROR(__xludf.DUMMYFUNCTION("""COMPUTED_VALUE"""),"tr")</f>
        <v>tr</v>
      </c>
      <c r="B2116">
        <f>IFERROR(__xludf.DUMMYFUNCTION("""COMPUTED_VALUE"""),2193056.0)</f>
        <v>2193056</v>
      </c>
      <c r="C2116" t="str">
        <f>IFERROR(__xludf.DUMMYFUNCTION("""COMPUTED_VALUE"""),"İnsan Kaynakları/ Bordro Uzmanlığı, Tazminat, İzin Hesaplama")</f>
        <v>İnsan Kaynakları/ Bordro Uzmanlığı, Tazminat, İzin Hesaplama</v>
      </c>
    </row>
    <row r="2117">
      <c r="A2117" s="140" t="str">
        <f>IFERROR(__xludf.DUMMYFUNCTION("""COMPUTED_VALUE"""),"es")</f>
        <v>es</v>
      </c>
      <c r="B2117">
        <f>IFERROR(__xludf.DUMMYFUNCTION("""COMPUTED_VALUE"""),3096364.0)</f>
        <v>3096364</v>
      </c>
      <c r="C2117" t="str">
        <f>IFERROR(__xludf.DUMMYFUNCTION("""COMPUTED_VALUE"""),"React: De cero a experto ( Hooks y MERN )")</f>
        <v>React: De cero a experto ( Hooks y MERN )</v>
      </c>
    </row>
    <row r="2118">
      <c r="A2118" s="140" t="str">
        <f>IFERROR(__xludf.DUMMYFUNCTION("""COMPUTED_VALUE"""),"pt")</f>
        <v>pt</v>
      </c>
      <c r="B2118">
        <f>IFERROR(__xludf.DUMMYFUNCTION("""COMPUTED_VALUE"""),3902438.0)</f>
        <v>3902438</v>
      </c>
      <c r="C2118" t="str">
        <f>IFERROR(__xludf.DUMMYFUNCTION("""COMPUTED_VALUE"""),"Miro - Plataforma de colaboração visual online")</f>
        <v>Miro - Plataforma de colaboração visual online</v>
      </c>
    </row>
    <row r="2119">
      <c r="A2119" s="140" t="str">
        <f>IFERROR(__xludf.DUMMYFUNCTION("""COMPUTED_VALUE"""),"fr")</f>
        <v>fr</v>
      </c>
      <c r="B2119">
        <f>IFERROR(__xludf.DUMMYFUNCTION("""COMPUTED_VALUE"""),2214714.0)</f>
        <v>2214714</v>
      </c>
      <c r="C2119" t="str">
        <f>IFERROR(__xludf.DUMMYFUNCTION("""COMPUTED_VALUE"""),"Formation complète Indesign CC2019 à CC2021 (juin 2021)")</f>
        <v>Formation complète Indesign CC2019 à CC2021 (juin 2021)</v>
      </c>
    </row>
    <row r="2120">
      <c r="A2120" s="140" t="str">
        <f>IFERROR(__xludf.DUMMYFUNCTION("""COMPUTED_VALUE"""),"en")</f>
        <v>en</v>
      </c>
      <c r="B2120">
        <f>IFERROR(__xludf.DUMMYFUNCTION("""COMPUTED_VALUE"""),3891206.0)</f>
        <v>3891206</v>
      </c>
      <c r="C2120" t="str">
        <f>IFERROR(__xludf.DUMMYFUNCTION("""COMPUTED_VALUE"""),"SC-900 Practice Tests (MS Security &amp; Identity) [UP TO DATE]")</f>
        <v>SC-900 Practice Tests (MS Security &amp; Identity) [UP TO DATE]</v>
      </c>
    </row>
    <row r="2121">
      <c r="A2121" s="140" t="str">
        <f>IFERROR(__xludf.DUMMYFUNCTION("""COMPUTED_VALUE"""),"ja")</f>
        <v>ja</v>
      </c>
      <c r="B2121">
        <f>IFERROR(__xludf.DUMMYFUNCTION("""COMPUTED_VALUE"""),3109694.0)</f>
        <v>3109694</v>
      </c>
      <c r="C2121" t="str">
        <f>IFERROR(__xludf.DUMMYFUNCTION("""COMPUTED_VALUE"""),"【営業職必見！】いちばんわかりやすい「与信管理」基礎講座")</f>
        <v>【営業職必見！】いちばんわかりやすい「与信管理」基礎講座</v>
      </c>
    </row>
    <row r="2122">
      <c r="A2122" s="140" t="str">
        <f>IFERROR(__xludf.DUMMYFUNCTION("""COMPUTED_VALUE"""),"es")</f>
        <v>es</v>
      </c>
      <c r="B2122">
        <f>IFERROR(__xludf.DUMMYFUNCTION("""COMPUTED_VALUE"""),4247638.0)</f>
        <v>4247638</v>
      </c>
      <c r="C2122" t="str">
        <f>IFERROR(__xludf.DUMMYFUNCTION("""COMPUTED_VALUE"""),"OWASP TOP 10 Web 2021 + 2017")</f>
        <v>OWASP TOP 10 Web 2021 + 2017</v>
      </c>
    </row>
    <row r="2123">
      <c r="A2123" s="140" t="str">
        <f>IFERROR(__xludf.DUMMYFUNCTION("""COMPUTED_VALUE"""),"tr")</f>
        <v>tr</v>
      </c>
      <c r="B2123">
        <f>IFERROR(__xludf.DUMMYFUNCTION("""COMPUTED_VALUE"""),3779348.0)</f>
        <v>3779348</v>
      </c>
      <c r="C2123" t="str">
        <f>IFERROR(__xludf.DUMMYFUNCTION("""COMPUTED_VALUE"""),"C++ Temelleri")</f>
        <v>C++ Temelleri</v>
      </c>
    </row>
    <row r="2124">
      <c r="A2124" s="140" t="str">
        <f>IFERROR(__xludf.DUMMYFUNCTION("""COMPUTED_VALUE"""),"en")</f>
        <v>en</v>
      </c>
      <c r="B2124">
        <f>IFERROR(__xludf.DUMMYFUNCTION("""COMPUTED_VALUE"""),1098006.0)</f>
        <v>1098006</v>
      </c>
      <c r="C2124" t="str">
        <f>IFERROR(__xludf.DUMMYFUNCTION("""COMPUTED_VALUE"""),"The Complete Presentation and Public Speaking/Speech Course")</f>
        <v>The Complete Presentation and Public Speaking/Speech Course</v>
      </c>
    </row>
    <row r="2125">
      <c r="A2125" s="140" t="str">
        <f>IFERROR(__xludf.DUMMYFUNCTION("""COMPUTED_VALUE"""),"pt")</f>
        <v>pt</v>
      </c>
      <c r="B2125">
        <f>IFERROR(__xludf.DUMMYFUNCTION("""COMPUTED_VALUE"""),3082670.0)</f>
        <v>3082670</v>
      </c>
      <c r="C2125" t="str">
        <f>IFERROR(__xludf.DUMMYFUNCTION("""COMPUTED_VALUE"""),"Storytelling - A Poderosa Arte de Contar Histórias")</f>
        <v>Storytelling - A Poderosa Arte de Contar Histórias</v>
      </c>
    </row>
    <row r="2126">
      <c r="A2126" s="140" t="str">
        <f>IFERROR(__xludf.DUMMYFUNCTION("""COMPUTED_VALUE"""),"tr")</f>
        <v>tr</v>
      </c>
      <c r="B2126">
        <f>IFERROR(__xludf.DUMMYFUNCTION("""COMPUTED_VALUE"""),3713448.0)</f>
        <v>3713448</v>
      </c>
      <c r="C2126" t="str">
        <f>IFERROR(__xludf.DUMMYFUNCTION("""COMPUTED_VALUE"""),"Sıfırdan Web Sitesi Yapmak, HTML EĞİTİMİ 2021")</f>
        <v>Sıfırdan Web Sitesi Yapmak, HTML EĞİTİMİ 2021</v>
      </c>
    </row>
    <row r="2127">
      <c r="A2127" s="140" t="str">
        <f>IFERROR(__xludf.DUMMYFUNCTION("""COMPUTED_VALUE"""),"de")</f>
        <v>de</v>
      </c>
      <c r="B2127">
        <f>IFERROR(__xludf.DUMMYFUNCTION("""COMPUTED_VALUE"""),577166.0)</f>
        <v>577166</v>
      </c>
      <c r="C2127" t="str">
        <f>IFERROR(__xludf.DUMMYFUNCTION("""COMPUTED_VALUE"""),"Google My Business - So werden Sie zur Nr. 1 in Ihrer Stadt!")</f>
        <v>Google My Business - So werden Sie zur Nr. 1 in Ihrer Stadt!</v>
      </c>
    </row>
    <row r="2128">
      <c r="A2128" s="140" t="str">
        <f>IFERROR(__xludf.DUMMYFUNCTION("""COMPUTED_VALUE"""),"en")</f>
        <v>en</v>
      </c>
      <c r="B2128">
        <f>IFERROR(__xludf.DUMMYFUNCTION("""COMPUTED_VALUE"""),465870.0)</f>
        <v>465870</v>
      </c>
      <c r="C2128" t="str">
        <f>IFERROR(__xludf.DUMMYFUNCTION("""COMPUTED_VALUE"""),"Beginning Oracle WebLogic for Administrators")</f>
        <v>Beginning Oracle WebLogic for Administrators</v>
      </c>
    </row>
    <row r="2129">
      <c r="A2129" s="140" t="str">
        <f>IFERROR(__xludf.DUMMYFUNCTION("""COMPUTED_VALUE"""),"en")</f>
        <v>en</v>
      </c>
      <c r="B2129">
        <f>IFERROR(__xludf.DUMMYFUNCTION("""COMPUTED_VALUE"""),1993270.0)</f>
        <v>1993270</v>
      </c>
      <c r="C2129" t="str">
        <f>IFERROR(__xludf.DUMMYFUNCTION("""COMPUTED_VALUE"""),"Bluetooth Low Energy (BLE)  From  Ground Up™")</f>
        <v>Bluetooth Low Energy (BLE)  From  Ground Up™</v>
      </c>
    </row>
    <row r="2130">
      <c r="A2130" s="140" t="str">
        <f>IFERROR(__xludf.DUMMYFUNCTION("""COMPUTED_VALUE"""),"de")</f>
        <v>de</v>
      </c>
      <c r="B2130">
        <f>IFERROR(__xludf.DUMMYFUNCTION("""COMPUTED_VALUE"""),2286997.0)</f>
        <v>2286997</v>
      </c>
      <c r="C2130" t="str">
        <f>IFERROR(__xludf.DUMMYFUNCTION("""COMPUTED_VALUE"""),"PINTEREST MARKETING: Pinterest SEO &amp; Pinterest Business")</f>
        <v>PINTEREST MARKETING: Pinterest SEO &amp; Pinterest Business</v>
      </c>
    </row>
    <row r="2131">
      <c r="A2131" s="140" t="str">
        <f>IFERROR(__xludf.DUMMYFUNCTION("""COMPUTED_VALUE"""),"en")</f>
        <v>en</v>
      </c>
      <c r="B2131">
        <f>IFERROR(__xludf.DUMMYFUNCTION("""COMPUTED_VALUE"""),1118012.0)</f>
        <v>1118012</v>
      </c>
      <c r="C2131" t="str">
        <f>IFERROR(__xludf.DUMMYFUNCTION("""COMPUTED_VALUE"""),"Ultimate Power Electronics + MATLAB Simulink Course Bundle")</f>
        <v>Ultimate Power Electronics + MATLAB Simulink Course Bundle</v>
      </c>
    </row>
    <row r="2132">
      <c r="A2132" s="140" t="str">
        <f>IFERROR(__xludf.DUMMYFUNCTION("""COMPUTED_VALUE"""),"ar")</f>
        <v>ar</v>
      </c>
      <c r="B2132">
        <f>IFERROR(__xludf.DUMMYFUNCTION("""COMPUTED_VALUE"""),3094272.0)</f>
        <v>3094272</v>
      </c>
      <c r="C2132" t="str">
        <f>IFERROR(__xludf.DUMMYFUNCTION("""COMPUTED_VALUE"""),"الكورس الاحترافي في إعلانات يوتيوب 2020 YouTube Video Ads")</f>
        <v>الكورس الاحترافي في إعلانات يوتيوب 2020 YouTube Video Ads</v>
      </c>
    </row>
    <row r="2133">
      <c r="A2133" s="140" t="str">
        <f>IFERROR(__xludf.DUMMYFUNCTION("""COMPUTED_VALUE"""),"en")</f>
        <v>en</v>
      </c>
      <c r="B2133">
        <f>IFERROR(__xludf.DUMMYFUNCTION("""COMPUTED_VALUE"""),2837920.0)</f>
        <v>2837920</v>
      </c>
      <c r="C2133" t="str">
        <f>IFERROR(__xludf.DUMMYFUNCTION("""COMPUTED_VALUE"""),"Learn the Vulkan API with C++")</f>
        <v>Learn the Vulkan API with C++</v>
      </c>
    </row>
    <row r="2134">
      <c r="A2134" s="140" t="str">
        <f>IFERROR(__xludf.DUMMYFUNCTION("""COMPUTED_VALUE"""),"en")</f>
        <v>en</v>
      </c>
      <c r="B2134">
        <f>IFERROR(__xludf.DUMMYFUNCTION("""COMPUTED_VALUE"""),697724.0)</f>
        <v>697724</v>
      </c>
      <c r="C2134" t="str">
        <f>IFERROR(__xludf.DUMMYFUNCTION("""COMPUTED_VALUE"""),"Getting Started with Todoist")</f>
        <v>Getting Started with Todoist</v>
      </c>
    </row>
    <row r="2135">
      <c r="A2135" s="140" t="str">
        <f>IFERROR(__xludf.DUMMYFUNCTION("""COMPUTED_VALUE"""),"en")</f>
        <v>en</v>
      </c>
      <c r="B2135">
        <f>IFERROR(__xludf.DUMMYFUNCTION("""COMPUTED_VALUE"""),3141830.0)</f>
        <v>3141830</v>
      </c>
      <c r="C2135" t="str">
        <f>IFERROR(__xludf.DUMMYFUNCTION("""COMPUTED_VALUE"""),"The New Scrum Master Certification of 2021 - 800 questions")</f>
        <v>The New Scrum Master Certification of 2021 - 800 questions</v>
      </c>
    </row>
    <row r="2136">
      <c r="A2136" s="140" t="str">
        <f>IFERROR(__xludf.DUMMYFUNCTION("""COMPUTED_VALUE"""),"en")</f>
        <v>en</v>
      </c>
      <c r="B2136">
        <f>IFERROR(__xludf.DUMMYFUNCTION("""COMPUTED_VALUE"""),1100398.0)</f>
        <v>1100398</v>
      </c>
      <c r="C2136" t="str">
        <f>IFERROR(__xludf.DUMMYFUNCTION("""COMPUTED_VALUE"""),"Microsoft Office Shortcuts and Speed Tips")</f>
        <v>Microsoft Office Shortcuts and Speed Tips</v>
      </c>
    </row>
    <row r="2137">
      <c r="A2137" s="140" t="str">
        <f>IFERROR(__xludf.DUMMYFUNCTION("""COMPUTED_VALUE"""),"de")</f>
        <v>de</v>
      </c>
      <c r="B2137">
        <f>IFERROR(__xludf.DUMMYFUNCTION("""COMPUTED_VALUE"""),1861886.0)</f>
        <v>1861886</v>
      </c>
      <c r="C2137" t="str">
        <f>IFERROR(__xludf.DUMMYFUNCTION("""COMPUTED_VALUE"""),"Apache Wicket Kompakt")</f>
        <v>Apache Wicket Kompakt</v>
      </c>
    </row>
    <row r="2138">
      <c r="A2138" s="140" t="str">
        <f>IFERROR(__xludf.DUMMYFUNCTION("""COMPUTED_VALUE"""),"ja")</f>
        <v>ja</v>
      </c>
      <c r="B2138">
        <f>IFERROR(__xludf.DUMMYFUNCTION("""COMPUTED_VALUE"""),2190598.0)</f>
        <v>2190598</v>
      </c>
      <c r="C2138" t="str">
        <f>IFERROR(__xludf.DUMMYFUNCTION("""COMPUTED_VALUE"""),"Nuxt.js入門決定版！Vue.jsのフレームワークNuxt.jsの基本からFirebaseと連携したSPAの開発まで")</f>
        <v>Nuxt.js入門決定版！Vue.jsのフレームワークNuxt.jsの基本からFirebaseと連携したSPAの開発まで</v>
      </c>
    </row>
    <row r="2139">
      <c r="A2139" s="140" t="str">
        <f>IFERROR(__xludf.DUMMYFUNCTION("""COMPUTED_VALUE"""),"en")</f>
        <v>en</v>
      </c>
      <c r="B2139">
        <f>IFERROR(__xludf.DUMMYFUNCTION("""COMPUTED_VALUE"""),2620540.0)</f>
        <v>2620540</v>
      </c>
      <c r="C2139" t="str">
        <f>IFERROR(__xludf.DUMMYFUNCTION("""COMPUTED_VALUE"""),"Scrum Developer Professional- Preparation Course")</f>
        <v>Scrum Developer Professional- Preparation Course</v>
      </c>
    </row>
    <row r="2140">
      <c r="A2140" s="140" t="str">
        <f>IFERROR(__xludf.DUMMYFUNCTION("""COMPUTED_VALUE"""),"en")</f>
        <v>en</v>
      </c>
      <c r="B2140">
        <f>IFERROR(__xludf.DUMMYFUNCTION("""COMPUTED_VALUE"""),1460588.0)</f>
        <v>1460588</v>
      </c>
      <c r="C2140" t="str">
        <f>IFERROR(__xludf.DUMMYFUNCTION("""COMPUTED_VALUE"""),"Selenium WebDriver + Java. Complete step by step course.")</f>
        <v>Selenium WebDriver + Java. Complete step by step course.</v>
      </c>
    </row>
    <row r="2141">
      <c r="A2141" s="140" t="str">
        <f>IFERROR(__xludf.DUMMYFUNCTION("""COMPUTED_VALUE"""),"en")</f>
        <v>en</v>
      </c>
      <c r="B2141">
        <f>IFERROR(__xludf.DUMMYFUNCTION("""COMPUTED_VALUE"""),2779654.0)</f>
        <v>2779654</v>
      </c>
      <c r="C2141" t="str">
        <f>IFERROR(__xludf.DUMMYFUNCTION("""COMPUTED_VALUE"""),"AZ-104 Microsoft Azure Administrator Practice Exam Questions")</f>
        <v>AZ-104 Microsoft Azure Administrator Practice Exam Questions</v>
      </c>
    </row>
    <row r="2142">
      <c r="A2142" s="140" t="str">
        <f>IFERROR(__xludf.DUMMYFUNCTION("""COMPUTED_VALUE"""),"de")</f>
        <v>de</v>
      </c>
      <c r="B2142">
        <f>IFERROR(__xludf.DUMMYFUNCTION("""COMPUTED_VALUE"""),3451270.0)</f>
        <v>3451270</v>
      </c>
      <c r="C2142" t="str">
        <f>IFERROR(__xludf.DUMMYFUNCTION("""COMPUTED_VALUE"""),"Pinterest Marketing 2021: Die Geheimwaffe für dein Business!")</f>
        <v>Pinterest Marketing 2021: Die Geheimwaffe für dein Business!</v>
      </c>
    </row>
    <row r="2143">
      <c r="A2143" s="140" t="str">
        <f>IFERROR(__xludf.DUMMYFUNCTION("""COMPUTED_VALUE"""),"fr")</f>
        <v>fr</v>
      </c>
      <c r="B2143">
        <f>IFERROR(__xludf.DUMMYFUNCTION("""COMPUTED_VALUE"""),585522.0)</f>
        <v>585522</v>
      </c>
      <c r="C2143" t="str">
        <f>IFERROR(__xludf.DUMMYFUNCTION("""COMPUTED_VALUE"""),"Cours du Oud complet - de A à Z")</f>
        <v>Cours du Oud complet - de A à Z</v>
      </c>
    </row>
    <row r="2144">
      <c r="A2144" s="140" t="str">
        <f>IFERROR(__xludf.DUMMYFUNCTION("""COMPUTED_VALUE"""),"en")</f>
        <v>en</v>
      </c>
      <c r="B2144">
        <f>IFERROR(__xludf.DUMMYFUNCTION("""COMPUTED_VALUE"""),1527954.0)</f>
        <v>1527954</v>
      </c>
      <c r="C2144" t="str">
        <f>IFERROR(__xludf.DUMMYFUNCTION("""COMPUTED_VALUE"""),"Change Management 101 for Human Resources")</f>
        <v>Change Management 101 for Human Resources</v>
      </c>
    </row>
    <row r="2145">
      <c r="A2145" s="140" t="str">
        <f>IFERROR(__xludf.DUMMYFUNCTION("""COMPUTED_VALUE"""),"en")</f>
        <v>en</v>
      </c>
      <c r="B2145">
        <f>IFERROR(__xludf.DUMMYFUNCTION("""COMPUTED_VALUE"""),364810.0)</f>
        <v>364810</v>
      </c>
      <c r="C2145" t="str">
        <f>IFERROR(__xludf.DUMMYFUNCTION("""COMPUTED_VALUE"""),"Double your Forex Account using the MAGIC MA trading robot")</f>
        <v>Double your Forex Account using the MAGIC MA trading robot</v>
      </c>
    </row>
    <row r="2146">
      <c r="A2146" s="140" t="str">
        <f>IFERROR(__xludf.DUMMYFUNCTION("""COMPUTED_VALUE"""),"en")</f>
        <v>en</v>
      </c>
      <c r="B2146">
        <f>IFERROR(__xludf.DUMMYFUNCTION("""COMPUTED_VALUE"""),2296344.0)</f>
        <v>2296344</v>
      </c>
      <c r="C2146" t="str">
        <f>IFERROR(__xludf.DUMMYFUNCTION("""COMPUTED_VALUE"""),"Speak Like a Pro: Public Speaking for Professionals")</f>
        <v>Speak Like a Pro: Public Speaking for Professionals</v>
      </c>
    </row>
    <row r="2147">
      <c r="A2147" s="140" t="str">
        <f>IFERROR(__xludf.DUMMYFUNCTION("""COMPUTED_VALUE"""),"ja")</f>
        <v>ja</v>
      </c>
      <c r="B2147">
        <f>IFERROR(__xludf.DUMMYFUNCTION("""COMPUTED_VALUE"""),3504184.0)</f>
        <v>3504184</v>
      </c>
      <c r="C2147" t="str">
        <f>IFERROR(__xludf.DUMMYFUNCTION("""COMPUTED_VALUE"""),"After Effects【脱初心者】12種のテキストアニメーション〜実例紹介付き〜")</f>
        <v>After Effects【脱初心者】12種のテキストアニメーション〜実例紹介付き〜</v>
      </c>
    </row>
    <row r="2148">
      <c r="A2148" s="140" t="str">
        <f>IFERROR(__xludf.DUMMYFUNCTION("""COMPUTED_VALUE"""),"en")</f>
        <v>en</v>
      </c>
      <c r="B2148">
        <f>IFERROR(__xludf.DUMMYFUNCTION("""COMPUTED_VALUE"""),456460.0)</f>
        <v>456460</v>
      </c>
      <c r="C2148" t="str">
        <f>IFERROR(__xludf.DUMMYFUNCTION("""COMPUTED_VALUE"""),"Master Software Testing+Jira+Agile on Live App-Be a TeamLead")</f>
        <v>Master Software Testing+Jira+Agile on Live App-Be a TeamLead</v>
      </c>
    </row>
    <row r="2149">
      <c r="A2149" s="140" t="str">
        <f>IFERROR(__xludf.DUMMYFUNCTION("""COMPUTED_VALUE"""),"en")</f>
        <v>en</v>
      </c>
      <c r="B2149">
        <f>IFERROR(__xludf.DUMMYFUNCTION("""COMPUTED_VALUE"""),3732584.0)</f>
        <v>3732584</v>
      </c>
      <c r="C2149" t="str">
        <f>IFERROR(__xludf.DUMMYFUNCTION("""COMPUTED_VALUE"""),"Learn Advanced Level Ruby Programming")</f>
        <v>Learn Advanced Level Ruby Programming</v>
      </c>
    </row>
    <row r="2150">
      <c r="A2150" s="140" t="str">
        <f>IFERROR(__xludf.DUMMYFUNCTION("""COMPUTED_VALUE"""),"en")</f>
        <v>en</v>
      </c>
      <c r="B2150">
        <f>IFERROR(__xludf.DUMMYFUNCTION("""COMPUTED_VALUE"""),4077322.0)</f>
        <v>4077322</v>
      </c>
      <c r="C2150" t="str">
        <f>IFERROR(__xludf.DUMMYFUNCTION("""COMPUTED_VALUE"""),"How to Create an Online Course: The Official Udemy Course")</f>
        <v>How to Create an Online Course: The Official Udemy Course</v>
      </c>
    </row>
    <row r="2151">
      <c r="A2151" s="140" t="str">
        <f>IFERROR(__xludf.DUMMYFUNCTION("""COMPUTED_VALUE"""),"ja")</f>
        <v>ja</v>
      </c>
      <c r="B2151">
        <f>IFERROR(__xludf.DUMMYFUNCTION("""COMPUTED_VALUE"""),3686428.0)</f>
        <v>3686428</v>
      </c>
      <c r="C2151" t="str">
        <f>IFERROR(__xludf.DUMMYFUNCTION("""COMPUTED_VALUE"""),"超初心者が最も簡単にAWSアーキテクチャ構築を学習する講座")</f>
        <v>超初心者が最も簡単にAWSアーキテクチャ構築を学習する講座</v>
      </c>
    </row>
    <row r="2152">
      <c r="A2152" s="140" t="str">
        <f>IFERROR(__xludf.DUMMYFUNCTION("""COMPUTED_VALUE"""),"en")</f>
        <v>en</v>
      </c>
      <c r="B2152">
        <f>IFERROR(__xludf.DUMMYFUNCTION("""COMPUTED_VALUE"""),1177364.0)</f>
        <v>1177364</v>
      </c>
      <c r="C2152" t="str">
        <f>IFERROR(__xludf.DUMMYFUNCTION("""COMPUTED_VALUE"""),"IBM SPSS AMOS Foundation Course: SEM Scratch to Advanced")</f>
        <v>IBM SPSS AMOS Foundation Course: SEM Scratch to Advanced</v>
      </c>
    </row>
    <row r="2153">
      <c r="A2153" s="140" t="str">
        <f>IFERROR(__xludf.DUMMYFUNCTION("""COMPUTED_VALUE"""),"en")</f>
        <v>en</v>
      </c>
      <c r="B2153">
        <f>IFERROR(__xludf.DUMMYFUNCTION("""COMPUTED_VALUE"""),528460.0)</f>
        <v>528460</v>
      </c>
      <c r="C2153" t="str">
        <f>IFERROR(__xludf.DUMMYFUNCTION("""COMPUTED_VALUE"""),"Artificial Intelligence I: Meta-Heuristics and Games in Java")</f>
        <v>Artificial Intelligence I: Meta-Heuristics and Games in Java</v>
      </c>
    </row>
    <row r="2154">
      <c r="A2154" s="140" t="str">
        <f>IFERROR(__xludf.DUMMYFUNCTION("""COMPUTED_VALUE"""),"ja")</f>
        <v>ja</v>
      </c>
      <c r="B2154">
        <f>IFERROR(__xludf.DUMMYFUNCTION("""COMPUTED_VALUE"""),2092508.0)</f>
        <v>2092508</v>
      </c>
      <c r="C2154" t="str">
        <f>IFERROR(__xludf.DUMMYFUNCTION("""COMPUTED_VALUE"""),"ブロックチェーンの仕組みをひとつひとつ図解 - 仕組みを紐解きながら最新状況・今後の活用方法まで体系的に")</f>
        <v>ブロックチェーンの仕組みをひとつひとつ図解 - 仕組みを紐解きながら最新状況・今後の活用方法まで体系的に</v>
      </c>
    </row>
    <row r="2155">
      <c r="A2155" s="140" t="str">
        <f>IFERROR(__xludf.DUMMYFUNCTION("""COMPUTED_VALUE"""),"en")</f>
        <v>en</v>
      </c>
      <c r="B2155">
        <f>IFERROR(__xludf.DUMMYFUNCTION("""COMPUTED_VALUE"""),387910.0)</f>
        <v>387910</v>
      </c>
      <c r="C2155" t="str">
        <f>IFERROR(__xludf.DUMMYFUNCTION("""COMPUTED_VALUE"""),"Excel VBA: How to Write Macros Like a Professional")</f>
        <v>Excel VBA: How to Write Macros Like a Professional</v>
      </c>
    </row>
    <row r="2156">
      <c r="A2156" s="140" t="str">
        <f>IFERROR(__xludf.DUMMYFUNCTION("""COMPUTED_VALUE"""),"en")</f>
        <v>en</v>
      </c>
      <c r="B2156">
        <f>IFERROR(__xludf.DUMMYFUNCTION("""COMPUTED_VALUE"""),1785552.0)</f>
        <v>1785552</v>
      </c>
      <c r="C2156" t="str">
        <f>IFERROR(__xludf.DUMMYFUNCTION("""COMPUTED_VALUE"""),"CFA® Level 1 (2021/2022) - Complete Quantitative Methods")</f>
        <v>CFA® Level 1 (2021/2022) - Complete Quantitative Methods</v>
      </c>
    </row>
    <row r="2157">
      <c r="A2157" s="140" t="str">
        <f>IFERROR(__xludf.DUMMYFUNCTION("""COMPUTED_VALUE"""),"ja")</f>
        <v>ja</v>
      </c>
      <c r="B2157">
        <f>IFERROR(__xludf.DUMMYFUNCTION("""COMPUTED_VALUE"""),1947402.0)</f>
        <v>1947402</v>
      </c>
      <c r="C2157" t="str">
        <f>IFERROR(__xludf.DUMMYFUNCTION("""COMPUTED_VALUE"""),"Premiere Proユーザー必見！Davinci Resolve 15でプロ並みの動画を作ろう！超入門編")</f>
        <v>Premiere Proユーザー必見！Davinci Resolve 15でプロ並みの動画を作ろう！超入門編</v>
      </c>
    </row>
    <row r="2158">
      <c r="A2158" s="140" t="str">
        <f>IFERROR(__xludf.DUMMYFUNCTION("""COMPUTED_VALUE"""),"en")</f>
        <v>en</v>
      </c>
      <c r="B2158">
        <f>IFERROR(__xludf.DUMMYFUNCTION("""COMPUTED_VALUE"""),895424.0)</f>
        <v>895424</v>
      </c>
      <c r="C2158" t="str">
        <f>IFERROR(__xludf.DUMMYFUNCTION("""COMPUTED_VALUE"""),"Improve Your Game Design With Better Gameplay")</f>
        <v>Improve Your Game Design With Better Gameplay</v>
      </c>
    </row>
    <row r="2159">
      <c r="A2159" s="140" t="str">
        <f>IFERROR(__xludf.DUMMYFUNCTION("""COMPUTED_VALUE"""),"es")</f>
        <v>es</v>
      </c>
      <c r="B2159">
        <f>IFERROR(__xludf.DUMMYFUNCTION("""COMPUTED_VALUE"""),888952.0)</f>
        <v>888952</v>
      </c>
      <c r="C2159" t="str">
        <f>IFERROR(__xludf.DUMMYFUNCTION("""COMPUTED_VALUE"""),"Guía esencial para el uso de fórmulas y funciones con Excel")</f>
        <v>Guía esencial para el uso de fórmulas y funciones con Excel</v>
      </c>
    </row>
    <row r="2160">
      <c r="A2160" s="140" t="str">
        <f>IFERROR(__xludf.DUMMYFUNCTION("""COMPUTED_VALUE"""),"es")</f>
        <v>es</v>
      </c>
      <c r="B2160">
        <f>IFERROR(__xludf.DUMMYFUNCTION("""COMPUTED_VALUE"""),2606846.0)</f>
        <v>2606846</v>
      </c>
      <c r="C2160" t="str">
        <f>IFERROR(__xludf.DUMMYFUNCTION("""COMPUTED_VALUE"""),"[2021] Kanban Essentials: Simulador de Examen")</f>
        <v>[2021] Kanban Essentials: Simulador de Examen</v>
      </c>
    </row>
    <row r="2161">
      <c r="A2161" s="140" t="str">
        <f>IFERROR(__xludf.DUMMYFUNCTION("""COMPUTED_VALUE"""),"en")</f>
        <v>en</v>
      </c>
      <c r="B2161">
        <f>IFERROR(__xludf.DUMMYFUNCTION("""COMPUTED_VALUE"""),2779840.0)</f>
        <v>2779840</v>
      </c>
      <c r="C2161" t="str">
        <f>IFERROR(__xludf.DUMMYFUNCTION("""COMPUTED_VALUE"""),"KNIME - a crash course for beginners")</f>
        <v>KNIME - a crash course for beginners</v>
      </c>
    </row>
    <row r="2162">
      <c r="A2162" s="140" t="str">
        <f>IFERROR(__xludf.DUMMYFUNCTION("""COMPUTED_VALUE"""),"en")</f>
        <v>en</v>
      </c>
      <c r="B2162">
        <f>IFERROR(__xludf.DUMMYFUNCTION("""COMPUTED_VALUE"""),905246.0)</f>
        <v>905246</v>
      </c>
      <c r="C2162" t="str">
        <f>IFERROR(__xludf.DUMMYFUNCTION("""COMPUTED_VALUE"""),"SQL Server Integration Services (SSIS) - An Introduction")</f>
        <v>SQL Server Integration Services (SSIS) - An Introduction</v>
      </c>
    </row>
    <row r="2163">
      <c r="A2163" s="140" t="str">
        <f>IFERROR(__xludf.DUMMYFUNCTION("""COMPUTED_VALUE"""),"es")</f>
        <v>es</v>
      </c>
      <c r="B2163">
        <f>IFERROR(__xludf.DUMMYFUNCTION("""COMPUTED_VALUE"""),1521944.0)</f>
        <v>1521944</v>
      </c>
      <c r="C2163" t="str">
        <f>IFERROR(__xludf.DUMMYFUNCTION("""COMPUTED_VALUE"""),"Crea una Motivación Indestructible")</f>
        <v>Crea una Motivación Indestructible</v>
      </c>
    </row>
    <row r="2164">
      <c r="A2164" s="140" t="str">
        <f>IFERROR(__xludf.DUMMYFUNCTION("""COMPUTED_VALUE"""),"ja")</f>
        <v>ja</v>
      </c>
      <c r="B2164">
        <f>IFERROR(__xludf.DUMMYFUNCTION("""COMPUTED_VALUE"""),3862972.0)</f>
        <v>3862972</v>
      </c>
      <c r="C2164" t="str">
        <f>IFERROR(__xludf.DUMMYFUNCTION("""COMPUTED_VALUE"""),"右脳と五感をフル活用! ビジネスパーソンのためのビジュアルシンキング")</f>
        <v>右脳と五感をフル活用! ビジネスパーソンのためのビジュアルシンキング</v>
      </c>
    </row>
    <row r="2165">
      <c r="A2165" s="140" t="str">
        <f>IFERROR(__xludf.DUMMYFUNCTION("""COMPUTED_VALUE"""),"ar")</f>
        <v>ar</v>
      </c>
      <c r="B2165">
        <f>IFERROR(__xludf.DUMMYFUNCTION("""COMPUTED_VALUE"""),2789816.0)</f>
        <v>2789816</v>
      </c>
      <c r="C2165" t="str">
        <f>IFERROR(__xludf.DUMMYFUNCTION("""COMPUTED_VALUE"""),"How to create a Broadcast Design in Cinema 4D")</f>
        <v>How to create a Broadcast Design in Cinema 4D</v>
      </c>
    </row>
    <row r="2166">
      <c r="A2166" s="140" t="str">
        <f>IFERROR(__xludf.DUMMYFUNCTION("""COMPUTED_VALUE"""),"de")</f>
        <v>de</v>
      </c>
      <c r="B2166">
        <f>IFERROR(__xludf.DUMMYFUNCTION("""COMPUTED_VALUE"""),1794822.0)</f>
        <v>1794822</v>
      </c>
      <c r="C2166" t="str">
        <f>IFERROR(__xludf.DUMMYFUNCTION("""COMPUTED_VALUE"""),"Einfach Arbeitsrecht verstehen")</f>
        <v>Einfach Arbeitsrecht verstehen</v>
      </c>
    </row>
    <row r="2167">
      <c r="A2167" s="140" t="str">
        <f>IFERROR(__xludf.DUMMYFUNCTION("""COMPUTED_VALUE"""),"en")</f>
        <v>en</v>
      </c>
      <c r="B2167">
        <f>IFERROR(__xludf.DUMMYFUNCTION("""COMPUTED_VALUE"""),1007240.0)</f>
        <v>1007240</v>
      </c>
      <c r="C2167" t="str">
        <f>IFERROR(__xludf.DUMMYFUNCTION("""COMPUTED_VALUE"""),"Power BI A-Z: Hands-On Power BI Training For Data Science!")</f>
        <v>Power BI A-Z: Hands-On Power BI Training For Data Science!</v>
      </c>
    </row>
    <row r="2168">
      <c r="A2168" s="140" t="str">
        <f>IFERROR(__xludf.DUMMYFUNCTION("""COMPUTED_VALUE"""),"en")</f>
        <v>en</v>
      </c>
      <c r="B2168">
        <f>IFERROR(__xludf.DUMMYFUNCTION("""COMPUTED_VALUE"""),2059535.0)</f>
        <v>2059535</v>
      </c>
      <c r="C2168" t="str">
        <f>IFERROR(__xludf.DUMMYFUNCTION("""COMPUTED_VALUE"""),"AZ-303 Azure Architect Technologies Certification 2021")</f>
        <v>AZ-303 Azure Architect Technologies Certification 2021</v>
      </c>
    </row>
    <row r="2169">
      <c r="A2169" s="140" t="str">
        <f>IFERROR(__xludf.DUMMYFUNCTION("""COMPUTED_VALUE"""),"en")</f>
        <v>en</v>
      </c>
      <c r="B2169">
        <f>IFERROR(__xludf.DUMMYFUNCTION("""COMPUTED_VALUE"""),3377118.0)</f>
        <v>3377118</v>
      </c>
      <c r="C2169" t="str">
        <f>IFERROR(__xludf.DUMMYFUNCTION("""COMPUTED_VALUE"""),"System Design using Verilog")</f>
        <v>System Design using Verilog</v>
      </c>
    </row>
    <row r="2170">
      <c r="A2170" s="140" t="str">
        <f>IFERROR(__xludf.DUMMYFUNCTION("""COMPUTED_VALUE"""),"ja")</f>
        <v>ja</v>
      </c>
      <c r="B2170">
        <f>IFERROR(__xludf.DUMMYFUNCTION("""COMPUTED_VALUE"""),3070816.0)</f>
        <v>3070816</v>
      </c>
      <c r="C2170" t="str">
        <f>IFERROR(__xludf.DUMMYFUNCTION("""COMPUTED_VALUE"""),"[基礎編]React Hooks + Django REST Framework API でフルスタックWeb開発")</f>
        <v>[基礎編]React Hooks + Django REST Framework API でフルスタックWeb開発</v>
      </c>
    </row>
    <row r="2171">
      <c r="A2171" s="140" t="str">
        <f>IFERROR(__xludf.DUMMYFUNCTION("""COMPUTED_VALUE"""),"en")</f>
        <v>en</v>
      </c>
      <c r="B2171">
        <f>IFERROR(__xludf.DUMMYFUNCTION("""COMPUTED_VALUE"""),2689300.0)</f>
        <v>2689300</v>
      </c>
      <c r="C2171" t="str">
        <f>IFERROR(__xludf.DUMMYFUNCTION("""COMPUTED_VALUE"""),"Microsoft MS-900 Certification: M365 Fundamentals")</f>
        <v>Microsoft MS-900 Certification: M365 Fundamentals</v>
      </c>
    </row>
    <row r="2172">
      <c r="A2172" s="140" t="str">
        <f>IFERROR(__xludf.DUMMYFUNCTION("""COMPUTED_VALUE"""),"tr")</f>
        <v>tr</v>
      </c>
      <c r="B2172">
        <f>IFERROR(__xludf.DUMMYFUNCTION("""COMPUTED_VALUE"""),2619212.0)</f>
        <v>2619212</v>
      </c>
      <c r="C2172" t="str">
        <f>IFERROR(__xludf.DUMMYFUNCTION("""COMPUTED_VALUE"""),"Sorgularla Adım Adım SQL Veri Tabanı Programlama")</f>
        <v>Sorgularla Adım Adım SQL Veri Tabanı Programlama</v>
      </c>
    </row>
    <row r="2173">
      <c r="A2173" s="140" t="str">
        <f>IFERROR(__xludf.DUMMYFUNCTION("""COMPUTED_VALUE"""),"en")</f>
        <v>en</v>
      </c>
      <c r="B2173">
        <f>IFERROR(__xludf.DUMMYFUNCTION("""COMPUTED_VALUE"""),2513962.0)</f>
        <v>2513962</v>
      </c>
      <c r="C2173" t="str">
        <f>IFERROR(__xludf.DUMMYFUNCTION("""COMPUTED_VALUE"""),"An Introduction to Reliability Engineering")</f>
        <v>An Introduction to Reliability Engineering</v>
      </c>
    </row>
    <row r="2174">
      <c r="A2174" s="140" t="str">
        <f>IFERROR(__xludf.DUMMYFUNCTION("""COMPUTED_VALUE"""),"en")</f>
        <v>en</v>
      </c>
      <c r="B2174">
        <f>IFERROR(__xludf.DUMMYFUNCTION("""COMPUTED_VALUE"""),1780698.0)</f>
        <v>1780698</v>
      </c>
      <c r="C2174" t="str">
        <f>IFERROR(__xludf.DUMMYFUNCTION("""COMPUTED_VALUE"""),"TOTAL: CompTIA Network+ Certification (N10-007)")</f>
        <v>TOTAL: CompTIA Network+ Certification (N10-007)</v>
      </c>
    </row>
    <row r="2175">
      <c r="A2175" s="140" t="str">
        <f>IFERROR(__xludf.DUMMYFUNCTION("""COMPUTED_VALUE"""),"pt")</f>
        <v>pt</v>
      </c>
      <c r="B2175">
        <f>IFERROR(__xludf.DUMMYFUNCTION("""COMPUTED_VALUE"""),259154.0)</f>
        <v>259154</v>
      </c>
      <c r="C2175" t="str">
        <f>IFERROR(__xludf.DUMMYFUNCTION("""COMPUTED_VALUE"""),"Bacula 1: ferramenta livre de backup")</f>
        <v>Bacula 1: ferramenta livre de backup</v>
      </c>
    </row>
    <row r="2176">
      <c r="A2176" s="140" t="str">
        <f>IFERROR(__xludf.DUMMYFUNCTION("""COMPUTED_VALUE"""),"ja")</f>
        <v>ja</v>
      </c>
      <c r="B2176">
        <f>IFERROR(__xludf.DUMMYFUNCTION("""COMPUTED_VALUE"""),728628.0)</f>
        <v>728628</v>
      </c>
      <c r="C2176" t="str">
        <f>IFERROR(__xludf.DUMMYFUNCTION("""COMPUTED_VALUE"""),"MOS試験Excel対策オンライン講座【2013スペシャリスト】エクセル兄さんのスピードMOS対策・合格コース")</f>
        <v>MOS試験Excel対策オンライン講座【2013スペシャリスト】エクセル兄さんのスピードMOS対策・合格コース</v>
      </c>
    </row>
    <row r="2177">
      <c r="A2177" s="140" t="str">
        <f>IFERROR(__xludf.DUMMYFUNCTION("""COMPUTED_VALUE"""),"en")</f>
        <v>en</v>
      </c>
      <c r="B2177">
        <f>IFERROR(__xludf.DUMMYFUNCTION("""COMPUTED_VALUE"""),2640970.0)</f>
        <v>2640970</v>
      </c>
      <c r="C2177" t="str">
        <f>IFERROR(__xludf.DUMMYFUNCTION("""COMPUTED_VALUE"""),"OpenAPI: Beginner to Guru")</f>
        <v>OpenAPI: Beginner to Guru</v>
      </c>
    </row>
    <row r="2178">
      <c r="A2178" s="140" t="str">
        <f>IFERROR(__xludf.DUMMYFUNCTION("""COMPUTED_VALUE"""),"en")</f>
        <v>en</v>
      </c>
      <c r="B2178">
        <f>IFERROR(__xludf.DUMMYFUNCTION("""COMPUTED_VALUE"""),671576.0)</f>
        <v>671576</v>
      </c>
      <c r="C2178" t="str">
        <f>IFERROR(__xludf.DUMMYFUNCTION("""COMPUTED_VALUE"""),"Machine Learning, Data Science and Deep Learning with Python")</f>
        <v>Machine Learning, Data Science and Deep Learning with Python</v>
      </c>
    </row>
    <row r="2179">
      <c r="A2179" s="140" t="str">
        <f>IFERROR(__xludf.DUMMYFUNCTION("""COMPUTED_VALUE"""),"en")</f>
        <v>en</v>
      </c>
      <c r="B2179">
        <f>IFERROR(__xludf.DUMMYFUNCTION("""COMPUTED_VALUE"""),427152.0)</f>
        <v>427152</v>
      </c>
      <c r="C2179" t="str">
        <f>IFERROR(__xludf.DUMMYFUNCTION("""COMPUTED_VALUE"""),"Climbing the Ladder: Moving from IT Pro to Manager")</f>
        <v>Climbing the Ladder: Moving from IT Pro to Manager</v>
      </c>
    </row>
    <row r="2180">
      <c r="A2180" s="140" t="str">
        <f>IFERROR(__xludf.DUMMYFUNCTION("""COMPUTED_VALUE"""),"tr")</f>
        <v>tr</v>
      </c>
      <c r="B2180">
        <f>IFERROR(__xludf.DUMMYFUNCTION("""COMPUTED_VALUE"""),3744682.0)</f>
        <v>3744682</v>
      </c>
      <c r="C2180" t="str">
        <f>IFERROR(__xludf.DUMMYFUNCTION("""COMPUTED_VALUE"""),"Kalite Güvence Mühendisi Yetiştirme Eğitim Programı")</f>
        <v>Kalite Güvence Mühendisi Yetiştirme Eğitim Programı</v>
      </c>
    </row>
    <row r="2181">
      <c r="A2181" s="140" t="str">
        <f>IFERROR(__xludf.DUMMYFUNCTION("""COMPUTED_VALUE"""),"en")</f>
        <v>en</v>
      </c>
      <c r="B2181">
        <f>IFERROR(__xludf.DUMMYFUNCTION("""COMPUTED_VALUE"""),980770.0)</f>
        <v>980770</v>
      </c>
      <c r="C2181" t="str">
        <f>IFERROR(__xludf.DUMMYFUNCTION("""COMPUTED_VALUE"""),"Unity Game Development Build 2D &amp; 3D Games")</f>
        <v>Unity Game Development Build 2D &amp; 3D Games</v>
      </c>
    </row>
    <row r="2182">
      <c r="A2182" s="140" t="str">
        <f>IFERROR(__xludf.DUMMYFUNCTION("""COMPUTED_VALUE"""),"pt")</f>
        <v>pt</v>
      </c>
      <c r="B2182">
        <f>IFERROR(__xludf.DUMMYFUNCTION("""COMPUTED_VALUE"""),3267280.0)</f>
        <v>3267280</v>
      </c>
      <c r="C2182" t="str">
        <f>IFERROR(__xludf.DUMMYFUNCTION("""COMPUTED_VALUE"""),"Rastreamento de Objetos com Python e OpenCV")</f>
        <v>Rastreamento de Objetos com Python e OpenCV</v>
      </c>
    </row>
    <row r="2183">
      <c r="A2183" s="140" t="str">
        <f>IFERROR(__xludf.DUMMYFUNCTION("""COMPUTED_VALUE"""),"en")</f>
        <v>en</v>
      </c>
      <c r="B2183">
        <f>IFERROR(__xludf.DUMMYFUNCTION("""COMPUTED_VALUE"""),3718672.0)</f>
        <v>3718672</v>
      </c>
      <c r="C2183" t="str">
        <f>IFERROR(__xludf.DUMMYFUNCTION("""COMPUTED_VALUE"""),"SolarWinds NPM Course Network Monitor NTA/NCM/ SCP-500/ Lab")</f>
        <v>SolarWinds NPM Course Network Monitor NTA/NCM/ SCP-500/ Lab</v>
      </c>
    </row>
    <row r="2184">
      <c r="A2184" s="140" t="str">
        <f>IFERROR(__xludf.DUMMYFUNCTION("""COMPUTED_VALUE"""),"es")</f>
        <v>es</v>
      </c>
      <c r="B2184">
        <f>IFERROR(__xludf.DUMMYFUNCTION("""COMPUTED_VALUE"""),2409698.0)</f>
        <v>2409698</v>
      </c>
      <c r="C2184" t="str">
        <f>IFERROR(__xludf.DUMMYFUNCTION("""COMPUTED_VALUE"""),"CCNA BOOTCAMP 200-301 en español")</f>
        <v>CCNA BOOTCAMP 200-301 en español</v>
      </c>
    </row>
    <row r="2185">
      <c r="A2185" s="140" t="str">
        <f>IFERROR(__xludf.DUMMYFUNCTION("""COMPUTED_VALUE"""),"en")</f>
        <v>en</v>
      </c>
      <c r="B2185">
        <f>IFERROR(__xludf.DUMMYFUNCTION("""COMPUTED_VALUE"""),543206.0)</f>
        <v>543206</v>
      </c>
      <c r="C2185" t="str">
        <f>IFERROR(__xludf.DUMMYFUNCTION("""COMPUTED_VALUE"""),"Legal English")</f>
        <v>Legal English</v>
      </c>
    </row>
    <row r="2186">
      <c r="A2186" s="140" t="str">
        <f>IFERROR(__xludf.DUMMYFUNCTION("""COMPUTED_VALUE"""),"en")</f>
        <v>en</v>
      </c>
      <c r="B2186">
        <f>IFERROR(__xludf.DUMMYFUNCTION("""COMPUTED_VALUE"""),2443266.0)</f>
        <v>2443266</v>
      </c>
      <c r="C2186" t="str">
        <f>IFERROR(__xludf.DUMMYFUNCTION("""COMPUTED_VALUE"""),"Master Neuroscience and Neuroanatomy.")</f>
        <v>Master Neuroscience and Neuroanatomy.</v>
      </c>
    </row>
    <row r="2187">
      <c r="A2187" s="140" t="str">
        <f>IFERROR(__xludf.DUMMYFUNCTION("""COMPUTED_VALUE"""),"en")</f>
        <v>en</v>
      </c>
      <c r="B2187">
        <f>IFERROR(__xludf.DUMMYFUNCTION("""COMPUTED_VALUE"""),1030486.0)</f>
        <v>1030486</v>
      </c>
      <c r="C2187" t="str">
        <f>IFERROR(__xludf.DUMMYFUNCTION("""COMPUTED_VALUE"""),"[Intermediate] Spatial Data Analysis with R, QGIS &amp; More")</f>
        <v>[Intermediate] Spatial Data Analysis with R, QGIS &amp; More</v>
      </c>
    </row>
    <row r="2188">
      <c r="A2188" s="140" t="str">
        <f>IFERROR(__xludf.DUMMYFUNCTION("""COMPUTED_VALUE"""),"de")</f>
        <v>de</v>
      </c>
      <c r="B2188">
        <f>IFERROR(__xludf.DUMMYFUNCTION("""COMPUTED_VALUE"""),2366380.0)</f>
        <v>2366380</v>
      </c>
      <c r="C2188" t="str">
        <f>IFERROR(__xludf.DUMMYFUNCTION("""COMPUTED_VALUE"""),"Natural Language Processing für Data Science mit Python")</f>
        <v>Natural Language Processing für Data Science mit Python</v>
      </c>
    </row>
    <row r="2189">
      <c r="A2189" s="140" t="str">
        <f>IFERROR(__xludf.DUMMYFUNCTION("""COMPUTED_VALUE"""),"en")</f>
        <v>en</v>
      </c>
      <c r="B2189">
        <f>IFERROR(__xludf.DUMMYFUNCTION("""COMPUTED_VALUE"""),3472870.0)</f>
        <v>3472870</v>
      </c>
      <c r="C2189" t="str">
        <f>IFERROR(__xludf.DUMMYFUNCTION("""COMPUTED_VALUE"""),"Performant GraphQL Backend in 1 Day by Using Hasura Engine")</f>
        <v>Performant GraphQL Backend in 1 Day by Using Hasura Engine</v>
      </c>
    </row>
    <row r="2190">
      <c r="A2190" s="140" t="str">
        <f>IFERROR(__xludf.DUMMYFUNCTION("""COMPUTED_VALUE"""),"en")</f>
        <v>en</v>
      </c>
      <c r="B2190">
        <f>IFERROR(__xludf.DUMMYFUNCTION("""COMPUTED_VALUE"""),2627090.0)</f>
        <v>2627090</v>
      </c>
      <c r="C2190" t="str">
        <f>IFERROR(__xludf.DUMMYFUNCTION("""COMPUTED_VALUE"""),"Flow of fluids through piping systems , valves and pumps")</f>
        <v>Flow of fluids through piping systems , valves and pumps</v>
      </c>
    </row>
    <row r="2191">
      <c r="A2191" s="140" t="str">
        <f>IFERROR(__xludf.DUMMYFUNCTION("""COMPUTED_VALUE"""),"fr")</f>
        <v>fr</v>
      </c>
      <c r="B2191">
        <f>IFERROR(__xludf.DUMMYFUNCTION("""COMPUTED_VALUE"""),2217966.0)</f>
        <v>2217966</v>
      </c>
      <c r="C2191" t="str">
        <f>IFERROR(__xludf.DUMMYFUNCTION("""COMPUTED_VALUE"""),"JavaScript : Créez des animations avec GreenSock")</f>
        <v>JavaScript : Créez des animations avec GreenSock</v>
      </c>
    </row>
    <row r="2192">
      <c r="A2192" s="140" t="str">
        <f>IFERROR(__xludf.DUMMYFUNCTION("""COMPUTED_VALUE"""),"ar")</f>
        <v>ar</v>
      </c>
      <c r="B2192">
        <f>IFERROR(__xludf.DUMMYFUNCTION("""COMPUTED_VALUE"""),1464230.0)</f>
        <v>1464230</v>
      </c>
      <c r="C2192" t="str">
        <f>IFERROR(__xludf.DUMMYFUNCTION("""COMPUTED_VALUE"""),"أساسيات البرمجة بلغة بايثون - Introduction to Python-Arabic")</f>
        <v>أساسيات البرمجة بلغة بايثون - Introduction to Python-Arabic</v>
      </c>
    </row>
    <row r="2193">
      <c r="A2193" s="140" t="str">
        <f>IFERROR(__xludf.DUMMYFUNCTION("""COMPUTED_VALUE"""),"en")</f>
        <v>en</v>
      </c>
      <c r="B2193">
        <f>IFERROR(__xludf.DUMMYFUNCTION("""COMPUTED_VALUE"""),2615378.0)</f>
        <v>2615378</v>
      </c>
      <c r="C2193" t="str">
        <f>IFERROR(__xludf.DUMMYFUNCTION("""COMPUTED_VALUE"""),"SAP S/4HANA Training with SAP HANA, S4 HANA Finance &amp; FIORI")</f>
        <v>SAP S/4HANA Training with SAP HANA, S4 HANA Finance &amp; FIORI</v>
      </c>
    </row>
    <row r="2194">
      <c r="A2194" s="140" t="str">
        <f>IFERROR(__xludf.DUMMYFUNCTION("""COMPUTED_VALUE"""),"pt")</f>
        <v>pt</v>
      </c>
      <c r="B2194">
        <f>IFERROR(__xludf.DUMMYFUNCTION("""COMPUTED_VALUE"""),548584.0)</f>
        <v>548584</v>
      </c>
      <c r="C2194" t="str">
        <f>IFERROR(__xludf.DUMMYFUNCTION("""COMPUTED_VALUE"""),"SAP-MM-CFG - Estratégia de Liberação - Requisição de Compras")</f>
        <v>SAP-MM-CFG - Estratégia de Liberação - Requisição de Compras</v>
      </c>
    </row>
    <row r="2195">
      <c r="A2195" s="140" t="str">
        <f>IFERROR(__xludf.DUMMYFUNCTION("""COMPUTED_VALUE"""),"en")</f>
        <v>en</v>
      </c>
      <c r="B2195">
        <f>IFERROR(__xludf.DUMMYFUNCTION("""COMPUTED_VALUE"""),3077818.0)</f>
        <v>3077818</v>
      </c>
      <c r="C2195" t="str">
        <f>IFERROR(__xludf.DUMMYFUNCTION("""COMPUTED_VALUE"""),"Juniper JNCIA-Junos JN0-103 with Ben Jacobson")</f>
        <v>Juniper JNCIA-Junos JN0-103 with Ben Jacobson</v>
      </c>
    </row>
    <row r="2196">
      <c r="A2196" s="140" t="str">
        <f>IFERROR(__xludf.DUMMYFUNCTION("""COMPUTED_VALUE"""),"es")</f>
        <v>es</v>
      </c>
      <c r="B2196">
        <f>IFERROR(__xludf.DUMMYFUNCTION("""COMPUTED_VALUE"""),3040254.0)</f>
        <v>3040254</v>
      </c>
      <c r="C2196" t="str">
        <f>IFERROR(__xludf.DUMMYFUNCTION("""COMPUTED_VALUE"""),"ISO 39001:2012 Sistemas de Gestión de Seguridad Vial")</f>
        <v>ISO 39001:2012 Sistemas de Gestión de Seguridad Vial</v>
      </c>
    </row>
    <row r="2197">
      <c r="A2197" s="140" t="str">
        <f>IFERROR(__xludf.DUMMYFUNCTION("""COMPUTED_VALUE"""),"en")</f>
        <v>en</v>
      </c>
      <c r="B2197">
        <f>IFERROR(__xludf.DUMMYFUNCTION("""COMPUTED_VALUE"""),1872032.0)</f>
        <v>1872032</v>
      </c>
      <c r="C2197" t="str">
        <f>IFERROR(__xludf.DUMMYFUNCTION("""COMPUTED_VALUE"""),"Up &amp; Running with ServiceNow")</f>
        <v>Up &amp; Running with ServiceNow</v>
      </c>
    </row>
    <row r="2198">
      <c r="A2198" s="140" t="str">
        <f>IFERROR(__xludf.DUMMYFUNCTION("""COMPUTED_VALUE"""),"es")</f>
        <v>es</v>
      </c>
      <c r="B2198">
        <f>IFERROR(__xludf.DUMMYFUNCTION("""COMPUTED_VALUE"""),2005610.0)</f>
        <v>2005610</v>
      </c>
      <c r="C2198" t="str">
        <f>IFERROR(__xludf.DUMMYFUNCTION("""COMPUTED_VALUE"""),"Método de negociación de la U. Harvard y principios de PNL")</f>
        <v>Método de negociación de la U. Harvard y principios de PNL</v>
      </c>
    </row>
    <row r="2199">
      <c r="A2199" s="140" t="str">
        <f>IFERROR(__xludf.DUMMYFUNCTION("""COMPUTED_VALUE"""),"es")</f>
        <v>es</v>
      </c>
      <c r="B2199">
        <f>IFERROR(__xludf.DUMMYFUNCTION("""COMPUTED_VALUE"""),2012622.0)</f>
        <v>2012622</v>
      </c>
      <c r="C2199" t="str">
        <f>IFERROR(__xludf.DUMMYFUNCTION("""COMPUTED_VALUE"""),"Mejora tu Pronunciación en Alemán: Especial Hispanohablantes")</f>
        <v>Mejora tu Pronunciación en Alemán: Especial Hispanohablantes</v>
      </c>
    </row>
    <row r="2200">
      <c r="A2200" s="140" t="str">
        <f>IFERROR(__xludf.DUMMYFUNCTION("""COMPUTED_VALUE"""),"en")</f>
        <v>en</v>
      </c>
      <c r="B2200">
        <f>IFERROR(__xludf.DUMMYFUNCTION("""COMPUTED_VALUE"""),2068907.0)</f>
        <v>2068907</v>
      </c>
      <c r="C2200" t="str">
        <f>IFERROR(__xludf.DUMMYFUNCTION("""COMPUTED_VALUE"""),"Environment Art School: Complete Perspective Drawing Course")</f>
        <v>Environment Art School: Complete Perspective Drawing Course</v>
      </c>
    </row>
    <row r="2201">
      <c r="A2201" s="140" t="str">
        <f>IFERROR(__xludf.DUMMYFUNCTION("""COMPUTED_VALUE"""),"es")</f>
        <v>es</v>
      </c>
      <c r="B2201">
        <f>IFERROR(__xludf.DUMMYFUNCTION("""COMPUTED_VALUE"""),1942912.0)</f>
        <v>1942912</v>
      </c>
      <c r="C2201" t="str">
        <f>IFERROR(__xludf.DUMMYFUNCTION("""COMPUTED_VALUE"""),"Programación profesional desde cero")</f>
        <v>Programación profesional desde cero</v>
      </c>
    </row>
    <row r="2202">
      <c r="A2202" s="140" t="str">
        <f>IFERROR(__xludf.DUMMYFUNCTION("""COMPUTED_VALUE"""),"en")</f>
        <v>en</v>
      </c>
      <c r="B2202">
        <f>IFERROR(__xludf.DUMMYFUNCTION("""COMPUTED_VALUE"""),1692924.0)</f>
        <v>1692924</v>
      </c>
      <c r="C2202" t="str">
        <f>IFERROR(__xludf.DUMMYFUNCTION("""COMPUTED_VALUE"""),"Become a God of Instagram Marketing Step by Step proven ways")</f>
        <v>Become a God of Instagram Marketing Step by Step proven ways</v>
      </c>
    </row>
    <row r="2203">
      <c r="A2203" s="140" t="str">
        <f>IFERROR(__xludf.DUMMYFUNCTION("""COMPUTED_VALUE"""),"es")</f>
        <v>es</v>
      </c>
      <c r="B2203">
        <f>IFERROR(__xludf.DUMMYFUNCTION("""COMPUTED_VALUE"""),1966752.0)</f>
        <v>1966752</v>
      </c>
      <c r="C2203" t="str">
        <f>IFERROR(__xludf.DUMMYFUNCTION("""COMPUTED_VALUE"""),"MASTER EN CHATBOTS Y DIALOGFLOW ¡INCLUYE HOSTING GRATIS!")</f>
        <v>MASTER EN CHATBOTS Y DIALOGFLOW ¡INCLUYE HOSTING GRATIS!</v>
      </c>
    </row>
    <row r="2204">
      <c r="A2204" s="140" t="str">
        <f>IFERROR(__xludf.DUMMYFUNCTION("""COMPUTED_VALUE"""),"en")</f>
        <v>en</v>
      </c>
      <c r="B2204">
        <f>IFERROR(__xludf.DUMMYFUNCTION("""COMPUTED_VALUE"""),2475998.0)</f>
        <v>2475998</v>
      </c>
      <c r="C2204" t="str">
        <f>IFERROR(__xludf.DUMMYFUNCTION("""COMPUTED_VALUE"""),"Advanced Training for Trauma Treatment of Complex PTSD")</f>
        <v>Advanced Training for Trauma Treatment of Complex PTSD</v>
      </c>
    </row>
    <row r="2205">
      <c r="A2205" s="140" t="str">
        <f>IFERROR(__xludf.DUMMYFUNCTION("""COMPUTED_VALUE"""),"ja")</f>
        <v>ja</v>
      </c>
      <c r="B2205">
        <f>IFERROR(__xludf.DUMMYFUNCTION("""COMPUTED_VALUE"""),1134722.0)</f>
        <v>1134722</v>
      </c>
      <c r="C2205" t="str">
        <f>IFERROR(__xludf.DUMMYFUNCTION("""COMPUTED_VALUE"""),"現役シリコンバレーエンジニアが教えるPython 3 入門 + 応用 +アメリカのシリコンバレー流コードスタイル")</f>
        <v>現役シリコンバレーエンジニアが教えるPython 3 入門 + 応用 +アメリカのシリコンバレー流コードスタイル</v>
      </c>
    </row>
    <row r="2206">
      <c r="A2206" s="140" t="str">
        <f>IFERROR(__xludf.DUMMYFUNCTION("""COMPUTED_VALUE"""),"es")</f>
        <v>es</v>
      </c>
      <c r="B2206">
        <f>IFERROR(__xludf.DUMMYFUNCTION("""COMPUTED_VALUE"""),377128.0)</f>
        <v>377128</v>
      </c>
      <c r="C2206" t="str">
        <f>IFERROR(__xludf.DUMMYFUNCTION("""COMPUTED_VALUE"""),"PowerPoint para desarrollo e-Learning")</f>
        <v>PowerPoint para desarrollo e-Learning</v>
      </c>
    </row>
    <row r="2207">
      <c r="A2207" s="140" t="str">
        <f>IFERROR(__xludf.DUMMYFUNCTION("""COMPUTED_VALUE"""),"en")</f>
        <v>en</v>
      </c>
      <c r="B2207">
        <f>IFERROR(__xludf.DUMMYFUNCTION("""COMPUTED_VALUE"""),799638.0)</f>
        <v>799638</v>
      </c>
      <c r="C2207" t="str">
        <f>IFERROR(__xludf.DUMMYFUNCTION("""COMPUTED_VALUE"""),"Master Microsoft PowerPoint 2016 the Easy Way")</f>
        <v>Master Microsoft PowerPoint 2016 the Easy Way</v>
      </c>
    </row>
    <row r="2208">
      <c r="A2208" s="140" t="str">
        <f>IFERROR(__xludf.DUMMYFUNCTION("""COMPUTED_VALUE"""),"en")</f>
        <v>en</v>
      </c>
      <c r="B2208">
        <f>IFERROR(__xludf.DUMMYFUNCTION("""COMPUTED_VALUE"""),352440.0)</f>
        <v>352440</v>
      </c>
      <c r="C2208" t="str">
        <f>IFERROR(__xludf.DUMMYFUNCTION("""COMPUTED_VALUE"""),"Agile PM 101 - Learn the Truth About Agile versus Waterfall")</f>
        <v>Agile PM 101 - Learn the Truth About Agile versus Waterfall</v>
      </c>
    </row>
    <row r="2209">
      <c r="A2209" s="140" t="str">
        <f>IFERROR(__xludf.DUMMYFUNCTION("""COMPUTED_VALUE"""),"pt")</f>
        <v>pt</v>
      </c>
      <c r="B2209">
        <f>IFERROR(__xludf.DUMMYFUNCTION("""COMPUTED_VALUE"""),1141844.0)</f>
        <v>1141844</v>
      </c>
      <c r="C2209" t="str">
        <f>IFERROR(__xludf.DUMMYFUNCTION("""COMPUTED_VALUE"""),"Redes TCP/IP")</f>
        <v>Redes TCP/IP</v>
      </c>
    </row>
    <row r="2210">
      <c r="A2210" s="140" t="str">
        <f>IFERROR(__xludf.DUMMYFUNCTION("""COMPUTED_VALUE"""),"ja")</f>
        <v>ja</v>
      </c>
      <c r="B2210">
        <f>IFERROR(__xludf.DUMMYFUNCTION("""COMPUTED_VALUE"""),2740062.0)</f>
        <v>2740062</v>
      </c>
      <c r="C2210" t="str">
        <f>IFERROR(__xludf.DUMMYFUNCTION("""COMPUTED_VALUE"""),"文系ビジネスパーソンのためのはじめて学ぶSQL(超入門レベル)")</f>
        <v>文系ビジネスパーソンのためのはじめて学ぶSQL(超入門レベル)</v>
      </c>
    </row>
    <row r="2211">
      <c r="A2211" s="140" t="str">
        <f>IFERROR(__xludf.DUMMYFUNCTION("""COMPUTED_VALUE"""),"en")</f>
        <v>en</v>
      </c>
      <c r="B2211">
        <f>IFERROR(__xludf.DUMMYFUNCTION("""COMPUTED_VALUE"""),2006384.0)</f>
        <v>2006384</v>
      </c>
      <c r="C2211" t="str">
        <f>IFERROR(__xludf.DUMMYFUNCTION("""COMPUTED_VALUE"""),"Python Digital Image Processing From Ground Up™")</f>
        <v>Python Digital Image Processing From Ground Up™</v>
      </c>
    </row>
    <row r="2212">
      <c r="A2212" s="140" t="str">
        <f>IFERROR(__xludf.DUMMYFUNCTION("""COMPUTED_VALUE"""),"en")</f>
        <v>en</v>
      </c>
      <c r="B2212">
        <f>IFERROR(__xludf.DUMMYFUNCTION("""COMPUTED_VALUE"""),1739174.0)</f>
        <v>1739174</v>
      </c>
      <c r="C2212" t="str">
        <f>IFERROR(__xludf.DUMMYFUNCTION("""COMPUTED_VALUE"""),"Financial Accounting – Payroll")</f>
        <v>Financial Accounting – Payroll</v>
      </c>
    </row>
    <row r="2213">
      <c r="A2213" s="140" t="str">
        <f>IFERROR(__xludf.DUMMYFUNCTION("""COMPUTED_VALUE"""),"en")</f>
        <v>en</v>
      </c>
      <c r="B2213">
        <f>IFERROR(__xludf.DUMMYFUNCTION("""COMPUTED_VALUE"""),2636008.0)</f>
        <v>2636008</v>
      </c>
      <c r="C2213" t="str">
        <f>IFERROR(__xludf.DUMMYFUNCTION("""COMPUTED_VALUE"""),"Introduction to Service Management with ITIL 4")</f>
        <v>Introduction to Service Management with ITIL 4</v>
      </c>
    </row>
    <row r="2214">
      <c r="A2214" s="140" t="str">
        <f>IFERROR(__xludf.DUMMYFUNCTION("""COMPUTED_VALUE"""),"en")</f>
        <v>en</v>
      </c>
      <c r="B2214">
        <f>IFERROR(__xludf.DUMMYFUNCTION("""COMPUTED_VALUE"""),392584.0)</f>
        <v>392584</v>
      </c>
      <c r="C2214" t="str">
        <f>IFERROR(__xludf.DUMMYFUNCTION("""COMPUTED_VALUE"""),"Power of the Mind in Health and Healing")</f>
        <v>Power of the Mind in Health and Healing</v>
      </c>
    </row>
    <row r="2215">
      <c r="A2215" s="140" t="str">
        <f>IFERROR(__xludf.DUMMYFUNCTION("""COMPUTED_VALUE"""),"tr")</f>
        <v>tr</v>
      </c>
      <c r="B2215">
        <f>IFERROR(__xludf.DUMMYFUNCTION("""COMPUTED_VALUE"""),2873844.0)</f>
        <v>2873844</v>
      </c>
      <c r="C2215" t="str">
        <f>IFERROR(__xludf.DUMMYFUNCTION("""COMPUTED_VALUE"""),"Asp.Net Core + Docker (Sıfırdan)")</f>
        <v>Asp.Net Core + Docker (Sıfırdan)</v>
      </c>
    </row>
    <row r="2216">
      <c r="A2216" s="140" t="str">
        <f>IFERROR(__xludf.DUMMYFUNCTION("""COMPUTED_VALUE"""),"en")</f>
        <v>en</v>
      </c>
      <c r="B2216">
        <f>IFERROR(__xludf.DUMMYFUNCTION("""COMPUTED_VALUE"""),1459294.0)</f>
        <v>1459294</v>
      </c>
      <c r="C2216" t="str">
        <f>IFERROR(__xludf.DUMMYFUNCTION("""COMPUTED_VALUE"""),"Coordination and Implementation of Emergency Preparedness")</f>
        <v>Coordination and Implementation of Emergency Preparedness</v>
      </c>
    </row>
    <row r="2217">
      <c r="A2217" s="140" t="str">
        <f>IFERROR(__xludf.DUMMYFUNCTION("""COMPUTED_VALUE"""),"es")</f>
        <v>es</v>
      </c>
      <c r="B2217">
        <f>IFERROR(__xludf.DUMMYFUNCTION("""COMPUTED_VALUE"""),2336072.0)</f>
        <v>2336072</v>
      </c>
      <c r="C2217" t="str">
        <f>IFERROR(__xludf.DUMMYFUNCTION("""COMPUTED_VALUE"""),"Análisis de Call Center con Business Intelligence y Power BI")</f>
        <v>Análisis de Call Center con Business Intelligence y Power BI</v>
      </c>
    </row>
    <row r="2218">
      <c r="A2218" s="140" t="str">
        <f>IFERROR(__xludf.DUMMYFUNCTION("""COMPUTED_VALUE"""),"tr")</f>
        <v>tr</v>
      </c>
      <c r="B2218">
        <f>IFERROR(__xludf.DUMMYFUNCTION("""COMPUTED_VALUE"""),2496622.0)</f>
        <v>2496622</v>
      </c>
      <c r="C2218" t="str">
        <f>IFERROR(__xludf.DUMMYFUNCTION("""COMPUTED_VALUE"""),"(100+ Saat) Aranan Programcı Olma Kamp Kursu| Python,Java,C#")</f>
        <v>(100+ Saat) Aranan Programcı Olma Kamp Kursu| Python,Java,C#</v>
      </c>
    </row>
    <row r="2219">
      <c r="A2219" s="140" t="str">
        <f>IFERROR(__xludf.DUMMYFUNCTION("""COMPUTED_VALUE"""),"es")</f>
        <v>es</v>
      </c>
      <c r="B2219">
        <f>IFERROR(__xludf.DUMMYFUNCTION("""COMPUTED_VALUE"""),2574070.0)</f>
        <v>2574070</v>
      </c>
      <c r="C2219" t="str">
        <f>IFERROR(__xludf.DUMMYFUNCTION("""COMPUTED_VALUE"""),"[2021] Scrum Master: Simulador de Examen de Certificación")</f>
        <v>[2021] Scrum Master: Simulador de Examen de Certificación</v>
      </c>
    </row>
    <row r="2220">
      <c r="A2220" s="140" t="str">
        <f>IFERROR(__xludf.DUMMYFUNCTION("""COMPUTED_VALUE"""),"en")</f>
        <v>en</v>
      </c>
      <c r="B2220">
        <f>IFERROR(__xludf.DUMMYFUNCTION("""COMPUTED_VALUE"""),1708482.0)</f>
        <v>1708482</v>
      </c>
      <c r="C2220" t="str">
        <f>IFERROR(__xludf.DUMMYFUNCTION("""COMPUTED_VALUE"""),"The Ultimate Piano Chords Course - for Piano &amp; Keyboard")</f>
        <v>The Ultimate Piano Chords Course - for Piano &amp; Keyboard</v>
      </c>
    </row>
    <row r="2221">
      <c r="A2221" s="140" t="str">
        <f>IFERROR(__xludf.DUMMYFUNCTION("""COMPUTED_VALUE"""),"pt")</f>
        <v>pt</v>
      </c>
      <c r="B2221">
        <f>IFERROR(__xludf.DUMMYFUNCTION("""COMPUTED_VALUE"""),1679146.0)</f>
        <v>1679146</v>
      </c>
      <c r="C2221" t="str">
        <f>IFERROR(__xludf.DUMMYFUNCTION("""COMPUTED_VALUE"""),"Programação para Leigos e informática do básico ao avançado")</f>
        <v>Programação para Leigos e informática do básico ao avançado</v>
      </c>
    </row>
    <row r="2222">
      <c r="A2222" s="140" t="str">
        <f>IFERROR(__xludf.DUMMYFUNCTION("""COMPUTED_VALUE"""),"de")</f>
        <v>de</v>
      </c>
      <c r="B2222">
        <f>IFERROR(__xludf.DUMMYFUNCTION("""COMPUTED_VALUE"""),1576436.0)</f>
        <v>1576436</v>
      </c>
      <c r="C2222" t="str">
        <f>IFERROR(__xludf.DUMMYFUNCTION("""COMPUTED_VALUE"""),"Autodesk Inventor 2019 - Grundlagenkurs")</f>
        <v>Autodesk Inventor 2019 - Grundlagenkurs</v>
      </c>
    </row>
    <row r="2223">
      <c r="A2223" s="140" t="str">
        <f>IFERROR(__xludf.DUMMYFUNCTION("""COMPUTED_VALUE"""),"en")</f>
        <v>en</v>
      </c>
      <c r="B2223">
        <f>IFERROR(__xludf.DUMMYFUNCTION("""COMPUTED_VALUE"""),1411586.0)</f>
        <v>1411586</v>
      </c>
      <c r="C2223" t="str">
        <f>IFERROR(__xludf.DUMMYFUNCTION("""COMPUTED_VALUE"""),"CAPM Exam Prep Seminar - PMBOK Guide, Sixth Edition")</f>
        <v>CAPM Exam Prep Seminar - PMBOK Guide, Sixth Edition</v>
      </c>
    </row>
    <row r="2224">
      <c r="A2224" s="140" t="str">
        <f>IFERROR(__xludf.DUMMYFUNCTION("""COMPUTED_VALUE"""),"de")</f>
        <v>de</v>
      </c>
      <c r="B2224">
        <f>IFERROR(__xludf.DUMMYFUNCTION("""COMPUTED_VALUE"""),792902.0)</f>
        <v>792902</v>
      </c>
      <c r="C2224" t="str">
        <f>IFERROR(__xludf.DUMMYFUNCTION("""COMPUTED_VALUE"""),"Der komplette Web-Entwickler Kurs 2.0 -Erstelle 25 Webseiten")</f>
        <v>Der komplette Web-Entwickler Kurs 2.0 -Erstelle 25 Webseiten</v>
      </c>
    </row>
    <row r="2225">
      <c r="A2225" s="140" t="str">
        <f>IFERROR(__xludf.DUMMYFUNCTION("""COMPUTED_VALUE"""),"en")</f>
        <v>en</v>
      </c>
      <c r="B2225">
        <f>IFERROR(__xludf.DUMMYFUNCTION("""COMPUTED_VALUE"""),3760496.0)</f>
        <v>3760496</v>
      </c>
      <c r="C2225" t="str">
        <f>IFERROR(__xludf.DUMMYFUNCTION("""COMPUTED_VALUE"""),"Automotive Engineering: Automobile Fundamentals and Advanced")</f>
        <v>Automotive Engineering: Automobile Fundamentals and Advanced</v>
      </c>
    </row>
    <row r="2226">
      <c r="A2226" s="140" t="str">
        <f>IFERROR(__xludf.DUMMYFUNCTION("""COMPUTED_VALUE"""),"en")</f>
        <v>en</v>
      </c>
      <c r="B2226">
        <f>IFERROR(__xludf.DUMMYFUNCTION("""COMPUTED_VALUE"""),678142.0)</f>
        <v>678142</v>
      </c>
      <c r="C2226" t="str">
        <f>IFERROR(__xludf.DUMMYFUNCTION("""COMPUTED_VALUE"""),"PHP Login and Registration System - Email Confirm Activation")</f>
        <v>PHP Login and Registration System - Email Confirm Activation</v>
      </c>
    </row>
    <row r="2227">
      <c r="A2227" s="140" t="str">
        <f>IFERROR(__xludf.DUMMYFUNCTION("""COMPUTED_VALUE"""),"pt")</f>
        <v>pt</v>
      </c>
      <c r="B2227">
        <f>IFERROR(__xludf.DUMMYFUNCTION("""COMPUTED_VALUE"""),1406672.0)</f>
        <v>1406672</v>
      </c>
      <c r="C2227" t="str">
        <f>IFERROR(__xludf.DUMMYFUNCTION("""COMPUTED_VALUE"""),"Docker para desenvolvedores Ruby on Rails")</f>
        <v>Docker para desenvolvedores Ruby on Rails</v>
      </c>
    </row>
    <row r="2228">
      <c r="A2228" s="140" t="str">
        <f>IFERROR(__xludf.DUMMYFUNCTION("""COMPUTED_VALUE"""),"en")</f>
        <v>en</v>
      </c>
      <c r="B2228">
        <f>IFERROR(__xludf.DUMMYFUNCTION("""COMPUTED_VALUE"""),855172.0)</f>
        <v>855172</v>
      </c>
      <c r="C2228" t="str">
        <f>IFERROR(__xludf.DUMMYFUNCTION("""COMPUTED_VALUE"""),"Invest in Stocks Like a Pro Investor by a Pro Investor!")</f>
        <v>Invest in Stocks Like a Pro Investor by a Pro Investor!</v>
      </c>
    </row>
    <row r="2229">
      <c r="A2229" s="140" t="str">
        <f>IFERROR(__xludf.DUMMYFUNCTION("""COMPUTED_VALUE"""),"ar")</f>
        <v>ar</v>
      </c>
      <c r="B2229">
        <f>IFERROR(__xludf.DUMMYFUNCTION("""COMPUTED_VALUE"""),3322660.0)</f>
        <v>3322660</v>
      </c>
      <c r="C2229" t="str">
        <f>IFERROR(__xludf.DUMMYFUNCTION("""COMPUTED_VALUE"""),"Fall Protection and working at Heights Training - Arabic")</f>
        <v>Fall Protection and working at Heights Training - Arabic</v>
      </c>
    </row>
    <row r="2230">
      <c r="A2230" s="140" t="str">
        <f>IFERROR(__xludf.DUMMYFUNCTION("""COMPUTED_VALUE"""),"tr")</f>
        <v>tr</v>
      </c>
      <c r="B2230">
        <f>IFERROR(__xludf.DUMMYFUNCTION("""COMPUTED_VALUE"""),1327282.0)</f>
        <v>1327282</v>
      </c>
      <c r="C2230" t="str">
        <f>IFERROR(__xludf.DUMMYFUNCTION("""COMPUTED_VALUE"""),"Power BI: Başlangıçtan Profesyonel Seviyeye (R, Big Data)")</f>
        <v>Power BI: Başlangıçtan Profesyonel Seviyeye (R, Big Data)</v>
      </c>
    </row>
    <row r="2231">
      <c r="A2231" s="140" t="str">
        <f>IFERROR(__xludf.DUMMYFUNCTION("""COMPUTED_VALUE"""),"es")</f>
        <v>es</v>
      </c>
      <c r="B2231">
        <f>IFERROR(__xludf.DUMMYFUNCTION("""COMPUTED_VALUE"""),3813982.0)</f>
        <v>3813982</v>
      </c>
      <c r="C2231" t="str">
        <f>IFERROR(__xludf.DUMMYFUNCTION("""COMPUTED_VALUE"""),"Master Asp.Net MVC (ADO.NET + 3 Capas + Store Procedures) C#")</f>
        <v>Master Asp.Net MVC (ADO.NET + 3 Capas + Store Procedures) C#</v>
      </c>
    </row>
    <row r="2232">
      <c r="A2232" s="140" t="str">
        <f>IFERROR(__xludf.DUMMYFUNCTION("""COMPUTED_VALUE"""),"en")</f>
        <v>en</v>
      </c>
      <c r="B2232">
        <f>IFERROR(__xludf.DUMMYFUNCTION("""COMPUTED_VALUE"""),2448032.0)</f>
        <v>2448032</v>
      </c>
      <c r="C2232" t="str">
        <f>IFERROR(__xludf.DUMMYFUNCTION("""COMPUTED_VALUE"""),"Power Automate vs Azure Logic Apps, which tool should I use?")</f>
        <v>Power Automate vs Azure Logic Apps, which tool should I use?</v>
      </c>
    </row>
    <row r="2233">
      <c r="A2233" s="140" t="str">
        <f>IFERROR(__xludf.DUMMYFUNCTION("""COMPUTED_VALUE"""),"en")</f>
        <v>en</v>
      </c>
      <c r="B2233">
        <f>IFERROR(__xludf.DUMMYFUNCTION("""COMPUTED_VALUE"""),726896.0)</f>
        <v>726896</v>
      </c>
      <c r="C2233" t="str">
        <f>IFERROR(__xludf.DUMMYFUNCTION("""COMPUTED_VALUE"""),"People Power: How to influence anyone anywhere")</f>
        <v>People Power: How to influence anyone anywhere</v>
      </c>
    </row>
    <row r="2234">
      <c r="A2234" s="140" t="str">
        <f>IFERROR(__xludf.DUMMYFUNCTION("""COMPUTED_VALUE"""),"pt")</f>
        <v>pt</v>
      </c>
      <c r="B2234">
        <f>IFERROR(__xludf.DUMMYFUNCTION("""COMPUTED_VALUE"""),2283464.0)</f>
        <v>2283464</v>
      </c>
      <c r="C2234" t="str">
        <f>IFERROR(__xludf.DUMMYFUNCTION("""COMPUTED_VALUE"""),"Amazon AWS - Criando Servidores Virtuais com EC2 - 2021")</f>
        <v>Amazon AWS - Criando Servidores Virtuais com EC2 - 2021</v>
      </c>
    </row>
    <row r="2235">
      <c r="A2235" s="140" t="str">
        <f>IFERROR(__xludf.DUMMYFUNCTION("""COMPUTED_VALUE"""),"tr")</f>
        <v>tr</v>
      </c>
      <c r="B2235">
        <f>IFERROR(__xludf.DUMMYFUNCTION("""COMPUTED_VALUE"""),2355702.0)</f>
        <v>2355702</v>
      </c>
      <c r="C2235" t="str">
        <f>IFERROR(__xludf.DUMMYFUNCTION("""COMPUTED_VALUE"""),"Zaman Yönetimi ve Önceliklendirme")</f>
        <v>Zaman Yönetimi ve Önceliklendirme</v>
      </c>
    </row>
    <row r="2236">
      <c r="A2236" s="140" t="str">
        <f>IFERROR(__xludf.DUMMYFUNCTION("""COMPUTED_VALUE"""),"en")</f>
        <v>en</v>
      </c>
      <c r="B2236">
        <f>IFERROR(__xludf.DUMMYFUNCTION("""COMPUTED_VALUE"""),1950976.0)</f>
        <v>1950976</v>
      </c>
      <c r="C2236" t="str">
        <f>IFERROR(__xludf.DUMMYFUNCTION("""COMPUTED_VALUE"""),"Oracle RAC and Grid Infrastructure Concepts")</f>
        <v>Oracle RAC and Grid Infrastructure Concepts</v>
      </c>
    </row>
    <row r="2237">
      <c r="A2237" s="140" t="str">
        <f>IFERROR(__xludf.DUMMYFUNCTION("""COMPUTED_VALUE"""),"en")</f>
        <v>en</v>
      </c>
      <c r="B2237">
        <f>IFERROR(__xludf.DUMMYFUNCTION("""COMPUTED_VALUE"""),3017800.0)</f>
        <v>3017800</v>
      </c>
      <c r="C2237" t="str">
        <f>IFERROR(__xludf.DUMMYFUNCTION("""COMPUTED_VALUE"""),"Speak Up! Public Speaking for Leadership Development")</f>
        <v>Speak Up! Public Speaking for Leadership Development</v>
      </c>
    </row>
    <row r="2238">
      <c r="A2238" s="140" t="str">
        <f>IFERROR(__xludf.DUMMYFUNCTION("""COMPUTED_VALUE"""),"en")</f>
        <v>en</v>
      </c>
      <c r="B2238">
        <f>IFERROR(__xludf.DUMMYFUNCTION("""COMPUTED_VALUE"""),1919728.0)</f>
        <v>1919728</v>
      </c>
      <c r="C2238" t="str">
        <f>IFERROR(__xludf.DUMMYFUNCTION("""COMPUTED_VALUE"""),"Customer Service Mastery: Delight Every Customer")</f>
        <v>Customer Service Mastery: Delight Every Customer</v>
      </c>
    </row>
    <row r="2239">
      <c r="A2239" s="140" t="str">
        <f>IFERROR(__xludf.DUMMYFUNCTION("""COMPUTED_VALUE"""),"en")</f>
        <v>en</v>
      </c>
      <c r="B2239">
        <f>IFERROR(__xludf.DUMMYFUNCTION("""COMPUTED_VALUE"""),609956.0)</f>
        <v>609956</v>
      </c>
      <c r="C2239" t="str">
        <f>IFERROR(__xludf.DUMMYFUNCTION("""COMPUTED_VALUE"""),"Oracle SQL Developer: Mastering its Features + Tips &amp; Tricks")</f>
        <v>Oracle SQL Developer: Mastering its Features + Tips &amp; Tricks</v>
      </c>
    </row>
    <row r="2240">
      <c r="A2240" s="140" t="str">
        <f>IFERROR(__xludf.DUMMYFUNCTION("""COMPUTED_VALUE"""),"en")</f>
        <v>en</v>
      </c>
      <c r="B2240">
        <f>IFERROR(__xludf.DUMMYFUNCTION("""COMPUTED_VALUE"""),2423524.0)</f>
        <v>2423524</v>
      </c>
      <c r="C2240" t="str">
        <f>IFERROR(__xludf.DUMMYFUNCTION("""COMPUTED_VALUE"""),"Complete Guide for Salesforce integration With Live Scenario")</f>
        <v>Complete Guide for Salesforce integration With Live Scenario</v>
      </c>
    </row>
    <row r="2241">
      <c r="A2241" s="140" t="str">
        <f>IFERROR(__xludf.DUMMYFUNCTION("""COMPUTED_VALUE"""),"es")</f>
        <v>es</v>
      </c>
      <c r="B2241">
        <f>IFERROR(__xludf.DUMMYFUNCTION("""COMPUTED_VALUE"""),3837616.0)</f>
        <v>3837616</v>
      </c>
      <c r="C2241" t="str">
        <f>IFERROR(__xludf.DUMMYFUNCTION("""COMPUTED_VALUE"""),"IoT Bootcamp 2022 (God Level). Nuxt, Node, Mongo, Emqx.")</f>
        <v>IoT Bootcamp 2022 (God Level). Nuxt, Node, Mongo, Emqx.</v>
      </c>
    </row>
    <row r="2242">
      <c r="A2242" s="140" t="str">
        <f>IFERROR(__xludf.DUMMYFUNCTION("""COMPUTED_VALUE"""),"en")</f>
        <v>en</v>
      </c>
      <c r="B2242">
        <f>IFERROR(__xludf.DUMMYFUNCTION("""COMPUTED_VALUE"""),1304336.0)</f>
        <v>1304336</v>
      </c>
      <c r="C2242" t="str">
        <f>IFERROR(__xludf.DUMMYFUNCTION("""COMPUTED_VALUE"""),"Succeed, Influence and Inspire as a Woman in Leadership")</f>
        <v>Succeed, Influence and Inspire as a Woman in Leadership</v>
      </c>
    </row>
    <row r="2243">
      <c r="A2243" s="140" t="str">
        <f>IFERROR(__xludf.DUMMYFUNCTION("""COMPUTED_VALUE"""),"es")</f>
        <v>es</v>
      </c>
      <c r="B2243">
        <f>IFERROR(__xludf.DUMMYFUNCTION("""COMPUTED_VALUE"""),1020336.0)</f>
        <v>1020336</v>
      </c>
      <c r="C2243" t="str">
        <f>IFERROR(__xludf.DUMMYFUNCTION("""COMPUTED_VALUE"""),"Servidor de Pruebas Linux para ambientes de Desarrollo Web.")</f>
        <v>Servidor de Pruebas Linux para ambientes de Desarrollo Web.</v>
      </c>
    </row>
    <row r="2244">
      <c r="A2244" s="140" t="str">
        <f>IFERROR(__xludf.DUMMYFUNCTION("""COMPUTED_VALUE"""),"en")</f>
        <v>en</v>
      </c>
      <c r="B2244">
        <f>IFERROR(__xludf.DUMMYFUNCTION("""COMPUTED_VALUE"""),1364336.0)</f>
        <v>1364336</v>
      </c>
      <c r="C2244" t="str">
        <f>IFERROR(__xludf.DUMMYFUNCTION("""COMPUTED_VALUE"""),"Negotiation Fundamentals: How To Negotiate Effectively")</f>
        <v>Negotiation Fundamentals: How To Negotiate Effectively</v>
      </c>
    </row>
    <row r="2245">
      <c r="A2245" s="140" t="str">
        <f>IFERROR(__xludf.DUMMYFUNCTION("""COMPUTED_VALUE"""),"en")</f>
        <v>en</v>
      </c>
      <c r="B2245">
        <f>IFERROR(__xludf.DUMMYFUNCTION("""COMPUTED_VALUE"""),777754.0)</f>
        <v>777754</v>
      </c>
      <c r="C2245" t="str">
        <f>IFERROR(__xludf.DUMMYFUNCTION("""COMPUTED_VALUE"""),"The Climb: 6 Steps to a Powerful Personal Brand")</f>
        <v>The Climb: 6 Steps to a Powerful Personal Brand</v>
      </c>
    </row>
    <row r="2246">
      <c r="A2246" s="140" t="str">
        <f>IFERROR(__xludf.DUMMYFUNCTION("""COMPUTED_VALUE"""),"de")</f>
        <v>de</v>
      </c>
      <c r="B2246">
        <f>IFERROR(__xludf.DUMMYFUNCTION("""COMPUTED_VALUE"""),1500508.0)</f>
        <v>1500508</v>
      </c>
      <c r="C2246" t="str">
        <f>IFERROR(__xludf.DUMMYFUNCTION("""COMPUTED_VALUE"""),"Dein Einstieg in Node.js: Professionell und komplett")</f>
        <v>Dein Einstieg in Node.js: Professionell und komplett</v>
      </c>
    </row>
    <row r="2247">
      <c r="A2247" s="140" t="str">
        <f>IFERROR(__xludf.DUMMYFUNCTION("""COMPUTED_VALUE"""),"en")</f>
        <v>en</v>
      </c>
      <c r="B2247">
        <f>IFERROR(__xludf.DUMMYFUNCTION("""COMPUTED_VALUE"""),2323926.0)</f>
        <v>2323926</v>
      </c>
      <c r="C2247" t="str">
        <f>IFERROR(__xludf.DUMMYFUNCTION("""COMPUTED_VALUE"""),"Write Like a Boss: Master Your Business Writing Skills")</f>
        <v>Write Like a Boss: Master Your Business Writing Skills</v>
      </c>
    </row>
    <row r="2248">
      <c r="A2248" s="140" t="str">
        <f>IFERROR(__xludf.DUMMYFUNCTION("""COMPUTED_VALUE"""),"en")</f>
        <v>en</v>
      </c>
      <c r="B2248">
        <f>IFERROR(__xludf.DUMMYFUNCTION("""COMPUTED_VALUE"""),3196320.0)</f>
        <v>3196320</v>
      </c>
      <c r="C2248" t="str">
        <f>IFERROR(__xludf.DUMMYFUNCTION("""COMPUTED_VALUE"""),"Appium and Selenium with Python From Basics to Framework.")</f>
        <v>Appium and Selenium with Python From Basics to Framework.</v>
      </c>
    </row>
    <row r="2249">
      <c r="A2249" s="140" t="str">
        <f>IFERROR(__xludf.DUMMYFUNCTION("""COMPUTED_VALUE"""),"en")</f>
        <v>en</v>
      </c>
      <c r="B2249">
        <f>IFERROR(__xludf.DUMMYFUNCTION("""COMPUTED_VALUE"""),2002956.0)</f>
        <v>2002956</v>
      </c>
      <c r="C2249" t="str">
        <f>IFERROR(__xludf.DUMMYFUNCTION("""COMPUTED_VALUE"""),"Learn C# for Beginners Crash Course")</f>
        <v>Learn C# for Beginners Crash Course</v>
      </c>
    </row>
    <row r="2250">
      <c r="A2250" s="140" t="str">
        <f>IFERROR(__xludf.DUMMYFUNCTION("""COMPUTED_VALUE"""),"en")</f>
        <v>en</v>
      </c>
      <c r="B2250">
        <f>IFERROR(__xludf.DUMMYFUNCTION("""COMPUTED_VALUE"""),1791750.0)</f>
        <v>1791750</v>
      </c>
      <c r="C2250" t="str">
        <f>IFERROR(__xludf.DUMMYFUNCTION("""COMPUTED_VALUE"""),"How to Make Professional 2D Animation Videos in Vyond")</f>
        <v>How to Make Professional 2D Animation Videos in Vyond</v>
      </c>
    </row>
    <row r="2251">
      <c r="A2251" s="140" t="str">
        <f>IFERROR(__xludf.DUMMYFUNCTION("""COMPUTED_VALUE"""),"ja")</f>
        <v>ja</v>
      </c>
      <c r="B2251">
        <f>IFERROR(__xludf.DUMMYFUNCTION("""COMPUTED_VALUE"""),3030372.0)</f>
        <v>3030372</v>
      </c>
      <c r="C2251" t="str">
        <f>IFERROR(__xludf.DUMMYFUNCTION("""COMPUTED_VALUE"""),"【P5.js】プログラミングと数学(物理)を使って遊んでみよう【初心者向け】【わかりやすさ重視】【JavaScript】")</f>
        <v>【P5.js】プログラミングと数学(物理)を使って遊んでみよう【初心者向け】【わかりやすさ重視】【JavaScript】</v>
      </c>
    </row>
    <row r="2252">
      <c r="A2252" s="140" t="str">
        <f>IFERROR(__xludf.DUMMYFUNCTION("""COMPUTED_VALUE"""),"en")</f>
        <v>en</v>
      </c>
      <c r="B2252">
        <f>IFERROR(__xludf.DUMMYFUNCTION("""COMPUTED_VALUE"""),1271900.0)</f>
        <v>1271900</v>
      </c>
      <c r="C2252" t="str">
        <f>IFERROR(__xludf.DUMMYFUNCTION("""COMPUTED_VALUE"""),"Ultimate Ansible Bootcamp by School of Devops®")</f>
        <v>Ultimate Ansible Bootcamp by School of Devops®</v>
      </c>
    </row>
    <row r="2253">
      <c r="A2253" s="140" t="str">
        <f>IFERROR(__xludf.DUMMYFUNCTION("""COMPUTED_VALUE"""),"de")</f>
        <v>de</v>
      </c>
      <c r="B2253">
        <f>IFERROR(__xludf.DUMMYFUNCTION("""COMPUTED_VALUE"""),2557436.0)</f>
        <v>2557436</v>
      </c>
      <c r="C2253" t="str">
        <f>IFERROR(__xludf.DUMMYFUNCTION("""COMPUTED_VALUE"""),"Scrum &amp; Agile Meisterkurs mit Praxisbeispielen und PSM1-Test")</f>
        <v>Scrum &amp; Agile Meisterkurs mit Praxisbeispielen und PSM1-Test</v>
      </c>
    </row>
    <row r="2254">
      <c r="A2254" s="140" t="str">
        <f>IFERROR(__xludf.DUMMYFUNCTION("""COMPUTED_VALUE"""),"en")</f>
        <v>en</v>
      </c>
      <c r="B2254">
        <f>IFERROR(__xludf.DUMMYFUNCTION("""COMPUTED_VALUE"""),1501104.0)</f>
        <v>1501104</v>
      </c>
      <c r="C2254" t="str">
        <f>IFERROR(__xludf.DUMMYFUNCTION("""COMPUTED_VALUE"""),"JavaScript: The Advanced Concepts (2022 Update)")</f>
        <v>JavaScript: The Advanced Concepts (2022 Update)</v>
      </c>
    </row>
    <row r="2255">
      <c r="A2255" s="140" t="str">
        <f>IFERROR(__xludf.DUMMYFUNCTION("""COMPUTED_VALUE"""),"en")</f>
        <v>en</v>
      </c>
      <c r="B2255">
        <f>IFERROR(__xludf.DUMMYFUNCTION("""COMPUTED_VALUE"""),2290195.0)</f>
        <v>2290195</v>
      </c>
      <c r="C2255" t="str">
        <f>IFERROR(__xludf.DUMMYFUNCTION("""COMPUTED_VALUE"""),"Quickstart to FreeSwitch Training")</f>
        <v>Quickstart to FreeSwitch Training</v>
      </c>
    </row>
    <row r="2256">
      <c r="A2256" s="140" t="str">
        <f>IFERROR(__xludf.DUMMYFUNCTION("""COMPUTED_VALUE"""),"ja")</f>
        <v>ja</v>
      </c>
      <c r="B2256">
        <f>IFERROR(__xludf.DUMMYFUNCTION("""COMPUTED_VALUE"""),3160380.0)</f>
        <v>3160380</v>
      </c>
      <c r="C2256" t="str">
        <f>IFERROR(__xludf.DUMMYFUNCTION("""COMPUTED_VALUE"""),"[SNS編] React Hooks + Django RestFramework API でフルスタックWeb開発")</f>
        <v>[SNS編] React Hooks + Django RestFramework API でフルスタックWeb開発</v>
      </c>
    </row>
    <row r="2257">
      <c r="A2257" s="140" t="str">
        <f>IFERROR(__xludf.DUMMYFUNCTION("""COMPUTED_VALUE"""),"en")</f>
        <v>en</v>
      </c>
      <c r="B2257">
        <f>IFERROR(__xludf.DUMMYFUNCTION("""COMPUTED_VALUE"""),3702120.0)</f>
        <v>3702120</v>
      </c>
      <c r="C2257" t="str">
        <f>IFERROR(__xludf.DUMMYFUNCTION("""COMPUTED_VALUE"""),"Complete Web API in .NET 5 Consumed with Blazor WebAssembly")</f>
        <v>Complete Web API in .NET 5 Consumed with Blazor WebAssembly</v>
      </c>
    </row>
    <row r="2258">
      <c r="A2258" s="140" t="str">
        <f>IFERROR(__xludf.DUMMYFUNCTION("""COMPUTED_VALUE"""),"en")</f>
        <v>en</v>
      </c>
      <c r="B2258">
        <f>IFERROR(__xludf.DUMMYFUNCTION("""COMPUTED_VALUE"""),2650364.0)</f>
        <v>2650364</v>
      </c>
      <c r="C2258" t="str">
        <f>IFERROR(__xludf.DUMMYFUNCTION("""COMPUTED_VALUE"""),"Virtual Teams - Design your successful remote team culture")</f>
        <v>Virtual Teams - Design your successful remote team culture</v>
      </c>
    </row>
    <row r="2259">
      <c r="A2259" s="140" t="str">
        <f>IFERROR(__xludf.DUMMYFUNCTION("""COMPUTED_VALUE"""),"en")</f>
        <v>en</v>
      </c>
      <c r="B2259">
        <f>IFERROR(__xludf.DUMMYFUNCTION("""COMPUTED_VALUE"""),2073198.0)</f>
        <v>2073198</v>
      </c>
      <c r="C2259" t="str">
        <f>IFERROR(__xludf.DUMMYFUNCTION("""COMPUTED_VALUE"""),"English Grammar Pro | Beginner to Advanced (A1-C1) Grammar")</f>
        <v>English Grammar Pro | Beginner to Advanced (A1-C1) Grammar</v>
      </c>
    </row>
    <row r="2260">
      <c r="A2260" s="140" t="str">
        <f>IFERROR(__xludf.DUMMYFUNCTION("""COMPUTED_VALUE"""),"pt")</f>
        <v>pt</v>
      </c>
      <c r="B2260">
        <f>IFERROR(__xludf.DUMMYFUNCTION("""COMPUTED_VALUE"""),1927044.0)</f>
        <v>1927044</v>
      </c>
      <c r="C2260" t="str">
        <f>IFERROR(__xludf.DUMMYFUNCTION("""COMPUTED_VALUE"""),"Programação em Python do básico ao avançado")</f>
        <v>Programação em Python do básico ao avançado</v>
      </c>
    </row>
    <row r="2261">
      <c r="A2261" s="140" t="str">
        <f>IFERROR(__xludf.DUMMYFUNCTION("""COMPUTED_VALUE"""),"en")</f>
        <v>en</v>
      </c>
      <c r="B2261">
        <f>IFERROR(__xludf.DUMMYFUNCTION("""COMPUTED_VALUE"""),1386294.0)</f>
        <v>1386294</v>
      </c>
      <c r="C2261" t="str">
        <f>IFERROR(__xludf.DUMMYFUNCTION("""COMPUTED_VALUE"""),"Python for beginners")</f>
        <v>Python for beginners</v>
      </c>
    </row>
    <row r="2262">
      <c r="A2262" s="140" t="str">
        <f>IFERROR(__xludf.DUMMYFUNCTION("""COMPUTED_VALUE"""),"en")</f>
        <v>en</v>
      </c>
      <c r="B2262">
        <f>IFERROR(__xludf.DUMMYFUNCTION("""COMPUTED_VALUE"""),294294.0)</f>
        <v>294294</v>
      </c>
      <c r="C2262" t="str">
        <f>IFERROR(__xludf.DUMMYFUNCTION("""COMPUTED_VALUE"""),"Effective iOS &amp; Android App Icon Design")</f>
        <v>Effective iOS &amp; Android App Icon Design</v>
      </c>
    </row>
    <row r="2263">
      <c r="A2263" s="140" t="str">
        <f>IFERROR(__xludf.DUMMYFUNCTION("""COMPUTED_VALUE"""),"fr")</f>
        <v>fr</v>
      </c>
      <c r="B2263">
        <f>IFERROR(__xludf.DUMMYFUNCTION("""COMPUTED_VALUE"""),1941726.0)</f>
        <v>1941726</v>
      </c>
      <c r="C2263" t="str">
        <f>IFERROR(__xludf.DUMMYFUNCTION("""COMPUTED_VALUE"""),"Programmer en Python pour la Data Science de A à Z")</f>
        <v>Programmer en Python pour la Data Science de A à Z</v>
      </c>
    </row>
    <row r="2264">
      <c r="A2264" s="140" t="str">
        <f>IFERROR(__xludf.DUMMYFUNCTION("""COMPUTED_VALUE"""),"ja")</f>
        <v>ja</v>
      </c>
      <c r="B2264">
        <f>IFERROR(__xludf.DUMMYFUNCTION("""COMPUTED_VALUE"""),3563683.0)</f>
        <v>3563683</v>
      </c>
      <c r="C2264" t="str">
        <f>IFERROR(__xludf.DUMMYFUNCTION("""COMPUTED_VALUE"""),"データベース基礎からAmazon RDSの構築・管理を網羅的に学習する講座（AWS実践力強化）")</f>
        <v>データベース基礎からAmazon RDSの構築・管理を網羅的に学習する講座（AWS実践力強化）</v>
      </c>
    </row>
    <row r="2265">
      <c r="A2265" s="140" t="str">
        <f>IFERROR(__xludf.DUMMYFUNCTION("""COMPUTED_VALUE"""),"es")</f>
        <v>es</v>
      </c>
      <c r="B2265">
        <f>IFERROR(__xludf.DUMMYFUNCTION("""COMPUTED_VALUE"""),1826112.0)</f>
        <v>1826112</v>
      </c>
      <c r="C2265" t="str">
        <f>IFERROR(__xludf.DUMMYFUNCTION("""COMPUTED_VALUE"""),"Administración Avanzada Con Sql Server 2008-2019")</f>
        <v>Administración Avanzada Con Sql Server 2008-2019</v>
      </c>
    </row>
    <row r="2266">
      <c r="A2266" s="140" t="str">
        <f>IFERROR(__xludf.DUMMYFUNCTION("""COMPUTED_VALUE"""),"en")</f>
        <v>en</v>
      </c>
      <c r="B2266">
        <f>IFERROR(__xludf.DUMMYFUNCTION("""COMPUTED_VALUE"""),3736446.0)</f>
        <v>3736446</v>
      </c>
      <c r="C2266" t="str">
        <f>IFERROR(__xludf.DUMMYFUNCTION("""COMPUTED_VALUE"""),"UiPath - 6 Advanced Use Cases")</f>
        <v>UiPath - 6 Advanced Use Cases</v>
      </c>
    </row>
    <row r="2267">
      <c r="A2267" s="140" t="str">
        <f>IFERROR(__xludf.DUMMYFUNCTION("""COMPUTED_VALUE"""),"en")</f>
        <v>en</v>
      </c>
      <c r="B2267">
        <f>IFERROR(__xludf.DUMMYFUNCTION("""COMPUTED_VALUE"""),927356.0)</f>
        <v>927356</v>
      </c>
      <c r="C2267" t="str">
        <f>IFERROR(__xludf.DUMMYFUNCTION("""COMPUTED_VALUE"""),"Adobe Photoshop CC: A Beginner to Advanced Photoshop Course")</f>
        <v>Adobe Photoshop CC: A Beginner to Advanced Photoshop Course</v>
      </c>
    </row>
    <row r="2268">
      <c r="A2268" s="140" t="str">
        <f>IFERROR(__xludf.DUMMYFUNCTION("""COMPUTED_VALUE"""),"en")</f>
        <v>en</v>
      </c>
      <c r="B2268">
        <f>IFERROR(__xludf.DUMMYFUNCTION("""COMPUTED_VALUE"""),1173748.0)</f>
        <v>1173748</v>
      </c>
      <c r="C2268" t="str">
        <f>IFERROR(__xludf.DUMMYFUNCTION("""COMPUTED_VALUE"""),"How to Lead &amp; Coach Millennials &amp; Gen Z Employees")</f>
        <v>How to Lead &amp; Coach Millennials &amp; Gen Z Employees</v>
      </c>
    </row>
    <row r="2269">
      <c r="A2269" s="140" t="str">
        <f>IFERROR(__xludf.DUMMYFUNCTION("""COMPUTED_VALUE"""),"en")</f>
        <v>en</v>
      </c>
      <c r="B2269">
        <f>IFERROR(__xludf.DUMMYFUNCTION("""COMPUTED_VALUE"""),1047846.0)</f>
        <v>1047846</v>
      </c>
      <c r="C2269" t="str">
        <f>IFERROR(__xludf.DUMMYFUNCTION("""COMPUTED_VALUE"""),"Amazon Web Services (AWS) Certified 2021 - 4 Certifications!")</f>
        <v>Amazon Web Services (AWS) Certified 2021 - 4 Certifications!</v>
      </c>
    </row>
    <row r="2270">
      <c r="A2270" s="140" t="str">
        <f>IFERROR(__xludf.DUMMYFUNCTION("""COMPUTED_VALUE"""),"es")</f>
        <v>es</v>
      </c>
      <c r="B2270">
        <f>IFERROR(__xludf.DUMMYFUNCTION("""COMPUTED_VALUE"""),1865140.0)</f>
        <v>1865140</v>
      </c>
      <c r="C2270" t="str">
        <f>IFERROR(__xludf.DUMMYFUNCTION("""COMPUTED_VALUE"""),"Arquitectura de aplicaciones - MVP, Dagger, RxJava, Retrofit")</f>
        <v>Arquitectura de aplicaciones - MVP, Dagger, RxJava, Retrofit</v>
      </c>
    </row>
    <row r="2271">
      <c r="A2271" s="140" t="str">
        <f>IFERROR(__xludf.DUMMYFUNCTION("""COMPUTED_VALUE"""),"en")</f>
        <v>en</v>
      </c>
      <c r="B2271">
        <f>IFERROR(__xludf.DUMMYFUNCTION("""COMPUTED_VALUE"""),1533210.0)</f>
        <v>1533210</v>
      </c>
      <c r="C2271" t="str">
        <f>IFERROR(__xludf.DUMMYFUNCTION("""COMPUTED_VALUE"""),"Realistic Character Modeling For Game In Maya and Zbrush")</f>
        <v>Realistic Character Modeling For Game In Maya and Zbrush</v>
      </c>
    </row>
    <row r="2272">
      <c r="A2272" s="140" t="str">
        <f>IFERROR(__xludf.DUMMYFUNCTION("""COMPUTED_VALUE"""),"en")</f>
        <v>en</v>
      </c>
      <c r="B2272">
        <f>IFERROR(__xludf.DUMMYFUNCTION("""COMPUTED_VALUE"""),3294578.0)</f>
        <v>3294578</v>
      </c>
      <c r="C2272" t="str">
        <f>IFERROR(__xludf.DUMMYFUNCTION("""COMPUTED_VALUE"""),"Google Earth Engine for Machine Learning &amp; Change Detection")</f>
        <v>Google Earth Engine for Machine Learning &amp; Change Detection</v>
      </c>
    </row>
    <row r="2273">
      <c r="A2273" s="140" t="str">
        <f>IFERROR(__xludf.DUMMYFUNCTION("""COMPUTED_VALUE"""),"ar")</f>
        <v>ar</v>
      </c>
      <c r="B2273">
        <f>IFERROR(__xludf.DUMMYFUNCTION("""COMPUTED_VALUE"""),2329948.0)</f>
        <v>2329948</v>
      </c>
      <c r="C2273" t="str">
        <f>IFERROR(__xludf.DUMMYFUNCTION("""COMPUTED_VALUE"""),"كيف تصبح بائع من طراز خاص")</f>
        <v>كيف تصبح بائع من طراز خاص</v>
      </c>
    </row>
    <row r="2274">
      <c r="A2274" s="140" t="str">
        <f>IFERROR(__xludf.DUMMYFUNCTION("""COMPUTED_VALUE"""),"en")</f>
        <v>en</v>
      </c>
      <c r="B2274">
        <f>IFERROR(__xludf.DUMMYFUNCTION("""COMPUTED_VALUE"""),2326560.0)</f>
        <v>2326560</v>
      </c>
      <c r="C2274" t="str">
        <f>IFERROR(__xludf.DUMMYFUNCTION("""COMPUTED_VALUE"""),"Data Structures and Algorithms: In-Depth using Python")</f>
        <v>Data Structures and Algorithms: In-Depth using Python</v>
      </c>
    </row>
    <row r="2275">
      <c r="A2275" s="140" t="str">
        <f>IFERROR(__xludf.DUMMYFUNCTION("""COMPUTED_VALUE"""),"ar")</f>
        <v>ar</v>
      </c>
      <c r="B2275">
        <f>IFERROR(__xludf.DUMMYFUNCTION("""COMPUTED_VALUE"""),2406814.0)</f>
        <v>2406814</v>
      </c>
      <c r="C2275" t="str">
        <f>IFERROR(__xludf.DUMMYFUNCTION("""COMPUTED_VALUE"""),"Laravel Best Practices &amp; Design Patterns In Arabic")</f>
        <v>Laravel Best Practices &amp; Design Patterns In Arabic</v>
      </c>
    </row>
    <row r="2276">
      <c r="A2276" s="140" t="str">
        <f>IFERROR(__xludf.DUMMYFUNCTION("""COMPUTED_VALUE"""),"ja")</f>
        <v>ja</v>
      </c>
      <c r="B2276">
        <f>IFERROR(__xludf.DUMMYFUNCTION("""COMPUTED_VALUE"""),3857752.0)</f>
        <v>3857752</v>
      </c>
      <c r="C2276" t="str">
        <f>IFERROR(__xludf.DUMMYFUNCTION("""COMPUTED_VALUE"""),"【2021年】はじめてのWordPress入門講座【基礎知識・使い方・管理保守・トラブル対応】")</f>
        <v>【2021年】はじめてのWordPress入門講座【基礎知識・使い方・管理保守・トラブル対応】</v>
      </c>
    </row>
    <row r="2277">
      <c r="A2277" s="140" t="str">
        <f>IFERROR(__xludf.DUMMYFUNCTION("""COMPUTED_VALUE"""),"en")</f>
        <v>en</v>
      </c>
      <c r="B2277">
        <f>IFERROR(__xludf.DUMMYFUNCTION("""COMPUTED_VALUE"""),1691424.0)</f>
        <v>1691424</v>
      </c>
      <c r="C2277" t="str">
        <f>IFERROR(__xludf.DUMMYFUNCTION("""COMPUTED_VALUE"""),"Puppet for the Absolute Beginners - Hands-on - DevOps")</f>
        <v>Puppet for the Absolute Beginners - Hands-on - DevOps</v>
      </c>
    </row>
    <row r="2278">
      <c r="A2278" s="140" t="str">
        <f>IFERROR(__xludf.DUMMYFUNCTION("""COMPUTED_VALUE"""),"ja")</f>
        <v>ja</v>
      </c>
      <c r="B2278">
        <f>IFERROR(__xludf.DUMMYFUNCTION("""COMPUTED_VALUE"""),3108052.0)</f>
        <v>3108052</v>
      </c>
      <c r="C2278" t="str">
        <f>IFERROR(__xludf.DUMMYFUNCTION("""COMPUTED_VALUE"""),"動かして身につく。RailsAPIとNuxt.jsで作るJWT（JSONWebToken）ログイン認証【22時間超解説】")</f>
        <v>動かして身につく。RailsAPIとNuxt.jsで作るJWT（JSONWebToken）ログイン認証【22時間超解説】</v>
      </c>
    </row>
    <row r="2279">
      <c r="A2279" s="140" t="str">
        <f>IFERROR(__xludf.DUMMYFUNCTION("""COMPUTED_VALUE"""),"ja")</f>
        <v>ja</v>
      </c>
      <c r="B2279">
        <f>IFERROR(__xludf.DUMMYFUNCTION("""COMPUTED_VALUE"""),3880570.0)</f>
        <v>3880570</v>
      </c>
      <c r="C2279" t="str">
        <f>IFERROR(__xludf.DUMMYFUNCTION("""COMPUTED_VALUE"""),"米シリコンバレーDevOps監修！超Terraform完全入門(0.14) + AWS DevOps IaCをマスター！")</f>
        <v>米シリコンバレーDevOps監修！超Terraform完全入門(0.14) + AWS DevOps IaCをマスター！</v>
      </c>
    </row>
    <row r="2280">
      <c r="A2280" s="140" t="str">
        <f>IFERROR(__xludf.DUMMYFUNCTION("""COMPUTED_VALUE"""),"de")</f>
        <v>de</v>
      </c>
      <c r="B2280">
        <f>IFERROR(__xludf.DUMMYFUNCTION("""COMPUTED_VALUE"""),2181366.0)</f>
        <v>2181366</v>
      </c>
      <c r="C2280" t="str">
        <f>IFERROR(__xludf.DUMMYFUNCTION("""COMPUTED_VALUE"""),"Elementor Praxis Kurs - Der Nr. 1 WordPress Page Builder")</f>
        <v>Elementor Praxis Kurs - Der Nr. 1 WordPress Page Builder</v>
      </c>
    </row>
    <row r="2281">
      <c r="A2281" s="140" t="str">
        <f>IFERROR(__xludf.DUMMYFUNCTION("""COMPUTED_VALUE"""),"es")</f>
        <v>es</v>
      </c>
      <c r="B2281">
        <f>IFERROR(__xludf.DUMMYFUNCTION("""COMPUTED_VALUE"""),1350108.0)</f>
        <v>1350108</v>
      </c>
      <c r="C2281" t="str">
        <f>IFERROR(__xludf.DUMMYFUNCTION("""COMPUTED_VALUE"""),"English Pronunciation for Spanish Speakers - curso de inglés")</f>
        <v>English Pronunciation for Spanish Speakers - curso de inglés</v>
      </c>
    </row>
    <row r="2282">
      <c r="A2282" s="140" t="str">
        <f>IFERROR(__xludf.DUMMYFUNCTION("""COMPUTED_VALUE"""),"en")</f>
        <v>en</v>
      </c>
      <c r="B2282">
        <f>IFERROR(__xludf.DUMMYFUNCTION("""COMPUTED_VALUE"""),3053080.0)</f>
        <v>3053080</v>
      </c>
      <c r="C2282" t="str">
        <f>IFERROR(__xludf.DUMMYFUNCTION("""COMPUTED_VALUE"""),"Natural Language Processing (NLP) in Python with 8 Projects")</f>
        <v>Natural Language Processing (NLP) in Python with 8 Projects</v>
      </c>
    </row>
    <row r="2283">
      <c r="A2283" s="140" t="str">
        <f>IFERROR(__xludf.DUMMYFUNCTION("""COMPUTED_VALUE"""),"en")</f>
        <v>en</v>
      </c>
      <c r="B2283">
        <f>IFERROR(__xludf.DUMMYFUNCTION("""COMPUTED_VALUE"""),614988.0)</f>
        <v>614988</v>
      </c>
      <c r="C2283" t="str">
        <f>IFERROR(__xludf.DUMMYFUNCTION("""COMPUTED_VALUE"""),"Write Asynchronous C# Code With Tasks and PLINQ")</f>
        <v>Write Asynchronous C# Code With Tasks and PLINQ</v>
      </c>
    </row>
    <row r="2284">
      <c r="A2284" s="140" t="str">
        <f>IFERROR(__xludf.DUMMYFUNCTION("""COMPUTED_VALUE"""),"en")</f>
        <v>en</v>
      </c>
      <c r="B2284">
        <f>IFERROR(__xludf.DUMMYFUNCTION("""COMPUTED_VALUE"""),3365628.0)</f>
        <v>3365628</v>
      </c>
      <c r="C2284" t="str">
        <f>IFERROR(__xludf.DUMMYFUNCTION("""COMPUTED_VALUE"""),"Python SDET-Backend/ Rest API Testing with BDD Framework")</f>
        <v>Python SDET-Backend/ Rest API Testing with BDD Framework</v>
      </c>
    </row>
    <row r="2285">
      <c r="A2285" s="140" t="str">
        <f>IFERROR(__xludf.DUMMYFUNCTION("""COMPUTED_VALUE"""),"de")</f>
        <v>de</v>
      </c>
      <c r="B2285">
        <f>IFERROR(__xludf.DUMMYFUNCTION("""COMPUTED_VALUE"""),1517150.0)</f>
        <v>1517150</v>
      </c>
      <c r="C2285" t="str">
        <f>IFERROR(__xludf.DUMMYFUNCTION("""COMPUTED_VALUE"""),"Der Komplette Android 8 Entwickler Kurs - Erstelle 20+ Apps")</f>
        <v>Der Komplette Android 8 Entwickler Kurs - Erstelle 20+ Apps</v>
      </c>
    </row>
    <row r="2286">
      <c r="A2286" s="140" t="str">
        <f>IFERROR(__xludf.DUMMYFUNCTION("""COMPUTED_VALUE"""),"en")</f>
        <v>en</v>
      </c>
      <c r="B2286">
        <f>IFERROR(__xludf.DUMMYFUNCTION("""COMPUTED_VALUE"""),1909698.0)</f>
        <v>1909698</v>
      </c>
      <c r="C2286" t="str">
        <f>IFERROR(__xludf.DUMMYFUNCTION("""COMPUTED_VALUE"""),"Learn FISMA Compliance (RMF steps 1-5)")</f>
        <v>Learn FISMA Compliance (RMF steps 1-5)</v>
      </c>
    </row>
    <row r="2287">
      <c r="A2287" s="140" t="str">
        <f>IFERROR(__xludf.DUMMYFUNCTION("""COMPUTED_VALUE"""),"en")</f>
        <v>en</v>
      </c>
      <c r="B2287">
        <f>IFERROR(__xludf.DUMMYFUNCTION("""COMPUTED_VALUE"""),3216135.0)</f>
        <v>3216135</v>
      </c>
      <c r="C2287" t="str">
        <f>IFERROR(__xludf.DUMMYFUNCTION("""COMPUTED_VALUE"""),"Structural Engineering Abaqus Tutorials")</f>
        <v>Structural Engineering Abaqus Tutorials</v>
      </c>
    </row>
    <row r="2288">
      <c r="A2288" s="140" t="str">
        <f>IFERROR(__xludf.DUMMYFUNCTION("""COMPUTED_VALUE"""),"fr")</f>
        <v>fr</v>
      </c>
      <c r="B2288">
        <f>IFERROR(__xludf.DUMMYFUNCTION("""COMPUTED_VALUE"""),2825199.0)</f>
        <v>2825199</v>
      </c>
      <c r="C2288" t="str">
        <f>IFERROR(__xludf.DUMMYFUNCTION("""COMPUTED_VALUE"""),"Le guide complet pour débuter sur Arduino de A à Z")</f>
        <v>Le guide complet pour débuter sur Arduino de A à Z</v>
      </c>
    </row>
    <row r="2289">
      <c r="A2289" s="140" t="str">
        <f>IFERROR(__xludf.DUMMYFUNCTION("""COMPUTED_VALUE"""),"en")</f>
        <v>en</v>
      </c>
      <c r="B2289">
        <f>IFERROR(__xludf.DUMMYFUNCTION("""COMPUTED_VALUE"""),1992144.0)</f>
        <v>1992144</v>
      </c>
      <c r="C2289" t="str">
        <f>IFERROR(__xludf.DUMMYFUNCTION("""COMPUTED_VALUE"""),"I Am In Control - CBT, Mindfulness &amp; Neuroplasticity")</f>
        <v>I Am In Control - CBT, Mindfulness &amp; Neuroplasticity</v>
      </c>
    </row>
    <row r="2290">
      <c r="A2290" s="140" t="str">
        <f>IFERROR(__xludf.DUMMYFUNCTION("""COMPUTED_VALUE"""),"en")</f>
        <v>en</v>
      </c>
      <c r="B2290">
        <f>IFERROR(__xludf.DUMMYFUNCTION("""COMPUTED_VALUE"""),2253870.0)</f>
        <v>2253870</v>
      </c>
      <c r="C2290" t="str">
        <f>IFERROR(__xludf.DUMMYFUNCTION("""COMPUTED_VALUE"""),"Comparing Agile vs Waterfall Project Management")</f>
        <v>Comparing Agile vs Waterfall Project Management</v>
      </c>
    </row>
    <row r="2291">
      <c r="A2291" s="140" t="str">
        <f>IFERROR(__xludf.DUMMYFUNCTION("""COMPUTED_VALUE"""),"en")</f>
        <v>en</v>
      </c>
      <c r="B2291">
        <f>IFERROR(__xludf.DUMMYFUNCTION("""COMPUTED_VALUE"""),3722744.0)</f>
        <v>3722744</v>
      </c>
      <c r="C2291" t="str">
        <f>IFERROR(__xludf.DUMMYFUNCTION("""COMPUTED_VALUE"""),"Certified Kubernetes Security Specialist (CKS)")</f>
        <v>Certified Kubernetes Security Specialist (CKS)</v>
      </c>
    </row>
    <row r="2292">
      <c r="A2292" s="140" t="str">
        <f>IFERROR(__xludf.DUMMYFUNCTION("""COMPUTED_VALUE"""),"en")</f>
        <v>en</v>
      </c>
      <c r="B2292">
        <f>IFERROR(__xludf.DUMMYFUNCTION("""COMPUTED_VALUE"""),1542818.0)</f>
        <v>1542818</v>
      </c>
      <c r="C2292" t="str">
        <f>IFERROR(__xludf.DUMMYFUNCTION("""COMPUTED_VALUE"""),"Real-time Credit card Fraud Detection using Spark 2.2")</f>
        <v>Real-time Credit card Fraud Detection using Spark 2.2</v>
      </c>
    </row>
    <row r="2293">
      <c r="A2293" s="140" t="str">
        <f>IFERROR(__xludf.DUMMYFUNCTION("""COMPUTED_VALUE"""),"ar")</f>
        <v>ar</v>
      </c>
      <c r="B2293">
        <f>IFERROR(__xludf.DUMMYFUNCTION("""COMPUTED_VALUE"""),2971002.0)</f>
        <v>2971002</v>
      </c>
      <c r="C2293" t="str">
        <f>IFERROR(__xludf.DUMMYFUNCTION("""COMPUTED_VALUE"""),"Statistics in R - R  الإحصاء وتحليل البيانات باستخدام")</f>
        <v>Statistics in R - R  الإحصاء وتحليل البيانات باستخدام</v>
      </c>
    </row>
    <row r="2294">
      <c r="A2294" s="140" t="str">
        <f>IFERROR(__xludf.DUMMYFUNCTION("""COMPUTED_VALUE"""),"en")</f>
        <v>en</v>
      </c>
      <c r="B2294">
        <f>IFERROR(__xludf.DUMMYFUNCTION("""COMPUTED_VALUE"""),1435568.0)</f>
        <v>1435568</v>
      </c>
      <c r="C2294" t="str">
        <f>IFERROR(__xludf.DUMMYFUNCTION("""COMPUTED_VALUE"""),"Basics of GraphQL with Ruby on Rails")</f>
        <v>Basics of GraphQL with Ruby on Rails</v>
      </c>
    </row>
    <row r="2295">
      <c r="A2295" s="140" t="str">
        <f>IFERROR(__xludf.DUMMYFUNCTION("""COMPUTED_VALUE"""),"en")</f>
        <v>en</v>
      </c>
      <c r="B2295">
        <f>IFERROR(__xludf.DUMMYFUNCTION("""COMPUTED_VALUE"""),2542943.0)</f>
        <v>2542943</v>
      </c>
      <c r="C2295" t="str">
        <f>IFERROR(__xludf.DUMMYFUNCTION("""COMPUTED_VALUE"""),"Excel Essentials for the Real World (Complete Excel Course)")</f>
        <v>Excel Essentials for the Real World (Complete Excel Course)</v>
      </c>
    </row>
    <row r="2296">
      <c r="A2296" s="140" t="str">
        <f>IFERROR(__xludf.DUMMYFUNCTION("""COMPUTED_VALUE"""),"es")</f>
        <v>es</v>
      </c>
      <c r="B2296">
        <f>IFERROR(__xludf.DUMMYFUNCTION("""COMPUTED_VALUE"""),3618268.0)</f>
        <v>3618268</v>
      </c>
      <c r="C2296" t="str">
        <f>IFERROR(__xludf.DUMMYFUNCTION("""COMPUTED_VALUE"""),"Fundamentos de Redes. Como se realizan las Comunicaciones.-")</f>
        <v>Fundamentos de Redes. Como se realizan las Comunicaciones.-</v>
      </c>
    </row>
    <row r="2297">
      <c r="A2297" s="140" t="str">
        <f>IFERROR(__xludf.DUMMYFUNCTION("""COMPUTED_VALUE"""),"pt")</f>
        <v>pt</v>
      </c>
      <c r="B2297">
        <f>IFERROR(__xludf.DUMMYFUNCTION("""COMPUTED_VALUE"""),2999002.0)</f>
        <v>2999002</v>
      </c>
      <c r="C2297" t="str">
        <f>IFERROR(__xludf.DUMMYFUNCTION("""COMPUTED_VALUE"""),"DevOps Ninja: Docker, Kubernetes e Rancher")</f>
        <v>DevOps Ninja: Docker, Kubernetes e Rancher</v>
      </c>
    </row>
    <row r="2298">
      <c r="A2298" s="140" t="str">
        <f>IFERROR(__xludf.DUMMYFUNCTION("""COMPUTED_VALUE"""),"en")</f>
        <v>en</v>
      </c>
      <c r="B2298">
        <f>IFERROR(__xludf.DUMMYFUNCTION("""COMPUTED_VALUE"""),811482.0)</f>
        <v>811482</v>
      </c>
      <c r="C2298" t="str">
        <f>IFERROR(__xludf.DUMMYFUNCTION("""COMPUTED_VALUE"""),"Learn Siemens S7-1200 PLC &amp; HMI from Scratch using TIA")</f>
        <v>Learn Siemens S7-1200 PLC &amp; HMI from Scratch using TIA</v>
      </c>
    </row>
    <row r="2299">
      <c r="A2299" s="140" t="str">
        <f>IFERROR(__xludf.DUMMYFUNCTION("""COMPUTED_VALUE"""),"en")</f>
        <v>en</v>
      </c>
      <c r="B2299">
        <f>IFERROR(__xludf.DUMMYFUNCTION("""COMPUTED_VALUE"""),637452.0)</f>
        <v>637452</v>
      </c>
      <c r="C2299" t="str">
        <f>IFERROR(__xludf.DUMMYFUNCTION("""COMPUTED_VALUE"""),"The Business Loan Formula")</f>
        <v>The Business Loan Formula</v>
      </c>
    </row>
    <row r="2300">
      <c r="A2300" s="140" t="str">
        <f>IFERROR(__xludf.DUMMYFUNCTION("""COMPUTED_VALUE"""),"de")</f>
        <v>de</v>
      </c>
      <c r="B2300">
        <f>IFERROR(__xludf.DUMMYFUNCTION("""COMPUTED_VALUE"""),2504556.0)</f>
        <v>2504556</v>
      </c>
      <c r="C2300" t="str">
        <f>IFERROR(__xludf.DUMMYFUNCTION("""COMPUTED_VALUE"""),"Entity Framework (EF) core Komplettkurs: Datenzugriff mit C#")</f>
        <v>Entity Framework (EF) core Komplettkurs: Datenzugriff mit C#</v>
      </c>
    </row>
    <row r="2301">
      <c r="A2301" s="140" t="str">
        <f>IFERROR(__xludf.DUMMYFUNCTION("""COMPUTED_VALUE"""),"en")</f>
        <v>en</v>
      </c>
      <c r="B2301">
        <f>IFERROR(__xludf.DUMMYFUNCTION("""COMPUTED_VALUE"""),1904280.0)</f>
        <v>1904280</v>
      </c>
      <c r="C2301" t="str">
        <f>IFERROR(__xludf.DUMMYFUNCTION("""COMPUTED_VALUE"""),"Leadership Ethics and Integrity: A Comprehensive Guide !")</f>
        <v>Leadership Ethics and Integrity: A Comprehensive Guide !</v>
      </c>
    </row>
    <row r="2302">
      <c r="A2302" s="140" t="str">
        <f>IFERROR(__xludf.DUMMYFUNCTION("""COMPUTED_VALUE"""),"pt")</f>
        <v>pt</v>
      </c>
      <c r="B2302">
        <f>IFERROR(__xludf.DUMMYFUNCTION("""COMPUTED_VALUE"""),1149510.0)</f>
        <v>1149510</v>
      </c>
      <c r="C2302" t="str">
        <f>IFERROR(__xludf.DUMMYFUNCTION("""COMPUTED_VALUE"""),"Introdução ao Laravel")</f>
        <v>Introdução ao Laravel</v>
      </c>
    </row>
    <row r="2303">
      <c r="A2303" s="140" t="str">
        <f>IFERROR(__xludf.DUMMYFUNCTION("""COMPUTED_VALUE"""),"zh")</f>
        <v>zh</v>
      </c>
      <c r="B2303">
        <f>IFERROR(__xludf.DUMMYFUNCTION("""COMPUTED_VALUE"""),1781012.0)</f>
        <v>1781012</v>
      </c>
      <c r="C2303" t="str">
        <f>IFERROR(__xludf.DUMMYFUNCTION("""COMPUTED_VALUE"""),"MySQL 从零基础入门到精通(涵盖 SQL 注入及如何防止)")</f>
        <v>MySQL 从零基础入门到精通(涵盖 SQL 注入及如何防止)</v>
      </c>
    </row>
    <row r="2304">
      <c r="A2304" s="140" t="str">
        <f>IFERROR(__xludf.DUMMYFUNCTION("""COMPUTED_VALUE"""),"ja")</f>
        <v>ja</v>
      </c>
      <c r="B2304">
        <f>IFERROR(__xludf.DUMMYFUNCTION("""COMPUTED_VALUE"""),642216.0)</f>
        <v>642216</v>
      </c>
      <c r="C2304" t="str">
        <f>IFERROR(__xludf.DUMMYFUNCTION("""COMPUTED_VALUE"""),"CSS / CSS3 マスターコース ｜70以上のレッスン、7時間以上のレッスンでCSSを基礎からマスター")</f>
        <v>CSS / CSS3 マスターコース ｜70以上のレッスン、7時間以上のレッスンでCSSを基礎からマスター</v>
      </c>
    </row>
    <row r="2305">
      <c r="A2305" s="140" t="str">
        <f>IFERROR(__xludf.DUMMYFUNCTION("""COMPUTED_VALUE"""),"es")</f>
        <v>es</v>
      </c>
      <c r="B2305">
        <f>IFERROR(__xludf.DUMMYFUNCTION("""COMPUTED_VALUE"""),2015118.0)</f>
        <v>2015118</v>
      </c>
      <c r="C2305" t="str">
        <f>IFERROR(__xludf.DUMMYFUNCTION("""COMPUTED_VALUE"""),"[2021] Gestiona tu Proyecto Scrum con Jira Agile")</f>
        <v>[2021] Gestiona tu Proyecto Scrum con Jira Agile</v>
      </c>
    </row>
    <row r="2306">
      <c r="A2306" s="140" t="str">
        <f>IFERROR(__xludf.DUMMYFUNCTION("""COMPUTED_VALUE"""),"en")</f>
        <v>en</v>
      </c>
      <c r="B2306">
        <f>IFERROR(__xludf.DUMMYFUNCTION("""COMPUTED_VALUE"""),2673264.0)</f>
        <v>2673264</v>
      </c>
      <c r="C2306" t="str">
        <f>IFERROR(__xludf.DUMMYFUNCTION("""COMPUTED_VALUE"""),"Canary Deployments To Kubernetes Using Istio and Friends")</f>
        <v>Canary Deployments To Kubernetes Using Istio and Friends</v>
      </c>
    </row>
    <row r="2307">
      <c r="A2307" s="140" t="str">
        <f>IFERROR(__xludf.DUMMYFUNCTION("""COMPUTED_VALUE"""),"pt")</f>
        <v>pt</v>
      </c>
      <c r="B2307">
        <f>IFERROR(__xludf.DUMMYFUNCTION("""COMPUTED_VALUE"""),2469294.0)</f>
        <v>2469294</v>
      </c>
      <c r="C2307" t="str">
        <f>IFERROR(__xludf.DUMMYFUNCTION("""COMPUTED_VALUE"""),"Curso de SEO Prático e Completo: Do básico ao avançado")</f>
        <v>Curso de SEO Prático e Completo: Do básico ao avançado</v>
      </c>
    </row>
    <row r="2308">
      <c r="A2308" s="140" t="str">
        <f>IFERROR(__xludf.DUMMYFUNCTION("""COMPUTED_VALUE"""),"en")</f>
        <v>en</v>
      </c>
      <c r="B2308">
        <f>IFERROR(__xludf.DUMMYFUNCTION("""COMPUTED_VALUE"""),3473294.0)</f>
        <v>3473294</v>
      </c>
      <c r="C2308" t="str">
        <f>IFERROR(__xludf.DUMMYFUNCTION("""COMPUTED_VALUE"""),"Build Reports with JasperReports, Java and Spring Boot")</f>
        <v>Build Reports with JasperReports, Java and Spring Boot</v>
      </c>
    </row>
    <row r="2309">
      <c r="A2309" s="140" t="str">
        <f>IFERROR(__xludf.DUMMYFUNCTION("""COMPUTED_VALUE"""),"en")</f>
        <v>en</v>
      </c>
      <c r="B2309">
        <f>IFERROR(__xludf.DUMMYFUNCTION("""COMPUTED_VALUE"""),586212.0)</f>
        <v>586212</v>
      </c>
      <c r="C2309" t="str">
        <f>IFERROR(__xludf.DUMMYFUNCTION("""COMPUTED_VALUE"""),"Time Mastery For Managers")</f>
        <v>Time Mastery For Managers</v>
      </c>
    </row>
    <row r="2310">
      <c r="A2310" s="140" t="str">
        <f>IFERROR(__xludf.DUMMYFUNCTION("""COMPUTED_VALUE"""),"en")</f>
        <v>en</v>
      </c>
      <c r="B2310">
        <f>IFERROR(__xludf.DUMMYFUNCTION("""COMPUTED_VALUE"""),2558916.0)</f>
        <v>2558916</v>
      </c>
      <c r="C2310" t="str">
        <f>IFERROR(__xludf.DUMMYFUNCTION("""COMPUTED_VALUE"""),"A New Method For Product Development &amp; Design: SIMPSIS-Model")</f>
        <v>A New Method For Product Development &amp; Design: SIMPSIS-Model</v>
      </c>
    </row>
    <row r="2311">
      <c r="A2311" s="140" t="str">
        <f>IFERROR(__xludf.DUMMYFUNCTION("""COMPUTED_VALUE"""),"en")</f>
        <v>en</v>
      </c>
      <c r="B2311">
        <f>IFERROR(__xludf.DUMMYFUNCTION("""COMPUTED_VALUE"""),1527740.0)</f>
        <v>1527740</v>
      </c>
      <c r="C2311" t="str">
        <f>IFERROR(__xludf.DUMMYFUNCTION("""COMPUTED_VALUE"""),"Amazon EC2 Master Class (with Auto Scaling &amp; Load Balancer)")</f>
        <v>Amazon EC2 Master Class (with Auto Scaling &amp; Load Balancer)</v>
      </c>
    </row>
    <row r="2312">
      <c r="A2312" s="140" t="str">
        <f>IFERROR(__xludf.DUMMYFUNCTION("""COMPUTED_VALUE"""),"en")</f>
        <v>en</v>
      </c>
      <c r="B2312">
        <f>IFERROR(__xludf.DUMMYFUNCTION("""COMPUTED_VALUE"""),1699008.0)</f>
        <v>1699008</v>
      </c>
      <c r="C2312" t="str">
        <f>IFERROR(__xludf.DUMMYFUNCTION("""COMPUTED_VALUE"""),"Adobe Lightroom CC Photo Editing: Your Lightroom Masterclass")</f>
        <v>Adobe Lightroom CC Photo Editing: Your Lightroom Masterclass</v>
      </c>
    </row>
    <row r="2313">
      <c r="A2313" s="140" t="str">
        <f>IFERROR(__xludf.DUMMYFUNCTION("""COMPUTED_VALUE"""),"de")</f>
        <v>de</v>
      </c>
      <c r="B2313">
        <f>IFERROR(__xludf.DUMMYFUNCTION("""COMPUTED_VALUE"""),1083882.0)</f>
        <v>1083882</v>
      </c>
      <c r="C2313" t="str">
        <f>IFERROR(__xludf.DUMMYFUNCTION("""COMPUTED_VALUE"""),"Computer-Netzwerke (CompTIA Network+) - der umfassende Kurs")</f>
        <v>Computer-Netzwerke (CompTIA Network+) - der umfassende Kurs</v>
      </c>
    </row>
    <row r="2314">
      <c r="A2314" s="140" t="str">
        <f>IFERROR(__xludf.DUMMYFUNCTION("""COMPUTED_VALUE"""),"en")</f>
        <v>en</v>
      </c>
      <c r="B2314">
        <f>IFERROR(__xludf.DUMMYFUNCTION("""COMPUTED_VALUE"""),1481400.0)</f>
        <v>1481400</v>
      </c>
      <c r="C2314" t="str">
        <f>IFERROR(__xludf.DUMMYFUNCTION("""COMPUTED_VALUE"""),"Complete JDBC Programming Part-2")</f>
        <v>Complete JDBC Programming Part-2</v>
      </c>
    </row>
    <row r="2315">
      <c r="A2315" s="140" t="str">
        <f>IFERROR(__xludf.DUMMYFUNCTION("""COMPUTED_VALUE"""),"pt")</f>
        <v>pt</v>
      </c>
      <c r="B2315">
        <f>IFERROR(__xludf.DUMMYFUNCTION("""COMPUTED_VALUE"""),3414582.0)</f>
        <v>3414582</v>
      </c>
      <c r="C2315" t="str">
        <f>IFERROR(__xludf.DUMMYFUNCTION("""COMPUTED_VALUE"""),"Líder Z - Gestão e desenvolvimento de equipes")</f>
        <v>Líder Z - Gestão e desenvolvimento de equipes</v>
      </c>
    </row>
    <row r="2316">
      <c r="A2316" s="140" t="str">
        <f>IFERROR(__xludf.DUMMYFUNCTION("""COMPUTED_VALUE"""),"de")</f>
        <v>de</v>
      </c>
      <c r="B2316">
        <f>IFERROR(__xludf.DUMMYFUNCTION("""COMPUTED_VALUE"""),1759662.0)</f>
        <v>1759662</v>
      </c>
      <c r="C2316" t="str">
        <f>IFERROR(__xludf.DUMMYFUNCTION("""COMPUTED_VALUE"""),"Adobe Design Bootcamp -Photoshop, Illustrator und InDesign!")</f>
        <v>Adobe Design Bootcamp -Photoshop, Illustrator und InDesign!</v>
      </c>
    </row>
    <row r="2317">
      <c r="A2317" s="140" t="str">
        <f>IFERROR(__xludf.DUMMYFUNCTION("""COMPUTED_VALUE"""),"de")</f>
        <v>de</v>
      </c>
      <c r="B2317">
        <f>IFERROR(__xludf.DUMMYFUNCTION("""COMPUTED_VALUE"""),1551466.0)</f>
        <v>1551466</v>
      </c>
      <c r="C2317" t="str">
        <f>IFERROR(__xludf.DUMMYFUNCTION("""COMPUTED_VALUE"""),"Machine Learning Komplettkurs mit Python")</f>
        <v>Machine Learning Komplettkurs mit Python</v>
      </c>
    </row>
    <row r="2318">
      <c r="A2318" s="140" t="str">
        <f>IFERROR(__xludf.DUMMYFUNCTION("""COMPUTED_VALUE"""),"en")</f>
        <v>en</v>
      </c>
      <c r="B2318">
        <f>IFERROR(__xludf.DUMMYFUNCTION("""COMPUTED_VALUE"""),2195768.0)</f>
        <v>2195768</v>
      </c>
      <c r="C2318" t="str">
        <f>IFERROR(__xludf.DUMMYFUNCTION("""COMPUTED_VALUE"""),"Akka Streams with Scala | Rock the JVM")</f>
        <v>Akka Streams with Scala | Rock the JVM</v>
      </c>
    </row>
    <row r="2319">
      <c r="A2319" s="140" t="str">
        <f>IFERROR(__xludf.DUMMYFUNCTION("""COMPUTED_VALUE"""),"tr")</f>
        <v>tr</v>
      </c>
      <c r="B2319">
        <f>IFERROR(__xludf.DUMMYFUNCTION("""COMPUTED_VALUE"""),3508832.0)</f>
        <v>3508832</v>
      </c>
      <c r="C2319" t="str">
        <f>IFERROR(__xludf.DUMMYFUNCTION("""COMPUTED_VALUE"""),"Herkes İçin BORSA - Hisse Senedi Yatırımları Temel Eğitimi")</f>
        <v>Herkes İçin BORSA - Hisse Senedi Yatırımları Temel Eğitimi</v>
      </c>
    </row>
    <row r="2320">
      <c r="A2320" s="140" t="str">
        <f>IFERROR(__xludf.DUMMYFUNCTION("""COMPUTED_VALUE"""),"de")</f>
        <v>de</v>
      </c>
      <c r="B2320">
        <f>IFERROR(__xludf.DUMMYFUNCTION("""COMPUTED_VALUE"""),991354.0)</f>
        <v>991354</v>
      </c>
      <c r="C2320" t="str">
        <f>IFERROR(__xludf.DUMMYFUNCTION("""COMPUTED_VALUE"""),"Virtuelle Teams Profitipps - Führen und Arbeiten auf Distanz")</f>
        <v>Virtuelle Teams Profitipps - Führen und Arbeiten auf Distanz</v>
      </c>
    </row>
    <row r="2321">
      <c r="A2321" s="140" t="str">
        <f>IFERROR(__xludf.DUMMYFUNCTION("""COMPUTED_VALUE"""),"en")</f>
        <v>en</v>
      </c>
      <c r="B2321">
        <f>IFERROR(__xludf.DUMMYFUNCTION("""COMPUTED_VALUE"""),3247064.0)</f>
        <v>3247064</v>
      </c>
      <c r="C2321" t="str">
        <f>IFERROR(__xludf.DUMMYFUNCTION("""COMPUTED_VALUE"""),"Bayesian Statistics")</f>
        <v>Bayesian Statistics</v>
      </c>
    </row>
    <row r="2322">
      <c r="A2322" s="140" t="str">
        <f>IFERROR(__xludf.DUMMYFUNCTION("""COMPUTED_VALUE"""),"en")</f>
        <v>en</v>
      </c>
      <c r="B2322">
        <f>IFERROR(__xludf.DUMMYFUNCTION("""COMPUTED_VALUE"""),1509090.0)</f>
        <v>1509090</v>
      </c>
      <c r="C2322" t="str">
        <f>IFERROR(__xludf.DUMMYFUNCTION("""COMPUTED_VALUE"""),"Pardot Specialist Certification Practice Tests")</f>
        <v>Pardot Specialist Certification Practice Tests</v>
      </c>
    </row>
    <row r="2323">
      <c r="A2323" s="140" t="str">
        <f>IFERROR(__xludf.DUMMYFUNCTION("""COMPUTED_VALUE"""),"en")</f>
        <v>en</v>
      </c>
      <c r="B2323">
        <f>IFERROR(__xludf.DUMMYFUNCTION("""COMPUTED_VALUE"""),3313824.0)</f>
        <v>3313824</v>
      </c>
      <c r="C2323" t="str">
        <f>IFERROR(__xludf.DUMMYFUNCTION("""COMPUTED_VALUE"""),"Applying The Art and Science of Sales Enablement")</f>
        <v>Applying The Art and Science of Sales Enablement</v>
      </c>
    </row>
    <row r="2324">
      <c r="A2324" s="140" t="str">
        <f>IFERROR(__xludf.DUMMYFUNCTION("""COMPUTED_VALUE"""),"fr")</f>
        <v>fr</v>
      </c>
      <c r="B2324">
        <f>IFERROR(__xludf.DUMMYFUNCTION("""COMPUTED_VALUE"""),3133076.0)</f>
        <v>3133076</v>
      </c>
      <c r="C2324" t="str">
        <f>IFERROR(__xludf.DUMMYFUNCTION("""COMPUTED_VALUE"""),"PHP Orienté Objet à partir de zéro")</f>
        <v>PHP Orienté Objet à partir de zéro</v>
      </c>
    </row>
    <row r="2325">
      <c r="A2325" s="140" t="str">
        <f>IFERROR(__xludf.DUMMYFUNCTION("""COMPUTED_VALUE"""),"pt")</f>
        <v>pt</v>
      </c>
      <c r="B2325">
        <f>IFERROR(__xludf.DUMMYFUNCTION("""COMPUTED_VALUE"""),896886.0)</f>
        <v>896886</v>
      </c>
      <c r="C2325" t="str">
        <f>IFERROR(__xludf.DUMMYFUNCTION("""COMPUTED_VALUE"""),"JavaScript - Curso COMPLETO com 6 Projetos REAIS")</f>
        <v>JavaScript - Curso COMPLETO com 6 Projetos REAIS</v>
      </c>
    </row>
    <row r="2326">
      <c r="A2326" s="140" t="str">
        <f>IFERROR(__xludf.DUMMYFUNCTION("""COMPUTED_VALUE"""),"en")</f>
        <v>en</v>
      </c>
      <c r="B2326">
        <f>IFERROR(__xludf.DUMMYFUNCTION("""COMPUTED_VALUE"""),2346810.0)</f>
        <v>2346810</v>
      </c>
      <c r="C2326" t="str">
        <f>IFERROR(__xludf.DUMMYFUNCTION("""COMPUTED_VALUE"""),"Complete guide to AWS Step Functions")</f>
        <v>Complete guide to AWS Step Functions</v>
      </c>
    </row>
    <row r="2327">
      <c r="A2327" s="140" t="str">
        <f>IFERROR(__xludf.DUMMYFUNCTION("""COMPUTED_VALUE"""),"de")</f>
        <v>de</v>
      </c>
      <c r="B2327">
        <f>IFERROR(__xludf.DUMMYFUNCTION("""COMPUTED_VALUE"""),2508750.0)</f>
        <v>2508750</v>
      </c>
      <c r="C2327" t="str">
        <f>IFERROR(__xludf.DUMMYFUNCTION("""COMPUTED_VALUE"""),"Autodesk Inventor 2020 + 2021 Grundlagenkurs")</f>
        <v>Autodesk Inventor 2020 + 2021 Grundlagenkurs</v>
      </c>
    </row>
    <row r="2328">
      <c r="A2328" s="140" t="str">
        <f>IFERROR(__xludf.DUMMYFUNCTION("""COMPUTED_VALUE"""),"en")</f>
        <v>en</v>
      </c>
      <c r="B2328">
        <f>IFERROR(__xludf.DUMMYFUNCTION("""COMPUTED_VALUE"""),436900.0)</f>
        <v>436900</v>
      </c>
      <c r="C2328" t="str">
        <f>IFERROR(__xludf.DUMMYFUNCTION("""COMPUTED_VALUE"""),"Managing Employees Young &amp; Old (Multi-Generation Mgmt)")</f>
        <v>Managing Employees Young &amp; Old (Multi-Generation Mgmt)</v>
      </c>
    </row>
    <row r="2329">
      <c r="A2329" s="140" t="str">
        <f>IFERROR(__xludf.DUMMYFUNCTION("""COMPUTED_VALUE"""),"fr")</f>
        <v>fr</v>
      </c>
      <c r="B2329">
        <f>IFERROR(__xludf.DUMMYFUNCTION("""COMPUTED_VALUE"""),3390276.0)</f>
        <v>3390276</v>
      </c>
      <c r="C2329" t="str">
        <f>IFERROR(__xludf.DUMMYFUNCTION("""COMPUTED_VALUE"""),"Mind Mapping - Doublez votre productivité !")</f>
        <v>Mind Mapping - Doublez votre productivité !</v>
      </c>
    </row>
    <row r="2330">
      <c r="A2330" s="140" t="str">
        <f>IFERROR(__xludf.DUMMYFUNCTION("""COMPUTED_VALUE"""),"es")</f>
        <v>es</v>
      </c>
      <c r="B2330">
        <f>IFERROR(__xludf.DUMMYFUNCTION("""COMPUTED_VALUE"""),1894936.0)</f>
        <v>1894936</v>
      </c>
      <c r="C2330" t="str">
        <f>IFERROR(__xludf.DUMMYFUNCTION("""COMPUTED_VALUE"""),"PWA - Aplicaciones Web Progresivas: De cero a experto")</f>
        <v>PWA - Aplicaciones Web Progresivas: De cero a experto</v>
      </c>
    </row>
    <row r="2331">
      <c r="A2331" s="140" t="str">
        <f>IFERROR(__xludf.DUMMYFUNCTION("""COMPUTED_VALUE"""),"es")</f>
        <v>es</v>
      </c>
      <c r="B2331">
        <f>IFERROR(__xludf.DUMMYFUNCTION("""COMPUTED_VALUE"""),1028114.0)</f>
        <v>1028114</v>
      </c>
      <c r="C2331" t="str">
        <f>IFERROR(__xludf.DUMMYFUNCTION("""COMPUTED_VALUE"""),"Aprende a dirigir a tu equipo, con 4 conversaciones")</f>
        <v>Aprende a dirigir a tu equipo, con 4 conversaciones</v>
      </c>
    </row>
    <row r="2332">
      <c r="A2332" s="140" t="str">
        <f>IFERROR(__xludf.DUMMYFUNCTION("""COMPUTED_VALUE"""),"en")</f>
        <v>en</v>
      </c>
      <c r="B2332">
        <f>IFERROR(__xludf.DUMMYFUNCTION("""COMPUTED_VALUE"""),372624.0)</f>
        <v>372624</v>
      </c>
      <c r="C2332" t="str">
        <f>IFERROR(__xludf.DUMMYFUNCTION("""COMPUTED_VALUE"""),"Managing Generational Conflict")</f>
        <v>Managing Generational Conflict</v>
      </c>
    </row>
    <row r="2333">
      <c r="A2333" s="140" t="str">
        <f>IFERROR(__xludf.DUMMYFUNCTION("""COMPUTED_VALUE"""),"es")</f>
        <v>es</v>
      </c>
      <c r="B2333">
        <f>IFERROR(__xludf.DUMMYFUNCTION("""COMPUTED_VALUE"""),1497872.0)</f>
        <v>1497872</v>
      </c>
      <c r="C2333" t="str">
        <f>IFERROR(__xludf.DUMMYFUNCTION("""COMPUTED_VALUE"""),"Facebook Marketing- Desde Principiante Hasta Avanzado")</f>
        <v>Facebook Marketing- Desde Principiante Hasta Avanzado</v>
      </c>
    </row>
    <row r="2334">
      <c r="A2334" s="140" t="str">
        <f>IFERROR(__xludf.DUMMYFUNCTION("""COMPUTED_VALUE"""),"ja")</f>
        <v>ja</v>
      </c>
      <c r="B2334">
        <f>IFERROR(__xludf.DUMMYFUNCTION("""COMPUTED_VALUE"""),4329218.0)</f>
        <v>4329218</v>
      </c>
      <c r="C2334" t="str">
        <f>IFERROR(__xludf.DUMMYFUNCTION("""COMPUTED_VALUE"""),"＜UB確認テスト＞【世界で1.5万人が受講！】初心者のためのデザイン思考 ～ 革新的なアイディアを生み出そう")</f>
        <v>＜UB確認テスト＞【世界で1.5万人が受講！】初心者のためのデザイン思考 ～ 革新的なアイディアを生み出そう</v>
      </c>
    </row>
    <row r="2335">
      <c r="A2335" s="140" t="str">
        <f>IFERROR(__xludf.DUMMYFUNCTION("""COMPUTED_VALUE"""),"en")</f>
        <v>en</v>
      </c>
      <c r="B2335">
        <f>IFERROR(__xludf.DUMMYFUNCTION("""COMPUTED_VALUE"""),3148846.0)</f>
        <v>3148846</v>
      </c>
      <c r="C2335" t="str">
        <f>IFERROR(__xludf.DUMMYFUNCTION("""COMPUTED_VALUE"""),"Introduction to Business Analytics 2021")</f>
        <v>Introduction to Business Analytics 2021</v>
      </c>
    </row>
    <row r="2336">
      <c r="A2336" s="140" t="str">
        <f>IFERROR(__xludf.DUMMYFUNCTION("""COMPUTED_VALUE"""),"de")</f>
        <v>de</v>
      </c>
      <c r="B2336">
        <f>IFERROR(__xludf.DUMMYFUNCTION("""COMPUTED_VALUE"""),2878920.0)</f>
        <v>2878920</v>
      </c>
      <c r="C2336" t="str">
        <f>IFERROR(__xludf.DUMMYFUNCTION("""COMPUTED_VALUE"""),"Agiles Projektmanagement gestalten mit Scrum &amp; Kanban")</f>
        <v>Agiles Projektmanagement gestalten mit Scrum &amp; Kanban</v>
      </c>
    </row>
    <row r="2337">
      <c r="A2337" s="140" t="str">
        <f>IFERROR(__xludf.DUMMYFUNCTION("""COMPUTED_VALUE"""),"en")</f>
        <v>en</v>
      </c>
      <c r="B2337">
        <f>IFERROR(__xludf.DUMMYFUNCTION("""COMPUTED_VALUE"""),943442.0)</f>
        <v>943442</v>
      </c>
      <c r="C2337" t="str">
        <f>IFERROR(__xludf.DUMMYFUNCTION("""COMPUTED_VALUE"""),"SAS Programming Complete: Learn SAS and Become a Data Ninja")</f>
        <v>SAS Programming Complete: Learn SAS and Become a Data Ninja</v>
      </c>
    </row>
    <row r="2338">
      <c r="A2338" s="140" t="str">
        <f>IFERROR(__xludf.DUMMYFUNCTION("""COMPUTED_VALUE"""),"en")</f>
        <v>en</v>
      </c>
      <c r="B2338">
        <f>IFERROR(__xludf.DUMMYFUNCTION("""COMPUTED_VALUE"""),791836.0)</f>
        <v>791836</v>
      </c>
      <c r="C2338" t="str">
        <f>IFERROR(__xludf.DUMMYFUNCTION("""COMPUTED_VALUE"""),"Scala Applied, Part 2")</f>
        <v>Scala Applied, Part 2</v>
      </c>
    </row>
    <row r="2339">
      <c r="A2339" s="140" t="str">
        <f>IFERROR(__xludf.DUMMYFUNCTION("""COMPUTED_VALUE"""),"de")</f>
        <v>de</v>
      </c>
      <c r="B2339">
        <f>IFERROR(__xludf.DUMMYFUNCTION("""COMPUTED_VALUE"""),3111326.0)</f>
        <v>3111326</v>
      </c>
      <c r="C2339" t="str">
        <f>IFERROR(__xludf.DUMMYFUNCTION("""COMPUTED_VALUE"""),"Professionell schreiben: Schneller, besser, kürzer")</f>
        <v>Professionell schreiben: Schneller, besser, kürzer</v>
      </c>
    </row>
    <row r="2340">
      <c r="A2340" s="140" t="str">
        <f>IFERROR(__xludf.DUMMYFUNCTION("""COMPUTED_VALUE"""),"de")</f>
        <v>de</v>
      </c>
      <c r="B2340">
        <f>IFERROR(__xludf.DUMMYFUNCTION("""COMPUTED_VALUE"""),1449884.0)</f>
        <v>1449884</v>
      </c>
      <c r="C2340" t="str">
        <f>IFERROR(__xludf.DUMMYFUNCTION("""COMPUTED_VALUE"""),"Java - Programmieren für Anfänger")</f>
        <v>Java - Programmieren für Anfänger</v>
      </c>
    </row>
    <row r="2341">
      <c r="A2341" s="140" t="str">
        <f>IFERROR(__xludf.DUMMYFUNCTION("""COMPUTED_VALUE"""),"en")</f>
        <v>en</v>
      </c>
      <c r="B2341">
        <f>IFERROR(__xludf.DUMMYFUNCTION("""COMPUTED_VALUE"""),1409440.0)</f>
        <v>1409440</v>
      </c>
      <c r="C2341" t="str">
        <f>IFERROR(__xludf.DUMMYFUNCTION("""COMPUTED_VALUE"""),"Master Salesforce Lightning Reports, Dashboards &amp; Listviews")</f>
        <v>Master Salesforce Lightning Reports, Dashboards &amp; Listviews</v>
      </c>
    </row>
    <row r="2342">
      <c r="A2342" s="140" t="str">
        <f>IFERROR(__xludf.DUMMYFUNCTION("""COMPUTED_VALUE"""),"pt")</f>
        <v>pt</v>
      </c>
      <c r="B2342">
        <f>IFERROR(__xludf.DUMMYFUNCTION("""COMPUTED_VALUE"""),1843156.0)</f>
        <v>1843156</v>
      </c>
      <c r="C2342" t="str">
        <f>IFERROR(__xludf.DUMMYFUNCTION("""COMPUTED_VALUE"""),"Animações para jogos 2D utilizando o DragonBones")</f>
        <v>Animações para jogos 2D utilizando o DragonBones</v>
      </c>
    </row>
    <row r="2343">
      <c r="A2343" s="140" t="str">
        <f>IFERROR(__xludf.DUMMYFUNCTION("""COMPUTED_VALUE"""),"en")</f>
        <v>en</v>
      </c>
      <c r="B2343">
        <f>IFERROR(__xludf.DUMMYFUNCTION("""COMPUTED_VALUE"""),2119574.0)</f>
        <v>2119574</v>
      </c>
      <c r="C2343" t="str">
        <f>IFERROR(__xludf.DUMMYFUNCTION("""COMPUTED_VALUE"""),"Sales Skills Training: Consultative Selling Master Class")</f>
        <v>Sales Skills Training: Consultative Selling Master Class</v>
      </c>
    </row>
    <row r="2344">
      <c r="A2344" s="140" t="str">
        <f>IFERROR(__xludf.DUMMYFUNCTION("""COMPUTED_VALUE"""),"fr")</f>
        <v>fr</v>
      </c>
      <c r="B2344">
        <f>IFERROR(__xludf.DUMMYFUNCTION("""COMPUTED_VALUE"""),1395784.0)</f>
        <v>1395784</v>
      </c>
      <c r="C2344" t="str">
        <f>IFERROR(__xludf.DUMMYFUNCTION("""COMPUTED_VALUE"""),"Développer avec Bootstrap 4 - Le Cours Complet")</f>
        <v>Développer avec Bootstrap 4 - Le Cours Complet</v>
      </c>
    </row>
    <row r="2345">
      <c r="A2345" s="140" t="str">
        <f>IFERROR(__xludf.DUMMYFUNCTION("""COMPUTED_VALUE"""),"en")</f>
        <v>en</v>
      </c>
      <c r="B2345">
        <f>IFERROR(__xludf.DUMMYFUNCTION("""COMPUTED_VALUE"""),1383496.0)</f>
        <v>1383496</v>
      </c>
      <c r="C2345" t="str">
        <f>IFERROR(__xludf.DUMMYFUNCTION("""COMPUTED_VALUE"""),"Server Side Rendering with React and Redux")</f>
        <v>Server Side Rendering with React and Redux</v>
      </c>
    </row>
    <row r="2346">
      <c r="A2346" s="140" t="str">
        <f>IFERROR(__xludf.DUMMYFUNCTION("""COMPUTED_VALUE"""),"pt")</f>
        <v>pt</v>
      </c>
      <c r="B2346">
        <f>IFERROR(__xludf.DUMMYFUNCTION("""COMPUTED_VALUE"""),2749966.0)</f>
        <v>2749966</v>
      </c>
      <c r="C2346" t="str">
        <f>IFERROR(__xludf.DUMMYFUNCTION("""COMPUTED_VALUE"""),"Dashboards em Excel - Focado ao ambiente Empresarial!")</f>
        <v>Dashboards em Excel - Focado ao ambiente Empresarial!</v>
      </c>
    </row>
    <row r="2347">
      <c r="A2347" s="140" t="str">
        <f>IFERROR(__xludf.DUMMYFUNCTION("""COMPUTED_VALUE"""),"es")</f>
        <v>es</v>
      </c>
      <c r="B2347">
        <f>IFERROR(__xludf.DUMMYFUNCTION("""COMPUTED_VALUE"""),1072520.0)</f>
        <v>1072520</v>
      </c>
      <c r="C2347" t="str">
        <f>IFERROR(__xludf.DUMMYFUNCTION("""COMPUTED_VALUE"""),"Blender 2.9 EXPERTO en Modelado 3D desde CERO hasta Avanzado")</f>
        <v>Blender 2.9 EXPERTO en Modelado 3D desde CERO hasta Avanzado</v>
      </c>
    </row>
    <row r="2348">
      <c r="A2348" s="140" t="str">
        <f>IFERROR(__xludf.DUMMYFUNCTION("""COMPUTED_VALUE"""),"en")</f>
        <v>en</v>
      </c>
      <c r="B2348">
        <f>IFERROR(__xludf.DUMMYFUNCTION("""COMPUTED_VALUE"""),1013288.0)</f>
        <v>1013288</v>
      </c>
      <c r="C2348" t="str">
        <f>IFERROR(__xludf.DUMMYFUNCTION("""COMPUTED_VALUE"""),"Games People Play: Thinking Strategically with Game Theory")</f>
        <v>Games People Play: Thinking Strategically with Game Theory</v>
      </c>
    </row>
    <row r="2349">
      <c r="A2349" s="140" t="str">
        <f>IFERROR(__xludf.DUMMYFUNCTION("""COMPUTED_VALUE"""),"de")</f>
        <v>de</v>
      </c>
      <c r="B2349">
        <f>IFERROR(__xludf.DUMMYFUNCTION("""COMPUTED_VALUE"""),1502430.0)</f>
        <v>1502430</v>
      </c>
      <c r="C2349" t="str">
        <f>IFERROR(__xludf.DUMMYFUNCTION("""COMPUTED_VALUE"""),"Freistellen mit Photoshop")</f>
        <v>Freistellen mit Photoshop</v>
      </c>
    </row>
    <row r="2350">
      <c r="A2350" s="140" t="str">
        <f>IFERROR(__xludf.DUMMYFUNCTION("""COMPUTED_VALUE"""),"ko")</f>
        <v>ko</v>
      </c>
      <c r="B2350">
        <f>IFERROR(__xludf.DUMMYFUNCTION("""COMPUTED_VALUE"""),1569528.0)</f>
        <v>1569528</v>
      </c>
      <c r="C2350" t="str">
        <f>IFERROR(__xludf.DUMMYFUNCTION("""COMPUTED_VALUE"""),"[심화] 앤서블(Ansible)을 깊이 있게 활용하기")</f>
        <v>[심화] 앤서블(Ansible)을 깊이 있게 활용하기</v>
      </c>
    </row>
    <row r="2351">
      <c r="A2351" s="140" t="str">
        <f>IFERROR(__xludf.DUMMYFUNCTION("""COMPUTED_VALUE"""),"en")</f>
        <v>en</v>
      </c>
      <c r="B2351">
        <f>IFERROR(__xludf.DUMMYFUNCTION("""COMPUTED_VALUE"""),1344220.0)</f>
        <v>1344220</v>
      </c>
      <c r="C2351" t="str">
        <f>IFERROR(__xludf.DUMMYFUNCTION("""COMPUTED_VALUE"""),"English Grammar - Tenses and verb structures")</f>
        <v>English Grammar - Tenses and verb structures</v>
      </c>
    </row>
    <row r="2352">
      <c r="A2352" s="140" t="str">
        <f>IFERROR(__xludf.DUMMYFUNCTION("""COMPUTED_VALUE"""),"tr")</f>
        <v>tr</v>
      </c>
      <c r="B2352">
        <f>IFERROR(__xludf.DUMMYFUNCTION("""COMPUTED_VALUE"""),3715364.0)</f>
        <v>3715364</v>
      </c>
      <c r="C2352" t="str">
        <f>IFERROR(__xludf.DUMMYFUNCTION("""COMPUTED_VALUE"""),"Asp.Net Core API ( 5.0 ) + Token bazlı kimlik doğrulama(JWT)")</f>
        <v>Asp.Net Core API ( 5.0 ) + Token bazlı kimlik doğrulama(JWT)</v>
      </c>
    </row>
    <row r="2353">
      <c r="A2353" s="140" t="str">
        <f>IFERROR(__xludf.DUMMYFUNCTION("""COMPUTED_VALUE"""),"es")</f>
        <v>es</v>
      </c>
      <c r="B2353">
        <f>IFERROR(__xludf.DUMMYFUNCTION("""COMPUTED_VALUE"""),338822.0)</f>
        <v>338822</v>
      </c>
      <c r="C2353" t="str">
        <f>IFERROR(__xludf.DUMMYFUNCTION("""COMPUTED_VALUE"""),"Principios para entender y aplicar Agile, Scrum, Kanban y XP")</f>
        <v>Principios para entender y aplicar Agile, Scrum, Kanban y XP</v>
      </c>
    </row>
    <row r="2354">
      <c r="A2354" s="140" t="str">
        <f>IFERROR(__xludf.DUMMYFUNCTION("""COMPUTED_VALUE"""),"en")</f>
        <v>en</v>
      </c>
      <c r="B2354">
        <f>IFERROR(__xludf.DUMMYFUNCTION("""COMPUTED_VALUE"""),3551562.0)</f>
        <v>3551562</v>
      </c>
      <c r="C2354" t="str">
        <f>IFERROR(__xludf.DUMMYFUNCTION("""COMPUTED_VALUE"""),"Zero to Hero in Lightning Web Components")</f>
        <v>Zero to Hero in Lightning Web Components</v>
      </c>
    </row>
    <row r="2355">
      <c r="A2355" s="140" t="str">
        <f>IFERROR(__xludf.DUMMYFUNCTION("""COMPUTED_VALUE"""),"fr")</f>
        <v>fr</v>
      </c>
      <c r="B2355">
        <f>IFERROR(__xludf.DUMMYFUNCTION("""COMPUTED_VALUE"""),2507026.0)</f>
        <v>2507026</v>
      </c>
      <c r="C2355" t="str">
        <f>IFERROR(__xludf.DUMMYFUNCTION("""COMPUTED_VALUE"""),"CCNA4: NAT - ACL - Gestion IP - Dépannage - Services IP")</f>
        <v>CCNA4: NAT - ACL - Gestion IP - Dépannage - Services IP</v>
      </c>
    </row>
    <row r="2356">
      <c r="A2356" s="140" t="str">
        <f>IFERROR(__xludf.DUMMYFUNCTION("""COMPUTED_VALUE"""),"en")</f>
        <v>en</v>
      </c>
      <c r="B2356">
        <f>IFERROR(__xludf.DUMMYFUNCTION("""COMPUTED_VALUE"""),1628748.0)</f>
        <v>1628748</v>
      </c>
      <c r="C2356" t="str">
        <f>IFERROR(__xludf.DUMMYFUNCTION("""COMPUTED_VALUE"""),"Linux Device Driver Programming Using Beaglebone Black(LDD1)")</f>
        <v>Linux Device Driver Programming Using Beaglebone Black(LDD1)</v>
      </c>
    </row>
    <row r="2357">
      <c r="A2357" s="140" t="str">
        <f>IFERROR(__xludf.DUMMYFUNCTION("""COMPUTED_VALUE"""),"es")</f>
        <v>es</v>
      </c>
      <c r="B2357">
        <f>IFERROR(__xludf.DUMMYFUNCTION("""COMPUTED_VALUE"""),1610186.0)</f>
        <v>1610186</v>
      </c>
      <c r="C2357" t="str">
        <f>IFERROR(__xludf.DUMMYFUNCTION("""COMPUTED_VALUE"""),"INSTAGRAM MARKETING: Curso Intensivo de Instagram")</f>
        <v>INSTAGRAM MARKETING: Curso Intensivo de Instagram</v>
      </c>
    </row>
    <row r="2358">
      <c r="A2358" s="140" t="str">
        <f>IFERROR(__xludf.DUMMYFUNCTION("""COMPUTED_VALUE"""),"de")</f>
        <v>de</v>
      </c>
      <c r="B2358">
        <f>IFERROR(__xludf.DUMMYFUNCTION("""COMPUTED_VALUE"""),2367514.0)</f>
        <v>2367514</v>
      </c>
      <c r="C2358" t="str">
        <f>IFERROR(__xludf.DUMMYFUNCTION("""COMPUTED_VALUE"""),"Statistik für Data Science und Business Analytics")</f>
        <v>Statistik für Data Science und Business Analytics</v>
      </c>
    </row>
    <row r="2359">
      <c r="A2359" s="140" t="str">
        <f>IFERROR(__xludf.DUMMYFUNCTION("""COMPUTED_VALUE"""),"ja")</f>
        <v>ja</v>
      </c>
      <c r="B2359">
        <f>IFERROR(__xludf.DUMMYFUNCTION("""COMPUTED_VALUE"""),3745386.0)</f>
        <v>3745386</v>
      </c>
      <c r="C2359" t="str">
        <f>IFERROR(__xludf.DUMMYFUNCTION("""COMPUTED_VALUE"""),"Streamlit, Pandas, Pythonで学ぶ！データ分析の基礎とインタラクティブダッシュボード作成入門")</f>
        <v>Streamlit, Pandas, Pythonで学ぶ！データ分析の基礎とインタラクティブダッシュボード作成入門</v>
      </c>
    </row>
    <row r="2360">
      <c r="A2360" s="140" t="str">
        <f>IFERROR(__xludf.DUMMYFUNCTION("""COMPUTED_VALUE"""),"es")</f>
        <v>es</v>
      </c>
      <c r="B2360">
        <f>IFERROR(__xludf.DUMMYFUNCTION("""COMPUTED_VALUE"""),1777698.0)</f>
        <v>1777698</v>
      </c>
      <c r="C2360" t="str">
        <f>IFERROR(__xludf.DUMMYFUNCTION("""COMPUTED_VALUE"""),"Docker Curso Intensivo para DevOps y Desarrolladores.")</f>
        <v>Docker Curso Intensivo para DevOps y Desarrolladores.</v>
      </c>
    </row>
    <row r="2361">
      <c r="A2361" s="140" t="str">
        <f>IFERROR(__xludf.DUMMYFUNCTION("""COMPUTED_VALUE"""),"ja")</f>
        <v>ja</v>
      </c>
      <c r="B2361">
        <f>IFERROR(__xludf.DUMMYFUNCTION("""COMPUTED_VALUE"""),3768738.0)</f>
        <v>3768738</v>
      </c>
      <c r="C2361" t="str">
        <f>IFERROR(__xludf.DUMMYFUNCTION("""COMPUTED_VALUE"""),"人の話が楽に聴けるようになる【はじめての傾聴】カウンセラーが現場で使っている「話の聴き方」")</f>
        <v>人の話が楽に聴けるようになる【はじめての傾聴】カウンセラーが現場で使っている「話の聴き方」</v>
      </c>
    </row>
    <row r="2362">
      <c r="A2362" s="140" t="str">
        <f>IFERROR(__xludf.DUMMYFUNCTION("""COMPUTED_VALUE"""),"tr")</f>
        <v>tr</v>
      </c>
      <c r="B2362">
        <f>IFERROR(__xludf.DUMMYFUNCTION("""COMPUTED_VALUE"""),2410770.0)</f>
        <v>2410770</v>
      </c>
      <c r="C2362" t="str">
        <f>IFERROR(__xludf.DUMMYFUNCTION("""COMPUTED_VALUE"""),"HIZLI İNGİLİZCE-2")</f>
        <v>HIZLI İNGİLİZCE-2</v>
      </c>
    </row>
    <row r="2363">
      <c r="A2363" s="140" t="str">
        <f>IFERROR(__xludf.DUMMYFUNCTION("""COMPUTED_VALUE"""),"en")</f>
        <v>en</v>
      </c>
      <c r="B2363">
        <f>IFERROR(__xludf.DUMMYFUNCTION("""COMPUTED_VALUE"""),246652.0)</f>
        <v>246652</v>
      </c>
      <c r="C2363" t="str">
        <f>IFERROR(__xludf.DUMMYFUNCTION("""COMPUTED_VALUE"""),"Selenium WebDriver 4 With Java - Novice To Ninja + Interview")</f>
        <v>Selenium WebDriver 4 With Java - Novice To Ninja + Interview</v>
      </c>
    </row>
    <row r="2364">
      <c r="A2364" s="140" t="str">
        <f>IFERROR(__xludf.DUMMYFUNCTION("""COMPUTED_VALUE"""),"en")</f>
        <v>en</v>
      </c>
      <c r="B2364">
        <f>IFERROR(__xludf.DUMMYFUNCTION("""COMPUTED_VALUE"""),1752526.0)</f>
        <v>1752526</v>
      </c>
      <c r="C2364" t="str">
        <f>IFERROR(__xludf.DUMMYFUNCTION("""COMPUTED_VALUE"""),"Blockchain Development: Convert An App To A Dapp (2021)")</f>
        <v>Blockchain Development: Convert An App To A Dapp (2021)</v>
      </c>
    </row>
    <row r="2365">
      <c r="A2365" s="140" t="str">
        <f>IFERROR(__xludf.DUMMYFUNCTION("""COMPUTED_VALUE"""),"en")</f>
        <v>en</v>
      </c>
      <c r="B2365">
        <f>IFERROR(__xludf.DUMMYFUNCTION("""COMPUTED_VALUE"""),3917678.0)</f>
        <v>3917678</v>
      </c>
      <c r="C2365" t="str">
        <f>IFERROR(__xludf.DUMMYFUNCTION("""COMPUTED_VALUE"""),"GCP for AWS Professionals - Learn Google Cloud at F1 Speed")</f>
        <v>GCP for AWS Professionals - Learn Google Cloud at F1 Speed</v>
      </c>
    </row>
    <row r="2366">
      <c r="A2366" s="140" t="str">
        <f>IFERROR(__xludf.DUMMYFUNCTION("""COMPUTED_VALUE"""),"pt")</f>
        <v>pt</v>
      </c>
      <c r="B2366">
        <f>IFERROR(__xludf.DUMMYFUNCTION("""COMPUTED_VALUE"""),3450016.0)</f>
        <v>3450016</v>
      </c>
      <c r="C2366" t="str">
        <f>IFERROR(__xludf.DUMMYFUNCTION("""COMPUTED_VALUE"""),"Crie um Dashboard em Power BI do ZERO (Caso Prático)")</f>
        <v>Crie um Dashboard em Power BI do ZERO (Caso Prático)</v>
      </c>
    </row>
    <row r="2367">
      <c r="A2367" s="140" t="str">
        <f>IFERROR(__xludf.DUMMYFUNCTION("""COMPUTED_VALUE"""),"en")</f>
        <v>en</v>
      </c>
      <c r="B2367">
        <f>IFERROR(__xludf.DUMMYFUNCTION("""COMPUTED_VALUE"""),3448856.0)</f>
        <v>3448856</v>
      </c>
      <c r="C2367" t="str">
        <f>IFERROR(__xludf.DUMMYFUNCTION("""COMPUTED_VALUE"""),"Complete Istio Service Mesh (1.8) Masterclass + AWS EKS 2021")</f>
        <v>Complete Istio Service Mesh (1.8) Masterclass + AWS EKS 2021</v>
      </c>
    </row>
    <row r="2368">
      <c r="A2368" s="140" t="str">
        <f>IFERROR(__xludf.DUMMYFUNCTION("""COMPUTED_VALUE"""),"pt")</f>
        <v>pt</v>
      </c>
      <c r="B2368">
        <f>IFERROR(__xludf.DUMMYFUNCTION("""COMPUTED_VALUE"""),2547319.0)</f>
        <v>2547319</v>
      </c>
      <c r="C2368" t="str">
        <f>IFERROR(__xludf.DUMMYFUNCTION("""COMPUTED_VALUE"""),"Formação DBA SQL Server  + Always on (HADR)")</f>
        <v>Formação DBA SQL Server  + Always on (HADR)</v>
      </c>
    </row>
    <row r="2369">
      <c r="A2369" s="140" t="str">
        <f>IFERROR(__xludf.DUMMYFUNCTION("""COMPUTED_VALUE"""),"en")</f>
        <v>en</v>
      </c>
      <c r="B2369">
        <f>IFERROR(__xludf.DUMMYFUNCTION("""COMPUTED_VALUE"""),4181724.0)</f>
        <v>4181724</v>
      </c>
      <c r="C2369" t="str">
        <f>IFERROR(__xludf.DUMMYFUNCTION("""COMPUTED_VALUE"""),"DP-300: Administering Relational Databases - Azure DBA")</f>
        <v>DP-300: Administering Relational Databases - Azure DBA</v>
      </c>
    </row>
    <row r="2370">
      <c r="A2370" s="140" t="str">
        <f>IFERROR(__xludf.DUMMYFUNCTION("""COMPUTED_VALUE"""),"ja")</f>
        <v>ja</v>
      </c>
      <c r="B2370">
        <f>IFERROR(__xludf.DUMMYFUNCTION("""COMPUTED_VALUE"""),3906264.0)</f>
        <v>3906264</v>
      </c>
      <c r="C2370" t="str">
        <f>IFERROR(__xludf.DUMMYFUNCTION("""COMPUTED_VALUE"""),"女性管理職からジェンダーレスなマネージャーへ。現役女性役員が語るキャリア講座")</f>
        <v>女性管理職からジェンダーレスなマネージャーへ。現役女性役員が語るキャリア講座</v>
      </c>
    </row>
    <row r="2371">
      <c r="A2371" s="140" t="str">
        <f>IFERROR(__xludf.DUMMYFUNCTION("""COMPUTED_VALUE"""),"en")</f>
        <v>en</v>
      </c>
      <c r="B2371">
        <f>IFERROR(__xludf.DUMMYFUNCTION("""COMPUTED_VALUE"""),1913642.0)</f>
        <v>1913642</v>
      </c>
      <c r="C2371" t="str">
        <f>IFERROR(__xludf.DUMMYFUNCTION("""COMPUTED_VALUE"""),"Financial Derivatives: A Quantitative Finance View")</f>
        <v>Financial Derivatives: A Quantitative Finance View</v>
      </c>
    </row>
    <row r="2372">
      <c r="A2372" s="140" t="str">
        <f>IFERROR(__xludf.DUMMYFUNCTION("""COMPUTED_VALUE"""),"en")</f>
        <v>en</v>
      </c>
      <c r="B2372">
        <f>IFERROR(__xludf.DUMMYFUNCTION("""COMPUTED_VALUE"""),1347504.0)</f>
        <v>1347504</v>
      </c>
      <c r="C2372" t="str">
        <f>IFERROR(__xludf.DUMMYFUNCTION("""COMPUTED_VALUE"""),"Reactive Programming with Spring Framework 5")</f>
        <v>Reactive Programming with Spring Framework 5</v>
      </c>
    </row>
    <row r="2373">
      <c r="A2373" s="140" t="str">
        <f>IFERROR(__xludf.DUMMYFUNCTION("""COMPUTED_VALUE"""),"es")</f>
        <v>es</v>
      </c>
      <c r="B2373">
        <f>IFERROR(__xludf.DUMMYFUNCTION("""COMPUTED_VALUE"""),2789432.0)</f>
        <v>2789432</v>
      </c>
      <c r="C2373" t="str">
        <f>IFERROR(__xludf.DUMMYFUNCTION("""COMPUTED_VALUE"""),"Curso #1 en Design Thinking como crear productos y servicios")</f>
        <v>Curso #1 en Design Thinking como crear productos y servicios</v>
      </c>
    </row>
    <row r="2374">
      <c r="A2374" s="140" t="str">
        <f>IFERROR(__xludf.DUMMYFUNCTION("""COMPUTED_VALUE"""),"en")</f>
        <v>en</v>
      </c>
      <c r="B2374">
        <f>IFERROR(__xludf.DUMMYFUNCTION("""COMPUTED_VALUE"""),4250994.0)</f>
        <v>4250994</v>
      </c>
      <c r="C2374" t="str">
        <f>IFERROR(__xludf.DUMMYFUNCTION("""COMPUTED_VALUE"""),"The Complete NIST Framework Course for Cyber Risk Management")</f>
        <v>The Complete NIST Framework Course for Cyber Risk Management</v>
      </c>
    </row>
    <row r="2375">
      <c r="A2375" s="140" t="str">
        <f>IFERROR(__xludf.DUMMYFUNCTION("""COMPUTED_VALUE"""),"en")</f>
        <v>en</v>
      </c>
      <c r="B2375">
        <f>IFERROR(__xludf.DUMMYFUNCTION("""COMPUTED_VALUE"""),2004668.0)</f>
        <v>2004668</v>
      </c>
      <c r="C2375" t="str">
        <f>IFERROR(__xludf.DUMMYFUNCTION("""COMPUTED_VALUE"""),"Pianoforall - 'Classics By Ear' - Erik Satie")</f>
        <v>Pianoforall - 'Classics By Ear' - Erik Satie</v>
      </c>
    </row>
    <row r="2376">
      <c r="A2376" s="140" t="str">
        <f>IFERROR(__xludf.DUMMYFUNCTION("""COMPUTED_VALUE"""),"es")</f>
        <v>es</v>
      </c>
      <c r="B2376">
        <f>IFERROR(__xludf.DUMMYFUNCTION("""COMPUTED_VALUE"""),1725454.0)</f>
        <v>1725454</v>
      </c>
      <c r="C2376" t="str">
        <f>IFERROR(__xludf.DUMMYFUNCTION("""COMPUTED_VALUE"""),"Curso de ASP.NET MVC en C# desde cero SQL Server full stack")</f>
        <v>Curso de ASP.NET MVC en C# desde cero SQL Server full stack</v>
      </c>
    </row>
    <row r="2377">
      <c r="A2377" s="140" t="str">
        <f>IFERROR(__xludf.DUMMYFUNCTION("""COMPUTED_VALUE"""),"de")</f>
        <v>de</v>
      </c>
      <c r="B2377">
        <f>IFERROR(__xludf.DUMMYFUNCTION("""COMPUTED_VALUE"""),3059464.0)</f>
        <v>3059464</v>
      </c>
      <c r="C2377" t="str">
        <f>IFERROR(__xludf.DUMMYFUNCTION("""COMPUTED_VALUE"""),"Deutsche Gebärdensprachkurs für Anfänger")</f>
        <v>Deutsche Gebärdensprachkurs für Anfänger</v>
      </c>
    </row>
    <row r="2378">
      <c r="A2378" s="140" t="str">
        <f>IFERROR(__xludf.DUMMYFUNCTION("""COMPUTED_VALUE"""),"en")</f>
        <v>en</v>
      </c>
      <c r="B2378">
        <f>IFERROR(__xludf.DUMMYFUNCTION("""COMPUTED_VALUE"""),37940.0)</f>
        <v>37940</v>
      </c>
      <c r="C2378" t="str">
        <f>IFERROR(__xludf.DUMMYFUNCTION("""COMPUTED_VALUE"""),"SQL Server High Availability and Disaster Recovery (HA/DR)")</f>
        <v>SQL Server High Availability and Disaster Recovery (HA/DR)</v>
      </c>
    </row>
    <row r="2379">
      <c r="A2379" s="140" t="str">
        <f>IFERROR(__xludf.DUMMYFUNCTION("""COMPUTED_VALUE"""),"en")</f>
        <v>en</v>
      </c>
      <c r="B2379">
        <f>IFERROR(__xludf.DUMMYFUNCTION("""COMPUTED_VALUE"""),1307572.0)</f>
        <v>1307572</v>
      </c>
      <c r="C2379" t="str">
        <f>IFERROR(__xludf.DUMMYFUNCTION("""COMPUTED_VALUE"""),"How to Start A Career in Digital &amp; Web Analytics")</f>
        <v>How to Start A Career in Digital &amp; Web Analytics</v>
      </c>
    </row>
    <row r="2380">
      <c r="A2380" s="140" t="str">
        <f>IFERROR(__xludf.DUMMYFUNCTION("""COMPUTED_VALUE"""),"pt")</f>
        <v>pt</v>
      </c>
      <c r="B2380">
        <f>IFERROR(__xludf.DUMMYFUNCTION("""COMPUTED_VALUE"""),1696050.0)</f>
        <v>1696050</v>
      </c>
      <c r="C2380" t="str">
        <f>IFERROR(__xludf.DUMMYFUNCTION("""COMPUTED_VALUE"""),"Design Gráfico DEFINITIVO e PRÁTICO+Illustrator 3D  2 cursos")</f>
        <v>Design Gráfico DEFINITIVO e PRÁTICO+Illustrator 3D  2 cursos</v>
      </c>
    </row>
    <row r="2381">
      <c r="A2381" s="140" t="str">
        <f>IFERROR(__xludf.DUMMYFUNCTION("""COMPUTED_VALUE"""),"en")</f>
        <v>en</v>
      </c>
      <c r="B2381">
        <f>IFERROR(__xludf.DUMMYFUNCTION("""COMPUTED_VALUE"""),2615622.0)</f>
        <v>2615622</v>
      </c>
      <c r="C2381" t="str">
        <f>IFERROR(__xludf.DUMMYFUNCTION("""COMPUTED_VALUE"""),"Mastering Conflict Management and Resolution at Work")</f>
        <v>Mastering Conflict Management and Resolution at Work</v>
      </c>
    </row>
    <row r="2382">
      <c r="A2382" s="140" t="str">
        <f>IFERROR(__xludf.DUMMYFUNCTION("""COMPUTED_VALUE"""),"es")</f>
        <v>es</v>
      </c>
      <c r="B2382">
        <f>IFERROR(__xludf.DUMMYFUNCTION("""COMPUTED_VALUE"""),2474852.0)</f>
        <v>2474852</v>
      </c>
      <c r="C2382" t="str">
        <f>IFERROR(__xludf.DUMMYFUNCTION("""COMPUTED_VALUE"""),"Curso Completo de Marca Personal: Lidera e Inspira")</f>
        <v>Curso Completo de Marca Personal: Lidera e Inspira</v>
      </c>
    </row>
    <row r="2383">
      <c r="A2383" s="140" t="str">
        <f>IFERROR(__xludf.DUMMYFUNCTION("""COMPUTED_VALUE"""),"tr")</f>
        <v>tr</v>
      </c>
      <c r="B2383">
        <f>IFERROR(__xludf.DUMMYFUNCTION("""COMPUTED_VALUE"""),1570060.0)</f>
        <v>1570060</v>
      </c>
      <c r="C2383" t="str">
        <f>IFERROR(__xludf.DUMMYFUNCTION("""COMPUTED_VALUE"""),"Hayatımız Proje - Proje Yönetimi Başvuru Kaynağı")</f>
        <v>Hayatımız Proje - Proje Yönetimi Başvuru Kaynağı</v>
      </c>
    </row>
    <row r="2384">
      <c r="A2384" s="140" t="str">
        <f>IFERROR(__xludf.DUMMYFUNCTION("""COMPUTED_VALUE"""),"en")</f>
        <v>en</v>
      </c>
      <c r="B2384">
        <f>IFERROR(__xludf.DUMMYFUNCTION("""COMPUTED_VALUE"""),840958.0)</f>
        <v>840958</v>
      </c>
      <c r="C2384" t="str">
        <f>IFERROR(__xludf.DUMMYFUNCTION("""COMPUTED_VALUE"""),"3ds Max Mastery in 7 Hrs: Project Based Intro for Beginners")</f>
        <v>3ds Max Mastery in 7 Hrs: Project Based Intro for Beginners</v>
      </c>
    </row>
    <row r="2385">
      <c r="A2385" s="140" t="str">
        <f>IFERROR(__xludf.DUMMYFUNCTION("""COMPUTED_VALUE"""),"en")</f>
        <v>en</v>
      </c>
      <c r="B2385">
        <f>IFERROR(__xludf.DUMMYFUNCTION("""COMPUTED_VALUE"""),2862896.0)</f>
        <v>2862896</v>
      </c>
      <c r="C2385" t="str">
        <f>IFERROR(__xludf.DUMMYFUNCTION("""COMPUTED_VALUE"""),"Best Practices for Working Remotely")</f>
        <v>Best Practices for Working Remotely</v>
      </c>
    </row>
    <row r="2386">
      <c r="A2386" s="140" t="str">
        <f>IFERROR(__xludf.DUMMYFUNCTION("""COMPUTED_VALUE"""),"ja")</f>
        <v>ja</v>
      </c>
      <c r="B2386">
        <f>IFERROR(__xludf.DUMMYFUNCTION("""COMPUTED_VALUE"""),2216842.0)</f>
        <v>2216842</v>
      </c>
      <c r="C2386" t="str">
        <f>IFERROR(__xludf.DUMMYFUNCTION("""COMPUTED_VALUE"""),"【 速く、シンプルに伝える 】パワーポイントで学ぶロジカル・プレゼンテーション")</f>
        <v>【 速く、シンプルに伝える 】パワーポイントで学ぶロジカル・プレゼンテーション</v>
      </c>
    </row>
    <row r="2387">
      <c r="A2387" s="140" t="str">
        <f>IFERROR(__xludf.DUMMYFUNCTION("""COMPUTED_VALUE"""),"en")</f>
        <v>en</v>
      </c>
      <c r="B2387">
        <f>IFERROR(__xludf.DUMMYFUNCTION("""COMPUTED_VALUE"""),2045722.0)</f>
        <v>2045722</v>
      </c>
      <c r="C2387" t="str">
        <f>IFERROR(__xludf.DUMMYFUNCTION("""COMPUTED_VALUE"""),"AWS Certified DevOps Engineer - Professional 2021")</f>
        <v>AWS Certified DevOps Engineer - Professional 2021</v>
      </c>
    </row>
    <row r="2388">
      <c r="A2388" s="140" t="str">
        <f>IFERROR(__xludf.DUMMYFUNCTION("""COMPUTED_VALUE"""),"en")</f>
        <v>en</v>
      </c>
      <c r="B2388">
        <f>IFERROR(__xludf.DUMMYFUNCTION("""COMPUTED_VALUE"""),1554176.0)</f>
        <v>1554176</v>
      </c>
      <c r="C2388" t="str">
        <f>IFERROR(__xludf.DUMMYFUNCTION("""COMPUTED_VALUE"""),"Detailed Guide to Building Wireframes Using Balsamiq Mockups")</f>
        <v>Detailed Guide to Building Wireframes Using Balsamiq Mockups</v>
      </c>
    </row>
    <row r="2389">
      <c r="A2389" s="140" t="str">
        <f>IFERROR(__xludf.DUMMYFUNCTION("""COMPUTED_VALUE"""),"en")</f>
        <v>en</v>
      </c>
      <c r="B2389">
        <f>IFERROR(__xludf.DUMMYFUNCTION("""COMPUTED_VALUE"""),1772174.0)</f>
        <v>1772174</v>
      </c>
      <c r="C2389" t="str">
        <f>IFERROR(__xludf.DUMMYFUNCTION("""COMPUTED_VALUE"""),"Python for Beginners - Go from Java to Python in 100 Steps")</f>
        <v>Python for Beginners - Go from Java to Python in 100 Steps</v>
      </c>
    </row>
    <row r="2390">
      <c r="A2390" s="140" t="str">
        <f>IFERROR(__xludf.DUMMYFUNCTION("""COMPUTED_VALUE"""),"ja")</f>
        <v>ja</v>
      </c>
      <c r="B2390">
        <f>IFERROR(__xludf.DUMMYFUNCTION("""COMPUTED_VALUE"""),1362548.0)</f>
        <v>1362548</v>
      </c>
      <c r="C2390" t="str">
        <f>IFERROR(__xludf.DUMMYFUNCTION("""COMPUTED_VALUE"""),"CSSを効率的に書く！フロントエンドエンジニアのための「Sass」講座 ~基礎から実践まで~")</f>
        <v>CSSを効率的に書く！フロントエンドエンジニアのための「Sass」講座 ~基礎から実践まで~</v>
      </c>
    </row>
    <row r="2391">
      <c r="A2391" s="140" t="str">
        <f>IFERROR(__xludf.DUMMYFUNCTION("""COMPUTED_VALUE"""),"ar")</f>
        <v>ar</v>
      </c>
      <c r="B2391">
        <f>IFERROR(__xludf.DUMMYFUNCTION("""COMPUTED_VALUE"""),2823557.0)</f>
        <v>2823557</v>
      </c>
      <c r="C2391" t="str">
        <f>IFERROR(__xludf.DUMMYFUNCTION("""COMPUTED_VALUE"""),"How to succeed as a First Time Manager-Arabic")</f>
        <v>How to succeed as a First Time Manager-Arabic</v>
      </c>
    </row>
    <row r="2392">
      <c r="A2392" s="140" t="str">
        <f>IFERROR(__xludf.DUMMYFUNCTION("""COMPUTED_VALUE"""),"en")</f>
        <v>en</v>
      </c>
      <c r="B2392">
        <f>IFERROR(__xludf.DUMMYFUNCTION("""COMPUTED_VALUE"""),2293579.0)</f>
        <v>2293579</v>
      </c>
      <c r="C2392" t="str">
        <f>IFERROR(__xludf.DUMMYFUNCTION("""COMPUTED_VALUE"""),"MERN Stack React Node Ecommerce from Scratch to Deployment")</f>
        <v>MERN Stack React Node Ecommerce from Scratch to Deployment</v>
      </c>
    </row>
    <row r="2393">
      <c r="A2393" s="140" t="str">
        <f>IFERROR(__xludf.DUMMYFUNCTION("""COMPUTED_VALUE"""),"ja")</f>
        <v>ja</v>
      </c>
      <c r="B2393">
        <f>IFERROR(__xludf.DUMMYFUNCTION("""COMPUTED_VALUE"""),1269406.0)</f>
        <v>1269406</v>
      </c>
      <c r="C2393" t="str">
        <f>IFERROR(__xludf.DUMMYFUNCTION("""COMPUTED_VALUE"""),"はじめてのアンリアルエンジン【Unreal Engine 4】入門チュートリアル講座")</f>
        <v>はじめてのアンリアルエンジン【Unreal Engine 4】入門チュートリアル講座</v>
      </c>
    </row>
    <row r="2394">
      <c r="A2394" s="140" t="str">
        <f>IFERROR(__xludf.DUMMYFUNCTION("""COMPUTED_VALUE"""),"es")</f>
        <v>es</v>
      </c>
      <c r="B2394">
        <f>IFERROR(__xludf.DUMMYFUNCTION("""COMPUTED_VALUE"""),1440514.0)</f>
        <v>1440514</v>
      </c>
      <c r="C2394" t="str">
        <f>IFERROR(__xludf.DUMMYFUNCTION("""COMPUTED_VALUE"""),"Automatiza tu navegador. Selenium WebDriver con Python.")</f>
        <v>Automatiza tu navegador. Selenium WebDriver con Python.</v>
      </c>
    </row>
    <row r="2395">
      <c r="A2395" s="140" t="str">
        <f>IFERROR(__xludf.DUMMYFUNCTION("""COMPUTED_VALUE"""),"es")</f>
        <v>es</v>
      </c>
      <c r="B2395">
        <f>IFERROR(__xludf.DUMMYFUNCTION("""COMPUTED_VALUE"""),662914.0)</f>
        <v>662914</v>
      </c>
      <c r="C2395" t="str">
        <f>IFERROR(__xludf.DUMMYFUNCTION("""COMPUTED_VALUE"""),"Aprende Docker desde Cero a Swarm y Kubernetes")</f>
        <v>Aprende Docker desde Cero a Swarm y Kubernetes</v>
      </c>
    </row>
    <row r="2396">
      <c r="A2396" s="140" t="str">
        <f>IFERROR(__xludf.DUMMYFUNCTION("""COMPUTED_VALUE"""),"en")</f>
        <v>en</v>
      </c>
      <c r="B2396">
        <f>IFERROR(__xludf.DUMMYFUNCTION("""COMPUTED_VALUE"""),1959564.0)</f>
        <v>1959564</v>
      </c>
      <c r="C2396" t="str">
        <f>IFERROR(__xludf.DUMMYFUNCTION("""COMPUTED_VALUE"""),"Microsoft Dynamics 365 Project Service Automation Mastery")</f>
        <v>Microsoft Dynamics 365 Project Service Automation Mastery</v>
      </c>
    </row>
    <row r="2397">
      <c r="A2397" s="140" t="str">
        <f>IFERROR(__xludf.DUMMYFUNCTION("""COMPUTED_VALUE"""),"de")</f>
        <v>de</v>
      </c>
      <c r="B2397">
        <f>IFERROR(__xludf.DUMMYFUNCTION("""COMPUTED_VALUE"""),817724.0)</f>
        <v>817724</v>
      </c>
      <c r="C2397" t="str">
        <f>IFERROR(__xludf.DUMMYFUNCTION("""COMPUTED_VALUE"""),"Endlich Ruhe:")</f>
        <v>Endlich Ruhe:</v>
      </c>
    </row>
    <row r="2398">
      <c r="A2398" s="140" t="str">
        <f>IFERROR(__xludf.DUMMYFUNCTION("""COMPUTED_VALUE"""),"en")</f>
        <v>en</v>
      </c>
      <c r="B2398">
        <f>IFERROR(__xludf.DUMMYFUNCTION("""COMPUTED_VALUE"""),2660268.0)</f>
        <v>2660268</v>
      </c>
      <c r="C2398" t="str">
        <f>IFERROR(__xludf.DUMMYFUNCTION("""COMPUTED_VALUE"""),"Forgiveness and Meditation ~ with Tara Brach")</f>
        <v>Forgiveness and Meditation ~ with Tara Brach</v>
      </c>
    </row>
    <row r="2399">
      <c r="A2399" s="140" t="str">
        <f>IFERROR(__xludf.DUMMYFUNCTION("""COMPUTED_VALUE"""),"en")</f>
        <v>en</v>
      </c>
      <c r="B2399">
        <f>IFERROR(__xludf.DUMMYFUNCTION("""COMPUTED_VALUE"""),1361726.0)</f>
        <v>1361726</v>
      </c>
      <c r="C2399" t="str">
        <f>IFERROR(__xludf.DUMMYFUNCTION("""COMPUTED_VALUE"""),"Security Awareness Training, Internet Security for Employees")</f>
        <v>Security Awareness Training, Internet Security for Employees</v>
      </c>
    </row>
    <row r="2400">
      <c r="A2400" s="140" t="str">
        <f>IFERROR(__xludf.DUMMYFUNCTION("""COMPUTED_VALUE"""),"de")</f>
        <v>de</v>
      </c>
      <c r="B2400">
        <f>IFERROR(__xludf.DUMMYFUNCTION("""COMPUTED_VALUE"""),4151704.0)</f>
        <v>4151704</v>
      </c>
      <c r="C2400" t="str">
        <f>IFERROR(__xludf.DUMMYFUNCTION("""COMPUTED_VALUE"""),"AZ-900: Microsoft Azure Fundamentals")</f>
        <v>AZ-900: Microsoft Azure Fundamentals</v>
      </c>
    </row>
    <row r="2401">
      <c r="A2401" s="140" t="str">
        <f>IFERROR(__xludf.DUMMYFUNCTION("""COMPUTED_VALUE"""),"en")</f>
        <v>en</v>
      </c>
      <c r="B2401">
        <f>IFERROR(__xludf.DUMMYFUNCTION("""COMPUTED_VALUE"""),2695142.0)</f>
        <v>2695142</v>
      </c>
      <c r="C2401" t="str">
        <f>IFERROR(__xludf.DUMMYFUNCTION("""COMPUTED_VALUE"""),"Apache Spark 3 - Spark Programming in Scala for Beginners")</f>
        <v>Apache Spark 3 - Spark Programming in Scala for Beginners</v>
      </c>
    </row>
    <row r="2402">
      <c r="A2402" s="140" t="str">
        <f>IFERROR(__xludf.DUMMYFUNCTION("""COMPUTED_VALUE"""),"en")</f>
        <v>en</v>
      </c>
      <c r="B2402">
        <f>IFERROR(__xludf.DUMMYFUNCTION("""COMPUTED_VALUE"""),1774628.0)</f>
        <v>1774628</v>
      </c>
      <c r="C2402" t="str">
        <f>IFERROR(__xludf.DUMMYFUNCTION("""COMPUTED_VALUE"""),"Genetics and Next Generation Sequencing for Bioinformatics")</f>
        <v>Genetics and Next Generation Sequencing for Bioinformatics</v>
      </c>
    </row>
    <row r="2403">
      <c r="A2403" s="140" t="str">
        <f>IFERROR(__xludf.DUMMYFUNCTION("""COMPUTED_VALUE"""),"ja")</f>
        <v>ja</v>
      </c>
      <c r="B2403">
        <f>IFERROR(__xludf.DUMMYFUNCTION("""COMPUTED_VALUE"""),3585788.0)</f>
        <v>3585788</v>
      </c>
      <c r="C2403" t="str">
        <f>IFERROR(__xludf.DUMMYFUNCTION("""COMPUTED_VALUE"""),"【８つのコツで世界が変わる】習慣化して幸せに生きる働き方")</f>
        <v>【８つのコツで世界が変わる】習慣化して幸せに生きる働き方</v>
      </c>
    </row>
    <row r="2404">
      <c r="A2404" s="140" t="str">
        <f>IFERROR(__xludf.DUMMYFUNCTION("""COMPUTED_VALUE"""),"en")</f>
        <v>en</v>
      </c>
      <c r="B2404">
        <f>IFERROR(__xludf.DUMMYFUNCTION("""COMPUTED_VALUE"""),2370762.0)</f>
        <v>2370762</v>
      </c>
      <c r="C2404" t="str">
        <f>IFERROR(__xludf.DUMMYFUNCTION("""COMPUTED_VALUE"""),"Part A - Multithreading &amp; Thread Synchronization - C/C++")</f>
        <v>Part A - Multithreading &amp; Thread Synchronization - C/C++</v>
      </c>
    </row>
    <row r="2405">
      <c r="A2405" s="140" t="str">
        <f>IFERROR(__xludf.DUMMYFUNCTION("""COMPUTED_VALUE"""),"fr")</f>
        <v>fr</v>
      </c>
      <c r="B2405">
        <f>IFERROR(__xludf.DUMMYFUNCTION("""COMPUTED_VALUE"""),1011114.0)</f>
        <v>1011114</v>
      </c>
      <c r="C2405" t="str">
        <f>IFERROR(__xludf.DUMMYFUNCTION("""COMPUTED_VALUE"""),"Hacking Éthique : Le Cours Complet")</f>
        <v>Hacking Éthique : Le Cours Complet</v>
      </c>
    </row>
    <row r="2406">
      <c r="A2406" s="140" t="str">
        <f>IFERROR(__xludf.DUMMYFUNCTION("""COMPUTED_VALUE"""),"ja")</f>
        <v>ja</v>
      </c>
      <c r="B2406">
        <f>IFERROR(__xludf.DUMMYFUNCTION("""COMPUTED_VALUE"""),2472316.0)</f>
        <v>2472316</v>
      </c>
      <c r="C2406" t="str">
        <f>IFERROR(__xludf.DUMMYFUNCTION("""COMPUTED_VALUE"""),"【受講生ガイド】UBの始め方")</f>
        <v>【受講生ガイド】UBの始め方</v>
      </c>
    </row>
    <row r="2407">
      <c r="A2407" s="140" t="str">
        <f>IFERROR(__xludf.DUMMYFUNCTION("""COMPUTED_VALUE"""),"de")</f>
        <v>de</v>
      </c>
      <c r="B2407">
        <f>IFERROR(__xludf.DUMMYFUNCTION("""COMPUTED_VALUE"""),1318190.0)</f>
        <v>1318190</v>
      </c>
      <c r="C2407" t="str">
        <f>IFERROR(__xludf.DUMMYFUNCTION("""COMPUTED_VALUE"""),"Excel Power Query - Excel Daten abrufen und transformieren!")</f>
        <v>Excel Power Query - Excel Daten abrufen und transformieren!</v>
      </c>
    </row>
    <row r="2408">
      <c r="A2408" s="140" t="str">
        <f>IFERROR(__xludf.DUMMYFUNCTION("""COMPUTED_VALUE"""),"de")</f>
        <v>de</v>
      </c>
      <c r="B2408">
        <f>IFERROR(__xludf.DUMMYFUNCTION("""COMPUTED_VALUE"""),1102090.0)</f>
        <v>1102090</v>
      </c>
      <c r="C2408" t="str">
        <f>IFERROR(__xludf.DUMMYFUNCTION("""COMPUTED_VALUE"""),"Office Bootcamp - Office schneller und effizienter anwenden")</f>
        <v>Office Bootcamp - Office schneller und effizienter anwenden</v>
      </c>
    </row>
    <row r="2409">
      <c r="A2409" s="140" t="str">
        <f>IFERROR(__xludf.DUMMYFUNCTION("""COMPUTED_VALUE"""),"ko")</f>
        <v>ko</v>
      </c>
      <c r="B2409">
        <f>IFERROR(__xludf.DUMMYFUNCTION("""COMPUTED_VALUE"""),4183738.0)</f>
        <v>4183738</v>
      </c>
      <c r="C2409" t="str">
        <f>IFERROR(__xludf.DUMMYFUNCTION("""COMPUTED_VALUE"""),"예제로 공부하는 Java 문제풀이 100제 - 기초부터 자격증까지")</f>
        <v>예제로 공부하는 Java 문제풀이 100제 - 기초부터 자격증까지</v>
      </c>
    </row>
    <row r="2410">
      <c r="A2410" s="140" t="str">
        <f>IFERROR(__xludf.DUMMYFUNCTION("""COMPUTED_VALUE"""),"en")</f>
        <v>en</v>
      </c>
      <c r="B2410">
        <f>IFERROR(__xludf.DUMMYFUNCTION("""COMPUTED_VALUE"""),3294208.0)</f>
        <v>3294208</v>
      </c>
      <c r="C2410" t="str">
        <f>IFERROR(__xludf.DUMMYFUNCTION("""COMPUTED_VALUE"""),"Apache Spark 3 - Databricks Certified Associate Developer")</f>
        <v>Apache Spark 3 - Databricks Certified Associate Developer</v>
      </c>
    </row>
    <row r="2411">
      <c r="A2411" s="140" t="str">
        <f>IFERROR(__xludf.DUMMYFUNCTION("""COMPUTED_VALUE"""),"es")</f>
        <v>es</v>
      </c>
      <c r="B2411">
        <f>IFERROR(__xludf.DUMMYFUNCTION("""COMPUTED_VALUE"""),2508466.0)</f>
        <v>2508466</v>
      </c>
      <c r="C2411" t="str">
        <f>IFERROR(__xludf.DUMMYFUNCTION("""COMPUTED_VALUE"""),"Blockchain: Comprende Bitcoin y desarrolla tu Criptomoneda")</f>
        <v>Blockchain: Comprende Bitcoin y desarrolla tu Criptomoneda</v>
      </c>
    </row>
    <row r="2412">
      <c r="A2412" s="140" t="str">
        <f>IFERROR(__xludf.DUMMYFUNCTION("""COMPUTED_VALUE"""),"en")</f>
        <v>en</v>
      </c>
      <c r="B2412">
        <f>IFERROR(__xludf.DUMMYFUNCTION("""COMPUTED_VALUE"""),2096818.0)</f>
        <v>2096818</v>
      </c>
      <c r="C2412" t="str">
        <f>IFERROR(__xludf.DUMMYFUNCTION("""COMPUTED_VALUE"""),"Executive Briefing - Data Science and Machine Learning")</f>
        <v>Executive Briefing - Data Science and Machine Learning</v>
      </c>
    </row>
    <row r="2413">
      <c r="A2413" s="140" t="str">
        <f>IFERROR(__xludf.DUMMYFUNCTION("""COMPUTED_VALUE"""),"en")</f>
        <v>en</v>
      </c>
      <c r="B2413">
        <f>IFERROR(__xludf.DUMMYFUNCTION("""COMPUTED_VALUE"""),2593084.0)</f>
        <v>2593084</v>
      </c>
      <c r="C2413" t="str">
        <f>IFERROR(__xludf.DUMMYFUNCTION("""COMPUTED_VALUE"""),"macOS Catalina Basics")</f>
        <v>macOS Catalina Basics</v>
      </c>
    </row>
    <row r="2414">
      <c r="A2414" s="140" t="str">
        <f>IFERROR(__xludf.DUMMYFUNCTION("""COMPUTED_VALUE"""),"es")</f>
        <v>es</v>
      </c>
      <c r="B2414">
        <f>IFERROR(__xludf.DUMMYFUNCTION("""COMPUTED_VALUE"""),3437260.0)</f>
        <v>3437260</v>
      </c>
      <c r="C2414" t="str">
        <f>IFERROR(__xludf.DUMMYFUNCTION("""COMPUTED_VALUE"""),"Mindfulness y Compasión")</f>
        <v>Mindfulness y Compasión</v>
      </c>
    </row>
    <row r="2415">
      <c r="A2415" s="140" t="str">
        <f>IFERROR(__xludf.DUMMYFUNCTION("""COMPUTED_VALUE"""),"en")</f>
        <v>en</v>
      </c>
      <c r="B2415">
        <f>IFERROR(__xludf.DUMMYFUNCTION("""COMPUTED_VALUE"""),82328.0)</f>
        <v>82328</v>
      </c>
      <c r="C2415" t="str">
        <f>IFERROR(__xludf.DUMMYFUNCTION("""COMPUTED_VALUE"""),"VB.NET  with VS 2017 and Windows Forms")</f>
        <v>VB.NET  with VS 2017 and Windows Forms</v>
      </c>
    </row>
    <row r="2416">
      <c r="A2416" s="140" t="str">
        <f>IFERROR(__xludf.DUMMYFUNCTION("""COMPUTED_VALUE"""),"en")</f>
        <v>en</v>
      </c>
      <c r="B2416">
        <f>IFERROR(__xludf.DUMMYFUNCTION("""COMPUTED_VALUE"""),1002594.0)</f>
        <v>1002594</v>
      </c>
      <c r="C2416" t="str">
        <f>IFERROR(__xludf.DUMMYFUNCTION("""COMPUTED_VALUE"""),"Dreamweaver - Coding your first website using Dreamweaver")</f>
        <v>Dreamweaver - Coding your first website using Dreamweaver</v>
      </c>
    </row>
    <row r="2417">
      <c r="A2417" s="140" t="str">
        <f>IFERROR(__xludf.DUMMYFUNCTION("""COMPUTED_VALUE"""),"en")</f>
        <v>en</v>
      </c>
      <c r="B2417">
        <f>IFERROR(__xludf.DUMMYFUNCTION("""COMPUTED_VALUE"""),868710.0)</f>
        <v>868710</v>
      </c>
      <c r="C2417" t="str">
        <f>IFERROR(__xludf.DUMMYFUNCTION("""COMPUTED_VALUE"""),"Cryptography: Learn Public Key Infrastructure from Scratch")</f>
        <v>Cryptography: Learn Public Key Infrastructure from Scratch</v>
      </c>
    </row>
    <row r="2418">
      <c r="A2418" s="140" t="str">
        <f>IFERROR(__xludf.DUMMYFUNCTION("""COMPUTED_VALUE"""),"fr")</f>
        <v>fr</v>
      </c>
      <c r="B2418">
        <f>IFERROR(__xludf.DUMMYFUNCTION("""COMPUTED_VALUE"""),1343538.0)</f>
        <v>1343538</v>
      </c>
      <c r="C2418" t="str">
        <f>IFERROR(__xludf.DUMMYFUNCTION("""COMPUTED_VALUE"""),"Les clés de l’entretien de vente efficace")</f>
        <v>Les clés de l’entretien de vente efficace</v>
      </c>
    </row>
    <row r="2419">
      <c r="A2419" s="140" t="str">
        <f>IFERROR(__xludf.DUMMYFUNCTION("""COMPUTED_VALUE"""),"tr")</f>
        <v>tr</v>
      </c>
      <c r="B2419">
        <f>IFERROR(__xludf.DUMMYFUNCTION("""COMPUTED_VALUE"""),1586464.0)</f>
        <v>1586464</v>
      </c>
      <c r="C2419" t="str">
        <f>IFERROR(__xludf.DUMMYFUNCTION("""COMPUTED_VALUE"""),"Python ile Makine Öğrenmesi")</f>
        <v>Python ile Makine Öğrenmesi</v>
      </c>
    </row>
    <row r="2420">
      <c r="A2420" s="140" t="str">
        <f>IFERROR(__xludf.DUMMYFUNCTION("""COMPUTED_VALUE"""),"en")</f>
        <v>en</v>
      </c>
      <c r="B2420">
        <f>IFERROR(__xludf.DUMMYFUNCTION("""COMPUTED_VALUE"""),2183316.0)</f>
        <v>2183316</v>
      </c>
      <c r="C2420" t="str">
        <f>IFERROR(__xludf.DUMMYFUNCTION("""COMPUTED_VALUE"""),"Gutenberg Blocks for WordPress and React Developers")</f>
        <v>Gutenberg Blocks for WordPress and React Developers</v>
      </c>
    </row>
    <row r="2421">
      <c r="A2421" s="140" t="str">
        <f>IFERROR(__xludf.DUMMYFUNCTION("""COMPUTED_VALUE"""),"es")</f>
        <v>es</v>
      </c>
      <c r="B2421">
        <f>IFERROR(__xludf.DUMMYFUNCTION("""COMPUTED_VALUE"""),1287482.0)</f>
        <v>1287482</v>
      </c>
      <c r="C2421" t="str">
        <f>IFERROR(__xludf.DUMMYFUNCTION("""COMPUTED_VALUE"""),"Curso de Git y la Terminal de comandos - Para programadores")</f>
        <v>Curso de Git y la Terminal de comandos - Para programadores</v>
      </c>
    </row>
    <row r="2422">
      <c r="A2422" s="140" t="str">
        <f>IFERROR(__xludf.DUMMYFUNCTION("""COMPUTED_VALUE"""),"en")</f>
        <v>en</v>
      </c>
      <c r="B2422">
        <f>IFERROR(__xludf.DUMMYFUNCTION("""COMPUTED_VALUE"""),435078.0)</f>
        <v>435078</v>
      </c>
      <c r="C2422" t="str">
        <f>IFERROR(__xludf.DUMMYFUNCTION("""COMPUTED_VALUE"""),"Microsoft OneNote Like a Boss. The Definitive Course.")</f>
        <v>Microsoft OneNote Like a Boss. The Definitive Course.</v>
      </c>
    </row>
    <row r="2423">
      <c r="A2423" s="140" t="str">
        <f>IFERROR(__xludf.DUMMYFUNCTION("""COMPUTED_VALUE"""),"en")</f>
        <v>en</v>
      </c>
      <c r="B2423">
        <f>IFERROR(__xludf.DUMMYFUNCTION("""COMPUTED_VALUE"""),3687426.0)</f>
        <v>3687426</v>
      </c>
      <c r="C2423" t="str">
        <f>IFERROR(__xludf.DUMMYFUNCTION("""COMPUTED_VALUE"""),"Web mapping and Web-GIS from Dev to Deploy 2021: GeoDjango")</f>
        <v>Web mapping and Web-GIS from Dev to Deploy 2021: GeoDjango</v>
      </c>
    </row>
    <row r="2424">
      <c r="A2424" s="140" t="str">
        <f>IFERROR(__xludf.DUMMYFUNCTION("""COMPUTED_VALUE"""),"pt")</f>
        <v>pt</v>
      </c>
      <c r="B2424">
        <f>IFERROR(__xludf.DUMMYFUNCTION("""COMPUTED_VALUE"""),53211.0)</f>
        <v>53211</v>
      </c>
      <c r="C2424" t="str">
        <f>IFERROR(__xludf.DUMMYFUNCTION("""COMPUTED_VALUE"""),"CURSO DE MATEMÁTICA FINANCEIRA - DE UM JEITO FÁCIL ★★★★★")</f>
        <v>CURSO DE MATEMÁTICA FINANCEIRA - DE UM JEITO FÁCIL ★★★★★</v>
      </c>
    </row>
    <row r="2425">
      <c r="A2425" s="140" t="str">
        <f>IFERROR(__xludf.DUMMYFUNCTION("""COMPUTED_VALUE"""),"en")</f>
        <v>en</v>
      </c>
      <c r="B2425">
        <f>IFERROR(__xludf.DUMMYFUNCTION("""COMPUTED_VALUE"""),884690.0)</f>
        <v>884690</v>
      </c>
      <c r="C2425" t="str">
        <f>IFERROR(__xludf.DUMMYFUNCTION("""COMPUTED_VALUE"""),"Become a Growth Marketer: Learn Growth Marketing &amp; Get a Job")</f>
        <v>Become a Growth Marketer: Learn Growth Marketing &amp; Get a Job</v>
      </c>
    </row>
    <row r="2426">
      <c r="A2426" s="140" t="str">
        <f>IFERROR(__xludf.DUMMYFUNCTION("""COMPUTED_VALUE"""),"pt")</f>
        <v>pt</v>
      </c>
      <c r="B2426">
        <f>IFERROR(__xludf.DUMMYFUNCTION("""COMPUTED_VALUE"""),2020670.0)</f>
        <v>2020670</v>
      </c>
      <c r="C2426" t="str">
        <f>IFERROR(__xludf.DUMMYFUNCTION("""COMPUTED_VALUE"""),"Edição de Vídeo Profissional com Camtasia")</f>
        <v>Edição de Vídeo Profissional com Camtasia</v>
      </c>
    </row>
    <row r="2427">
      <c r="A2427" s="140" t="str">
        <f>IFERROR(__xludf.DUMMYFUNCTION("""COMPUTED_VALUE"""),"fr")</f>
        <v>fr</v>
      </c>
      <c r="B2427">
        <f>IFERROR(__xludf.DUMMYFUNCTION("""COMPUTED_VALUE"""),2991974.0)</f>
        <v>2991974</v>
      </c>
      <c r="C2427" t="str">
        <f>IFERROR(__xludf.DUMMYFUNCTION("""COMPUTED_VALUE"""),"Formation BigQuery (Google Big Query) niveau 1 (en français)")</f>
        <v>Formation BigQuery (Google Big Query) niveau 1 (en français)</v>
      </c>
    </row>
    <row r="2428">
      <c r="A2428" s="140" t="str">
        <f>IFERROR(__xludf.DUMMYFUNCTION("""COMPUTED_VALUE"""),"es")</f>
        <v>es</v>
      </c>
      <c r="B2428">
        <f>IFERROR(__xludf.DUMMYFUNCTION("""COMPUTED_VALUE"""),802946.0)</f>
        <v>802946</v>
      </c>
      <c r="C2428" t="str">
        <f>IFERROR(__xludf.DUMMYFUNCTION("""COMPUTED_VALUE"""),"Aprende Programación en Java (de Básico a Avanzado)")</f>
        <v>Aprende Programación en Java (de Básico a Avanzado)</v>
      </c>
    </row>
    <row r="2429">
      <c r="A2429" s="140" t="str">
        <f>IFERROR(__xludf.DUMMYFUNCTION("""COMPUTED_VALUE"""),"en")</f>
        <v>en</v>
      </c>
      <c r="B2429">
        <f>IFERROR(__xludf.DUMMYFUNCTION("""COMPUTED_VALUE"""),1170864.0)</f>
        <v>1170864</v>
      </c>
      <c r="C2429" t="str">
        <f>IFERROR(__xludf.DUMMYFUNCTION("""COMPUTED_VALUE"""),"Oracle DBA 11g/12c - Database Administration for Junior DBA")</f>
        <v>Oracle DBA 11g/12c - Database Administration for Junior DBA</v>
      </c>
    </row>
    <row r="2430">
      <c r="A2430" s="140" t="str">
        <f>IFERROR(__xludf.DUMMYFUNCTION("""COMPUTED_VALUE"""),"pt")</f>
        <v>pt</v>
      </c>
      <c r="B2430">
        <f>IFERROR(__xludf.DUMMYFUNCTION("""COMPUTED_VALUE"""),1401762.0)</f>
        <v>1401762</v>
      </c>
      <c r="C2430" t="str">
        <f>IFERROR(__xludf.DUMMYFUNCTION("""COMPUTED_VALUE"""),"Reconhecimento Facial com Python e OpenCV")</f>
        <v>Reconhecimento Facial com Python e OpenCV</v>
      </c>
    </row>
    <row r="2431">
      <c r="A2431" s="140" t="str">
        <f>IFERROR(__xludf.DUMMYFUNCTION("""COMPUTED_VALUE"""),"en")</f>
        <v>en</v>
      </c>
      <c r="B2431">
        <f>IFERROR(__xludf.DUMMYFUNCTION("""COMPUTED_VALUE"""),2927654.0)</f>
        <v>2927654</v>
      </c>
      <c r="C2431" t="str">
        <f>IFERROR(__xludf.DUMMYFUNCTION("""COMPUTED_VALUE"""),"Working from Home Effectively")</f>
        <v>Working from Home Effectively</v>
      </c>
    </row>
    <row r="2432">
      <c r="A2432" s="140" t="str">
        <f>IFERROR(__xludf.DUMMYFUNCTION("""COMPUTED_VALUE"""),"pt")</f>
        <v>pt</v>
      </c>
      <c r="B2432">
        <f>IFERROR(__xludf.DUMMYFUNCTION("""COMPUTED_VALUE"""),852158.0)</f>
        <v>852158</v>
      </c>
      <c r="C2432" t="str">
        <f>IFERROR(__xludf.DUMMYFUNCTION("""COMPUTED_VALUE"""),"Modelagem para Jogos com Blender 3D")</f>
        <v>Modelagem para Jogos com Blender 3D</v>
      </c>
    </row>
    <row r="2433">
      <c r="A2433" s="140" t="str">
        <f>IFERROR(__xludf.DUMMYFUNCTION("""COMPUTED_VALUE"""),"en")</f>
        <v>en</v>
      </c>
      <c r="B2433">
        <f>IFERROR(__xludf.DUMMYFUNCTION("""COMPUTED_VALUE"""),2597238.0)</f>
        <v>2597238</v>
      </c>
      <c r="C2433" t="str">
        <f>IFERROR(__xludf.DUMMYFUNCTION("""COMPUTED_VALUE"""),"Mastering SQL Server 2016 Integration Services (SSIS)-Part 2")</f>
        <v>Mastering SQL Server 2016 Integration Services (SSIS)-Part 2</v>
      </c>
    </row>
    <row r="2434">
      <c r="A2434" s="140" t="str">
        <f>IFERROR(__xludf.DUMMYFUNCTION("""COMPUTED_VALUE"""),"pt")</f>
        <v>pt</v>
      </c>
      <c r="B2434">
        <f>IFERROR(__xludf.DUMMYFUNCTION("""COMPUTED_VALUE"""),904910.0)</f>
        <v>904910</v>
      </c>
      <c r="C2434" t="str">
        <f>IFERROR(__xludf.DUMMYFUNCTION("""COMPUTED_VALUE"""),"Aprenda a transformar seus clientes em fãs")</f>
        <v>Aprenda a transformar seus clientes em fãs</v>
      </c>
    </row>
    <row r="2435">
      <c r="A2435" s="140" t="str">
        <f>IFERROR(__xludf.DUMMYFUNCTION("""COMPUTED_VALUE"""),"en")</f>
        <v>en</v>
      </c>
      <c r="B2435">
        <f>IFERROR(__xludf.DUMMYFUNCTION("""COMPUTED_VALUE"""),2002944.0)</f>
        <v>2002944</v>
      </c>
      <c r="C2435" t="str">
        <f>IFERROR(__xludf.DUMMYFUNCTION("""COMPUTED_VALUE"""),"Search Algorithms in Artificial Intelligence with Java")</f>
        <v>Search Algorithms in Artificial Intelligence with Java</v>
      </c>
    </row>
    <row r="2436">
      <c r="A2436" s="140" t="str">
        <f>IFERROR(__xludf.DUMMYFUNCTION("""COMPUTED_VALUE"""),"en")</f>
        <v>en</v>
      </c>
      <c r="B2436">
        <f>IFERROR(__xludf.DUMMYFUNCTION("""COMPUTED_VALUE"""),1328072.0)</f>
        <v>1328072</v>
      </c>
      <c r="C2436" t="str">
        <f>IFERROR(__xludf.DUMMYFUNCTION("""COMPUTED_VALUE"""),"AWS Certified Solutions Architect - Associate  2021")</f>
        <v>AWS Certified Solutions Architect - Associate  2021</v>
      </c>
    </row>
    <row r="2437">
      <c r="A2437" s="140" t="str">
        <f>IFERROR(__xludf.DUMMYFUNCTION("""COMPUTED_VALUE"""),"es")</f>
        <v>es</v>
      </c>
      <c r="B2437">
        <f>IFERROR(__xludf.DUMMYFUNCTION("""COMPUTED_VALUE"""),1361684.0)</f>
        <v>1361684</v>
      </c>
      <c r="C2437" t="str">
        <f>IFERROR(__xludf.DUMMYFUNCTION("""COMPUTED_VALUE"""),"Curso Diseño Grafico Completo")</f>
        <v>Curso Diseño Grafico Completo</v>
      </c>
    </row>
    <row r="2438">
      <c r="A2438" s="140" t="str">
        <f>IFERROR(__xludf.DUMMYFUNCTION("""COMPUTED_VALUE"""),"en")</f>
        <v>en</v>
      </c>
      <c r="B2438">
        <f>IFERROR(__xludf.DUMMYFUNCTION("""COMPUTED_VALUE"""),260186.0)</f>
        <v>260186</v>
      </c>
      <c r="C2438" t="str">
        <f>IFERROR(__xludf.DUMMYFUNCTION("""COMPUTED_VALUE"""),"US / United States History - Prehistory to Reconstruction")</f>
        <v>US / United States History - Prehistory to Reconstruction</v>
      </c>
    </row>
    <row r="2439">
      <c r="A2439" s="140" t="str">
        <f>IFERROR(__xludf.DUMMYFUNCTION("""COMPUTED_VALUE"""),"en")</f>
        <v>en</v>
      </c>
      <c r="B2439">
        <f>IFERROR(__xludf.DUMMYFUNCTION("""COMPUTED_VALUE"""),2880108.0)</f>
        <v>2880108</v>
      </c>
      <c r="C2439" t="str">
        <f>IFERROR(__xludf.DUMMYFUNCTION("""COMPUTED_VALUE"""),"MS SQL Server: Learn MS SQL Server from Scratch")</f>
        <v>MS SQL Server: Learn MS SQL Server from Scratch</v>
      </c>
    </row>
    <row r="2440">
      <c r="A2440" s="140" t="str">
        <f>IFERROR(__xludf.DUMMYFUNCTION("""COMPUTED_VALUE"""),"en")</f>
        <v>en</v>
      </c>
      <c r="B2440">
        <f>IFERROR(__xludf.DUMMYFUNCTION("""COMPUTED_VALUE"""),2017762.0)</f>
        <v>2017762</v>
      </c>
      <c r="C2440" t="str">
        <f>IFERROR(__xludf.DUMMYFUNCTION("""COMPUTED_VALUE"""),"Complete Bubble Developer Course: Build Apps Without Coding")</f>
        <v>Complete Bubble Developer Course: Build Apps Without Coding</v>
      </c>
    </row>
    <row r="2441">
      <c r="A2441" s="140" t="str">
        <f>IFERROR(__xludf.DUMMYFUNCTION("""COMPUTED_VALUE"""),"es")</f>
        <v>es</v>
      </c>
      <c r="B2441">
        <f>IFERROR(__xludf.DUMMYFUNCTION("""COMPUTED_VALUE"""),1475928.0)</f>
        <v>1475928</v>
      </c>
      <c r="C2441" t="str">
        <f>IFERROR(__xludf.DUMMYFUNCTION("""COMPUTED_VALUE"""),"El poder de Excel desde lo básico hasta el análisis de datos")</f>
        <v>El poder de Excel desde lo básico hasta el análisis de datos</v>
      </c>
    </row>
    <row r="2442">
      <c r="A2442" s="140" t="str">
        <f>IFERROR(__xludf.DUMMYFUNCTION("""COMPUTED_VALUE"""),"de")</f>
        <v>de</v>
      </c>
      <c r="B2442">
        <f>IFERROR(__xludf.DUMMYFUNCTION("""COMPUTED_VALUE"""),464842.0)</f>
        <v>464842</v>
      </c>
      <c r="C2442" t="str">
        <f>IFERROR(__xludf.DUMMYFUNCTION("""COMPUTED_VALUE"""),"Auf dem neuesten Stand in 3D (bis 2015)")</f>
        <v>Auf dem neuesten Stand in 3D (bis 2015)</v>
      </c>
    </row>
    <row r="2443">
      <c r="A2443" s="140" t="str">
        <f>IFERROR(__xludf.DUMMYFUNCTION("""COMPUTED_VALUE"""),"en")</f>
        <v>en</v>
      </c>
      <c r="B2443">
        <f>IFERROR(__xludf.DUMMYFUNCTION("""COMPUTED_VALUE"""),2834322.0)</f>
        <v>2834322</v>
      </c>
      <c r="C2443" t="str">
        <f>IFERROR(__xludf.DUMMYFUNCTION("""COMPUTED_VALUE"""),"TOTAL: Cloud Computing / CompTIA Cloud+ Cert. (CV0-002)")</f>
        <v>TOTAL: Cloud Computing / CompTIA Cloud+ Cert. (CV0-002)</v>
      </c>
    </row>
    <row r="2444">
      <c r="A2444" s="140" t="str">
        <f>IFERROR(__xludf.DUMMYFUNCTION("""COMPUTED_VALUE"""),"en")</f>
        <v>en</v>
      </c>
      <c r="B2444">
        <f>IFERROR(__xludf.DUMMYFUNCTION("""COMPUTED_VALUE"""),1712756.0)</f>
        <v>1712756</v>
      </c>
      <c r="C2444" t="str">
        <f>IFERROR(__xludf.DUMMYFUNCTION("""COMPUTED_VALUE"""),"Complete Time Series Data Analysis Bootcamp In R")</f>
        <v>Complete Time Series Data Analysis Bootcamp In R</v>
      </c>
    </row>
    <row r="2445">
      <c r="A2445" s="140" t="str">
        <f>IFERROR(__xludf.DUMMYFUNCTION("""COMPUTED_VALUE"""),"en")</f>
        <v>en</v>
      </c>
      <c r="B2445">
        <f>IFERROR(__xludf.DUMMYFUNCTION("""COMPUTED_VALUE"""),1806852.0)</f>
        <v>1806852</v>
      </c>
      <c r="C2445" t="str">
        <f>IFERROR(__xludf.DUMMYFUNCTION("""COMPUTED_VALUE"""),"Qt Quick and QML For Beginners (Qt 5): The Fundamentals")</f>
        <v>Qt Quick and QML For Beginners (Qt 5): The Fundamentals</v>
      </c>
    </row>
    <row r="2446">
      <c r="A2446" s="140" t="str">
        <f>IFERROR(__xludf.DUMMYFUNCTION("""COMPUTED_VALUE"""),"ja")</f>
        <v>ja</v>
      </c>
      <c r="B2446">
        <f>IFERROR(__xludf.DUMMYFUNCTION("""COMPUTED_VALUE"""),4274418.0)</f>
        <v>4274418</v>
      </c>
      <c r="C2446" t="str">
        <f>IFERROR(__xludf.DUMMYFUNCTION("""COMPUTED_VALUE"""),"【世界で70万人が受講】Web Developer Bootcamp 2021（日本語版）")</f>
        <v>【世界で70万人が受講】Web Developer Bootcamp 2021（日本語版）</v>
      </c>
    </row>
    <row r="2447">
      <c r="A2447" s="140" t="str">
        <f>IFERROR(__xludf.DUMMYFUNCTION("""COMPUTED_VALUE"""),"en")</f>
        <v>en</v>
      </c>
      <c r="B2447">
        <f>IFERROR(__xludf.DUMMYFUNCTION("""COMPUTED_VALUE"""),817926.0)</f>
        <v>817926</v>
      </c>
      <c r="C2447" t="str">
        <f>IFERROR(__xludf.DUMMYFUNCTION("""COMPUTED_VALUE"""),"Unity Android Game Development : Build 7 2D &amp; 3D Games")</f>
        <v>Unity Android Game Development : Build 7 2D &amp; 3D Games</v>
      </c>
    </row>
    <row r="2448">
      <c r="A2448" s="140" t="str">
        <f>IFERROR(__xludf.DUMMYFUNCTION("""COMPUTED_VALUE"""),"en")</f>
        <v>en</v>
      </c>
      <c r="B2448">
        <f>IFERROR(__xludf.DUMMYFUNCTION("""COMPUTED_VALUE"""),371074.0)</f>
        <v>371074</v>
      </c>
      <c r="C2448" t="str">
        <f>IFERROR(__xludf.DUMMYFUNCTION("""COMPUTED_VALUE"""),"Sketch from A to Z (2021): Become an app designer")</f>
        <v>Sketch from A to Z (2021): Become an app designer</v>
      </c>
    </row>
    <row r="2449">
      <c r="A2449" s="140" t="str">
        <f>IFERROR(__xludf.DUMMYFUNCTION("""COMPUTED_VALUE"""),"es")</f>
        <v>es</v>
      </c>
      <c r="B2449">
        <f>IFERROR(__xludf.DUMMYFUNCTION("""COMPUTED_VALUE"""),2899990.0)</f>
        <v>2899990</v>
      </c>
      <c r="C2449" t="str">
        <f>IFERROR(__xludf.DUMMYFUNCTION("""COMPUTED_VALUE"""),"Aplicación de la norma NOM035")</f>
        <v>Aplicación de la norma NOM035</v>
      </c>
    </row>
    <row r="2450">
      <c r="A2450" s="140" t="str">
        <f>IFERROR(__xludf.DUMMYFUNCTION("""COMPUTED_VALUE"""),"en")</f>
        <v>en</v>
      </c>
      <c r="B2450">
        <f>IFERROR(__xludf.DUMMYFUNCTION("""COMPUTED_VALUE"""),1534966.0)</f>
        <v>1534966</v>
      </c>
      <c r="C2450" t="str">
        <f>IFERROR(__xludf.DUMMYFUNCTION("""COMPUTED_VALUE"""),"Windows Server Update Services (WSUS) Training For Beginners")</f>
        <v>Windows Server Update Services (WSUS) Training For Beginners</v>
      </c>
    </row>
    <row r="2451">
      <c r="A2451" s="140" t="str">
        <f>IFERROR(__xludf.DUMMYFUNCTION("""COMPUTED_VALUE"""),"en")</f>
        <v>en</v>
      </c>
      <c r="B2451">
        <f>IFERROR(__xludf.DUMMYFUNCTION("""COMPUTED_VALUE"""),1078522.0)</f>
        <v>1078522</v>
      </c>
      <c r="C2451" t="str">
        <f>IFERROR(__xludf.DUMMYFUNCTION("""COMPUTED_VALUE"""),"React JS Web Development - The Essentials Bootcamp")</f>
        <v>React JS Web Development - The Essentials Bootcamp</v>
      </c>
    </row>
    <row r="2452">
      <c r="A2452" s="140" t="str">
        <f>IFERROR(__xludf.DUMMYFUNCTION("""COMPUTED_VALUE"""),"en")</f>
        <v>en</v>
      </c>
      <c r="B2452">
        <f>IFERROR(__xludf.DUMMYFUNCTION("""COMPUTED_VALUE"""),558096.0)</f>
        <v>558096</v>
      </c>
      <c r="C2452" t="str">
        <f>IFERROR(__xludf.DUMMYFUNCTION("""COMPUTED_VALUE"""),"Python 3 For Offensive PenTest: A Complete Practical Course")</f>
        <v>Python 3 For Offensive PenTest: A Complete Practical Course</v>
      </c>
    </row>
    <row r="2453">
      <c r="A2453" s="140" t="str">
        <f>IFERROR(__xludf.DUMMYFUNCTION("""COMPUTED_VALUE"""),"tr")</f>
        <v>tr</v>
      </c>
      <c r="B2453">
        <f>IFERROR(__xludf.DUMMYFUNCTION("""COMPUTED_VALUE"""),2078090.0)</f>
        <v>2078090</v>
      </c>
      <c r="C2453" t="str">
        <f>IFERROR(__xludf.DUMMYFUNCTION("""COMPUTED_VALUE"""),"Windows ve Active Directory Güvenlik İpuçları |Hacking Ötesi")</f>
        <v>Windows ve Active Directory Güvenlik İpuçları |Hacking Ötesi</v>
      </c>
    </row>
    <row r="2454">
      <c r="A2454" s="140" t="str">
        <f>IFERROR(__xludf.DUMMYFUNCTION("""COMPUTED_VALUE"""),"en")</f>
        <v>en</v>
      </c>
      <c r="B2454">
        <f>IFERROR(__xludf.DUMMYFUNCTION("""COMPUTED_VALUE"""),805258.0)</f>
        <v>805258</v>
      </c>
      <c r="C2454" t="str">
        <f>IFERROR(__xludf.DUMMYFUNCTION("""COMPUTED_VALUE"""),"OSHA Safety Pro: Trenching Excavation &amp; Soil Mechanics")</f>
        <v>OSHA Safety Pro: Trenching Excavation &amp; Soil Mechanics</v>
      </c>
    </row>
    <row r="2455">
      <c r="A2455" s="140" t="str">
        <f>IFERROR(__xludf.DUMMYFUNCTION("""COMPUTED_VALUE"""),"en")</f>
        <v>en</v>
      </c>
      <c r="B2455">
        <f>IFERROR(__xludf.DUMMYFUNCTION("""COMPUTED_VALUE"""),1210834.0)</f>
        <v>1210834</v>
      </c>
      <c r="C2455" t="str">
        <f>IFERROR(__xludf.DUMMYFUNCTION("""COMPUTED_VALUE"""),"Excel: Data cleaning and analysis techniques")</f>
        <v>Excel: Data cleaning and analysis techniques</v>
      </c>
    </row>
    <row r="2456">
      <c r="A2456" s="140" t="str">
        <f>IFERROR(__xludf.DUMMYFUNCTION("""COMPUTED_VALUE"""),"pt")</f>
        <v>pt</v>
      </c>
      <c r="B2456">
        <f>IFERROR(__xludf.DUMMYFUNCTION("""COMPUTED_VALUE"""),2372980.0)</f>
        <v>2372980</v>
      </c>
      <c r="C2456" t="str">
        <f>IFERROR(__xludf.DUMMYFUNCTION("""COMPUTED_VALUE"""),"Linux para iniciantes - Ubuntu")</f>
        <v>Linux para iniciantes - Ubuntu</v>
      </c>
    </row>
    <row r="2457">
      <c r="A2457" s="140" t="str">
        <f>IFERROR(__xludf.DUMMYFUNCTION("""COMPUTED_VALUE"""),"en")</f>
        <v>en</v>
      </c>
      <c r="B2457">
        <f>IFERROR(__xludf.DUMMYFUNCTION("""COMPUTED_VALUE"""),1022836.0)</f>
        <v>1022836</v>
      </c>
      <c r="C2457" t="str">
        <f>IFERROR(__xludf.DUMMYFUNCTION("""COMPUTED_VALUE"""),"Psychology and Therapy of Addictions -ACCREDITED CERTIFICATE")</f>
        <v>Psychology and Therapy of Addictions -ACCREDITED CERTIFICATE</v>
      </c>
    </row>
    <row r="2458">
      <c r="A2458" s="140" t="str">
        <f>IFERROR(__xludf.DUMMYFUNCTION("""COMPUTED_VALUE"""),"en")</f>
        <v>en</v>
      </c>
      <c r="B2458">
        <f>IFERROR(__xludf.DUMMYFUNCTION("""COMPUTED_VALUE"""),1009476.0)</f>
        <v>1009476</v>
      </c>
      <c r="C2458" t="str">
        <f>IFERROR(__xludf.DUMMYFUNCTION("""COMPUTED_VALUE"""),"Python For Maya: Artist Friendly Programming")</f>
        <v>Python For Maya: Artist Friendly Programming</v>
      </c>
    </row>
    <row r="2459">
      <c r="A2459" s="140" t="str">
        <f>IFERROR(__xludf.DUMMYFUNCTION("""COMPUTED_VALUE"""),"fr")</f>
        <v>fr</v>
      </c>
      <c r="B2459">
        <f>IFERROR(__xludf.DUMMYFUNCTION("""COMPUTED_VALUE"""),3065604.0)</f>
        <v>3065604</v>
      </c>
      <c r="C2459" t="str">
        <f>IFERROR(__xludf.DUMMYFUNCTION("""COMPUTED_VALUE"""),"Apache Nifi De A à Z - le Guide complet")</f>
        <v>Apache Nifi De A à Z - le Guide complet</v>
      </c>
    </row>
    <row r="2460">
      <c r="A2460" s="140" t="str">
        <f>IFERROR(__xludf.DUMMYFUNCTION("""COMPUTED_VALUE"""),"en")</f>
        <v>en</v>
      </c>
      <c r="B2460">
        <f>IFERROR(__xludf.DUMMYFUNCTION("""COMPUTED_VALUE"""),1348104.0)</f>
        <v>1348104</v>
      </c>
      <c r="C2460" t="str">
        <f>IFERROR(__xludf.DUMMYFUNCTION("""COMPUTED_VALUE"""),"The Complete Guide To Activating High Performance")</f>
        <v>The Complete Guide To Activating High Performance</v>
      </c>
    </row>
    <row r="2461">
      <c r="A2461" s="140" t="str">
        <f>IFERROR(__xludf.DUMMYFUNCTION("""COMPUTED_VALUE"""),"ja")</f>
        <v>ja</v>
      </c>
      <c r="B2461">
        <f>IFERROR(__xludf.DUMMYFUNCTION("""COMPUTED_VALUE"""),1315926.0)</f>
        <v>1315926</v>
      </c>
      <c r="C2461" t="str">
        <f>IFERROR(__xludf.DUMMYFUNCTION("""COMPUTED_VALUE"""),"【TensorFlow・Kerasで学ぶ】時系列データ処理入門（RNN/LSTM, Word2Vec)")</f>
        <v>【TensorFlow・Kerasで学ぶ】時系列データ処理入門（RNN/LSTM, Word2Vec)</v>
      </c>
    </row>
    <row r="2462">
      <c r="A2462" s="140" t="str">
        <f>IFERROR(__xludf.DUMMYFUNCTION("""COMPUTED_VALUE"""),"de")</f>
        <v>de</v>
      </c>
      <c r="B2462">
        <f>IFERROR(__xludf.DUMMYFUNCTION("""COMPUTED_VALUE"""),2558356.0)</f>
        <v>2558356</v>
      </c>
      <c r="C2462" t="str">
        <f>IFERROR(__xludf.DUMMYFUNCTION("""COMPUTED_VALUE"""),"Projektmanagement: Methoden und Techniken für Projektleiter")</f>
        <v>Projektmanagement: Methoden und Techniken für Projektleiter</v>
      </c>
    </row>
    <row r="2463">
      <c r="A2463" s="140" t="str">
        <f>IFERROR(__xludf.DUMMYFUNCTION("""COMPUTED_VALUE"""),"ja")</f>
        <v>ja</v>
      </c>
      <c r="B2463">
        <f>IFERROR(__xludf.DUMMYFUNCTION("""COMPUTED_VALUE"""),2234646.0)</f>
        <v>2234646</v>
      </c>
      <c r="C2463" t="str">
        <f>IFERROR(__xludf.DUMMYFUNCTION("""COMPUTED_VALUE"""),"はじめてのテーブル設計・データベース設計【わかりやすい解説 + 身近なテーマでレッスン】")</f>
        <v>はじめてのテーブル設計・データベース設計【わかりやすい解説 + 身近なテーマでレッスン】</v>
      </c>
    </row>
    <row r="2464">
      <c r="A2464" s="140" t="str">
        <f>IFERROR(__xludf.DUMMYFUNCTION("""COMPUTED_VALUE"""),"en")</f>
        <v>en</v>
      </c>
      <c r="B2464">
        <f>IFERROR(__xludf.DUMMYFUNCTION("""COMPUTED_VALUE"""),1720930.0)</f>
        <v>1720930</v>
      </c>
      <c r="C2464" t="str">
        <f>IFERROR(__xludf.DUMMYFUNCTION("""COMPUTED_VALUE"""),"The Procreate 4.1 Super Course")</f>
        <v>The Procreate 4.1 Super Course</v>
      </c>
    </row>
    <row r="2465">
      <c r="A2465" s="140" t="str">
        <f>IFERROR(__xludf.DUMMYFUNCTION("""COMPUTED_VALUE"""),"tr")</f>
        <v>tr</v>
      </c>
      <c r="B2465">
        <f>IFERROR(__xludf.DUMMYFUNCTION("""COMPUTED_VALUE"""),2739834.0)</f>
        <v>2739834</v>
      </c>
      <c r="C2465" t="str">
        <f>IFERROR(__xludf.DUMMYFUNCTION("""COMPUTED_VALUE"""),"Uygulamalı Siber Güvenlik ve   Etik Hacker Eğitimi")</f>
        <v>Uygulamalı Siber Güvenlik ve   Etik Hacker Eğitimi</v>
      </c>
    </row>
    <row r="2466">
      <c r="A2466" s="140" t="str">
        <f>IFERROR(__xludf.DUMMYFUNCTION("""COMPUTED_VALUE"""),"ja")</f>
        <v>ja</v>
      </c>
      <c r="B2466">
        <f>IFERROR(__xludf.DUMMYFUNCTION("""COMPUTED_VALUE"""),2667490.0)</f>
        <v>2667490</v>
      </c>
      <c r="C2466" t="str">
        <f>IFERROR(__xludf.DUMMYFUNCTION("""COMPUTED_VALUE"""),"シンプルに一度で伝わる！英語プレゼン初級者コース")</f>
        <v>シンプルに一度で伝わる！英語プレゼン初級者コース</v>
      </c>
    </row>
    <row r="2467">
      <c r="A2467" s="140" t="str">
        <f>IFERROR(__xludf.DUMMYFUNCTION("""COMPUTED_VALUE"""),"en")</f>
        <v>en</v>
      </c>
      <c r="B2467">
        <f>IFERROR(__xludf.DUMMYFUNCTION("""COMPUTED_VALUE"""),533682.0)</f>
        <v>533682</v>
      </c>
      <c r="C2467" t="str">
        <f>IFERROR(__xludf.DUMMYFUNCTION("""COMPUTED_VALUE"""),"Java Programming Masterclass covering Java 11 &amp; Java 17")</f>
        <v>Java Programming Masterclass covering Java 11 &amp; Java 17</v>
      </c>
    </row>
    <row r="2468">
      <c r="A2468" s="140" t="str">
        <f>IFERROR(__xludf.DUMMYFUNCTION("""COMPUTED_VALUE"""),"es")</f>
        <v>es</v>
      </c>
      <c r="B2468">
        <f>IFERROR(__xludf.DUMMYFUNCTION("""COMPUTED_VALUE"""),2438730.0)</f>
        <v>2438730</v>
      </c>
      <c r="C2468" t="str">
        <f>IFERROR(__xludf.DUMMYFUNCTION("""COMPUTED_VALUE"""),"Aprende a crear un videojuego RPG en Unity 2019 desde cero")</f>
        <v>Aprende a crear un videojuego RPG en Unity 2019 desde cero</v>
      </c>
    </row>
    <row r="2469">
      <c r="A2469" s="140" t="str">
        <f>IFERROR(__xludf.DUMMYFUNCTION("""COMPUTED_VALUE"""),"en")</f>
        <v>en</v>
      </c>
      <c r="B2469">
        <f>IFERROR(__xludf.DUMMYFUNCTION("""COMPUTED_VALUE"""),219838.0)</f>
        <v>219838</v>
      </c>
      <c r="C2469" t="str">
        <f>IFERROR(__xludf.DUMMYFUNCTION("""COMPUTED_VALUE"""),"Learn XML Crash Course: Discover Essential XML Fundamentals")</f>
        <v>Learn XML Crash Course: Discover Essential XML Fundamentals</v>
      </c>
    </row>
    <row r="2470">
      <c r="A2470" s="140" t="str">
        <f>IFERROR(__xludf.DUMMYFUNCTION("""COMPUTED_VALUE"""),"en")</f>
        <v>en</v>
      </c>
      <c r="B2470">
        <f>IFERROR(__xludf.DUMMYFUNCTION("""COMPUTED_VALUE"""),2378464.0)</f>
        <v>2378464</v>
      </c>
      <c r="C2470" t="str">
        <f>IFERROR(__xludf.DUMMYFUNCTION("""COMPUTED_VALUE"""),"Lodash - The Complete Guide")</f>
        <v>Lodash - The Complete Guide</v>
      </c>
    </row>
    <row r="2471">
      <c r="A2471" s="140" t="str">
        <f>IFERROR(__xludf.DUMMYFUNCTION("""COMPUTED_VALUE"""),"en")</f>
        <v>en</v>
      </c>
      <c r="B2471">
        <f>IFERROR(__xludf.DUMMYFUNCTION("""COMPUTED_VALUE"""),886024.0)</f>
        <v>886024</v>
      </c>
      <c r="C2471" t="str">
        <f>IFERROR(__xludf.DUMMYFUNCTION("""COMPUTED_VALUE"""),"From 0 to 1 : Spark for Data Science with Python")</f>
        <v>From 0 to 1 : Spark for Data Science with Python</v>
      </c>
    </row>
    <row r="2472">
      <c r="A2472" s="140" t="str">
        <f>IFERROR(__xludf.DUMMYFUNCTION("""COMPUTED_VALUE"""),"en")</f>
        <v>en</v>
      </c>
      <c r="B2472">
        <f>IFERROR(__xludf.DUMMYFUNCTION("""COMPUTED_VALUE"""),2658764.0)</f>
        <v>2658764</v>
      </c>
      <c r="C2472" t="str">
        <f>IFERROR(__xludf.DUMMYFUNCTION("""COMPUTED_VALUE"""),"Oracle Fusion Technical - A Complete Technical Guide")</f>
        <v>Oracle Fusion Technical - A Complete Technical Guide</v>
      </c>
    </row>
    <row r="2473">
      <c r="A2473" s="140" t="str">
        <f>IFERROR(__xludf.DUMMYFUNCTION("""COMPUTED_VALUE"""),"es")</f>
        <v>es</v>
      </c>
      <c r="B2473">
        <f>IFERROR(__xludf.DUMMYFUNCTION("""COMPUTED_VALUE"""),2626702.0)</f>
        <v>2626702</v>
      </c>
      <c r="C2473" t="str">
        <f>IFERROR(__xludf.DUMMYFUNCTION("""COMPUTED_VALUE"""),"Curso en contrucción")</f>
        <v>Curso en contrucción</v>
      </c>
    </row>
    <row r="2474">
      <c r="A2474" s="140" t="str">
        <f>IFERROR(__xludf.DUMMYFUNCTION("""COMPUTED_VALUE"""),"pt")</f>
        <v>pt</v>
      </c>
      <c r="B2474">
        <f>IFERROR(__xludf.DUMMYFUNCTION("""COMPUTED_VALUE"""),1029554.0)</f>
        <v>1029554</v>
      </c>
      <c r="C2474" t="str">
        <f>IFERROR(__xludf.DUMMYFUNCTION("""COMPUTED_VALUE"""),"Formação em Design Gráfico com Corel Draw.")</f>
        <v>Formação em Design Gráfico com Corel Draw.</v>
      </c>
    </row>
    <row r="2475">
      <c r="A2475" s="140" t="str">
        <f>IFERROR(__xludf.DUMMYFUNCTION("""COMPUTED_VALUE"""),"ja")</f>
        <v>ja</v>
      </c>
      <c r="B2475">
        <f>IFERROR(__xludf.DUMMYFUNCTION("""COMPUTED_VALUE"""),3862394.0)</f>
        <v>3862394</v>
      </c>
      <c r="C2475" t="str">
        <f>IFERROR(__xludf.DUMMYFUNCTION("""COMPUTED_VALUE"""),"【正しく聞き、伝える】ビジネス・コミュニケーションの基本マスターコース（PowerPoint, Word テンプレ付き）")</f>
        <v>【正しく聞き、伝える】ビジネス・コミュニケーションの基本マスターコース（PowerPoint, Word テンプレ付き）</v>
      </c>
    </row>
    <row r="2476">
      <c r="A2476" s="140" t="str">
        <f>IFERROR(__xludf.DUMMYFUNCTION("""COMPUTED_VALUE"""),"en")</f>
        <v>en</v>
      </c>
      <c r="B2476">
        <f>IFERROR(__xludf.DUMMYFUNCTION("""COMPUTED_VALUE"""),3389600.0)</f>
        <v>3389600</v>
      </c>
      <c r="C2476" t="str">
        <f>IFERROR(__xludf.DUMMYFUNCTION("""COMPUTED_VALUE"""),"Arduino Programming for Kids and Beginners with Tinkercad")</f>
        <v>Arduino Programming for Kids and Beginners with Tinkercad</v>
      </c>
    </row>
    <row r="2477">
      <c r="A2477" s="140" t="str">
        <f>IFERROR(__xludf.DUMMYFUNCTION("""COMPUTED_VALUE"""),"en")</f>
        <v>en</v>
      </c>
      <c r="B2477">
        <f>IFERROR(__xludf.DUMMYFUNCTION("""COMPUTED_VALUE"""),2428872.0)</f>
        <v>2428872</v>
      </c>
      <c r="C2477" t="str">
        <f>IFERROR(__xludf.DUMMYFUNCTION("""COMPUTED_VALUE"""),"Kubernetes Mastery: Hands-On Lessons From A Docker Captain")</f>
        <v>Kubernetes Mastery: Hands-On Lessons From A Docker Captain</v>
      </c>
    </row>
    <row r="2478">
      <c r="A2478" s="140" t="str">
        <f>IFERROR(__xludf.DUMMYFUNCTION("""COMPUTED_VALUE"""),"ja")</f>
        <v>ja</v>
      </c>
      <c r="B2478">
        <f>IFERROR(__xludf.DUMMYFUNCTION("""COMPUTED_VALUE"""),3351596.0)</f>
        <v>3351596</v>
      </c>
      <c r="C2478" t="str">
        <f>IFERROR(__xludf.DUMMYFUNCTION("""COMPUTED_VALUE"""),"【最新2021】HTML、CSS をマスターして、未経験からWEBデザイナー・エンジニアを養成　最高の実践コース")</f>
        <v>【最新2021】HTML、CSS をマスターして、未経験からWEBデザイナー・エンジニアを養成　最高の実践コース</v>
      </c>
    </row>
    <row r="2479">
      <c r="A2479" s="140" t="str">
        <f>IFERROR(__xludf.DUMMYFUNCTION("""COMPUTED_VALUE"""),"en")</f>
        <v>en</v>
      </c>
      <c r="B2479">
        <f>IFERROR(__xludf.DUMMYFUNCTION("""COMPUTED_VALUE"""),2142144.0)</f>
        <v>2142144</v>
      </c>
      <c r="C2479" t="str">
        <f>IFERROR(__xludf.DUMMYFUNCTION("""COMPUTED_VALUE"""),"IELTS 9: Speaking Mastery")</f>
        <v>IELTS 9: Speaking Mastery</v>
      </c>
    </row>
    <row r="2480">
      <c r="A2480" s="140" t="str">
        <f>IFERROR(__xludf.DUMMYFUNCTION("""COMPUTED_VALUE"""),"en")</f>
        <v>en</v>
      </c>
      <c r="B2480">
        <f>IFERROR(__xludf.DUMMYFUNCTION("""COMPUTED_VALUE"""),1560148.0)</f>
        <v>1560148</v>
      </c>
      <c r="C2480" t="str">
        <f>IFERROR(__xludf.DUMMYFUNCTION("""COMPUTED_VALUE"""),"The Complete Self-Driving Car Course - Applied Deep Learning")</f>
        <v>The Complete Self-Driving Car Course - Applied Deep Learning</v>
      </c>
    </row>
    <row r="2481">
      <c r="A2481" s="140" t="str">
        <f>IFERROR(__xludf.DUMMYFUNCTION("""COMPUTED_VALUE"""),"ja")</f>
        <v>ja</v>
      </c>
      <c r="B2481">
        <f>IFERROR(__xludf.DUMMYFUNCTION("""COMPUTED_VALUE"""),2231940.0)</f>
        <v>2231940</v>
      </c>
      <c r="C2481" t="str">
        <f>IFERROR(__xludf.DUMMYFUNCTION("""COMPUTED_VALUE"""),"Vue.js + Firebaseで作るシングルページアプリケーション")</f>
        <v>Vue.js + Firebaseで作るシングルページアプリケーション</v>
      </c>
    </row>
    <row r="2482">
      <c r="A2482" s="140" t="str">
        <f>IFERROR(__xludf.DUMMYFUNCTION("""COMPUTED_VALUE"""),"ja")</f>
        <v>ja</v>
      </c>
      <c r="B2482">
        <f>IFERROR(__xludf.DUMMYFUNCTION("""COMPUTED_VALUE"""),3864210.0)</f>
        <v>3864210</v>
      </c>
      <c r="C2482" t="str">
        <f>IFERROR(__xludf.DUMMYFUNCTION("""COMPUTED_VALUE"""),"【ロジカルシンキング】「よく考えられているね！」と言われるようになる、論理的思考・習得講座")</f>
        <v>【ロジカルシンキング】「よく考えられているね！」と言われるようになる、論理的思考・習得講座</v>
      </c>
    </row>
    <row r="2483">
      <c r="A2483" s="140" t="str">
        <f>IFERROR(__xludf.DUMMYFUNCTION("""COMPUTED_VALUE"""),"en")</f>
        <v>en</v>
      </c>
      <c r="B2483">
        <f>IFERROR(__xludf.DUMMYFUNCTION("""COMPUTED_VALUE"""),281672.0)</f>
        <v>281672</v>
      </c>
      <c r="C2483" t="str">
        <f>IFERROR(__xludf.DUMMYFUNCTION("""COMPUTED_VALUE"""),"Agile PM 301 - Mastering Agile Project Management")</f>
        <v>Agile PM 301 - Mastering Agile Project Management</v>
      </c>
    </row>
    <row r="2484">
      <c r="A2484" s="140" t="str">
        <f>IFERROR(__xludf.DUMMYFUNCTION("""COMPUTED_VALUE"""),"es")</f>
        <v>es</v>
      </c>
      <c r="B2484">
        <f>IFERROR(__xludf.DUMMYFUNCTION("""COMPUTED_VALUE"""),3764216.0)</f>
        <v>3764216</v>
      </c>
      <c r="C2484" t="str">
        <f>IFERROR(__xludf.DUMMYFUNCTION("""COMPUTED_VALUE"""),"RPA – Máster Automatización de Procesos con UiPath [2021]")</f>
        <v>RPA – Máster Automatización de Procesos con UiPath [2021]</v>
      </c>
    </row>
    <row r="2485">
      <c r="A2485" s="140" t="str">
        <f>IFERROR(__xludf.DUMMYFUNCTION("""COMPUTED_VALUE"""),"ja")</f>
        <v>ja</v>
      </c>
      <c r="B2485">
        <f>IFERROR(__xludf.DUMMYFUNCTION("""COMPUTED_VALUE"""),3682810.0)</f>
        <v>3682810</v>
      </c>
      <c r="C2485" t="str">
        <f>IFERROR(__xludf.DUMMYFUNCTION("""COMPUTED_VALUE"""),"AZ-900: Microsoft Azure Fundamentals 模擬問題集")</f>
        <v>AZ-900: Microsoft Azure Fundamentals 模擬問題集</v>
      </c>
    </row>
    <row r="2486">
      <c r="A2486" s="140" t="str">
        <f>IFERROR(__xludf.DUMMYFUNCTION("""COMPUTED_VALUE"""),"en")</f>
        <v>en</v>
      </c>
      <c r="B2486">
        <f>IFERROR(__xludf.DUMMYFUNCTION("""COMPUTED_VALUE"""),2098232.0)</f>
        <v>2098232</v>
      </c>
      <c r="C2486" t="str">
        <f>IFERROR(__xludf.DUMMYFUNCTION("""COMPUTED_VALUE"""),"4G LTE Evolved Packet Core (EPC) - Concepts and call flows")</f>
        <v>4G LTE Evolved Packet Core (EPC) - Concepts and call flows</v>
      </c>
    </row>
    <row r="2487">
      <c r="A2487" s="140" t="str">
        <f>IFERROR(__xludf.DUMMYFUNCTION("""COMPUTED_VALUE"""),"es")</f>
        <v>es</v>
      </c>
      <c r="B2487">
        <f>IFERROR(__xludf.DUMMYFUNCTION("""COMPUTED_VALUE"""),1023976.0)</f>
        <v>1023976</v>
      </c>
      <c r="C2487" t="str">
        <f>IFERROR(__xludf.DUMMYFUNCTION("""COMPUTED_VALUE"""),"Desarrollo web con JavaScript, Angular, NodeJS y MongoDB")</f>
        <v>Desarrollo web con JavaScript, Angular, NodeJS y MongoDB</v>
      </c>
    </row>
    <row r="2488">
      <c r="A2488" s="140" t="str">
        <f>IFERROR(__xludf.DUMMYFUNCTION("""COMPUTED_VALUE"""),"en")</f>
        <v>en</v>
      </c>
      <c r="B2488">
        <f>IFERROR(__xludf.DUMMYFUNCTION("""COMPUTED_VALUE"""),3208141.0)</f>
        <v>3208141</v>
      </c>
      <c r="C2488" t="str">
        <f>IFERROR(__xludf.DUMMYFUNCTION("""COMPUTED_VALUE"""),"Ally Up: Using allyship to advance diversity &amp; inclusion")</f>
        <v>Ally Up: Using allyship to advance diversity &amp; inclusion</v>
      </c>
    </row>
    <row r="2489">
      <c r="A2489" s="140" t="str">
        <f>IFERROR(__xludf.DUMMYFUNCTION("""COMPUTED_VALUE"""),"de")</f>
        <v>de</v>
      </c>
      <c r="B2489">
        <f>IFERROR(__xludf.DUMMYFUNCTION("""COMPUTED_VALUE"""),715756.0)</f>
        <v>715756</v>
      </c>
      <c r="C2489" t="str">
        <f>IFERROR(__xludf.DUMMYFUNCTION("""COMPUTED_VALUE"""),"Schreibgewohnheiten trainieren")</f>
        <v>Schreibgewohnheiten trainieren</v>
      </c>
    </row>
    <row r="2490">
      <c r="A2490" s="140" t="str">
        <f>IFERROR(__xludf.DUMMYFUNCTION("""COMPUTED_VALUE"""),"pt")</f>
        <v>pt</v>
      </c>
      <c r="B2490">
        <f>IFERROR(__xludf.DUMMYFUNCTION("""COMPUTED_VALUE"""),2187504.0)</f>
        <v>2187504</v>
      </c>
      <c r="C2490" t="str">
        <f>IFERROR(__xludf.DUMMYFUNCTION("""COMPUTED_VALUE"""),"Curso Blender 2.8 | Aprenda 3D do Zero!")</f>
        <v>Curso Blender 2.8 | Aprenda 3D do Zero!</v>
      </c>
    </row>
    <row r="2491">
      <c r="A2491" s="140" t="str">
        <f>IFERROR(__xludf.DUMMYFUNCTION("""COMPUTED_VALUE"""),"en")</f>
        <v>en</v>
      </c>
      <c r="B2491">
        <f>IFERROR(__xludf.DUMMYFUNCTION("""COMPUTED_VALUE"""),2730106.0)</f>
        <v>2730106</v>
      </c>
      <c r="C2491" t="str">
        <f>IFERROR(__xludf.DUMMYFUNCTION("""COMPUTED_VALUE"""),"HashiCorp Vault: The Advanced Course")</f>
        <v>HashiCorp Vault: The Advanced Course</v>
      </c>
    </row>
    <row r="2492">
      <c r="A2492" s="140" t="str">
        <f>IFERROR(__xludf.DUMMYFUNCTION("""COMPUTED_VALUE"""),"en")</f>
        <v>en</v>
      </c>
      <c r="B2492">
        <f>IFERROR(__xludf.DUMMYFUNCTION("""COMPUTED_VALUE"""),2714030.0)</f>
        <v>2714030</v>
      </c>
      <c r="C2492" t="str">
        <f>IFERROR(__xludf.DUMMYFUNCTION("""COMPUTED_VALUE"""),"The Ultimate Spring Integration Developer Course")</f>
        <v>The Ultimate Spring Integration Developer Course</v>
      </c>
    </row>
    <row r="2493">
      <c r="A2493" s="140" t="str">
        <f>IFERROR(__xludf.DUMMYFUNCTION("""COMPUTED_VALUE"""),"pt")</f>
        <v>pt</v>
      </c>
      <c r="B2493">
        <f>IFERROR(__xludf.DUMMYFUNCTION("""COMPUTED_VALUE"""),2631570.0)</f>
        <v>2631570</v>
      </c>
      <c r="C2493" t="str">
        <f>IFERROR(__xludf.DUMMYFUNCTION("""COMPUTED_VALUE"""),"Blender 2.80 + e Krita para jogos e animação")</f>
        <v>Blender 2.80 + e Krita para jogos e animação</v>
      </c>
    </row>
    <row r="2494">
      <c r="A2494" s="140" t="str">
        <f>IFERROR(__xludf.DUMMYFUNCTION("""COMPUTED_VALUE"""),"en")</f>
        <v>en</v>
      </c>
      <c r="B2494">
        <f>IFERROR(__xludf.DUMMYFUNCTION("""COMPUTED_VALUE"""),855228.0)</f>
        <v>855228</v>
      </c>
      <c r="C2494" t="str">
        <f>IFERROR(__xludf.DUMMYFUNCTION("""COMPUTED_VALUE"""),"Certified ISTQB Agile Tester Foundation Level Exam - Updated")</f>
        <v>Certified ISTQB Agile Tester Foundation Level Exam - Updated</v>
      </c>
    </row>
    <row r="2495">
      <c r="A2495" s="140" t="str">
        <f>IFERROR(__xludf.DUMMYFUNCTION("""COMPUTED_VALUE"""),"en")</f>
        <v>en</v>
      </c>
      <c r="B2495">
        <f>IFERROR(__xludf.DUMMYFUNCTION("""COMPUTED_VALUE"""),2265622.0)</f>
        <v>2265622</v>
      </c>
      <c r="C2495" t="str">
        <f>IFERROR(__xludf.DUMMYFUNCTION("""COMPUTED_VALUE"""),"DA-100 certification: Analyzing Data with Microsoft Power BI")</f>
        <v>DA-100 certification: Analyzing Data with Microsoft Power BI</v>
      </c>
    </row>
    <row r="2496">
      <c r="A2496" s="140" t="str">
        <f>IFERROR(__xludf.DUMMYFUNCTION("""COMPUTED_VALUE"""),"en")</f>
        <v>en</v>
      </c>
      <c r="B2496">
        <f>IFERROR(__xludf.DUMMYFUNCTION("""COMPUTED_VALUE"""),1840024.0)</f>
        <v>1840024</v>
      </c>
      <c r="C2496" t="str">
        <f>IFERROR(__xludf.DUMMYFUNCTION("""COMPUTED_VALUE"""),"Just Express (with a bunch of node and http). In detail.")</f>
        <v>Just Express (with a bunch of node and http). In detail.</v>
      </c>
    </row>
    <row r="2497">
      <c r="A2497" s="140" t="str">
        <f>IFERROR(__xludf.DUMMYFUNCTION("""COMPUTED_VALUE"""),"tr")</f>
        <v>tr</v>
      </c>
      <c r="B2497">
        <f>IFERROR(__xludf.DUMMYFUNCTION("""COMPUTED_VALUE"""),3080004.0)</f>
        <v>3080004</v>
      </c>
      <c r="C2497" t="str">
        <f>IFERROR(__xludf.DUMMYFUNCTION("""COMPUTED_VALUE"""),"Python ile Algoritma Geliştirme")</f>
        <v>Python ile Algoritma Geliştirme</v>
      </c>
    </row>
    <row r="2498">
      <c r="A2498" s="140" t="str">
        <f>IFERROR(__xludf.DUMMYFUNCTION("""COMPUTED_VALUE"""),"en")</f>
        <v>en</v>
      </c>
      <c r="B2498">
        <f>IFERROR(__xludf.DUMMYFUNCTION("""COMPUTED_VALUE"""),1951274.0)</f>
        <v>1951274</v>
      </c>
      <c r="C2498" t="str">
        <f>IFERROR(__xludf.DUMMYFUNCTION("""COMPUTED_VALUE"""),"Complete Introduction to Excel Pivot Tables and Pivot Charts")</f>
        <v>Complete Introduction to Excel Pivot Tables and Pivot Charts</v>
      </c>
    </row>
    <row r="2499">
      <c r="A2499" s="140" t="str">
        <f>IFERROR(__xludf.DUMMYFUNCTION("""COMPUTED_VALUE"""),"en")</f>
        <v>en</v>
      </c>
      <c r="B2499">
        <f>IFERROR(__xludf.DUMMYFUNCTION("""COMPUTED_VALUE"""),2448316.0)</f>
        <v>2448316</v>
      </c>
      <c r="C2499" t="str">
        <f>IFERROR(__xludf.DUMMYFUNCTION("""COMPUTED_VALUE"""),"How to Write Proofs in Set Theory with the Math Sorcerer")</f>
        <v>How to Write Proofs in Set Theory with the Math Sorcerer</v>
      </c>
    </row>
    <row r="2500">
      <c r="A2500" s="140" t="str">
        <f>IFERROR(__xludf.DUMMYFUNCTION("""COMPUTED_VALUE"""),"fr")</f>
        <v>fr</v>
      </c>
      <c r="B2500">
        <f>IFERROR(__xludf.DUMMYFUNCTION("""COMPUTED_VALUE"""),4143016.0)</f>
        <v>4143016</v>
      </c>
      <c r="C2500" t="str">
        <f>IFERROR(__xludf.DUMMYFUNCTION("""COMPUTED_VALUE"""),"Masterclass Python | Algorithmes et traitement de données")</f>
        <v>Masterclass Python | Algorithmes et traitement de données</v>
      </c>
    </row>
    <row r="2501">
      <c r="A2501" s="140" t="str">
        <f>IFERROR(__xludf.DUMMYFUNCTION("""COMPUTED_VALUE"""),"en")</f>
        <v>en</v>
      </c>
      <c r="B2501">
        <f>IFERROR(__xludf.DUMMYFUNCTION("""COMPUTED_VALUE"""),4213350.0)</f>
        <v>4213350</v>
      </c>
      <c r="C2501" t="str">
        <f>IFERROR(__xludf.DUMMYFUNCTION("""COMPUTED_VALUE"""),"Assertiveness 101: Become More Assertive in 90 Minutes")</f>
        <v>Assertiveness 101: Become More Assertive in 90 Minutes</v>
      </c>
    </row>
    <row r="2502">
      <c r="A2502" s="140" t="str">
        <f>IFERROR(__xludf.DUMMYFUNCTION("""COMPUTED_VALUE"""),"en")</f>
        <v>en</v>
      </c>
      <c r="B2502">
        <f>IFERROR(__xludf.DUMMYFUNCTION("""COMPUTED_VALUE"""),969148.0)</f>
        <v>969148</v>
      </c>
      <c r="C2502" t="str">
        <f>IFERROR(__xludf.DUMMYFUNCTION("""COMPUTED_VALUE"""),"Microsoft Outlook 2016: Beginner and Intermediate Training")</f>
        <v>Microsoft Outlook 2016: Beginner and Intermediate Training</v>
      </c>
    </row>
    <row r="2503">
      <c r="A2503" s="140" t="str">
        <f>IFERROR(__xludf.DUMMYFUNCTION("""COMPUTED_VALUE"""),"en")</f>
        <v>en</v>
      </c>
      <c r="B2503">
        <f>IFERROR(__xludf.DUMMYFUNCTION("""COMPUTED_VALUE"""),991578.0)</f>
        <v>991578</v>
      </c>
      <c r="C2503" t="str">
        <f>IFERROR(__xludf.DUMMYFUNCTION("""COMPUTED_VALUE"""),"Boost Your Productivity: Adapt, Improve, Do!")</f>
        <v>Boost Your Productivity: Adapt, Improve, Do!</v>
      </c>
    </row>
    <row r="2504">
      <c r="A2504" s="140" t="str">
        <f>IFERROR(__xludf.DUMMYFUNCTION("""COMPUTED_VALUE"""),"en")</f>
        <v>en</v>
      </c>
      <c r="B2504">
        <f>IFERROR(__xludf.DUMMYFUNCTION("""COMPUTED_VALUE"""),1546424.0)</f>
        <v>1546424</v>
      </c>
      <c r="C2504" t="str">
        <f>IFERROR(__xludf.DUMMYFUNCTION("""COMPUTED_VALUE"""),"Soft Skills: The 11 Essential Career Soft Skills")</f>
        <v>Soft Skills: The 11 Essential Career Soft Skills</v>
      </c>
    </row>
    <row r="2505">
      <c r="A2505" s="140" t="str">
        <f>IFERROR(__xludf.DUMMYFUNCTION("""COMPUTED_VALUE"""),"en")</f>
        <v>en</v>
      </c>
      <c r="B2505">
        <f>IFERROR(__xludf.DUMMYFUNCTION("""COMPUTED_VALUE"""),646452.0)</f>
        <v>646452</v>
      </c>
      <c r="C2505" t="str">
        <f>IFERROR(__xludf.DUMMYFUNCTION("""COMPUTED_VALUE"""),"Getting Started With SharePoint Online")</f>
        <v>Getting Started With SharePoint Online</v>
      </c>
    </row>
    <row r="2506">
      <c r="A2506" s="140" t="str">
        <f>IFERROR(__xludf.DUMMYFUNCTION("""COMPUTED_VALUE"""),"fr")</f>
        <v>fr</v>
      </c>
      <c r="B2506">
        <f>IFERROR(__xludf.DUMMYFUNCTION("""COMPUTED_VALUE"""),2245514.0)</f>
        <v>2245514</v>
      </c>
      <c r="C2506" t="str">
        <f>IFERROR(__xludf.DUMMYFUNCTION("""COMPUTED_VALUE"""),"L'Intelligence Artificielle pour l'Entreprise")</f>
        <v>L'Intelligence Artificielle pour l'Entreprise</v>
      </c>
    </row>
    <row r="2507">
      <c r="A2507" s="140" t="str">
        <f>IFERROR(__xludf.DUMMYFUNCTION("""COMPUTED_VALUE"""),"es")</f>
        <v>es</v>
      </c>
      <c r="B2507">
        <f>IFERROR(__xludf.DUMMYFUNCTION("""COMPUTED_VALUE"""),1342268.0)</f>
        <v>1342268</v>
      </c>
      <c r="C2507" t="str">
        <f>IFERROR(__xludf.DUMMYFUNCTION("""COMPUTED_VALUE"""),"Administrador de Cloud Computing con Linux")</f>
        <v>Administrador de Cloud Computing con Linux</v>
      </c>
    </row>
    <row r="2508">
      <c r="A2508" s="140" t="str">
        <f>IFERROR(__xludf.DUMMYFUNCTION("""COMPUTED_VALUE"""),"es")</f>
        <v>es</v>
      </c>
      <c r="B2508">
        <f>IFERROR(__xludf.DUMMYFUNCTION("""COMPUTED_VALUE"""),550142.0)</f>
        <v>550142</v>
      </c>
      <c r="C2508" t="str">
        <f>IFERROR(__xludf.DUMMYFUNCTION("""COMPUTED_VALUE"""),"Microsoft Access Básico e Intermedio + Certificado")</f>
        <v>Microsoft Access Básico e Intermedio + Certificado</v>
      </c>
    </row>
    <row r="2509">
      <c r="A2509" s="140" t="str">
        <f>IFERROR(__xludf.DUMMYFUNCTION("""COMPUTED_VALUE"""),"pt")</f>
        <v>pt</v>
      </c>
      <c r="B2509">
        <f>IFERROR(__xludf.DUMMYFUNCTION("""COMPUTED_VALUE"""),2323718.0)</f>
        <v>2323718</v>
      </c>
      <c r="C2509" t="str">
        <f>IFERROR(__xludf.DUMMYFUNCTION("""COMPUTED_VALUE"""),"Inteligência Artificial Para Todos com Excel")</f>
        <v>Inteligência Artificial Para Todos com Excel</v>
      </c>
    </row>
    <row r="2510">
      <c r="A2510" s="140" t="str">
        <f>IFERROR(__xludf.DUMMYFUNCTION("""COMPUTED_VALUE"""),"en")</f>
        <v>en</v>
      </c>
      <c r="B2510">
        <f>IFERROR(__xludf.DUMMYFUNCTION("""COMPUTED_VALUE"""),421216.0)</f>
        <v>421216</v>
      </c>
      <c r="C2510" t="str">
        <f>IFERROR(__xludf.DUMMYFUNCTION("""COMPUTED_VALUE"""),"Text Mining, Scraping and Sentiment Analysis with R")</f>
        <v>Text Mining, Scraping and Sentiment Analysis with R</v>
      </c>
    </row>
    <row r="2511">
      <c r="A2511" s="140" t="str">
        <f>IFERROR(__xludf.DUMMYFUNCTION("""COMPUTED_VALUE"""),"en")</f>
        <v>en</v>
      </c>
      <c r="B2511">
        <f>IFERROR(__xludf.DUMMYFUNCTION("""COMPUTED_VALUE"""),1380708.0)</f>
        <v>1380708</v>
      </c>
      <c r="C2511" t="str">
        <f>IFERROR(__xludf.DUMMYFUNCTION("""COMPUTED_VALUE"""),"Sketchup Architect Beginner Fast Track")</f>
        <v>Sketchup Architect Beginner Fast Track</v>
      </c>
    </row>
    <row r="2512">
      <c r="A2512" s="140" t="str">
        <f>IFERROR(__xludf.DUMMYFUNCTION("""COMPUTED_VALUE"""),"en")</f>
        <v>en</v>
      </c>
      <c r="B2512">
        <f>IFERROR(__xludf.DUMMYFUNCTION("""COMPUTED_VALUE"""),81706.0)</f>
        <v>81706</v>
      </c>
      <c r="C2512" t="str">
        <f>IFERROR(__xludf.DUMMYFUNCTION("""COMPUTED_VALUE"""),"Learn the ""Hand-Painted"" texturing style for video games")</f>
        <v>Learn the "Hand-Painted" texturing style for video games</v>
      </c>
    </row>
    <row r="2513">
      <c r="A2513" s="140" t="str">
        <f>IFERROR(__xludf.DUMMYFUNCTION("""COMPUTED_VALUE"""),"es")</f>
        <v>es</v>
      </c>
      <c r="B2513">
        <f>IFERROR(__xludf.DUMMYFUNCTION("""COMPUTED_VALUE"""),4279898.0)</f>
        <v>4279898</v>
      </c>
      <c r="C2513" t="str">
        <f>IFERROR(__xludf.DUMMYFUNCTION("""COMPUTED_VALUE"""),"CALMA: Curso Avanzado para el Manejo Exitoso de la Ansiedad")</f>
        <v>CALMA: Curso Avanzado para el Manejo Exitoso de la Ansiedad</v>
      </c>
    </row>
    <row r="2514">
      <c r="A2514" s="140" t="str">
        <f>IFERROR(__xludf.DUMMYFUNCTION("""COMPUTED_VALUE"""),"pt")</f>
        <v>pt</v>
      </c>
      <c r="B2514">
        <f>IFERROR(__xludf.DUMMYFUNCTION("""COMPUTED_VALUE"""),3540466.0)</f>
        <v>3540466</v>
      </c>
      <c r="C2514" t="str">
        <f>IFERROR(__xludf.DUMMYFUNCTION("""COMPUTED_VALUE"""),"Quant Trading - Operações de Long &amp; Short por Cointegração")</f>
        <v>Quant Trading - Operações de Long &amp; Short por Cointegração</v>
      </c>
    </row>
    <row r="2515">
      <c r="A2515" s="140" t="str">
        <f>IFERROR(__xludf.DUMMYFUNCTION("""COMPUTED_VALUE"""),"de")</f>
        <v>de</v>
      </c>
      <c r="B2515">
        <f>IFERROR(__xludf.DUMMYFUNCTION("""COMPUTED_VALUE"""),2622754.0)</f>
        <v>2622754</v>
      </c>
      <c r="C2515" t="str">
        <f>IFERROR(__xludf.DUMMYFUNCTION("""COMPUTED_VALUE"""),"Python A-Z - Lerne es schnell &amp; einfach, inkl. Data Science!")</f>
        <v>Python A-Z - Lerne es schnell &amp; einfach, inkl. Data Science!</v>
      </c>
    </row>
    <row r="2516">
      <c r="A2516" s="140" t="str">
        <f>IFERROR(__xludf.DUMMYFUNCTION("""COMPUTED_VALUE"""),"ja")</f>
        <v>ja</v>
      </c>
      <c r="B2516">
        <f>IFERROR(__xludf.DUMMYFUNCTION("""COMPUTED_VALUE"""),2329814.0)</f>
        <v>2329814</v>
      </c>
      <c r="C2516" t="str">
        <f>IFERROR(__xludf.DUMMYFUNCTION("""COMPUTED_VALUE"""),"React Hooks 入門 - HooksとReduxを組み合わせて最新のフロントエンド状態管理手法を習得")</f>
        <v>React Hooks 入門 - HooksとReduxを組み合わせて最新のフロントエンド状態管理手法を習得</v>
      </c>
    </row>
    <row r="2517">
      <c r="A2517" s="140" t="str">
        <f>IFERROR(__xludf.DUMMYFUNCTION("""COMPUTED_VALUE"""),"en")</f>
        <v>en</v>
      </c>
      <c r="B2517">
        <f>IFERROR(__xludf.DUMMYFUNCTION("""COMPUTED_VALUE"""),621660.0)</f>
        <v>621660</v>
      </c>
      <c r="C2517" t="str">
        <f>IFERROR(__xludf.DUMMYFUNCTION("""COMPUTED_VALUE"""),"The Complete Kemp VLM Load Balancer Course")</f>
        <v>The Complete Kemp VLM Load Balancer Course</v>
      </c>
    </row>
    <row r="2518">
      <c r="A2518" s="140" t="str">
        <f>IFERROR(__xludf.DUMMYFUNCTION("""COMPUTED_VALUE"""),"ja")</f>
        <v>ja</v>
      </c>
      <c r="B2518">
        <f>IFERROR(__xludf.DUMMYFUNCTION("""COMPUTED_VALUE"""),3990368.0)</f>
        <v>3990368</v>
      </c>
      <c r="C2518" t="str">
        <f>IFERROR(__xludf.DUMMYFUNCTION("""COMPUTED_VALUE"""),"【Hands Onで学ぶ】 PyTorchによるGANs入門")</f>
        <v>【Hands Onで学ぶ】 PyTorchによるGANs入門</v>
      </c>
    </row>
    <row r="2519">
      <c r="A2519" s="140" t="str">
        <f>IFERROR(__xludf.DUMMYFUNCTION("""COMPUTED_VALUE"""),"es")</f>
        <v>es</v>
      </c>
      <c r="B2519">
        <f>IFERROR(__xludf.DUMMYFUNCTION("""COMPUTED_VALUE"""),1266742.0)</f>
        <v>1266742</v>
      </c>
      <c r="C2519" t="str">
        <f>IFERROR(__xludf.DUMMYFUNCTION("""COMPUTED_VALUE"""),"Aprende Android Kotlin desde cero")</f>
        <v>Aprende Android Kotlin desde cero</v>
      </c>
    </row>
    <row r="2520">
      <c r="A2520" s="140" t="str">
        <f>IFERROR(__xludf.DUMMYFUNCTION("""COMPUTED_VALUE"""),"en")</f>
        <v>en</v>
      </c>
      <c r="B2520">
        <f>IFERROR(__xludf.DUMMYFUNCTION("""COMPUTED_VALUE"""),4356560.0)</f>
        <v>4356560</v>
      </c>
      <c r="C2520" t="str">
        <f>IFERROR(__xludf.DUMMYFUNCTION("""COMPUTED_VALUE"""),"Change Management for leaders: Lead like a lion")</f>
        <v>Change Management for leaders: Lead like a lion</v>
      </c>
    </row>
    <row r="2521">
      <c r="A2521" s="140" t="str">
        <f>IFERROR(__xludf.DUMMYFUNCTION("""COMPUTED_VALUE"""),"en")</f>
        <v>en</v>
      </c>
      <c r="B2521">
        <f>IFERROR(__xludf.DUMMYFUNCTION("""COMPUTED_VALUE"""),951618.0)</f>
        <v>951618</v>
      </c>
      <c r="C2521" t="str">
        <f>IFERROR(__xludf.DUMMYFUNCTION("""COMPUTED_VALUE"""),"The Complete Android N Developer Course")</f>
        <v>The Complete Android N Developer Course</v>
      </c>
    </row>
    <row r="2522">
      <c r="A2522" s="140" t="str">
        <f>IFERROR(__xludf.DUMMYFUNCTION("""COMPUTED_VALUE"""),"en")</f>
        <v>en</v>
      </c>
      <c r="B2522">
        <f>IFERROR(__xludf.DUMMYFUNCTION("""COMPUTED_VALUE"""),1529174.0)</f>
        <v>1529174</v>
      </c>
      <c r="C2522" t="str">
        <f>IFERROR(__xludf.DUMMYFUNCTION("""COMPUTED_VALUE"""),"Modulation in Communication System for RF Engineers RAHRF152")</f>
        <v>Modulation in Communication System for RF Engineers RAHRF152</v>
      </c>
    </row>
    <row r="2523">
      <c r="A2523" s="140" t="str">
        <f>IFERROR(__xludf.DUMMYFUNCTION("""COMPUTED_VALUE"""),"en")</f>
        <v>en</v>
      </c>
      <c r="B2523">
        <f>IFERROR(__xludf.DUMMYFUNCTION("""COMPUTED_VALUE"""),2374330.0)</f>
        <v>2374330</v>
      </c>
      <c r="C2523" t="str">
        <f>IFERROR(__xludf.DUMMYFUNCTION("""COMPUTED_VALUE"""),"Automated Software Testing with WebdriverIO")</f>
        <v>Automated Software Testing with WebdriverIO</v>
      </c>
    </row>
    <row r="2524">
      <c r="A2524" s="140" t="str">
        <f>IFERROR(__xludf.DUMMYFUNCTION("""COMPUTED_VALUE"""),"en")</f>
        <v>en</v>
      </c>
      <c r="B2524">
        <f>IFERROR(__xludf.DUMMYFUNCTION("""COMPUTED_VALUE"""),3936796.0)</f>
        <v>3936796</v>
      </c>
      <c r="C2524" t="str">
        <f>IFERROR(__xludf.DUMMYFUNCTION("""COMPUTED_VALUE"""),"SharePoint 365 for Power Users")</f>
        <v>SharePoint 365 for Power Users</v>
      </c>
    </row>
    <row r="2525">
      <c r="A2525" s="140" t="str">
        <f>IFERROR(__xludf.DUMMYFUNCTION("""COMPUTED_VALUE"""),"en")</f>
        <v>en</v>
      </c>
      <c r="B2525">
        <f>IFERROR(__xludf.DUMMYFUNCTION("""COMPUTED_VALUE"""),1321534.0)</f>
        <v>1321534</v>
      </c>
      <c r="C2525" t="str">
        <f>IFERROR(__xludf.DUMMYFUNCTION("""COMPUTED_VALUE"""),"Fundamentals of the OpenStack Cloud with Hands-on Labs")</f>
        <v>Fundamentals of the OpenStack Cloud with Hands-on Labs</v>
      </c>
    </row>
    <row r="2526">
      <c r="A2526" s="140" t="str">
        <f>IFERROR(__xludf.DUMMYFUNCTION("""COMPUTED_VALUE"""),"en")</f>
        <v>en</v>
      </c>
      <c r="B2526">
        <f>IFERROR(__xludf.DUMMYFUNCTION("""COMPUTED_VALUE"""),2799214.0)</f>
        <v>2799214</v>
      </c>
      <c r="C2526" t="str">
        <f>IFERROR(__xludf.DUMMYFUNCTION("""COMPUTED_VALUE"""),"RPG Inventory Systems Asset Pack: Behind The Scenes")</f>
        <v>RPG Inventory Systems Asset Pack: Behind The Scenes</v>
      </c>
    </row>
    <row r="2527">
      <c r="A2527" s="140" t="str">
        <f>IFERROR(__xludf.DUMMYFUNCTION("""COMPUTED_VALUE"""),"es")</f>
        <v>es</v>
      </c>
      <c r="B2527">
        <f>IFERROR(__xludf.DUMMYFUNCTION("""COMPUTED_VALUE"""),2705674.0)</f>
        <v>2705674</v>
      </c>
      <c r="C2527" t="str">
        <f>IFERROR(__xludf.DUMMYFUNCTION("""COMPUTED_VALUE"""),"Aprende de cero  MongoDB - MongoDB Atlas - MongoDB Compass")</f>
        <v>Aprende de cero  MongoDB - MongoDB Atlas - MongoDB Compass</v>
      </c>
    </row>
    <row r="2528">
      <c r="A2528" s="140" t="str">
        <f>IFERROR(__xludf.DUMMYFUNCTION("""COMPUTED_VALUE"""),"ja")</f>
        <v>ja</v>
      </c>
      <c r="B2528">
        <f>IFERROR(__xludf.DUMMYFUNCTION("""COMPUTED_VALUE"""),3905540.0)</f>
        <v>3905540</v>
      </c>
      <c r="C2528" t="str">
        <f>IFERROR(__xludf.DUMMYFUNCTION("""COMPUTED_VALUE"""),"【世界で高評価！】職場でのダイバーシティ推進のためのアライシップ")</f>
        <v>【世界で高評価！】職場でのダイバーシティ推進のためのアライシップ</v>
      </c>
    </row>
    <row r="2529">
      <c r="A2529" s="140" t="str">
        <f>IFERROR(__xludf.DUMMYFUNCTION("""COMPUTED_VALUE"""),"en")</f>
        <v>en</v>
      </c>
      <c r="B2529">
        <f>IFERROR(__xludf.DUMMYFUNCTION("""COMPUTED_VALUE"""),2981704.0)</f>
        <v>2981704</v>
      </c>
      <c r="C2529" t="str">
        <f>IFERROR(__xludf.DUMMYFUNCTION("""COMPUTED_VALUE"""),"AWS Certified Developer Associate Practice Exam Questions")</f>
        <v>AWS Certified Developer Associate Practice Exam Questions</v>
      </c>
    </row>
    <row r="2530">
      <c r="A2530" s="140" t="str">
        <f>IFERROR(__xludf.DUMMYFUNCTION("""COMPUTED_VALUE"""),"en")</f>
        <v>en</v>
      </c>
      <c r="B2530">
        <f>IFERROR(__xludf.DUMMYFUNCTION("""COMPUTED_VALUE"""),3833732.0)</f>
        <v>3833732</v>
      </c>
      <c r="C2530" t="str">
        <f>IFERROR(__xludf.DUMMYFUNCTION("""COMPUTED_VALUE"""),"Catia V5 Beginner to Advanced - Automotive and Industrial")</f>
        <v>Catia V5 Beginner to Advanced - Automotive and Industrial</v>
      </c>
    </row>
    <row r="2531">
      <c r="A2531" s="140" t="str">
        <f>IFERROR(__xludf.DUMMYFUNCTION("""COMPUTED_VALUE"""),"en")</f>
        <v>en</v>
      </c>
      <c r="B2531">
        <f>IFERROR(__xludf.DUMMYFUNCTION("""COMPUTED_VALUE"""),1437332.0)</f>
        <v>1437332</v>
      </c>
      <c r="C2531" t="str">
        <f>IFERROR(__xludf.DUMMYFUNCTION("""COMPUTED_VALUE"""),"Ruby Programming For Everyone")</f>
        <v>Ruby Programming For Everyone</v>
      </c>
    </row>
    <row r="2532">
      <c r="A2532" s="140" t="str">
        <f>IFERROR(__xludf.DUMMYFUNCTION("""COMPUTED_VALUE"""),"en")</f>
        <v>en</v>
      </c>
      <c r="B2532">
        <f>IFERROR(__xludf.DUMMYFUNCTION("""COMPUTED_VALUE"""),1190348.0)</f>
        <v>1190348</v>
      </c>
      <c r="C2532" t="str">
        <f>IFERROR(__xludf.DUMMYFUNCTION("""COMPUTED_VALUE"""),"Essentials of Software-as-a-Service (SaaS) Business")</f>
        <v>Essentials of Software-as-a-Service (SaaS) Business</v>
      </c>
    </row>
    <row r="2533">
      <c r="A2533" s="140" t="str">
        <f>IFERROR(__xludf.DUMMYFUNCTION("""COMPUTED_VALUE"""),"es")</f>
        <v>es</v>
      </c>
      <c r="B2533">
        <f>IFERROR(__xludf.DUMMYFUNCTION("""COMPUTED_VALUE"""),4001926.0)</f>
        <v>4001926</v>
      </c>
      <c r="C2533" t="str">
        <f>IFERROR(__xludf.DUMMYFUNCTION("""COMPUTED_VALUE"""),"Flutter Web: Aplicaciones y páginas web profesionales")</f>
        <v>Flutter Web: Aplicaciones y páginas web profesionales</v>
      </c>
    </row>
    <row r="2534">
      <c r="A2534" s="140" t="str">
        <f>IFERROR(__xludf.DUMMYFUNCTION("""COMPUTED_VALUE"""),"en")</f>
        <v>en</v>
      </c>
      <c r="B2534">
        <f>IFERROR(__xludf.DUMMYFUNCTION("""COMPUTED_VALUE"""),2243250.0)</f>
        <v>2243250</v>
      </c>
      <c r="C2534" t="str">
        <f>IFERROR(__xludf.DUMMYFUNCTION("""COMPUTED_VALUE"""),"Django Masterclass : Build Web Apps With Python &amp; Django")</f>
        <v>Django Masterclass : Build Web Apps With Python &amp; Django</v>
      </c>
    </row>
    <row r="2535">
      <c r="A2535" s="140" t="str">
        <f>IFERROR(__xludf.DUMMYFUNCTION("""COMPUTED_VALUE"""),"fr")</f>
        <v>fr</v>
      </c>
      <c r="B2535">
        <f>IFERROR(__xludf.DUMMYFUNCTION("""COMPUTED_VALUE"""),3893422.0)</f>
        <v>3893422</v>
      </c>
      <c r="C2535" t="str">
        <f>IFERROR(__xludf.DUMMYFUNCTION("""COMPUTED_VALUE"""),"La Formation Complète Django")</f>
        <v>La Formation Complète Django</v>
      </c>
    </row>
    <row r="2536">
      <c r="A2536" s="140" t="str">
        <f>IFERROR(__xludf.DUMMYFUNCTION("""COMPUTED_VALUE"""),"ja")</f>
        <v>ja</v>
      </c>
      <c r="B2536">
        <f>IFERROR(__xludf.DUMMYFUNCTION("""COMPUTED_VALUE"""),611514.0)</f>
        <v>611514</v>
      </c>
      <c r="C2536" t="str">
        <f>IFERROR(__xludf.DUMMYFUNCTION("""COMPUTED_VALUE"""),"現役女子アナ直伝！プレゼンテーション上達法")</f>
        <v>現役女子アナ直伝！プレゼンテーション上達法</v>
      </c>
    </row>
    <row r="2537">
      <c r="A2537" s="140" t="str">
        <f>IFERROR(__xludf.DUMMYFUNCTION("""COMPUTED_VALUE"""),"en")</f>
        <v>en</v>
      </c>
      <c r="B2537">
        <f>IFERROR(__xludf.DUMMYFUNCTION("""COMPUTED_VALUE"""),505378.0)</f>
        <v>505378</v>
      </c>
      <c r="C2537" t="str">
        <f>IFERROR(__xludf.DUMMYFUNCTION("""COMPUTED_VALUE"""),"SharePoint 2013: End User")</f>
        <v>SharePoint 2013: End User</v>
      </c>
    </row>
    <row r="2538">
      <c r="A2538" s="140" t="str">
        <f>IFERROR(__xludf.DUMMYFUNCTION("""COMPUTED_VALUE"""),"es")</f>
        <v>es</v>
      </c>
      <c r="B2538">
        <f>IFERROR(__xludf.DUMMYFUNCTION("""COMPUTED_VALUE"""),1135700.0)</f>
        <v>1135700</v>
      </c>
      <c r="C2538" t="str">
        <f>IFERROR(__xludf.DUMMYFUNCTION("""COMPUTED_VALUE"""),"Instalación y configuración de Exchange Server 2016")</f>
        <v>Instalación y configuración de Exchange Server 2016</v>
      </c>
    </row>
    <row r="2539">
      <c r="A2539" s="140" t="str">
        <f>IFERROR(__xludf.DUMMYFUNCTION("""COMPUTED_VALUE"""),"en")</f>
        <v>en</v>
      </c>
      <c r="B2539">
        <f>IFERROR(__xludf.DUMMYFUNCTION("""COMPUTED_VALUE"""),130064.0)</f>
        <v>130064</v>
      </c>
      <c r="C2539" t="str">
        <f>IFERROR(__xludf.DUMMYFUNCTION("""COMPUTED_VALUE"""),"Practical PHP: Master the Basics and Code Dynamic Websites")</f>
        <v>Practical PHP: Master the Basics and Code Dynamic Websites</v>
      </c>
    </row>
    <row r="2540">
      <c r="A2540" s="140" t="str">
        <f>IFERROR(__xludf.DUMMYFUNCTION("""COMPUTED_VALUE"""),"ja")</f>
        <v>ja</v>
      </c>
      <c r="B2540">
        <f>IFERROR(__xludf.DUMMYFUNCTION("""COMPUTED_VALUE"""),3520836.0)</f>
        <v>3520836</v>
      </c>
      <c r="C2540" t="str">
        <f>IFERROR(__xludf.DUMMYFUNCTION("""COMPUTED_VALUE"""),"【Flutter】3日でできるFlutterアプリ開発入門【環境構築からUI作成まで】")</f>
        <v>【Flutter】3日でできるFlutterアプリ開発入門【環境構築からUI作成まで】</v>
      </c>
    </row>
    <row r="2541">
      <c r="A2541" s="140" t="str">
        <f>IFERROR(__xludf.DUMMYFUNCTION("""COMPUTED_VALUE"""),"fr")</f>
        <v>fr</v>
      </c>
      <c r="B2541">
        <f>IFERROR(__xludf.DUMMYFUNCTION("""COMPUTED_VALUE"""),3244588.0)</f>
        <v>3244588</v>
      </c>
      <c r="C2541" t="str">
        <f>IFERROR(__xludf.DUMMYFUNCTION("""COMPUTED_VALUE"""),"BOOTSTRAP 5 : la formation ULTIME")</f>
        <v>BOOTSTRAP 5 : la formation ULTIME</v>
      </c>
    </row>
    <row r="2542">
      <c r="A2542" s="140" t="str">
        <f>IFERROR(__xludf.DUMMYFUNCTION("""COMPUTED_VALUE"""),"es")</f>
        <v>es</v>
      </c>
      <c r="B2542">
        <f>IFERROR(__xludf.DUMMYFUNCTION("""COMPUTED_VALUE"""),338742.0)</f>
        <v>338742</v>
      </c>
      <c r="C2542" t="str">
        <f>IFERROR(__xludf.DUMMYFUNCTION("""COMPUTED_VALUE"""),"Gamificación de contenidos en Powerpoint 2020")</f>
        <v>Gamificación de contenidos en Powerpoint 2020</v>
      </c>
    </row>
    <row r="2543">
      <c r="A2543" s="140" t="str">
        <f>IFERROR(__xludf.DUMMYFUNCTION("""COMPUTED_VALUE"""),"en")</f>
        <v>en</v>
      </c>
      <c r="B2543">
        <f>IFERROR(__xludf.DUMMYFUNCTION("""COMPUTED_VALUE"""),2287615.0)</f>
        <v>2287615</v>
      </c>
      <c r="C2543" t="str">
        <f>IFERROR(__xludf.DUMMYFUNCTION("""COMPUTED_VALUE"""),"Akka HTTP with Scala | Rock the JVM")</f>
        <v>Akka HTTP with Scala | Rock the JVM</v>
      </c>
    </row>
    <row r="2544">
      <c r="A2544" s="140" t="str">
        <f>IFERROR(__xludf.DUMMYFUNCTION("""COMPUTED_VALUE"""),"de")</f>
        <v>de</v>
      </c>
      <c r="B2544">
        <f>IFERROR(__xludf.DUMMYFUNCTION("""COMPUTED_VALUE"""),1427034.0)</f>
        <v>1427034</v>
      </c>
      <c r="C2544" t="str">
        <f>IFERROR(__xludf.DUMMYFUNCTION("""COMPUTED_VALUE"""),"Krypto Academy - Beginner zum Tradingprofi (Kryptowährungen)")</f>
        <v>Krypto Academy - Beginner zum Tradingprofi (Kryptowährungen)</v>
      </c>
    </row>
    <row r="2545">
      <c r="A2545" s="140" t="str">
        <f>IFERROR(__xludf.DUMMYFUNCTION("""COMPUTED_VALUE"""),"en")</f>
        <v>en</v>
      </c>
      <c r="B2545">
        <f>IFERROR(__xludf.DUMMYFUNCTION("""COMPUTED_VALUE"""),3438390.0)</f>
        <v>3438390</v>
      </c>
      <c r="C2545" t="str">
        <f>IFERROR(__xludf.DUMMYFUNCTION("""COMPUTED_VALUE"""),"Adobe XD Masterclass: Learn UI &amp; UX Design from Zero to Hero")</f>
        <v>Adobe XD Masterclass: Learn UI &amp; UX Design from Zero to Hero</v>
      </c>
    </row>
    <row r="2546">
      <c r="A2546" s="140" t="str">
        <f>IFERROR(__xludf.DUMMYFUNCTION("""COMPUTED_VALUE"""),"en")</f>
        <v>en</v>
      </c>
      <c r="B2546">
        <f>IFERROR(__xludf.DUMMYFUNCTION("""COMPUTED_VALUE"""),2163018.0)</f>
        <v>2163018</v>
      </c>
      <c r="C2546" t="str">
        <f>IFERROR(__xludf.DUMMYFUNCTION("""COMPUTED_VALUE"""),"Your own SAP Cloud System in 30 minutes")</f>
        <v>Your own SAP Cloud System in 30 minutes</v>
      </c>
    </row>
    <row r="2547">
      <c r="A2547" s="140" t="str">
        <f>IFERROR(__xludf.DUMMYFUNCTION("""COMPUTED_VALUE"""),"es")</f>
        <v>es</v>
      </c>
      <c r="B2547">
        <f>IFERROR(__xludf.DUMMYFUNCTION("""COMPUTED_VALUE"""),2442912.0)</f>
        <v>2442912</v>
      </c>
      <c r="C2547" t="str">
        <f>IFERROR(__xludf.DUMMYFUNCTION("""COMPUTED_VALUE"""),"Svelte: Desarrollo web moderno con javascript")</f>
        <v>Svelte: Desarrollo web moderno con javascript</v>
      </c>
    </row>
    <row r="2548">
      <c r="A2548" s="140" t="str">
        <f>IFERROR(__xludf.DUMMYFUNCTION("""COMPUTED_VALUE"""),"pt")</f>
        <v>pt</v>
      </c>
      <c r="B2548">
        <f>IFERROR(__xludf.DUMMYFUNCTION("""COMPUTED_VALUE"""),1964340.0)</f>
        <v>1964340</v>
      </c>
      <c r="C2548" t="str">
        <f>IFERROR(__xludf.DUMMYFUNCTION("""COMPUTED_VALUE"""),"ISO 27001: Curso completo para certificação EXIN ISFS!")</f>
        <v>ISO 27001: Curso completo para certificação EXIN ISFS!</v>
      </c>
    </row>
    <row r="2549">
      <c r="A2549" s="140" t="str">
        <f>IFERROR(__xludf.DUMMYFUNCTION("""COMPUTED_VALUE"""),"tr")</f>
        <v>tr</v>
      </c>
      <c r="B2549">
        <f>IFERROR(__xludf.DUMMYFUNCTION("""COMPUTED_VALUE"""),2081156.0)</f>
        <v>2081156</v>
      </c>
      <c r="C2549" t="str">
        <f>IFERROR(__xludf.DUMMYFUNCTION("""COMPUTED_VALUE"""),"Oracle SQL, Sıfırdan İleri Düzeye, Programlama ve Referans")</f>
        <v>Oracle SQL, Sıfırdan İleri Düzeye, Programlama ve Referans</v>
      </c>
    </row>
    <row r="2550">
      <c r="A2550" s="140" t="str">
        <f>IFERROR(__xludf.DUMMYFUNCTION("""COMPUTED_VALUE"""),"fr")</f>
        <v>fr</v>
      </c>
      <c r="B2550">
        <f>IFERROR(__xludf.DUMMYFUNCTION("""COMPUTED_VALUE"""),2402946.0)</f>
        <v>2402946</v>
      </c>
      <c r="C2550" t="str">
        <f>IFERROR(__xludf.DUMMYFUNCTION("""COMPUTED_VALUE"""),"Filmer, monter et diffuser une vidéo avec son iPhone")</f>
        <v>Filmer, monter et diffuser une vidéo avec son iPhone</v>
      </c>
    </row>
    <row r="2551">
      <c r="A2551" s="140" t="str">
        <f>IFERROR(__xludf.DUMMYFUNCTION("""COMPUTED_VALUE"""),"ja")</f>
        <v>ja</v>
      </c>
      <c r="B2551">
        <f>IFERROR(__xludf.DUMMYFUNCTION("""COMPUTED_VALUE"""),992866.0)</f>
        <v>992866</v>
      </c>
      <c r="C2551" t="str">
        <f>IFERROR(__xludf.DUMMYFUNCTION("""COMPUTED_VALUE"""),"【1日完結】Premiere Proの使い方~動画クリエイターコース~")</f>
        <v>【1日完結】Premiere Proの使い方~動画クリエイターコース~</v>
      </c>
    </row>
    <row r="2552">
      <c r="A2552" s="140" t="str">
        <f>IFERROR(__xludf.DUMMYFUNCTION("""COMPUTED_VALUE"""),"fr")</f>
        <v>fr</v>
      </c>
      <c r="B2552">
        <f>IFERROR(__xludf.DUMMYFUNCTION("""COMPUTED_VALUE"""),2408732.0)</f>
        <v>2408732</v>
      </c>
      <c r="C2552" t="str">
        <f>IFERROR(__xludf.DUMMYFUNCTION("""COMPUTED_VALUE"""),"SwiftUI créez des applications pour  iOS 13, iPadOS et macOS")</f>
        <v>SwiftUI créez des applications pour  iOS 13, iPadOS et macOS</v>
      </c>
    </row>
    <row r="2553">
      <c r="A2553" s="140" t="str">
        <f>IFERROR(__xludf.DUMMYFUNCTION("""COMPUTED_VALUE"""),"es")</f>
        <v>es</v>
      </c>
      <c r="B2553">
        <f>IFERROR(__xludf.DUMMYFUNCTION("""COMPUTED_VALUE"""),3257046.0)</f>
        <v>3257046</v>
      </c>
      <c r="C2553" t="str">
        <f>IFERROR(__xludf.DUMMYFUNCTION("""COMPUTED_VALUE"""),"Mindfulness online con el Dr. Juan Manuel Santisteban Negroe")</f>
        <v>Mindfulness online con el Dr. Juan Manuel Santisteban Negroe</v>
      </c>
    </row>
    <row r="2554">
      <c r="A2554" s="140" t="str">
        <f>IFERROR(__xludf.DUMMYFUNCTION("""COMPUTED_VALUE"""),"en")</f>
        <v>en</v>
      </c>
      <c r="B2554">
        <f>IFERROR(__xludf.DUMMYFUNCTION("""COMPUTED_VALUE"""),1482476.0)</f>
        <v>1482476</v>
      </c>
      <c r="C2554" t="str">
        <f>IFERROR(__xludf.DUMMYFUNCTION("""COMPUTED_VALUE"""),"Land use Land cover classification GIS, ERDAS, ArcGIS, ENVI")</f>
        <v>Land use Land cover classification GIS, ERDAS, ArcGIS, ENVI</v>
      </c>
    </row>
    <row r="2555">
      <c r="A2555" s="140" t="str">
        <f>IFERROR(__xludf.DUMMYFUNCTION("""COMPUTED_VALUE"""),"en")</f>
        <v>en</v>
      </c>
      <c r="B2555">
        <f>IFERROR(__xludf.DUMMYFUNCTION("""COMPUTED_VALUE"""),2504296.0)</f>
        <v>2504296</v>
      </c>
      <c r="C2555" t="str">
        <f>IFERROR(__xludf.DUMMYFUNCTION("""COMPUTED_VALUE"""),"sap abap module pool programming for beginners")</f>
        <v>sap abap module pool programming for beginners</v>
      </c>
    </row>
    <row r="2556">
      <c r="A2556" s="140" t="str">
        <f>IFERROR(__xludf.DUMMYFUNCTION("""COMPUTED_VALUE"""),"en")</f>
        <v>en</v>
      </c>
      <c r="B2556">
        <f>IFERROR(__xludf.DUMMYFUNCTION("""COMPUTED_VALUE"""),411446.0)</f>
        <v>411446</v>
      </c>
      <c r="C2556" t="str">
        <f>IFERROR(__xludf.DUMMYFUNCTION("""COMPUTED_VALUE"""),"WordPress: Create Stunning Wordpress Websites for Business")</f>
        <v>WordPress: Create Stunning Wordpress Websites for Business</v>
      </c>
    </row>
    <row r="2557">
      <c r="A2557" s="140" t="str">
        <f>IFERROR(__xludf.DUMMYFUNCTION("""COMPUTED_VALUE"""),"pt")</f>
        <v>pt</v>
      </c>
      <c r="B2557">
        <f>IFERROR(__xludf.DUMMYFUNCTION("""COMPUTED_VALUE"""),3352980.0)</f>
        <v>3352980</v>
      </c>
      <c r="C2557" t="str">
        <f>IFERROR(__xludf.DUMMYFUNCTION("""COMPUTED_VALUE"""),"Modelagem de ameaças - Construção de sistemas seguros")</f>
        <v>Modelagem de ameaças - Construção de sistemas seguros</v>
      </c>
    </row>
    <row r="2558">
      <c r="A2558" s="140" t="str">
        <f>IFERROR(__xludf.DUMMYFUNCTION("""COMPUTED_VALUE"""),"es")</f>
        <v>es</v>
      </c>
      <c r="B2558">
        <f>IFERROR(__xludf.DUMMYFUNCTION("""COMPUTED_VALUE"""),1374394.0)</f>
        <v>1374394</v>
      </c>
      <c r="C2558" t="str">
        <f>IFERROR(__xludf.DUMMYFUNCTION("""COMPUTED_VALUE"""),"React JS + Redux + ES6. Completo ¡De 0 a experto! (español)")</f>
        <v>React JS + Redux + ES6. Completo ¡De 0 a experto! (español)</v>
      </c>
    </row>
    <row r="2559">
      <c r="A2559" s="140" t="str">
        <f>IFERROR(__xludf.DUMMYFUNCTION("""COMPUTED_VALUE"""),"en")</f>
        <v>en</v>
      </c>
      <c r="B2559">
        <f>IFERROR(__xludf.DUMMYFUNCTION("""COMPUTED_VALUE"""),1625800.0)</f>
        <v>1625800</v>
      </c>
      <c r="C2559" t="str">
        <f>IFERROR(__xludf.DUMMYFUNCTION("""COMPUTED_VALUE"""),"The Complete Android™ Animations Course")</f>
        <v>The Complete Android™ Animations Course</v>
      </c>
    </row>
    <row r="2560">
      <c r="A2560" s="140" t="str">
        <f>IFERROR(__xludf.DUMMYFUNCTION("""COMPUTED_VALUE"""),"en")</f>
        <v>en</v>
      </c>
      <c r="B2560">
        <f>IFERROR(__xludf.DUMMYFUNCTION("""COMPUTED_VALUE"""),3526528.0)</f>
        <v>3526528</v>
      </c>
      <c r="C2560" t="str">
        <f>IFERROR(__xludf.DUMMYFUNCTION("""COMPUTED_VALUE"""),"SoftwareAG webMethods Integration (OnPremise) for Beginners")</f>
        <v>SoftwareAG webMethods Integration (OnPremise) for Beginners</v>
      </c>
    </row>
    <row r="2561">
      <c r="A2561" s="140" t="str">
        <f>IFERROR(__xludf.DUMMYFUNCTION("""COMPUTED_VALUE"""),"en")</f>
        <v>en</v>
      </c>
      <c r="B2561">
        <f>IFERROR(__xludf.DUMMYFUNCTION("""COMPUTED_VALUE"""),3683662.0)</f>
        <v>3683662</v>
      </c>
      <c r="C2561" t="str">
        <f>IFERROR(__xludf.DUMMYFUNCTION("""COMPUTED_VALUE"""),"2021 Python for Linear Regression in Machine Learning")</f>
        <v>2021 Python for Linear Regression in Machine Learning</v>
      </c>
    </row>
    <row r="2562">
      <c r="A2562" s="140" t="str">
        <f>IFERROR(__xludf.DUMMYFUNCTION("""COMPUTED_VALUE"""),"tr")</f>
        <v>tr</v>
      </c>
      <c r="B2562">
        <f>IFERROR(__xludf.DUMMYFUNCTION("""COMPUTED_VALUE"""),3535648.0)</f>
        <v>3535648</v>
      </c>
      <c r="C2562" t="str">
        <f>IFERROR(__xludf.DUMMYFUNCTION("""COMPUTED_VALUE"""),"Temel Kumanda , Delta DVP Serisi PLC ve GMT PLC Programlama")</f>
        <v>Temel Kumanda , Delta DVP Serisi PLC ve GMT PLC Programlama</v>
      </c>
    </row>
    <row r="2563">
      <c r="A2563" s="140" t="str">
        <f>IFERROR(__xludf.DUMMYFUNCTION("""COMPUTED_VALUE"""),"pt")</f>
        <v>pt</v>
      </c>
      <c r="B2563">
        <f>IFERROR(__xludf.DUMMYFUNCTION("""COMPUTED_VALUE"""),1674658.0)</f>
        <v>1674658</v>
      </c>
      <c r="C2563" t="str">
        <f>IFERROR(__xludf.DUMMYFUNCTION("""COMPUTED_VALUE"""),"Conceitos e Modelagem de Banco de Dados Relacional.")</f>
        <v>Conceitos e Modelagem de Banco de Dados Relacional.</v>
      </c>
    </row>
    <row r="2564">
      <c r="A2564" s="140" t="str">
        <f>IFERROR(__xludf.DUMMYFUNCTION("""COMPUTED_VALUE"""),"tr")</f>
        <v>tr</v>
      </c>
      <c r="B2564">
        <f>IFERROR(__xludf.DUMMYFUNCTION("""COMPUTED_VALUE"""),1171820.0)</f>
        <v>1171820</v>
      </c>
      <c r="C2564" t="str">
        <f>IFERROR(__xludf.DUMMYFUNCTION("""COMPUTED_VALUE"""),"Kali Linux ile Sızma Testleri Eğitimi")</f>
        <v>Kali Linux ile Sızma Testleri Eğitimi</v>
      </c>
    </row>
    <row r="2565">
      <c r="A2565" s="140" t="str">
        <f>IFERROR(__xludf.DUMMYFUNCTION("""COMPUTED_VALUE"""),"en")</f>
        <v>en</v>
      </c>
      <c r="B2565">
        <f>IFERROR(__xludf.DUMMYFUNCTION("""COMPUTED_VALUE"""),1631156.0)</f>
        <v>1631156</v>
      </c>
      <c r="C2565" t="str">
        <f>IFERROR(__xludf.DUMMYFUNCTION("""COMPUTED_VALUE"""),"Email Marketing - The Complete Guide to MailChimp")</f>
        <v>Email Marketing - The Complete Guide to MailChimp</v>
      </c>
    </row>
    <row r="2566">
      <c r="A2566" s="140" t="str">
        <f>IFERROR(__xludf.DUMMYFUNCTION("""COMPUTED_VALUE"""),"pt")</f>
        <v>pt</v>
      </c>
      <c r="B2566">
        <f>IFERROR(__xludf.DUMMYFUNCTION("""COMPUTED_VALUE"""),2026616.0)</f>
        <v>2026616</v>
      </c>
      <c r="C2566" t="str">
        <f>IFERROR(__xludf.DUMMYFUNCTION("""COMPUTED_VALUE"""),"Desenvolvimento Web com PHP e Banco de Dados MySQL")</f>
        <v>Desenvolvimento Web com PHP e Banco de Dados MySQL</v>
      </c>
    </row>
    <row r="2567">
      <c r="A2567" s="140" t="str">
        <f>IFERROR(__xludf.DUMMYFUNCTION("""COMPUTED_VALUE"""),"ko")</f>
        <v>ko</v>
      </c>
      <c r="B2567">
        <f>IFERROR(__xludf.DUMMYFUNCTION("""COMPUTED_VALUE"""),4275370.0)</f>
        <v>4275370</v>
      </c>
      <c r="C2567" t="str">
        <f>IFERROR(__xludf.DUMMYFUNCTION("""COMPUTED_VALUE"""),"기초중국어로 시작하는 원어민들이 쓰는 진짜중국어")</f>
        <v>기초중국어로 시작하는 원어민들이 쓰는 진짜중국어</v>
      </c>
    </row>
    <row r="2568">
      <c r="A2568" s="140" t="str">
        <f>IFERROR(__xludf.DUMMYFUNCTION("""COMPUTED_VALUE"""),"en")</f>
        <v>en</v>
      </c>
      <c r="B2568">
        <f>IFERROR(__xludf.DUMMYFUNCTION("""COMPUTED_VALUE"""),4174580.0)</f>
        <v>4174580</v>
      </c>
      <c r="C2568" t="str">
        <f>IFERROR(__xludf.DUMMYFUNCTION("""COMPUTED_VALUE"""),"NestJS: The Complete Developer's Guide")</f>
        <v>NestJS: The Complete Developer's Guide</v>
      </c>
    </row>
    <row r="2569">
      <c r="A2569" s="140" t="str">
        <f>IFERROR(__xludf.DUMMYFUNCTION("""COMPUTED_VALUE"""),"en")</f>
        <v>en</v>
      </c>
      <c r="B2569">
        <f>IFERROR(__xludf.DUMMYFUNCTION("""COMPUTED_VALUE"""),1657930.0)</f>
        <v>1657930</v>
      </c>
      <c r="C2569" t="str">
        <f>IFERROR(__xludf.DUMMYFUNCTION("""COMPUTED_VALUE"""),"GraphQL by Example")</f>
        <v>GraphQL by Example</v>
      </c>
    </row>
    <row r="2570">
      <c r="A2570" s="140" t="str">
        <f>IFERROR(__xludf.DUMMYFUNCTION("""COMPUTED_VALUE"""),"en")</f>
        <v>en</v>
      </c>
      <c r="B2570">
        <f>IFERROR(__xludf.DUMMYFUNCTION("""COMPUTED_VALUE"""),516846.0)</f>
        <v>516846</v>
      </c>
      <c r="C2570" t="str">
        <f>IFERROR(__xludf.DUMMYFUNCTION("""COMPUTED_VALUE"""),"Certified Management Accountant's 2021 Exam #1 Prep.")</f>
        <v>Certified Management Accountant's 2021 Exam #1 Prep.</v>
      </c>
    </row>
    <row r="2571">
      <c r="A2571" s="140" t="str">
        <f>IFERROR(__xludf.DUMMYFUNCTION("""COMPUTED_VALUE"""),"en")</f>
        <v>en</v>
      </c>
      <c r="B2571">
        <f>IFERROR(__xludf.DUMMYFUNCTION("""COMPUTED_VALUE"""),2533568.0)</f>
        <v>2533568</v>
      </c>
      <c r="C2571" t="str">
        <f>IFERROR(__xludf.DUMMYFUNCTION("""COMPUTED_VALUE"""),"AWS Certified DevOps Engineer Professional 2021 - Hands On!")</f>
        <v>AWS Certified DevOps Engineer Professional 2021 - Hands On!</v>
      </c>
    </row>
    <row r="2572">
      <c r="A2572" s="140" t="str">
        <f>IFERROR(__xludf.DUMMYFUNCTION("""COMPUTED_VALUE"""),"de")</f>
        <v>de</v>
      </c>
      <c r="B2572">
        <f>IFERROR(__xludf.DUMMYFUNCTION("""COMPUTED_VALUE"""),1502430.0)</f>
        <v>1502430</v>
      </c>
      <c r="C2572" t="str">
        <f>IFERROR(__xludf.DUMMYFUNCTION("""COMPUTED_VALUE"""),"Freistellen mit Photoshop")</f>
        <v>Freistellen mit Photoshop</v>
      </c>
    </row>
    <row r="2573">
      <c r="A2573" s="140" t="str">
        <f>IFERROR(__xludf.DUMMYFUNCTION("""COMPUTED_VALUE"""),"ja")</f>
        <v>ja</v>
      </c>
      <c r="B2573">
        <f>IFERROR(__xludf.DUMMYFUNCTION("""COMPUTED_VALUE"""),2170164.0)</f>
        <v>2170164</v>
      </c>
      <c r="C2573" t="str">
        <f>IFERROR(__xludf.DUMMYFUNCTION("""COMPUTED_VALUE"""),"これだけでOK！ AWS 認定ソリューションアーキテクト – アソシエイト試験突破講座（SAA-C02試験対応版）")</f>
        <v>これだけでOK！ AWS 認定ソリューションアーキテクト – アソシエイト試験突破講座（SAA-C02試験対応版）</v>
      </c>
    </row>
    <row r="2574">
      <c r="A2574" s="140" t="str">
        <f>IFERROR(__xludf.DUMMYFUNCTION("""COMPUTED_VALUE"""),"en")</f>
        <v>en</v>
      </c>
      <c r="B2574">
        <f>IFERROR(__xludf.DUMMYFUNCTION("""COMPUTED_VALUE"""),792270.0)</f>
        <v>792270</v>
      </c>
      <c r="C2574" t="str">
        <f>IFERROR(__xludf.DUMMYFUNCTION("""COMPUTED_VALUE"""),"Assertiveness Basics: The 50-minute Communication Guide")</f>
        <v>Assertiveness Basics: The 50-minute Communication Guide</v>
      </c>
    </row>
    <row r="2575">
      <c r="A2575" s="140" t="str">
        <f>IFERROR(__xludf.DUMMYFUNCTION("""COMPUTED_VALUE"""),"fr")</f>
        <v>fr</v>
      </c>
      <c r="B2575">
        <f>IFERROR(__xludf.DUMMYFUNCTION("""COMPUTED_VALUE"""),1599770.0)</f>
        <v>1599770</v>
      </c>
      <c r="C2575" t="str">
        <f>IFERROR(__xludf.DUMMYFUNCTION("""COMPUTED_VALUE"""),"Excel : FONCTIONS DE RECHERCHE")</f>
        <v>Excel : FONCTIONS DE RECHERCHE</v>
      </c>
    </row>
    <row r="2576">
      <c r="A2576" s="140" t="str">
        <f>IFERROR(__xludf.DUMMYFUNCTION("""COMPUTED_VALUE"""),"en")</f>
        <v>en</v>
      </c>
      <c r="B2576">
        <f>IFERROR(__xludf.DUMMYFUNCTION("""COMPUTED_VALUE"""),1548060.0)</f>
        <v>1548060</v>
      </c>
      <c r="C2576" t="str">
        <f>IFERROR(__xludf.DUMMYFUNCTION("""COMPUTED_VALUE"""),"Software Architecture for the Enterprise Architect")</f>
        <v>Software Architecture for the Enterprise Architect</v>
      </c>
    </row>
    <row r="2577">
      <c r="A2577" s="140" t="str">
        <f>IFERROR(__xludf.DUMMYFUNCTION("""COMPUTED_VALUE"""),"en")</f>
        <v>en</v>
      </c>
      <c r="B2577">
        <f>IFERROR(__xludf.DUMMYFUNCTION("""COMPUTED_VALUE"""),1369820.0)</f>
        <v>1369820</v>
      </c>
      <c r="C2577" t="str">
        <f>IFERROR(__xludf.DUMMYFUNCTION("""COMPUTED_VALUE"""),"Marketing Strategy : 21 Digital Marketing Tips &amp; Techniques")</f>
        <v>Marketing Strategy : 21 Digital Marketing Tips &amp; Techniques</v>
      </c>
    </row>
    <row r="2578">
      <c r="A2578" s="140" t="str">
        <f>IFERROR(__xludf.DUMMYFUNCTION("""COMPUTED_VALUE"""),"es")</f>
        <v>es</v>
      </c>
      <c r="B2578">
        <f>IFERROR(__xludf.DUMMYFUNCTION("""COMPUTED_VALUE"""),3528424.0)</f>
        <v>3528424</v>
      </c>
      <c r="C2578" t="str">
        <f>IFERROR(__xludf.DUMMYFUNCTION("""COMPUTED_VALUE"""),"AWS Certified Solutions Architect Associate 2021")</f>
        <v>AWS Certified Solutions Architect Associate 2021</v>
      </c>
    </row>
    <row r="2579">
      <c r="A2579" s="140" t="str">
        <f>IFERROR(__xludf.DUMMYFUNCTION("""COMPUTED_VALUE"""),"en")</f>
        <v>en</v>
      </c>
      <c r="B2579">
        <f>IFERROR(__xludf.DUMMYFUNCTION("""COMPUTED_VALUE"""),3818320.0)</f>
        <v>3818320</v>
      </c>
      <c r="C2579" t="str">
        <f>IFERROR(__xludf.DUMMYFUNCTION("""COMPUTED_VALUE"""),"Practice Exams | Microsoft Azure Exam AZ-220 IoT Developer")</f>
        <v>Practice Exams | Microsoft Azure Exam AZ-220 IoT Developer</v>
      </c>
    </row>
    <row r="2580">
      <c r="A2580" s="140" t="str">
        <f>IFERROR(__xludf.DUMMYFUNCTION("""COMPUTED_VALUE"""),"en")</f>
        <v>en</v>
      </c>
      <c r="B2580">
        <f>IFERROR(__xludf.DUMMYFUNCTION("""COMPUTED_VALUE"""),821726.0)</f>
        <v>821726</v>
      </c>
      <c r="C2580" t="str">
        <f>IFERROR(__xludf.DUMMYFUNCTION("""COMPUTED_VALUE"""),"Data Science and Machine Learning Bootcamp with R")</f>
        <v>Data Science and Machine Learning Bootcamp with R</v>
      </c>
    </row>
    <row r="2581">
      <c r="A2581" s="140" t="str">
        <f>IFERROR(__xludf.DUMMYFUNCTION("""COMPUTED_VALUE"""),"en")</f>
        <v>en</v>
      </c>
      <c r="B2581">
        <f>IFERROR(__xludf.DUMMYFUNCTION("""COMPUTED_VALUE"""),614772.0)</f>
        <v>614772</v>
      </c>
      <c r="C2581" t="str">
        <f>IFERROR(__xludf.DUMMYFUNCTION("""COMPUTED_VALUE"""),"The Complete Cyber Security Course : Hackers Exposed!")</f>
        <v>The Complete Cyber Security Course : Hackers Exposed!</v>
      </c>
    </row>
    <row r="2582">
      <c r="A2582" s="140" t="str">
        <f>IFERROR(__xludf.DUMMYFUNCTION("""COMPUTED_VALUE"""),"pt")</f>
        <v>pt</v>
      </c>
      <c r="B2582">
        <f>IFERROR(__xludf.DUMMYFUNCTION("""COMPUTED_VALUE"""),1013310.0)</f>
        <v>1013310</v>
      </c>
      <c r="C2582" t="str">
        <f>IFERROR(__xludf.DUMMYFUNCTION("""COMPUTED_VALUE"""),"Mongo, Express, Angular 1 e Node - Primeira APP do ZERO!")</f>
        <v>Mongo, Express, Angular 1 e Node - Primeira APP do ZERO!</v>
      </c>
    </row>
    <row r="2583">
      <c r="A2583" s="140" t="str">
        <f>IFERROR(__xludf.DUMMYFUNCTION("""COMPUTED_VALUE"""),"es")</f>
        <v>es</v>
      </c>
      <c r="B2583">
        <f>IFERROR(__xludf.DUMMYFUNCTION("""COMPUTED_VALUE"""),1776200.0)</f>
        <v>1776200</v>
      </c>
      <c r="C2583" t="str">
        <f>IFERROR(__xludf.DUMMYFUNCTION("""COMPUTED_VALUE"""),"Marketing de contenidos. Estrategias para tus redes sociales")</f>
        <v>Marketing de contenidos. Estrategias para tus redes sociales</v>
      </c>
    </row>
    <row r="2584">
      <c r="A2584" s="140" t="str">
        <f>IFERROR(__xludf.DUMMYFUNCTION("""COMPUTED_VALUE"""),"de")</f>
        <v>de</v>
      </c>
      <c r="B2584">
        <f>IFERROR(__xludf.DUMMYFUNCTION("""COMPUTED_VALUE"""),3021140.0)</f>
        <v>3021140</v>
      </c>
      <c r="C2584" t="str">
        <f>IFERROR(__xludf.DUMMYFUNCTION("""COMPUTED_VALUE"""),"Agile Transformation: Von der Idee zum agilen Unternehmen")</f>
        <v>Agile Transformation: Von der Idee zum agilen Unternehmen</v>
      </c>
    </row>
    <row r="2585">
      <c r="A2585" s="140" t="str">
        <f>IFERROR(__xludf.DUMMYFUNCTION("""COMPUTED_VALUE"""),"tr")</f>
        <v>tr</v>
      </c>
      <c r="B2585">
        <f>IFERROR(__xludf.DUMMYFUNCTION("""COMPUTED_VALUE"""),2738576.0)</f>
        <v>2738576</v>
      </c>
      <c r="C2585" t="str">
        <f>IFERROR(__xludf.DUMMYFUNCTION("""COMPUTED_VALUE"""),"Robotik Kodlama Eğitimi (Komple Uygulamalı) | +2021")</f>
        <v>Robotik Kodlama Eğitimi (Komple Uygulamalı) | +2021</v>
      </c>
    </row>
    <row r="2586">
      <c r="A2586" s="140" t="str">
        <f>IFERROR(__xludf.DUMMYFUNCTION("""COMPUTED_VALUE"""),"pt")</f>
        <v>pt</v>
      </c>
      <c r="B2586">
        <f>IFERROR(__xludf.DUMMYFUNCTION("""COMPUTED_VALUE"""),2862388.0)</f>
        <v>2862388</v>
      </c>
      <c r="C2586" t="str">
        <f>IFERROR(__xludf.DUMMYFUNCTION("""COMPUTED_VALUE"""),"Microsoft Teams")</f>
        <v>Microsoft Teams</v>
      </c>
    </row>
    <row r="2587">
      <c r="A2587" s="140" t="str">
        <f>IFERROR(__xludf.DUMMYFUNCTION("""COMPUTED_VALUE"""),"en")</f>
        <v>en</v>
      </c>
      <c r="B2587">
        <f>IFERROR(__xludf.DUMMYFUNCTION("""COMPUTED_VALUE"""),1330590.0)</f>
        <v>1330590</v>
      </c>
      <c r="C2587" t="str">
        <f>IFERROR(__xludf.DUMMYFUNCTION("""COMPUTED_VALUE"""),"Become A Learning Machine 2.0: Read 300 Books This Year")</f>
        <v>Become A Learning Machine 2.0: Read 300 Books This Year</v>
      </c>
    </row>
    <row r="2588">
      <c r="A2588" s="140" t="str">
        <f>IFERROR(__xludf.DUMMYFUNCTION("""COMPUTED_VALUE"""),"en")</f>
        <v>en</v>
      </c>
      <c r="B2588">
        <f>IFERROR(__xludf.DUMMYFUNCTION("""COMPUTED_VALUE"""),838406.0)</f>
        <v>838406</v>
      </c>
      <c r="C2588" t="str">
        <f>IFERROR(__xludf.DUMMYFUNCTION("""COMPUTED_VALUE"""),"MySQL, SQL and Stored Procedures from Beginner to Advanced")</f>
        <v>MySQL, SQL and Stored Procedures from Beginner to Advanced</v>
      </c>
    </row>
    <row r="2589">
      <c r="A2589" s="140" t="str">
        <f>IFERROR(__xludf.DUMMYFUNCTION("""COMPUTED_VALUE"""),"en")</f>
        <v>en</v>
      </c>
      <c r="B2589">
        <f>IFERROR(__xludf.DUMMYFUNCTION("""COMPUTED_VALUE"""),1178330.0)</f>
        <v>1178330</v>
      </c>
      <c r="C2589" t="str">
        <f>IFERROR(__xludf.DUMMYFUNCTION("""COMPUTED_VALUE"""),"Mastering IELTS Speaking: The Express Course")</f>
        <v>Mastering IELTS Speaking: The Express Course</v>
      </c>
    </row>
    <row r="2590">
      <c r="A2590" s="140" t="str">
        <f>IFERROR(__xludf.DUMMYFUNCTION("""COMPUTED_VALUE"""),"en")</f>
        <v>en</v>
      </c>
      <c r="B2590">
        <f>IFERROR(__xludf.DUMMYFUNCTION("""COMPUTED_VALUE"""),587150.0)</f>
        <v>587150</v>
      </c>
      <c r="C2590" t="str">
        <f>IFERROR(__xludf.DUMMYFUNCTION("""COMPUTED_VALUE"""),"Boost Your C# With Behavioural Design Patterns")</f>
        <v>Boost Your C# With Behavioural Design Patterns</v>
      </c>
    </row>
    <row r="2591">
      <c r="A2591" s="140" t="str">
        <f>IFERROR(__xludf.DUMMYFUNCTION("""COMPUTED_VALUE"""),"fr")</f>
        <v>fr</v>
      </c>
      <c r="B2591">
        <f>IFERROR(__xludf.DUMMYFUNCTION("""COMPUTED_VALUE"""),2715960.0)</f>
        <v>2715960</v>
      </c>
      <c r="C2591" t="str">
        <f>IFERROR(__xludf.DUMMYFUNCTION("""COMPUTED_VALUE"""),"Créer un site PHP avec Bootstrap/PDO et MVC pour débutant")</f>
        <v>Créer un site PHP avec Bootstrap/PDO et MVC pour débutant</v>
      </c>
    </row>
    <row r="2592">
      <c r="A2592" s="140" t="str">
        <f>IFERROR(__xludf.DUMMYFUNCTION("""COMPUTED_VALUE"""),"en")</f>
        <v>en</v>
      </c>
      <c r="B2592">
        <f>IFERROR(__xludf.DUMMYFUNCTION("""COMPUTED_VALUE"""),455744.0)</f>
        <v>455744</v>
      </c>
      <c r="C2592" t="str">
        <f>IFERROR(__xludf.DUMMYFUNCTION("""COMPUTED_VALUE"""),"Reinforced &amp; Prestressed Concrete for Construction Managers")</f>
        <v>Reinforced &amp; Prestressed Concrete for Construction Managers</v>
      </c>
    </row>
    <row r="2593">
      <c r="A2593" s="140" t="str">
        <f>IFERROR(__xludf.DUMMYFUNCTION("""COMPUTED_VALUE"""),"ko")</f>
        <v>ko</v>
      </c>
      <c r="B2593">
        <f>IFERROR(__xludf.DUMMYFUNCTION("""COMPUTED_VALUE"""),851988.0)</f>
        <v>851988</v>
      </c>
      <c r="C2593" t="str">
        <f>IFERROR(__xludf.DUMMYFUNCTION("""COMPUTED_VALUE"""),"맥에서 쉽게 영상 자르고 붙이기 : 파이널 컷 입문")</f>
        <v>맥에서 쉽게 영상 자르고 붙이기 : 파이널 컷 입문</v>
      </c>
    </row>
    <row r="2594">
      <c r="A2594" s="140" t="str">
        <f>IFERROR(__xludf.DUMMYFUNCTION("""COMPUTED_VALUE"""),"pt")</f>
        <v>pt</v>
      </c>
      <c r="B2594">
        <f>IFERROR(__xludf.DUMMYFUNCTION("""COMPUTED_VALUE"""),2675786.0)</f>
        <v>2675786</v>
      </c>
      <c r="C2594" t="str">
        <f>IFERROR(__xludf.DUMMYFUNCTION("""COMPUTED_VALUE"""),"Certificação Amazon AWS Certified Developer Associate 2021")</f>
        <v>Certificação Amazon AWS Certified Developer Associate 2021</v>
      </c>
    </row>
    <row r="2595">
      <c r="A2595" s="140" t="str">
        <f>IFERROR(__xludf.DUMMYFUNCTION("""COMPUTED_VALUE"""),"fr")</f>
        <v>fr</v>
      </c>
      <c r="B2595">
        <f>IFERROR(__xludf.DUMMYFUNCTION("""COMPUTED_VALUE"""),3030152.0)</f>
        <v>3030152</v>
      </c>
      <c r="C2595" t="str">
        <f>IFERROR(__xludf.DUMMYFUNCTION("""COMPUTED_VALUE"""),"Apprendre à créer son application Desktop Electron de À à Z")</f>
        <v>Apprendre à créer son application Desktop Electron de À à Z</v>
      </c>
    </row>
    <row r="2596">
      <c r="A2596" s="140" t="str">
        <f>IFERROR(__xludf.DUMMYFUNCTION("""COMPUTED_VALUE"""),"en")</f>
        <v>en</v>
      </c>
      <c r="B2596">
        <f>IFERROR(__xludf.DUMMYFUNCTION("""COMPUTED_VALUE"""),408082.0)</f>
        <v>408082</v>
      </c>
      <c r="C2596" t="str">
        <f>IFERROR(__xludf.DUMMYFUNCTION("""COMPUTED_VALUE"""),"ARP spoofing &amp;Man In The Middle Attacks Execution &amp;Detection")</f>
        <v>ARP spoofing &amp;Man In The Middle Attacks Execution &amp;Detection</v>
      </c>
    </row>
    <row r="2597">
      <c r="A2597" s="140" t="str">
        <f>IFERROR(__xludf.DUMMYFUNCTION("""COMPUTED_VALUE"""),"es")</f>
        <v>es</v>
      </c>
      <c r="B2597">
        <f>IFERROR(__xludf.DUMMYFUNCTION("""COMPUTED_VALUE"""),1248082.0)</f>
        <v>1248082</v>
      </c>
      <c r="C2597" t="str">
        <f>IFERROR(__xludf.DUMMYFUNCTION("""COMPUTED_VALUE"""),"Curso Completo de Finanzas Personales para No Expertos")</f>
        <v>Curso Completo de Finanzas Personales para No Expertos</v>
      </c>
    </row>
    <row r="2598">
      <c r="A2598" s="140" t="str">
        <f>IFERROR(__xludf.DUMMYFUNCTION("""COMPUTED_VALUE"""),"en")</f>
        <v>en</v>
      </c>
      <c r="B2598">
        <f>IFERROR(__xludf.DUMMYFUNCTION("""COMPUTED_VALUE"""),1646886.0)</f>
        <v>1646886</v>
      </c>
      <c r="C2598" t="str">
        <f>IFERROR(__xludf.DUMMYFUNCTION("""COMPUTED_VALUE"""),"Intro to Data Science: Your Step-by-Step Guide To Starting")</f>
        <v>Intro to Data Science: Your Step-by-Step Guide To Starting</v>
      </c>
    </row>
    <row r="2599">
      <c r="A2599" s="140" t="str">
        <f>IFERROR(__xludf.DUMMYFUNCTION("""COMPUTED_VALUE"""),"en")</f>
        <v>en</v>
      </c>
      <c r="B2599">
        <f>IFERROR(__xludf.DUMMYFUNCTION("""COMPUTED_VALUE"""),221578.0)</f>
        <v>221578</v>
      </c>
      <c r="C2599" t="str">
        <f>IFERROR(__xludf.DUMMYFUNCTION("""COMPUTED_VALUE"""),"Master the Fundamentals of Math")</f>
        <v>Master the Fundamentals of Math</v>
      </c>
    </row>
    <row r="2600">
      <c r="A2600" s="140" t="str">
        <f>IFERROR(__xludf.DUMMYFUNCTION("""COMPUTED_VALUE"""),"en")</f>
        <v>en</v>
      </c>
      <c r="B2600">
        <f>IFERROR(__xludf.DUMMYFUNCTION("""COMPUTED_VALUE"""),911256.0)</f>
        <v>911256</v>
      </c>
      <c r="C2600" t="str">
        <f>IFERROR(__xludf.DUMMYFUNCTION("""COMPUTED_VALUE"""),"Core Java Made Easy (Covers the latest Java 15)")</f>
        <v>Core Java Made Easy (Covers the latest Java 15)</v>
      </c>
    </row>
    <row r="2601">
      <c r="A2601" s="140" t="str">
        <f>IFERROR(__xludf.DUMMYFUNCTION("""COMPUTED_VALUE"""),"en")</f>
        <v>en</v>
      </c>
      <c r="B2601">
        <f>IFERROR(__xludf.DUMMYFUNCTION("""COMPUTED_VALUE"""),1941684.0)</f>
        <v>1941684</v>
      </c>
      <c r="C2601" t="str">
        <f>IFERROR(__xludf.DUMMYFUNCTION("""COMPUTED_VALUE"""),"AWS SysOps Administrator Associate - 2019")</f>
        <v>AWS SysOps Administrator Associate - 2019</v>
      </c>
    </row>
    <row r="2602">
      <c r="A2602" s="140" t="str">
        <f>IFERROR(__xludf.DUMMYFUNCTION("""COMPUTED_VALUE"""),"en")</f>
        <v>en</v>
      </c>
      <c r="B2602">
        <f>IFERROR(__xludf.DUMMYFUNCTION("""COMPUTED_VALUE"""),2529790.0)</f>
        <v>2529790</v>
      </c>
      <c r="C2602" t="str">
        <f>IFERROR(__xludf.DUMMYFUNCTION("""COMPUTED_VALUE"""),"AWS Certified Machine Learning Specialty 2021 - Hands On!")</f>
        <v>AWS Certified Machine Learning Specialty 2021 - Hands On!</v>
      </c>
    </row>
    <row r="2603">
      <c r="A2603" s="140" t="str">
        <f>IFERROR(__xludf.DUMMYFUNCTION("""COMPUTED_VALUE"""),"pt")</f>
        <v>pt</v>
      </c>
      <c r="B2603">
        <f>IFERROR(__xludf.DUMMYFUNCTION("""COMPUTED_VALUE"""),4006556.0)</f>
        <v>4006556</v>
      </c>
      <c r="C2603" t="str">
        <f>IFERROR(__xludf.DUMMYFUNCTION("""COMPUTED_VALUE"""),"Montagem e Manutenção de Computador do ZERO")</f>
        <v>Montagem e Manutenção de Computador do ZERO</v>
      </c>
    </row>
    <row r="2604">
      <c r="A2604" s="140" t="str">
        <f>IFERROR(__xludf.DUMMYFUNCTION("""COMPUTED_VALUE"""),"en")</f>
        <v>en</v>
      </c>
      <c r="B2604">
        <f>IFERROR(__xludf.DUMMYFUNCTION("""COMPUTED_VALUE"""),3871572.0)</f>
        <v>3871572</v>
      </c>
      <c r="C2604" t="str">
        <f>IFERROR(__xludf.DUMMYFUNCTION("""COMPUTED_VALUE"""),"AWS Certified solution architect associate high level test")</f>
        <v>AWS Certified solution architect associate high level test</v>
      </c>
    </row>
    <row r="2605">
      <c r="A2605" s="140" t="str">
        <f>IFERROR(__xludf.DUMMYFUNCTION("""COMPUTED_VALUE"""),"en")</f>
        <v>en</v>
      </c>
      <c r="B2605">
        <f>IFERROR(__xludf.DUMMYFUNCTION("""COMPUTED_VALUE"""),542004.0)</f>
        <v>542004</v>
      </c>
      <c r="C2605" t="str">
        <f>IFERROR(__xludf.DUMMYFUNCTION("""COMPUTED_VALUE"""),"Factory Automation using PLC Logics")</f>
        <v>Factory Automation using PLC Logics</v>
      </c>
    </row>
    <row r="2606">
      <c r="A2606" s="140" t="str">
        <f>IFERROR(__xludf.DUMMYFUNCTION("""COMPUTED_VALUE"""),"es")</f>
        <v>es</v>
      </c>
      <c r="B2606">
        <f>IFERROR(__xludf.DUMMYFUNCTION("""COMPUTED_VALUE"""),1540218.0)</f>
        <v>1540218</v>
      </c>
      <c r="C2606" t="str">
        <f>IFERROR(__xludf.DUMMYFUNCTION("""COMPUTED_VALUE"""),"BIM para empresas. Introducción a la Metodología BIM")</f>
        <v>BIM para empresas. Introducción a la Metodología BIM</v>
      </c>
    </row>
    <row r="2607">
      <c r="A2607" s="140" t="str">
        <f>IFERROR(__xludf.DUMMYFUNCTION("""COMPUTED_VALUE"""),"en")</f>
        <v>en</v>
      </c>
      <c r="B2607">
        <f>IFERROR(__xludf.DUMMYFUNCTION("""COMPUTED_VALUE"""),3113088.0)</f>
        <v>3113088</v>
      </c>
      <c r="C2607" t="str">
        <f>IFERROR(__xludf.DUMMYFUNCTION("""COMPUTED_VALUE"""),"SAP Workflow with Practise")</f>
        <v>SAP Workflow with Practise</v>
      </c>
    </row>
    <row r="2608">
      <c r="A2608" s="140" t="str">
        <f>IFERROR(__xludf.DUMMYFUNCTION("""COMPUTED_VALUE"""),"en")</f>
        <v>en</v>
      </c>
      <c r="B2608">
        <f>IFERROR(__xludf.DUMMYFUNCTION("""COMPUTED_VALUE"""),1319568.0)</f>
        <v>1319568</v>
      </c>
      <c r="C2608" t="str">
        <f>IFERROR(__xludf.DUMMYFUNCTION("""COMPUTED_VALUE"""),"Yii2 beginner to professional")</f>
        <v>Yii2 beginner to professional</v>
      </c>
    </row>
    <row r="2609">
      <c r="A2609" s="140" t="str">
        <f>IFERROR(__xludf.DUMMYFUNCTION("""COMPUTED_VALUE"""),"en")</f>
        <v>en</v>
      </c>
      <c r="B2609">
        <f>IFERROR(__xludf.DUMMYFUNCTION("""COMPUTED_VALUE"""),2836844.0)</f>
        <v>2836844</v>
      </c>
      <c r="C2609" t="str">
        <f>IFERROR(__xludf.DUMMYFUNCTION("""COMPUTED_VALUE"""),"AZ303 Microsoft Azure Architect Technologies-Lab &amp; Exam Prep")</f>
        <v>AZ303 Microsoft Azure Architect Technologies-Lab &amp; Exam Prep</v>
      </c>
    </row>
    <row r="2610">
      <c r="A2610" s="140" t="str">
        <f>IFERROR(__xludf.DUMMYFUNCTION("""COMPUTED_VALUE"""),"en")</f>
        <v>en</v>
      </c>
      <c r="B2610">
        <f>IFERROR(__xludf.DUMMYFUNCTION("""COMPUTED_VALUE"""),2929282.0)</f>
        <v>2929282</v>
      </c>
      <c r="C2610" t="str">
        <f>IFERROR(__xludf.DUMMYFUNCTION("""COMPUTED_VALUE"""),"How to Start a Business – Sustainably in 2022")</f>
        <v>How to Start a Business – Sustainably in 2022</v>
      </c>
    </row>
    <row r="2611">
      <c r="A2611" s="140" t="str">
        <f>IFERROR(__xludf.DUMMYFUNCTION("""COMPUTED_VALUE"""),"en")</f>
        <v>en</v>
      </c>
      <c r="B2611">
        <f>IFERROR(__xludf.DUMMYFUNCTION("""COMPUTED_VALUE"""),1323462.0)</f>
        <v>1323462</v>
      </c>
      <c r="C2611" t="str">
        <f>IFERROR(__xludf.DUMMYFUNCTION("""COMPUTED_VALUE"""),"Kotlin for Android: Beginner to Advanced")</f>
        <v>Kotlin for Android: Beginner to Advanced</v>
      </c>
    </row>
    <row r="2612">
      <c r="A2612" s="140" t="str">
        <f>IFERROR(__xludf.DUMMYFUNCTION("""COMPUTED_VALUE"""),"en")</f>
        <v>en</v>
      </c>
      <c r="B2612">
        <f>IFERROR(__xludf.DUMMYFUNCTION("""COMPUTED_VALUE"""),1395988.0)</f>
        <v>1395988</v>
      </c>
      <c r="C2612" t="str">
        <f>IFERROR(__xludf.DUMMYFUNCTION("""COMPUTED_VALUE"""),"CFA® Level 1 (21/22) - Complete Financial Reporting Analysis")</f>
        <v>CFA® Level 1 (21/22) - Complete Financial Reporting Analysis</v>
      </c>
    </row>
    <row r="2613">
      <c r="A2613" s="140" t="str">
        <f>IFERROR(__xludf.DUMMYFUNCTION("""COMPUTED_VALUE"""),"en")</f>
        <v>en</v>
      </c>
      <c r="B2613">
        <f>IFERROR(__xludf.DUMMYFUNCTION("""COMPUTED_VALUE"""),1358653.0)</f>
        <v>1358653</v>
      </c>
      <c r="C2613" t="str">
        <f>IFERROR(__xludf.DUMMYFUNCTION("""COMPUTED_VALUE"""),"Anime Drawing for Beginners")</f>
        <v>Anime Drawing for Beginners</v>
      </c>
    </row>
    <row r="2614">
      <c r="A2614" s="140" t="str">
        <f>IFERROR(__xludf.DUMMYFUNCTION("""COMPUTED_VALUE"""),"en")</f>
        <v>en</v>
      </c>
      <c r="B2614">
        <f>IFERROR(__xludf.DUMMYFUNCTION("""COMPUTED_VALUE"""),3827840.0)</f>
        <v>3827840</v>
      </c>
      <c r="C2614" t="str">
        <f>IFERROR(__xludf.DUMMYFUNCTION("""COMPUTED_VALUE"""),"COBIT® 2019 Design &amp; Implementation")</f>
        <v>COBIT® 2019 Design &amp; Implementation</v>
      </c>
    </row>
    <row r="2615">
      <c r="A2615" s="140" t="str">
        <f>IFERROR(__xludf.DUMMYFUNCTION("""COMPUTED_VALUE"""),"en")</f>
        <v>en</v>
      </c>
      <c r="B2615">
        <f>IFERROR(__xludf.DUMMYFUNCTION("""COMPUTED_VALUE"""),2366004.0)</f>
        <v>2366004</v>
      </c>
      <c r="C2615" t="str">
        <f>IFERROR(__xludf.DUMMYFUNCTION("""COMPUTED_VALUE"""),"AWS Cloud Migration for Absolute Beginners with Demo")</f>
        <v>AWS Cloud Migration for Absolute Beginners with Demo</v>
      </c>
    </row>
    <row r="2616">
      <c r="A2616" s="140" t="str">
        <f>IFERROR(__xludf.DUMMYFUNCTION("""COMPUTED_VALUE"""),"en")</f>
        <v>en</v>
      </c>
      <c r="B2616">
        <f>IFERROR(__xludf.DUMMYFUNCTION("""COMPUTED_VALUE"""),1588090.0)</f>
        <v>1588090</v>
      </c>
      <c r="C2616" t="str">
        <f>IFERROR(__xludf.DUMMYFUNCTION("""COMPUTED_VALUE"""),"[Active Directory] Management using Windows PowerShell")</f>
        <v>[Active Directory] Management using Windows PowerShell</v>
      </c>
    </row>
    <row r="2617">
      <c r="A2617" s="140" t="str">
        <f>IFERROR(__xludf.DUMMYFUNCTION("""COMPUTED_VALUE"""),"tr")</f>
        <v>tr</v>
      </c>
      <c r="B2617">
        <f>IFERROR(__xludf.DUMMYFUNCTION("""COMPUTED_VALUE"""),3356350.0)</f>
        <v>3356350</v>
      </c>
      <c r="C2617" t="str">
        <f>IFERROR(__xludf.DUMMYFUNCTION("""COMPUTED_VALUE"""),"Cisco CCNA 200-301 Sınavına Hazırlık Eğitimi | 2021")</f>
        <v>Cisco CCNA 200-301 Sınavına Hazırlık Eğitimi | 2021</v>
      </c>
    </row>
    <row r="2618">
      <c r="A2618" s="140" t="str">
        <f>IFERROR(__xludf.DUMMYFUNCTION("""COMPUTED_VALUE"""),"es")</f>
        <v>es</v>
      </c>
      <c r="B2618">
        <f>IFERROR(__xludf.DUMMYFUNCTION("""COMPUTED_VALUE"""),1821718.0)</f>
        <v>1821718</v>
      </c>
      <c r="C2618" t="str">
        <f>IFERROR(__xludf.DUMMYFUNCTION("""COMPUTED_VALUE"""),"Curso de Raspberry Pi 4 Model B con Python, IoT y Domotica.")</f>
        <v>Curso de Raspberry Pi 4 Model B con Python, IoT y Domotica.</v>
      </c>
    </row>
    <row r="2619">
      <c r="A2619" s="140" t="str">
        <f>IFERROR(__xludf.DUMMYFUNCTION("""COMPUTED_VALUE"""),"tr")</f>
        <v>tr</v>
      </c>
      <c r="B2619">
        <f>IFERROR(__xludf.DUMMYFUNCTION("""COMPUTED_VALUE"""),3048282.0)</f>
        <v>3048282</v>
      </c>
      <c r="C2619" t="str">
        <f>IFERROR(__xludf.DUMMYFUNCTION("""COMPUTED_VALUE"""),"1 Günde Orta Seviyenin Üstü İngilizce - Dene ve Gör")</f>
        <v>1 Günde Orta Seviyenin Üstü İngilizce - Dene ve Gör</v>
      </c>
    </row>
    <row r="2620">
      <c r="A2620" s="140" t="str">
        <f>IFERROR(__xludf.DUMMYFUNCTION("""COMPUTED_VALUE"""),"fr")</f>
        <v>fr</v>
      </c>
      <c r="B2620">
        <f>IFERROR(__xludf.DUMMYFUNCTION("""COMPUTED_VALUE"""),2319434.0)</f>
        <v>2319434</v>
      </c>
      <c r="C2620" t="str">
        <f>IFERROR(__xludf.DUMMYFUNCTION("""COMPUTED_VALUE"""),"Identifier, reconnaître et gérer les biais inconscients")</f>
        <v>Identifier, reconnaître et gérer les biais inconscients</v>
      </c>
    </row>
    <row r="2621">
      <c r="A2621" s="140" t="str">
        <f>IFERROR(__xludf.DUMMYFUNCTION("""COMPUTED_VALUE"""),"en")</f>
        <v>en</v>
      </c>
      <c r="B2621">
        <f>IFERROR(__xludf.DUMMYFUNCTION("""COMPUTED_VALUE"""),1522136.0)</f>
        <v>1522136</v>
      </c>
      <c r="C2621" t="str">
        <f>IFERROR(__xludf.DUMMYFUNCTION("""COMPUTED_VALUE"""),"Scala Advanced, Part 2 - Best Practices, Async, Serializing")</f>
        <v>Scala Advanced, Part 2 - Best Practices, Async, Serializing</v>
      </c>
    </row>
    <row r="2622">
      <c r="A2622" s="140" t="str">
        <f>IFERROR(__xludf.DUMMYFUNCTION("""COMPUTED_VALUE"""),"en")</f>
        <v>en</v>
      </c>
      <c r="B2622">
        <f>IFERROR(__xludf.DUMMYFUNCTION("""COMPUTED_VALUE"""),1331304.0)</f>
        <v>1331304</v>
      </c>
      <c r="C2622" t="str">
        <f>IFERROR(__xludf.DUMMYFUNCTION("""COMPUTED_VALUE"""),"Deliver Powerful, Painless Feedback to Motivate vs Frustrate")</f>
        <v>Deliver Powerful, Painless Feedback to Motivate vs Frustrate</v>
      </c>
    </row>
    <row r="2623">
      <c r="A2623" s="140" t="str">
        <f>IFERROR(__xludf.DUMMYFUNCTION("""COMPUTED_VALUE"""),"pt")</f>
        <v>pt</v>
      </c>
      <c r="B2623">
        <f>IFERROR(__xludf.DUMMYFUNCTION("""COMPUTED_VALUE"""),2834076.0)</f>
        <v>2834076</v>
      </c>
      <c r="C2623" t="str">
        <f>IFERROR(__xludf.DUMMYFUNCTION("""COMPUTED_VALUE"""),"Design Thinking - Práticas e Ferramentas para Gerar Inovação")</f>
        <v>Design Thinking - Práticas e Ferramentas para Gerar Inovação</v>
      </c>
    </row>
    <row r="2624">
      <c r="A2624" s="140" t="str">
        <f>IFERROR(__xludf.DUMMYFUNCTION("""COMPUTED_VALUE"""),"en")</f>
        <v>en</v>
      </c>
      <c r="B2624">
        <f>IFERROR(__xludf.DUMMYFUNCTION("""COMPUTED_VALUE"""),599746.0)</f>
        <v>599746</v>
      </c>
      <c r="C2624" t="str">
        <f>IFERROR(__xludf.DUMMYFUNCTION("""COMPUTED_VALUE"""),"Microsoft Excel for Mac - Office 365 on Mac OS")</f>
        <v>Microsoft Excel for Mac - Office 365 on Mac OS</v>
      </c>
    </row>
    <row r="2625">
      <c r="A2625" s="140" t="str">
        <f>IFERROR(__xludf.DUMMYFUNCTION("""COMPUTED_VALUE"""),"es")</f>
        <v>es</v>
      </c>
      <c r="B2625">
        <f>IFERROR(__xludf.DUMMYFUNCTION("""COMPUTED_VALUE"""),4123328.0)</f>
        <v>4123328</v>
      </c>
      <c r="C2625" t="str">
        <f>IFERROR(__xludf.DUMMYFUNCTION("""COMPUTED_VALUE"""),"Pentesting Web. Prácticas de un Ethical Hacker Profesional.")</f>
        <v>Pentesting Web. Prácticas de un Ethical Hacker Profesional.</v>
      </c>
    </row>
    <row r="2626">
      <c r="A2626" s="140" t="str">
        <f>IFERROR(__xludf.DUMMYFUNCTION("""COMPUTED_VALUE"""),"en")</f>
        <v>en</v>
      </c>
      <c r="B2626">
        <f>IFERROR(__xludf.DUMMYFUNCTION("""COMPUTED_VALUE"""),2997692.0)</f>
        <v>2997692</v>
      </c>
      <c r="C2626" t="str">
        <f>IFERROR(__xludf.DUMMYFUNCTION("""COMPUTED_VALUE"""),"Serverless Framework Bootcamp: Node.js, AWS &amp; Microservices")</f>
        <v>Serverless Framework Bootcamp: Node.js, AWS &amp; Microservices</v>
      </c>
    </row>
    <row r="2627">
      <c r="A2627" s="140" t="str">
        <f>IFERROR(__xludf.DUMMYFUNCTION("""COMPUTED_VALUE"""),"en")</f>
        <v>en</v>
      </c>
      <c r="B2627">
        <f>IFERROR(__xludf.DUMMYFUNCTION("""COMPUTED_VALUE"""),2677728.0)</f>
        <v>2677728</v>
      </c>
      <c r="C2627" t="str">
        <f>IFERROR(__xludf.DUMMYFUNCTION("""COMPUTED_VALUE"""),"Terraform on Azure")</f>
        <v>Terraform on Azure</v>
      </c>
    </row>
    <row r="2628">
      <c r="A2628" s="140" t="str">
        <f>IFERROR(__xludf.DUMMYFUNCTION("""COMPUTED_VALUE"""),"en")</f>
        <v>en</v>
      </c>
      <c r="B2628">
        <f>IFERROR(__xludf.DUMMYFUNCTION("""COMPUTED_VALUE"""),2769460.0)</f>
        <v>2769460</v>
      </c>
      <c r="C2628" t="str">
        <f>IFERROR(__xludf.DUMMYFUNCTION("""COMPUTED_VALUE"""),"2021 Python for Machine Learning &amp; Data Science Masterclass")</f>
        <v>2021 Python for Machine Learning &amp; Data Science Masterclass</v>
      </c>
    </row>
    <row r="2629">
      <c r="A2629" s="140" t="str">
        <f>IFERROR(__xludf.DUMMYFUNCTION("""COMPUTED_VALUE"""),"de")</f>
        <v>de</v>
      </c>
      <c r="B2629">
        <f>IFERROR(__xludf.DUMMYFUNCTION("""COMPUTED_VALUE"""),1379740.0)</f>
        <v>1379740</v>
      </c>
      <c r="C2629" t="str">
        <f>IFERROR(__xludf.DUMMYFUNCTION("""COMPUTED_VALUE"""),"Der Unity 2017 &amp; Blender Komplettkurs: Erstelle Top 3D Games")</f>
        <v>Der Unity 2017 &amp; Blender Komplettkurs: Erstelle Top 3D Games</v>
      </c>
    </row>
    <row r="2630">
      <c r="A2630" s="140" t="str">
        <f>IFERROR(__xludf.DUMMYFUNCTION("""COMPUTED_VALUE"""),"en")</f>
        <v>en</v>
      </c>
      <c r="B2630">
        <f>IFERROR(__xludf.DUMMYFUNCTION("""COMPUTED_VALUE"""),2059741.0)</f>
        <v>2059741</v>
      </c>
      <c r="C2630" t="str">
        <f>IFERROR(__xludf.DUMMYFUNCTION("""COMPUTED_VALUE"""),"Unreal Engine:  Intro to Game Design")</f>
        <v>Unreal Engine:  Intro to Game Design</v>
      </c>
    </row>
    <row r="2631">
      <c r="A2631" s="140" t="str">
        <f>IFERROR(__xludf.DUMMYFUNCTION("""COMPUTED_VALUE"""),"es")</f>
        <v>es</v>
      </c>
      <c r="B2631">
        <f>IFERROR(__xludf.DUMMYFUNCTION("""COMPUTED_VALUE"""),1192848.0)</f>
        <v>1192848</v>
      </c>
      <c r="C2631" t="str">
        <f>IFERROR(__xludf.DUMMYFUNCTION("""COMPUTED_VALUE"""),"Fundamentos de Programación")</f>
        <v>Fundamentos de Programación</v>
      </c>
    </row>
    <row r="2632">
      <c r="A2632" s="140" t="str">
        <f>IFERROR(__xludf.DUMMYFUNCTION("""COMPUTED_VALUE"""),"en")</f>
        <v>en</v>
      </c>
      <c r="B2632">
        <f>IFERROR(__xludf.DUMMYFUNCTION("""COMPUTED_VALUE"""),881106.0)</f>
        <v>881106</v>
      </c>
      <c r="C2632" t="str">
        <f>IFERROR(__xludf.DUMMYFUNCTION("""COMPUTED_VALUE"""),"Productive coding with WebStorm")</f>
        <v>Productive coding with WebStorm</v>
      </c>
    </row>
    <row r="2633">
      <c r="A2633" s="140" t="str">
        <f>IFERROR(__xludf.DUMMYFUNCTION("""COMPUTED_VALUE"""),"en")</f>
        <v>en</v>
      </c>
      <c r="B2633">
        <f>IFERROR(__xludf.DUMMYFUNCTION("""COMPUTED_VALUE"""),1647800.0)</f>
        <v>1647800</v>
      </c>
      <c r="C2633" t="str">
        <f>IFERROR(__xludf.DUMMYFUNCTION("""COMPUTED_VALUE"""),"Creating and Managing Azure Virtual Machines with PowerShell")</f>
        <v>Creating and Managing Azure Virtual Machines with PowerShell</v>
      </c>
    </row>
    <row r="2634">
      <c r="A2634" s="140" t="str">
        <f>IFERROR(__xludf.DUMMYFUNCTION("""COMPUTED_VALUE"""),"en")</f>
        <v>en</v>
      </c>
      <c r="B2634">
        <f>IFERROR(__xludf.DUMMYFUNCTION("""COMPUTED_VALUE"""),604972.0)</f>
        <v>604972</v>
      </c>
      <c r="C2634" t="str">
        <f>IFERROR(__xludf.DUMMYFUNCTION("""COMPUTED_VALUE"""),"The Hyper-Focus, Self-Control and Productivity Masterclass")</f>
        <v>The Hyper-Focus, Self-Control and Productivity Masterclass</v>
      </c>
    </row>
    <row r="2635">
      <c r="A2635" s="140" t="str">
        <f>IFERROR(__xludf.DUMMYFUNCTION("""COMPUTED_VALUE"""),"en")</f>
        <v>en</v>
      </c>
      <c r="B2635">
        <f>IFERROR(__xludf.DUMMYFUNCTION("""COMPUTED_VALUE"""),670050.0)</f>
        <v>670050</v>
      </c>
      <c r="C2635" t="str">
        <f>IFERROR(__xludf.DUMMYFUNCTION("""COMPUTED_VALUE"""),"Beginning Drawing and Painting Course for Beginners")</f>
        <v>Beginning Drawing and Painting Course for Beginners</v>
      </c>
    </row>
    <row r="2636">
      <c r="A2636" s="140" t="str">
        <f>IFERROR(__xludf.DUMMYFUNCTION("""COMPUTED_VALUE"""),"en")</f>
        <v>en</v>
      </c>
      <c r="B2636">
        <f>IFERROR(__xludf.DUMMYFUNCTION("""COMPUTED_VALUE"""),2611510.0)</f>
        <v>2611510</v>
      </c>
      <c r="C2636" t="str">
        <f>IFERROR(__xludf.DUMMYFUNCTION("""COMPUTED_VALUE"""),"Agile &amp; Scrum for Product Owners + Certification Preparation")</f>
        <v>Agile &amp; Scrum for Product Owners + Certification Preparation</v>
      </c>
    </row>
    <row r="2637">
      <c r="A2637" s="140" t="str">
        <f>IFERROR(__xludf.DUMMYFUNCTION("""COMPUTED_VALUE"""),"en")</f>
        <v>en</v>
      </c>
      <c r="B2637">
        <f>IFERROR(__xludf.DUMMYFUNCTION("""COMPUTED_VALUE"""),762768.0)</f>
        <v>762768</v>
      </c>
      <c r="C2637" t="str">
        <f>IFERROR(__xludf.DUMMYFUNCTION("""COMPUTED_VALUE"""),"Core Spatial Data Analysis: Introductory GIS with R and QGIS")</f>
        <v>Core Spatial Data Analysis: Introductory GIS with R and QGIS</v>
      </c>
    </row>
    <row r="2638">
      <c r="A2638" s="140" t="str">
        <f>IFERROR(__xludf.DUMMYFUNCTION("""COMPUTED_VALUE"""),"en")</f>
        <v>en</v>
      </c>
      <c r="B2638">
        <f>IFERROR(__xludf.DUMMYFUNCTION("""COMPUTED_VALUE"""),751392.0)</f>
        <v>751392</v>
      </c>
      <c r="C2638" t="str">
        <f>IFERROR(__xludf.DUMMYFUNCTION("""COMPUTED_VALUE"""),"Tableau for R Users - Explore Tableau and Embed R Code")</f>
        <v>Tableau for R Users - Explore Tableau and Embed R Code</v>
      </c>
    </row>
    <row r="2639">
      <c r="A2639" s="140" t="str">
        <f>IFERROR(__xludf.DUMMYFUNCTION("""COMPUTED_VALUE"""),"es")</f>
        <v>es</v>
      </c>
      <c r="B2639">
        <f>IFERROR(__xludf.DUMMYFUNCTION("""COMPUTED_VALUE"""),1213480.0)</f>
        <v>1213480</v>
      </c>
      <c r="C2639" t="str">
        <f>IFERROR(__xludf.DUMMYFUNCTION("""COMPUTED_VALUE"""),"SQL para administración de Bases de Datos con MySQL")</f>
        <v>SQL para administración de Bases de Datos con MySQL</v>
      </c>
    </row>
    <row r="2640">
      <c r="A2640" s="140" t="str">
        <f>IFERROR(__xludf.DUMMYFUNCTION("""COMPUTED_VALUE"""),"pt")</f>
        <v>pt</v>
      </c>
      <c r="B2640">
        <f>IFERROR(__xludf.DUMMYFUNCTION("""COMPUTED_VALUE"""),1568672.0)</f>
        <v>1568672</v>
      </c>
      <c r="C2640" t="str">
        <f>IFERROR(__xludf.DUMMYFUNCTION("""COMPUTED_VALUE"""),"Django 2.0 avancado, 100+ aulas domine framework like a boss")</f>
        <v>Django 2.0 avancado, 100+ aulas domine framework like a boss</v>
      </c>
    </row>
    <row r="2641">
      <c r="A2641" s="140" t="str">
        <f>IFERROR(__xludf.DUMMYFUNCTION("""COMPUTED_VALUE"""),"ja")</f>
        <v>ja</v>
      </c>
      <c r="B2641">
        <f>IFERROR(__xludf.DUMMYFUNCTION("""COMPUTED_VALUE"""),1382662.0)</f>
        <v>1382662</v>
      </c>
      <c r="C2641" t="str">
        <f>IFERROR(__xludf.DUMMYFUNCTION("""COMPUTED_VALUE"""),"【2021年最新版】はじめてのAngular入門 実践シングルページアプリケーション（SPA）開発")</f>
        <v>【2021年最新版】はじめてのAngular入門 実践シングルページアプリケーション（SPA）開発</v>
      </c>
    </row>
    <row r="2642">
      <c r="A2642" s="140" t="str">
        <f>IFERROR(__xludf.DUMMYFUNCTION("""COMPUTED_VALUE"""),"en")</f>
        <v>en</v>
      </c>
      <c r="B2642">
        <f>IFERROR(__xludf.DUMMYFUNCTION("""COMPUTED_VALUE"""),448574.0)</f>
        <v>448574</v>
      </c>
      <c r="C2642" t="str">
        <f>IFERROR(__xludf.DUMMYFUNCTION("""COMPUTED_VALUE"""),"Absolute Introduction to Object Oriented Programming in Java")</f>
        <v>Absolute Introduction to Object Oriented Programming in Java</v>
      </c>
    </row>
    <row r="2643">
      <c r="A2643" s="140" t="str">
        <f>IFERROR(__xludf.DUMMYFUNCTION("""COMPUTED_VALUE"""),"en")</f>
        <v>en</v>
      </c>
      <c r="B2643">
        <f>IFERROR(__xludf.DUMMYFUNCTION("""COMPUTED_VALUE"""),3472502.0)</f>
        <v>3472502</v>
      </c>
      <c r="C2643" t="str">
        <f>IFERROR(__xludf.DUMMYFUNCTION("""COMPUTED_VALUE"""),"Introduction to AWS - One Hour Crash Course")</f>
        <v>Introduction to AWS - One Hour Crash Course</v>
      </c>
    </row>
    <row r="2644">
      <c r="A2644" s="140" t="str">
        <f>IFERROR(__xludf.DUMMYFUNCTION("""COMPUTED_VALUE"""),"en")</f>
        <v>en</v>
      </c>
      <c r="B2644">
        <f>IFERROR(__xludf.DUMMYFUNCTION("""COMPUTED_VALUE"""),675026.0)</f>
        <v>675026</v>
      </c>
      <c r="C2644" t="str">
        <f>IFERROR(__xludf.DUMMYFUNCTION("""COMPUTED_VALUE"""),"Oracle 11g Certified Professional Exam Prep III")</f>
        <v>Oracle 11g Certified Professional Exam Prep III</v>
      </c>
    </row>
    <row r="2645">
      <c r="A2645" s="140" t="str">
        <f>IFERROR(__xludf.DUMMYFUNCTION("""COMPUTED_VALUE"""),"en")</f>
        <v>en</v>
      </c>
      <c r="B2645">
        <f>IFERROR(__xludf.DUMMYFUNCTION("""COMPUTED_VALUE"""),2193814.0)</f>
        <v>2193814</v>
      </c>
      <c r="C2645" t="str">
        <f>IFERROR(__xludf.DUMMYFUNCTION("""COMPUTED_VALUE"""),"ITIL 4 Foundation Practice Certification Exams (6 Exams)")</f>
        <v>ITIL 4 Foundation Practice Certification Exams (6 Exams)</v>
      </c>
    </row>
    <row r="2646">
      <c r="A2646" s="140" t="str">
        <f>IFERROR(__xludf.DUMMYFUNCTION("""COMPUTED_VALUE"""),"ar")</f>
        <v>ar</v>
      </c>
      <c r="B2646">
        <f>IFERROR(__xludf.DUMMYFUNCTION("""COMPUTED_VALUE"""),1850606.0)</f>
        <v>1850606</v>
      </c>
      <c r="C2646" t="str">
        <f>IFERROR(__xludf.DUMMYFUNCTION("""COMPUTED_VALUE"""),"شبكات الحاسبات والمعلومات بالعربية")</f>
        <v>شبكات الحاسبات والمعلومات بالعربية</v>
      </c>
    </row>
    <row r="2647">
      <c r="A2647" s="140" t="str">
        <f>IFERROR(__xludf.DUMMYFUNCTION("""COMPUTED_VALUE"""),"en")</f>
        <v>en</v>
      </c>
      <c r="B2647">
        <f>IFERROR(__xludf.DUMMYFUNCTION("""COMPUTED_VALUE"""),3560337.0)</f>
        <v>3560337</v>
      </c>
      <c r="C2647" t="str">
        <f>IFERROR(__xludf.DUMMYFUNCTION("""COMPUTED_VALUE"""),"Introduction to Futures &amp; Options trading- A 360 degree view")</f>
        <v>Introduction to Futures &amp; Options trading- A 360 degree view</v>
      </c>
    </row>
    <row r="2648">
      <c r="A2648" s="140" t="str">
        <f>IFERROR(__xludf.DUMMYFUNCTION("""COMPUTED_VALUE"""),"ko")</f>
        <v>ko</v>
      </c>
      <c r="B2648">
        <f>IFERROR(__xludf.DUMMYFUNCTION("""COMPUTED_VALUE"""),2374472.0)</f>
        <v>2374472</v>
      </c>
      <c r="C2648" t="str">
        <f>IFERROR(__xludf.DUMMYFUNCTION("""COMPUTED_VALUE"""),"파이썬으로 만드는 라즈베리 파이 사물인터넷(IoT)  프로젝트 - 원격무인 자동차")</f>
        <v>파이썬으로 만드는 라즈베리 파이 사물인터넷(IoT)  프로젝트 - 원격무인 자동차</v>
      </c>
    </row>
    <row r="2649">
      <c r="A2649" s="140" t="str">
        <f>IFERROR(__xludf.DUMMYFUNCTION("""COMPUTED_VALUE"""),"tr")</f>
        <v>tr</v>
      </c>
      <c r="B2649">
        <f>IFERROR(__xludf.DUMMYFUNCTION("""COMPUTED_VALUE"""),2325456.0)</f>
        <v>2325456</v>
      </c>
      <c r="C2649" t="str">
        <f>IFERROR(__xludf.DUMMYFUNCTION("""COMPUTED_VALUE"""),"İNGİLİZCE ÇEVİRİ TEKNİKLERİ")</f>
        <v>İNGİLİZCE ÇEVİRİ TEKNİKLERİ</v>
      </c>
    </row>
    <row r="2650">
      <c r="A2650" s="140" t="str">
        <f>IFERROR(__xludf.DUMMYFUNCTION("""COMPUTED_VALUE"""),"en")</f>
        <v>en</v>
      </c>
      <c r="B2650">
        <f>IFERROR(__xludf.DUMMYFUNCTION("""COMPUTED_VALUE"""),1567888.0)</f>
        <v>1567888</v>
      </c>
      <c r="C2650" t="str">
        <f>IFERROR(__xludf.DUMMYFUNCTION("""COMPUTED_VALUE"""),"Data Migration: Database Migration MS SQL to Oracle DB")</f>
        <v>Data Migration: Database Migration MS SQL to Oracle DB</v>
      </c>
    </row>
    <row r="2651">
      <c r="A2651" s="140" t="str">
        <f>IFERROR(__xludf.DUMMYFUNCTION("""COMPUTED_VALUE"""),"en")</f>
        <v>en</v>
      </c>
      <c r="B2651">
        <f>IFERROR(__xludf.DUMMYFUNCTION("""COMPUTED_VALUE"""),1537586.0)</f>
        <v>1537586</v>
      </c>
      <c r="C2651" t="str">
        <f>IFERROR(__xludf.DUMMYFUNCTION("""COMPUTED_VALUE"""),"CoreML - Master Machine Learning for iOS Apps")</f>
        <v>CoreML - Master Machine Learning for iOS Apps</v>
      </c>
    </row>
    <row r="2652">
      <c r="A2652" s="140" t="str">
        <f>IFERROR(__xludf.DUMMYFUNCTION("""COMPUTED_VALUE"""),"fr")</f>
        <v>fr</v>
      </c>
      <c r="B2652">
        <f>IFERROR(__xludf.DUMMYFUNCTION("""COMPUTED_VALUE"""),2003920.0)</f>
        <v>2003920</v>
      </c>
      <c r="C2652" t="str">
        <f>IFERROR(__xludf.DUMMYFUNCTION("""COMPUTED_VALUE"""),"BUSINESS PLAN EXPRESS")</f>
        <v>BUSINESS PLAN EXPRESS</v>
      </c>
    </row>
    <row r="2653">
      <c r="A2653" s="140" t="str">
        <f>IFERROR(__xludf.DUMMYFUNCTION("""COMPUTED_VALUE"""),"en")</f>
        <v>en</v>
      </c>
      <c r="B2653">
        <f>IFERROR(__xludf.DUMMYFUNCTION("""COMPUTED_VALUE"""),482882.0)</f>
        <v>482882</v>
      </c>
      <c r="C2653" t="str">
        <f>IFERROR(__xludf.DUMMYFUNCTION("""COMPUTED_VALUE"""),"Produce Engaging Whiteboard Animations in VideoScribe")</f>
        <v>Produce Engaging Whiteboard Animations in VideoScribe</v>
      </c>
    </row>
    <row r="2654">
      <c r="A2654" s="140" t="str">
        <f>IFERROR(__xludf.DUMMYFUNCTION("""COMPUTED_VALUE"""),"es")</f>
        <v>es</v>
      </c>
      <c r="B2654">
        <f>IFERROR(__xludf.DUMMYFUNCTION("""COMPUTED_VALUE"""),2240248.0)</f>
        <v>2240248</v>
      </c>
      <c r="C2654" t="str">
        <f>IFERROR(__xludf.DUMMYFUNCTION("""COMPUTED_VALUE"""),"Finanzas Personales para Principiantes")</f>
        <v>Finanzas Personales para Principiantes</v>
      </c>
    </row>
    <row r="2655">
      <c r="A2655" s="140" t="str">
        <f>IFERROR(__xludf.DUMMYFUNCTION("""COMPUTED_VALUE"""),"en")</f>
        <v>en</v>
      </c>
      <c r="B2655">
        <f>IFERROR(__xludf.DUMMYFUNCTION("""COMPUTED_VALUE"""),1051008.0)</f>
        <v>1051008</v>
      </c>
      <c r="C2655" t="str">
        <f>IFERROR(__xludf.DUMMYFUNCTION("""COMPUTED_VALUE"""),"MongoDB 3.2: Professional Developer")</f>
        <v>MongoDB 3.2: Professional Developer</v>
      </c>
    </row>
    <row r="2656">
      <c r="A2656" s="140" t="str">
        <f>IFERROR(__xludf.DUMMYFUNCTION("""COMPUTED_VALUE"""),"en")</f>
        <v>en</v>
      </c>
      <c r="B2656">
        <f>IFERROR(__xludf.DUMMYFUNCTION("""COMPUTED_VALUE"""),1673566.0)</f>
        <v>1673566</v>
      </c>
      <c r="C2656" t="str">
        <f>IFERROR(__xludf.DUMMYFUNCTION("""COMPUTED_VALUE"""),"Certified Quality Engineer Training")</f>
        <v>Certified Quality Engineer Training</v>
      </c>
    </row>
    <row r="2657">
      <c r="A2657" s="140" t="str">
        <f>IFERROR(__xludf.DUMMYFUNCTION("""COMPUTED_VALUE"""),"en")</f>
        <v>en</v>
      </c>
      <c r="B2657">
        <f>IFERROR(__xludf.DUMMYFUNCTION("""COMPUTED_VALUE"""),1096662.0)</f>
        <v>1096662</v>
      </c>
      <c r="C2657" t="str">
        <f>IFERROR(__xludf.DUMMYFUNCTION("""COMPUTED_VALUE"""),"Salesforce Sales Cloud Consultant Certification Course")</f>
        <v>Salesforce Sales Cloud Consultant Certification Course</v>
      </c>
    </row>
    <row r="2658">
      <c r="A2658" s="140" t="str">
        <f>IFERROR(__xludf.DUMMYFUNCTION("""COMPUTED_VALUE"""),"en")</f>
        <v>en</v>
      </c>
      <c r="B2658">
        <f>IFERROR(__xludf.DUMMYFUNCTION("""COMPUTED_VALUE"""),2227364.0)</f>
        <v>2227364</v>
      </c>
      <c r="C2658" t="str">
        <f>IFERROR(__xludf.DUMMYFUNCTION("""COMPUTED_VALUE"""),"React Hooks Tutorial - Master React Hooks Development")</f>
        <v>React Hooks Tutorial - Master React Hooks Development</v>
      </c>
    </row>
    <row r="2659">
      <c r="A2659" s="140" t="str">
        <f>IFERROR(__xludf.DUMMYFUNCTION("""COMPUTED_VALUE"""),"en")</f>
        <v>en</v>
      </c>
      <c r="B2659">
        <f>IFERROR(__xludf.DUMMYFUNCTION("""COMPUTED_VALUE"""),1241574.0)</f>
        <v>1241574</v>
      </c>
      <c r="C2659" t="str">
        <f>IFERROR(__xludf.DUMMYFUNCTION("""COMPUTED_VALUE"""),"ISO 31000 - Enterprise Risk Management for the Professional")</f>
        <v>ISO 31000 - Enterprise Risk Management for the Professional</v>
      </c>
    </row>
    <row r="2660">
      <c r="A2660" s="140" t="str">
        <f>IFERROR(__xludf.DUMMYFUNCTION("""COMPUTED_VALUE"""),"en")</f>
        <v>en</v>
      </c>
      <c r="B2660">
        <f>IFERROR(__xludf.DUMMYFUNCTION("""COMPUTED_VALUE"""),4015622.0)</f>
        <v>4015622</v>
      </c>
      <c r="C2660" t="str">
        <f>IFERROR(__xludf.DUMMYFUNCTION("""COMPUTED_VALUE"""),"100 Days Of Code - Web Development Bootcamp [2022]")</f>
        <v>100 Days Of Code - Web Development Bootcamp [2022]</v>
      </c>
    </row>
    <row r="2661">
      <c r="A2661" s="140" t="str">
        <f>IFERROR(__xludf.DUMMYFUNCTION("""COMPUTED_VALUE"""),"ar")</f>
        <v>ar</v>
      </c>
      <c r="B2661">
        <f>IFERROR(__xludf.DUMMYFUNCTION("""COMPUTED_VALUE"""),1829990.0)</f>
        <v>1829990</v>
      </c>
      <c r="C2661" t="str">
        <f>IFERROR(__xludf.DUMMYFUNCTION("""COMPUTED_VALUE"""),"SIMATIC Manager (Configuration) + WinCC (Design) #Arabic")</f>
        <v>SIMATIC Manager (Configuration) + WinCC (Design) #Arabic</v>
      </c>
    </row>
    <row r="2662">
      <c r="A2662" s="140" t="str">
        <f>IFERROR(__xludf.DUMMYFUNCTION("""COMPUTED_VALUE"""),"es")</f>
        <v>es</v>
      </c>
      <c r="B2662">
        <f>IFERROR(__xludf.DUMMYFUNCTION("""COMPUTED_VALUE"""),3446534.0)</f>
        <v>3446534</v>
      </c>
      <c r="C2662" t="str">
        <f>IFERROR(__xludf.DUMMYFUNCTION("""COMPUTED_VALUE"""),"Crea chatbots profesionales para tu página de facebook pyme")</f>
        <v>Crea chatbots profesionales para tu página de facebook pyme</v>
      </c>
    </row>
    <row r="2663">
      <c r="A2663" s="140" t="str">
        <f>IFERROR(__xludf.DUMMYFUNCTION("""COMPUTED_VALUE"""),"en")</f>
        <v>en</v>
      </c>
      <c r="B2663">
        <f>IFERROR(__xludf.DUMMYFUNCTION("""COMPUTED_VALUE"""),3697704.0)</f>
        <v>3697704</v>
      </c>
      <c r="C2663" t="str">
        <f>IFERROR(__xludf.DUMMYFUNCTION("""COMPUTED_VALUE"""),"Fundamentals of Insurance - 2")</f>
        <v>Fundamentals of Insurance - 2</v>
      </c>
    </row>
    <row r="2664">
      <c r="A2664" s="140" t="str">
        <f>IFERROR(__xludf.DUMMYFUNCTION("""COMPUTED_VALUE"""),"en")</f>
        <v>en</v>
      </c>
      <c r="B2664">
        <f>IFERROR(__xludf.DUMMYFUNCTION("""COMPUTED_VALUE"""),1934362.0)</f>
        <v>1934362</v>
      </c>
      <c r="C2664" t="str">
        <f>IFERROR(__xludf.DUMMYFUNCTION("""COMPUTED_VALUE"""),"Socket.IO (with websockets) - the details. (socket io v2)")</f>
        <v>Socket.IO (with websockets) - the details. (socket io v2)</v>
      </c>
    </row>
    <row r="2665">
      <c r="A2665" s="140" t="str">
        <f>IFERROR(__xludf.DUMMYFUNCTION("""COMPUTED_VALUE"""),"pt")</f>
        <v>pt</v>
      </c>
      <c r="B2665">
        <f>IFERROR(__xludf.DUMMYFUNCTION("""COMPUTED_VALUE"""),2299578.0)</f>
        <v>2299578</v>
      </c>
      <c r="C2665" t="str">
        <f>IFERROR(__xludf.DUMMYFUNCTION("""COMPUTED_VALUE"""),"Headers Animados e Responsivos com HTML, CSS e JavaScript")</f>
        <v>Headers Animados e Responsivos com HTML, CSS e JavaScript</v>
      </c>
    </row>
    <row r="2666">
      <c r="A2666" s="140" t="str">
        <f>IFERROR(__xludf.DUMMYFUNCTION("""COMPUTED_VALUE"""),"en")</f>
        <v>en</v>
      </c>
      <c r="B2666">
        <f>IFERROR(__xludf.DUMMYFUNCTION("""COMPUTED_VALUE"""),599828.0)</f>
        <v>599828</v>
      </c>
      <c r="C2666" t="str">
        <f>IFERROR(__xludf.DUMMYFUNCTION("""COMPUTED_VALUE"""),"ISTQB Foundation Level (CTFL) Exam Review - Updated 2021")</f>
        <v>ISTQB Foundation Level (CTFL) Exam Review - Updated 2021</v>
      </c>
    </row>
    <row r="2667">
      <c r="A2667" s="140" t="str">
        <f>IFERROR(__xludf.DUMMYFUNCTION("""COMPUTED_VALUE"""),"en")</f>
        <v>en</v>
      </c>
      <c r="B2667">
        <f>IFERROR(__xludf.DUMMYFUNCTION("""COMPUTED_VALUE"""),319112.0)</f>
        <v>319112</v>
      </c>
      <c r="C2667" t="str">
        <f>IFERROR(__xludf.DUMMYFUNCTION("""COMPUTED_VALUE"""),"More ESL English: Popular Listening Practice, Intermediate")</f>
        <v>More ESL English: Popular Listening Practice, Intermediate</v>
      </c>
    </row>
    <row r="2668">
      <c r="A2668" s="140" t="str">
        <f>IFERROR(__xludf.DUMMYFUNCTION("""COMPUTED_VALUE"""),"ja")</f>
        <v>ja</v>
      </c>
      <c r="B2668">
        <f>IFERROR(__xludf.DUMMYFUNCTION("""COMPUTED_VALUE"""),1098334.0)</f>
        <v>1098334</v>
      </c>
      <c r="C2668" t="str">
        <f>IFERROR(__xludf.DUMMYFUNCTION("""COMPUTED_VALUE"""),"【ゼロからおさらい】統計学の基礎")</f>
        <v>【ゼロからおさらい】統計学の基礎</v>
      </c>
    </row>
    <row r="2669">
      <c r="A2669" s="140" t="str">
        <f>IFERROR(__xludf.DUMMYFUNCTION("""COMPUTED_VALUE"""),"en")</f>
        <v>en</v>
      </c>
      <c r="B2669">
        <f>IFERROR(__xludf.DUMMYFUNCTION("""COMPUTED_VALUE"""),4162358.0)</f>
        <v>4162358</v>
      </c>
      <c r="C2669" t="str">
        <f>IFERROR(__xludf.DUMMYFUNCTION("""COMPUTED_VALUE"""),"Enterprise Architecture by Example")</f>
        <v>Enterprise Architecture by Example</v>
      </c>
    </row>
    <row r="2670">
      <c r="A2670" s="140" t="str">
        <f>IFERROR(__xludf.DUMMYFUNCTION("""COMPUTED_VALUE"""),"en")</f>
        <v>en</v>
      </c>
      <c r="B2670">
        <f>IFERROR(__xludf.DUMMYFUNCTION("""COMPUTED_VALUE"""),3446302.0)</f>
        <v>3446302</v>
      </c>
      <c r="C2670" t="str">
        <f>IFERROR(__xludf.DUMMYFUNCTION("""COMPUTED_VALUE"""),"The Parents' Guide to Virtual School K-12")</f>
        <v>The Parents' Guide to Virtual School K-12</v>
      </c>
    </row>
    <row r="2671">
      <c r="A2671" s="140" t="str">
        <f>IFERROR(__xludf.DUMMYFUNCTION("""COMPUTED_VALUE"""),"ja")</f>
        <v>ja</v>
      </c>
      <c r="B2671">
        <f>IFERROR(__xludf.DUMMYFUNCTION("""COMPUTED_VALUE"""),3371476.0)</f>
        <v>3371476</v>
      </c>
      <c r="C2671" t="str">
        <f>IFERROR(__xludf.DUMMYFUNCTION("""COMPUTED_VALUE"""),"[Instagramクローン編] React Hooks + Django Restframework")</f>
        <v>[Instagramクローン編] React Hooks + Django Restframework</v>
      </c>
    </row>
    <row r="2672">
      <c r="A2672" s="140" t="str">
        <f>IFERROR(__xludf.DUMMYFUNCTION("""COMPUTED_VALUE"""),"pt")</f>
        <v>pt</v>
      </c>
      <c r="B2672">
        <f>IFERROR(__xludf.DUMMYFUNCTION("""COMPUTED_VALUE"""),2376580.0)</f>
        <v>2376580</v>
      </c>
      <c r="C2672" t="str">
        <f>IFERROR(__xludf.DUMMYFUNCTION("""COMPUTED_VALUE"""),"Automação de Processos no Bizagi")</f>
        <v>Automação de Processos no Bizagi</v>
      </c>
    </row>
    <row r="2673">
      <c r="A2673" s="140" t="str">
        <f>IFERROR(__xludf.DUMMYFUNCTION("""COMPUTED_VALUE"""),"en")</f>
        <v>en</v>
      </c>
      <c r="B2673">
        <f>IFERROR(__xludf.DUMMYFUNCTION("""COMPUTED_VALUE"""),1061202.0)</f>
        <v>1061202</v>
      </c>
      <c r="C2673" t="str">
        <f>IFERROR(__xludf.DUMMYFUNCTION("""COMPUTED_VALUE"""),"Complete Flexbox Course: Master CSS3 Flexbox for Good")</f>
        <v>Complete Flexbox Course: Master CSS3 Flexbox for Good</v>
      </c>
    </row>
    <row r="2674">
      <c r="A2674" s="140" t="str">
        <f>IFERROR(__xludf.DUMMYFUNCTION("""COMPUTED_VALUE"""),"pt")</f>
        <v>pt</v>
      </c>
      <c r="B2674">
        <f>IFERROR(__xludf.DUMMYFUNCTION("""COMPUTED_VALUE"""),2518080.0)</f>
        <v>2518080</v>
      </c>
      <c r="C2674" t="str">
        <f>IFERROR(__xludf.DUMMYFUNCTION("""COMPUTED_VALUE"""),"Tensorflow 2.0: Um Guia Completo sobre o novo TensorFlow")</f>
        <v>Tensorflow 2.0: Um Guia Completo sobre o novo TensorFlow</v>
      </c>
    </row>
    <row r="2675">
      <c r="A2675" s="140" t="str">
        <f>IFERROR(__xludf.DUMMYFUNCTION("""COMPUTED_VALUE"""),"en")</f>
        <v>en</v>
      </c>
      <c r="B2675">
        <f>IFERROR(__xludf.DUMMYFUNCTION("""COMPUTED_VALUE"""),2589688.0)</f>
        <v>2589688</v>
      </c>
      <c r="C2675" t="str">
        <f>IFERROR(__xludf.DUMMYFUNCTION("""COMPUTED_VALUE"""),"Salesforce Real time project on Lightning Component(AURA)")</f>
        <v>Salesforce Real time project on Lightning Component(AURA)</v>
      </c>
    </row>
    <row r="2676">
      <c r="A2676" s="140" t="str">
        <f>IFERROR(__xludf.DUMMYFUNCTION("""COMPUTED_VALUE"""),"es")</f>
        <v>es</v>
      </c>
      <c r="B2676">
        <f>IFERROR(__xludf.DUMMYFUNCTION("""COMPUTED_VALUE"""),3001852.0)</f>
        <v>3001852</v>
      </c>
      <c r="C2676" t="str">
        <f>IFERROR(__xludf.DUMMYFUNCTION("""COMPUTED_VALUE"""),"Crea Sistemas Marketplace con Angular y Firebase Database")</f>
        <v>Crea Sistemas Marketplace con Angular y Firebase Database</v>
      </c>
    </row>
    <row r="2677">
      <c r="A2677" s="140" t="str">
        <f>IFERROR(__xludf.DUMMYFUNCTION("""COMPUTED_VALUE"""),"en")</f>
        <v>en</v>
      </c>
      <c r="B2677">
        <f>IFERROR(__xludf.DUMMYFUNCTION("""COMPUTED_VALUE"""),63229.0)</f>
        <v>63229</v>
      </c>
      <c r="C2677" t="str">
        <f>IFERROR(__xludf.DUMMYFUNCTION("""COMPUTED_VALUE"""),"Ultimate Excel VBA")</f>
        <v>Ultimate Excel VBA</v>
      </c>
    </row>
    <row r="2678">
      <c r="A2678" s="140" t="str">
        <f>IFERROR(__xludf.DUMMYFUNCTION("""COMPUTED_VALUE"""),"es")</f>
        <v>es</v>
      </c>
      <c r="B2678">
        <f>IFERROR(__xludf.DUMMYFUNCTION("""COMPUTED_VALUE"""),1182814.0)</f>
        <v>1182814</v>
      </c>
      <c r="C2678" t="str">
        <f>IFERROR(__xludf.DUMMYFUNCTION("""COMPUTED_VALUE"""),"SAP ABAP Programación Iniciación")</f>
        <v>SAP ABAP Programación Iniciación</v>
      </c>
    </row>
    <row r="2679">
      <c r="A2679" s="140" t="str">
        <f>IFERROR(__xludf.DUMMYFUNCTION("""COMPUTED_VALUE"""),"en")</f>
        <v>en</v>
      </c>
      <c r="B2679">
        <f>IFERROR(__xludf.DUMMYFUNCTION("""COMPUTED_VALUE"""),1464072.0)</f>
        <v>1464072</v>
      </c>
      <c r="C2679" t="str">
        <f>IFERROR(__xludf.DUMMYFUNCTION("""COMPUTED_VALUE"""),"Java Certification : OCA (1Z0-808) Exam Simulation [2021]")</f>
        <v>Java Certification : OCA (1Z0-808) Exam Simulation [2021]</v>
      </c>
    </row>
    <row r="2680">
      <c r="A2680" s="140" t="str">
        <f>IFERROR(__xludf.DUMMYFUNCTION("""COMPUTED_VALUE"""),"en")</f>
        <v>en</v>
      </c>
      <c r="B2680">
        <f>IFERROR(__xludf.DUMMYFUNCTION("""COMPUTED_VALUE"""),322818.0)</f>
        <v>322818</v>
      </c>
      <c r="C2680" t="str">
        <f>IFERROR(__xludf.DUMMYFUNCTION("""COMPUTED_VALUE"""),"audio engineering: EQ and Compression for beginners")</f>
        <v>audio engineering: EQ and Compression for beginners</v>
      </c>
    </row>
    <row r="2681">
      <c r="A2681" s="140" t="str">
        <f>IFERROR(__xludf.DUMMYFUNCTION("""COMPUTED_VALUE"""),"pt")</f>
        <v>pt</v>
      </c>
      <c r="B2681">
        <f>IFERROR(__xludf.DUMMYFUNCTION("""COMPUTED_VALUE"""),3433848.0)</f>
        <v>3433848</v>
      </c>
      <c r="C2681" t="str">
        <f>IFERROR(__xludf.DUMMYFUNCTION("""COMPUTED_VALUE"""),"Formação Linux Completa: Do Básico ao Avançado")</f>
        <v>Formação Linux Completa: Do Básico ao Avançado</v>
      </c>
    </row>
    <row r="2682">
      <c r="A2682" s="140" t="str">
        <f>IFERROR(__xludf.DUMMYFUNCTION("""COMPUTED_VALUE"""),"en")</f>
        <v>en</v>
      </c>
      <c r="B2682">
        <f>IFERROR(__xludf.DUMMYFUNCTION("""COMPUTED_VALUE"""),2649642.0)</f>
        <v>2649642</v>
      </c>
      <c r="C2682" t="str">
        <f>IFERROR(__xludf.DUMMYFUNCTION("""COMPUTED_VALUE"""),"Pre-sales Skills: Prospecting, Lead Generation, Qualifying")</f>
        <v>Pre-sales Skills: Prospecting, Lead Generation, Qualifying</v>
      </c>
    </row>
    <row r="2683">
      <c r="A2683" s="140" t="str">
        <f>IFERROR(__xludf.DUMMYFUNCTION("""COMPUTED_VALUE"""),"ko")</f>
        <v>ko</v>
      </c>
      <c r="B2683">
        <f>IFERROR(__xludf.DUMMYFUNCTION("""COMPUTED_VALUE"""),4278412.0)</f>
        <v>4278412</v>
      </c>
      <c r="C2683" t="str">
        <f>IFERROR(__xludf.DUMMYFUNCTION("""COMPUTED_VALUE"""),"【글로벌 Best강의】 Apache Spark 와 Python으로 빅 데이터 다루기 (한글자막)")</f>
        <v>【글로벌 Best강의】 Apache Spark 와 Python으로 빅 데이터 다루기 (한글자막)</v>
      </c>
    </row>
    <row r="2684">
      <c r="A2684" s="140" t="str">
        <f>IFERROR(__xludf.DUMMYFUNCTION("""COMPUTED_VALUE"""),"es")</f>
        <v>es</v>
      </c>
      <c r="B2684">
        <f>IFERROR(__xludf.DUMMYFUNCTION("""COMPUTED_VALUE"""),448168.0)</f>
        <v>448168</v>
      </c>
      <c r="C2684" t="str">
        <f>IFERROR(__xludf.DUMMYFUNCTION("""COMPUTED_VALUE"""),"Introducción al Testing de Software: para Principiantes!")</f>
        <v>Introducción al Testing de Software: para Principiantes!</v>
      </c>
    </row>
    <row r="2685">
      <c r="A2685" s="140" t="str">
        <f>IFERROR(__xludf.DUMMYFUNCTION("""COMPUTED_VALUE"""),"en")</f>
        <v>en</v>
      </c>
      <c r="B2685">
        <f>IFERROR(__xludf.DUMMYFUNCTION("""COMPUTED_VALUE"""),1918248.0)</f>
        <v>1918248</v>
      </c>
      <c r="C2685" t="str">
        <f>IFERROR(__xludf.DUMMYFUNCTION("""COMPUTED_VALUE"""),"Project Management: Master Project Management - PMP/PMI")</f>
        <v>Project Management: Master Project Management - PMP/PMI</v>
      </c>
    </row>
    <row r="2686">
      <c r="A2686" s="140" t="str">
        <f>IFERROR(__xludf.DUMMYFUNCTION("""COMPUTED_VALUE"""),"fr")</f>
        <v>fr</v>
      </c>
      <c r="B2686">
        <f>IFERROR(__xludf.DUMMYFUNCTION("""COMPUTED_VALUE"""),1262988.0)</f>
        <v>1262988</v>
      </c>
      <c r="C2686" t="str">
        <f>IFERROR(__xludf.DUMMYFUNCTION("""COMPUTED_VALUE"""),"Introduction au Web Design")</f>
        <v>Introduction au Web Design</v>
      </c>
    </row>
    <row r="2687">
      <c r="A2687" s="140" t="str">
        <f>IFERROR(__xludf.DUMMYFUNCTION("""COMPUTED_VALUE"""),"ko")</f>
        <v>ko</v>
      </c>
      <c r="B2687">
        <f>IFERROR(__xludf.DUMMYFUNCTION("""COMPUTED_VALUE"""),3182126.0)</f>
        <v>3182126</v>
      </c>
      <c r="C2687" t="str">
        <f>IFERROR(__xludf.DUMMYFUNCTION("""COMPUTED_VALUE"""),"RCT를 위한 기본 지식")</f>
        <v>RCT를 위한 기본 지식</v>
      </c>
    </row>
    <row r="2688">
      <c r="A2688" s="140" t="str">
        <f>IFERROR(__xludf.DUMMYFUNCTION("""COMPUTED_VALUE"""),"en")</f>
        <v>en</v>
      </c>
      <c r="B2688">
        <f>IFERROR(__xludf.DUMMYFUNCTION("""COMPUTED_VALUE"""),2652106.0)</f>
        <v>2652106</v>
      </c>
      <c r="C2688" t="str">
        <f>IFERROR(__xludf.DUMMYFUNCTION("""COMPUTED_VALUE"""),"AWS Machine Learning Certification Exam | Complete Guide")</f>
        <v>AWS Machine Learning Certification Exam | Complete Guide</v>
      </c>
    </row>
    <row r="2689">
      <c r="A2689" s="140" t="str">
        <f>IFERROR(__xludf.DUMMYFUNCTION("""COMPUTED_VALUE"""),"en")</f>
        <v>en</v>
      </c>
      <c r="B2689">
        <f>IFERROR(__xludf.DUMMYFUNCTION("""COMPUTED_VALUE"""),2564034.0)</f>
        <v>2564034</v>
      </c>
      <c r="C2689" t="str">
        <f>IFERROR(__xludf.DUMMYFUNCTION("""COMPUTED_VALUE"""),"Decluttering - Complete Organizing Home, Office, Life Course")</f>
        <v>Decluttering - Complete Organizing Home, Office, Life Course</v>
      </c>
    </row>
    <row r="2690">
      <c r="A2690" s="140" t="str">
        <f>IFERROR(__xludf.DUMMYFUNCTION("""COMPUTED_VALUE"""),"es")</f>
        <v>es</v>
      </c>
      <c r="B2690">
        <f>IFERROR(__xludf.DUMMYFUNCTION("""COMPUTED_VALUE"""),475192.0)</f>
        <v>475192</v>
      </c>
      <c r="C2690" t="str">
        <f>IFERROR(__xludf.DUMMYFUNCTION("""COMPUTED_VALUE"""),"Iniciandose en R")</f>
        <v>Iniciandose en R</v>
      </c>
    </row>
    <row r="2691">
      <c r="A2691" s="140" t="str">
        <f>IFERROR(__xludf.DUMMYFUNCTION("""COMPUTED_VALUE"""),"ja")</f>
        <v>ja</v>
      </c>
      <c r="B2691">
        <f>IFERROR(__xludf.DUMMYFUNCTION("""COMPUTED_VALUE"""),2357502.0)</f>
        <v>2357502</v>
      </c>
      <c r="C2691" t="str">
        <f>IFERROR(__xludf.DUMMYFUNCTION("""COMPUTED_VALUE"""),"【続】Microsoft Power BI Desktop - 入門講座 ～Power Query Editor編～")</f>
        <v>【続】Microsoft Power BI Desktop - 入門講座 ～Power Query Editor編～</v>
      </c>
    </row>
    <row r="2692">
      <c r="A2692" s="140" t="str">
        <f>IFERROR(__xludf.DUMMYFUNCTION("""COMPUTED_VALUE"""),"fr")</f>
        <v>fr</v>
      </c>
      <c r="B2692">
        <f>IFERROR(__xludf.DUMMYFUNCTION("""COMPUTED_VALUE"""),1362802.0)</f>
        <v>1362802</v>
      </c>
      <c r="C2692" t="str">
        <f>IFERROR(__xludf.DUMMYFUNCTION("""COMPUTED_VALUE"""),"Tout comprendre du SQL ! Formation complète et rapide (3,5h)")</f>
        <v>Tout comprendre du SQL ! Formation complète et rapide (3,5h)</v>
      </c>
    </row>
    <row r="2693">
      <c r="A2693" s="140" t="str">
        <f>IFERROR(__xludf.DUMMYFUNCTION("""COMPUTED_VALUE"""),"es")</f>
        <v>es</v>
      </c>
      <c r="B2693">
        <f>IFERROR(__xludf.DUMMYFUNCTION("""COMPUTED_VALUE"""),2178672.0)</f>
        <v>2178672</v>
      </c>
      <c r="C2693" t="str">
        <f>IFERROR(__xludf.DUMMYFUNCTION("""COMPUTED_VALUE"""),"Curso Power BI – Análisis de Datos y Business Intelligence")</f>
        <v>Curso Power BI – Análisis de Datos y Business Intelligence</v>
      </c>
    </row>
    <row r="2694">
      <c r="A2694" s="140" t="str">
        <f>IFERROR(__xludf.DUMMYFUNCTION("""COMPUTED_VALUE"""),"en")</f>
        <v>en</v>
      </c>
      <c r="B2694">
        <f>IFERROR(__xludf.DUMMYFUNCTION("""COMPUTED_VALUE"""),1093920.0)</f>
        <v>1093920</v>
      </c>
      <c r="C2694" t="str">
        <f>IFERROR(__xludf.DUMMYFUNCTION("""COMPUTED_VALUE"""),"Dependency Injection in C# and .NET with the Autofac Library")</f>
        <v>Dependency Injection in C# and .NET with the Autofac Library</v>
      </c>
    </row>
    <row r="2695">
      <c r="A2695" s="140" t="str">
        <f>IFERROR(__xludf.DUMMYFUNCTION("""COMPUTED_VALUE"""),"en")</f>
        <v>en</v>
      </c>
      <c r="B2695">
        <f>IFERROR(__xludf.DUMMYFUNCTION("""COMPUTED_VALUE"""),1548106.0)</f>
        <v>1548106</v>
      </c>
      <c r="C2695" t="str">
        <f>IFERROR(__xludf.DUMMYFUNCTION("""COMPUTED_VALUE"""),"Cisco VPNs with GNS3 Labs: Practical GRE, IPSec, DMVPN labs")</f>
        <v>Cisco VPNs with GNS3 Labs: Practical GRE, IPSec, DMVPN labs</v>
      </c>
    </row>
    <row r="2696">
      <c r="A2696" s="140" t="str">
        <f>IFERROR(__xludf.DUMMYFUNCTION("""COMPUTED_VALUE"""),"es")</f>
        <v>es</v>
      </c>
      <c r="B2696">
        <f>IFERROR(__xludf.DUMMYFUNCTION("""COMPUTED_VALUE"""),2505480.0)</f>
        <v>2505480</v>
      </c>
      <c r="C2696" t="str">
        <f>IFERROR(__xludf.DUMMYFUNCTION("""COMPUTED_VALUE"""),"Chatbots con Inteligencia Artificial IA con IBM Watson【2021】")</f>
        <v>Chatbots con Inteligencia Artificial IA con IBM Watson【2021】</v>
      </c>
    </row>
    <row r="2697">
      <c r="A2697" s="140" t="str">
        <f>IFERROR(__xludf.DUMMYFUNCTION("""COMPUTED_VALUE"""),"en")</f>
        <v>en</v>
      </c>
      <c r="B2697">
        <f>IFERROR(__xludf.DUMMYFUNCTION("""COMPUTED_VALUE"""),777654.0)</f>
        <v>777654</v>
      </c>
      <c r="C2697" t="str">
        <f>IFERROR(__xludf.DUMMYFUNCTION("""COMPUTED_VALUE"""),"Learn what's new in PHP 7")</f>
        <v>Learn what's new in PHP 7</v>
      </c>
    </row>
    <row r="2698">
      <c r="A2698" s="140" t="str">
        <f>IFERROR(__xludf.DUMMYFUNCTION("""COMPUTED_VALUE"""),"en")</f>
        <v>en</v>
      </c>
      <c r="B2698">
        <f>IFERROR(__xludf.DUMMYFUNCTION("""COMPUTED_VALUE"""),426838.0)</f>
        <v>426838</v>
      </c>
      <c r="C2698" t="str">
        <f>IFERROR(__xludf.DUMMYFUNCTION("""COMPUTED_VALUE"""),"BDD with Selenium Webdriver and Specflow using C#")</f>
        <v>BDD with Selenium Webdriver and Specflow using C#</v>
      </c>
    </row>
    <row r="2699">
      <c r="A2699" s="140" t="str">
        <f>IFERROR(__xludf.DUMMYFUNCTION("""COMPUTED_VALUE"""),"en")</f>
        <v>en</v>
      </c>
      <c r="B2699">
        <f>IFERROR(__xludf.DUMMYFUNCTION("""COMPUTED_VALUE"""),3122558.0)</f>
        <v>3122558</v>
      </c>
      <c r="C2699" t="str">
        <f>IFERROR(__xludf.DUMMYFUNCTION("""COMPUTED_VALUE"""),"sap ale idoc for abap and functional consultant")</f>
        <v>sap ale idoc for abap and functional consultant</v>
      </c>
    </row>
    <row r="2700">
      <c r="A2700" s="140" t="str">
        <f>IFERROR(__xludf.DUMMYFUNCTION("""COMPUTED_VALUE"""),"es")</f>
        <v>es</v>
      </c>
      <c r="B2700">
        <f>IFERROR(__xludf.DUMMYFUNCTION("""COMPUTED_VALUE"""),2872884.0)</f>
        <v>2872884</v>
      </c>
      <c r="C2700" t="str">
        <f>IFERROR(__xludf.DUMMYFUNCTION("""COMPUTED_VALUE"""),"Tablas Dinámicas en Excel - Dashboards y Análisis de Datos")</f>
        <v>Tablas Dinámicas en Excel - Dashboards y Análisis de Datos</v>
      </c>
    </row>
    <row r="2701">
      <c r="A2701" s="140" t="str">
        <f>IFERROR(__xludf.DUMMYFUNCTION("""COMPUTED_VALUE"""),"en")</f>
        <v>en</v>
      </c>
      <c r="B2701">
        <f>IFERROR(__xludf.DUMMYFUNCTION("""COMPUTED_VALUE"""),2278183.0)</f>
        <v>2278183</v>
      </c>
      <c r="C2701" t="str">
        <f>IFERROR(__xludf.DUMMYFUNCTION("""COMPUTED_VALUE"""),"Certified Information Systems Security Professional (CISSP)")</f>
        <v>Certified Information Systems Security Professional (CISSP)</v>
      </c>
    </row>
    <row r="2702">
      <c r="A2702" s="140" t="str">
        <f>IFERROR(__xludf.DUMMYFUNCTION("""COMPUTED_VALUE"""),"en")</f>
        <v>en</v>
      </c>
      <c r="B2702">
        <f>IFERROR(__xludf.DUMMYFUNCTION("""COMPUTED_VALUE"""),415612.0)</f>
        <v>415612</v>
      </c>
      <c r="C2702" t="str">
        <f>IFERROR(__xludf.DUMMYFUNCTION("""COMPUTED_VALUE"""),"Employment Law Compliance Made Easy")</f>
        <v>Employment Law Compliance Made Easy</v>
      </c>
    </row>
    <row r="2703">
      <c r="A2703" s="140" t="str">
        <f>IFERROR(__xludf.DUMMYFUNCTION("""COMPUTED_VALUE"""),"en")</f>
        <v>en</v>
      </c>
      <c r="B2703">
        <f>IFERROR(__xludf.DUMMYFUNCTION("""COMPUTED_VALUE"""),1581082.0)</f>
        <v>1581082</v>
      </c>
      <c r="C2703" t="str">
        <f>IFERROR(__xludf.DUMMYFUNCTION("""COMPUTED_VALUE"""),"Node.Js: Building REST APIs with Sails.js(v1.0)")</f>
        <v>Node.Js: Building REST APIs with Sails.js(v1.0)</v>
      </c>
    </row>
    <row r="2704">
      <c r="A2704" s="140" t="str">
        <f>IFERROR(__xludf.DUMMYFUNCTION("""COMPUTED_VALUE"""),"pt")</f>
        <v>pt</v>
      </c>
      <c r="B2704">
        <f>IFERROR(__xludf.DUMMYFUNCTION("""COMPUTED_VALUE"""),3196108.0)</f>
        <v>3196108</v>
      </c>
      <c r="C2704" t="str">
        <f>IFERROR(__xludf.DUMMYFUNCTION("""COMPUTED_VALUE"""),"Aprenda tudo sobre o Linux! Completo e atualizado v2021!")</f>
        <v>Aprenda tudo sobre o Linux! Completo e atualizado v2021!</v>
      </c>
    </row>
    <row r="2705">
      <c r="A2705" s="140" t="str">
        <f>IFERROR(__xludf.DUMMYFUNCTION("""COMPUTED_VALUE"""),"pt")</f>
        <v>pt</v>
      </c>
      <c r="B2705">
        <f>IFERROR(__xludf.DUMMYFUNCTION("""COMPUTED_VALUE"""),2489120.0)</f>
        <v>2489120</v>
      </c>
      <c r="C2705" t="str">
        <f>IFERROR(__xludf.DUMMYFUNCTION("""COMPUTED_VALUE"""),"MikroTik para Iniciantes - Configuração na Prática")</f>
        <v>MikroTik para Iniciantes - Configuração na Prática</v>
      </c>
    </row>
    <row r="2706">
      <c r="A2706" s="140" t="str">
        <f>IFERROR(__xludf.DUMMYFUNCTION("""COMPUTED_VALUE"""),"de")</f>
        <v>de</v>
      </c>
      <c r="B2706">
        <f>IFERROR(__xludf.DUMMYFUNCTION("""COMPUTED_VALUE"""),3597360.0)</f>
        <v>3597360</v>
      </c>
      <c r="C2706" t="str">
        <f>IFERROR(__xludf.DUMMYFUNCTION("""COMPUTED_VALUE"""),"Public Speaking: Rhetorik &amp; Charisma – Werde überzeugend!")</f>
        <v>Public Speaking: Rhetorik &amp; Charisma – Werde überzeugend!</v>
      </c>
    </row>
    <row r="2707">
      <c r="A2707" s="140" t="str">
        <f>IFERROR(__xludf.DUMMYFUNCTION("""COMPUTED_VALUE"""),"ja")</f>
        <v>ja</v>
      </c>
      <c r="B2707">
        <f>IFERROR(__xludf.DUMMYFUNCTION("""COMPUTED_VALUE"""),2312418.0)</f>
        <v>2312418</v>
      </c>
      <c r="C2707" t="str">
        <f>IFERROR(__xludf.DUMMYFUNCTION("""COMPUTED_VALUE"""),"C#で非同期プログラミングをする方法")</f>
        <v>C#で非同期プログラミングをする方法</v>
      </c>
    </row>
    <row r="2708">
      <c r="A2708" s="140" t="str">
        <f>IFERROR(__xludf.DUMMYFUNCTION("""COMPUTED_VALUE"""),"en")</f>
        <v>en</v>
      </c>
      <c r="B2708">
        <f>IFERROR(__xludf.DUMMYFUNCTION("""COMPUTED_VALUE"""),3771370.0)</f>
        <v>3771370</v>
      </c>
      <c r="C2708" t="str">
        <f>IFERROR(__xludf.DUMMYFUNCTION("""COMPUTED_VALUE"""),"2021 Master Class: Machine Learning Using Google Cloud")</f>
        <v>2021 Master Class: Machine Learning Using Google Cloud</v>
      </c>
    </row>
    <row r="2709">
      <c r="A2709" s="140" t="str">
        <f>IFERROR(__xludf.DUMMYFUNCTION("""COMPUTED_VALUE"""),"es")</f>
        <v>es</v>
      </c>
      <c r="B2709">
        <f>IFERROR(__xludf.DUMMYFUNCTION("""COMPUTED_VALUE"""),3927262.0)</f>
        <v>3927262</v>
      </c>
      <c r="C2709" t="str">
        <f>IFERROR(__xludf.DUMMYFUNCTION("""COMPUTED_VALUE"""),"Curso de Ciberseguridad: Hacking Ético y Test de Penetración")</f>
        <v>Curso de Ciberseguridad: Hacking Ético y Test de Penetración</v>
      </c>
    </row>
    <row r="2710">
      <c r="A2710" s="140" t="str">
        <f>IFERROR(__xludf.DUMMYFUNCTION("""COMPUTED_VALUE"""),"en")</f>
        <v>en</v>
      </c>
      <c r="B2710">
        <f>IFERROR(__xludf.DUMMYFUNCTION("""COMPUTED_VALUE"""),38034.0)</f>
        <v>38034</v>
      </c>
      <c r="C2710" t="str">
        <f>IFERROR(__xludf.DUMMYFUNCTION("""COMPUTED_VALUE"""),"Learning How to Learn From Video Courses")</f>
        <v>Learning How to Learn From Video Courses</v>
      </c>
    </row>
    <row r="2711">
      <c r="A2711" s="140" t="str">
        <f>IFERROR(__xludf.DUMMYFUNCTION("""COMPUTED_VALUE"""),"en")</f>
        <v>en</v>
      </c>
      <c r="B2711">
        <f>IFERROR(__xludf.DUMMYFUNCTION("""COMPUTED_VALUE"""),4176318.0)</f>
        <v>4176318</v>
      </c>
      <c r="C2711" t="str">
        <f>IFERROR(__xludf.DUMMYFUNCTION("""COMPUTED_VALUE"""),"3 Minute French - Course 10 | Language lessons for beginners")</f>
        <v>3 Minute French - Course 10 | Language lessons for beginners</v>
      </c>
    </row>
    <row r="2712">
      <c r="A2712" s="140" t="str">
        <f>IFERROR(__xludf.DUMMYFUNCTION("""COMPUTED_VALUE"""),"ja")</f>
        <v>ja</v>
      </c>
      <c r="B2712">
        <f>IFERROR(__xludf.DUMMYFUNCTION("""COMPUTED_VALUE"""),3258874.0)</f>
        <v>3258874</v>
      </c>
      <c r="C2712" t="str">
        <f>IFERROR(__xludf.DUMMYFUNCTION("""COMPUTED_VALUE"""),"米シリコンバレーDevOps監修！超Kubernetes完全入門(2022)【優しい図解説とハンズオン】")</f>
        <v>米シリコンバレーDevOps監修！超Kubernetes完全入門(2022)【優しい図解説とハンズオン】</v>
      </c>
    </row>
    <row r="2713">
      <c r="A2713" s="140" t="str">
        <f>IFERROR(__xludf.DUMMYFUNCTION("""COMPUTED_VALUE"""),"en")</f>
        <v>en</v>
      </c>
      <c r="B2713">
        <f>IFERROR(__xludf.DUMMYFUNCTION("""COMPUTED_VALUE"""),540916.0)</f>
        <v>540916</v>
      </c>
      <c r="C2713" t="str">
        <f>IFERROR(__xludf.DUMMYFUNCTION("""COMPUTED_VALUE"""),"Learn Advanced Game Mechanics in Unity for Game Development")</f>
        <v>Learn Advanced Game Mechanics in Unity for Game Development</v>
      </c>
    </row>
    <row r="2714">
      <c r="A2714" s="140" t="str">
        <f>IFERROR(__xludf.DUMMYFUNCTION("""COMPUTED_VALUE"""),"en")</f>
        <v>en</v>
      </c>
      <c r="B2714">
        <f>IFERROR(__xludf.DUMMYFUNCTION("""COMPUTED_VALUE"""),893878.0)</f>
        <v>893878</v>
      </c>
      <c r="C2714" t="str">
        <f>IFERROR(__xludf.DUMMYFUNCTION("""COMPUTED_VALUE"""),"Python Regular Expressions (Regex) with Projects [Updated]")</f>
        <v>Python Regular Expressions (Regex) with Projects [Updated]</v>
      </c>
    </row>
    <row r="2715">
      <c r="A2715" s="140" t="str">
        <f>IFERROR(__xludf.DUMMYFUNCTION("""COMPUTED_VALUE"""),"ja")</f>
        <v>ja</v>
      </c>
      <c r="B2715">
        <f>IFERROR(__xludf.DUMMYFUNCTION("""COMPUTED_VALUE"""),2290175.0)</f>
        <v>2290175</v>
      </c>
      <c r="C2715" t="str">
        <f>IFERROR(__xludf.DUMMYFUNCTION("""COMPUTED_VALUE"""),"現役シリコンバレーエンジニアが教えるGo入門 + ドローンプログラミング")</f>
        <v>現役シリコンバレーエンジニアが教えるGo入門 + ドローンプログラミング</v>
      </c>
    </row>
    <row r="2716">
      <c r="A2716" s="140" t="str">
        <f>IFERROR(__xludf.DUMMYFUNCTION("""COMPUTED_VALUE"""),"ja")</f>
        <v>ja</v>
      </c>
      <c r="B2716">
        <f>IFERROR(__xludf.DUMMYFUNCTION("""COMPUTED_VALUE"""),2640636.0)</f>
        <v>2640636</v>
      </c>
      <c r="C2716" t="str">
        <f>IFERROR(__xludf.DUMMYFUNCTION("""COMPUTED_VALUE"""),"手を動かして学ぶプロダクトデザイン入門！デザイン思考・プロトタイピング・アジャイルの考え方と実践")</f>
        <v>手を動かして学ぶプロダクトデザイン入門！デザイン思考・プロトタイピング・アジャイルの考え方と実践</v>
      </c>
    </row>
    <row r="2717">
      <c r="A2717" s="140" t="str">
        <f>IFERROR(__xludf.DUMMYFUNCTION("""COMPUTED_VALUE"""),"en")</f>
        <v>en</v>
      </c>
      <c r="B2717">
        <f>IFERROR(__xludf.DUMMYFUNCTION("""COMPUTED_VALUE"""),1682658.0)</f>
        <v>1682658</v>
      </c>
      <c r="C2717" t="str">
        <f>IFERROR(__xludf.DUMMYFUNCTION("""COMPUTED_VALUE"""),"Master Course in Tableau Prep - Prepare &amp; Clean Data")</f>
        <v>Master Course in Tableau Prep - Prepare &amp; Clean Data</v>
      </c>
    </row>
    <row r="2718">
      <c r="A2718" s="140" t="str">
        <f>IFERROR(__xludf.DUMMYFUNCTION("""COMPUTED_VALUE"""),"ja")</f>
        <v>ja</v>
      </c>
      <c r="B2718">
        <f>IFERROR(__xludf.DUMMYFUNCTION("""COMPUTED_VALUE"""),2309406.0)</f>
        <v>2309406</v>
      </c>
      <c r="C2718" t="str">
        <f>IFERROR(__xludf.DUMMYFUNCTION("""COMPUTED_VALUE"""),"C#でテスト駆動開発【TDD】をする方法")</f>
        <v>C#でテスト駆動開発【TDD】をする方法</v>
      </c>
    </row>
    <row r="2719">
      <c r="A2719" s="140" t="str">
        <f>IFERROR(__xludf.DUMMYFUNCTION("""COMPUTED_VALUE"""),"es")</f>
        <v>es</v>
      </c>
      <c r="B2719">
        <f>IFERROR(__xludf.DUMMYFUNCTION("""COMPUTED_VALUE"""),1717020.0)</f>
        <v>1717020</v>
      </c>
      <c r="C2719" t="str">
        <f>IFERROR(__xludf.DUMMYFUNCTION("""COMPUTED_VALUE"""),"¡Aprende el Italiano Ahora! Un curso fácil y completo.")</f>
        <v>¡Aprende el Italiano Ahora! Un curso fácil y completo.</v>
      </c>
    </row>
    <row r="2720">
      <c r="A2720" s="140" t="str">
        <f>IFERROR(__xludf.DUMMYFUNCTION("""COMPUTED_VALUE"""),"en")</f>
        <v>en</v>
      </c>
      <c r="B2720">
        <f>IFERROR(__xludf.DUMMYFUNCTION("""COMPUTED_VALUE"""),1426954.0)</f>
        <v>1426954</v>
      </c>
      <c r="C2720" t="str">
        <f>IFERROR(__xludf.DUMMYFUNCTION("""COMPUTED_VALUE"""),"Lean Management: Reduce waste and boost efficiency")</f>
        <v>Lean Management: Reduce waste and boost efficiency</v>
      </c>
    </row>
    <row r="2721">
      <c r="A2721" s="140" t="str">
        <f>IFERROR(__xludf.DUMMYFUNCTION("""COMPUTED_VALUE"""),"es")</f>
        <v>es</v>
      </c>
      <c r="B2721">
        <f>IFERROR(__xludf.DUMMYFUNCTION("""COMPUTED_VALUE"""),1792444.0)</f>
        <v>1792444</v>
      </c>
      <c r="C2721" t="str">
        <f>IFERROR(__xludf.DUMMYFUNCTION("""COMPUTED_VALUE"""),"De 0 a Master: La guía de SCRUM antes de tu examen")</f>
        <v>De 0 a Master: La guía de SCRUM antes de tu examen</v>
      </c>
    </row>
    <row r="2722">
      <c r="A2722" s="140" t="str">
        <f>IFERROR(__xludf.DUMMYFUNCTION("""COMPUTED_VALUE"""),"en")</f>
        <v>en</v>
      </c>
      <c r="B2722">
        <f>IFERROR(__xludf.DUMMYFUNCTION("""COMPUTED_VALUE"""),4040970.0)</f>
        <v>4040970</v>
      </c>
      <c r="C2722" t="str">
        <f>IFERROR(__xludf.DUMMYFUNCTION("""COMPUTED_VALUE"""),"Swift for Intermediate and Advanced iOS Developers")</f>
        <v>Swift for Intermediate and Advanced iOS Developers</v>
      </c>
    </row>
    <row r="2723">
      <c r="A2723" s="140" t="str">
        <f>IFERROR(__xludf.DUMMYFUNCTION("""COMPUTED_VALUE"""),"en")</f>
        <v>en</v>
      </c>
      <c r="B2723">
        <f>IFERROR(__xludf.DUMMYFUNCTION("""COMPUTED_VALUE"""),3665574.0)</f>
        <v>3665574</v>
      </c>
      <c r="C2723" t="str">
        <f>IFERROR(__xludf.DUMMYFUNCTION("""COMPUTED_VALUE"""),"Deploying Windows Virtual Desktop in Microsoft Azure")</f>
        <v>Deploying Windows Virtual Desktop in Microsoft Azure</v>
      </c>
    </row>
    <row r="2724">
      <c r="A2724" s="140" t="str">
        <f>IFERROR(__xludf.DUMMYFUNCTION("""COMPUTED_VALUE"""),"pt")</f>
        <v>pt</v>
      </c>
      <c r="B2724">
        <f>IFERROR(__xludf.DUMMYFUNCTION("""COMPUTED_VALUE"""),4182988.0)</f>
        <v>4182988</v>
      </c>
      <c r="C2724" t="str">
        <f>IFERROR(__xludf.DUMMYFUNCTION("""COMPUTED_VALUE"""),"Detecção de Movimentos com Python e OpenCV")</f>
        <v>Detecção de Movimentos com Python e OpenCV</v>
      </c>
    </row>
    <row r="2725">
      <c r="A2725" s="140" t="str">
        <f>IFERROR(__xludf.DUMMYFUNCTION("""COMPUTED_VALUE"""),"en")</f>
        <v>en</v>
      </c>
      <c r="B2725">
        <f>IFERROR(__xludf.DUMMYFUNCTION("""COMPUTED_VALUE"""),4351594.0)</f>
        <v>4351594</v>
      </c>
      <c r="C2725" t="str">
        <f>IFERROR(__xludf.DUMMYFUNCTION("""COMPUTED_VALUE"""),"Android Jetpack Compose: The Comprehensive Bootcamp [2022]")</f>
        <v>Android Jetpack Compose: The Comprehensive Bootcamp [2022]</v>
      </c>
    </row>
    <row r="2726">
      <c r="A2726" s="140" t="str">
        <f>IFERROR(__xludf.DUMMYFUNCTION("""COMPUTED_VALUE"""),"en")</f>
        <v>en</v>
      </c>
      <c r="B2726">
        <f>IFERROR(__xludf.DUMMYFUNCTION("""COMPUTED_VALUE"""),705264.0)</f>
        <v>705264</v>
      </c>
      <c r="C2726" t="str">
        <f>IFERROR(__xludf.DUMMYFUNCTION("""COMPUTED_VALUE"""),"Modern React with Redux")</f>
        <v>Modern React with Redux</v>
      </c>
    </row>
    <row r="2727">
      <c r="A2727" s="140" t="str">
        <f>IFERROR(__xludf.DUMMYFUNCTION("""COMPUTED_VALUE"""),"es")</f>
        <v>es</v>
      </c>
      <c r="B2727">
        <f>IFERROR(__xludf.DUMMYFUNCTION("""COMPUTED_VALUE"""),1442180.0)</f>
        <v>1442180</v>
      </c>
      <c r="C2727" t="str">
        <f>IFERROR(__xludf.DUMMYFUNCTION("""COMPUTED_VALUE"""),"Ilustración Digital para Principiantes en Adobe Illustrator")</f>
        <v>Ilustración Digital para Principiantes en Adobe Illustrator</v>
      </c>
    </row>
    <row r="2728">
      <c r="A2728" s="140" t="str">
        <f>IFERROR(__xludf.DUMMYFUNCTION("""COMPUTED_VALUE"""),"en")</f>
        <v>en</v>
      </c>
      <c r="B2728">
        <f>IFERROR(__xludf.DUMMYFUNCTION("""COMPUTED_VALUE"""),2836844.0)</f>
        <v>2836844</v>
      </c>
      <c r="C2728" t="str">
        <f>IFERROR(__xludf.DUMMYFUNCTION("""COMPUTED_VALUE"""),"AZ303 Microsoft Azure Architect Technologies-Lab &amp; Exam Prep")</f>
        <v>AZ303 Microsoft Azure Architect Technologies-Lab &amp; Exam Prep</v>
      </c>
    </row>
    <row r="2729">
      <c r="A2729" s="140" t="str">
        <f>IFERROR(__xludf.DUMMYFUNCTION("""COMPUTED_VALUE"""),"es")</f>
        <v>es</v>
      </c>
      <c r="B2729">
        <f>IFERROR(__xludf.DUMMYFUNCTION("""COMPUTED_VALUE"""),469256.0)</f>
        <v>469256</v>
      </c>
      <c r="C2729" t="str">
        <f>IFERROR(__xludf.DUMMYFUNCTION("""COMPUTED_VALUE"""),"Técnicas de Estudio y Aprendizaje")</f>
        <v>Técnicas de Estudio y Aprendizaje</v>
      </c>
    </row>
    <row r="2730">
      <c r="A2730" s="140" t="str">
        <f>IFERROR(__xludf.DUMMYFUNCTION("""COMPUTED_VALUE"""),"en")</f>
        <v>en</v>
      </c>
      <c r="B2730">
        <f>IFERROR(__xludf.DUMMYFUNCTION("""COMPUTED_VALUE"""),120976.0)</f>
        <v>120976</v>
      </c>
      <c r="C2730" t="str">
        <f>IFERROR(__xludf.DUMMYFUNCTION("""COMPUTED_VALUE"""),"Customer Success | How to Put Your Customers First")</f>
        <v>Customer Success | How to Put Your Customers First</v>
      </c>
    </row>
    <row r="2731">
      <c r="A2731" s="140" t="str">
        <f>IFERROR(__xludf.DUMMYFUNCTION("""COMPUTED_VALUE"""),"es")</f>
        <v>es</v>
      </c>
      <c r="B2731">
        <f>IFERROR(__xludf.DUMMYFUNCTION("""COMPUTED_VALUE"""),3347066.0)</f>
        <v>3347066</v>
      </c>
      <c r="C2731" t="str">
        <f>IFERROR(__xludf.DUMMYFUNCTION("""COMPUTED_VALUE"""),"Trucos y Atajos de Excel - [2021]")</f>
        <v>Trucos y Atajos de Excel - [2021]</v>
      </c>
    </row>
    <row r="2732">
      <c r="A2732" s="140" t="str">
        <f>IFERROR(__xludf.DUMMYFUNCTION("""COMPUTED_VALUE"""),"en")</f>
        <v>en</v>
      </c>
      <c r="B2732">
        <f>IFERROR(__xludf.DUMMYFUNCTION("""COMPUTED_VALUE"""),2798362.0)</f>
        <v>2798362</v>
      </c>
      <c r="C2732" t="str">
        <f>IFERROR(__xludf.DUMMYFUNCTION("""COMPUTED_VALUE"""),"Go From Zero To Hero-Build 8 RPA UiPath ProjectsFrom Scratch")</f>
        <v>Go From Zero To Hero-Build 8 RPA UiPath ProjectsFrom Scratch</v>
      </c>
    </row>
    <row r="2733">
      <c r="A2733" s="140" t="str">
        <f>IFERROR(__xludf.DUMMYFUNCTION("""COMPUTED_VALUE"""),"en")</f>
        <v>en</v>
      </c>
      <c r="B2733">
        <f>IFERROR(__xludf.DUMMYFUNCTION("""COMPUTED_VALUE"""),1572656.0)</f>
        <v>1572656</v>
      </c>
      <c r="C2733" t="str">
        <f>IFERROR(__xludf.DUMMYFUNCTION("""COMPUTED_VALUE"""),"Bootstrap - Create 4 Real World Projects")</f>
        <v>Bootstrap - Create 4 Real World Projects</v>
      </c>
    </row>
    <row r="2734">
      <c r="A2734" s="140" t="str">
        <f>IFERROR(__xludf.DUMMYFUNCTION("""COMPUTED_VALUE"""),"en")</f>
        <v>en</v>
      </c>
      <c r="B2734">
        <f>IFERROR(__xludf.DUMMYFUNCTION("""COMPUTED_VALUE"""),2395424.0)</f>
        <v>2395424</v>
      </c>
      <c r="C2734" t="str">
        <f>IFERROR(__xludf.DUMMYFUNCTION("""COMPUTED_VALUE"""),"Stakeholder Management &amp; Engagement")</f>
        <v>Stakeholder Management &amp; Engagement</v>
      </c>
    </row>
    <row r="2735">
      <c r="A2735" s="140" t="str">
        <f>IFERROR(__xludf.DUMMYFUNCTION("""COMPUTED_VALUE"""),"ar")</f>
        <v>ar</v>
      </c>
      <c r="B2735">
        <f>IFERROR(__xludf.DUMMYFUNCTION("""COMPUTED_VALUE"""),2609724.0)</f>
        <v>2609724</v>
      </c>
      <c r="C2735" t="str">
        <f>IFERROR(__xludf.DUMMYFUNCTION("""COMPUTED_VALUE"""),"Wireshark دورة تحليل الشبكات واختراقها بأداة")</f>
        <v>Wireshark دورة تحليل الشبكات واختراقها بأداة</v>
      </c>
    </row>
    <row r="2736">
      <c r="A2736" s="140" t="str">
        <f>IFERROR(__xludf.DUMMYFUNCTION("""COMPUTED_VALUE"""),"pt")</f>
        <v>pt</v>
      </c>
      <c r="B2736">
        <f>IFERROR(__xludf.DUMMYFUNCTION("""COMPUTED_VALUE"""),2614042.0)</f>
        <v>2614042</v>
      </c>
      <c r="C2736" t="str">
        <f>IFERROR(__xludf.DUMMYFUNCTION("""COMPUTED_VALUE"""),"Reconhecimento de Gestos e Ações com Python e OpenCV")</f>
        <v>Reconhecimento de Gestos e Ações com Python e OpenCV</v>
      </c>
    </row>
    <row r="2737">
      <c r="A2737" s="140" t="str">
        <f>IFERROR(__xludf.DUMMYFUNCTION("""COMPUTED_VALUE"""),"pt")</f>
        <v>pt</v>
      </c>
      <c r="B2737">
        <f>IFERROR(__xludf.DUMMYFUNCTION("""COMPUTED_VALUE"""),2561378.0)</f>
        <v>2561378</v>
      </c>
      <c r="C2737" t="str">
        <f>IFERROR(__xludf.DUMMYFUNCTION("""COMPUTED_VALUE"""),"Employer Branding: as bases da marca empregadora")</f>
        <v>Employer Branding: as bases da marca empregadora</v>
      </c>
    </row>
    <row r="2738">
      <c r="A2738" s="140" t="str">
        <f>IFERROR(__xludf.DUMMYFUNCTION("""COMPUTED_VALUE"""),"pt")</f>
        <v>pt</v>
      </c>
      <c r="B2738">
        <f>IFERROR(__xludf.DUMMYFUNCTION("""COMPUTED_VALUE"""),3157398.0)</f>
        <v>3157398</v>
      </c>
      <c r="C2738" t="str">
        <f>IFERROR(__xludf.DUMMYFUNCTION("""COMPUTED_VALUE"""),"Moodle 3.8 - Criando Sistema de Cursos do Zero (Versão 2020)")</f>
        <v>Moodle 3.8 - Criando Sistema de Cursos do Zero (Versão 2020)</v>
      </c>
    </row>
    <row r="2739">
      <c r="A2739" s="140" t="str">
        <f>IFERROR(__xludf.DUMMYFUNCTION("""COMPUTED_VALUE"""),"en")</f>
        <v>en</v>
      </c>
      <c r="B2739">
        <f>IFERROR(__xludf.DUMMYFUNCTION("""COMPUTED_VALUE"""),2786922.0)</f>
        <v>2786922</v>
      </c>
      <c r="C2739" t="str">
        <f>IFERROR(__xludf.DUMMYFUNCTION("""COMPUTED_VALUE"""),"Level 4 Diploma - Ethical &amp; Responsible Sourcing (L4M4)")</f>
        <v>Level 4 Diploma - Ethical &amp; Responsible Sourcing (L4M4)</v>
      </c>
    </row>
    <row r="2740">
      <c r="A2740" s="140" t="str">
        <f>IFERROR(__xludf.DUMMYFUNCTION("""COMPUTED_VALUE"""),"en")</f>
        <v>en</v>
      </c>
      <c r="B2740">
        <f>IFERROR(__xludf.DUMMYFUNCTION("""COMPUTED_VALUE"""),2499720.0)</f>
        <v>2499720</v>
      </c>
      <c r="C2740" t="str">
        <f>IFERROR(__xludf.DUMMYFUNCTION("""COMPUTED_VALUE"""),"DevOps Project: CI/CD with Jenkins Ansible Docker Kubernetes")</f>
        <v>DevOps Project: CI/CD with Jenkins Ansible Docker Kubernetes</v>
      </c>
    </row>
    <row r="2741">
      <c r="A2741" s="140" t="str">
        <f>IFERROR(__xludf.DUMMYFUNCTION("""COMPUTED_VALUE"""),"en")</f>
        <v>en</v>
      </c>
      <c r="B2741">
        <f>IFERROR(__xludf.DUMMYFUNCTION("""COMPUTED_VALUE"""),3030132.0)</f>
        <v>3030132</v>
      </c>
      <c r="C2741" t="str">
        <f>IFERROR(__xludf.DUMMYFUNCTION("""COMPUTED_VALUE"""),"JavaScript Web Projects: 20 Projects to Build Your Portfolio")</f>
        <v>JavaScript Web Projects: 20 Projects to Build Your Portfolio</v>
      </c>
    </row>
    <row r="2742">
      <c r="A2742" s="140" t="str">
        <f>IFERROR(__xludf.DUMMYFUNCTION("""COMPUTED_VALUE"""),"fr")</f>
        <v>fr</v>
      </c>
      <c r="B2742">
        <f>IFERROR(__xludf.DUMMYFUNCTION("""COMPUTED_VALUE"""),1674584.0)</f>
        <v>1674584</v>
      </c>
      <c r="C2742" t="str">
        <f>IFERROR(__xludf.DUMMYFUNCTION("""COMPUTED_VALUE"""),"Générez de nouveaux clients grâce à Facebook Lead")</f>
        <v>Générez de nouveaux clients grâce à Facebook Lead</v>
      </c>
    </row>
    <row r="2743">
      <c r="A2743" s="140" t="str">
        <f>IFERROR(__xludf.DUMMYFUNCTION("""COMPUTED_VALUE"""),"ja")</f>
        <v>ja</v>
      </c>
      <c r="B2743">
        <f>IFERROR(__xludf.DUMMYFUNCTION("""COMPUTED_VALUE"""),1970908.0)</f>
        <v>1970908</v>
      </c>
      <c r="C2743" t="str">
        <f>IFERROR(__xludf.DUMMYFUNCTION("""COMPUTED_VALUE"""),"Excel VBA[第3弾](実用マクロ入門編)受注データを5秒で入力できるユーザーフォーム作成 VBAプログラミング")</f>
        <v>Excel VBA[第3弾](実用マクロ入門編)受注データを5秒で入力できるユーザーフォーム作成 VBAプログラミング</v>
      </c>
    </row>
    <row r="2744">
      <c r="A2744" s="140" t="str">
        <f>IFERROR(__xludf.DUMMYFUNCTION("""COMPUTED_VALUE"""),"en")</f>
        <v>en</v>
      </c>
      <c r="B2744">
        <f>IFERROR(__xludf.DUMMYFUNCTION("""COMPUTED_VALUE"""),1237900.0)</f>
        <v>1237900</v>
      </c>
      <c r="C2744" t="str">
        <f>IFERROR(__xludf.DUMMYFUNCTION("""COMPUTED_VALUE"""),"Code organization and readability for the self-taught coder")</f>
        <v>Code organization and readability for the self-taught coder</v>
      </c>
    </row>
    <row r="2745">
      <c r="A2745" s="140" t="str">
        <f>IFERROR(__xludf.DUMMYFUNCTION("""COMPUTED_VALUE"""),"en")</f>
        <v>en</v>
      </c>
      <c r="B2745">
        <f>IFERROR(__xludf.DUMMYFUNCTION("""COMPUTED_VALUE"""),1078208.0)</f>
        <v>1078208</v>
      </c>
      <c r="C2745" t="str">
        <f>IFERROR(__xludf.DUMMYFUNCTION("""COMPUTED_VALUE"""),"Learn Spring Boot in 100 Steps - No 1 Java Framework")</f>
        <v>Learn Spring Boot in 100 Steps - No 1 Java Framework</v>
      </c>
    </row>
    <row r="2746">
      <c r="A2746" s="140" t="str">
        <f>IFERROR(__xludf.DUMMYFUNCTION("""COMPUTED_VALUE"""),"ar")</f>
        <v>ar</v>
      </c>
      <c r="B2746">
        <f>IFERROR(__xludf.DUMMYFUNCTION("""COMPUTED_VALUE"""),2495376.0)</f>
        <v>2495376</v>
      </c>
      <c r="C2746" t="str">
        <f>IFERROR(__xludf.DUMMYFUNCTION("""COMPUTED_VALUE"""),"JavaScript tutorial")</f>
        <v>JavaScript tutorial</v>
      </c>
    </row>
    <row r="2747">
      <c r="A2747" s="140" t="str">
        <f>IFERROR(__xludf.DUMMYFUNCTION("""COMPUTED_VALUE"""),"en")</f>
        <v>en</v>
      </c>
      <c r="B2747">
        <f>IFERROR(__xludf.DUMMYFUNCTION("""COMPUTED_VALUE"""),1277924.0)</f>
        <v>1277924</v>
      </c>
      <c r="C2747" t="str">
        <f>IFERROR(__xludf.DUMMYFUNCTION("""COMPUTED_VALUE"""),"Angular Front To Back")</f>
        <v>Angular Front To Back</v>
      </c>
    </row>
    <row r="2748">
      <c r="A2748" s="140" t="str">
        <f>IFERROR(__xludf.DUMMYFUNCTION("""COMPUTED_VALUE"""),"en")</f>
        <v>en</v>
      </c>
      <c r="B2748">
        <f>IFERROR(__xludf.DUMMYFUNCTION("""COMPUTED_VALUE"""),2860640.0)</f>
        <v>2860640</v>
      </c>
      <c r="C2748" t="str">
        <f>IFERROR(__xludf.DUMMYFUNCTION("""COMPUTED_VALUE"""),"Spring Security Fundamentals (OAuth ,JWT,CSRF and more)")</f>
        <v>Spring Security Fundamentals (OAuth ,JWT,CSRF and more)</v>
      </c>
    </row>
    <row r="2749">
      <c r="A2749" s="140" t="str">
        <f>IFERROR(__xludf.DUMMYFUNCTION("""COMPUTED_VALUE"""),"es")</f>
        <v>es</v>
      </c>
      <c r="B2749">
        <f>IFERROR(__xludf.DUMMYFUNCTION("""COMPUTED_VALUE"""),1500600.0)</f>
        <v>1500600</v>
      </c>
      <c r="C2749" t="str">
        <f>IFERROR(__xludf.DUMMYFUNCTION("""COMPUTED_VALUE"""),"Cómo crear reportes en SAP sin conocimiento técnico")</f>
        <v>Cómo crear reportes en SAP sin conocimiento técnico</v>
      </c>
    </row>
    <row r="2750">
      <c r="A2750" s="140" t="str">
        <f>IFERROR(__xludf.DUMMYFUNCTION("""COMPUTED_VALUE"""),"zh")</f>
        <v>zh</v>
      </c>
      <c r="B2750">
        <f>IFERROR(__xludf.DUMMYFUNCTION("""COMPUTED_VALUE"""),1804890.0)</f>
        <v>1804890</v>
      </c>
      <c r="C2750" t="str">
        <f>IFERROR(__xludf.DUMMYFUNCTION("""COMPUTED_VALUE"""),"学习和理解Node.JS")</f>
        <v>学习和理解Node.JS</v>
      </c>
    </row>
    <row r="2751">
      <c r="A2751" s="140" t="str">
        <f>IFERROR(__xludf.DUMMYFUNCTION("""COMPUTED_VALUE"""),"en")</f>
        <v>en</v>
      </c>
      <c r="B2751">
        <f>IFERROR(__xludf.DUMMYFUNCTION("""COMPUTED_VALUE"""),1668266.0)</f>
        <v>1668266</v>
      </c>
      <c r="C2751" t="str">
        <f>IFERROR(__xludf.DUMMYFUNCTION("""COMPUTED_VALUE"""),"Google Apps Script Complete Course Beginner to Advanced")</f>
        <v>Google Apps Script Complete Course Beginner to Advanced</v>
      </c>
    </row>
    <row r="2752">
      <c r="A2752" s="140" t="str">
        <f>IFERROR(__xludf.DUMMYFUNCTION("""COMPUTED_VALUE"""),"en")</f>
        <v>en</v>
      </c>
      <c r="B2752">
        <f>IFERROR(__xludf.DUMMYFUNCTION("""COMPUTED_VALUE"""),336450.0)</f>
        <v>336450</v>
      </c>
      <c r="C2752" t="str">
        <f>IFERROR(__xludf.DUMMYFUNCTION("""COMPUTED_VALUE"""),"Sales Skills Mastery - An Immediate Increase In Your Results")</f>
        <v>Sales Skills Mastery - An Immediate Increase In Your Results</v>
      </c>
    </row>
    <row r="2753">
      <c r="A2753" s="140" t="str">
        <f>IFERROR(__xludf.DUMMYFUNCTION("""COMPUTED_VALUE"""),"pt")</f>
        <v>pt</v>
      </c>
      <c r="B2753">
        <f>IFERROR(__xludf.DUMMYFUNCTION("""COMPUTED_VALUE"""),3392798.0)</f>
        <v>3392798</v>
      </c>
      <c r="C2753" t="str">
        <f>IFERROR(__xludf.DUMMYFUNCTION("""COMPUTED_VALUE"""),"LGPD: Relatório de Impacto à Proteção de Dados Pessoais")</f>
        <v>LGPD: Relatório de Impacto à Proteção de Dados Pessoais</v>
      </c>
    </row>
    <row r="2754">
      <c r="A2754" s="140" t="str">
        <f>IFERROR(__xludf.DUMMYFUNCTION("""COMPUTED_VALUE"""),"tr")</f>
        <v>tr</v>
      </c>
      <c r="B2754">
        <f>IFERROR(__xludf.DUMMYFUNCTION("""COMPUTED_VALUE"""),3097870.0)</f>
        <v>3097870</v>
      </c>
      <c r="C2754" t="str">
        <f>IFERROR(__xludf.DUMMYFUNCTION("""COMPUTED_VALUE"""),"Stratejik İnsan Kaynakları Yönetimi Full GLOBAL SERTİFİKALI")</f>
        <v>Stratejik İnsan Kaynakları Yönetimi Full GLOBAL SERTİFİKALI</v>
      </c>
    </row>
    <row r="2755">
      <c r="A2755" s="140" t="str">
        <f>IFERROR(__xludf.DUMMYFUNCTION("""COMPUTED_VALUE"""),"en")</f>
        <v>en</v>
      </c>
      <c r="B2755">
        <f>IFERROR(__xludf.DUMMYFUNCTION("""COMPUTED_VALUE"""),937678.0)</f>
        <v>937678</v>
      </c>
      <c r="C2755" t="str">
        <f>IFERROR(__xludf.DUMMYFUNCTION("""COMPUTED_VALUE"""),"Tableau 2020 A-Z: Hands-On Tableau Training for Data Science")</f>
        <v>Tableau 2020 A-Z: Hands-On Tableau Training for Data Science</v>
      </c>
    </row>
    <row r="2756">
      <c r="A2756" s="140" t="str">
        <f>IFERROR(__xludf.DUMMYFUNCTION("""COMPUTED_VALUE"""),"en")</f>
        <v>en</v>
      </c>
      <c r="B2756">
        <f>IFERROR(__xludf.DUMMYFUNCTION("""COMPUTED_VALUE"""),3601890.0)</f>
        <v>3601890</v>
      </c>
      <c r="C2756" t="str">
        <f>IFERROR(__xludf.DUMMYFUNCTION("""COMPUTED_VALUE"""),"Java Data Structures and Algorithms Masterclass")</f>
        <v>Java Data Structures and Algorithms Masterclass</v>
      </c>
    </row>
    <row r="2757">
      <c r="A2757" s="140" t="str">
        <f>IFERROR(__xludf.DUMMYFUNCTION("""COMPUTED_VALUE"""),"en")</f>
        <v>en</v>
      </c>
      <c r="B2757">
        <f>IFERROR(__xludf.DUMMYFUNCTION("""COMPUTED_VALUE"""),2787956.0)</f>
        <v>2787956</v>
      </c>
      <c r="C2757" t="str">
        <f>IFERROR(__xludf.DUMMYFUNCTION("""COMPUTED_VALUE"""),"Growth Mindset: The Key to Greater Confidence and Impact")</f>
        <v>Growth Mindset: The Key to Greater Confidence and Impact</v>
      </c>
    </row>
    <row r="2758">
      <c r="A2758" s="140" t="str">
        <f>IFERROR(__xludf.DUMMYFUNCTION("""COMPUTED_VALUE"""),"en")</f>
        <v>en</v>
      </c>
      <c r="B2758">
        <f>IFERROR(__xludf.DUMMYFUNCTION("""COMPUTED_VALUE"""),756634.0)</f>
        <v>756634</v>
      </c>
      <c r="C2758" t="str">
        <f>IFERROR(__xludf.DUMMYFUNCTION("""COMPUTED_VALUE"""),"The Complete Apache Groovy Developer Course")</f>
        <v>The Complete Apache Groovy Developer Course</v>
      </c>
    </row>
    <row r="2759">
      <c r="A2759" s="140" t="str">
        <f>IFERROR(__xludf.DUMMYFUNCTION("""COMPUTED_VALUE"""),"ja")</f>
        <v>ja</v>
      </c>
      <c r="B2759">
        <f>IFERROR(__xludf.DUMMYFUNCTION("""COMPUTED_VALUE"""),3022720.0)</f>
        <v>3022720</v>
      </c>
      <c r="C2759" t="str">
        <f>IFERROR(__xludf.DUMMYFUNCTION("""COMPUTED_VALUE"""),"【不況に打ち克つ！】いちばんわかりやすい「キャッシュフロー経営」マスター講座")</f>
        <v>【不況に打ち克つ！】いちばんわかりやすい「キャッシュフロー経営」マスター講座</v>
      </c>
    </row>
    <row r="2760">
      <c r="A2760" s="140" t="str">
        <f>IFERROR(__xludf.DUMMYFUNCTION("""COMPUTED_VALUE"""),"es")</f>
        <v>es</v>
      </c>
      <c r="B2760">
        <f>IFERROR(__xludf.DUMMYFUNCTION("""COMPUTED_VALUE"""),2821769.0)</f>
        <v>2821769</v>
      </c>
      <c r="C2760" t="str">
        <f>IFERROR(__xludf.DUMMYFUNCTION("""COMPUTED_VALUE"""),"Trello Gestión de Proyectos - Curso Completo [2021]")</f>
        <v>Trello Gestión de Proyectos - Curso Completo [2021]</v>
      </c>
    </row>
    <row r="2761">
      <c r="A2761" s="140" t="str">
        <f>IFERROR(__xludf.DUMMYFUNCTION("""COMPUTED_VALUE"""),"en")</f>
        <v>en</v>
      </c>
      <c r="B2761">
        <f>IFERROR(__xludf.DUMMYFUNCTION("""COMPUTED_VALUE"""),1035472.0)</f>
        <v>1035472</v>
      </c>
      <c r="C2761" t="str">
        <f>IFERROR(__xludf.DUMMYFUNCTION("""COMPUTED_VALUE"""),"Python for Finance: Investment Fundamentals &amp; Data Analytics")</f>
        <v>Python for Finance: Investment Fundamentals &amp; Data Analytics</v>
      </c>
    </row>
    <row r="2762">
      <c r="A2762" s="140" t="str">
        <f>IFERROR(__xludf.DUMMYFUNCTION("""COMPUTED_VALUE"""),"ja")</f>
        <v>ja</v>
      </c>
      <c r="B2762">
        <f>IFERROR(__xludf.DUMMYFUNCTION("""COMPUTED_VALUE"""),616206.0)</f>
        <v>616206</v>
      </c>
      <c r="C2762" t="str">
        <f>IFERROR(__xludf.DUMMYFUNCTION("""COMPUTED_VALUE"""),"Excel関数マスター講座　全47関数の動画レッスン大百科を持ち歩こう。本を読んでも挫折したあなたのためのじっくり講座")</f>
        <v>Excel関数マスター講座　全47関数の動画レッスン大百科を持ち歩こう。本を読んでも挫折したあなたのためのじっくり講座</v>
      </c>
    </row>
    <row r="2763">
      <c r="A2763" s="140" t="str">
        <f>IFERROR(__xludf.DUMMYFUNCTION("""COMPUTED_VALUE"""),"en")</f>
        <v>en</v>
      </c>
      <c r="B2763">
        <f>IFERROR(__xludf.DUMMYFUNCTION("""COMPUTED_VALUE"""),869724.0)</f>
        <v>869724</v>
      </c>
      <c r="C2763" t="str">
        <f>IFERROR(__xludf.DUMMYFUNCTION("""COMPUTED_VALUE"""),"Introduction to SIP")</f>
        <v>Introduction to SIP</v>
      </c>
    </row>
    <row r="2764">
      <c r="A2764" s="140" t="str">
        <f>IFERROR(__xludf.DUMMYFUNCTION("""COMPUTED_VALUE"""),"pt")</f>
        <v>pt</v>
      </c>
      <c r="B2764">
        <f>IFERROR(__xludf.DUMMYFUNCTION("""COMPUTED_VALUE"""),3593264.0)</f>
        <v>3593264</v>
      </c>
      <c r="C2764" t="str">
        <f>IFERROR(__xludf.DUMMYFUNCTION("""COMPUTED_VALUE"""),"IT Service Management: Gestão de serviços de TI (ITSM/GSTI)")</f>
        <v>IT Service Management: Gestão de serviços de TI (ITSM/GSTI)</v>
      </c>
    </row>
    <row r="2765">
      <c r="A2765" s="140" t="str">
        <f>IFERROR(__xludf.DUMMYFUNCTION("""COMPUTED_VALUE"""),"en")</f>
        <v>en</v>
      </c>
      <c r="B2765">
        <f>IFERROR(__xludf.DUMMYFUNCTION("""COMPUTED_VALUE"""),2676264.0)</f>
        <v>2676264</v>
      </c>
      <c r="C2765" t="str">
        <f>IFERROR(__xludf.DUMMYFUNCTION("""COMPUTED_VALUE"""),"The Complete Spanish Method. Intermediate. Course 1.")</f>
        <v>The Complete Spanish Method. Intermediate. Course 1.</v>
      </c>
    </row>
    <row r="2766">
      <c r="A2766" s="140" t="str">
        <f>IFERROR(__xludf.DUMMYFUNCTION("""COMPUTED_VALUE"""),"en")</f>
        <v>en</v>
      </c>
      <c r="B2766">
        <f>IFERROR(__xludf.DUMMYFUNCTION("""COMPUTED_VALUE"""),1714498.0)</f>
        <v>1714498</v>
      </c>
      <c r="C2766" t="str">
        <f>IFERROR(__xludf.DUMMYFUNCTION("""COMPUTED_VALUE"""),"Complete linear algebra: theory and implementation in code")</f>
        <v>Complete linear algebra: theory and implementation in code</v>
      </c>
    </row>
    <row r="2767">
      <c r="A2767" s="140" t="str">
        <f>IFERROR(__xludf.DUMMYFUNCTION("""COMPUTED_VALUE"""),"en")</f>
        <v>en</v>
      </c>
      <c r="B2767">
        <f>IFERROR(__xludf.DUMMYFUNCTION("""COMPUTED_VALUE"""),3880538.0)</f>
        <v>3880538</v>
      </c>
      <c r="C2767" t="str">
        <f>IFERROR(__xludf.DUMMYFUNCTION("""COMPUTED_VALUE"""),"Designing RESTful APIs: Learn to Design API from Scratch")</f>
        <v>Designing RESTful APIs: Learn to Design API from Scratch</v>
      </c>
    </row>
    <row r="2768">
      <c r="A2768" s="140" t="str">
        <f>IFERROR(__xludf.DUMMYFUNCTION("""COMPUTED_VALUE"""),"en")</f>
        <v>en</v>
      </c>
      <c r="B2768">
        <f>IFERROR(__xludf.DUMMYFUNCTION("""COMPUTED_VALUE"""),2118490.0)</f>
        <v>2118490</v>
      </c>
      <c r="C2768" t="str">
        <f>IFERROR(__xludf.DUMMYFUNCTION("""COMPUTED_VALUE"""),"Lean Six Sigma Black Belt for IT Professionals")</f>
        <v>Lean Six Sigma Black Belt for IT Professionals</v>
      </c>
    </row>
    <row r="2769">
      <c r="A2769" s="140" t="str">
        <f>IFERROR(__xludf.DUMMYFUNCTION("""COMPUTED_VALUE"""),"fr")</f>
        <v>fr</v>
      </c>
      <c r="B2769">
        <f>IFERROR(__xludf.DUMMYFUNCTION("""COMPUTED_VALUE"""),3837622.0)</f>
        <v>3837622</v>
      </c>
      <c r="C2769" t="str">
        <f>IFERROR(__xludf.DUMMYFUNCTION("""COMPUTED_VALUE"""),"Supervision d'un Système d'Information avec Zabbix")</f>
        <v>Supervision d'un Système d'Information avec Zabbix</v>
      </c>
    </row>
    <row r="2770">
      <c r="A2770" s="140" t="str">
        <f>IFERROR(__xludf.DUMMYFUNCTION("""COMPUTED_VALUE"""),"en")</f>
        <v>en</v>
      </c>
      <c r="B2770">
        <f>IFERROR(__xludf.DUMMYFUNCTION("""COMPUTED_VALUE"""),3669784.0)</f>
        <v>3669784</v>
      </c>
      <c r="C2770" t="str">
        <f>IFERROR(__xludf.DUMMYFUNCTION("""COMPUTED_VALUE"""),"Statistics for Data Analysis Using Python")</f>
        <v>Statistics for Data Analysis Using Python</v>
      </c>
    </row>
    <row r="2771">
      <c r="A2771" s="140" t="str">
        <f>IFERROR(__xludf.DUMMYFUNCTION("""COMPUTED_VALUE"""),"en")</f>
        <v>en</v>
      </c>
      <c r="B2771">
        <f>IFERROR(__xludf.DUMMYFUNCTION("""COMPUTED_VALUE"""),3799164.0)</f>
        <v>3799164</v>
      </c>
      <c r="C2771" t="str">
        <f>IFERROR(__xludf.DUMMYFUNCTION("""COMPUTED_VALUE"""),"ZOOM Masterclass: ZOOM - Most Understood Collaborative Tool!")</f>
        <v>ZOOM Masterclass: ZOOM - Most Understood Collaborative Tool!</v>
      </c>
    </row>
    <row r="2772">
      <c r="A2772" s="140" t="str">
        <f>IFERROR(__xludf.DUMMYFUNCTION("""COMPUTED_VALUE"""),"tr")</f>
        <v>tr</v>
      </c>
      <c r="B2772">
        <f>IFERROR(__xludf.DUMMYFUNCTION("""COMPUTED_VALUE"""),3198828.0)</f>
        <v>3198828</v>
      </c>
      <c r="C2772" t="str">
        <f>IFERROR(__xludf.DUMMYFUNCTION("""COMPUTED_VALUE"""),"Borsa Yatırımı için strateji ve Teknik Analiz Eğitimi")</f>
        <v>Borsa Yatırımı için strateji ve Teknik Analiz Eğitimi</v>
      </c>
    </row>
    <row r="2773">
      <c r="A2773" s="140" t="str">
        <f>IFERROR(__xludf.DUMMYFUNCTION("""COMPUTED_VALUE"""),"en")</f>
        <v>en</v>
      </c>
      <c r="B2773">
        <f>IFERROR(__xludf.DUMMYFUNCTION("""COMPUTED_VALUE"""),2489720.0)</f>
        <v>2489720</v>
      </c>
      <c r="C2773" t="str">
        <f>IFERROR(__xludf.DUMMYFUNCTION("""COMPUTED_VALUE"""),"Android Jetpack masterclass in Java")</f>
        <v>Android Jetpack masterclass in Java</v>
      </c>
    </row>
    <row r="2774">
      <c r="A2774" s="140" t="str">
        <f>IFERROR(__xludf.DUMMYFUNCTION("""COMPUTED_VALUE"""),"en")</f>
        <v>en</v>
      </c>
      <c r="B2774">
        <f>IFERROR(__xludf.DUMMYFUNCTION("""COMPUTED_VALUE"""),836874.0)</f>
        <v>836874</v>
      </c>
      <c r="C2774" t="str">
        <f>IFERROR(__xludf.DUMMYFUNCTION("""COMPUTED_VALUE"""),"Focus And Flow State: A Comprehensive Brain Guide")</f>
        <v>Focus And Flow State: A Comprehensive Brain Guide</v>
      </c>
    </row>
    <row r="2775">
      <c r="A2775" s="140" t="str">
        <f>IFERROR(__xludf.DUMMYFUNCTION("""COMPUTED_VALUE"""),"fr")</f>
        <v>fr</v>
      </c>
      <c r="B2775">
        <f>IFERROR(__xludf.DUMMYFUNCTION("""COMPUTED_VALUE"""),2845456.0)</f>
        <v>2845456</v>
      </c>
      <c r="C2775" t="str">
        <f>IFERROR(__xludf.DUMMYFUNCTION("""COMPUTED_VALUE"""),"SCRUM et le best-of des méthodes agiles de gestion de projet")</f>
        <v>SCRUM et le best-of des méthodes agiles de gestion de projet</v>
      </c>
    </row>
    <row r="2776">
      <c r="A2776" s="140" t="str">
        <f>IFERROR(__xludf.DUMMYFUNCTION("""COMPUTED_VALUE"""),"pt")</f>
        <v>pt</v>
      </c>
      <c r="B2776">
        <f>IFERROR(__xludf.DUMMYFUNCTION("""COMPUTED_VALUE"""),1609216.0)</f>
        <v>1609216</v>
      </c>
      <c r="C2776" t="str">
        <f>IFERROR(__xludf.DUMMYFUNCTION("""COMPUTED_VALUE"""),"Reconhecimento de Faces e de Objetos com Python e Dlib")</f>
        <v>Reconhecimento de Faces e de Objetos com Python e Dlib</v>
      </c>
    </row>
    <row r="2777">
      <c r="A2777" s="140" t="str">
        <f>IFERROR(__xludf.DUMMYFUNCTION("""COMPUTED_VALUE"""),"ja")</f>
        <v>ja</v>
      </c>
      <c r="B2777">
        <f>IFERROR(__xludf.DUMMYFUNCTION("""COMPUTED_VALUE"""),700544.0)</f>
        <v>700544</v>
      </c>
      <c r="C2777" t="str">
        <f>IFERROR(__xludf.DUMMYFUNCTION("""COMPUTED_VALUE"""),"UXデザイン講座　UXデザイン基礎入門")</f>
        <v>UXデザイン講座　UXデザイン基礎入門</v>
      </c>
    </row>
    <row r="2778">
      <c r="A2778" s="140" t="str">
        <f>IFERROR(__xludf.DUMMYFUNCTION("""COMPUTED_VALUE"""),"en")</f>
        <v>en</v>
      </c>
      <c r="B2778">
        <f>IFERROR(__xludf.DUMMYFUNCTION("""COMPUTED_VALUE"""),1977936.0)</f>
        <v>1977936</v>
      </c>
      <c r="C2778" t="str">
        <f>IFERROR(__xludf.DUMMYFUNCTION("""COMPUTED_VALUE"""),"Complete Game Character Workflow 01 Character Modeling")</f>
        <v>Complete Game Character Workflow 01 Character Modeling</v>
      </c>
    </row>
    <row r="2779">
      <c r="A2779" s="140" t="str">
        <f>IFERROR(__xludf.DUMMYFUNCTION("""COMPUTED_VALUE"""),"en")</f>
        <v>en</v>
      </c>
      <c r="B2779">
        <f>IFERROR(__xludf.DUMMYFUNCTION("""COMPUTED_VALUE"""),1414996.0)</f>
        <v>1414996</v>
      </c>
      <c r="C2779" t="str">
        <f>IFERROR(__xludf.DUMMYFUNCTION("""COMPUTED_VALUE"""),"Cisco CCNA Packet Tracer Ultimate labs: CCNA 200-301 labs")</f>
        <v>Cisco CCNA Packet Tracer Ultimate labs: CCNA 200-301 labs</v>
      </c>
    </row>
    <row r="2780">
      <c r="A2780" s="140" t="str">
        <f>IFERROR(__xludf.DUMMYFUNCTION("""COMPUTED_VALUE"""),"zh")</f>
        <v>zh</v>
      </c>
      <c r="B2780">
        <f>IFERROR(__xludf.DUMMYFUNCTION("""COMPUTED_VALUE"""),1272874.0)</f>
        <v>1272874</v>
      </c>
      <c r="C2780" t="str">
        <f>IFERROR(__xludf.DUMMYFUNCTION("""COMPUTED_VALUE"""),"深入浅出 iPhone 开发 (使用 Swift4)")</f>
        <v>深入浅出 iPhone 开发 (使用 Swift4)</v>
      </c>
    </row>
    <row r="2781">
      <c r="A2781" s="140" t="str">
        <f>IFERROR(__xludf.DUMMYFUNCTION("""COMPUTED_VALUE"""),"en")</f>
        <v>en</v>
      </c>
      <c r="B2781">
        <f>IFERROR(__xludf.DUMMYFUNCTION("""COMPUTED_VALUE"""),2095410.0)</f>
        <v>2095410</v>
      </c>
      <c r="C2781" t="str">
        <f>IFERROR(__xludf.DUMMYFUNCTION("""COMPUTED_VALUE"""),"Python + SQL + Tableau: Integrating Python, SQL, and Tableau")</f>
        <v>Python + SQL + Tableau: Integrating Python, SQL, and Tableau</v>
      </c>
    </row>
    <row r="2782">
      <c r="A2782" s="140" t="str">
        <f>IFERROR(__xludf.DUMMYFUNCTION("""COMPUTED_VALUE"""),"en")</f>
        <v>en</v>
      </c>
      <c r="B2782">
        <f>IFERROR(__xludf.DUMMYFUNCTION("""COMPUTED_VALUE"""),338834.0)</f>
        <v>338834</v>
      </c>
      <c r="C2782" t="str">
        <f>IFERROR(__xludf.DUMMYFUNCTION("""COMPUTED_VALUE"""),"Personal Media Training")</f>
        <v>Personal Media Training</v>
      </c>
    </row>
    <row r="2783">
      <c r="A2783" s="140" t="str">
        <f>IFERROR(__xludf.DUMMYFUNCTION("""COMPUTED_VALUE"""),"ar")</f>
        <v>ar</v>
      </c>
      <c r="B2783">
        <f>IFERROR(__xludf.DUMMYFUNCTION("""COMPUTED_VALUE"""),1150516.0)</f>
        <v>1150516</v>
      </c>
      <c r="C2783" t="str">
        <f>IFERROR(__xludf.DUMMYFUNCTION("""COMPUTED_VALUE"""),"PMI-ACP إدارة المشاريع الرشيقة بكل سهولة")</f>
        <v>PMI-ACP إدارة المشاريع الرشيقة بكل سهولة</v>
      </c>
    </row>
    <row r="2784">
      <c r="A2784" s="140" t="str">
        <f>IFERROR(__xludf.DUMMYFUNCTION("""COMPUTED_VALUE"""),"fr")</f>
        <v>fr</v>
      </c>
      <c r="B2784">
        <f>IFERROR(__xludf.DUMMYFUNCTION("""COMPUTED_VALUE"""),3455072.0)</f>
        <v>3455072</v>
      </c>
      <c r="C2784" t="str">
        <f>IFERROR(__xludf.DUMMYFUNCTION("""COMPUTED_VALUE"""),"Concevoir une architecture de microservices en 3 étapes")</f>
        <v>Concevoir une architecture de microservices en 3 étapes</v>
      </c>
    </row>
    <row r="2785">
      <c r="A2785" s="140" t="str">
        <f>IFERROR(__xludf.DUMMYFUNCTION("""COMPUTED_VALUE"""),"en")</f>
        <v>en</v>
      </c>
      <c r="B2785">
        <f>IFERROR(__xludf.DUMMYFUNCTION("""COMPUTED_VALUE"""),2265830.0)</f>
        <v>2265830</v>
      </c>
      <c r="C2785" t="str">
        <f>IFERROR(__xludf.DUMMYFUNCTION("""COMPUTED_VALUE"""),"Deploying and Configuring a Full-Hybrid Exchange Solution")</f>
        <v>Deploying and Configuring a Full-Hybrid Exchange Solution</v>
      </c>
    </row>
    <row r="2786">
      <c r="A2786" s="140" t="str">
        <f>IFERROR(__xludf.DUMMYFUNCTION("""COMPUTED_VALUE"""),"en")</f>
        <v>en</v>
      </c>
      <c r="B2786">
        <f>IFERROR(__xludf.DUMMYFUNCTION("""COMPUTED_VALUE"""),3633804.0)</f>
        <v>3633804</v>
      </c>
      <c r="C2786" t="str">
        <f>IFERROR(__xludf.DUMMYFUNCTION("""COMPUTED_VALUE"""),"How to Learn: Effective Approaches for Self-Guided Learning")</f>
        <v>How to Learn: Effective Approaches for Self-Guided Learning</v>
      </c>
    </row>
    <row r="2787">
      <c r="A2787" s="140" t="str">
        <f>IFERROR(__xludf.DUMMYFUNCTION("""COMPUTED_VALUE"""),"en")</f>
        <v>en</v>
      </c>
      <c r="B2787">
        <f>IFERROR(__xludf.DUMMYFUNCTION("""COMPUTED_VALUE"""),144714.0)</f>
        <v>144714</v>
      </c>
      <c r="C2787" t="str">
        <f>IFERROR(__xludf.DUMMYFUNCTION("""COMPUTED_VALUE"""),"Statistics / Data Analysis in SPSS: Factorial ANOVA")</f>
        <v>Statistics / Data Analysis in SPSS: Factorial ANOVA</v>
      </c>
    </row>
    <row r="2788">
      <c r="A2788" s="140" t="str">
        <f>IFERROR(__xludf.DUMMYFUNCTION("""COMPUTED_VALUE"""),"en")</f>
        <v>en</v>
      </c>
      <c r="B2788">
        <f>IFERROR(__xludf.DUMMYFUNCTION("""COMPUTED_VALUE"""),1145562.0)</f>
        <v>1145562</v>
      </c>
      <c r="C2788" t="str">
        <f>IFERROR(__xludf.DUMMYFUNCTION("""COMPUTED_VALUE"""),"The Self-Taught Programmer")</f>
        <v>The Self-Taught Programmer</v>
      </c>
    </row>
    <row r="2789">
      <c r="A2789" s="140" t="str">
        <f>IFERROR(__xludf.DUMMYFUNCTION("""COMPUTED_VALUE"""),"en")</f>
        <v>en</v>
      </c>
      <c r="B2789">
        <f>IFERROR(__xludf.DUMMYFUNCTION("""COMPUTED_VALUE"""),1934778.0)</f>
        <v>1934778</v>
      </c>
      <c r="C2789" t="str">
        <f>IFERROR(__xludf.DUMMYFUNCTION("""COMPUTED_VALUE"""),"CFA® Level 1 (2021/2022) - Complete Fixed Income")</f>
        <v>CFA® Level 1 (2021/2022) - Complete Fixed Income</v>
      </c>
    </row>
    <row r="2790">
      <c r="A2790" s="140" t="str">
        <f>IFERROR(__xludf.DUMMYFUNCTION("""COMPUTED_VALUE"""),"en")</f>
        <v>en</v>
      </c>
      <c r="B2790">
        <f>IFERROR(__xludf.DUMMYFUNCTION("""COMPUTED_VALUE"""),1423328.0)</f>
        <v>1423328</v>
      </c>
      <c r="C2790" t="str">
        <f>IFERROR(__xludf.DUMMYFUNCTION("""COMPUTED_VALUE"""),"SDET Training: Selenium WebDriver, Java Project &amp; Code Tests")</f>
        <v>SDET Training: Selenium WebDriver, Java Project &amp; Code Tests</v>
      </c>
    </row>
    <row r="2791">
      <c r="A2791" s="140" t="str">
        <f>IFERROR(__xludf.DUMMYFUNCTION("""COMPUTED_VALUE"""),"en")</f>
        <v>en</v>
      </c>
      <c r="B2791">
        <f>IFERROR(__xludf.DUMMYFUNCTION("""COMPUTED_VALUE"""),1744722.0)</f>
        <v>1744722</v>
      </c>
      <c r="C2791" t="str">
        <f>IFERROR(__xludf.DUMMYFUNCTION("""COMPUTED_VALUE"""),"Artificial Intelligence 2018: Build the Most Powerful AI")</f>
        <v>Artificial Intelligence 2018: Build the Most Powerful AI</v>
      </c>
    </row>
    <row r="2792">
      <c r="A2792" s="140" t="str">
        <f>IFERROR(__xludf.DUMMYFUNCTION("""COMPUTED_VALUE"""),"tr")</f>
        <v>tr</v>
      </c>
      <c r="B2792">
        <f>IFERROR(__xludf.DUMMYFUNCTION("""COMPUTED_VALUE"""),1730446.0)</f>
        <v>1730446</v>
      </c>
      <c r="C2792" t="str">
        <f>IFERROR(__xludf.DUMMYFUNCTION("""COMPUTED_VALUE"""),"Web Sitesi Yapma:Sıfırdan Web Tasarım Eğitimi (2020)")</f>
        <v>Web Sitesi Yapma:Sıfırdan Web Tasarım Eğitimi (2020)</v>
      </c>
    </row>
    <row r="2793">
      <c r="A2793" s="140" t="str">
        <f>IFERROR(__xludf.DUMMYFUNCTION("""COMPUTED_VALUE"""),"en")</f>
        <v>en</v>
      </c>
      <c r="B2793">
        <f>IFERROR(__xludf.DUMMYFUNCTION("""COMPUTED_VALUE"""),364384.0)</f>
        <v>364384</v>
      </c>
      <c r="C2793" t="str">
        <f>IFERROR(__xludf.DUMMYFUNCTION("""COMPUTED_VALUE"""),"Git Going with Comparing, Branching and Merging")</f>
        <v>Git Going with Comparing, Branching and Merging</v>
      </c>
    </row>
    <row r="2794">
      <c r="A2794" s="140" t="str">
        <f>IFERROR(__xludf.DUMMYFUNCTION("""COMPUTED_VALUE"""),"ja")</f>
        <v>ja</v>
      </c>
      <c r="B2794">
        <f>IFERROR(__xludf.DUMMYFUNCTION("""COMPUTED_VALUE"""),3227577.0)</f>
        <v>3227577</v>
      </c>
      <c r="C2794" t="str">
        <f>IFERROR(__xludf.DUMMYFUNCTION("""COMPUTED_VALUE"""),"Excel VBA(エクセルVBA)はこれだけでOK～マクロで自動化するコツを詰め込みました【わかりやすさ重視】脱初心者")</f>
        <v>Excel VBA(エクセルVBA)はこれだけでOK～マクロで自動化するコツを詰め込みました【わかりやすさ重視】脱初心者</v>
      </c>
    </row>
    <row r="2795">
      <c r="A2795" s="140" t="str">
        <f>IFERROR(__xludf.DUMMYFUNCTION("""COMPUTED_VALUE"""),"en")</f>
        <v>en</v>
      </c>
      <c r="B2795">
        <f>IFERROR(__xludf.DUMMYFUNCTION("""COMPUTED_VALUE"""),864146.0)</f>
        <v>864146</v>
      </c>
      <c r="C2795" t="str">
        <f>IFERROR(__xludf.DUMMYFUNCTION("""COMPUTED_VALUE"""),"Agile Crash Course: Agile Project Management; Agile Delivery")</f>
        <v>Agile Crash Course: Agile Project Management; Agile Delivery</v>
      </c>
    </row>
    <row r="2796">
      <c r="A2796" s="140" t="str">
        <f>IFERROR(__xludf.DUMMYFUNCTION("""COMPUTED_VALUE"""),"en")</f>
        <v>en</v>
      </c>
      <c r="B2796">
        <f>IFERROR(__xludf.DUMMYFUNCTION("""COMPUTED_VALUE"""),3658878.0)</f>
        <v>3658878</v>
      </c>
      <c r="C2796" t="str">
        <f>IFERROR(__xludf.DUMMYFUNCTION("""COMPUTED_VALUE"""),"Smartgrid, Microgrid and Energy Storage")</f>
        <v>Smartgrid, Microgrid and Energy Storage</v>
      </c>
    </row>
    <row r="2797">
      <c r="A2797" s="140" t="str">
        <f>IFERROR(__xludf.DUMMYFUNCTION("""COMPUTED_VALUE"""),"en")</f>
        <v>en</v>
      </c>
      <c r="B2797">
        <f>IFERROR(__xludf.DUMMYFUNCTION("""COMPUTED_VALUE"""),3259746.0)</f>
        <v>3259746</v>
      </c>
      <c r="C2797" t="str">
        <f>IFERROR(__xludf.DUMMYFUNCTION("""COMPUTED_VALUE"""),"AZ-304 : Microsoft Azure Architect Design Practice Tests")</f>
        <v>AZ-304 : Microsoft Azure Architect Design Practice Tests</v>
      </c>
    </row>
    <row r="2798">
      <c r="A2798" s="140" t="str">
        <f>IFERROR(__xludf.DUMMYFUNCTION("""COMPUTED_VALUE"""),"en")</f>
        <v>en</v>
      </c>
      <c r="B2798">
        <f>IFERROR(__xludf.DUMMYFUNCTION("""COMPUTED_VALUE"""),2427428.0)</f>
        <v>2427428</v>
      </c>
      <c r="C2798" t="str">
        <f>IFERROR(__xludf.DUMMYFUNCTION("""COMPUTED_VALUE"""),"CISSP Certification: Domains 1, 2, 3 &amp; 4 Video Training-2020")</f>
        <v>CISSP Certification: Domains 1, 2, 3 &amp; 4 Video Training-2020</v>
      </c>
    </row>
    <row r="2799">
      <c r="A2799" s="140" t="str">
        <f>IFERROR(__xludf.DUMMYFUNCTION("""COMPUTED_VALUE"""),"pt")</f>
        <v>pt</v>
      </c>
      <c r="B2799">
        <f>IFERROR(__xludf.DUMMYFUNCTION("""COMPUTED_VALUE"""),1995796.0)</f>
        <v>1995796</v>
      </c>
      <c r="C2799" t="str">
        <f>IFERROR(__xludf.DUMMYFUNCTION("""COMPUTED_VALUE"""),"Google G suite - do Usuário ao Administrador")</f>
        <v>Google G suite - do Usuário ao Administrador</v>
      </c>
    </row>
    <row r="2800">
      <c r="A2800" s="140" t="str">
        <f>IFERROR(__xludf.DUMMYFUNCTION("""COMPUTED_VALUE"""),"ar")</f>
        <v>ar</v>
      </c>
      <c r="B2800">
        <f>IFERROR(__xludf.DUMMYFUNCTION("""COMPUTED_VALUE"""),1602998.0)</f>
        <v>1602998</v>
      </c>
      <c r="C2800" t="str">
        <f>IFERROR(__xludf.DUMMYFUNCTION("""COMPUTED_VALUE"""),"Primavera Risk Analysis -Arabic")</f>
        <v>Primavera Risk Analysis -Arabic</v>
      </c>
    </row>
    <row r="2801">
      <c r="A2801" s="140" t="str">
        <f>IFERROR(__xludf.DUMMYFUNCTION("""COMPUTED_VALUE"""),"en")</f>
        <v>en</v>
      </c>
      <c r="B2801">
        <f>IFERROR(__xludf.DUMMYFUNCTION("""COMPUTED_VALUE"""),1089764.0)</f>
        <v>1089764</v>
      </c>
      <c r="C2801" t="str">
        <f>IFERROR(__xludf.DUMMYFUNCTION("""COMPUTED_VALUE"""),"The Ultimate Guide to Mastering Mautic")</f>
        <v>The Ultimate Guide to Mastering Mautic</v>
      </c>
    </row>
    <row r="2802">
      <c r="A2802" s="140" t="str">
        <f>IFERROR(__xludf.DUMMYFUNCTION("""COMPUTED_VALUE"""),"es")</f>
        <v>es</v>
      </c>
      <c r="B2802">
        <f>IFERROR(__xludf.DUMMYFUNCTION("""COMPUTED_VALUE"""),2629770.0)</f>
        <v>2629770</v>
      </c>
      <c r="C2802" t="str">
        <f>IFERROR(__xludf.DUMMYFUNCTION("""COMPUTED_VALUE"""),"After Effects CC - Workflow Profesional para Motion Graphics")</f>
        <v>After Effects CC - Workflow Profesional para Motion Graphics</v>
      </c>
    </row>
    <row r="2803">
      <c r="A2803" s="140" t="str">
        <f>IFERROR(__xludf.DUMMYFUNCTION("""COMPUTED_VALUE"""),"tr")</f>
        <v>tr</v>
      </c>
      <c r="B2803">
        <f>IFERROR(__xludf.DUMMYFUNCTION("""COMPUTED_VALUE"""),3893396.0)</f>
        <v>3893396</v>
      </c>
      <c r="C2803" t="str">
        <f>IFERROR(__xludf.DUMMYFUNCTION("""COMPUTED_VALUE"""),"Clean Code")</f>
        <v>Clean Code</v>
      </c>
    </row>
    <row r="2804">
      <c r="A2804" s="140" t="str">
        <f>IFERROR(__xludf.DUMMYFUNCTION("""COMPUTED_VALUE"""),"fr")</f>
        <v>fr</v>
      </c>
      <c r="B2804">
        <f>IFERROR(__xludf.DUMMYFUNCTION("""COMPUTED_VALUE"""),3754052.0)</f>
        <v>3754052</v>
      </c>
      <c r="C2804" t="str">
        <f>IFERROR(__xludf.DUMMYFUNCTION("""COMPUTED_VALUE"""),"Adobe Premiere Pro : Faire un Montage Vidéo de A à Z en 2022")</f>
        <v>Adobe Premiere Pro : Faire un Montage Vidéo de A à Z en 2022</v>
      </c>
    </row>
    <row r="2805">
      <c r="A2805" s="140" t="str">
        <f>IFERROR(__xludf.DUMMYFUNCTION("""COMPUTED_VALUE"""),"en")</f>
        <v>en</v>
      </c>
      <c r="B2805">
        <f>IFERROR(__xludf.DUMMYFUNCTION("""COMPUTED_VALUE"""),137188.0)</f>
        <v>137188</v>
      </c>
      <c r="C2805" t="str">
        <f>IFERROR(__xludf.DUMMYFUNCTION("""COMPUTED_VALUE"""),"Train the Trainer Foundation: Adult Education Mastery Course")</f>
        <v>Train the Trainer Foundation: Adult Education Mastery Course</v>
      </c>
    </row>
    <row r="2806">
      <c r="A2806" s="140" t="str">
        <f>IFERROR(__xludf.DUMMYFUNCTION("""COMPUTED_VALUE"""),"en")</f>
        <v>en</v>
      </c>
      <c r="B2806">
        <f>IFERROR(__xludf.DUMMYFUNCTION("""COMPUTED_VALUE"""),2161406.0)</f>
        <v>2161406</v>
      </c>
      <c r="C2806" t="str">
        <f>IFERROR(__xludf.DUMMYFUNCTION("""COMPUTED_VALUE"""),"Tableau Specialist Certification Prep")</f>
        <v>Tableau Specialist Certification Prep</v>
      </c>
    </row>
    <row r="2807">
      <c r="A2807" s="140" t="str">
        <f>IFERROR(__xludf.DUMMYFUNCTION("""COMPUTED_VALUE"""),"en")</f>
        <v>en</v>
      </c>
      <c r="B2807">
        <f>IFERROR(__xludf.DUMMYFUNCTION("""COMPUTED_VALUE"""),3729366.0)</f>
        <v>3729366</v>
      </c>
      <c r="C2807" t="str">
        <f>IFERROR(__xludf.DUMMYFUNCTION("""COMPUTED_VALUE"""),"React Next.js Firebase Node.js MongoDB Login Register System")</f>
        <v>React Next.js Firebase Node.js MongoDB Login Register System</v>
      </c>
    </row>
    <row r="2808">
      <c r="A2808" s="140" t="str">
        <f>IFERROR(__xludf.DUMMYFUNCTION("""COMPUTED_VALUE"""),"fr")</f>
        <v>fr</v>
      </c>
      <c r="B2808">
        <f>IFERROR(__xludf.DUMMYFUNCTION("""COMPUTED_VALUE"""),3612080.0)</f>
        <v>3612080</v>
      </c>
      <c r="C2808" t="str">
        <f>IFERROR(__xludf.DUMMYFUNCTION("""COMPUTED_VALUE"""),"PowerPoint pour les formatrices et formateurs")</f>
        <v>PowerPoint pour les formatrices et formateurs</v>
      </c>
    </row>
    <row r="2809">
      <c r="A2809" s="140" t="str">
        <f>IFERROR(__xludf.DUMMYFUNCTION("""COMPUTED_VALUE"""),"en")</f>
        <v>en</v>
      </c>
      <c r="B2809">
        <f>IFERROR(__xludf.DUMMYFUNCTION("""COMPUTED_VALUE"""),4148622.0)</f>
        <v>4148622</v>
      </c>
      <c r="C2809" t="str">
        <f>IFERROR(__xludf.DUMMYFUNCTION("""COMPUTED_VALUE"""),"The Ultimate Advanced Training For Agile Product Owners")</f>
        <v>The Ultimate Advanced Training For Agile Product Owners</v>
      </c>
    </row>
    <row r="2810">
      <c r="A2810" s="140" t="str">
        <f>IFERROR(__xludf.DUMMYFUNCTION("""COMPUTED_VALUE"""),"ja")</f>
        <v>ja</v>
      </c>
      <c r="B2810">
        <f>IFERROR(__xludf.DUMMYFUNCTION("""COMPUTED_VALUE"""),2790296.0)</f>
        <v>2790296</v>
      </c>
      <c r="C2810" t="str">
        <f>IFERROR(__xludf.DUMMYFUNCTION("""COMPUTED_VALUE"""),"【JS】ガチで学びたい人のためのJavaScriptメカニズム")</f>
        <v>【JS】ガチで学びたい人のためのJavaScriptメカニズム</v>
      </c>
    </row>
    <row r="2811">
      <c r="A2811" s="140" t="str">
        <f>IFERROR(__xludf.DUMMYFUNCTION("""COMPUTED_VALUE"""),"en")</f>
        <v>en</v>
      </c>
      <c r="B2811">
        <f>IFERROR(__xludf.DUMMYFUNCTION("""COMPUTED_VALUE"""),2830804.0)</f>
        <v>2830804</v>
      </c>
      <c r="C2811" t="str">
        <f>IFERROR(__xludf.DUMMYFUNCTION("""COMPUTED_VALUE"""),"Creating Team Vision, Mission &amp; Values")</f>
        <v>Creating Team Vision, Mission &amp; Values</v>
      </c>
    </row>
    <row r="2812">
      <c r="A2812" s="140" t="str">
        <f>IFERROR(__xludf.DUMMYFUNCTION("""COMPUTED_VALUE"""),"tr")</f>
        <v>tr</v>
      </c>
      <c r="B2812">
        <f>IFERROR(__xludf.DUMMYFUNCTION("""COMPUTED_VALUE"""),1235124.0)</f>
        <v>1235124</v>
      </c>
      <c r="C2812" t="str">
        <f>IFERROR(__xludf.DUMMYFUNCTION("""COMPUTED_VALUE"""),"(40+ Saat) Python | Sıfırdan İleri Seviye Programlama (2020)")</f>
        <v>(40+ Saat) Python | Sıfırdan İleri Seviye Programlama (2020)</v>
      </c>
    </row>
    <row r="2813">
      <c r="A2813" s="140" t="str">
        <f>IFERROR(__xludf.DUMMYFUNCTION("""COMPUTED_VALUE"""),"ar")</f>
        <v>ar</v>
      </c>
      <c r="B2813">
        <f>IFERROR(__xludf.DUMMYFUNCTION("""COMPUTED_VALUE"""),3595138.0)</f>
        <v>3595138</v>
      </c>
      <c r="C2813" t="str">
        <f>IFERROR(__xludf.DUMMYFUNCTION("""COMPUTED_VALUE"""),"ICT Taskforce: Microsoft Office | Excel Expert")</f>
        <v>ICT Taskforce: Microsoft Office | Excel Expert</v>
      </c>
    </row>
    <row r="2814">
      <c r="A2814" s="140" t="str">
        <f>IFERROR(__xludf.DUMMYFUNCTION("""COMPUTED_VALUE"""),"es")</f>
        <v>es</v>
      </c>
      <c r="B2814">
        <f>IFERROR(__xludf.DUMMYFUNCTION("""COMPUTED_VALUE"""),2547539.0)</f>
        <v>2547539</v>
      </c>
      <c r="C2814" t="str">
        <f>IFERROR(__xludf.DUMMYFUNCTION("""COMPUTED_VALUE"""),"Hacking Etico usando Android")</f>
        <v>Hacking Etico usando Android</v>
      </c>
    </row>
    <row r="2815">
      <c r="A2815" s="140" t="str">
        <f>IFERROR(__xludf.DUMMYFUNCTION("""COMPUTED_VALUE"""),"fr")</f>
        <v>fr</v>
      </c>
      <c r="B2815">
        <f>IFERROR(__xludf.DUMMYFUNCTION("""COMPUTED_VALUE"""),3153162.0)</f>
        <v>3153162</v>
      </c>
      <c r="C2815" t="str">
        <f>IFERROR(__xludf.DUMMYFUNCTION("""COMPUTED_VALUE"""),"Formation Tiktok complète pour professionnel et influenceur")</f>
        <v>Formation Tiktok complète pour professionnel et influenceur</v>
      </c>
    </row>
    <row r="2816">
      <c r="A2816" s="140" t="str">
        <f>IFERROR(__xludf.DUMMYFUNCTION("""COMPUTED_VALUE"""),"fr")</f>
        <v>fr</v>
      </c>
      <c r="B2816">
        <f>IFERROR(__xludf.DUMMYFUNCTION("""COMPUTED_VALUE"""),3786042.0)</f>
        <v>3786042</v>
      </c>
      <c r="C2816" t="str">
        <f>IFERROR(__xludf.DUMMYFUNCTION("""COMPUTED_VALUE"""),"Apprendre l'anglais de A à Z")</f>
        <v>Apprendre l'anglais de A à Z</v>
      </c>
    </row>
    <row r="2817">
      <c r="A2817" s="140" t="str">
        <f>IFERROR(__xludf.DUMMYFUNCTION("""COMPUTED_VALUE"""),"en")</f>
        <v>en</v>
      </c>
      <c r="B2817">
        <f>IFERROR(__xludf.DUMMYFUNCTION("""COMPUTED_VALUE"""),2308228.0)</f>
        <v>2308228</v>
      </c>
      <c r="C2817" t="str">
        <f>IFERROR(__xludf.DUMMYFUNCTION("""COMPUTED_VALUE"""),"Linux High Availability Clustering")</f>
        <v>Linux High Availability Clustering</v>
      </c>
    </row>
    <row r="2818">
      <c r="A2818" s="140" t="str">
        <f>IFERROR(__xludf.DUMMYFUNCTION("""COMPUTED_VALUE"""),"pt")</f>
        <v>pt</v>
      </c>
      <c r="B2818">
        <f>IFERROR(__xludf.DUMMYFUNCTION("""COMPUTED_VALUE"""),3721422.0)</f>
        <v>3721422</v>
      </c>
      <c r="C2818" t="str">
        <f>IFERROR(__xludf.DUMMYFUNCTION("""COMPUTED_VALUE"""),"Curso Completo de Produtividade e Gestão de Tempo")</f>
        <v>Curso Completo de Produtividade e Gestão de Tempo</v>
      </c>
    </row>
    <row r="2819">
      <c r="A2819" s="140" t="str">
        <f>IFERROR(__xludf.DUMMYFUNCTION("""COMPUTED_VALUE"""),"es")</f>
        <v>es</v>
      </c>
      <c r="B2819">
        <f>IFERROR(__xludf.DUMMYFUNCTION("""COMPUTED_VALUE"""),2585152.0)</f>
        <v>2585152</v>
      </c>
      <c r="C2819" t="str">
        <f>IFERROR(__xludf.DUMMYFUNCTION("""COMPUTED_VALUE"""),"[2021] Fundamentos de Scrum: Simulador de Examen")</f>
        <v>[2021] Fundamentos de Scrum: Simulador de Examen</v>
      </c>
    </row>
    <row r="2820">
      <c r="A2820" s="140" t="str">
        <f>IFERROR(__xludf.DUMMYFUNCTION("""COMPUTED_VALUE"""),"ja")</f>
        <v>ja</v>
      </c>
      <c r="B2820">
        <f>IFERROR(__xludf.DUMMYFUNCTION("""COMPUTED_VALUE"""),2530502.0)</f>
        <v>2530502</v>
      </c>
      <c r="C2820" t="str">
        <f>IFERROR(__xludf.DUMMYFUNCTION("""COMPUTED_VALUE"""),"この問題だけで合格可能！AWS 認定クラウドプラクティショナー 模擬試験問題集（7回分455問）")</f>
        <v>この問題だけで合格可能！AWS 認定クラウドプラクティショナー 模擬試験問題集（7回分455問）</v>
      </c>
    </row>
    <row r="2821">
      <c r="A2821" s="140" t="str">
        <f>IFERROR(__xludf.DUMMYFUNCTION("""COMPUTED_VALUE"""),"tr")</f>
        <v>tr</v>
      </c>
      <c r="B2821">
        <f>IFERROR(__xludf.DUMMYFUNCTION("""COMPUTED_VALUE"""),1473726.0)</f>
        <v>1473726</v>
      </c>
      <c r="C2821" t="str">
        <f>IFERROR(__xludf.DUMMYFUNCTION("""COMPUTED_VALUE"""),"Türkler İçin İspanyolca")</f>
        <v>Türkler İçin İspanyolca</v>
      </c>
    </row>
    <row r="2822">
      <c r="A2822" s="140" t="str">
        <f>IFERROR(__xludf.DUMMYFUNCTION("""COMPUTED_VALUE"""),"en")</f>
        <v>en</v>
      </c>
      <c r="B2822">
        <f>IFERROR(__xludf.DUMMYFUNCTION("""COMPUTED_VALUE"""),1249064.0)</f>
        <v>1249064</v>
      </c>
      <c r="C2822" t="str">
        <f>IFERROR(__xludf.DUMMYFUNCTION("""COMPUTED_VALUE"""),"48 Charts in Tableau 2020 -  Basic to Intermediate")</f>
        <v>48 Charts in Tableau 2020 -  Basic to Intermediate</v>
      </c>
    </row>
    <row r="2823">
      <c r="A2823" s="140" t="str">
        <f>IFERROR(__xludf.DUMMYFUNCTION("""COMPUTED_VALUE"""),"es")</f>
        <v>es</v>
      </c>
      <c r="B2823">
        <f>IFERROR(__xludf.DUMMYFUNCTION("""COMPUTED_VALUE"""),3337264.0)</f>
        <v>3337264</v>
      </c>
      <c r="C2823" t="str">
        <f>IFERROR(__xludf.DUMMYFUNCTION("""COMPUTED_VALUE"""),"Python. Gráficos interactivos con Plotly y Dash en Python")</f>
        <v>Python. Gráficos interactivos con Plotly y Dash en Python</v>
      </c>
    </row>
    <row r="2824">
      <c r="A2824" s="140" t="str">
        <f>IFERROR(__xludf.DUMMYFUNCTION("""COMPUTED_VALUE"""),"es")</f>
        <v>es</v>
      </c>
      <c r="B2824">
        <f>IFERROR(__xludf.DUMMYFUNCTION("""COMPUTED_VALUE"""),2512098.0)</f>
        <v>2512098</v>
      </c>
      <c r="C2824" t="str">
        <f>IFERROR(__xludf.DUMMYFUNCTION("""COMPUTED_VALUE"""),"Curso NodeJS 2021 - Crea tus Aplicaciones RESTful")</f>
        <v>Curso NodeJS 2021 - Crea tus Aplicaciones RESTful</v>
      </c>
    </row>
    <row r="2825">
      <c r="A2825" s="140" t="str">
        <f>IFERROR(__xludf.DUMMYFUNCTION("""COMPUTED_VALUE"""),"ko")</f>
        <v>ko</v>
      </c>
      <c r="B2825">
        <f>IFERROR(__xludf.DUMMYFUNCTION("""COMPUTED_VALUE"""),4236788.0)</f>
        <v>4236788</v>
      </c>
      <c r="C2825" t="str">
        <f>IFERROR(__xludf.DUMMYFUNCTION("""COMPUTED_VALUE"""),"【글로벌 Best강의】 Python으로 시계열 데이터 분석 (한글자막)")</f>
        <v>【글로벌 Best강의】 Python으로 시계열 데이터 분석 (한글자막)</v>
      </c>
    </row>
    <row r="2826">
      <c r="A2826" s="140" t="str">
        <f>IFERROR(__xludf.DUMMYFUNCTION("""COMPUTED_VALUE"""),"en")</f>
        <v>en</v>
      </c>
      <c r="B2826">
        <f>IFERROR(__xludf.DUMMYFUNCTION("""COMPUTED_VALUE"""),2283012.0)</f>
        <v>2283012</v>
      </c>
      <c r="C2826" t="str">
        <f>IFERROR(__xludf.DUMMYFUNCTION("""COMPUTED_VALUE"""),"Complete Nuxt.js Course")</f>
        <v>Complete Nuxt.js Course</v>
      </c>
    </row>
    <row r="2827">
      <c r="A2827" s="140" t="str">
        <f>IFERROR(__xludf.DUMMYFUNCTION("""COMPUTED_VALUE"""),"ja")</f>
        <v>ja</v>
      </c>
      <c r="B2827">
        <f>IFERROR(__xludf.DUMMYFUNCTION("""COMPUTED_VALUE"""),1965718.0)</f>
        <v>1965718</v>
      </c>
      <c r="C2827" t="str">
        <f>IFERROR(__xludf.DUMMYFUNCTION("""COMPUTED_VALUE"""),"Python+FlaskでのWebアプリケーション開発講座！！～0からFlaskをマスターしてSNSを作成する～")</f>
        <v>Python+FlaskでのWebアプリケーション開発講座！！～0からFlaskをマスターしてSNSを作成する～</v>
      </c>
    </row>
    <row r="2828">
      <c r="A2828" s="140" t="str">
        <f>IFERROR(__xludf.DUMMYFUNCTION("""COMPUTED_VALUE"""),"pt")</f>
        <v>pt</v>
      </c>
      <c r="B2828">
        <f>IFERROR(__xludf.DUMMYFUNCTION("""COMPUTED_VALUE"""),3777412.0)</f>
        <v>3777412</v>
      </c>
      <c r="C2828" t="str">
        <f>IFERROR(__xludf.DUMMYFUNCTION("""COMPUTED_VALUE"""),"SASS e SCSS do básico ao avançado + Projetos")</f>
        <v>SASS e SCSS do básico ao avançado + Projetos</v>
      </c>
    </row>
    <row r="2829">
      <c r="A2829" s="140" t="str">
        <f>IFERROR(__xludf.DUMMYFUNCTION("""COMPUTED_VALUE"""),"fr")</f>
        <v>fr</v>
      </c>
      <c r="B2829">
        <f>IFERROR(__xludf.DUMMYFUNCTION("""COMPUTED_VALUE"""),1203206.0)</f>
        <v>1203206</v>
      </c>
      <c r="C2829" t="str">
        <f>IFERROR(__xludf.DUMMYFUNCTION("""COMPUTED_VALUE"""),"Java EE : Devenez développeur d'applications Web Java")</f>
        <v>Java EE : Devenez développeur d'applications Web Java</v>
      </c>
    </row>
    <row r="2830">
      <c r="A2830" s="140" t="str">
        <f>IFERROR(__xludf.DUMMYFUNCTION("""COMPUTED_VALUE"""),"en")</f>
        <v>en</v>
      </c>
      <c r="B2830">
        <f>IFERROR(__xludf.DUMMYFUNCTION("""COMPUTED_VALUE"""),2253706.0)</f>
        <v>2253706</v>
      </c>
      <c r="C2830" t="str">
        <f>IFERROR(__xludf.DUMMYFUNCTION("""COMPUTED_VALUE"""),"AWS Certified Data Analytics Specialty 2021 - Hands On!")</f>
        <v>AWS Certified Data Analytics Specialty 2021 - Hands On!</v>
      </c>
    </row>
    <row r="2831">
      <c r="A2831" s="140" t="str">
        <f>IFERROR(__xludf.DUMMYFUNCTION("""COMPUTED_VALUE"""),"pt")</f>
        <v>pt</v>
      </c>
      <c r="B2831">
        <f>IFERROR(__xludf.DUMMYFUNCTION("""COMPUTED_VALUE"""),1566242.0)</f>
        <v>1566242</v>
      </c>
      <c r="C2831" t="str">
        <f>IFERROR(__xludf.DUMMYFUNCTION("""COMPUTED_VALUE"""),"Curso 3ds Max : Design e Criação de Personagens 3D")</f>
        <v>Curso 3ds Max : Design e Criação de Personagens 3D</v>
      </c>
    </row>
    <row r="2832">
      <c r="A2832" s="140" t="str">
        <f>IFERROR(__xludf.DUMMYFUNCTION("""COMPUTED_VALUE"""),"es")</f>
        <v>es</v>
      </c>
      <c r="B2832">
        <f>IFERROR(__xludf.DUMMYFUNCTION("""COMPUTED_VALUE"""),3059644.0)</f>
        <v>3059644</v>
      </c>
      <c r="C2832" t="str">
        <f>IFERROR(__xludf.DUMMYFUNCTION("""COMPUTED_VALUE"""),"Japonés nivel A1 completo desde 0")</f>
        <v>Japonés nivel A1 completo desde 0</v>
      </c>
    </row>
    <row r="2833">
      <c r="A2833" s="140" t="str">
        <f>IFERROR(__xludf.DUMMYFUNCTION("""COMPUTED_VALUE"""),"en")</f>
        <v>en</v>
      </c>
      <c r="B2833">
        <f>IFERROR(__xludf.DUMMYFUNCTION("""COMPUTED_VALUE"""),530308.0)</f>
        <v>530308</v>
      </c>
      <c r="C2833" t="str">
        <f>IFERROR(__xludf.DUMMYFUNCTION("""COMPUTED_VALUE"""),"Introduction to Programming")</f>
        <v>Introduction to Programming</v>
      </c>
    </row>
    <row r="2834">
      <c r="A2834" s="140" t="str">
        <f>IFERROR(__xludf.DUMMYFUNCTION("""COMPUTED_VALUE"""),"pt")</f>
        <v>pt</v>
      </c>
      <c r="B2834">
        <f>IFERROR(__xludf.DUMMYFUNCTION("""COMPUTED_VALUE"""),920730.0)</f>
        <v>920730</v>
      </c>
      <c r="C2834" t="str">
        <f>IFERROR(__xludf.DUMMYFUNCTION("""COMPUTED_VALUE"""),"Aprenda SAP - Treinamento para Iniciantes")</f>
        <v>Aprenda SAP - Treinamento para Iniciantes</v>
      </c>
    </row>
    <row r="2835">
      <c r="A2835" s="140" t="str">
        <f>IFERROR(__xludf.DUMMYFUNCTION("""COMPUTED_VALUE"""),"en")</f>
        <v>en</v>
      </c>
      <c r="B2835">
        <f>IFERROR(__xludf.DUMMYFUNCTION("""COMPUTED_VALUE"""),1102458.0)</f>
        <v>1102458</v>
      </c>
      <c r="C2835" t="str">
        <f>IFERROR(__xludf.DUMMYFUNCTION("""COMPUTED_VALUE"""),"AWS Certified Security Specialty 2021")</f>
        <v>AWS Certified Security Specialty 2021</v>
      </c>
    </row>
    <row r="2836">
      <c r="A2836" s="140" t="str">
        <f>IFERROR(__xludf.DUMMYFUNCTION("""COMPUTED_VALUE"""),"pt")</f>
        <v>pt</v>
      </c>
      <c r="B2836">
        <f>IFERROR(__xludf.DUMMYFUNCTION("""COMPUTED_VALUE"""),669012.0)</f>
        <v>669012</v>
      </c>
      <c r="C2836" t="str">
        <f>IFERROR(__xludf.DUMMYFUNCTION("""COMPUTED_VALUE"""),"Aprenda SQL do Zero!")</f>
        <v>Aprenda SQL do Zero!</v>
      </c>
    </row>
    <row r="2837">
      <c r="A2837" s="140" t="str">
        <f>IFERROR(__xludf.DUMMYFUNCTION("""COMPUTED_VALUE"""),"ja")</f>
        <v>ja</v>
      </c>
      <c r="B2837">
        <f>IFERROR(__xludf.DUMMYFUNCTION("""COMPUTED_VALUE"""),4201796.0)</f>
        <v>4201796</v>
      </c>
      <c r="C2837" t="str">
        <f>IFERROR(__xludf.DUMMYFUNCTION("""COMPUTED_VALUE"""),"【続】Microsoft Power Automate Desktop 入門講座 ～ Excel 転記 特訓編 ～")</f>
        <v>【続】Microsoft Power Automate Desktop 入門講座 ～ Excel 転記 特訓編 ～</v>
      </c>
    </row>
    <row r="2838">
      <c r="A2838" s="140" t="str">
        <f>IFERROR(__xludf.DUMMYFUNCTION("""COMPUTED_VALUE"""),"fr")</f>
        <v>fr</v>
      </c>
      <c r="B2838">
        <f>IFERROR(__xludf.DUMMYFUNCTION("""COMPUTED_VALUE"""),4031156.0)</f>
        <v>4031156</v>
      </c>
      <c r="C2838" t="str">
        <f>IFERROR(__xludf.DUMMYFUNCTION("""COMPUTED_VALUE"""),"Devenez un expert du web scraping - la formation complète")</f>
        <v>Devenez un expert du web scraping - la formation complète</v>
      </c>
    </row>
    <row r="2839">
      <c r="A2839" s="140" t="str">
        <f>IFERROR(__xludf.DUMMYFUNCTION("""COMPUTED_VALUE"""),"tr")</f>
        <v>tr</v>
      </c>
      <c r="B2839">
        <f>IFERROR(__xludf.DUMMYFUNCTION("""COMPUTED_VALUE"""),2722982.0)</f>
        <v>2722982</v>
      </c>
      <c r="C2839" t="str">
        <f>IFERROR(__xludf.DUMMYFUNCTION("""COMPUTED_VALUE"""),"Asp.Net Core + RabbitMQ 2021 (Net5)")</f>
        <v>Asp.Net Core + RabbitMQ 2021 (Net5)</v>
      </c>
    </row>
    <row r="2840">
      <c r="A2840" s="140" t="str">
        <f>IFERROR(__xludf.DUMMYFUNCTION("""COMPUTED_VALUE"""),"en")</f>
        <v>en</v>
      </c>
      <c r="B2840">
        <f>IFERROR(__xludf.DUMMYFUNCTION("""COMPUTED_VALUE"""),1037886.0)</f>
        <v>1037886</v>
      </c>
      <c r="C2840" t="str">
        <f>IFERROR(__xludf.DUMMYFUNCTION("""COMPUTED_VALUE"""),"English Speaking Patterns Mastery: Upgrade your English")</f>
        <v>English Speaking Patterns Mastery: Upgrade your English</v>
      </c>
    </row>
    <row r="2841">
      <c r="A2841" s="140" t="str">
        <f>IFERROR(__xludf.DUMMYFUNCTION("""COMPUTED_VALUE"""),"en")</f>
        <v>en</v>
      </c>
      <c r="B2841">
        <f>IFERROR(__xludf.DUMMYFUNCTION("""COMPUTED_VALUE"""),1578322.0)</f>
        <v>1578322</v>
      </c>
      <c r="C2841" t="str">
        <f>IFERROR(__xludf.DUMMYFUNCTION("""COMPUTED_VALUE"""),"Platform App Builder: Rapid Exam Prep")</f>
        <v>Platform App Builder: Rapid Exam Prep</v>
      </c>
    </row>
    <row r="2842">
      <c r="A2842" s="140" t="str">
        <f>IFERROR(__xludf.DUMMYFUNCTION("""COMPUTED_VALUE"""),"en")</f>
        <v>en</v>
      </c>
      <c r="B2842">
        <f>IFERROR(__xludf.DUMMYFUNCTION("""COMPUTED_VALUE"""),461160.0)</f>
        <v>461160</v>
      </c>
      <c r="C2842" t="str">
        <f>IFERROR(__xludf.DUMMYFUNCTION("""COMPUTED_VALUE"""),"Learn and Understand NodeJS")</f>
        <v>Learn and Understand NodeJS</v>
      </c>
    </row>
    <row r="2843">
      <c r="A2843" s="140" t="str">
        <f>IFERROR(__xludf.DUMMYFUNCTION("""COMPUTED_VALUE"""),"en")</f>
        <v>en</v>
      </c>
      <c r="B2843">
        <f>IFERROR(__xludf.DUMMYFUNCTION("""COMPUTED_VALUE"""),3801638.0)</f>
        <v>3801638</v>
      </c>
      <c r="C2843" t="str">
        <f>IFERROR(__xludf.DUMMYFUNCTION("""COMPUTED_VALUE"""),"Advanced Cryptography Concepts")</f>
        <v>Advanced Cryptography Concepts</v>
      </c>
    </row>
    <row r="2844">
      <c r="A2844" s="140" t="str">
        <f>IFERROR(__xludf.DUMMYFUNCTION("""COMPUTED_VALUE"""),"en")</f>
        <v>en</v>
      </c>
      <c r="B2844">
        <f>IFERROR(__xludf.DUMMYFUNCTION("""COMPUTED_VALUE"""),1706950.0)</f>
        <v>1706950</v>
      </c>
      <c r="C2844" t="str">
        <f>IFERROR(__xludf.DUMMYFUNCTION("""COMPUTED_VALUE"""),"Create Virtual Reality Apps using React VR &amp; React 360")</f>
        <v>Create Virtual Reality Apps using React VR &amp; React 360</v>
      </c>
    </row>
    <row r="2845">
      <c r="A2845" s="140" t="str">
        <f>IFERROR(__xludf.DUMMYFUNCTION("""COMPUTED_VALUE"""),"pt")</f>
        <v>pt</v>
      </c>
      <c r="B2845">
        <f>IFERROR(__xludf.DUMMYFUNCTION("""COMPUTED_VALUE"""),1212492.0)</f>
        <v>1212492</v>
      </c>
      <c r="C2845" t="str">
        <f>IFERROR(__xludf.DUMMYFUNCTION("""COMPUTED_VALUE"""),"Curso Git e GitHub Ninja")</f>
        <v>Curso Git e GitHub Ninja</v>
      </c>
    </row>
    <row r="2846">
      <c r="A2846" s="140" t="str">
        <f>IFERROR(__xludf.DUMMYFUNCTION("""COMPUTED_VALUE"""),"pt")</f>
        <v>pt</v>
      </c>
      <c r="B2846">
        <f>IFERROR(__xludf.DUMMYFUNCTION("""COMPUTED_VALUE"""),1729128.0)</f>
        <v>1729128</v>
      </c>
      <c r="C2846" t="str">
        <f>IFERROR(__xludf.DUMMYFUNCTION("""COMPUTED_VALUE"""),"Criação de Artes para Jogos - Cenários, Personagens e Outras")</f>
        <v>Criação de Artes para Jogos - Cenários, Personagens e Outras</v>
      </c>
    </row>
    <row r="2847">
      <c r="A2847" s="140" t="str">
        <f>IFERROR(__xludf.DUMMYFUNCTION("""COMPUTED_VALUE"""),"pt")</f>
        <v>pt</v>
      </c>
      <c r="B2847">
        <f>IFERROR(__xludf.DUMMYFUNCTION("""COMPUTED_VALUE"""),944286.0)</f>
        <v>944286</v>
      </c>
      <c r="C2847" t="str">
        <f>IFERROR(__xludf.DUMMYFUNCTION("""COMPUTED_VALUE"""),"Redes Wireless - Curso Intermediário Profissional")</f>
        <v>Redes Wireless - Curso Intermediário Profissional</v>
      </c>
    </row>
    <row r="2848">
      <c r="A2848" s="140" t="str">
        <f>IFERROR(__xludf.DUMMYFUNCTION("""COMPUTED_VALUE"""),"en")</f>
        <v>en</v>
      </c>
      <c r="B2848">
        <f>IFERROR(__xludf.DUMMYFUNCTION("""COMPUTED_VALUE"""),2925580.0)</f>
        <v>2925580</v>
      </c>
      <c r="C2848" t="str">
        <f>IFERROR(__xludf.DUMMYFUNCTION("""COMPUTED_VALUE"""),"Electric Vehicle Education")</f>
        <v>Electric Vehicle Education</v>
      </c>
    </row>
    <row r="2849">
      <c r="A2849" s="140" t="str">
        <f>IFERROR(__xludf.DUMMYFUNCTION("""COMPUTED_VALUE"""),"pt")</f>
        <v>pt</v>
      </c>
      <c r="B2849">
        <f>IFERROR(__xludf.DUMMYFUNCTION("""COMPUTED_VALUE"""),2066719.0)</f>
        <v>2066719</v>
      </c>
      <c r="C2849" t="str">
        <f>IFERROR(__xludf.DUMMYFUNCTION("""COMPUTED_VALUE"""),"Curso de Criatividade e Inovação")</f>
        <v>Curso de Criatividade e Inovação</v>
      </c>
    </row>
    <row r="2850">
      <c r="A2850" s="140" t="str">
        <f>IFERROR(__xludf.DUMMYFUNCTION("""COMPUTED_VALUE"""),"en")</f>
        <v>en</v>
      </c>
      <c r="B2850">
        <f>IFERROR(__xludf.DUMMYFUNCTION("""COMPUTED_VALUE"""),2490754.0)</f>
        <v>2490754</v>
      </c>
      <c r="C2850" t="str">
        <f>IFERROR(__xludf.DUMMYFUNCTION("""COMPUTED_VALUE"""),"3 Minute French - Course 6 | Language lessons for beginners")</f>
        <v>3 Minute French - Course 6 | Language lessons for beginners</v>
      </c>
    </row>
    <row r="2851">
      <c r="A2851" s="140" t="str">
        <f>IFERROR(__xludf.DUMMYFUNCTION("""COMPUTED_VALUE"""),"en")</f>
        <v>en</v>
      </c>
      <c r="B2851">
        <f>IFERROR(__xludf.DUMMYFUNCTION("""COMPUTED_VALUE"""),3249112.0)</f>
        <v>3249112</v>
      </c>
      <c r="C2851" t="str">
        <f>IFERROR(__xludf.DUMMYFUNCTION("""COMPUTED_VALUE"""),"Biotechnology: Antibodies &amp; their role in Therapeutics")</f>
        <v>Biotechnology: Antibodies &amp; their role in Therapeutics</v>
      </c>
    </row>
    <row r="2852">
      <c r="A2852" s="140" t="str">
        <f>IFERROR(__xludf.DUMMYFUNCTION("""COMPUTED_VALUE"""),"en")</f>
        <v>en</v>
      </c>
      <c r="B2852">
        <f>IFERROR(__xludf.DUMMYFUNCTION("""COMPUTED_VALUE"""),765834.0)</f>
        <v>765834</v>
      </c>
      <c r="C2852" t="str">
        <f>IFERROR(__xludf.DUMMYFUNCTION("""COMPUTED_VALUE"""),"Make a Tetris-style Puzzler in Unity")</f>
        <v>Make a Tetris-style Puzzler in Unity</v>
      </c>
    </row>
    <row r="2853">
      <c r="A2853" s="140" t="str">
        <f>IFERROR(__xludf.DUMMYFUNCTION("""COMPUTED_VALUE"""),"en")</f>
        <v>en</v>
      </c>
      <c r="B2853">
        <f>IFERROR(__xludf.DUMMYFUNCTION("""COMPUTED_VALUE"""),3819792.0)</f>
        <v>3819792</v>
      </c>
      <c r="C2853" t="str">
        <f>IFERROR(__xludf.DUMMYFUNCTION("""COMPUTED_VALUE"""),"ISO 22000. Food Safety Management System.")</f>
        <v>ISO 22000. Food Safety Management System.</v>
      </c>
    </row>
    <row r="2854">
      <c r="A2854" s="140" t="str">
        <f>IFERROR(__xludf.DUMMYFUNCTION("""COMPUTED_VALUE"""),"en")</f>
        <v>en</v>
      </c>
      <c r="B2854">
        <f>IFERROR(__xludf.DUMMYFUNCTION("""COMPUTED_VALUE"""),2209946.0)</f>
        <v>2209946</v>
      </c>
      <c r="C2854" t="str">
        <f>IFERROR(__xludf.DUMMYFUNCTION("""COMPUTED_VALUE"""),"Complete Tableau 2021 Training for Absolute Beginners")</f>
        <v>Complete Tableau 2021 Training for Absolute Beginners</v>
      </c>
    </row>
    <row r="2855">
      <c r="A2855" s="140" t="str">
        <f>IFERROR(__xludf.DUMMYFUNCTION("""COMPUTED_VALUE"""),"ja")</f>
        <v>ja</v>
      </c>
      <c r="B2855">
        <f>IFERROR(__xludf.DUMMYFUNCTION("""COMPUTED_VALUE"""),3188176.0)</f>
        <v>3188176</v>
      </c>
      <c r="C2855" t="str">
        <f>IFERROR(__xludf.DUMMYFUNCTION("""COMPUTED_VALUE"""),"[Youtube編] React Hooks + Django RestFramework API でフルスタックWeb")</f>
        <v>[Youtube編] React Hooks + Django RestFramework API でフルスタックWeb</v>
      </c>
    </row>
    <row r="2856">
      <c r="A2856" s="140" t="str">
        <f>IFERROR(__xludf.DUMMYFUNCTION("""COMPUTED_VALUE"""),"es")</f>
        <v>es</v>
      </c>
      <c r="B2856">
        <f>IFERROR(__xludf.DUMMYFUNCTION("""COMPUTED_VALUE"""),1821562.0)</f>
        <v>1821562</v>
      </c>
      <c r="C2856" t="str">
        <f>IFERROR(__xludf.DUMMYFUNCTION("""COMPUTED_VALUE"""),"Cisco CCNA Fundamentos de Networking para Redes IP")</f>
        <v>Cisco CCNA Fundamentos de Networking para Redes IP</v>
      </c>
    </row>
    <row r="2857">
      <c r="A2857" s="140" t="str">
        <f>IFERROR(__xludf.DUMMYFUNCTION("""COMPUTED_VALUE"""),"tr")</f>
        <v>tr</v>
      </c>
      <c r="B2857">
        <f>IFERROR(__xludf.DUMMYFUNCTION("""COMPUTED_VALUE"""),2852796.0)</f>
        <v>2852796</v>
      </c>
      <c r="C2857" t="str">
        <f>IFERROR(__xludf.DUMMYFUNCTION("""COMPUTED_VALUE"""),"Dijital Terimler: Geleceğin Dünyası")</f>
        <v>Dijital Terimler: Geleceğin Dünyası</v>
      </c>
    </row>
    <row r="2858">
      <c r="A2858" s="140" t="str">
        <f>IFERROR(__xludf.DUMMYFUNCTION("""COMPUTED_VALUE"""),"en")</f>
        <v>en</v>
      </c>
      <c r="B2858">
        <f>IFERROR(__xludf.DUMMYFUNCTION("""COMPUTED_VALUE"""),1351700.0)</f>
        <v>1351700</v>
      </c>
      <c r="C2858" t="str">
        <f>IFERROR(__xludf.DUMMYFUNCTION("""COMPUTED_VALUE"""),"The Complete Train the Trainer Bootcamp (Part 1): All Levels")</f>
        <v>The Complete Train the Trainer Bootcamp (Part 1): All Levels</v>
      </c>
    </row>
    <row r="2859">
      <c r="A2859" s="140" t="str">
        <f>IFERROR(__xludf.DUMMYFUNCTION("""COMPUTED_VALUE"""),"en")</f>
        <v>en</v>
      </c>
      <c r="B2859">
        <f>IFERROR(__xludf.DUMMYFUNCTION("""COMPUTED_VALUE"""),1360780.0)</f>
        <v>1360780</v>
      </c>
      <c r="C2859" t="str">
        <f>IFERROR(__xludf.DUMMYFUNCTION("""COMPUTED_VALUE"""),"Practice Java by Building Projects")</f>
        <v>Practice Java by Building Projects</v>
      </c>
    </row>
    <row r="2860">
      <c r="A2860" s="140" t="str">
        <f>IFERROR(__xludf.DUMMYFUNCTION("""COMPUTED_VALUE"""),"pt")</f>
        <v>pt</v>
      </c>
      <c r="B2860">
        <f>IFERROR(__xludf.DUMMYFUNCTION("""COMPUTED_VALUE"""),2423594.0)</f>
        <v>2423594</v>
      </c>
      <c r="C2860" t="str">
        <f>IFERROR(__xludf.DUMMYFUNCTION("""COMPUTED_VALUE"""),"Estatística para Data Science e Análise de Negócios")</f>
        <v>Estatística para Data Science e Análise de Negócios</v>
      </c>
    </row>
    <row r="2861">
      <c r="A2861" s="140" t="str">
        <f>IFERROR(__xludf.DUMMYFUNCTION("""COMPUTED_VALUE"""),"en")</f>
        <v>en</v>
      </c>
      <c r="B2861">
        <f>IFERROR(__xludf.DUMMYFUNCTION("""COMPUTED_VALUE"""),1992186.0)</f>
        <v>1992186</v>
      </c>
      <c r="C2861" t="str">
        <f>IFERROR(__xludf.DUMMYFUNCTION("""COMPUTED_VALUE"""),"Complete Android 11 Jetpack Bootcamp(With Jetpack Compose)")</f>
        <v>Complete Android 11 Jetpack Bootcamp(With Jetpack Compose)</v>
      </c>
    </row>
    <row r="2862">
      <c r="A2862" s="140" t="str">
        <f>IFERROR(__xludf.DUMMYFUNCTION("""COMPUTED_VALUE"""),"en")</f>
        <v>en</v>
      </c>
      <c r="B2862">
        <f>IFERROR(__xludf.DUMMYFUNCTION("""COMPUTED_VALUE"""),2401184.0)</f>
        <v>2401184</v>
      </c>
      <c r="C2862" t="str">
        <f>IFERROR(__xludf.DUMMYFUNCTION("""COMPUTED_VALUE"""),"Azure Storage Security Guide")</f>
        <v>Azure Storage Security Guide</v>
      </c>
    </row>
    <row r="2863">
      <c r="A2863" s="140" t="str">
        <f>IFERROR(__xludf.DUMMYFUNCTION("""COMPUTED_VALUE"""),"en")</f>
        <v>en</v>
      </c>
      <c r="B2863">
        <f>IFERROR(__xludf.DUMMYFUNCTION("""COMPUTED_VALUE"""),2311262.0)</f>
        <v>2311262</v>
      </c>
      <c r="C2863" t="str">
        <f>IFERROR(__xludf.DUMMYFUNCTION("""COMPUTED_VALUE"""),"CISM Certification: FULL 150 question CISM practice test '22")</f>
        <v>CISM Certification: FULL 150 question CISM practice test '22</v>
      </c>
    </row>
    <row r="2864">
      <c r="A2864" s="140" t="str">
        <f>IFERROR(__xludf.DUMMYFUNCTION("""COMPUTED_VALUE"""),"en")</f>
        <v>en</v>
      </c>
      <c r="B2864">
        <f>IFERROR(__xludf.DUMMYFUNCTION("""COMPUTED_VALUE"""),1412368.0)</f>
        <v>1412368</v>
      </c>
      <c r="C2864" t="str">
        <f>IFERROR(__xludf.DUMMYFUNCTION("""COMPUTED_VALUE"""),"Train Your Brain: Practical Guide To Stimulate Your Neurons")</f>
        <v>Train Your Brain: Practical Guide To Stimulate Your Neurons</v>
      </c>
    </row>
    <row r="2865">
      <c r="A2865" s="140" t="str">
        <f>IFERROR(__xludf.DUMMYFUNCTION("""COMPUTED_VALUE"""),"en")</f>
        <v>en</v>
      </c>
      <c r="B2865">
        <f>IFERROR(__xludf.DUMMYFUNCTION("""COMPUTED_VALUE"""),2322246.0)</f>
        <v>2322246</v>
      </c>
      <c r="C2865" t="str">
        <f>IFERROR(__xludf.DUMMYFUNCTION("""COMPUTED_VALUE"""),"Scala Advanced, Part 3 - Functional Programming, Performance")</f>
        <v>Scala Advanced, Part 3 - Functional Programming, Performance</v>
      </c>
    </row>
    <row r="2866">
      <c r="A2866" s="140" t="str">
        <f>IFERROR(__xludf.DUMMYFUNCTION("""COMPUTED_VALUE"""),"tr")</f>
        <v>tr</v>
      </c>
      <c r="B2866">
        <f>IFERROR(__xludf.DUMMYFUNCTION("""COMPUTED_VALUE"""),3483620.0)</f>
        <v>3483620</v>
      </c>
      <c r="C2866" t="str">
        <f>IFERROR(__xludf.DUMMYFUNCTION("""COMPUTED_VALUE"""),"Primavera P6 ile Planlama, Maliyet, Proje kontrol")</f>
        <v>Primavera P6 ile Planlama, Maliyet, Proje kontrol</v>
      </c>
    </row>
    <row r="2867">
      <c r="A2867" s="140" t="str">
        <f>IFERROR(__xludf.DUMMYFUNCTION("""COMPUTED_VALUE"""),"en")</f>
        <v>en</v>
      </c>
      <c r="B2867">
        <f>IFERROR(__xludf.DUMMYFUNCTION("""COMPUTED_VALUE"""),1288246.0)</f>
        <v>1288246</v>
      </c>
      <c r="C2867" t="str">
        <f>IFERROR(__xludf.DUMMYFUNCTION("""COMPUTED_VALUE"""),"Intro to Cisco Firepower Threat Defense (FTD) Firewall")</f>
        <v>Intro to Cisco Firepower Threat Defense (FTD) Firewall</v>
      </c>
    </row>
    <row r="2868">
      <c r="A2868" s="140" t="str">
        <f>IFERROR(__xludf.DUMMYFUNCTION("""COMPUTED_VALUE"""),"en")</f>
        <v>en</v>
      </c>
      <c r="B2868">
        <f>IFERROR(__xludf.DUMMYFUNCTION("""COMPUTED_VALUE"""),1549562.0)</f>
        <v>1549562</v>
      </c>
      <c r="C2868" t="str">
        <f>IFERROR(__xludf.DUMMYFUNCTION("""COMPUTED_VALUE"""),"The ultimate real-life Office 365 productivity course")</f>
        <v>The ultimate real-life Office 365 productivity course</v>
      </c>
    </row>
    <row r="2869">
      <c r="A2869" s="140" t="str">
        <f>IFERROR(__xludf.DUMMYFUNCTION("""COMPUTED_VALUE"""),"en")</f>
        <v>en</v>
      </c>
      <c r="B2869">
        <f>IFERROR(__xludf.DUMMYFUNCTION("""COMPUTED_VALUE"""),1606068.0)</f>
        <v>1606068</v>
      </c>
      <c r="C2869" t="str">
        <f>IFERROR(__xludf.DUMMYFUNCTION("""COMPUTED_VALUE"""),"CBT Cognitive Behavioral Therapy (Human Mind Owner’s Manual)")</f>
        <v>CBT Cognitive Behavioral Therapy (Human Mind Owner’s Manual)</v>
      </c>
    </row>
    <row r="2870">
      <c r="A2870" s="140" t="str">
        <f>IFERROR(__xludf.DUMMYFUNCTION("""COMPUTED_VALUE"""),"ja")</f>
        <v>ja</v>
      </c>
      <c r="B2870">
        <f>IFERROR(__xludf.DUMMYFUNCTION("""COMPUTED_VALUE"""),4151330.0)</f>
        <v>4151330</v>
      </c>
      <c r="C2870" t="str">
        <f>IFERROR(__xludf.DUMMYFUNCTION("""COMPUTED_VALUE"""),"Unity2Dゲーム開発入門：Unityインストラクターが教えるツムツム風カジュアルパズルゲームを作成する方法")</f>
        <v>Unity2Dゲーム開発入門：Unityインストラクターが教えるツムツム風カジュアルパズルゲームを作成する方法</v>
      </c>
    </row>
    <row r="2871">
      <c r="A2871" s="140" t="str">
        <f>IFERROR(__xludf.DUMMYFUNCTION("""COMPUTED_VALUE"""),"en")</f>
        <v>en</v>
      </c>
      <c r="B2871">
        <f>IFERROR(__xludf.DUMMYFUNCTION("""COMPUTED_VALUE"""),3451948.0)</f>
        <v>3451948</v>
      </c>
      <c r="C2871" t="str">
        <f>IFERROR(__xludf.DUMMYFUNCTION("""COMPUTED_VALUE"""),"Deep Learning Course with Flutter &amp; Python - Build 6 AI Apps")</f>
        <v>Deep Learning Course with Flutter &amp; Python - Build 6 AI Apps</v>
      </c>
    </row>
    <row r="2872">
      <c r="A2872" s="140" t="str">
        <f>IFERROR(__xludf.DUMMYFUNCTION("""COMPUTED_VALUE"""),"en")</f>
        <v>en</v>
      </c>
      <c r="B2872">
        <f>IFERROR(__xludf.DUMMYFUNCTION("""COMPUTED_VALUE"""),500178.0)</f>
        <v>500178</v>
      </c>
      <c r="C2872" t="str">
        <f>IFERROR(__xludf.DUMMYFUNCTION("""COMPUTED_VALUE"""),"Fundamentals of Intelligent Sustainable Business")</f>
        <v>Fundamentals of Intelligent Sustainable Business</v>
      </c>
    </row>
    <row r="2873">
      <c r="A2873" s="140" t="str">
        <f>IFERROR(__xludf.DUMMYFUNCTION("""COMPUTED_VALUE"""),"tr")</f>
        <v>tr</v>
      </c>
      <c r="B2873">
        <f>IFERROR(__xludf.DUMMYFUNCTION("""COMPUTED_VALUE"""),2363988.0)</f>
        <v>2363988</v>
      </c>
      <c r="C2873" t="str">
        <f>IFERROR(__xludf.DUMMYFUNCTION("""COMPUTED_VALUE"""),"Adobe Premiere Pro CC Kapsamlı Eğitim Seti  / YouTube Kurgu")</f>
        <v>Adobe Premiere Pro CC Kapsamlı Eğitim Seti  / YouTube Kurgu</v>
      </c>
    </row>
    <row r="2874">
      <c r="A2874" s="140" t="str">
        <f>IFERROR(__xludf.DUMMYFUNCTION("""COMPUTED_VALUE"""),"en")</f>
        <v>en</v>
      </c>
      <c r="B2874">
        <f>IFERROR(__xludf.DUMMYFUNCTION("""COMPUTED_VALUE"""),3309182.0)</f>
        <v>3309182</v>
      </c>
      <c r="C2874" t="str">
        <f>IFERROR(__xludf.DUMMYFUNCTION("""COMPUTED_VALUE"""),"Advanced Typescript programming with NodeJs and Webpack")</f>
        <v>Advanced Typescript programming with NodeJs and Webpack</v>
      </c>
    </row>
    <row r="2875">
      <c r="A2875" s="140" t="str">
        <f>IFERROR(__xludf.DUMMYFUNCTION("""COMPUTED_VALUE"""),"fr")</f>
        <v>fr</v>
      </c>
      <c r="B2875">
        <f>IFERROR(__xludf.DUMMYFUNCTION("""COMPUTED_VALUE"""),3689556.0)</f>
        <v>3689556</v>
      </c>
      <c r="C2875" t="str">
        <f>IFERROR(__xludf.DUMMYFUNCTION("""COMPUTED_VALUE"""),"Résolution de problèmes – Le guide complet")</f>
        <v>Résolution de problèmes – Le guide complet</v>
      </c>
    </row>
    <row r="2876">
      <c r="A2876" s="140" t="str">
        <f>IFERROR(__xludf.DUMMYFUNCTION("""COMPUTED_VALUE"""),"en")</f>
        <v>en</v>
      </c>
      <c r="B2876">
        <f>IFERROR(__xludf.DUMMYFUNCTION("""COMPUTED_VALUE"""),2128424.0)</f>
        <v>2128424</v>
      </c>
      <c r="C2876" t="str">
        <f>IFERROR(__xludf.DUMMYFUNCTION("""COMPUTED_VALUE"""),"Better Virtual Meetings: How to Lead Effective Meetings")</f>
        <v>Better Virtual Meetings: How to Lead Effective Meetings</v>
      </c>
    </row>
    <row r="2877">
      <c r="A2877" s="140" t="str">
        <f>IFERROR(__xludf.DUMMYFUNCTION("""COMPUTED_VALUE"""),"de")</f>
        <v>de</v>
      </c>
      <c r="B2877">
        <f>IFERROR(__xludf.DUMMYFUNCTION("""COMPUTED_VALUE"""),268134.0)</f>
        <v>268134</v>
      </c>
      <c r="C2877" t="str">
        <f>IFERROR(__xludf.DUMMYFUNCTION("""COMPUTED_VALUE"""),"Java Programmieren für Anfänger - Der Ultimative Java Kurs")</f>
        <v>Java Programmieren für Anfänger - Der Ultimative Java Kurs</v>
      </c>
    </row>
    <row r="2878">
      <c r="A2878" s="140" t="str">
        <f>IFERROR(__xludf.DUMMYFUNCTION("""COMPUTED_VALUE"""),"es")</f>
        <v>es</v>
      </c>
      <c r="B2878">
        <f>IFERROR(__xludf.DUMMYFUNCTION("""COMPUTED_VALUE"""),4356178.0)</f>
        <v>4356178</v>
      </c>
      <c r="C2878" t="str">
        <f>IFERROR(__xludf.DUMMYFUNCTION("""COMPUTED_VALUE"""),"Inteligencia Emocional en el Trabajo: Aprende tus Emociones")</f>
        <v>Inteligencia Emocional en el Trabajo: Aprende tus Emociones</v>
      </c>
    </row>
    <row r="2879">
      <c r="A2879" s="140" t="str">
        <f>IFERROR(__xludf.DUMMYFUNCTION("""COMPUTED_VALUE"""),"en")</f>
        <v>en</v>
      </c>
      <c r="B2879">
        <f>IFERROR(__xludf.DUMMYFUNCTION("""COMPUTED_VALUE"""),3360162.0)</f>
        <v>3360162</v>
      </c>
      <c r="C2879" t="str">
        <f>IFERROR(__xludf.DUMMYFUNCTION("""COMPUTED_VALUE"""),"Complete Guide on RHCE-EX294 (RHEL8)-Unofficial")</f>
        <v>Complete Guide on RHCE-EX294 (RHEL8)-Unofficial</v>
      </c>
    </row>
    <row r="2880">
      <c r="A2880" s="140" t="str">
        <f>IFERROR(__xludf.DUMMYFUNCTION("""COMPUTED_VALUE"""),"ar")</f>
        <v>ar</v>
      </c>
      <c r="B2880">
        <f>IFERROR(__xludf.DUMMYFUNCTION("""COMPUTED_VALUE"""),2877664.0)</f>
        <v>2877664</v>
      </c>
      <c r="C2880" t="str">
        <f>IFERROR(__xludf.DUMMYFUNCTION("""COMPUTED_VALUE"""),"Project Management using Primavera P6")</f>
        <v>Project Management using Primavera P6</v>
      </c>
    </row>
    <row r="2881">
      <c r="A2881" s="140" t="str">
        <f>IFERROR(__xludf.DUMMYFUNCTION("""COMPUTED_VALUE"""),"de")</f>
        <v>de</v>
      </c>
      <c r="B2881">
        <f>IFERROR(__xludf.DUMMYFUNCTION("""COMPUTED_VALUE"""),2648276.0)</f>
        <v>2648276</v>
      </c>
      <c r="C2881" t="str">
        <f>IFERROR(__xludf.DUMMYFUNCTION("""COMPUTED_VALUE"""),"Linux Zertifizierung - Enterprise System Administration I")</f>
        <v>Linux Zertifizierung - Enterprise System Administration I</v>
      </c>
    </row>
    <row r="2882">
      <c r="A2882" s="140" t="str">
        <f>IFERROR(__xludf.DUMMYFUNCTION("""COMPUTED_VALUE"""),"pt")</f>
        <v>pt</v>
      </c>
      <c r="B2882">
        <f>IFERROR(__xludf.DUMMYFUNCTION("""COMPUTED_VALUE"""),2915828.0)</f>
        <v>2915828</v>
      </c>
      <c r="C2882" t="str">
        <f>IFERROR(__xludf.DUMMYFUNCTION("""COMPUTED_VALUE"""),"Como Desenvolver sua Autodisciplina")</f>
        <v>Como Desenvolver sua Autodisciplina</v>
      </c>
    </row>
    <row r="2883">
      <c r="A2883" s="140" t="str">
        <f>IFERROR(__xludf.DUMMYFUNCTION("""COMPUTED_VALUE"""),"es")</f>
        <v>es</v>
      </c>
      <c r="B2883">
        <f>IFERROR(__xludf.DUMMYFUNCTION("""COMPUTED_VALUE"""),625798.0)</f>
        <v>625798</v>
      </c>
      <c r="C2883" t="str">
        <f>IFERROR(__xludf.DUMMYFUNCTION("""COMPUTED_VALUE"""),"Curso de Linux: todo lo necesario para ser administrador")</f>
        <v>Curso de Linux: todo lo necesario para ser administrador</v>
      </c>
    </row>
    <row r="2884">
      <c r="A2884" s="140" t="str">
        <f>IFERROR(__xludf.DUMMYFUNCTION("""COMPUTED_VALUE"""),"es")</f>
        <v>es</v>
      </c>
      <c r="B2884">
        <f>IFERROR(__xludf.DUMMYFUNCTION("""COMPUTED_VALUE"""),920438.0)</f>
        <v>920438</v>
      </c>
      <c r="C2884" t="str">
        <f>IFERROR(__xludf.DUMMYFUNCTION("""COMPUTED_VALUE"""),"Asterisk con FreePBX, telefonía VoIP desde cero")</f>
        <v>Asterisk con FreePBX, telefonía VoIP desde cero</v>
      </c>
    </row>
    <row r="2885">
      <c r="A2885" s="140" t="str">
        <f>IFERROR(__xludf.DUMMYFUNCTION("""COMPUTED_VALUE"""),"en")</f>
        <v>en</v>
      </c>
      <c r="B2885">
        <f>IFERROR(__xludf.DUMMYFUNCTION("""COMPUTED_VALUE"""),1628818.0)</f>
        <v>1628818</v>
      </c>
      <c r="C2885" t="str">
        <f>IFERROR(__xludf.DUMMYFUNCTION("""COMPUTED_VALUE"""),"77-728 Microsoft Excel 2016 Expert Certification")</f>
        <v>77-728 Microsoft Excel 2016 Expert Certification</v>
      </c>
    </row>
    <row r="2886">
      <c r="A2886" s="140" t="str">
        <f>IFERROR(__xludf.DUMMYFUNCTION("""COMPUTED_VALUE"""),"en")</f>
        <v>en</v>
      </c>
      <c r="B2886">
        <f>IFERROR(__xludf.DUMMYFUNCTION("""COMPUTED_VALUE"""),2153352.0)</f>
        <v>2153352</v>
      </c>
      <c r="C2886" t="str">
        <f>IFERROR(__xludf.DUMMYFUNCTION("""COMPUTED_VALUE"""),"Moodle and H5P")</f>
        <v>Moodle and H5P</v>
      </c>
    </row>
    <row r="2887">
      <c r="A2887" s="140" t="str">
        <f>IFERROR(__xludf.DUMMYFUNCTION("""COMPUTED_VALUE"""),"pt")</f>
        <v>pt</v>
      </c>
      <c r="B2887">
        <f>IFERROR(__xludf.DUMMYFUNCTION("""COMPUTED_VALUE"""),3990774.0)</f>
        <v>3990774</v>
      </c>
      <c r="C2887" t="str">
        <f>IFERROR(__xludf.DUMMYFUNCTION("""COMPUTED_VALUE"""),"Contabilidade na Prática: Do Zero ao Mercado + 2 Sistemas")</f>
        <v>Contabilidade na Prática: Do Zero ao Mercado + 2 Sistemas</v>
      </c>
    </row>
    <row r="2888">
      <c r="A2888" s="140" t="str">
        <f>IFERROR(__xludf.DUMMYFUNCTION("""COMPUTED_VALUE"""),"en")</f>
        <v>en</v>
      </c>
      <c r="B2888">
        <f>IFERROR(__xludf.DUMMYFUNCTION("""COMPUTED_VALUE"""),308690.0)</f>
        <v>308690</v>
      </c>
      <c r="C2888" t="str">
        <f>IFERROR(__xludf.DUMMYFUNCTION("""COMPUTED_VALUE"""),"Forex Trading A-Z™ - With LIVE Examples of Forex Trading")</f>
        <v>Forex Trading A-Z™ - With LIVE Examples of Forex Trading</v>
      </c>
    </row>
    <row r="2889">
      <c r="A2889" s="140" t="str">
        <f>IFERROR(__xludf.DUMMYFUNCTION("""COMPUTED_VALUE"""),"es")</f>
        <v>es</v>
      </c>
      <c r="B2889">
        <f>IFERROR(__xludf.DUMMYFUNCTION("""COMPUTED_VALUE"""),976214.0)</f>
        <v>976214</v>
      </c>
      <c r="C2889" t="str">
        <f>IFERROR(__xludf.DUMMYFUNCTION("""COMPUTED_VALUE"""),"Curso de FlexBox desde 0")</f>
        <v>Curso de FlexBox desde 0</v>
      </c>
    </row>
    <row r="2890">
      <c r="A2890" s="140" t="str">
        <f>IFERROR(__xludf.DUMMYFUNCTION("""COMPUTED_VALUE"""),"en")</f>
        <v>en</v>
      </c>
      <c r="B2890">
        <f>IFERROR(__xludf.DUMMYFUNCTION("""COMPUTED_VALUE"""),2404506.0)</f>
        <v>2404506</v>
      </c>
      <c r="C2890" t="str">
        <f>IFERROR(__xludf.DUMMYFUNCTION("""COMPUTED_VALUE"""),"Learn Dynatrace Setup &amp; Full-Stack Monitoring with Demos")</f>
        <v>Learn Dynatrace Setup &amp; Full-Stack Monitoring with Demos</v>
      </c>
    </row>
    <row r="2891">
      <c r="A2891" s="140" t="str">
        <f>IFERROR(__xludf.DUMMYFUNCTION("""COMPUTED_VALUE"""),"es")</f>
        <v>es</v>
      </c>
      <c r="B2891">
        <f>IFERROR(__xludf.DUMMYFUNCTION("""COMPUTED_VALUE"""),3580213.0)</f>
        <v>3580213</v>
      </c>
      <c r="C2891" t="str">
        <f>IFERROR(__xludf.DUMMYFUNCTION("""COMPUTED_VALUE"""),"Fundamentos de Finanzas Empresariales")</f>
        <v>Fundamentos de Finanzas Empresariales</v>
      </c>
    </row>
    <row r="2892">
      <c r="A2892" s="140" t="str">
        <f>IFERROR(__xludf.DUMMYFUNCTION("""COMPUTED_VALUE"""),"en")</f>
        <v>en</v>
      </c>
      <c r="B2892">
        <f>IFERROR(__xludf.DUMMYFUNCTION("""COMPUTED_VALUE"""),1513950.0)</f>
        <v>1513950</v>
      </c>
      <c r="C2892" t="str">
        <f>IFERROR(__xludf.DUMMYFUNCTION("""COMPUTED_VALUE"""),"Artificial Intelligence IV - Reinforcement Learning in Java")</f>
        <v>Artificial Intelligence IV - Reinforcement Learning in Java</v>
      </c>
    </row>
    <row r="2893">
      <c r="A2893" s="140" t="str">
        <f>IFERROR(__xludf.DUMMYFUNCTION("""COMPUTED_VALUE"""),"pt")</f>
        <v>pt</v>
      </c>
      <c r="B2893">
        <f>IFERROR(__xludf.DUMMYFUNCTION("""COMPUTED_VALUE"""),1867214.0)</f>
        <v>1867214</v>
      </c>
      <c r="C2893" t="str">
        <f>IFERROR(__xludf.DUMMYFUNCTION("""COMPUTED_VALUE"""),"Python 3 - Curso Completo do Básico ao Avançado")</f>
        <v>Python 3 - Curso Completo do Básico ao Avançado</v>
      </c>
    </row>
    <row r="2894">
      <c r="A2894" s="140" t="str">
        <f>IFERROR(__xludf.DUMMYFUNCTION("""COMPUTED_VALUE"""),"tr")</f>
        <v>tr</v>
      </c>
      <c r="B2894">
        <f>IFERROR(__xludf.DUMMYFUNCTION("""COMPUTED_VALUE"""),2507290.0)</f>
        <v>2507290</v>
      </c>
      <c r="C2894" t="str">
        <f>IFERROR(__xludf.DUMMYFUNCTION("""COMPUTED_VALUE"""),"Primavera P6 ve Excel ile Planlama ve Bütçe Analizi Eğitimi")</f>
        <v>Primavera P6 ve Excel ile Planlama ve Bütçe Analizi Eğitimi</v>
      </c>
    </row>
    <row r="2895">
      <c r="A2895" s="140" t="str">
        <f>IFERROR(__xludf.DUMMYFUNCTION("""COMPUTED_VALUE"""),"en")</f>
        <v>en</v>
      </c>
      <c r="B2895">
        <f>IFERROR(__xludf.DUMMYFUNCTION("""COMPUTED_VALUE"""),1302896.0)</f>
        <v>1302896</v>
      </c>
      <c r="C2895" t="str">
        <f>IFERROR(__xludf.DUMMYFUNCTION("""COMPUTED_VALUE"""),"TOTAL: CompTIA IT Fundamentals ITF+ (FCO-U61).")</f>
        <v>TOTAL: CompTIA IT Fundamentals ITF+ (FCO-U61).</v>
      </c>
    </row>
    <row r="2896">
      <c r="A2896" s="140" t="str">
        <f>IFERROR(__xludf.DUMMYFUNCTION("""COMPUTED_VALUE"""),"en")</f>
        <v>en</v>
      </c>
      <c r="B2896">
        <f>IFERROR(__xludf.DUMMYFUNCTION("""COMPUTED_VALUE"""),1407900.0)</f>
        <v>1407900</v>
      </c>
      <c r="C2896" t="str">
        <f>IFERROR(__xludf.DUMMYFUNCTION("""COMPUTED_VALUE"""),"Docker - SWARM - Hands-on - DevOps")</f>
        <v>Docker - SWARM - Hands-on - DevOps</v>
      </c>
    </row>
    <row r="2897">
      <c r="A2897" s="140" t="str">
        <f>IFERROR(__xludf.DUMMYFUNCTION("""COMPUTED_VALUE"""),"en")</f>
        <v>en</v>
      </c>
      <c r="B2897">
        <f>IFERROR(__xludf.DUMMYFUNCTION("""COMPUTED_VALUE"""),688088.0)</f>
        <v>688088</v>
      </c>
      <c r="C2897" t="str">
        <f>IFERROR(__xludf.DUMMYFUNCTION("""COMPUTED_VALUE"""),"Artist Management for the Music Business")</f>
        <v>Artist Management for the Music Business</v>
      </c>
    </row>
    <row r="2898">
      <c r="A2898" s="140" t="str">
        <f>IFERROR(__xludf.DUMMYFUNCTION("""COMPUTED_VALUE"""),"es")</f>
        <v>es</v>
      </c>
      <c r="B2898">
        <f>IFERROR(__xludf.DUMMYFUNCTION("""COMPUTED_VALUE"""),4282934.0)</f>
        <v>4282934</v>
      </c>
      <c r="C2898" t="str">
        <f>IFERROR(__xludf.DUMMYFUNCTION("""COMPUTED_VALUE"""),"Creá tu propio plan de formación profesional")</f>
        <v>Creá tu propio plan de formación profesional</v>
      </c>
    </row>
    <row r="2899">
      <c r="A2899" s="140" t="str">
        <f>IFERROR(__xludf.DUMMYFUNCTION("""COMPUTED_VALUE"""),"en")</f>
        <v>en</v>
      </c>
      <c r="B2899">
        <f>IFERROR(__xludf.DUMMYFUNCTION("""COMPUTED_VALUE"""),1699776.0)</f>
        <v>1699776</v>
      </c>
      <c r="C2899" t="str">
        <f>IFERROR(__xludf.DUMMYFUNCTION("""COMPUTED_VALUE"""),"Advanced Algorithms in Java")</f>
        <v>Advanced Algorithms in Java</v>
      </c>
    </row>
    <row r="2900">
      <c r="A2900" s="140" t="str">
        <f>IFERROR(__xludf.DUMMYFUNCTION("""COMPUTED_VALUE"""),"ko")</f>
        <v>ko</v>
      </c>
      <c r="B2900">
        <f>IFERROR(__xludf.DUMMYFUNCTION("""COMPUTED_VALUE"""),4311944.0)</f>
        <v>4311944</v>
      </c>
      <c r="C2900" t="str">
        <f>IFERROR(__xludf.DUMMYFUNCTION("""COMPUTED_VALUE"""),"R tidyverse 마스터 클래스")</f>
        <v>R tidyverse 마스터 클래스</v>
      </c>
    </row>
    <row r="2901">
      <c r="A2901" s="140" t="str">
        <f>IFERROR(__xludf.DUMMYFUNCTION("""COMPUTED_VALUE"""),"pt")</f>
        <v>pt</v>
      </c>
      <c r="B2901">
        <f>IFERROR(__xludf.DUMMYFUNCTION("""COMPUTED_VALUE"""),3612638.0)</f>
        <v>3612638</v>
      </c>
      <c r="C2901" t="str">
        <f>IFERROR(__xludf.DUMMYFUNCTION("""COMPUTED_VALUE"""),"AWS na prática")</f>
        <v>AWS na prática</v>
      </c>
    </row>
    <row r="2902">
      <c r="A2902" s="140" t="str">
        <f>IFERROR(__xludf.DUMMYFUNCTION("""COMPUTED_VALUE"""),"en")</f>
        <v>en</v>
      </c>
      <c r="B2902">
        <f>IFERROR(__xludf.DUMMYFUNCTION("""COMPUTED_VALUE"""),962534.0)</f>
        <v>962534</v>
      </c>
      <c r="C2902" t="str">
        <f>IFERROR(__xludf.DUMMYFUNCTION("""COMPUTED_VALUE"""),"Coding Kids: Let's Make Games!")</f>
        <v>Coding Kids: Let's Make Games!</v>
      </c>
    </row>
    <row r="2903">
      <c r="A2903" s="140" t="str">
        <f>IFERROR(__xludf.DUMMYFUNCTION("""COMPUTED_VALUE"""),"en")</f>
        <v>en</v>
      </c>
      <c r="B2903">
        <f>IFERROR(__xludf.DUMMYFUNCTION("""COMPUTED_VALUE"""),1155516.0)</f>
        <v>1155516</v>
      </c>
      <c r="C2903" t="str">
        <f>IFERROR(__xludf.DUMMYFUNCTION("""COMPUTED_VALUE"""),"C# and Windows Forms Exercises for Beginners (step by step)")</f>
        <v>C# and Windows Forms Exercises for Beginners (step by step)</v>
      </c>
    </row>
    <row r="2904">
      <c r="A2904" s="140" t="str">
        <f>IFERROR(__xludf.DUMMYFUNCTION("""COMPUTED_VALUE"""),"ja")</f>
        <v>ja</v>
      </c>
      <c r="B2904">
        <f>IFERROR(__xludf.DUMMYFUNCTION("""COMPUTED_VALUE"""),3496904.0)</f>
        <v>3496904</v>
      </c>
      <c r="C2904" t="str">
        <f>IFERROR(__xludf.DUMMYFUNCTION("""COMPUTED_VALUE"""),"ITリテラシーをつけたいけれど、何から始めていいのかわからない人のためのIT超入門講座")</f>
        <v>ITリテラシーをつけたいけれど、何から始めていいのかわからない人のためのIT超入門講座</v>
      </c>
    </row>
    <row r="2905">
      <c r="A2905" s="140" t="str">
        <f>IFERROR(__xludf.DUMMYFUNCTION("""COMPUTED_VALUE"""),"de")</f>
        <v>de</v>
      </c>
      <c r="B2905">
        <f>IFERROR(__xludf.DUMMYFUNCTION("""COMPUTED_VALUE"""),1077838.0)</f>
        <v>1077838</v>
      </c>
      <c r="C2905" t="str">
        <f>IFERROR(__xludf.DUMMYFUNCTION("""COMPUTED_VALUE"""),"Modernes JavaScript (ES6): jQuery, node.js, und viel Praxis!")</f>
        <v>Modernes JavaScript (ES6): jQuery, node.js, und viel Praxis!</v>
      </c>
    </row>
    <row r="2906">
      <c r="A2906" s="140" t="str">
        <f>IFERROR(__xludf.DUMMYFUNCTION("""COMPUTED_VALUE"""),"en")</f>
        <v>en</v>
      </c>
      <c r="B2906">
        <f>IFERROR(__xludf.DUMMYFUNCTION("""COMPUTED_VALUE"""),2522890.0)</f>
        <v>2522890</v>
      </c>
      <c r="C2906" t="str">
        <f>IFERROR(__xludf.DUMMYFUNCTION("""COMPUTED_VALUE"""),"Docker in AWS - Deploy Java Spring Boot to AWS Fargate &amp; ECS")</f>
        <v>Docker in AWS - Deploy Java Spring Boot to AWS Fargate &amp; ECS</v>
      </c>
    </row>
    <row r="2907">
      <c r="A2907" s="140" t="str">
        <f>IFERROR(__xludf.DUMMYFUNCTION("""COMPUTED_VALUE"""),"en")</f>
        <v>en</v>
      </c>
      <c r="B2907">
        <f>IFERROR(__xludf.DUMMYFUNCTION("""COMPUTED_VALUE"""),585496.0)</f>
        <v>585496</v>
      </c>
      <c r="C2907" t="str">
        <f>IFERROR(__xludf.DUMMYFUNCTION("""COMPUTED_VALUE"""),"Ultimate AngularJS: Build a Real-World App from Scratch")</f>
        <v>Ultimate AngularJS: Build a Real-World App from Scratch</v>
      </c>
    </row>
    <row r="2908">
      <c r="A2908" s="140" t="str">
        <f>IFERROR(__xludf.DUMMYFUNCTION("""COMPUTED_VALUE"""),"es")</f>
        <v>es</v>
      </c>
      <c r="B2908">
        <f>IFERROR(__xludf.DUMMYFUNCTION("""COMPUTED_VALUE"""),2381242.0)</f>
        <v>2381242</v>
      </c>
      <c r="C2908" t="str">
        <f>IFERROR(__xludf.DUMMYFUNCTION("""COMPUTED_VALUE"""),"Crea sistemas de ventas por suscripción y MLM con PHP-PayPal")</f>
        <v>Crea sistemas de ventas por suscripción y MLM con PHP-PayPal</v>
      </c>
    </row>
    <row r="2909">
      <c r="A2909" s="140" t="str">
        <f>IFERROR(__xludf.DUMMYFUNCTION("""COMPUTED_VALUE"""),"pt")</f>
        <v>pt</v>
      </c>
      <c r="B2909">
        <f>IFERROR(__xludf.DUMMYFUNCTION("""COMPUTED_VALUE"""),1448230.0)</f>
        <v>1448230</v>
      </c>
      <c r="C2909" t="str">
        <f>IFERROR(__xludf.DUMMYFUNCTION("""COMPUTED_VALUE"""),"Excelência em Gestão da Qualidade e Metodologia Lean 6 Sigma")</f>
        <v>Excelência em Gestão da Qualidade e Metodologia Lean 6 Sigma</v>
      </c>
    </row>
    <row r="2910">
      <c r="A2910" s="140" t="str">
        <f>IFERROR(__xludf.DUMMYFUNCTION("""COMPUTED_VALUE"""),"en")</f>
        <v>en</v>
      </c>
      <c r="B2910">
        <f>IFERROR(__xludf.DUMMYFUNCTION("""COMPUTED_VALUE"""),475250.0)</f>
        <v>475250</v>
      </c>
      <c r="C2910" t="str">
        <f>IFERROR(__xludf.DUMMYFUNCTION("""COMPUTED_VALUE"""),"SAP : Supply Chain Logistics in R/3")</f>
        <v>SAP : Supply Chain Logistics in R/3</v>
      </c>
    </row>
    <row r="2911">
      <c r="A2911" s="140" t="str">
        <f>IFERROR(__xludf.DUMMYFUNCTION("""COMPUTED_VALUE"""),"en")</f>
        <v>en</v>
      </c>
      <c r="B2911">
        <f>IFERROR(__xludf.DUMMYFUNCTION("""COMPUTED_VALUE"""),313360.0)</f>
        <v>313360</v>
      </c>
      <c r="C2911" t="str">
        <f>IFERROR(__xludf.DUMMYFUNCTION("""COMPUTED_VALUE"""),"ClickBank Success – Affiliate Marketing Without A Website")</f>
        <v>ClickBank Success – Affiliate Marketing Without A Website</v>
      </c>
    </row>
    <row r="2912">
      <c r="A2912" s="140" t="str">
        <f>IFERROR(__xludf.DUMMYFUNCTION("""COMPUTED_VALUE"""),"ja")</f>
        <v>ja</v>
      </c>
      <c r="B2912">
        <f>IFERROR(__xludf.DUMMYFUNCTION("""COMPUTED_VALUE"""),2901950.0)</f>
        <v>2901950</v>
      </c>
      <c r="C2912" t="str">
        <f>IFERROR(__xludf.DUMMYFUNCTION("""COMPUTED_VALUE"""),"ITパスポート最速合格コース ～効率的な学習で0から合格まで～")</f>
        <v>ITパスポート最速合格コース ～効率的な学習で0から合格まで～</v>
      </c>
    </row>
    <row r="2913">
      <c r="A2913" s="140" t="str">
        <f>IFERROR(__xludf.DUMMYFUNCTION("""COMPUTED_VALUE"""),"es")</f>
        <v>es</v>
      </c>
      <c r="B2913">
        <f>IFERROR(__xludf.DUMMYFUNCTION("""COMPUTED_VALUE"""),3448068.0)</f>
        <v>3448068</v>
      </c>
      <c r="C2913" t="str">
        <f>IFERROR(__xludf.DUMMYFUNCTION("""COMPUTED_VALUE"""),"Coreano Basico 1 (TOPIK 1.1) Aprende coreano con Mitoyo")</f>
        <v>Coreano Basico 1 (TOPIK 1.1) Aprende coreano con Mitoyo</v>
      </c>
    </row>
    <row r="2914">
      <c r="A2914" s="140" t="str">
        <f>IFERROR(__xludf.DUMMYFUNCTION("""COMPUTED_VALUE"""),"ko")</f>
        <v>ko</v>
      </c>
      <c r="B2914">
        <f>IFERROR(__xludf.DUMMYFUNCTION("""COMPUTED_VALUE"""),4267764.0)</f>
        <v>4267764</v>
      </c>
      <c r="C2914" t="str">
        <f>IFERROR(__xludf.DUMMYFUNCTION("""COMPUTED_VALUE"""),"해시태그로 기억하는 키워드 독문법 1단계 : 명사편 (독일어)")</f>
        <v>해시태그로 기억하는 키워드 독문법 1단계 : 명사편 (독일어)</v>
      </c>
    </row>
    <row r="2915">
      <c r="A2915" s="140" t="str">
        <f>IFERROR(__xludf.DUMMYFUNCTION("""COMPUTED_VALUE"""),"en")</f>
        <v>en</v>
      </c>
      <c r="B2915">
        <f>IFERROR(__xludf.DUMMYFUNCTION("""COMPUTED_VALUE"""),3749952.0)</f>
        <v>3749952</v>
      </c>
      <c r="C2915" t="str">
        <f>IFERROR(__xludf.DUMMYFUNCTION("""COMPUTED_VALUE"""),"Working with React and Go (Golang)")</f>
        <v>Working with React and Go (Golang)</v>
      </c>
    </row>
    <row r="2916">
      <c r="A2916" s="140" t="str">
        <f>IFERROR(__xludf.DUMMYFUNCTION("""COMPUTED_VALUE"""),"en")</f>
        <v>en</v>
      </c>
      <c r="B2916">
        <f>IFERROR(__xludf.DUMMYFUNCTION("""COMPUTED_VALUE"""),912902.0)</f>
        <v>912902</v>
      </c>
      <c r="C2916" t="str">
        <f>IFERROR(__xludf.DUMMYFUNCTION("""COMPUTED_VALUE"""),"Six Sigma: Certified Lean Six Sigma White Belt (Accredited)")</f>
        <v>Six Sigma: Certified Lean Six Sigma White Belt (Accredited)</v>
      </c>
    </row>
    <row r="2917">
      <c r="A2917" s="140" t="str">
        <f>IFERROR(__xludf.DUMMYFUNCTION("""COMPUTED_VALUE"""),"fr")</f>
        <v>fr</v>
      </c>
      <c r="B2917">
        <f>IFERROR(__xludf.DUMMYFUNCTION("""COMPUTED_VALUE"""),2909750.0)</f>
        <v>2909750</v>
      </c>
      <c r="C2917" t="str">
        <f>IFERROR(__xludf.DUMMYFUNCTION("""COMPUTED_VALUE"""),"Hacking Éthique : Metasploit &amp; Exploits Zero-days")</f>
        <v>Hacking Éthique : Metasploit &amp; Exploits Zero-days</v>
      </c>
    </row>
    <row r="2918">
      <c r="A2918" s="140" t="str">
        <f>IFERROR(__xludf.DUMMYFUNCTION("""COMPUTED_VALUE"""),"tr")</f>
        <v>tr</v>
      </c>
      <c r="B2918">
        <f>IFERROR(__xludf.DUMMYFUNCTION("""COMPUTED_VALUE"""),1708752.0)</f>
        <v>1708752</v>
      </c>
      <c r="C2918" t="str">
        <f>IFERROR(__xludf.DUMMYFUNCTION("""COMPUTED_VALUE"""),"Tableau İle Uygulamalı  Veri Analizi &amp; Veri Görselleştirme")</f>
        <v>Tableau İle Uygulamalı  Veri Analizi &amp; Veri Görselleştirme</v>
      </c>
    </row>
    <row r="2919">
      <c r="A2919" s="140" t="str">
        <f>IFERROR(__xludf.DUMMYFUNCTION("""COMPUTED_VALUE"""),"en")</f>
        <v>en</v>
      </c>
      <c r="B2919">
        <f>IFERROR(__xludf.DUMMYFUNCTION("""COMPUTED_VALUE"""),1347834.0)</f>
        <v>1347834</v>
      </c>
      <c r="C2919" t="str">
        <f>IFERROR(__xludf.DUMMYFUNCTION("""COMPUTED_VALUE"""),"Practical Hands-on Guide for Alexa Skill Development (2020)")</f>
        <v>Practical Hands-on Guide for Alexa Skill Development (2020)</v>
      </c>
    </row>
    <row r="2920">
      <c r="A2920" s="140" t="str">
        <f>IFERROR(__xludf.DUMMYFUNCTION("""COMPUTED_VALUE"""),"ja")</f>
        <v>ja</v>
      </c>
      <c r="B2920">
        <f>IFERROR(__xludf.DUMMYFUNCTION("""COMPUTED_VALUE"""),2702356.0)</f>
        <v>2702356</v>
      </c>
      <c r="C2920" t="str">
        <f>IFERROR(__xludf.DUMMYFUNCTION("""COMPUTED_VALUE"""),"最短・最速で学ぶ React Hooks 完全ガイド！ 現場で使えるReact開発+ステート管理をマスターしよう！")</f>
        <v>最短・最速で学ぶ React Hooks 完全ガイド！ 現場で使えるReact開発+ステート管理をマスターしよう！</v>
      </c>
    </row>
    <row r="2921">
      <c r="A2921" s="140" t="str">
        <f>IFERROR(__xludf.DUMMYFUNCTION("""COMPUTED_VALUE"""),"en")</f>
        <v>en</v>
      </c>
      <c r="B2921">
        <f>IFERROR(__xludf.DUMMYFUNCTION("""COMPUTED_VALUE"""),1490828.0)</f>
        <v>1490828</v>
      </c>
      <c r="C2921" t="str">
        <f>IFERROR(__xludf.DUMMYFUNCTION("""COMPUTED_VALUE"""),"MikroTik RouterOS Hardening LABS")</f>
        <v>MikroTik RouterOS Hardening LABS</v>
      </c>
    </row>
    <row r="2922">
      <c r="A2922" s="140" t="str">
        <f>IFERROR(__xludf.DUMMYFUNCTION("""COMPUTED_VALUE"""),"de")</f>
        <v>de</v>
      </c>
      <c r="B2922">
        <f>IFERROR(__xludf.DUMMYFUNCTION("""COMPUTED_VALUE"""),3641368.0)</f>
        <v>3641368</v>
      </c>
      <c r="C2922" t="str">
        <f>IFERROR(__xludf.DUMMYFUNCTION("""COMPUTED_VALUE"""),"Die Gewinner-Formel - Erreiche 2022 deine Ziele mit NLP")</f>
        <v>Die Gewinner-Formel - Erreiche 2022 deine Ziele mit NLP</v>
      </c>
    </row>
    <row r="2923">
      <c r="A2923" s="140" t="str">
        <f>IFERROR(__xludf.DUMMYFUNCTION("""COMPUTED_VALUE"""),"en")</f>
        <v>en</v>
      </c>
      <c r="B2923">
        <f>IFERROR(__xludf.DUMMYFUNCTION("""COMPUTED_VALUE"""),505516.0)</f>
        <v>505516</v>
      </c>
      <c r="C2923" t="str">
        <f>IFERROR(__xludf.DUMMYFUNCTION("""COMPUTED_VALUE"""),"SharePoint 2013: Site Manager")</f>
        <v>SharePoint 2013: Site Manager</v>
      </c>
    </row>
    <row r="2924">
      <c r="A2924" s="140" t="str">
        <f>IFERROR(__xludf.DUMMYFUNCTION("""COMPUTED_VALUE"""),"en")</f>
        <v>en</v>
      </c>
      <c r="B2924">
        <f>IFERROR(__xludf.DUMMYFUNCTION("""COMPUTED_VALUE"""),3253648.0)</f>
        <v>3253648</v>
      </c>
      <c r="C2924" t="str">
        <f>IFERROR(__xludf.DUMMYFUNCTION("""COMPUTED_VALUE"""),"Creating Python APIs Like a BOSS - The Django REST Framework")</f>
        <v>Creating Python APIs Like a BOSS - The Django REST Framework</v>
      </c>
    </row>
    <row r="2925">
      <c r="A2925" s="140" t="str">
        <f>IFERROR(__xludf.DUMMYFUNCTION("""COMPUTED_VALUE"""),"de")</f>
        <v>de</v>
      </c>
      <c r="B2925">
        <f>IFERROR(__xludf.DUMMYFUNCTION("""COMPUTED_VALUE"""),1716870.0)</f>
        <v>1716870</v>
      </c>
      <c r="C2925" t="str">
        <f>IFERROR(__xludf.DUMMYFUNCTION("""COMPUTED_VALUE"""),"Leitfaden für Beratung, Kommunikation und Gesprächsführung")</f>
        <v>Leitfaden für Beratung, Kommunikation und Gesprächsführung</v>
      </c>
    </row>
    <row r="2926">
      <c r="A2926" s="140" t="str">
        <f>IFERROR(__xludf.DUMMYFUNCTION("""COMPUTED_VALUE"""),"pt")</f>
        <v>pt</v>
      </c>
      <c r="B2926">
        <f>IFERROR(__xludf.DUMMYFUNCTION("""COMPUTED_VALUE"""),1309058.0)</f>
        <v>1309058</v>
      </c>
      <c r="C2926" t="str">
        <f>IFERROR(__xludf.DUMMYFUNCTION("""COMPUTED_VALUE"""),"Programação Shell Script - Automatizando Rotinas no Linux")</f>
        <v>Programação Shell Script - Automatizando Rotinas no Linux</v>
      </c>
    </row>
    <row r="2927">
      <c r="A2927" s="140" t="str">
        <f>IFERROR(__xludf.DUMMYFUNCTION("""COMPUTED_VALUE"""),"en")</f>
        <v>en</v>
      </c>
      <c r="B2927">
        <f>IFERROR(__xludf.DUMMYFUNCTION("""COMPUTED_VALUE"""),1023554.0)</f>
        <v>1023554</v>
      </c>
      <c r="C2927" t="str">
        <f>IFERROR(__xludf.DUMMYFUNCTION("""COMPUTED_VALUE"""),"Learn Korean for Beginners: The Ultimate 100-Lesson Course")</f>
        <v>Learn Korean for Beginners: The Ultimate 100-Lesson Course</v>
      </c>
    </row>
    <row r="2928">
      <c r="A2928" s="140" t="str">
        <f>IFERROR(__xludf.DUMMYFUNCTION("""COMPUTED_VALUE"""),"ja")</f>
        <v>ja</v>
      </c>
      <c r="B2928">
        <f>IFERROR(__xludf.DUMMYFUNCTION("""COMPUTED_VALUE"""),2230432.0)</f>
        <v>2230432</v>
      </c>
      <c r="C2928" t="str">
        <f>IFERROR(__xludf.DUMMYFUNCTION("""COMPUTED_VALUE"""),"【YOLO v3で実践】ディープラーニングによる物体検出入門")</f>
        <v>【YOLO v3で実践】ディープラーニングによる物体検出入門</v>
      </c>
    </row>
    <row r="2929">
      <c r="A2929" s="140" t="str">
        <f>IFERROR(__xludf.DUMMYFUNCTION("""COMPUTED_VALUE"""),"en")</f>
        <v>en</v>
      </c>
      <c r="B2929">
        <f>IFERROR(__xludf.DUMMYFUNCTION("""COMPUTED_VALUE"""),3792262.0)</f>
        <v>3792262</v>
      </c>
      <c r="C2929" t="str">
        <f>IFERROR(__xludf.DUMMYFUNCTION("""COMPUTED_VALUE"""),"The Git &amp; Github Bootcamp")</f>
        <v>The Git &amp; Github Bootcamp</v>
      </c>
    </row>
    <row r="2930">
      <c r="A2930" s="140" t="str">
        <f>IFERROR(__xludf.DUMMYFUNCTION("""COMPUTED_VALUE"""),"pt")</f>
        <v>pt</v>
      </c>
      <c r="B2930">
        <f>IFERROR(__xludf.DUMMYFUNCTION("""COMPUTED_VALUE"""),1332238.0)</f>
        <v>1332238</v>
      </c>
      <c r="C2930" t="str">
        <f>IFERROR(__xludf.DUMMYFUNCTION("""COMPUTED_VALUE"""),"Marketing Digital COMPLETO 2021")</f>
        <v>Marketing Digital COMPLETO 2021</v>
      </c>
    </row>
    <row r="2931">
      <c r="A2931" s="140" t="str">
        <f>IFERROR(__xludf.DUMMYFUNCTION("""COMPUTED_VALUE"""),"en")</f>
        <v>en</v>
      </c>
      <c r="B2931">
        <f>IFERROR(__xludf.DUMMYFUNCTION("""COMPUTED_VALUE"""),2640372.0)</f>
        <v>2640372</v>
      </c>
      <c r="C2931" t="str">
        <f>IFERROR(__xludf.DUMMYFUNCTION("""COMPUTED_VALUE"""),"React, NodeJS, Express &amp; MongoDB - The MERN Fullstack Guide")</f>
        <v>React, NodeJS, Express &amp; MongoDB - The MERN Fullstack Guide</v>
      </c>
    </row>
    <row r="2932">
      <c r="A2932" s="140" t="str">
        <f>IFERROR(__xludf.DUMMYFUNCTION("""COMPUTED_VALUE"""),"en")</f>
        <v>en</v>
      </c>
      <c r="B2932">
        <f>IFERROR(__xludf.DUMMYFUNCTION("""COMPUTED_VALUE"""),2260646.0)</f>
        <v>2260646</v>
      </c>
      <c r="C2932" t="str">
        <f>IFERROR(__xludf.DUMMYFUNCTION("""COMPUTED_VALUE"""),"API testing with RestSharp and Specflow in C#")</f>
        <v>API testing with RestSharp and Specflow in C#</v>
      </c>
    </row>
    <row r="2933">
      <c r="A2933" s="140" t="str">
        <f>IFERROR(__xludf.DUMMYFUNCTION("""COMPUTED_VALUE"""),"en")</f>
        <v>en</v>
      </c>
      <c r="B2933">
        <f>IFERROR(__xludf.DUMMYFUNCTION("""COMPUTED_VALUE"""),1904314.0)</f>
        <v>1904314</v>
      </c>
      <c r="C2933" t="str">
        <f>IFERROR(__xludf.DUMMYFUNCTION("""COMPUTED_VALUE"""),"Certified Minitab Expert: Hypothesis Testing (Accredited)")</f>
        <v>Certified Minitab Expert: Hypothesis Testing (Accredited)</v>
      </c>
    </row>
    <row r="2934">
      <c r="A2934" s="140" t="str">
        <f>IFERROR(__xludf.DUMMYFUNCTION("""COMPUTED_VALUE"""),"en")</f>
        <v>en</v>
      </c>
      <c r="B2934">
        <f>IFERROR(__xludf.DUMMYFUNCTION("""COMPUTED_VALUE"""),1585444.0)</f>
        <v>1585444</v>
      </c>
      <c r="C2934" t="str">
        <f>IFERROR(__xludf.DUMMYFUNCTION("""COMPUTED_VALUE"""),"Complete Linux Bash Shell Scripting with Real Life Examples")</f>
        <v>Complete Linux Bash Shell Scripting with Real Life Examples</v>
      </c>
    </row>
    <row r="2935">
      <c r="A2935" s="140" t="str">
        <f>IFERROR(__xludf.DUMMYFUNCTION("""COMPUTED_VALUE"""),"en")</f>
        <v>en</v>
      </c>
      <c r="B2935">
        <f>IFERROR(__xludf.DUMMYFUNCTION("""COMPUTED_VALUE"""),693698.0)</f>
        <v>693698</v>
      </c>
      <c r="C2935" t="str">
        <f>IFERROR(__xludf.DUMMYFUNCTION("""COMPUTED_VALUE"""),"Salesforce Platform App Builder Certification Course")</f>
        <v>Salesforce Platform App Builder Certification Course</v>
      </c>
    </row>
    <row r="2936">
      <c r="A2936" s="140" t="str">
        <f>IFERROR(__xludf.DUMMYFUNCTION("""COMPUTED_VALUE"""),"es")</f>
        <v>es</v>
      </c>
      <c r="B2936">
        <f>IFERROR(__xludf.DUMMYFUNCTION("""COMPUTED_VALUE"""),1685132.0)</f>
        <v>1685132</v>
      </c>
      <c r="C2936" t="str">
        <f>IFERROR(__xludf.DUMMYFUNCTION("""COMPUTED_VALUE"""),"Gestion de Proyectos: Haz tu plan de proyectos en 1hora")</f>
        <v>Gestion de Proyectos: Haz tu plan de proyectos en 1hora</v>
      </c>
    </row>
    <row r="2937">
      <c r="A2937" s="140" t="str">
        <f>IFERROR(__xludf.DUMMYFUNCTION("""COMPUTED_VALUE"""),"en")</f>
        <v>en</v>
      </c>
      <c r="B2937">
        <f>IFERROR(__xludf.DUMMYFUNCTION("""COMPUTED_VALUE"""),3346024.0)</f>
        <v>3346024</v>
      </c>
      <c r="C2937" t="str">
        <f>IFERROR(__xludf.DUMMYFUNCTION("""COMPUTED_VALUE"""),"SAP Activate Project Manager Masterclass (on c_activate_13)")</f>
        <v>SAP Activate Project Manager Masterclass (on c_activate_13)</v>
      </c>
    </row>
    <row r="2938">
      <c r="A2938" s="140" t="str">
        <f>IFERROR(__xludf.DUMMYFUNCTION("""COMPUTED_VALUE"""),"en")</f>
        <v>en</v>
      </c>
      <c r="B2938">
        <f>IFERROR(__xludf.DUMMYFUNCTION("""COMPUTED_VALUE"""),1663160.0)</f>
        <v>1663160</v>
      </c>
      <c r="C2938" t="str">
        <f>IFERROR(__xludf.DUMMYFUNCTION("""COMPUTED_VALUE"""),"Ethical Hacking with Metasploit: Exploit &amp; Post Exploit")</f>
        <v>Ethical Hacking with Metasploit: Exploit &amp; Post Exploit</v>
      </c>
    </row>
    <row r="2939">
      <c r="A2939" s="140" t="str">
        <f>IFERROR(__xludf.DUMMYFUNCTION("""COMPUTED_VALUE"""),"es")</f>
        <v>es</v>
      </c>
      <c r="B2939">
        <f>IFERROR(__xludf.DUMMYFUNCTION("""COMPUTED_VALUE"""),23864.0)</f>
        <v>23864</v>
      </c>
      <c r="C2939" t="str">
        <f>IFERROR(__xludf.DUMMYFUNCTION("""COMPUTED_VALUE"""),"Aprende Javascript, HTML5 y CSS3")</f>
        <v>Aprende Javascript, HTML5 y CSS3</v>
      </c>
    </row>
    <row r="2940">
      <c r="A2940" s="140" t="str">
        <f>IFERROR(__xludf.DUMMYFUNCTION("""COMPUTED_VALUE"""),"en")</f>
        <v>en</v>
      </c>
      <c r="B2940">
        <f>IFERROR(__xludf.DUMMYFUNCTION("""COMPUTED_VALUE"""),1927766.0)</f>
        <v>1927766</v>
      </c>
      <c r="C2940" t="str">
        <f>IFERROR(__xludf.DUMMYFUNCTION("""COMPUTED_VALUE"""),"Setup Own Asterisk VoIP Server with Android, iOS &amp; Win Apps")</f>
        <v>Setup Own Asterisk VoIP Server with Android, iOS &amp; Win Apps</v>
      </c>
    </row>
    <row r="2941">
      <c r="A2941" s="140" t="str">
        <f>IFERROR(__xludf.DUMMYFUNCTION("""COMPUTED_VALUE"""),"tr")</f>
        <v>tr</v>
      </c>
      <c r="B2941">
        <f>IFERROR(__xludf.DUMMYFUNCTION("""COMPUTED_VALUE"""),3355174.0)</f>
        <v>3355174</v>
      </c>
      <c r="C2941" t="str">
        <f>IFERROR(__xludf.DUMMYFUNCTION("""COMPUTED_VALUE"""),"ASP.NET Core 5.0 Katmanlı Mimari ile Blog Uygulaması | .NET5")</f>
        <v>ASP.NET Core 5.0 Katmanlı Mimari ile Blog Uygulaması | .NET5</v>
      </c>
    </row>
    <row r="2942">
      <c r="A2942" s="140" t="str">
        <f>IFERROR(__xludf.DUMMYFUNCTION("""COMPUTED_VALUE"""),"de")</f>
        <v>de</v>
      </c>
      <c r="B2942">
        <f>IFERROR(__xludf.DUMMYFUNCTION("""COMPUTED_VALUE"""),1711186.0)</f>
        <v>1711186</v>
      </c>
      <c r="C2942" t="str">
        <f>IFERROR(__xludf.DUMMYFUNCTION("""COMPUTED_VALUE"""),"Design Thinking Crashkurs | Der Mensch im Innovationsprozess")</f>
        <v>Design Thinking Crashkurs | Der Mensch im Innovationsprozess</v>
      </c>
    </row>
    <row r="2943">
      <c r="A2943" s="140" t="str">
        <f>IFERROR(__xludf.DUMMYFUNCTION("""COMPUTED_VALUE"""),"pt")</f>
        <v>pt</v>
      </c>
      <c r="B2943">
        <f>IFERROR(__xludf.DUMMYFUNCTION("""COMPUTED_VALUE"""),1606472.0)</f>
        <v>1606472</v>
      </c>
      <c r="C2943" t="str">
        <f>IFERROR(__xludf.DUMMYFUNCTION("""COMPUTED_VALUE"""),"Web Hacking - Técnicas de Invasão em Ambientes Web [Pentest]")</f>
        <v>Web Hacking - Técnicas de Invasão em Ambientes Web [Pentest]</v>
      </c>
    </row>
    <row r="2944">
      <c r="A2944" s="140" t="str">
        <f>IFERROR(__xludf.DUMMYFUNCTION("""COMPUTED_VALUE"""),"en")</f>
        <v>en</v>
      </c>
      <c r="B2944">
        <f>IFERROR(__xludf.DUMMYFUNCTION("""COMPUTED_VALUE"""),873482.0)</f>
        <v>873482</v>
      </c>
      <c r="C2944" t="str">
        <f>IFERROR(__xludf.DUMMYFUNCTION("""COMPUTED_VALUE"""),"Learning Business Contracts for Beginners")</f>
        <v>Learning Business Contracts for Beginners</v>
      </c>
    </row>
    <row r="2945">
      <c r="A2945" s="140" t="str">
        <f>IFERROR(__xludf.DUMMYFUNCTION("""COMPUTED_VALUE"""),"en")</f>
        <v>en</v>
      </c>
      <c r="B2945">
        <f>IFERROR(__xludf.DUMMYFUNCTION("""COMPUTED_VALUE"""),1503118.0)</f>
        <v>1503118</v>
      </c>
      <c r="C2945" t="str">
        <f>IFERROR(__xludf.DUMMYFUNCTION("""COMPUTED_VALUE"""),"Practical Database Course for Beginners : 6 courses in 1")</f>
        <v>Practical Database Course for Beginners : 6 courses in 1</v>
      </c>
    </row>
    <row r="2946">
      <c r="A2946" s="140" t="str">
        <f>IFERROR(__xludf.DUMMYFUNCTION("""COMPUTED_VALUE"""),"fr")</f>
        <v>fr</v>
      </c>
      <c r="B2946">
        <f>IFERROR(__xludf.DUMMYFUNCTION("""COMPUTED_VALUE"""),2144416.0)</f>
        <v>2144416</v>
      </c>
      <c r="C2946" t="str">
        <f>IFERROR(__xludf.DUMMYFUNCTION("""COMPUTED_VALUE"""),"Créer un Site professionnel et responsive en 2020")</f>
        <v>Créer un Site professionnel et responsive en 2020</v>
      </c>
    </row>
    <row r="2947">
      <c r="A2947" s="140" t="str">
        <f>IFERROR(__xludf.DUMMYFUNCTION("""COMPUTED_VALUE"""),"en")</f>
        <v>en</v>
      </c>
      <c r="B2947">
        <f>IFERROR(__xludf.DUMMYFUNCTION("""COMPUTED_VALUE"""),1361318.0)</f>
        <v>1361318</v>
      </c>
      <c r="C2947" t="str">
        <f>IFERROR(__xludf.DUMMYFUNCTION("""COMPUTED_VALUE"""),"Presentation Skills: Give More Powerful, Memorable Talks")</f>
        <v>Presentation Skills: Give More Powerful, Memorable Talks</v>
      </c>
    </row>
    <row r="2948">
      <c r="A2948" s="140" t="str">
        <f>IFERROR(__xludf.DUMMYFUNCTION("""COMPUTED_VALUE"""),"ja")</f>
        <v>ja</v>
      </c>
      <c r="B2948">
        <f>IFERROR(__xludf.DUMMYFUNCTION("""COMPUTED_VALUE"""),625078.0)</f>
        <v>625078</v>
      </c>
      <c r="C2948" t="str">
        <f>IFERROR(__xludf.DUMMYFUNCTION("""COMPUTED_VALUE"""),"【世界で18万人が受講】実践 Python データサイエンス")</f>
        <v>【世界で18万人が受講】実践 Python データサイエンス</v>
      </c>
    </row>
    <row r="2949">
      <c r="A2949" s="140" t="str">
        <f>IFERROR(__xludf.DUMMYFUNCTION("""COMPUTED_VALUE"""),"ja")</f>
        <v>ja</v>
      </c>
      <c r="B2949">
        <f>IFERROR(__xludf.DUMMYFUNCTION("""COMPUTED_VALUE"""),3845692.0)</f>
        <v>3845692</v>
      </c>
      <c r="C2949" t="str">
        <f>IFERROR(__xludf.DUMMYFUNCTION("""COMPUTED_VALUE"""),"初心者のための『テーブル・データベース論理設計』〜ゼロからシステム開発に必要なデータベースの知識を身につけよう〜")</f>
        <v>初心者のための『テーブル・データベース論理設計』〜ゼロからシステム開発に必要なデータベースの知識を身につけよう〜</v>
      </c>
    </row>
    <row r="2950">
      <c r="A2950" s="140" t="str">
        <f>IFERROR(__xludf.DUMMYFUNCTION("""COMPUTED_VALUE"""),"en")</f>
        <v>en</v>
      </c>
      <c r="B2950">
        <f>IFERROR(__xludf.DUMMYFUNCTION("""COMPUTED_VALUE"""),591194.0)</f>
        <v>591194</v>
      </c>
      <c r="C2950" t="str">
        <f>IFERROR(__xludf.DUMMYFUNCTION("""COMPUTED_VALUE"""),"Land Your First Business Analyst Position")</f>
        <v>Land Your First Business Analyst Position</v>
      </c>
    </row>
    <row r="2951">
      <c r="A2951" s="140" t="str">
        <f>IFERROR(__xludf.DUMMYFUNCTION("""COMPUTED_VALUE"""),"en")</f>
        <v>en</v>
      </c>
      <c r="B2951">
        <f>IFERROR(__xludf.DUMMYFUNCTION("""COMPUTED_VALUE"""),2552525.0)</f>
        <v>2552525</v>
      </c>
      <c r="C2951" t="str">
        <f>IFERROR(__xludf.DUMMYFUNCTION("""COMPUTED_VALUE"""),"Clear and Simple AWS Advanced Networking Specialty 2021")</f>
        <v>Clear and Simple AWS Advanced Networking Specialty 2021</v>
      </c>
    </row>
    <row r="2952">
      <c r="A2952" s="140" t="str">
        <f>IFERROR(__xludf.DUMMYFUNCTION("""COMPUTED_VALUE"""),"en")</f>
        <v>en</v>
      </c>
      <c r="B2952">
        <f>IFERROR(__xludf.DUMMYFUNCTION("""COMPUTED_VALUE"""),2367200.0)</f>
        <v>2367200</v>
      </c>
      <c r="C2952" t="str">
        <f>IFERROR(__xludf.DUMMYFUNCTION("""COMPUTED_VALUE"""),"Differential Equations with the Math Sorcerer")</f>
        <v>Differential Equations with the Math Sorcerer</v>
      </c>
    </row>
    <row r="2953">
      <c r="A2953" s="140" t="str">
        <f>IFERROR(__xludf.DUMMYFUNCTION("""COMPUTED_VALUE"""),"en")</f>
        <v>en</v>
      </c>
      <c r="B2953">
        <f>IFERROR(__xludf.DUMMYFUNCTION("""COMPUTED_VALUE"""),1508964.0)</f>
        <v>1508964</v>
      </c>
      <c r="C2953" t="str">
        <f>IFERROR(__xludf.DUMMYFUNCTION("""COMPUTED_VALUE"""),"Advanced Scripting &amp; Tool Making using Windows PowerShell")</f>
        <v>Advanced Scripting &amp; Tool Making using Windows PowerShell</v>
      </c>
    </row>
    <row r="2954">
      <c r="A2954" s="140" t="str">
        <f>IFERROR(__xludf.DUMMYFUNCTION("""COMPUTED_VALUE"""),"en")</f>
        <v>en</v>
      </c>
      <c r="B2954">
        <f>IFERROR(__xludf.DUMMYFUNCTION("""COMPUTED_VALUE"""),1725926.0)</f>
        <v>1725926</v>
      </c>
      <c r="C2954" t="str">
        <f>IFERROR(__xludf.DUMMYFUNCTION("""COMPUTED_VALUE"""),"Delegation without Stress: What Managers Need to Know")</f>
        <v>Delegation without Stress: What Managers Need to Know</v>
      </c>
    </row>
    <row r="2955">
      <c r="A2955" s="140" t="str">
        <f>IFERROR(__xludf.DUMMYFUNCTION("""COMPUTED_VALUE"""),"de")</f>
        <v>de</v>
      </c>
      <c r="B2955">
        <f>IFERROR(__xludf.DUMMYFUNCTION("""COMPUTED_VALUE"""),2188448.0)</f>
        <v>2188448</v>
      </c>
      <c r="C2955" t="str">
        <f>IFERROR(__xludf.DUMMYFUNCTION("""COMPUTED_VALUE"""),"Die komplette Java 11 Masterclass -von 0 auf 100 in 6 Wochen")</f>
        <v>Die komplette Java 11 Masterclass -von 0 auf 100 in 6 Wochen</v>
      </c>
    </row>
    <row r="2956">
      <c r="A2956" s="140" t="str">
        <f>IFERROR(__xludf.DUMMYFUNCTION("""COMPUTED_VALUE"""),"pt")</f>
        <v>pt</v>
      </c>
      <c r="B2956">
        <f>IFERROR(__xludf.DUMMYFUNCTION("""COMPUTED_VALUE"""),1774636.0)</f>
        <v>1774636</v>
      </c>
      <c r="C2956" t="str">
        <f>IFERROR(__xludf.DUMMYFUNCTION("""COMPUTED_VALUE"""),"Formação em SketchUp")</f>
        <v>Formação em SketchUp</v>
      </c>
    </row>
    <row r="2957">
      <c r="A2957" s="140" t="str">
        <f>IFERROR(__xludf.DUMMYFUNCTION("""COMPUTED_VALUE"""),"en")</f>
        <v>en</v>
      </c>
      <c r="B2957">
        <f>IFERROR(__xludf.DUMMYFUNCTION("""COMPUTED_VALUE"""),3446572.0)</f>
        <v>3446572</v>
      </c>
      <c r="C2957" t="str">
        <f>IFERROR(__xludf.DUMMYFUNCTION("""COMPUTED_VALUE"""),"Complete Instagram Marketing Course: From 0-10,000 Followers")</f>
        <v>Complete Instagram Marketing Course: From 0-10,000 Followers</v>
      </c>
    </row>
    <row r="2958">
      <c r="A2958" s="140" t="str">
        <f>IFERROR(__xludf.DUMMYFUNCTION("""COMPUTED_VALUE"""),"es")</f>
        <v>es</v>
      </c>
      <c r="B2958">
        <f>IFERROR(__xludf.DUMMYFUNCTION("""COMPUTED_VALUE"""),2653726.0)</f>
        <v>2653726</v>
      </c>
      <c r="C2958" t="str">
        <f>IFERROR(__xludf.DUMMYFUNCTION("""COMPUTED_VALUE"""),"Cuéntame tu vida: Curso Práctico de Escritura Autobiográfica")</f>
        <v>Cuéntame tu vida: Curso Práctico de Escritura Autobiográfica</v>
      </c>
    </row>
    <row r="2959">
      <c r="A2959" s="140" t="str">
        <f>IFERROR(__xludf.DUMMYFUNCTION("""COMPUTED_VALUE"""),"ja")</f>
        <v>ja</v>
      </c>
      <c r="B2959">
        <f>IFERROR(__xludf.DUMMYFUNCTION("""COMPUTED_VALUE"""),1597448.0)</f>
        <v>1597448</v>
      </c>
      <c r="C2959" t="str">
        <f>IFERROR(__xludf.DUMMYFUNCTION("""COMPUTED_VALUE"""),"英語の発音レベルアップ：カタカナ英語をやめて、ネイティブのような発音に！")</f>
        <v>英語の発音レベルアップ：カタカナ英語をやめて、ネイティブのような発音に！</v>
      </c>
    </row>
    <row r="2960">
      <c r="A2960" s="140" t="str">
        <f>IFERROR(__xludf.DUMMYFUNCTION("""COMPUTED_VALUE"""),"en")</f>
        <v>en</v>
      </c>
      <c r="B2960">
        <f>IFERROR(__xludf.DUMMYFUNCTION("""COMPUTED_VALUE"""),2280680.0)</f>
        <v>2280680</v>
      </c>
      <c r="C2960" t="str">
        <f>IFERROR(__xludf.DUMMYFUNCTION("""COMPUTED_VALUE"""),"The Future of Energy")</f>
        <v>The Future of Energy</v>
      </c>
    </row>
    <row r="2961">
      <c r="A2961" s="140" t="str">
        <f>IFERROR(__xludf.DUMMYFUNCTION("""COMPUTED_VALUE"""),"en")</f>
        <v>en</v>
      </c>
      <c r="B2961">
        <f>IFERROR(__xludf.DUMMYFUNCTION("""COMPUTED_VALUE"""),1382482.0)</f>
        <v>1382482</v>
      </c>
      <c r="C2961" t="str">
        <f>IFERROR(__xludf.DUMMYFUNCTION("""COMPUTED_VALUE"""),"Shader Development from Scratch for Unity with Cg")</f>
        <v>Shader Development from Scratch for Unity with Cg</v>
      </c>
    </row>
    <row r="2962">
      <c r="A2962" s="140" t="str">
        <f>IFERROR(__xludf.DUMMYFUNCTION("""COMPUTED_VALUE"""),"tr")</f>
        <v>tr</v>
      </c>
      <c r="B2962">
        <f>IFERROR(__xludf.DUMMYFUNCTION("""COMPUTED_VALUE"""),3085050.0)</f>
        <v>3085050</v>
      </c>
      <c r="C2962" t="str">
        <f>IFERROR(__xludf.DUMMYFUNCTION("""COMPUTED_VALUE"""),"Html5+Css3+Bootstrap4 Sıfırdan Frontend Web Tasarım Kursu")</f>
        <v>Html5+Css3+Bootstrap4 Sıfırdan Frontend Web Tasarım Kursu</v>
      </c>
    </row>
    <row r="2963">
      <c r="A2963" s="140" t="str">
        <f>IFERROR(__xludf.DUMMYFUNCTION("""COMPUTED_VALUE"""),"tr")</f>
        <v>tr</v>
      </c>
      <c r="B2963">
        <f>IFERROR(__xludf.DUMMYFUNCTION("""COMPUTED_VALUE"""),2698156.0)</f>
        <v>2698156</v>
      </c>
      <c r="C2963" t="str">
        <f>IFERROR(__xludf.DUMMYFUNCTION("""COMPUTED_VALUE"""),"Sıfırdan Uygulamalı ROS Eğitimi")</f>
        <v>Sıfırdan Uygulamalı ROS Eğitimi</v>
      </c>
    </row>
    <row r="2964">
      <c r="A2964" s="140" t="str">
        <f>IFERROR(__xludf.DUMMYFUNCTION("""COMPUTED_VALUE"""),"ar")</f>
        <v>ar</v>
      </c>
      <c r="B2964">
        <f>IFERROR(__xludf.DUMMYFUNCTION("""COMPUTED_VALUE"""),3372110.0)</f>
        <v>3372110</v>
      </c>
      <c r="C2964" t="str">
        <f>IFERROR(__xludf.DUMMYFUNCTION("""COMPUTED_VALUE"""),"التخطيط التفصيلي للمشاريع وإدارة المخاطر")</f>
        <v>التخطيط التفصيلي للمشاريع وإدارة المخاطر</v>
      </c>
    </row>
    <row r="2965">
      <c r="A2965" s="140" t="str">
        <f>IFERROR(__xludf.DUMMYFUNCTION("""COMPUTED_VALUE"""),"en")</f>
        <v>en</v>
      </c>
      <c r="B2965">
        <f>IFERROR(__xludf.DUMMYFUNCTION("""COMPUTED_VALUE"""),3382946.0)</f>
        <v>3382946</v>
      </c>
      <c r="C2965" t="str">
        <f>IFERROR(__xludf.DUMMYFUNCTION("""COMPUTED_VALUE"""),"Build Your First iPhone App - iOS 14 Apps Using Swift 5")</f>
        <v>Build Your First iPhone App - iOS 14 Apps Using Swift 5</v>
      </c>
    </row>
    <row r="2966">
      <c r="A2966" s="140" t="str">
        <f>IFERROR(__xludf.DUMMYFUNCTION("""COMPUTED_VALUE"""),"en")</f>
        <v>en</v>
      </c>
      <c r="B2966">
        <f>IFERROR(__xludf.DUMMYFUNCTION("""COMPUTED_VALUE"""),1691762.0)</f>
        <v>1691762</v>
      </c>
      <c r="C2966" t="str">
        <f>IFERROR(__xludf.DUMMYFUNCTION("""COMPUTED_VALUE"""),"60 AutoCAD 2D &amp; 3D Drawings and Practical Projects")</f>
        <v>60 AutoCAD 2D &amp; 3D Drawings and Practical Projects</v>
      </c>
    </row>
    <row r="2967">
      <c r="A2967" s="140" t="str">
        <f>IFERROR(__xludf.DUMMYFUNCTION("""COMPUTED_VALUE"""),"en")</f>
        <v>en</v>
      </c>
      <c r="B2967">
        <f>IFERROR(__xludf.DUMMYFUNCTION("""COMPUTED_VALUE"""),1168848.0)</f>
        <v>1168848</v>
      </c>
      <c r="C2967" t="str">
        <f>IFERROR(__xludf.DUMMYFUNCTION("""COMPUTED_VALUE"""),"Learn Ionic 3 From Scratch")</f>
        <v>Learn Ionic 3 From Scratch</v>
      </c>
    </row>
    <row r="2968">
      <c r="A2968" s="140" t="str">
        <f>IFERROR(__xludf.DUMMYFUNCTION("""COMPUTED_VALUE"""),"en")</f>
        <v>en</v>
      </c>
      <c r="B2968">
        <f>IFERROR(__xludf.DUMMYFUNCTION("""COMPUTED_VALUE"""),1765308.0)</f>
        <v>1765308</v>
      </c>
      <c r="C2968" t="str">
        <f>IFERROR(__xludf.DUMMYFUNCTION("""COMPUTED_VALUE"""),"Master Discrete Math 2020: More Than 5 Complete Courses In 1")</f>
        <v>Master Discrete Math 2020: More Than 5 Complete Courses In 1</v>
      </c>
    </row>
    <row r="2969">
      <c r="A2969" s="140" t="str">
        <f>IFERROR(__xludf.DUMMYFUNCTION("""COMPUTED_VALUE"""),"en")</f>
        <v>en</v>
      </c>
      <c r="B2969">
        <f>IFERROR(__xludf.DUMMYFUNCTION("""COMPUTED_VALUE"""),1552182.0)</f>
        <v>1552182</v>
      </c>
      <c r="C2969" t="str">
        <f>IFERROR(__xludf.DUMMYFUNCTION("""COMPUTED_VALUE"""),"Master the Texas BA II Financial Calculator for the CFA Exam")</f>
        <v>Master the Texas BA II Financial Calculator for the CFA Exam</v>
      </c>
    </row>
    <row r="2970">
      <c r="A2970" s="140" t="str">
        <f>IFERROR(__xludf.DUMMYFUNCTION("""COMPUTED_VALUE"""),"es")</f>
        <v>es</v>
      </c>
      <c r="B2970">
        <f>IFERROR(__xludf.DUMMYFUNCTION("""COMPUTED_VALUE"""),3013160.0)</f>
        <v>3013160</v>
      </c>
      <c r="C2970" t="str">
        <f>IFERROR(__xludf.DUMMYFUNCTION("""COMPUTED_VALUE"""),"Arduino, electrónica y programación C desde cero - Nivel 1")</f>
        <v>Arduino, electrónica y programación C desde cero - Nivel 1</v>
      </c>
    </row>
    <row r="2971">
      <c r="A2971" s="140" t="str">
        <f>IFERROR(__xludf.DUMMYFUNCTION("""COMPUTED_VALUE"""),"en")</f>
        <v>en</v>
      </c>
      <c r="B2971">
        <f>IFERROR(__xludf.DUMMYFUNCTION("""COMPUTED_VALUE"""),3647421.0)</f>
        <v>3647421</v>
      </c>
      <c r="C2971" t="str">
        <f>IFERROR(__xludf.DUMMYFUNCTION("""COMPUTED_VALUE"""),"Automotive/Automobile Engineering; Onboard Diagnostics(OBD)")</f>
        <v>Automotive/Automobile Engineering; Onboard Diagnostics(OBD)</v>
      </c>
    </row>
    <row r="2972">
      <c r="A2972" s="140" t="str">
        <f>IFERROR(__xludf.DUMMYFUNCTION("""COMPUTED_VALUE"""),"es")</f>
        <v>es</v>
      </c>
      <c r="B2972">
        <f>IFERROR(__xludf.DUMMYFUNCTION("""COMPUTED_VALUE"""),3013436.0)</f>
        <v>3013436</v>
      </c>
      <c r="C2972" t="str">
        <f>IFERROR(__xludf.DUMMYFUNCTION("""COMPUTED_VALUE"""),"Curso intensivo de ruso básico")</f>
        <v>Curso intensivo de ruso básico</v>
      </c>
    </row>
    <row r="2973">
      <c r="A2973" s="140" t="str">
        <f>IFERROR(__xludf.DUMMYFUNCTION("""COMPUTED_VALUE"""),"de")</f>
        <v>de</v>
      </c>
      <c r="B2973">
        <f>IFERROR(__xludf.DUMMYFUNCTION("""COMPUTED_VALUE"""),3097384.0)</f>
        <v>3097384</v>
      </c>
      <c r="C2973" t="str">
        <f>IFERROR(__xludf.DUMMYFUNCTION("""COMPUTED_VALUE"""),"Kurs: Testautomatisierung mit Selenium für Java + Python")</f>
        <v>Kurs: Testautomatisierung mit Selenium für Java + Python</v>
      </c>
    </row>
    <row r="2974">
      <c r="A2974" s="140" t="str">
        <f>IFERROR(__xludf.DUMMYFUNCTION("""COMPUTED_VALUE"""),"pt")</f>
        <v>pt</v>
      </c>
      <c r="B2974">
        <f>IFERROR(__xludf.DUMMYFUNCTION("""COMPUTED_VALUE"""),1735530.0)</f>
        <v>1735530</v>
      </c>
      <c r="C2974" t="str">
        <f>IFERROR(__xludf.DUMMYFUNCTION("""COMPUTED_VALUE"""),"Gitlab CI: Pipelines, Continuous Delivery e Deployment")</f>
        <v>Gitlab CI: Pipelines, Continuous Delivery e Deployment</v>
      </c>
    </row>
    <row r="2975">
      <c r="A2975" s="140" t="str">
        <f>IFERROR(__xludf.DUMMYFUNCTION("""COMPUTED_VALUE"""),"en")</f>
        <v>en</v>
      </c>
      <c r="B2975">
        <f>IFERROR(__xludf.DUMMYFUNCTION("""COMPUTED_VALUE"""),1867116.0)</f>
        <v>1867116</v>
      </c>
      <c r="C2975" t="str">
        <f>IFERROR(__xludf.DUMMYFUNCTION("""COMPUTED_VALUE"""),"The Ultimate Guide to Real World Applications with Unity")</f>
        <v>The Ultimate Guide to Real World Applications with Unity</v>
      </c>
    </row>
    <row r="2976">
      <c r="A2976" s="140" t="str">
        <f>IFERROR(__xludf.DUMMYFUNCTION("""COMPUTED_VALUE"""),"en")</f>
        <v>en</v>
      </c>
      <c r="B2976">
        <f>IFERROR(__xludf.DUMMYFUNCTION("""COMPUTED_VALUE"""),466334.0)</f>
        <v>466334</v>
      </c>
      <c r="C2976" t="str">
        <f>IFERROR(__xludf.DUMMYFUNCTION("""COMPUTED_VALUE"""),"Lean Enterprise: Corporate Innovation Certification")</f>
        <v>Lean Enterprise: Corporate Innovation Certification</v>
      </c>
    </row>
    <row r="2977">
      <c r="A2977" s="140" t="str">
        <f>IFERROR(__xludf.DUMMYFUNCTION("""COMPUTED_VALUE"""),"es")</f>
        <v>es</v>
      </c>
      <c r="B2977">
        <f>IFERROR(__xludf.DUMMYFUNCTION("""COMPUTED_VALUE"""),1433338.0)</f>
        <v>1433338</v>
      </c>
      <c r="C2977" t="str">
        <f>IFERROR(__xludf.DUMMYFUNCTION("""COMPUTED_VALUE"""),"Comunicación Efectiva y Asertiva")</f>
        <v>Comunicación Efectiva y Asertiva</v>
      </c>
    </row>
    <row r="2978">
      <c r="A2978" s="140" t="str">
        <f>IFERROR(__xludf.DUMMYFUNCTION("""COMPUTED_VALUE"""),"en")</f>
        <v>en</v>
      </c>
      <c r="B2978">
        <f>IFERROR(__xludf.DUMMYFUNCTION("""COMPUTED_VALUE"""),3232237.0)</f>
        <v>3232237</v>
      </c>
      <c r="C2978" t="str">
        <f>IFERROR(__xludf.DUMMYFUNCTION("""COMPUTED_VALUE"""),"Python for Excel: Use xlwings for Data Science and Finance")</f>
        <v>Python for Excel: Use xlwings for Data Science and Finance</v>
      </c>
    </row>
    <row r="2979">
      <c r="A2979" s="140" t="str">
        <f>IFERROR(__xludf.DUMMYFUNCTION("""COMPUTED_VALUE"""),"ja")</f>
        <v>ja</v>
      </c>
      <c r="B2979">
        <f>IFERROR(__xludf.DUMMYFUNCTION("""COMPUTED_VALUE"""),2739350.0)</f>
        <v>2739350</v>
      </c>
      <c r="C2979" t="str">
        <f>IFERROR(__xludf.DUMMYFUNCTION("""COMPUTED_VALUE"""),"はじめてのソフトウェアテスト技法【全てのエンジニアが知るべき最重要テスト技法を、丁寧な解説と演習問題で身につけよう】")</f>
        <v>はじめてのソフトウェアテスト技法【全てのエンジニアが知るべき最重要テスト技法を、丁寧な解説と演習問題で身につけよう】</v>
      </c>
    </row>
    <row r="2980">
      <c r="A2980" s="140" t="str">
        <f>IFERROR(__xludf.DUMMYFUNCTION("""COMPUTED_VALUE"""),"ja")</f>
        <v>ja</v>
      </c>
      <c r="B2980">
        <f>IFERROR(__xludf.DUMMYFUNCTION("""COMPUTED_VALUE"""),2453770.0)</f>
        <v>2453770</v>
      </c>
      <c r="C2980" t="str">
        <f>IFERROR(__xludf.DUMMYFUNCTION("""COMPUTED_VALUE"""),"資格予備校講師による連結会計集中講義「そうだったのか！連結会計」")</f>
        <v>資格予備校講師による連結会計集中講義「そうだったのか！連結会計」</v>
      </c>
    </row>
    <row r="2981">
      <c r="A2981" s="140" t="str">
        <f>IFERROR(__xludf.DUMMYFUNCTION("""COMPUTED_VALUE"""),"en")</f>
        <v>en</v>
      </c>
      <c r="B2981">
        <f>IFERROR(__xludf.DUMMYFUNCTION("""COMPUTED_VALUE"""),3411408.0)</f>
        <v>3411408</v>
      </c>
      <c r="C2981" t="str">
        <f>IFERROR(__xludf.DUMMYFUNCTION("""COMPUTED_VALUE"""),"Data Science for Business Leaders: ML Fundamentals")</f>
        <v>Data Science for Business Leaders: ML Fundamentals</v>
      </c>
    </row>
    <row r="2982">
      <c r="A2982" s="140" t="str">
        <f>IFERROR(__xludf.DUMMYFUNCTION("""COMPUTED_VALUE"""),"en")</f>
        <v>en</v>
      </c>
      <c r="B2982">
        <f>IFERROR(__xludf.DUMMYFUNCTION("""COMPUTED_VALUE"""),1009476.0)</f>
        <v>1009476</v>
      </c>
      <c r="C2982" t="str">
        <f>IFERROR(__xludf.DUMMYFUNCTION("""COMPUTED_VALUE"""),"Python For Maya: Artist Friendly Programming")</f>
        <v>Python For Maya: Artist Friendly Programming</v>
      </c>
    </row>
    <row r="2983">
      <c r="A2983" s="140" t="str">
        <f>IFERROR(__xludf.DUMMYFUNCTION("""COMPUTED_VALUE"""),"en")</f>
        <v>en</v>
      </c>
      <c r="B2983">
        <f>IFERROR(__xludf.DUMMYFUNCTION("""COMPUTED_VALUE"""),871638.0)</f>
        <v>871638</v>
      </c>
      <c r="C2983" t="str">
        <f>IFERROR(__xludf.DUMMYFUNCTION("""COMPUTED_VALUE"""),"7 Lessons on Writing for Becoming a Standout Writer")</f>
        <v>7 Lessons on Writing for Becoming a Standout Writer</v>
      </c>
    </row>
    <row r="2984">
      <c r="A2984" s="140" t="str">
        <f>IFERROR(__xludf.DUMMYFUNCTION("""COMPUTED_VALUE"""),"es")</f>
        <v>es</v>
      </c>
      <c r="B2984">
        <f>IFERROR(__xludf.DUMMYFUNCTION("""COMPUTED_VALUE"""),1461758.0)</f>
        <v>1461758</v>
      </c>
      <c r="C2984" t="str">
        <f>IFERROR(__xludf.DUMMYFUNCTION("""COMPUTED_VALUE"""),"Ventas Profesionales para Emprendedores Latinos")</f>
        <v>Ventas Profesionales para Emprendedores Latinos</v>
      </c>
    </row>
    <row r="2985">
      <c r="A2985" s="140" t="str">
        <f>IFERROR(__xludf.DUMMYFUNCTION("""COMPUTED_VALUE"""),"de")</f>
        <v>de</v>
      </c>
      <c r="B2985">
        <f>IFERROR(__xludf.DUMMYFUNCTION("""COMPUTED_VALUE"""),1362148.0)</f>
        <v>1362148</v>
      </c>
      <c r="C2985" t="str">
        <f>IFERROR(__xludf.DUMMYFUNCTION("""COMPUTED_VALUE"""),"R für Data Science, Visualisierung und Machine Learning")</f>
        <v>R für Data Science, Visualisierung und Machine Learning</v>
      </c>
    </row>
    <row r="2986">
      <c r="A2986" s="140" t="str">
        <f>IFERROR(__xludf.DUMMYFUNCTION("""COMPUTED_VALUE"""),"en")</f>
        <v>en</v>
      </c>
      <c r="B2986">
        <f>IFERROR(__xludf.DUMMYFUNCTION("""COMPUTED_VALUE"""),1309940.0)</f>
        <v>1309940</v>
      </c>
      <c r="C2986" t="str">
        <f>IFERROR(__xludf.DUMMYFUNCTION("""COMPUTED_VALUE"""),"Intro to Trifacta: Clean Your Data Quickly and Easily")</f>
        <v>Intro to Trifacta: Clean Your Data Quickly and Easily</v>
      </c>
    </row>
    <row r="2987">
      <c r="A2987" s="140" t="str">
        <f>IFERROR(__xludf.DUMMYFUNCTION("""COMPUTED_VALUE"""),"pt")</f>
        <v>pt</v>
      </c>
      <c r="B2987">
        <f>IFERROR(__xludf.DUMMYFUNCTION("""COMPUTED_VALUE"""),1088442.0)</f>
        <v>1088442</v>
      </c>
      <c r="C2987" t="str">
        <f>IFERROR(__xludf.DUMMYFUNCTION("""COMPUTED_VALUE"""),"Jogos 2D com Unity  + C# CURSO COMPLETO")</f>
        <v>Jogos 2D com Unity  + C# CURSO COMPLETO</v>
      </c>
    </row>
    <row r="2988">
      <c r="A2988" s="140" t="str">
        <f>IFERROR(__xludf.DUMMYFUNCTION("""COMPUTED_VALUE"""),"ja")</f>
        <v>ja</v>
      </c>
      <c r="B2988">
        <f>IFERROR(__xludf.DUMMYFUNCTION("""COMPUTED_VALUE"""),2963154.0)</f>
        <v>2963154</v>
      </c>
      <c r="C2988" t="str">
        <f>IFERROR(__xludf.DUMMYFUNCTION("""COMPUTED_VALUE"""),"【GCP認定資格】Google Cloud Platform Associate Cloud Engineer模擬問題集")</f>
        <v>【GCP認定資格】Google Cloud Platform Associate Cloud Engineer模擬問題集</v>
      </c>
    </row>
    <row r="2989">
      <c r="A2989" s="140" t="str">
        <f>IFERROR(__xludf.DUMMYFUNCTION("""COMPUTED_VALUE"""),"ja")</f>
        <v>ja</v>
      </c>
      <c r="B2989">
        <f>IFERROR(__xludf.DUMMYFUNCTION("""COMPUTED_VALUE"""),3067008.0)</f>
        <v>3067008</v>
      </c>
      <c r="C2989" t="str">
        <f>IFERROR(__xludf.DUMMYFUNCTION("""COMPUTED_VALUE"""),"【演習形式で学ぶ】「データ分析実務スキル検定(CBAS)」合格への道(データ分析実務スキル証明資格で高得点を目指す講座)")</f>
        <v>【演習形式で学ぶ】「データ分析実務スキル検定(CBAS)」合格への道(データ分析実務スキル証明資格で高得点を目指す講座)</v>
      </c>
    </row>
    <row r="2990">
      <c r="A2990" s="140" t="str">
        <f>IFERROR(__xludf.DUMMYFUNCTION("""COMPUTED_VALUE"""),"ko")</f>
        <v>ko</v>
      </c>
      <c r="B2990">
        <f>IFERROR(__xludf.DUMMYFUNCTION("""COMPUTED_VALUE"""),4212554.0)</f>
        <v>4212554</v>
      </c>
      <c r="C2990" t="str">
        <f>IFERROR(__xludf.DUMMYFUNCTION("""COMPUTED_VALUE"""),"After Effects CC 2020 모션 그래픽 입문")</f>
        <v>After Effects CC 2020 모션 그래픽 입문</v>
      </c>
    </row>
    <row r="2991">
      <c r="A2991" s="140" t="str">
        <f>IFERROR(__xludf.DUMMYFUNCTION("""COMPUTED_VALUE"""),"es")</f>
        <v>es</v>
      </c>
      <c r="B2991">
        <f>IFERROR(__xludf.DUMMYFUNCTION("""COMPUTED_VALUE"""),2000040.0)</f>
        <v>2000040</v>
      </c>
      <c r="C2991" t="str">
        <f>IFERROR(__xludf.DUMMYFUNCTION("""COMPUTED_VALUE"""),"Aprende chino con Eva Hu, tu profesora nativa [Nivel básico]")</f>
        <v>Aprende chino con Eva Hu, tu profesora nativa [Nivel básico]</v>
      </c>
    </row>
    <row r="2992">
      <c r="A2992" s="140" t="str">
        <f>IFERROR(__xludf.DUMMYFUNCTION("""COMPUTED_VALUE"""),"en")</f>
        <v>en</v>
      </c>
      <c r="B2992">
        <f>IFERROR(__xludf.DUMMYFUNCTION("""COMPUTED_VALUE"""),2299870.0)</f>
        <v>2299870</v>
      </c>
      <c r="C2992" t="str">
        <f>IFERROR(__xludf.DUMMYFUNCTION("""COMPUTED_VALUE"""),"Apache Kafka - Real-time Stream Processing (Master Class)")</f>
        <v>Apache Kafka - Real-time Stream Processing (Master Class)</v>
      </c>
    </row>
    <row r="2993">
      <c r="A2993" s="140" t="str">
        <f>IFERROR(__xludf.DUMMYFUNCTION("""COMPUTED_VALUE"""),"en")</f>
        <v>en</v>
      </c>
      <c r="B2993">
        <f>IFERROR(__xludf.DUMMYFUNCTION("""COMPUTED_VALUE"""),1658274.0)</f>
        <v>1658274</v>
      </c>
      <c r="C2993" t="str">
        <f>IFERROR(__xludf.DUMMYFUNCTION("""COMPUTED_VALUE"""),"Houdini 16.5 - Procedural Prop Modeling - Ammo Crate")</f>
        <v>Houdini 16.5 - Procedural Prop Modeling - Ammo Crate</v>
      </c>
    </row>
    <row r="2994">
      <c r="A2994" s="140" t="str">
        <f>IFERROR(__xludf.DUMMYFUNCTION("""COMPUTED_VALUE"""),"en")</f>
        <v>en</v>
      </c>
      <c r="B2994">
        <f>IFERROR(__xludf.DUMMYFUNCTION("""COMPUTED_VALUE"""),3538850.0)</f>
        <v>3538850</v>
      </c>
      <c r="C2994" t="str">
        <f>IFERROR(__xludf.DUMMYFUNCTION("""COMPUTED_VALUE"""),"MS SQL with C#")</f>
        <v>MS SQL with C#</v>
      </c>
    </row>
    <row r="2995">
      <c r="A2995" s="140" t="str">
        <f>IFERROR(__xludf.DUMMYFUNCTION("""COMPUTED_VALUE"""),"en")</f>
        <v>en</v>
      </c>
      <c r="B2995">
        <f>IFERROR(__xludf.DUMMYFUNCTION("""COMPUTED_VALUE"""),1879018.0)</f>
        <v>1879018</v>
      </c>
      <c r="C2995" t="str">
        <f>IFERROR(__xludf.DUMMYFUNCTION("""COMPUTED_VALUE"""),"NodeJS - The Complete Guide (MVC, REST APIs, GraphQL, Deno)")</f>
        <v>NodeJS - The Complete Guide (MVC, REST APIs, GraphQL, Deno)</v>
      </c>
    </row>
    <row r="2996">
      <c r="A2996" s="140" t="str">
        <f>IFERROR(__xludf.DUMMYFUNCTION("""COMPUTED_VALUE"""),"pt")</f>
        <v>pt</v>
      </c>
      <c r="B2996">
        <f>IFERROR(__xludf.DUMMYFUNCTION("""COMPUTED_VALUE"""),969388.0)</f>
        <v>969388</v>
      </c>
      <c r="C2996" t="str">
        <f>IFERROR(__xludf.DUMMYFUNCTION("""COMPUTED_VALUE"""),"Curso Completo de PHP 7")</f>
        <v>Curso Completo de PHP 7</v>
      </c>
    </row>
    <row r="2997">
      <c r="A2997" s="140" t="str">
        <f>IFERROR(__xludf.DUMMYFUNCTION("""COMPUTED_VALUE"""),"en")</f>
        <v>en</v>
      </c>
      <c r="B2997">
        <f>IFERROR(__xludf.DUMMYFUNCTION("""COMPUTED_VALUE"""),1362052.0)</f>
        <v>1362052</v>
      </c>
      <c r="C2997" t="str">
        <f>IFERROR(__xludf.DUMMYFUNCTION("""COMPUTED_VALUE"""),"AWS CloudFormation Master Class v2 [2021]")</f>
        <v>AWS CloudFormation Master Class v2 [2021]</v>
      </c>
    </row>
    <row r="2998">
      <c r="A2998" s="140" t="str">
        <f>IFERROR(__xludf.DUMMYFUNCTION("""COMPUTED_VALUE"""),"en")</f>
        <v>en</v>
      </c>
      <c r="B2998">
        <f>IFERROR(__xludf.DUMMYFUNCTION("""COMPUTED_VALUE"""),4065250.0)</f>
        <v>4065250</v>
      </c>
      <c r="C2998" t="str">
        <f>IFERROR(__xludf.DUMMYFUNCTION("""COMPUTED_VALUE"""),"Google Cloud Professional Architect: Get Certified 2021")</f>
        <v>Google Cloud Professional Architect: Get Certified 2021</v>
      </c>
    </row>
    <row r="2999">
      <c r="A2999" s="140" t="str">
        <f>IFERROR(__xludf.DUMMYFUNCTION("""COMPUTED_VALUE"""),"en")</f>
        <v>en</v>
      </c>
      <c r="B2999">
        <f>IFERROR(__xludf.DUMMYFUNCTION("""COMPUTED_VALUE"""),1419500.0)</f>
        <v>1419500</v>
      </c>
      <c r="C2999" t="str">
        <f>IFERROR(__xludf.DUMMYFUNCTION("""COMPUTED_VALUE"""),"Salesforce 101: Introduction to Salesforce")</f>
        <v>Salesforce 101: Introduction to Salesforce</v>
      </c>
    </row>
    <row r="3000">
      <c r="A3000" s="140" t="str">
        <f>IFERROR(__xludf.DUMMYFUNCTION("""COMPUTED_VALUE"""),"en")</f>
        <v>en</v>
      </c>
      <c r="B3000">
        <f>IFERROR(__xludf.DUMMYFUNCTION("""COMPUTED_VALUE"""),2034156.0)</f>
        <v>2034156</v>
      </c>
      <c r="C3000" t="str">
        <f>IFERROR(__xludf.DUMMYFUNCTION("""COMPUTED_VALUE"""),"Build a Blockchain &amp; Cryptocurrency | Full-Stack Edition")</f>
        <v>Build a Blockchain &amp; Cryptocurrency | Full-Stack Edition</v>
      </c>
    </row>
    <row r="3001">
      <c r="A3001" s="140" t="str">
        <f>IFERROR(__xludf.DUMMYFUNCTION("""COMPUTED_VALUE"""),"en")</f>
        <v>en</v>
      </c>
      <c r="B3001">
        <f>IFERROR(__xludf.DUMMYFUNCTION("""COMPUTED_VALUE"""),43978.0)</f>
        <v>43978</v>
      </c>
      <c r="C3001" t="str">
        <f>IFERROR(__xludf.DUMMYFUNCTION("""COMPUTED_VALUE"""),"Explaining the Core Theories of Econometrics")</f>
        <v>Explaining the Core Theories of Econometrics</v>
      </c>
    </row>
    <row r="3002">
      <c r="A3002" s="140" t="str">
        <f>IFERROR(__xludf.DUMMYFUNCTION("""COMPUTED_VALUE"""),"ja")</f>
        <v>ja</v>
      </c>
      <c r="B3002">
        <f>IFERROR(__xludf.DUMMYFUNCTION("""COMPUTED_VALUE"""),3611508.0)</f>
        <v>3611508</v>
      </c>
      <c r="C3002" t="str">
        <f>IFERROR(__xludf.DUMMYFUNCTION("""COMPUTED_VALUE"""),"【超速習】7つのビジネスフレームワーク入門！〜生産性が今すぐ上がる必須の7つ道具〜")</f>
        <v>【超速習】7つのビジネスフレームワーク入門！〜生産性が今すぐ上がる必須の7つ道具〜</v>
      </c>
    </row>
    <row r="3003">
      <c r="A3003" s="140" t="str">
        <f>IFERROR(__xludf.DUMMYFUNCTION("""COMPUTED_VALUE"""),"en")</f>
        <v>en</v>
      </c>
      <c r="B3003">
        <f>IFERROR(__xludf.DUMMYFUNCTION("""COMPUTED_VALUE"""),405440.0)</f>
        <v>405440</v>
      </c>
      <c r="C3003" t="str">
        <f>IFERROR(__xludf.DUMMYFUNCTION("""COMPUTED_VALUE"""),"Leadership: New Manager Training for Technical Professionals")</f>
        <v>Leadership: New Manager Training for Technical Professionals</v>
      </c>
    </row>
    <row r="3004">
      <c r="A3004" s="140" t="str">
        <f>IFERROR(__xludf.DUMMYFUNCTION("""COMPUTED_VALUE"""),"en")</f>
        <v>en</v>
      </c>
      <c r="B3004">
        <f>IFERROR(__xludf.DUMMYFUNCTION("""COMPUTED_VALUE"""),2015150.0)</f>
        <v>2015150</v>
      </c>
      <c r="C3004" t="str">
        <f>IFERROR(__xludf.DUMMYFUNCTION("""COMPUTED_VALUE"""),"Gradle Fundamentals")</f>
        <v>Gradle Fundamentals</v>
      </c>
    </row>
    <row r="3005">
      <c r="A3005" s="140" t="str">
        <f>IFERROR(__xludf.DUMMYFUNCTION("""COMPUTED_VALUE"""),"ja")</f>
        <v>ja</v>
      </c>
      <c r="B3005">
        <f>IFERROR(__xludf.DUMMYFUNCTION("""COMPUTED_VALUE"""),1393880.0)</f>
        <v>1393880</v>
      </c>
      <c r="C3005" t="str">
        <f>IFERROR(__xludf.DUMMYFUNCTION("""COMPUTED_VALUE"""),"初心者必見！Pythonでニューラルネット・深層学習を完全攻略")</f>
        <v>初心者必見！Pythonでニューラルネット・深層学習を完全攻略</v>
      </c>
    </row>
    <row r="3006">
      <c r="A3006" s="140" t="str">
        <f>IFERROR(__xludf.DUMMYFUNCTION("""COMPUTED_VALUE"""),"en")</f>
        <v>en</v>
      </c>
      <c r="B3006">
        <f>IFERROR(__xludf.DUMMYFUNCTION("""COMPUTED_VALUE"""),1840658.0)</f>
        <v>1840658</v>
      </c>
      <c r="C3006" t="str">
        <f>IFERROR(__xludf.DUMMYFUNCTION("""COMPUTED_VALUE"""),"Cleaning Data In R with Tidyverse and Data.table")</f>
        <v>Cleaning Data In R with Tidyverse and Data.table</v>
      </c>
    </row>
    <row r="3007">
      <c r="A3007" s="140" t="str">
        <f>IFERROR(__xludf.DUMMYFUNCTION("""COMPUTED_VALUE"""),"en")</f>
        <v>en</v>
      </c>
      <c r="B3007">
        <f>IFERROR(__xludf.DUMMYFUNCTION("""COMPUTED_VALUE"""),2470458.0)</f>
        <v>2470458</v>
      </c>
      <c r="C3007" t="str">
        <f>IFERROR(__xludf.DUMMYFUNCTION("""COMPUTED_VALUE"""),"Snowflake for Developers")</f>
        <v>Snowflake for Developers</v>
      </c>
    </row>
    <row r="3008">
      <c r="A3008" s="140" t="str">
        <f>IFERROR(__xludf.DUMMYFUNCTION("""COMPUTED_VALUE"""),"es")</f>
        <v>es</v>
      </c>
      <c r="B3008">
        <f>IFERROR(__xludf.DUMMYFUNCTION("""COMPUTED_VALUE"""),2488852.0)</f>
        <v>2488852</v>
      </c>
      <c r="C3008" t="str">
        <f>IFERROR(__xludf.DUMMYFUNCTION("""COMPUTED_VALUE"""),"Patrones de Diseño Java")</f>
        <v>Patrones de Diseño Java</v>
      </c>
    </row>
    <row r="3009">
      <c r="A3009" s="140" t="str">
        <f>IFERROR(__xludf.DUMMYFUNCTION("""COMPUTED_VALUE"""),"tr")</f>
        <v>tr</v>
      </c>
      <c r="B3009">
        <f>IFERROR(__xludf.DUMMYFUNCTION("""COMPUTED_VALUE"""),2054099.0)</f>
        <v>2054099</v>
      </c>
      <c r="C3009" t="str">
        <f>IFERROR(__xludf.DUMMYFUNCTION("""COMPUTED_VALUE"""),"Başlangıçtan Uzmanlık Seviyesine Google Ads (Adwords) Kursu")</f>
        <v>Başlangıçtan Uzmanlık Seviyesine Google Ads (Adwords) Kursu</v>
      </c>
    </row>
    <row r="3010">
      <c r="A3010" s="140" t="str">
        <f>IFERROR(__xludf.DUMMYFUNCTION("""COMPUTED_VALUE"""),"pt")</f>
        <v>pt</v>
      </c>
      <c r="B3010">
        <f>IFERROR(__xludf.DUMMYFUNCTION("""COMPUTED_VALUE"""),2569532.0)</f>
        <v>2569532</v>
      </c>
      <c r="C3010" t="str">
        <f>IFERROR(__xludf.DUMMYFUNCTION("""COMPUTED_VALUE"""),"Curso Instagram Marketing Completo - Do Básico ao Avançado.")</f>
        <v>Curso Instagram Marketing Completo - Do Básico ao Avançado.</v>
      </c>
    </row>
    <row r="3011">
      <c r="A3011" s="140" t="str">
        <f>IFERROR(__xludf.DUMMYFUNCTION("""COMPUTED_VALUE"""),"ar")</f>
        <v>ar</v>
      </c>
      <c r="B3011">
        <f>IFERROR(__xludf.DUMMYFUNCTION("""COMPUTED_VALUE"""),2183802.0)</f>
        <v>2183802</v>
      </c>
      <c r="C3011" t="str">
        <f>IFERROR(__xludf.DUMMYFUNCTION("""COMPUTED_VALUE"""),"DC Machines محركات و مولدات التيار المستمر")</f>
        <v>DC Machines محركات و مولدات التيار المستمر</v>
      </c>
    </row>
    <row r="3012">
      <c r="A3012" s="140" t="str">
        <f>IFERROR(__xludf.DUMMYFUNCTION("""COMPUTED_VALUE"""),"de")</f>
        <v>de</v>
      </c>
      <c r="B3012">
        <f>IFERROR(__xludf.DUMMYFUNCTION("""COMPUTED_VALUE"""),1309718.0)</f>
        <v>1309718</v>
      </c>
      <c r="C3012" t="str">
        <f>IFERROR(__xludf.DUMMYFUNCTION("""COMPUTED_VALUE"""),"So motivierst du dich und entwickelst neue Gewohnheiten")</f>
        <v>So motivierst du dich und entwickelst neue Gewohnheiten</v>
      </c>
    </row>
    <row r="3013">
      <c r="A3013" s="140" t="str">
        <f>IFERROR(__xludf.DUMMYFUNCTION("""COMPUTED_VALUE"""),"es")</f>
        <v>es</v>
      </c>
      <c r="B3013">
        <f>IFERROR(__xludf.DUMMYFUNCTION("""COMPUTED_VALUE"""),1437280.0)</f>
        <v>1437280</v>
      </c>
      <c r="C3013" t="str">
        <f>IFERROR(__xludf.DUMMYFUNCTION("""COMPUTED_VALUE"""),"Ventas Paso a Paso: Curso Completo para Aumentar tus Ventas")</f>
        <v>Ventas Paso a Paso: Curso Completo para Aumentar tus Ventas</v>
      </c>
    </row>
    <row r="3014">
      <c r="A3014" s="140" t="str">
        <f>IFERROR(__xludf.DUMMYFUNCTION("""COMPUTED_VALUE"""),"en")</f>
        <v>en</v>
      </c>
      <c r="B3014">
        <f>IFERROR(__xludf.DUMMYFUNCTION("""COMPUTED_VALUE"""),568654.0)</f>
        <v>568654</v>
      </c>
      <c r="C3014" t="str">
        <f>IFERROR(__xludf.DUMMYFUNCTION("""COMPUTED_VALUE"""),"The Complete Public Speaking Certification Program (Part 1)")</f>
        <v>The Complete Public Speaking Certification Program (Part 1)</v>
      </c>
    </row>
    <row r="3015">
      <c r="A3015" s="140" t="str">
        <f>IFERROR(__xludf.DUMMYFUNCTION("""COMPUTED_VALUE"""),"pt")</f>
        <v>pt</v>
      </c>
      <c r="B3015">
        <f>IFERROR(__xludf.DUMMYFUNCTION("""COMPUTED_VALUE"""),1499928.0)</f>
        <v>1499928</v>
      </c>
      <c r="C3015" t="str">
        <f>IFERROR(__xludf.DUMMYFUNCTION("""COMPUTED_VALUE"""),"BGP para provedores -  do básico ao avançado")</f>
        <v>BGP para provedores -  do básico ao avançado</v>
      </c>
    </row>
    <row r="3016">
      <c r="A3016" s="140" t="str">
        <f>IFERROR(__xludf.DUMMYFUNCTION("""COMPUTED_VALUE"""),"tr")</f>
        <v>tr</v>
      </c>
      <c r="B3016">
        <f>IFERROR(__xludf.DUMMYFUNCTION("""COMPUTED_VALUE"""),2907992.0)</f>
        <v>2907992</v>
      </c>
      <c r="C3016" t="str">
        <f>IFERROR(__xludf.DUMMYFUNCTION("""COMPUTED_VALUE"""),"TÜRKLER İÇİN YUNANCA DERSLERİ A1 SEVİYESİNDE")</f>
        <v>TÜRKLER İÇİN YUNANCA DERSLERİ A1 SEVİYESİNDE</v>
      </c>
    </row>
    <row r="3017">
      <c r="A3017" s="140" t="str">
        <f>IFERROR(__xludf.DUMMYFUNCTION("""COMPUTED_VALUE"""),"en")</f>
        <v>en</v>
      </c>
      <c r="B3017">
        <f>IFERROR(__xludf.DUMMYFUNCTION("""COMPUTED_VALUE"""),2109522.0)</f>
        <v>2109522</v>
      </c>
      <c r="C3017" t="str">
        <f>IFERROR(__xludf.DUMMYFUNCTION("""COMPUTED_VALUE"""),"Selenium WebDriver with Docker, Jenkins &amp; AWS")</f>
        <v>Selenium WebDriver with Docker, Jenkins &amp; AWS</v>
      </c>
    </row>
    <row r="3018">
      <c r="A3018" s="140" t="str">
        <f>IFERROR(__xludf.DUMMYFUNCTION("""COMPUTED_VALUE"""),"ja")</f>
        <v>ja</v>
      </c>
      <c r="B3018">
        <f>IFERROR(__xludf.DUMMYFUNCTION("""COMPUTED_VALUE"""),2763848.0)</f>
        <v>2763848</v>
      </c>
      <c r="C3018" t="str">
        <f>IFERROR(__xludf.DUMMYFUNCTION("""COMPUTED_VALUE"""),"【世界で37万人が受講】データサイエンティストを目指すあなたへ〜データサイエンス25時間ブートキャンプ〜")</f>
        <v>【世界で37万人が受講】データサイエンティストを目指すあなたへ〜データサイエンス25時間ブートキャンプ〜</v>
      </c>
    </row>
    <row r="3019">
      <c r="A3019" s="140" t="str">
        <f>IFERROR(__xludf.DUMMYFUNCTION("""COMPUTED_VALUE"""),"en")</f>
        <v>en</v>
      </c>
      <c r="B3019">
        <f>IFERROR(__xludf.DUMMYFUNCTION("""COMPUTED_VALUE"""),297390.0)</f>
        <v>297390</v>
      </c>
      <c r="C3019" t="str">
        <f>IFERROR(__xludf.DUMMYFUNCTION("""COMPUTED_VALUE"""),"Joomla: Create a Joomla Website This Weekend With NO CODING!")</f>
        <v>Joomla: Create a Joomla Website This Weekend With NO CODING!</v>
      </c>
    </row>
    <row r="3020">
      <c r="A3020" s="140" t="str">
        <f>IFERROR(__xludf.DUMMYFUNCTION("""COMPUTED_VALUE"""),"ar")</f>
        <v>ar</v>
      </c>
      <c r="B3020">
        <f>IFERROR(__xludf.DUMMYFUNCTION("""COMPUTED_VALUE"""),3218771.0)</f>
        <v>3218771</v>
      </c>
      <c r="C3020" t="str">
        <f>IFERROR(__xludf.DUMMYFUNCTION("""COMPUTED_VALUE"""),"التسويق الالكتروني: ضاعف مبيعاتك من خلال التسعير الذكي")</f>
        <v>التسويق الالكتروني: ضاعف مبيعاتك من خلال التسعير الذكي</v>
      </c>
    </row>
    <row r="3021">
      <c r="A3021" s="140" t="str">
        <f>IFERROR(__xludf.DUMMYFUNCTION("""COMPUTED_VALUE"""),"en")</f>
        <v>en</v>
      </c>
      <c r="B3021">
        <f>IFERROR(__xludf.DUMMYFUNCTION("""COMPUTED_VALUE"""),679730.0)</f>
        <v>679730</v>
      </c>
      <c r="C3021" t="str">
        <f>IFERROR(__xludf.DUMMYFUNCTION("""COMPUTED_VALUE"""),"Learn Dutch... in Dutch 1: the Dutch language for beginners")</f>
        <v>Learn Dutch... in Dutch 1: the Dutch language for beginners</v>
      </c>
    </row>
    <row r="3022">
      <c r="A3022" s="140" t="str">
        <f>IFERROR(__xludf.DUMMYFUNCTION("""COMPUTED_VALUE"""),"en")</f>
        <v>en</v>
      </c>
      <c r="B3022">
        <f>IFERROR(__xludf.DUMMYFUNCTION("""COMPUTED_VALUE"""),728254.0)</f>
        <v>728254</v>
      </c>
      <c r="C3022" t="str">
        <f>IFERROR(__xludf.DUMMYFUNCTION("""COMPUTED_VALUE"""),"Music theory for complete beginners")</f>
        <v>Music theory for complete beginners</v>
      </c>
    </row>
    <row r="3023">
      <c r="A3023" s="140" t="str">
        <f>IFERROR(__xludf.DUMMYFUNCTION("""COMPUTED_VALUE"""),"de")</f>
        <v>de</v>
      </c>
      <c r="B3023">
        <f>IFERROR(__xludf.DUMMYFUNCTION("""COMPUTED_VALUE"""),630678.0)</f>
        <v>630678</v>
      </c>
      <c r="C3023" t="str">
        <f>IFERROR(__xludf.DUMMYFUNCTION("""COMPUTED_VALUE"""),"Das große Microsoft Office 2016 - 2019 Einsteiger Training")</f>
        <v>Das große Microsoft Office 2016 - 2019 Einsteiger Training</v>
      </c>
    </row>
    <row r="3024">
      <c r="A3024" s="140" t="str">
        <f>IFERROR(__xludf.DUMMYFUNCTION("""COMPUTED_VALUE"""),"en")</f>
        <v>en</v>
      </c>
      <c r="B3024">
        <f>IFERROR(__xludf.DUMMYFUNCTION("""COMPUTED_VALUE"""),179446.0)</f>
        <v>179446</v>
      </c>
      <c r="C3024" t="str">
        <f>IFERROR(__xludf.DUMMYFUNCTION("""COMPUTED_VALUE"""),"Commercial Credit Analysis")</f>
        <v>Commercial Credit Analysis</v>
      </c>
    </row>
    <row r="3025">
      <c r="A3025" s="140" t="str">
        <f>IFERROR(__xludf.DUMMYFUNCTION("""COMPUTED_VALUE"""),"en")</f>
        <v>en</v>
      </c>
      <c r="B3025">
        <f>IFERROR(__xludf.DUMMYFUNCTION("""COMPUTED_VALUE"""),2547537.0)</f>
        <v>2547537</v>
      </c>
      <c r="C3025" t="str">
        <f>IFERROR(__xludf.DUMMYFUNCTION("""COMPUTED_VALUE"""),"Learn the Newest and EASIEST React Native Stack")</f>
        <v>Learn the Newest and EASIEST React Native Stack</v>
      </c>
    </row>
    <row r="3026">
      <c r="A3026" s="140" t="str">
        <f>IFERROR(__xludf.DUMMYFUNCTION("""COMPUTED_VALUE"""),"ja")</f>
        <v>ja</v>
      </c>
      <c r="B3026">
        <f>IFERROR(__xludf.DUMMYFUNCTION("""COMPUTED_VALUE"""),2713308.0)</f>
        <v>2713308</v>
      </c>
      <c r="C3026" t="str">
        <f>IFERROR(__xludf.DUMMYFUNCTION("""COMPUTED_VALUE"""),"LINE Bot Designer &amp; Node-REDで作る。ノンプログラミングLINEチャットボット")</f>
        <v>LINE Bot Designer &amp; Node-REDで作る。ノンプログラミングLINEチャットボット</v>
      </c>
    </row>
    <row r="3027">
      <c r="A3027" s="140" t="str">
        <f>IFERROR(__xludf.DUMMYFUNCTION("""COMPUTED_VALUE"""),"es")</f>
        <v>es</v>
      </c>
      <c r="B3027">
        <f>IFERROR(__xludf.DUMMYFUNCTION("""COMPUTED_VALUE"""),3832212.0)</f>
        <v>3832212</v>
      </c>
      <c r="C3027" t="str">
        <f>IFERROR(__xludf.DUMMYFUNCTION("""COMPUTED_VALUE"""),"Introducción a Jira para gestión de proyectos con Kanban")</f>
        <v>Introducción a Jira para gestión de proyectos con Kanban</v>
      </c>
    </row>
    <row r="3028">
      <c r="A3028" s="140" t="str">
        <f>IFERROR(__xludf.DUMMYFUNCTION("""COMPUTED_VALUE"""),"en")</f>
        <v>en</v>
      </c>
      <c r="B3028">
        <f>IFERROR(__xludf.DUMMYFUNCTION("""COMPUTED_VALUE"""),1445354.0)</f>
        <v>1445354</v>
      </c>
      <c r="C3028" t="str">
        <f>IFERROR(__xludf.DUMMYFUNCTION("""COMPUTED_VALUE"""),"High Performance Coding with .NET Core and C#")</f>
        <v>High Performance Coding with .NET Core and C#</v>
      </c>
    </row>
    <row r="3029">
      <c r="A3029" s="140" t="str">
        <f>IFERROR(__xludf.DUMMYFUNCTION("""COMPUTED_VALUE"""),"es")</f>
        <v>es</v>
      </c>
      <c r="B3029">
        <f>IFERROR(__xludf.DUMMYFUNCTION("""COMPUTED_VALUE"""),356578.0)</f>
        <v>356578</v>
      </c>
      <c r="C3029" t="str">
        <f>IFERROR(__xludf.DUMMYFUNCTION("""COMPUTED_VALUE"""),"Trabajando con datos en la Web")</f>
        <v>Trabajando con datos en la Web</v>
      </c>
    </row>
    <row r="3030">
      <c r="A3030" s="140" t="str">
        <f>IFERROR(__xludf.DUMMYFUNCTION("""COMPUTED_VALUE"""),"en")</f>
        <v>en</v>
      </c>
      <c r="B3030">
        <f>IFERROR(__xludf.DUMMYFUNCTION("""COMPUTED_VALUE"""),366280.0)</f>
        <v>366280</v>
      </c>
      <c r="C3030" t="str">
        <f>IFERROR(__xludf.DUMMYFUNCTION("""COMPUTED_VALUE"""),"Java Database Connection: JDBC and MySQL")</f>
        <v>Java Database Connection: JDBC and MySQL</v>
      </c>
    </row>
    <row r="3031">
      <c r="A3031" s="140" t="str">
        <f>IFERROR(__xludf.DUMMYFUNCTION("""COMPUTED_VALUE"""),"de")</f>
        <v>de</v>
      </c>
      <c r="B3031">
        <f>IFERROR(__xludf.DUMMYFUNCTION("""COMPUTED_VALUE"""),2516212.0)</f>
        <v>2516212</v>
      </c>
      <c r="C3031" t="str">
        <f>IFERROR(__xludf.DUMMYFUNCTION("""COMPUTED_VALUE"""),"Charisma: Mehr Ausstrahlung mit dem Charisma-Code!")</f>
        <v>Charisma: Mehr Ausstrahlung mit dem Charisma-Code!</v>
      </c>
    </row>
    <row r="3032">
      <c r="A3032" s="140" t="str">
        <f>IFERROR(__xludf.DUMMYFUNCTION("""COMPUTED_VALUE"""),"en")</f>
        <v>en</v>
      </c>
      <c r="B3032">
        <f>IFERROR(__xludf.DUMMYFUNCTION("""COMPUTED_VALUE"""),3685672.0)</f>
        <v>3685672</v>
      </c>
      <c r="C3032" t="str">
        <f>IFERROR(__xludf.DUMMYFUNCTION("""COMPUTED_VALUE"""),"Automation Anywhere 360/A2019 - Complete RPA Training Course")</f>
        <v>Automation Anywhere 360/A2019 - Complete RPA Training Course</v>
      </c>
    </row>
    <row r="3033">
      <c r="A3033" s="140" t="str">
        <f>IFERROR(__xludf.DUMMYFUNCTION("""COMPUTED_VALUE"""),"en")</f>
        <v>en</v>
      </c>
      <c r="B3033">
        <f>IFERROR(__xludf.DUMMYFUNCTION("""COMPUTED_VALUE"""),886054.0)</f>
        <v>886054</v>
      </c>
      <c r="C3033" t="str">
        <f>IFERROR(__xludf.DUMMYFUNCTION("""COMPUTED_VALUE"""),"Scalable programming with Scala and Spark")</f>
        <v>Scalable programming with Scala and Spark</v>
      </c>
    </row>
    <row r="3034">
      <c r="A3034" s="140" t="str">
        <f>IFERROR(__xludf.DUMMYFUNCTION("""COMPUTED_VALUE"""),"es")</f>
        <v>es</v>
      </c>
      <c r="B3034">
        <f>IFERROR(__xludf.DUMMYFUNCTION("""COMPUTED_VALUE"""),2655162.0)</f>
        <v>2655162</v>
      </c>
      <c r="C3034" t="str">
        <f>IFERROR(__xludf.DUMMYFUNCTION("""COMPUTED_VALUE"""),"ISO 9001:2015 Interpretación y guía para su implementación")</f>
        <v>ISO 9001:2015 Interpretación y guía para su implementación</v>
      </c>
    </row>
    <row r="3035">
      <c r="A3035" s="140" t="str">
        <f>IFERROR(__xludf.DUMMYFUNCTION("""COMPUTED_VALUE"""),"en")</f>
        <v>en</v>
      </c>
      <c r="B3035">
        <f>IFERROR(__xludf.DUMMYFUNCTION("""COMPUTED_VALUE"""),986894.0)</f>
        <v>986894</v>
      </c>
      <c r="C3035" t="str">
        <f>IFERROR(__xludf.DUMMYFUNCTION("""COMPUTED_VALUE"""),"Getting Started with Ionic v2/v3 and Parse Server")</f>
        <v>Getting Started with Ionic v2/v3 and Parse Server</v>
      </c>
    </row>
    <row r="3036">
      <c r="A3036" s="140" t="str">
        <f>IFERROR(__xludf.DUMMYFUNCTION("""COMPUTED_VALUE"""),"tr")</f>
        <v>tr</v>
      </c>
      <c r="B3036">
        <f>IFERROR(__xludf.DUMMYFUNCTION("""COMPUTED_VALUE"""),2146702.0)</f>
        <v>2146702</v>
      </c>
      <c r="C3036" t="str">
        <f>IFERROR(__xludf.DUMMYFUNCTION("""COMPUTED_VALUE"""),"Photoshop Lightroom CC 2020 | Fotoğraf Düzenleme Eğitim Seti")</f>
        <v>Photoshop Lightroom CC 2020 | Fotoğraf Düzenleme Eğitim Seti</v>
      </c>
    </row>
    <row r="3037">
      <c r="A3037" s="140" t="str">
        <f>IFERROR(__xludf.DUMMYFUNCTION("""COMPUTED_VALUE"""),"es")</f>
        <v>es</v>
      </c>
      <c r="B3037">
        <f>IFERROR(__xludf.DUMMYFUNCTION("""COMPUTED_VALUE"""),1354956.0)</f>
        <v>1354956</v>
      </c>
      <c r="C3037" t="str">
        <f>IFERROR(__xludf.DUMMYFUNCTION("""COMPUTED_VALUE"""),"Elimina el estrés negativo de tu vida")</f>
        <v>Elimina el estrés negativo de tu vida</v>
      </c>
    </row>
    <row r="3038">
      <c r="A3038" s="140" t="str">
        <f>IFERROR(__xludf.DUMMYFUNCTION("""COMPUTED_VALUE"""),"en")</f>
        <v>en</v>
      </c>
      <c r="B3038">
        <f>IFERROR(__xludf.DUMMYFUNCTION("""COMPUTED_VALUE"""),1420562.0)</f>
        <v>1420562</v>
      </c>
      <c r="C3038" t="str">
        <f>IFERROR(__xludf.DUMMYFUNCTION("""COMPUTED_VALUE"""),"Webpack 4: Beyond the Basics")</f>
        <v>Webpack 4: Beyond the Basics</v>
      </c>
    </row>
    <row r="3039">
      <c r="A3039" s="140" t="str">
        <f>IFERROR(__xludf.DUMMYFUNCTION("""COMPUTED_VALUE"""),"en")</f>
        <v>en</v>
      </c>
      <c r="B3039">
        <f>IFERROR(__xludf.DUMMYFUNCTION("""COMPUTED_VALUE"""),543600.0)</f>
        <v>543600</v>
      </c>
      <c r="C3039" t="str">
        <f>IFERROR(__xludf.DUMMYFUNCTION("""COMPUTED_VALUE"""),"Automate the Boring Stuff with Python Programming")</f>
        <v>Automate the Boring Stuff with Python Programming</v>
      </c>
    </row>
    <row r="3040">
      <c r="A3040" s="140" t="str">
        <f>IFERROR(__xludf.DUMMYFUNCTION("""COMPUTED_VALUE"""),"ja")</f>
        <v>ja</v>
      </c>
      <c r="B3040">
        <f>IFERROR(__xludf.DUMMYFUNCTION("""COMPUTED_VALUE"""),2842528.0)</f>
        <v>2842528</v>
      </c>
      <c r="C3040" t="str">
        <f>IFERROR(__xludf.DUMMYFUNCTION("""COMPUTED_VALUE"""),"【超基礎編】Wix公式パートナーが講師！未経験者・パソコン初心者もOK！プロ用高額ソフトを使いません！")</f>
        <v>【超基礎編】Wix公式パートナーが講師！未経験者・パソコン初心者もOK！プロ用高額ソフトを使いません！</v>
      </c>
    </row>
    <row r="3041">
      <c r="A3041" s="140" t="str">
        <f>IFERROR(__xludf.DUMMYFUNCTION("""COMPUTED_VALUE"""),"en")</f>
        <v>en</v>
      </c>
      <c r="B3041">
        <f>IFERROR(__xludf.DUMMYFUNCTION("""COMPUTED_VALUE"""),1641538.0)</f>
        <v>1641538</v>
      </c>
      <c r="C3041" t="str">
        <f>IFERROR(__xludf.DUMMYFUNCTION("""COMPUTED_VALUE"""),"Music Theory Comprehensive Complete: Part 10, 11, &amp; 12")</f>
        <v>Music Theory Comprehensive Complete: Part 10, 11, &amp; 12</v>
      </c>
    </row>
    <row r="3042">
      <c r="A3042" s="140" t="str">
        <f>IFERROR(__xludf.DUMMYFUNCTION("""COMPUTED_VALUE"""),"en")</f>
        <v>en</v>
      </c>
      <c r="B3042">
        <f>IFERROR(__xludf.DUMMYFUNCTION("""COMPUTED_VALUE"""),1366348.0)</f>
        <v>1366348</v>
      </c>
      <c r="C3042" t="str">
        <f>IFERROR(__xludf.DUMMYFUNCTION("""COMPUTED_VALUE"""),"Cross-Cultural Communication: How To Flex Your Style")</f>
        <v>Cross-Cultural Communication: How To Flex Your Style</v>
      </c>
    </row>
    <row r="3043">
      <c r="A3043" s="140" t="str">
        <f>IFERROR(__xludf.DUMMYFUNCTION("""COMPUTED_VALUE"""),"en")</f>
        <v>en</v>
      </c>
      <c r="B3043">
        <f>IFERROR(__xludf.DUMMYFUNCTION("""COMPUTED_VALUE"""),698200.0)</f>
        <v>698200</v>
      </c>
      <c r="C3043" t="str">
        <f>IFERROR(__xludf.DUMMYFUNCTION("""COMPUTED_VALUE"""),"Success: How to Set and Achieve Goals")</f>
        <v>Success: How to Set and Achieve Goals</v>
      </c>
    </row>
    <row r="3044">
      <c r="A3044" s="140" t="str">
        <f>IFERROR(__xludf.DUMMYFUNCTION("""COMPUTED_VALUE"""),"en")</f>
        <v>en</v>
      </c>
      <c r="B3044">
        <f>IFERROR(__xludf.DUMMYFUNCTION("""COMPUTED_VALUE"""),1053406.0)</f>
        <v>1053406</v>
      </c>
      <c r="C3044" t="str">
        <f>IFERROR(__xludf.DUMMYFUNCTION("""COMPUTED_VALUE"""),"Java Web Services Part 2 - SOAP and REST Security")</f>
        <v>Java Web Services Part 2 - SOAP and REST Security</v>
      </c>
    </row>
    <row r="3045">
      <c r="A3045" s="140" t="str">
        <f>IFERROR(__xludf.DUMMYFUNCTION("""COMPUTED_VALUE"""),"pt")</f>
        <v>pt</v>
      </c>
      <c r="B3045">
        <f>IFERROR(__xludf.DUMMYFUNCTION("""COMPUTED_VALUE"""),1272374.0)</f>
        <v>1272374</v>
      </c>
      <c r="C3045" t="str">
        <f>IFERROR(__xludf.DUMMYFUNCTION("""COMPUTED_VALUE"""),"Lightroom Classic CC 2017 Completo do Iniciante ao Avançado")</f>
        <v>Lightroom Classic CC 2017 Completo do Iniciante ao Avançado</v>
      </c>
    </row>
    <row r="3046">
      <c r="A3046" s="140" t="str">
        <f>IFERROR(__xludf.DUMMYFUNCTION("""COMPUTED_VALUE"""),"en")</f>
        <v>en</v>
      </c>
      <c r="B3046">
        <f>IFERROR(__xludf.DUMMYFUNCTION("""COMPUTED_VALUE"""),2421042.0)</f>
        <v>2421042</v>
      </c>
      <c r="C3046" t="str">
        <f>IFERROR(__xludf.DUMMYFUNCTION("""COMPUTED_VALUE"""),"Learn Linux administration and linux command line skills")</f>
        <v>Learn Linux administration and linux command line skills</v>
      </c>
    </row>
    <row r="3047">
      <c r="A3047" s="140" t="str">
        <f>IFERROR(__xludf.DUMMYFUNCTION("""COMPUTED_VALUE"""),"ja")</f>
        <v>ja</v>
      </c>
      <c r="B3047">
        <f>IFERROR(__xludf.DUMMYFUNCTION("""COMPUTED_VALUE"""),4061078.0)</f>
        <v>4061078</v>
      </c>
      <c r="C3047" t="str">
        <f>IFERROR(__xludf.DUMMYFUNCTION("""COMPUTED_VALUE"""),"＜UB確認テスト＞【キカガク流】人工知能・機械学習 脱ブラックボックス講座 - 初級編 -")</f>
        <v>＜UB確認テスト＞【キカガク流】人工知能・機械学習 脱ブラックボックス講座 - 初級編 -</v>
      </c>
    </row>
    <row r="3048">
      <c r="A3048" s="140" t="str">
        <f>IFERROR(__xludf.DUMMYFUNCTION("""COMPUTED_VALUE"""),"en")</f>
        <v>en</v>
      </c>
      <c r="B3048">
        <f>IFERROR(__xludf.DUMMYFUNCTION("""COMPUTED_VALUE"""),2564962.0)</f>
        <v>2564962</v>
      </c>
      <c r="C3048" t="str">
        <f>IFERROR(__xludf.DUMMYFUNCTION("""COMPUTED_VALUE"""),"MERN Stack - The Complete Guide")</f>
        <v>MERN Stack - The Complete Guide</v>
      </c>
    </row>
    <row r="3049">
      <c r="A3049" s="140" t="str">
        <f>IFERROR(__xludf.DUMMYFUNCTION("""COMPUTED_VALUE"""),"es")</f>
        <v>es</v>
      </c>
      <c r="B3049">
        <f>IFERROR(__xludf.DUMMYFUNCTION("""COMPUTED_VALUE"""),2773566.0)</f>
        <v>2773566</v>
      </c>
      <c r="C3049" t="str">
        <f>IFERROR(__xludf.DUMMYFUNCTION("""COMPUTED_VALUE"""),"Desarrolla sistemas en Java, MySQL, DAO, POO, Swing, 3 Capas")</f>
        <v>Desarrolla sistemas en Java, MySQL, DAO, POO, Swing, 3 Capas</v>
      </c>
    </row>
    <row r="3050">
      <c r="A3050" s="140" t="str">
        <f>IFERROR(__xludf.DUMMYFUNCTION("""COMPUTED_VALUE"""),"es")</f>
        <v>es</v>
      </c>
      <c r="B3050">
        <f>IFERROR(__xludf.DUMMYFUNCTION("""COMPUTED_VALUE"""),1354962.0)</f>
        <v>1354962</v>
      </c>
      <c r="C3050" t="str">
        <f>IFERROR(__xludf.DUMMYFUNCTION("""COMPUTED_VALUE"""),"Comunicador@ Superestrella")</f>
        <v>Comunicador@ Superestrella</v>
      </c>
    </row>
    <row r="3051">
      <c r="A3051" s="140" t="str">
        <f>IFERROR(__xludf.DUMMYFUNCTION("""COMPUTED_VALUE"""),"pt")</f>
        <v>pt</v>
      </c>
      <c r="B3051">
        <f>IFERROR(__xludf.DUMMYFUNCTION("""COMPUTED_VALUE"""),1975144.0)</f>
        <v>1975144</v>
      </c>
      <c r="C3051" t="str">
        <f>IFERROR(__xludf.DUMMYFUNCTION("""COMPUTED_VALUE"""),"Empoderamento Feminino nas Redes Sociais: uma experiência")</f>
        <v>Empoderamento Feminino nas Redes Sociais: uma experiência</v>
      </c>
    </row>
    <row r="3052">
      <c r="A3052" s="140" t="str">
        <f>IFERROR(__xludf.DUMMYFUNCTION("""COMPUTED_VALUE"""),"zh")</f>
        <v>zh</v>
      </c>
      <c r="B3052">
        <f>IFERROR(__xludf.DUMMYFUNCTION("""COMPUTED_VALUE"""),1887048.0)</f>
        <v>1887048</v>
      </c>
      <c r="C3052" t="str">
        <f>IFERROR(__xludf.DUMMYFUNCTION("""COMPUTED_VALUE"""),"PPT不平凡之路-名企课程线上课")</f>
        <v>PPT不平凡之路-名企课程线上课</v>
      </c>
    </row>
    <row r="3053">
      <c r="A3053" s="140" t="str">
        <f>IFERROR(__xludf.DUMMYFUNCTION("""COMPUTED_VALUE"""),"pt")</f>
        <v>pt</v>
      </c>
      <c r="B3053">
        <f>IFERROR(__xludf.DUMMYFUNCTION("""COMPUTED_VALUE"""),2524236.0)</f>
        <v>2524236</v>
      </c>
      <c r="C3053" t="str">
        <f>IFERROR(__xludf.DUMMYFUNCTION("""COMPUTED_VALUE"""),"AspNetCore 5.0 iniciando no 2.2, EF Core 5.0, JWT + Identity")</f>
        <v>AspNetCore 5.0 iniciando no 2.2, EF Core 5.0, JWT + Identity</v>
      </c>
    </row>
    <row r="3054">
      <c r="A3054" s="140" t="str">
        <f>IFERROR(__xludf.DUMMYFUNCTION("""COMPUTED_VALUE"""),"en")</f>
        <v>en</v>
      </c>
      <c r="B3054">
        <f>IFERROR(__xludf.DUMMYFUNCTION("""COMPUTED_VALUE"""),3217579.0)</f>
        <v>3217579</v>
      </c>
      <c r="C3054" t="str">
        <f>IFERROR(__xludf.DUMMYFUNCTION("""COMPUTED_VALUE"""),"4G LTE: Technology, Architecture And Protocols")</f>
        <v>4G LTE: Technology, Architecture And Protocols</v>
      </c>
    </row>
    <row r="3055">
      <c r="A3055" s="140" t="str">
        <f>IFERROR(__xludf.DUMMYFUNCTION("""COMPUTED_VALUE"""),"en")</f>
        <v>en</v>
      </c>
      <c r="B3055">
        <f>IFERROR(__xludf.DUMMYFUNCTION("""COMPUTED_VALUE"""),3887014.0)</f>
        <v>3887014</v>
      </c>
      <c r="C3055" t="str">
        <f>IFERROR(__xludf.DUMMYFUNCTION("""COMPUTED_VALUE"""),"SHRM Certification Exam Prep: Essential Steps for HR Pros")</f>
        <v>SHRM Certification Exam Prep: Essential Steps for HR Pros</v>
      </c>
    </row>
    <row r="3056">
      <c r="A3056" s="140" t="str">
        <f>IFERROR(__xludf.DUMMYFUNCTION("""COMPUTED_VALUE"""),"ar")</f>
        <v>ar</v>
      </c>
      <c r="B3056">
        <f>IFERROR(__xludf.DUMMYFUNCTION("""COMPUTED_VALUE"""),2986550.0)</f>
        <v>2986550</v>
      </c>
      <c r="C3056" t="str">
        <f>IFERROR(__xludf.DUMMYFUNCTION("""COMPUTED_VALUE"""),"C++ Programming Tutorial || دورة برمجة سي بلس بلس")</f>
        <v>C++ Programming Tutorial || دورة برمجة سي بلس بلس</v>
      </c>
    </row>
    <row r="3057">
      <c r="A3057" s="140" t="str">
        <f>IFERROR(__xludf.DUMMYFUNCTION("""COMPUTED_VALUE"""),"en")</f>
        <v>en</v>
      </c>
      <c r="B3057">
        <f>IFERROR(__xludf.DUMMYFUNCTION("""COMPUTED_VALUE"""),2717100.0)</f>
        <v>2717100</v>
      </c>
      <c r="C3057" t="str">
        <f>IFERROR(__xludf.DUMMYFUNCTION("""COMPUTED_VALUE"""),"Ansible for the DevOps Beginners &amp; System Admins")</f>
        <v>Ansible for the DevOps Beginners &amp; System Admins</v>
      </c>
    </row>
    <row r="3058">
      <c r="A3058" s="140" t="str">
        <f>IFERROR(__xludf.DUMMYFUNCTION("""COMPUTED_VALUE"""),"es")</f>
        <v>es</v>
      </c>
      <c r="B3058">
        <f>IFERROR(__xludf.DUMMYFUNCTION("""COMPUTED_VALUE"""),2632182.0)</f>
        <v>2632182</v>
      </c>
      <c r="C3058" t="str">
        <f>IFERROR(__xludf.DUMMYFUNCTION("""COMPUTED_VALUE"""),"Facebook Ads para Principiantes: Crea Anuncios en Facebook")</f>
        <v>Facebook Ads para Principiantes: Crea Anuncios en Facebook</v>
      </c>
    </row>
    <row r="3059">
      <c r="A3059" s="140" t="str">
        <f>IFERROR(__xludf.DUMMYFUNCTION("""COMPUTED_VALUE"""),"de")</f>
        <v>de</v>
      </c>
      <c r="B3059">
        <f>IFERROR(__xludf.DUMMYFUNCTION("""COMPUTED_VALUE"""),1170038.0)</f>
        <v>1170038</v>
      </c>
      <c r="C3059" t="str">
        <f>IFERROR(__xludf.DUMMYFUNCTION("""COMPUTED_VALUE"""),"10 Tipps, die dich auf YouTube erfolgreich machen")</f>
        <v>10 Tipps, die dich auf YouTube erfolgreich machen</v>
      </c>
    </row>
    <row r="3060">
      <c r="A3060" s="140" t="str">
        <f>IFERROR(__xludf.DUMMYFUNCTION("""COMPUTED_VALUE"""),"en")</f>
        <v>en</v>
      </c>
      <c r="B3060">
        <f>IFERROR(__xludf.DUMMYFUNCTION("""COMPUTED_VALUE"""),2227658.0)</f>
        <v>2227658</v>
      </c>
      <c r="C3060" t="str">
        <f>IFERROR(__xludf.DUMMYFUNCTION("""COMPUTED_VALUE"""),"Create a REST API using basic PHP with Token Authentication")</f>
        <v>Create a REST API using basic PHP with Token Authentication</v>
      </c>
    </row>
    <row r="3061">
      <c r="A3061" s="140" t="str">
        <f>IFERROR(__xludf.DUMMYFUNCTION("""COMPUTED_VALUE"""),"fr")</f>
        <v>fr</v>
      </c>
      <c r="B3061">
        <f>IFERROR(__xludf.DUMMYFUNCTION("""COMPUTED_VALUE"""),3104846.0)</f>
        <v>3104846</v>
      </c>
      <c r="C3061" t="str">
        <f>IFERROR(__xludf.DUMMYFUNCTION("""COMPUTED_VALUE"""),"Powershell pour les (grands) débutants (2021)")</f>
        <v>Powershell pour les (grands) débutants (2021)</v>
      </c>
    </row>
    <row r="3062">
      <c r="A3062" s="140" t="str">
        <f>IFERROR(__xludf.DUMMYFUNCTION("""COMPUTED_VALUE"""),"ja")</f>
        <v>ja</v>
      </c>
      <c r="B3062">
        <f>IFERROR(__xludf.DUMMYFUNCTION("""COMPUTED_VALUE"""),1252262.0)</f>
        <v>1252262</v>
      </c>
      <c r="C3062" t="str">
        <f>IFERROR(__xludf.DUMMYFUNCTION("""COMPUTED_VALUE"""),"Rではじめる統計基礎講座")</f>
        <v>Rではじめる統計基礎講座</v>
      </c>
    </row>
    <row r="3063">
      <c r="A3063" s="140" t="str">
        <f>IFERROR(__xludf.DUMMYFUNCTION("""COMPUTED_VALUE"""),"en")</f>
        <v>en</v>
      </c>
      <c r="B3063">
        <f>IFERROR(__xludf.DUMMYFUNCTION("""COMPUTED_VALUE"""),1941684.0)</f>
        <v>1941684</v>
      </c>
      <c r="C3063" t="str">
        <f>IFERROR(__xludf.DUMMYFUNCTION("""COMPUTED_VALUE"""),"AWS SysOps Administrator Associate - 2019")</f>
        <v>AWS SysOps Administrator Associate - 2019</v>
      </c>
    </row>
    <row r="3064">
      <c r="A3064" s="140" t="str">
        <f>IFERROR(__xludf.DUMMYFUNCTION("""COMPUTED_VALUE"""),"en")</f>
        <v>en</v>
      </c>
      <c r="B3064">
        <f>IFERROR(__xludf.DUMMYFUNCTION("""COMPUTED_VALUE"""),3180534.0)</f>
        <v>3180534</v>
      </c>
      <c r="C3064" t="str">
        <f>IFERROR(__xludf.DUMMYFUNCTION("""COMPUTED_VALUE"""),"Appium Mobile Automation - Android &amp; iOS + Frameworks + CICD")</f>
        <v>Appium Mobile Automation - Android &amp; iOS + Frameworks + CICD</v>
      </c>
    </row>
    <row r="3065">
      <c r="A3065" s="140" t="str">
        <f>IFERROR(__xludf.DUMMYFUNCTION("""COMPUTED_VALUE"""),"en")</f>
        <v>en</v>
      </c>
      <c r="B3065">
        <f>IFERROR(__xludf.DUMMYFUNCTION("""COMPUTED_VALUE"""),1026248.0)</f>
        <v>1026248</v>
      </c>
      <c r="C3065" t="str">
        <f>IFERROR(__xludf.DUMMYFUNCTION("""COMPUTED_VALUE"""),"Phantom &amp; Mavic Editing school - edit like a pro!")</f>
        <v>Phantom &amp; Mavic Editing school - edit like a pro!</v>
      </c>
    </row>
    <row r="3066">
      <c r="A3066" s="140" t="str">
        <f>IFERROR(__xludf.DUMMYFUNCTION("""COMPUTED_VALUE"""),"tr")</f>
        <v>tr</v>
      </c>
      <c r="B3066">
        <f>IFERROR(__xludf.DUMMYFUNCTION("""COMPUTED_VALUE"""),1601020.0)</f>
        <v>1601020</v>
      </c>
      <c r="C3066" t="str">
        <f>IFERROR(__xludf.DUMMYFUNCTION("""COMPUTED_VALUE"""),"Sıfırdan İleri Düzey Etik Hacker Kursu (Uygulamalı)")</f>
        <v>Sıfırdan İleri Düzey Etik Hacker Kursu (Uygulamalı)</v>
      </c>
    </row>
    <row r="3067">
      <c r="A3067" s="140" t="str">
        <f>IFERROR(__xludf.DUMMYFUNCTION("""COMPUTED_VALUE"""),"pt")</f>
        <v>pt</v>
      </c>
      <c r="B3067">
        <f>IFERROR(__xludf.DUMMYFUNCTION("""COMPUTED_VALUE"""),1205540.0)</f>
        <v>1205540</v>
      </c>
      <c r="C3067" t="str">
        <f>IFERROR(__xludf.DUMMYFUNCTION("""COMPUTED_VALUE"""),"Microsoft Azure Backup: Proteja seu ambiente")</f>
        <v>Microsoft Azure Backup: Proteja seu ambiente</v>
      </c>
    </row>
    <row r="3068">
      <c r="A3068" s="140" t="str">
        <f>IFERROR(__xludf.DUMMYFUNCTION("""COMPUTED_VALUE"""),"en")</f>
        <v>en</v>
      </c>
      <c r="B3068">
        <f>IFERROR(__xludf.DUMMYFUNCTION("""COMPUTED_VALUE"""),1030694.0)</f>
        <v>1030694</v>
      </c>
      <c r="C3068" t="str">
        <f>IFERROR(__xludf.DUMMYFUNCTION("""COMPUTED_VALUE"""),"Master Oracle 11g to 12c Database Upgrade")</f>
        <v>Master Oracle 11g to 12c Database Upgrade</v>
      </c>
    </row>
    <row r="3069">
      <c r="A3069" s="140" t="str">
        <f>IFERROR(__xludf.DUMMYFUNCTION("""COMPUTED_VALUE"""),"pt")</f>
        <v>pt</v>
      </c>
      <c r="B3069">
        <f>IFERROR(__xludf.DUMMYFUNCTION("""COMPUTED_VALUE"""),1769856.0)</f>
        <v>1769856</v>
      </c>
      <c r="C3069" t="str">
        <f>IFERROR(__xludf.DUMMYFUNCTION("""COMPUTED_VALUE"""),"Como Falar em Público - Os Oito Segredos")</f>
        <v>Como Falar em Público - Os Oito Segredos</v>
      </c>
    </row>
    <row r="3070">
      <c r="A3070" s="140" t="str">
        <f>IFERROR(__xludf.DUMMYFUNCTION("""COMPUTED_VALUE"""),"en")</f>
        <v>en</v>
      </c>
      <c r="B3070">
        <f>IFERROR(__xludf.DUMMYFUNCTION("""COMPUTED_VALUE"""),1437554.0)</f>
        <v>1437554</v>
      </c>
      <c r="C3070" t="str">
        <f>IFERROR(__xludf.DUMMYFUNCTION("""COMPUTED_VALUE"""),"R Tidyverse Reporting and Analytics for Excel Users")</f>
        <v>R Tidyverse Reporting and Analytics for Excel Users</v>
      </c>
    </row>
    <row r="3071">
      <c r="A3071" s="140" t="str">
        <f>IFERROR(__xludf.DUMMYFUNCTION("""COMPUTED_VALUE"""),"en")</f>
        <v>en</v>
      </c>
      <c r="B3071">
        <f>IFERROR(__xludf.DUMMYFUNCTION("""COMPUTED_VALUE"""),826352.0)</f>
        <v>826352</v>
      </c>
      <c r="C3071" t="str">
        <f>IFERROR(__xludf.DUMMYFUNCTION("""COMPUTED_VALUE"""),"SAP Simple Finance Course")</f>
        <v>SAP Simple Finance Course</v>
      </c>
    </row>
    <row r="3072">
      <c r="A3072" s="140" t="str">
        <f>IFERROR(__xludf.DUMMYFUNCTION("""COMPUTED_VALUE"""),"en")</f>
        <v>en</v>
      </c>
      <c r="B3072">
        <f>IFERROR(__xludf.DUMMYFUNCTION("""COMPUTED_VALUE"""),627032.0)</f>
        <v>627032</v>
      </c>
      <c r="C3072" t="str">
        <f>IFERROR(__xludf.DUMMYFUNCTION("""COMPUTED_VALUE"""),"Learn Spring Boot - Rapid Spring Application Development")</f>
        <v>Learn Spring Boot - Rapid Spring Application Development</v>
      </c>
    </row>
    <row r="3073">
      <c r="A3073" s="140" t="str">
        <f>IFERROR(__xludf.DUMMYFUNCTION("""COMPUTED_VALUE"""),"en")</f>
        <v>en</v>
      </c>
      <c r="B3073">
        <f>IFERROR(__xludf.DUMMYFUNCTION("""COMPUTED_VALUE"""),1279620.0)</f>
        <v>1279620</v>
      </c>
      <c r="C3073" t="str">
        <f>IFERROR(__xludf.DUMMYFUNCTION("""COMPUTED_VALUE"""),"Build 15 Augmented Reality (AR) apps with Unity &amp; Vuforia")</f>
        <v>Build 15 Augmented Reality (AR) apps with Unity &amp; Vuforia</v>
      </c>
    </row>
    <row r="3074">
      <c r="A3074" s="140" t="str">
        <f>IFERROR(__xludf.DUMMYFUNCTION("""COMPUTED_VALUE"""),"fr")</f>
        <v>fr</v>
      </c>
      <c r="B3074">
        <f>IFERROR(__xludf.DUMMYFUNCTION("""COMPUTED_VALUE"""),1619678.0)</f>
        <v>1619678</v>
      </c>
      <c r="C3074" t="str">
        <f>IFERROR(__xludf.DUMMYFUNCTION("""COMPUTED_VALUE"""),"SQL server : Le cours complet sur les BACKUP et les RESTORE")</f>
        <v>SQL server : Le cours complet sur les BACKUP et les RESTORE</v>
      </c>
    </row>
    <row r="3075">
      <c r="A3075" s="140" t="str">
        <f>IFERROR(__xludf.DUMMYFUNCTION("""COMPUTED_VALUE"""),"de")</f>
        <v>de</v>
      </c>
      <c r="B3075">
        <f>IFERROR(__xludf.DUMMYFUNCTION("""COMPUTED_VALUE"""),3908666.0)</f>
        <v>3908666</v>
      </c>
      <c r="C3075" t="str">
        <f>IFERROR(__xludf.DUMMYFUNCTION("""COMPUTED_VALUE"""),"Microsoft Azure Betrieb Einstiegskurs")</f>
        <v>Microsoft Azure Betrieb Einstiegskurs</v>
      </c>
    </row>
    <row r="3076">
      <c r="A3076" s="140" t="str">
        <f>IFERROR(__xludf.DUMMYFUNCTION("""COMPUTED_VALUE"""),"tr")</f>
        <v>tr</v>
      </c>
      <c r="B3076">
        <f>IFERROR(__xludf.DUMMYFUNCTION("""COMPUTED_VALUE"""),3354930.0)</f>
        <v>3354930</v>
      </c>
      <c r="C3076" t="str">
        <f>IFERROR(__xludf.DUMMYFUNCTION("""COMPUTED_VALUE"""),"Tıpta Yapay Zeka: Gerçek Dünya Projeleri")</f>
        <v>Tıpta Yapay Zeka: Gerçek Dünya Projeleri</v>
      </c>
    </row>
    <row r="3077">
      <c r="A3077" s="140" t="str">
        <f>IFERROR(__xludf.DUMMYFUNCTION("""COMPUTED_VALUE"""),"zh")</f>
        <v>zh</v>
      </c>
      <c r="B3077">
        <f>IFERROR(__xludf.DUMMYFUNCTION("""COMPUTED_VALUE"""),2493004.0)</f>
        <v>2493004</v>
      </c>
      <c r="C3077" t="str">
        <f>IFERROR(__xludf.DUMMYFUNCTION("""COMPUTED_VALUE"""),"Docker容器与微服务部署(Spring Cloud)")</f>
        <v>Docker容器与微服务部署(Spring Cloud)</v>
      </c>
    </row>
    <row r="3078">
      <c r="A3078" s="140" t="str">
        <f>IFERROR(__xludf.DUMMYFUNCTION("""COMPUTED_VALUE"""),"en")</f>
        <v>en</v>
      </c>
      <c r="B3078">
        <f>IFERROR(__xludf.DUMMYFUNCTION("""COMPUTED_VALUE"""),317572.0)</f>
        <v>317572</v>
      </c>
      <c r="C3078" t="str">
        <f>IFERROR(__xludf.DUMMYFUNCTION("""COMPUTED_VALUE"""),"Accounting 1 Simplified for You")</f>
        <v>Accounting 1 Simplified for You</v>
      </c>
    </row>
    <row r="3079">
      <c r="A3079" s="140" t="str">
        <f>IFERROR(__xludf.DUMMYFUNCTION("""COMPUTED_VALUE"""),"en")</f>
        <v>en</v>
      </c>
      <c r="B3079">
        <f>IFERROR(__xludf.DUMMYFUNCTION("""COMPUTED_VALUE"""),455146.0)</f>
        <v>455146</v>
      </c>
      <c r="C3079" t="str">
        <f>IFERROR(__xludf.DUMMYFUNCTION("""COMPUTED_VALUE"""),"Public Speaking Crash Course! (Fast Paced)")</f>
        <v>Public Speaking Crash Course! (Fast Paced)</v>
      </c>
    </row>
    <row r="3080">
      <c r="A3080" s="140" t="str">
        <f>IFERROR(__xludf.DUMMYFUNCTION("""COMPUTED_VALUE"""),"en")</f>
        <v>en</v>
      </c>
      <c r="B3080">
        <f>IFERROR(__xludf.DUMMYFUNCTION("""COMPUTED_VALUE"""),673654.0)</f>
        <v>673654</v>
      </c>
      <c r="C3080" t="str">
        <f>IFERROR(__xludf.DUMMYFUNCTION("""COMPUTED_VALUE"""),"Become a Product Manager | Learn the Skills &amp; Get the Job")</f>
        <v>Become a Product Manager | Learn the Skills &amp; Get the Job</v>
      </c>
    </row>
    <row r="3081">
      <c r="A3081" s="140" t="str">
        <f>IFERROR(__xludf.DUMMYFUNCTION("""COMPUTED_VALUE"""),"en")</f>
        <v>en</v>
      </c>
      <c r="B3081">
        <f>IFERROR(__xludf.DUMMYFUNCTION("""COMPUTED_VALUE"""),2485542.0)</f>
        <v>2485542</v>
      </c>
      <c r="C3081" t="str">
        <f>IFERROR(__xludf.DUMMYFUNCTION("""COMPUTED_VALUE"""),"Computer Literacy &amp; Basic Computer Skills for Productivity")</f>
        <v>Computer Literacy &amp; Basic Computer Skills for Productivity</v>
      </c>
    </row>
    <row r="3082">
      <c r="A3082" s="140" t="str">
        <f>IFERROR(__xludf.DUMMYFUNCTION("""COMPUTED_VALUE"""),"en")</f>
        <v>en</v>
      </c>
      <c r="B3082">
        <f>IFERROR(__xludf.DUMMYFUNCTION("""COMPUTED_VALUE"""),200090.0)</f>
        <v>200090</v>
      </c>
      <c r="C3082" t="str">
        <f>IFERROR(__xludf.DUMMYFUNCTION("""COMPUTED_VALUE"""),"A Business Manager's Complete Guide to SalesForce CRM")</f>
        <v>A Business Manager's Complete Guide to SalesForce CRM</v>
      </c>
    </row>
    <row r="3083">
      <c r="A3083" s="140" t="str">
        <f>IFERROR(__xludf.DUMMYFUNCTION("""COMPUTED_VALUE"""),"en")</f>
        <v>en</v>
      </c>
      <c r="B3083">
        <f>IFERROR(__xludf.DUMMYFUNCTION("""COMPUTED_VALUE"""),619690.0)</f>
        <v>619690</v>
      </c>
      <c r="C3083" t="str">
        <f>IFERROR(__xludf.DUMMYFUNCTION("""COMPUTED_VALUE"""),"A Complete Guide to Building Your Network by Keith Ferrazzi")</f>
        <v>A Complete Guide to Building Your Network by Keith Ferrazzi</v>
      </c>
    </row>
    <row r="3084">
      <c r="A3084" s="140" t="str">
        <f>IFERROR(__xludf.DUMMYFUNCTION("""COMPUTED_VALUE"""),"en")</f>
        <v>en</v>
      </c>
      <c r="B3084">
        <f>IFERROR(__xludf.DUMMYFUNCTION("""COMPUTED_VALUE"""),25671.0)</f>
        <v>25671</v>
      </c>
      <c r="C3084" t="str">
        <f>IFERROR(__xludf.DUMMYFUNCTION("""COMPUTED_VALUE"""),"How to Write an Effective Research Paper")</f>
        <v>How to Write an Effective Research Paper</v>
      </c>
    </row>
    <row r="3085">
      <c r="A3085" s="140" t="str">
        <f>IFERROR(__xludf.DUMMYFUNCTION("""COMPUTED_VALUE"""),"pt")</f>
        <v>pt</v>
      </c>
      <c r="B3085">
        <f>IFERROR(__xludf.DUMMYFUNCTION("""COMPUTED_VALUE"""),1232086.0)</f>
        <v>1232086</v>
      </c>
      <c r="C3085" t="str">
        <f>IFERROR(__xludf.DUMMYFUNCTION("""COMPUTED_VALUE"""),"EXPERT em Ms-Project")</f>
        <v>EXPERT em Ms-Project</v>
      </c>
    </row>
    <row r="3086">
      <c r="A3086" s="140" t="str">
        <f>IFERROR(__xludf.DUMMYFUNCTION("""COMPUTED_VALUE"""),"en")</f>
        <v>en</v>
      </c>
      <c r="B3086">
        <f>IFERROR(__xludf.DUMMYFUNCTION("""COMPUTED_VALUE"""),218794.0)</f>
        <v>218794</v>
      </c>
      <c r="C3086" t="str">
        <f>IFERROR(__xludf.DUMMYFUNCTION("""COMPUTED_VALUE"""),"Become an Algebra Master")</f>
        <v>Become an Algebra Master</v>
      </c>
    </row>
    <row r="3087">
      <c r="A3087" s="140" t="str">
        <f>IFERROR(__xludf.DUMMYFUNCTION("""COMPUTED_VALUE"""),"ko")</f>
        <v>ko</v>
      </c>
      <c r="B3087">
        <f>IFERROR(__xludf.DUMMYFUNCTION("""COMPUTED_VALUE"""),2460716.0)</f>
        <v>2460716</v>
      </c>
      <c r="C3087" t="str">
        <f>IFERROR(__xludf.DUMMYFUNCTION("""COMPUTED_VALUE"""),"파이썬 Python 블록 체인 개발 입문 - 미국 실리콘밸리 현역 엔지니어와 함께 블록 체인을 구현해봅시다")</f>
        <v>파이썬 Python 블록 체인 개발 입문 - 미국 실리콘밸리 현역 엔지니어와 함께 블록 체인을 구현해봅시다</v>
      </c>
    </row>
    <row r="3088">
      <c r="A3088" s="140" t="str">
        <f>IFERROR(__xludf.DUMMYFUNCTION("""COMPUTED_VALUE"""),"ja")</f>
        <v>ja</v>
      </c>
      <c r="B3088">
        <f>IFERROR(__xludf.DUMMYFUNCTION("""COMPUTED_VALUE"""),2623872.0)</f>
        <v>2623872</v>
      </c>
      <c r="C3088" t="str">
        <f>IFERROR(__xludf.DUMMYFUNCTION("""COMPUTED_VALUE"""),"Linuxコマンドから始めるDocker　～　BE A FIRST PENGUIN AND GROW AS WHALE")</f>
        <v>Linuxコマンドから始めるDocker　～　BE A FIRST PENGUIN AND GROW AS WHALE</v>
      </c>
    </row>
    <row r="3089">
      <c r="A3089" s="140" t="str">
        <f>IFERROR(__xludf.DUMMYFUNCTION("""COMPUTED_VALUE"""),"pt")</f>
        <v>pt</v>
      </c>
      <c r="B3089">
        <f>IFERROR(__xludf.DUMMYFUNCTION("""COMPUTED_VALUE"""),2451136.0)</f>
        <v>2451136</v>
      </c>
      <c r="C3089" t="str">
        <f>IFERROR(__xludf.DUMMYFUNCTION("""COMPUTED_VALUE"""),"Arquitetura Hexagonal com Java - C1")</f>
        <v>Arquitetura Hexagonal com Java - C1</v>
      </c>
    </row>
    <row r="3090">
      <c r="A3090" s="140" t="str">
        <f>IFERROR(__xludf.DUMMYFUNCTION("""COMPUTED_VALUE"""),"ar")</f>
        <v>ar</v>
      </c>
      <c r="B3090">
        <f>IFERROR(__xludf.DUMMYFUNCTION("""COMPUTED_VALUE"""),2241334.0)</f>
        <v>2241334</v>
      </c>
      <c r="C3090" t="str">
        <f>IFERROR(__xludf.DUMMYFUNCTION("""COMPUTED_VALUE"""),"دورة لينكس باللغة العربية")</f>
        <v>دورة لينكس باللغة العربية</v>
      </c>
    </row>
    <row r="3091">
      <c r="A3091" s="140" t="str">
        <f>IFERROR(__xludf.DUMMYFUNCTION("""COMPUTED_VALUE"""),"de")</f>
        <v>de</v>
      </c>
      <c r="B3091">
        <f>IFERROR(__xludf.DUMMYFUNCTION("""COMPUTED_VALUE"""),2102888.0)</f>
        <v>2102888</v>
      </c>
      <c r="C3091" t="str">
        <f>IFERROR(__xludf.DUMMYFUNCTION("""COMPUTED_VALUE"""),"Die Speedreading-Formel - 2x schneller lesen in 2 Wochen")</f>
        <v>Die Speedreading-Formel - 2x schneller lesen in 2 Wochen</v>
      </c>
    </row>
    <row r="3092">
      <c r="A3092" s="140" t="str">
        <f>IFERROR(__xludf.DUMMYFUNCTION("""COMPUTED_VALUE"""),"en")</f>
        <v>en</v>
      </c>
      <c r="B3092">
        <f>IFERROR(__xludf.DUMMYFUNCTION("""COMPUTED_VALUE"""),695724.0)</f>
        <v>695724</v>
      </c>
      <c r="C3092" t="str">
        <f>IFERROR(__xludf.DUMMYFUNCTION("""COMPUTED_VALUE"""),"The complete AutoCAD 2016 course")</f>
        <v>The complete AutoCAD 2016 course</v>
      </c>
    </row>
    <row r="3093">
      <c r="A3093" s="140" t="str">
        <f>IFERROR(__xludf.DUMMYFUNCTION("""COMPUTED_VALUE"""),"pt")</f>
        <v>pt</v>
      </c>
      <c r="B3093">
        <f>IFERROR(__xludf.DUMMYFUNCTION("""COMPUTED_VALUE"""),907618.0)</f>
        <v>907618</v>
      </c>
      <c r="C3093" t="str">
        <f>IFERROR(__xludf.DUMMYFUNCTION("""COMPUTED_VALUE"""),"Arquitetura de Redes")</f>
        <v>Arquitetura de Redes</v>
      </c>
    </row>
    <row r="3094">
      <c r="A3094" s="140" t="str">
        <f>IFERROR(__xludf.DUMMYFUNCTION("""COMPUTED_VALUE"""),"en")</f>
        <v>en</v>
      </c>
      <c r="B3094">
        <f>IFERROR(__xludf.DUMMYFUNCTION("""COMPUTED_VALUE"""),2200286.0)</f>
        <v>2200286</v>
      </c>
      <c r="C3094" t="str">
        <f>IFERROR(__xludf.DUMMYFUNCTION("""COMPUTED_VALUE"""),"The Java Design Patterns Course")</f>
        <v>The Java Design Patterns Course</v>
      </c>
    </row>
    <row r="3095">
      <c r="A3095" s="140" t="str">
        <f>IFERROR(__xludf.DUMMYFUNCTION("""COMPUTED_VALUE"""),"en")</f>
        <v>en</v>
      </c>
      <c r="B3095">
        <f>IFERROR(__xludf.DUMMYFUNCTION("""COMPUTED_VALUE"""),1652608.0)</f>
        <v>1652608</v>
      </c>
      <c r="C3095" t="str">
        <f>IFERROR(__xludf.DUMMYFUNCTION("""COMPUTED_VALUE"""),"React, Angular, Node In-Depth Guide: Beginner to Pro (2018)")</f>
        <v>React, Angular, Node In-Depth Guide: Beginner to Pro (2018)</v>
      </c>
    </row>
    <row r="3096">
      <c r="A3096" s="140" t="str">
        <f>IFERROR(__xludf.DUMMYFUNCTION("""COMPUTED_VALUE"""),"zh")</f>
        <v>zh</v>
      </c>
      <c r="B3096">
        <f>IFERROR(__xludf.DUMMYFUNCTION("""COMPUTED_VALUE"""),1861584.0)</f>
        <v>1861584</v>
      </c>
      <c r="C3096" t="str">
        <f>IFERROR(__xludf.DUMMYFUNCTION("""COMPUTED_VALUE"""),"持续集成（Continuous Integration with Jenkins）---从初学到精通")</f>
        <v>持续集成（Continuous Integration with Jenkins）---从初学到精通</v>
      </c>
    </row>
    <row r="3097">
      <c r="A3097" s="140" t="str">
        <f>IFERROR(__xludf.DUMMYFUNCTION("""COMPUTED_VALUE"""),"en")</f>
        <v>en</v>
      </c>
      <c r="B3097">
        <f>IFERROR(__xludf.DUMMYFUNCTION("""COMPUTED_VALUE"""),864758.0)</f>
        <v>864758</v>
      </c>
      <c r="C3097" t="str">
        <f>IFERROR(__xludf.DUMMYFUNCTION("""COMPUTED_VALUE"""),"UI Animation using Sketch 3, Principle App, and Flinto")</f>
        <v>UI Animation using Sketch 3, Principle App, and Flinto</v>
      </c>
    </row>
    <row r="3098">
      <c r="A3098" s="140" t="str">
        <f>IFERROR(__xludf.DUMMYFUNCTION("""COMPUTED_VALUE"""),"en")</f>
        <v>en</v>
      </c>
      <c r="B3098">
        <f>IFERROR(__xludf.DUMMYFUNCTION("""COMPUTED_VALUE"""),921002.0)</f>
        <v>921002</v>
      </c>
      <c r="C3098" t="str">
        <f>IFERROR(__xludf.DUMMYFUNCTION("""COMPUTED_VALUE"""),"Expert Malware Analysis and Reverse Engineering")</f>
        <v>Expert Malware Analysis and Reverse Engineering</v>
      </c>
    </row>
    <row r="3099">
      <c r="A3099" s="140" t="str">
        <f>IFERROR(__xludf.DUMMYFUNCTION("""COMPUTED_VALUE"""),"en")</f>
        <v>en</v>
      </c>
      <c r="B3099">
        <f>IFERROR(__xludf.DUMMYFUNCTION("""COMPUTED_VALUE"""),2475978.0)</f>
        <v>2475978</v>
      </c>
      <c r="C3099" t="str">
        <f>IFERROR(__xludf.DUMMYFUNCTION("""COMPUTED_VALUE"""),"MERN React Node Next.js Multi User SEO Blogging Platform")</f>
        <v>MERN React Node Next.js Multi User SEO Blogging Platform</v>
      </c>
    </row>
    <row r="3100">
      <c r="A3100" s="140" t="str">
        <f>IFERROR(__xludf.DUMMYFUNCTION("""COMPUTED_VALUE"""),"en")</f>
        <v>en</v>
      </c>
      <c r="B3100">
        <f>IFERROR(__xludf.DUMMYFUNCTION("""COMPUTED_VALUE"""),555324.0)</f>
        <v>555324</v>
      </c>
      <c r="C3100" t="str">
        <f>IFERROR(__xludf.DUMMYFUNCTION("""COMPUTED_VALUE"""),"70-461 Sessions 1 and 2: Querying Microsoft SQL Server")</f>
        <v>70-461 Sessions 1 and 2: Querying Microsoft SQL Server</v>
      </c>
    </row>
    <row r="3101">
      <c r="A3101" s="140" t="str">
        <f>IFERROR(__xludf.DUMMYFUNCTION("""COMPUTED_VALUE"""),"pt")</f>
        <v>pt</v>
      </c>
      <c r="B3101">
        <f>IFERROR(__xludf.DUMMYFUNCTION("""COMPUTED_VALUE"""),1330658.0)</f>
        <v>1330658</v>
      </c>
      <c r="C3101" t="str">
        <f>IFERROR(__xludf.DUMMYFUNCTION("""COMPUTED_VALUE"""),"Detox Profundo - Segundo a Medicina Tradicional Chinesa!")</f>
        <v>Detox Profundo - Segundo a Medicina Tradicional Chinesa!</v>
      </c>
    </row>
    <row r="3102">
      <c r="A3102" s="140" t="str">
        <f>IFERROR(__xludf.DUMMYFUNCTION("""COMPUTED_VALUE"""),"en")</f>
        <v>en</v>
      </c>
      <c r="B3102">
        <f>IFERROR(__xludf.DUMMYFUNCTION("""COMPUTED_VALUE"""),1907142.0)</f>
        <v>1907142</v>
      </c>
      <c r="C3102" t="str">
        <f>IFERROR(__xludf.DUMMYFUNCTION("""COMPUTED_VALUE"""),"20 Free Life Hacks to Inspire You to Excel in Business &amp;Life")</f>
        <v>20 Free Life Hacks to Inspire You to Excel in Business &amp;Life</v>
      </c>
    </row>
    <row r="3103">
      <c r="A3103" s="140" t="str">
        <f>IFERROR(__xludf.DUMMYFUNCTION("""COMPUTED_VALUE"""),"ja")</f>
        <v>ja</v>
      </c>
      <c r="B3103">
        <f>IFERROR(__xludf.DUMMYFUNCTION("""COMPUTED_VALUE"""),4140626.0)</f>
        <v>4140626</v>
      </c>
      <c r="C3103" t="str">
        <f>IFERROR(__xludf.DUMMYFUNCTION("""COMPUTED_VALUE"""),"Microsoft Power Automate Desktop 入門講座")</f>
        <v>Microsoft Power Automate Desktop 入門講座</v>
      </c>
    </row>
    <row r="3104">
      <c r="A3104" s="140" t="str">
        <f>IFERROR(__xludf.DUMMYFUNCTION("""COMPUTED_VALUE"""),"es")</f>
        <v>es</v>
      </c>
      <c r="B3104">
        <f>IFERROR(__xludf.DUMMYFUNCTION("""COMPUTED_VALUE"""),913548.0)</f>
        <v>913548</v>
      </c>
      <c r="C3104" t="str">
        <f>IFERROR(__xludf.DUMMYFUNCTION("""COMPUTED_VALUE"""),"Hacking Ético: Footprinting y Reconocimiento")</f>
        <v>Hacking Ético: Footprinting y Reconocimiento</v>
      </c>
    </row>
    <row r="3105">
      <c r="A3105" s="140" t="str">
        <f>IFERROR(__xludf.DUMMYFUNCTION("""COMPUTED_VALUE"""),"ja")</f>
        <v>ja</v>
      </c>
      <c r="B3105">
        <f>IFERROR(__xludf.DUMMYFUNCTION("""COMPUTED_VALUE"""),3816914.0)</f>
        <v>3816914</v>
      </c>
      <c r="C3105" t="str">
        <f>IFERROR(__xludf.DUMMYFUNCTION("""COMPUTED_VALUE"""),"【プレゼン映え】PowerPoint(パワーポイント) 初心者でもたった１回のプレゼンで印象に残るスライド作成7つの極意")</f>
        <v>【プレゼン映え】PowerPoint(パワーポイント) 初心者でもたった１回のプレゼンで印象に残るスライド作成7つの極意</v>
      </c>
    </row>
    <row r="3106">
      <c r="A3106" s="140" t="str">
        <f>IFERROR(__xludf.DUMMYFUNCTION("""COMPUTED_VALUE"""),"es")</f>
        <v>es</v>
      </c>
      <c r="B3106">
        <f>IFERROR(__xludf.DUMMYFUNCTION("""COMPUTED_VALUE"""),2388338.0)</f>
        <v>2388338</v>
      </c>
      <c r="C3106" t="str">
        <f>IFERROR(__xludf.DUMMYFUNCTION("""COMPUTED_VALUE"""),"Certificación Professional Scrum Master PSM I + Tests ®")</f>
        <v>Certificación Professional Scrum Master PSM I + Tests ®</v>
      </c>
    </row>
    <row r="3107">
      <c r="A3107" s="140" t="str">
        <f>IFERROR(__xludf.DUMMYFUNCTION("""COMPUTED_VALUE"""),"en")</f>
        <v>en</v>
      </c>
      <c r="B3107">
        <f>IFERROR(__xludf.DUMMYFUNCTION("""COMPUTED_VALUE"""),515332.0)</f>
        <v>515332</v>
      </c>
      <c r="C3107" t="str">
        <f>IFERROR(__xludf.DUMMYFUNCTION("""COMPUTED_VALUE"""),"Importing from China - How to manage your first China trip")</f>
        <v>Importing from China - How to manage your first China trip</v>
      </c>
    </row>
    <row r="3108">
      <c r="A3108" s="140" t="str">
        <f>IFERROR(__xludf.DUMMYFUNCTION("""COMPUTED_VALUE"""),"en")</f>
        <v>en</v>
      </c>
      <c r="B3108">
        <f>IFERROR(__xludf.DUMMYFUNCTION("""COMPUTED_VALUE"""),2267332.0)</f>
        <v>2267332</v>
      </c>
      <c r="C3108" t="str">
        <f>IFERROR(__xludf.DUMMYFUNCTION("""COMPUTED_VALUE"""),"AWS VPC and Networking in depth: Learn practically in 8 hrs")</f>
        <v>AWS VPC and Networking in depth: Learn practically in 8 hrs</v>
      </c>
    </row>
    <row r="3109">
      <c r="A3109" s="140" t="str">
        <f>IFERROR(__xludf.DUMMYFUNCTION("""COMPUTED_VALUE"""),"en")</f>
        <v>en</v>
      </c>
      <c r="B3109">
        <f>IFERROR(__xludf.DUMMYFUNCTION("""COMPUTED_VALUE"""),3299942.0)</f>
        <v>3299942</v>
      </c>
      <c r="C3109" t="str">
        <f>IFERROR(__xludf.DUMMYFUNCTION("""COMPUTED_VALUE"""),"PCNSA - Palo Alto Practice tests (111 questions to practice)")</f>
        <v>PCNSA - Palo Alto Practice tests (111 questions to practice)</v>
      </c>
    </row>
    <row r="3110">
      <c r="A3110" s="140" t="str">
        <f>IFERROR(__xludf.DUMMYFUNCTION("""COMPUTED_VALUE"""),"ja")</f>
        <v>ja</v>
      </c>
      <c r="B3110">
        <f>IFERROR(__xludf.DUMMYFUNCTION("""COMPUTED_VALUE"""),3985770.0)</f>
        <v>3985770</v>
      </c>
      <c r="C3110" t="str">
        <f>IFERROR(__xludf.DUMMYFUNCTION("""COMPUTED_VALUE"""),"＜UB確認テスト＞今日から始めるデジタルトランスフォーメーション！テクノロジーの仕組みからデータ活用基盤のつくりかたま")</f>
        <v>＜UB確認テスト＞今日から始めるデジタルトランスフォーメーション！テクノロジーの仕組みからデータ活用基盤のつくりかたま</v>
      </c>
    </row>
    <row r="3111">
      <c r="A3111" s="140" t="str">
        <f>IFERROR(__xludf.DUMMYFUNCTION("""COMPUTED_VALUE"""),"en")</f>
        <v>en</v>
      </c>
      <c r="B3111">
        <f>IFERROR(__xludf.DUMMYFUNCTION("""COMPUTED_VALUE"""),2398696.0)</f>
        <v>2398696</v>
      </c>
      <c r="C3111" t="str">
        <f>IFERROR(__xludf.DUMMYFUNCTION("""COMPUTED_VALUE"""),"Creating Bespoke Data Visualisations in Tableau - Part One")</f>
        <v>Creating Bespoke Data Visualisations in Tableau - Part One</v>
      </c>
    </row>
    <row r="3112">
      <c r="A3112" s="140" t="str">
        <f>IFERROR(__xludf.DUMMYFUNCTION("""COMPUTED_VALUE"""),"en")</f>
        <v>en</v>
      </c>
      <c r="B3112">
        <f>IFERROR(__xludf.DUMMYFUNCTION("""COMPUTED_VALUE"""),2028392.0)</f>
        <v>2028392</v>
      </c>
      <c r="C3112" t="str">
        <f>IFERROR(__xludf.DUMMYFUNCTION("""COMPUTED_VALUE"""),"Algorithms and Data Structures in C#: Complete Tutorial")</f>
        <v>Algorithms and Data Structures in C#: Complete Tutorial</v>
      </c>
    </row>
    <row r="3113">
      <c r="A3113" s="140" t="str">
        <f>IFERROR(__xludf.DUMMYFUNCTION("""COMPUTED_VALUE"""),"en")</f>
        <v>en</v>
      </c>
      <c r="B3113">
        <f>IFERROR(__xludf.DUMMYFUNCTION("""COMPUTED_VALUE"""),1657548.0)</f>
        <v>1657548</v>
      </c>
      <c r="C3113" t="str">
        <f>IFERROR(__xludf.DUMMYFUNCTION("""COMPUTED_VALUE"""),"Operating Systems from scratch - Part 2")</f>
        <v>Operating Systems from scratch - Part 2</v>
      </c>
    </row>
    <row r="3114">
      <c r="A3114" s="140" t="str">
        <f>IFERROR(__xludf.DUMMYFUNCTION("""COMPUTED_VALUE"""),"en")</f>
        <v>en</v>
      </c>
      <c r="B3114">
        <f>IFERROR(__xludf.DUMMYFUNCTION("""COMPUTED_VALUE"""),4295870.0)</f>
        <v>4295870</v>
      </c>
      <c r="C3114" t="str">
        <f>IFERROR(__xludf.DUMMYFUNCTION("""COMPUTED_VALUE"""),"Python Entry Level Programmer Certification (PCEP)")</f>
        <v>Python Entry Level Programmer Certification (PCEP)</v>
      </c>
    </row>
    <row r="3115">
      <c r="A3115" s="140" t="str">
        <f>IFERROR(__xludf.DUMMYFUNCTION("""COMPUTED_VALUE"""),"zh")</f>
        <v>zh</v>
      </c>
      <c r="B3115">
        <f>IFERROR(__xludf.DUMMYFUNCTION("""COMPUTED_VALUE"""),3304680.0)</f>
        <v>3304680</v>
      </c>
      <c r="C3115" t="str">
        <f>IFERROR(__xludf.DUMMYFUNCTION("""COMPUTED_VALUE"""),"Terraform 从入门到精通")</f>
        <v>Terraform 从入门到精通</v>
      </c>
    </row>
    <row r="3116">
      <c r="A3116" s="140" t="str">
        <f>IFERROR(__xludf.DUMMYFUNCTION("""COMPUTED_VALUE"""),"en")</f>
        <v>en</v>
      </c>
      <c r="B3116">
        <f>IFERROR(__xludf.DUMMYFUNCTION("""COMPUTED_VALUE"""),3145436.0)</f>
        <v>3145436</v>
      </c>
      <c r="C3116" t="str">
        <f>IFERROR(__xludf.DUMMYFUNCTION("""COMPUTED_VALUE"""),"MikroTik Wireless Engineer with LABS")</f>
        <v>MikroTik Wireless Engineer with LABS</v>
      </c>
    </row>
    <row r="3117">
      <c r="A3117" s="140" t="str">
        <f>IFERROR(__xludf.DUMMYFUNCTION("""COMPUTED_VALUE"""),"en")</f>
        <v>en</v>
      </c>
      <c r="B3117">
        <f>IFERROR(__xludf.DUMMYFUNCTION("""COMPUTED_VALUE"""),1135330.0)</f>
        <v>1135330</v>
      </c>
      <c r="C3117" t="str">
        <f>IFERROR(__xludf.DUMMYFUNCTION("""COMPUTED_VALUE"""),"Part 1: AWS Certified Solutions Architect SAA C02")</f>
        <v>Part 1: AWS Certified Solutions Architect SAA C02</v>
      </c>
    </row>
    <row r="3118">
      <c r="A3118" s="140" t="str">
        <f>IFERROR(__xludf.DUMMYFUNCTION("""COMPUTED_VALUE"""),"es")</f>
        <v>es</v>
      </c>
      <c r="B3118">
        <f>IFERROR(__xludf.DUMMYFUNCTION("""COMPUTED_VALUE"""),1831976.0)</f>
        <v>1831976</v>
      </c>
      <c r="C3118" t="str">
        <f>IFERROR(__xludf.DUMMYFUNCTION("""COMPUTED_VALUE"""),"Microsoft SQL Server para Principiantes")</f>
        <v>Microsoft SQL Server para Principiantes</v>
      </c>
    </row>
    <row r="3119">
      <c r="A3119" s="140" t="str">
        <f>IFERROR(__xludf.DUMMYFUNCTION("""COMPUTED_VALUE"""),"fr")</f>
        <v>fr</v>
      </c>
      <c r="B3119">
        <f>IFERROR(__xludf.DUMMYFUNCTION("""COMPUTED_VALUE"""),2702436.0)</f>
        <v>2702436</v>
      </c>
      <c r="C3119" t="str">
        <f>IFERROR(__xludf.DUMMYFUNCTION("""COMPUTED_VALUE"""),"DevOps : Tout savoir de Docker en quelques heures")</f>
        <v>DevOps : Tout savoir de Docker en quelques heures</v>
      </c>
    </row>
    <row r="3120">
      <c r="A3120" s="140" t="str">
        <f>IFERROR(__xludf.DUMMYFUNCTION("""COMPUTED_VALUE"""),"en")</f>
        <v>en</v>
      </c>
      <c r="B3120">
        <f>IFERROR(__xludf.DUMMYFUNCTION("""COMPUTED_VALUE"""),2131244.0)</f>
        <v>2131244</v>
      </c>
      <c r="C3120" t="str">
        <f>IFERROR(__xludf.DUMMYFUNCTION("""COMPUTED_VALUE"""),"AZ-104 Microsoft Azure Administrator Certification 2021")</f>
        <v>AZ-104 Microsoft Azure Administrator Certification 2021</v>
      </c>
    </row>
    <row r="3121">
      <c r="A3121" s="140" t="str">
        <f>IFERROR(__xludf.DUMMYFUNCTION("""COMPUTED_VALUE"""),"en")</f>
        <v>en</v>
      </c>
      <c r="B3121">
        <f>IFERROR(__xludf.DUMMYFUNCTION("""COMPUTED_VALUE"""),3119378.0)</f>
        <v>3119378</v>
      </c>
      <c r="C3121" t="str">
        <f>IFERROR(__xludf.DUMMYFUNCTION("""COMPUTED_VALUE"""),"Top 150+ QA Automation Interview Questions &amp; Resume Tips")</f>
        <v>Top 150+ QA Automation Interview Questions &amp; Resume Tips</v>
      </c>
    </row>
    <row r="3122">
      <c r="A3122" s="140" t="str">
        <f>IFERROR(__xludf.DUMMYFUNCTION("""COMPUTED_VALUE"""),"en")</f>
        <v>en</v>
      </c>
      <c r="B3122">
        <f>IFERROR(__xludf.DUMMYFUNCTION("""COMPUTED_VALUE"""),4166416.0)</f>
        <v>4166416</v>
      </c>
      <c r="C3122" t="str">
        <f>IFERROR(__xludf.DUMMYFUNCTION("""COMPUTED_VALUE"""),"Selenium Java Test Framework &amp; Best Practices - Masterclass")</f>
        <v>Selenium Java Test Framework &amp; Best Practices - Masterclass</v>
      </c>
    </row>
    <row r="3123">
      <c r="A3123" s="140" t="str">
        <f>IFERROR(__xludf.DUMMYFUNCTION("""COMPUTED_VALUE"""),"en")</f>
        <v>en</v>
      </c>
      <c r="B3123">
        <f>IFERROR(__xludf.DUMMYFUNCTION("""COMPUTED_VALUE"""),3217053.0)</f>
        <v>3217053</v>
      </c>
      <c r="C3123" t="str">
        <f>IFERROR(__xludf.DUMMYFUNCTION("""COMPUTED_VALUE"""),"Spring Professional Certification Exam Tutorial - Module 08")</f>
        <v>Spring Professional Certification Exam Tutorial - Module 08</v>
      </c>
    </row>
    <row r="3124">
      <c r="A3124" s="140" t="str">
        <f>IFERROR(__xludf.DUMMYFUNCTION("""COMPUTED_VALUE"""),"en")</f>
        <v>en</v>
      </c>
      <c r="B3124">
        <f>IFERROR(__xludf.DUMMYFUNCTION("""COMPUTED_VALUE"""),3920138.0)</f>
        <v>3920138</v>
      </c>
      <c r="C3124" t="str">
        <f>IFERROR(__xludf.DUMMYFUNCTION("""COMPUTED_VALUE"""),"Social Media Recruitment for Human Resource Professionals")</f>
        <v>Social Media Recruitment for Human Resource Professionals</v>
      </c>
    </row>
    <row r="3125">
      <c r="A3125" s="140" t="str">
        <f>IFERROR(__xludf.DUMMYFUNCTION("""COMPUTED_VALUE"""),"pt")</f>
        <v>pt</v>
      </c>
      <c r="B3125">
        <f>IFERROR(__xludf.DUMMYFUNCTION("""COMPUTED_VALUE"""),962860.0)</f>
        <v>962860</v>
      </c>
      <c r="C3125" t="str">
        <f>IFERROR(__xludf.DUMMYFUNCTION("""COMPUTED_VALUE"""),"Aprenda Adobe After Effects CC Rápido")</f>
        <v>Aprenda Adobe After Effects CC Rápido</v>
      </c>
    </row>
    <row r="3126">
      <c r="A3126" s="140" t="str">
        <f>IFERROR(__xludf.DUMMYFUNCTION("""COMPUTED_VALUE"""),"en")</f>
        <v>en</v>
      </c>
      <c r="B3126">
        <f>IFERROR(__xludf.DUMMYFUNCTION("""COMPUTED_VALUE"""),379644.0)</f>
        <v>379644</v>
      </c>
      <c r="C3126" t="str">
        <f>IFERROR(__xludf.DUMMYFUNCTION("""COMPUTED_VALUE"""),"Master Mathematical Cryptography 2020: Crack Any Code")</f>
        <v>Master Mathematical Cryptography 2020: Crack Any Code</v>
      </c>
    </row>
    <row r="3127">
      <c r="A3127" s="140" t="str">
        <f>IFERROR(__xludf.DUMMYFUNCTION("""COMPUTED_VALUE"""),"en")</f>
        <v>en</v>
      </c>
      <c r="B3127">
        <f>IFERROR(__xludf.DUMMYFUNCTION("""COMPUTED_VALUE"""),1041176.0)</f>
        <v>1041176</v>
      </c>
      <c r="C3127" t="str">
        <f>IFERROR(__xludf.DUMMYFUNCTION("""COMPUTED_VALUE"""),"Fun Beginner Ukulele Course")</f>
        <v>Fun Beginner Ukulele Course</v>
      </c>
    </row>
    <row r="3128">
      <c r="A3128" s="140" t="str">
        <f>IFERROR(__xludf.DUMMYFUNCTION("""COMPUTED_VALUE"""),"tr")</f>
        <v>tr</v>
      </c>
      <c r="B3128">
        <f>IFERROR(__xludf.DUMMYFUNCTION("""COMPUTED_VALUE"""),1421116.0)</f>
        <v>1421116</v>
      </c>
      <c r="C3128" t="str">
        <f>IFERROR(__xludf.DUMMYFUNCTION("""COMPUTED_VALUE"""),"(42 Saat) Sıfırdan Komple Java Geliştirici Kursu")</f>
        <v>(42 Saat) Sıfırdan Komple Java Geliştirici Kursu</v>
      </c>
    </row>
    <row r="3129">
      <c r="A3129" s="140" t="str">
        <f>IFERROR(__xludf.DUMMYFUNCTION("""COMPUTED_VALUE"""),"en")</f>
        <v>en</v>
      </c>
      <c r="B3129">
        <f>IFERROR(__xludf.DUMMYFUNCTION("""COMPUTED_VALUE"""),914296.0)</f>
        <v>914296</v>
      </c>
      <c r="C3129" t="str">
        <f>IFERROR(__xludf.DUMMYFUNCTION("""COMPUTED_VALUE"""),"The Complete Digital Marketing Course - 12 Courses in 1")</f>
        <v>The Complete Digital Marketing Course - 12 Courses in 1</v>
      </c>
    </row>
    <row r="3130">
      <c r="A3130" s="140" t="str">
        <f>IFERROR(__xludf.DUMMYFUNCTION("""COMPUTED_VALUE"""),"en")</f>
        <v>en</v>
      </c>
      <c r="B3130">
        <f>IFERROR(__xludf.DUMMYFUNCTION("""COMPUTED_VALUE"""),3440242.0)</f>
        <v>3440242</v>
      </c>
      <c r="C3130" t="str">
        <f>IFERROR(__xludf.DUMMYFUNCTION("""COMPUTED_VALUE"""),"Aruba (ACMA and ACMP) wireless networking course")</f>
        <v>Aruba (ACMA and ACMP) wireless networking course</v>
      </c>
    </row>
    <row r="3131">
      <c r="A3131" s="140" t="str">
        <f>IFERROR(__xludf.DUMMYFUNCTION("""COMPUTED_VALUE"""),"de")</f>
        <v>de</v>
      </c>
      <c r="B3131">
        <f>IFERROR(__xludf.DUMMYFUNCTION("""COMPUTED_VALUE"""),1160810.0)</f>
        <v>1160810</v>
      </c>
      <c r="C3131" t="str">
        <f>IFERROR(__xludf.DUMMYFUNCTION("""COMPUTED_VALUE"""),"Hacking und Netzwerkanalyse mit Wireshark - Der Komplettkurs")</f>
        <v>Hacking und Netzwerkanalyse mit Wireshark - Der Komplettkurs</v>
      </c>
    </row>
    <row r="3132">
      <c r="A3132" s="140" t="str">
        <f>IFERROR(__xludf.DUMMYFUNCTION("""COMPUTED_VALUE"""),"en")</f>
        <v>en</v>
      </c>
      <c r="B3132">
        <f>IFERROR(__xludf.DUMMYFUNCTION("""COMPUTED_VALUE"""),3523954.0)</f>
        <v>3523954</v>
      </c>
      <c r="C3132" t="str">
        <f>IFERROR(__xludf.DUMMYFUNCTION("""COMPUTED_VALUE"""),"Innovation &amp; Startups: AB Testing Of KPI With Lean Start-Up")</f>
        <v>Innovation &amp; Startups: AB Testing Of KPI With Lean Start-Up</v>
      </c>
    </row>
    <row r="3133">
      <c r="A3133" s="140" t="str">
        <f>IFERROR(__xludf.DUMMYFUNCTION("""COMPUTED_VALUE"""),"en")</f>
        <v>en</v>
      </c>
      <c r="B3133">
        <f>IFERROR(__xludf.DUMMYFUNCTION("""COMPUTED_VALUE"""),1405812.0)</f>
        <v>1405812</v>
      </c>
      <c r="C3133" t="str">
        <f>IFERROR(__xludf.DUMMYFUNCTION("""COMPUTED_VALUE"""),"The Complete Android Oreo Developer Course - Build 23 Apps!")</f>
        <v>The Complete Android Oreo Developer Course - Build 23 Apps!</v>
      </c>
    </row>
    <row r="3134">
      <c r="A3134" s="140" t="str">
        <f>IFERROR(__xludf.DUMMYFUNCTION("""COMPUTED_VALUE"""),"en")</f>
        <v>en</v>
      </c>
      <c r="B3134">
        <f>IFERROR(__xludf.DUMMYFUNCTION("""COMPUTED_VALUE"""),2256324.0)</f>
        <v>2256324</v>
      </c>
      <c r="C3134" t="str">
        <f>IFERROR(__xludf.DUMMYFUNCTION("""COMPUTED_VALUE"""),"Goal Setting at Work: Plan for Success and Reach Your Goals")</f>
        <v>Goal Setting at Work: Plan for Success and Reach Your Goals</v>
      </c>
    </row>
    <row r="3135">
      <c r="A3135" s="140" t="str">
        <f>IFERROR(__xludf.DUMMYFUNCTION("""COMPUTED_VALUE"""),"en")</f>
        <v>en</v>
      </c>
      <c r="B3135">
        <f>IFERROR(__xludf.DUMMYFUNCTION("""COMPUTED_VALUE"""),3370416.0)</f>
        <v>3370416</v>
      </c>
      <c r="C3135" t="str">
        <f>IFERROR(__xludf.DUMMYFUNCTION("""COMPUTED_VALUE"""),"Tokenisation and Encryption in Digital Payments, FinTech")</f>
        <v>Tokenisation and Encryption in Digital Payments, FinTech</v>
      </c>
    </row>
    <row r="3136">
      <c r="A3136" s="140" t="str">
        <f>IFERROR(__xludf.DUMMYFUNCTION("""COMPUTED_VALUE"""),"en")</f>
        <v>en</v>
      </c>
      <c r="B3136">
        <f>IFERROR(__xludf.DUMMYFUNCTION("""COMPUTED_VALUE"""),1297994.0)</f>
        <v>1297994</v>
      </c>
      <c r="C3136" t="str">
        <f>IFERROR(__xludf.DUMMYFUNCTION("""COMPUTED_VALUE"""),"Design Patterns in Swift")</f>
        <v>Design Patterns in Swift</v>
      </c>
    </row>
    <row r="3137">
      <c r="A3137" s="140" t="str">
        <f>IFERROR(__xludf.DUMMYFUNCTION("""COMPUTED_VALUE"""),"en")</f>
        <v>en</v>
      </c>
      <c r="B3137">
        <f>IFERROR(__xludf.DUMMYFUNCTION("""COMPUTED_VALUE"""),1355610.0)</f>
        <v>1355610</v>
      </c>
      <c r="C3137" t="str">
        <f>IFERROR(__xludf.DUMMYFUNCTION("""COMPUTED_VALUE"""),"Communication Fundamentals: How To Communicate Better")</f>
        <v>Communication Fundamentals: How To Communicate Better</v>
      </c>
    </row>
    <row r="3138">
      <c r="A3138" s="140" t="str">
        <f>IFERROR(__xludf.DUMMYFUNCTION("""COMPUTED_VALUE"""),"en")</f>
        <v>en</v>
      </c>
      <c r="B3138">
        <f>IFERROR(__xludf.DUMMYFUNCTION("""COMPUTED_VALUE"""),3157316.0)</f>
        <v>3157316</v>
      </c>
      <c r="C3138" t="str">
        <f>IFERROR(__xludf.DUMMYFUNCTION("""COMPUTED_VALUE"""),"What can we do about climate breakdown?")</f>
        <v>What can we do about climate breakdown?</v>
      </c>
    </row>
    <row r="3139">
      <c r="A3139" s="140" t="str">
        <f>IFERROR(__xludf.DUMMYFUNCTION("""COMPUTED_VALUE"""),"en")</f>
        <v>en</v>
      </c>
      <c r="B3139">
        <f>IFERROR(__xludf.DUMMYFUNCTION("""COMPUTED_VALUE"""),2619774.0)</f>
        <v>2619774</v>
      </c>
      <c r="C3139" t="str">
        <f>IFERROR(__xludf.DUMMYFUNCTION("""COMPUTED_VALUE"""),"Microsoft PowerPoint From Beginner to Advanced")</f>
        <v>Microsoft PowerPoint From Beginner to Advanced</v>
      </c>
    </row>
    <row r="3140">
      <c r="A3140" s="140" t="str">
        <f>IFERROR(__xludf.DUMMYFUNCTION("""COMPUTED_VALUE"""),"ja")</f>
        <v>ja</v>
      </c>
      <c r="B3140">
        <f>IFERROR(__xludf.DUMMYFUNCTION("""COMPUTED_VALUE"""),3215835.0)</f>
        <v>3215835</v>
      </c>
      <c r="C3140" t="str">
        <f>IFERROR(__xludf.DUMMYFUNCTION("""COMPUTED_VALUE"""),"【業務自動化をゼロからマスター】Google Apps Scriptの仕事効率化・自動化をプログラミングで実現")</f>
        <v>【業務自動化をゼロからマスター】Google Apps Scriptの仕事効率化・自動化をプログラミングで実現</v>
      </c>
    </row>
    <row r="3141">
      <c r="A3141" s="140" t="str">
        <f>IFERROR(__xludf.DUMMYFUNCTION("""COMPUTED_VALUE"""),"de")</f>
        <v>de</v>
      </c>
      <c r="B3141">
        <f>IFERROR(__xludf.DUMMYFUNCTION("""COMPUTED_VALUE"""),530940.0)</f>
        <v>530940</v>
      </c>
      <c r="C3141" t="str">
        <f>IFERROR(__xludf.DUMMYFUNCTION("""COMPUTED_VALUE"""),"Selbstmanagement für wichtige Aufgaben und Ziele")</f>
        <v>Selbstmanagement für wichtige Aufgaben und Ziele</v>
      </c>
    </row>
    <row r="3142">
      <c r="A3142" s="140" t="str">
        <f>IFERROR(__xludf.DUMMYFUNCTION("""COMPUTED_VALUE"""),"pt")</f>
        <v>pt</v>
      </c>
      <c r="B3142">
        <f>IFERROR(__xludf.DUMMYFUNCTION("""COMPUTED_VALUE"""),1886084.0)</f>
        <v>1886084</v>
      </c>
      <c r="C3142" t="str">
        <f>IFERROR(__xludf.DUMMYFUNCTION("""COMPUTED_VALUE"""),"IT Governance Management: Governança de TI")</f>
        <v>IT Governance Management: Governança de TI</v>
      </c>
    </row>
    <row r="3143">
      <c r="A3143" s="140" t="str">
        <f>IFERROR(__xludf.DUMMYFUNCTION("""COMPUTED_VALUE"""),"pt")</f>
        <v>pt</v>
      </c>
      <c r="B3143">
        <f>IFERROR(__xludf.DUMMYFUNCTION("""COMPUTED_VALUE"""),1628192.0)</f>
        <v>1628192</v>
      </c>
      <c r="C3143" t="str">
        <f>IFERROR(__xludf.DUMMYFUNCTION("""COMPUTED_VALUE"""),"Curso Básico de Francês - Curso completo para iniciantes")</f>
        <v>Curso Básico de Francês - Curso completo para iniciantes</v>
      </c>
    </row>
    <row r="3144">
      <c r="A3144" s="140" t="str">
        <f>IFERROR(__xludf.DUMMYFUNCTION("""COMPUTED_VALUE"""),"es")</f>
        <v>es</v>
      </c>
      <c r="B3144">
        <f>IFERROR(__xludf.DUMMYFUNCTION("""COMPUTED_VALUE"""),1242880.0)</f>
        <v>1242880</v>
      </c>
      <c r="C3144" t="str">
        <f>IFERROR(__xludf.DUMMYFUNCTION("""COMPUTED_VALUE"""),"Curso completo de iOS 11 y Swift: de cero a experto con JB")</f>
        <v>Curso completo de iOS 11 y Swift: de cero a experto con JB</v>
      </c>
    </row>
    <row r="3145">
      <c r="A3145" s="140" t="str">
        <f>IFERROR(__xludf.DUMMYFUNCTION("""COMPUTED_VALUE"""),"pt")</f>
        <v>pt</v>
      </c>
      <c r="B3145">
        <f>IFERROR(__xludf.DUMMYFUNCTION("""COMPUTED_VALUE"""),1044144.0)</f>
        <v>1044144</v>
      </c>
      <c r="C3145" t="str">
        <f>IFERROR(__xludf.DUMMYFUNCTION("""COMPUTED_VALUE"""),"Curso Completo JAVA - Lambdas, Streams, Interfaces Gráficas")</f>
        <v>Curso Completo JAVA - Lambdas, Streams, Interfaces Gráficas</v>
      </c>
    </row>
    <row r="3146">
      <c r="A3146" s="140" t="str">
        <f>IFERROR(__xludf.DUMMYFUNCTION("""COMPUTED_VALUE"""),"ja")</f>
        <v>ja</v>
      </c>
      <c r="B3146">
        <f>IFERROR(__xludf.DUMMYFUNCTION("""COMPUTED_VALUE"""),3075692.0)</f>
        <v>3075692</v>
      </c>
      <c r="C3146" t="str">
        <f>IFERROR(__xludf.DUMMYFUNCTION("""COMPUTED_VALUE"""),"Python　デザインパターンマスター講座～Pythonの基本文法、コーディング規約、命名規約、プログラミング技術～")</f>
        <v>Python　デザインパターンマスター講座～Pythonの基本文法、コーディング規約、命名規約、プログラミング技術～</v>
      </c>
    </row>
    <row r="3147">
      <c r="A3147" s="140" t="str">
        <f>IFERROR(__xludf.DUMMYFUNCTION("""COMPUTED_VALUE"""),"en")</f>
        <v>en</v>
      </c>
      <c r="B3147">
        <f>IFERROR(__xludf.DUMMYFUNCTION("""COMPUTED_VALUE"""),2590944.0)</f>
        <v>2590944</v>
      </c>
      <c r="C3147" t="str">
        <f>IFERROR(__xludf.DUMMYFUNCTION("""COMPUTED_VALUE"""),"PMI- SP Practice Tests: Scheduling Professional, 340 Q")</f>
        <v>PMI- SP Practice Tests: Scheduling Professional, 340 Q</v>
      </c>
    </row>
    <row r="3148">
      <c r="A3148" s="140" t="str">
        <f>IFERROR(__xludf.DUMMYFUNCTION("""COMPUTED_VALUE"""),"en")</f>
        <v>en</v>
      </c>
      <c r="B3148">
        <f>IFERROR(__xludf.DUMMYFUNCTION("""COMPUTED_VALUE"""),543660.0)</f>
        <v>543660</v>
      </c>
      <c r="C3148" t="str">
        <f>IFERROR(__xludf.DUMMYFUNCTION("""COMPUTED_VALUE"""),"Supply Chain: How to make planning (MPS, RCCP, MRP, DRP)")</f>
        <v>Supply Chain: How to make planning (MPS, RCCP, MRP, DRP)</v>
      </c>
    </row>
    <row r="3149">
      <c r="A3149" s="140" t="str">
        <f>IFERROR(__xludf.DUMMYFUNCTION("""COMPUTED_VALUE"""),"en")</f>
        <v>en</v>
      </c>
      <c r="B3149">
        <f>IFERROR(__xludf.DUMMYFUNCTION("""COMPUTED_VALUE"""),1595266.0)</f>
        <v>1595266</v>
      </c>
      <c r="C3149" t="str">
        <f>IFERROR(__xludf.DUMMYFUNCTION("""COMPUTED_VALUE"""),"DESIGN RULES: Principles + Practices for Great UI Design")</f>
        <v>DESIGN RULES: Principles + Practices for Great UI Design</v>
      </c>
    </row>
    <row r="3150">
      <c r="A3150" s="140" t="str">
        <f>IFERROR(__xludf.DUMMYFUNCTION("""COMPUTED_VALUE"""),"en")</f>
        <v>en</v>
      </c>
      <c r="B3150">
        <f>IFERROR(__xludf.DUMMYFUNCTION("""COMPUTED_VALUE"""),1454888.0)</f>
        <v>1454888</v>
      </c>
      <c r="C3150" t="str">
        <f>IFERROR(__xludf.DUMMYFUNCTION("""COMPUTED_VALUE"""),"Your Guide to the Pharmaceutical Industry")</f>
        <v>Your Guide to the Pharmaceutical Industry</v>
      </c>
    </row>
    <row r="3151">
      <c r="A3151" s="140" t="str">
        <f>IFERROR(__xludf.DUMMYFUNCTION("""COMPUTED_VALUE"""),"es")</f>
        <v>es</v>
      </c>
      <c r="B3151">
        <f>IFERROR(__xludf.DUMMYFUNCTION("""COMPUTED_VALUE"""),1420028.0)</f>
        <v>1420028</v>
      </c>
      <c r="C3151" t="str">
        <f>IFERROR(__xludf.DUMMYFUNCTION("""COMPUTED_VALUE"""),"Angular Avanzado: Lleva tus bases al siguiente nivel - MEAN")</f>
        <v>Angular Avanzado: Lleva tus bases al siguiente nivel - MEAN</v>
      </c>
    </row>
    <row r="3152">
      <c r="A3152" s="140" t="str">
        <f>IFERROR(__xludf.DUMMYFUNCTION("""COMPUTED_VALUE"""),"es")</f>
        <v>es</v>
      </c>
      <c r="B3152">
        <f>IFERROR(__xludf.DUMMYFUNCTION("""COMPUTED_VALUE"""),2726956.0)</f>
        <v>2726956</v>
      </c>
      <c r="C3152" t="str">
        <f>IFERROR(__xludf.DUMMYFUNCTION("""COMPUTED_VALUE"""),"PHP 7 y MYSQL - Desarrollo Web php y Bases de Datos Mysql")</f>
        <v>PHP 7 y MYSQL - Desarrollo Web php y Bases de Datos Mysql</v>
      </c>
    </row>
    <row r="3153">
      <c r="A3153" s="140" t="str">
        <f>IFERROR(__xludf.DUMMYFUNCTION("""COMPUTED_VALUE"""),"en")</f>
        <v>en</v>
      </c>
      <c r="B3153">
        <f>IFERROR(__xludf.DUMMYFUNCTION("""COMPUTED_VALUE"""),2652470.0)</f>
        <v>2652470</v>
      </c>
      <c r="C3153" t="str">
        <f>IFERROR(__xludf.DUMMYFUNCTION("""COMPUTED_VALUE"""),"The Corporate Finance Course 2021")</f>
        <v>The Corporate Finance Course 2021</v>
      </c>
    </row>
    <row r="3154">
      <c r="A3154" s="140" t="str">
        <f>IFERROR(__xludf.DUMMYFUNCTION("""COMPUTED_VALUE"""),"de")</f>
        <v>de</v>
      </c>
      <c r="B3154">
        <f>IFERROR(__xludf.DUMMYFUNCTION("""COMPUTED_VALUE"""),1496004.0)</f>
        <v>1496004</v>
      </c>
      <c r="C3154" t="str">
        <f>IFERROR(__xludf.DUMMYFUNCTION("""COMPUTED_VALUE"""),"Die Digital Marketing Masterclass: Lerne alles von A-Z")</f>
        <v>Die Digital Marketing Masterclass: Lerne alles von A-Z</v>
      </c>
    </row>
    <row r="3155">
      <c r="A3155" s="140" t="str">
        <f>IFERROR(__xludf.DUMMYFUNCTION("""COMPUTED_VALUE"""),"en")</f>
        <v>en</v>
      </c>
      <c r="B3155">
        <f>IFERROR(__xludf.DUMMYFUNCTION("""COMPUTED_VALUE"""),1067344.0)</f>
        <v>1067344</v>
      </c>
      <c r="C3155" t="str">
        <f>IFERROR(__xludf.DUMMYFUNCTION("""COMPUTED_VALUE"""),"Arduino Programming and Hardware Fundamentals with Hackster")</f>
        <v>Arduino Programming and Hardware Fundamentals with Hackster</v>
      </c>
    </row>
    <row r="3156">
      <c r="A3156" s="140" t="str">
        <f>IFERROR(__xludf.DUMMYFUNCTION("""COMPUTED_VALUE"""),"en")</f>
        <v>en</v>
      </c>
      <c r="B3156">
        <f>IFERROR(__xludf.DUMMYFUNCTION("""COMPUTED_VALUE"""),3336410.0)</f>
        <v>3336410</v>
      </c>
      <c r="C3156" t="str">
        <f>IFERROR(__xludf.DUMMYFUNCTION("""COMPUTED_VALUE"""),"Certified Kubernetes Security Specialist 2021")</f>
        <v>Certified Kubernetes Security Specialist 2021</v>
      </c>
    </row>
    <row r="3157">
      <c r="A3157" s="140" t="str">
        <f>IFERROR(__xludf.DUMMYFUNCTION("""COMPUTED_VALUE"""),"en")</f>
        <v>en</v>
      </c>
      <c r="B3157">
        <f>IFERROR(__xludf.DUMMYFUNCTION("""COMPUTED_VALUE"""),873654.0)</f>
        <v>873654</v>
      </c>
      <c r="C3157" t="str">
        <f>IFERROR(__xludf.DUMMYFUNCTION("""COMPUTED_VALUE"""),"Mastering Job Interview English | Get Your Dream Job")</f>
        <v>Mastering Job Interview English | Get Your Dream Job</v>
      </c>
    </row>
    <row r="3158">
      <c r="A3158" s="140" t="str">
        <f>IFERROR(__xludf.DUMMYFUNCTION("""COMPUTED_VALUE"""),"en")</f>
        <v>en</v>
      </c>
      <c r="B3158">
        <f>IFERROR(__xludf.DUMMYFUNCTION("""COMPUTED_VALUE"""),739410.0)</f>
        <v>739410</v>
      </c>
      <c r="C3158" t="str">
        <f>IFERROR(__xludf.DUMMYFUNCTION("""COMPUTED_VALUE"""),"Cucumber BDD with Python 3 Behave and Selenium WebDriver")</f>
        <v>Cucumber BDD with Python 3 Behave and Selenium WebDriver</v>
      </c>
    </row>
    <row r="3159">
      <c r="A3159" s="140" t="str">
        <f>IFERROR(__xludf.DUMMYFUNCTION("""COMPUTED_VALUE"""),"ja")</f>
        <v>ja</v>
      </c>
      <c r="B3159">
        <f>IFERROR(__xludf.DUMMYFUNCTION("""COMPUTED_VALUE"""),2418440.0)</f>
        <v>2418440</v>
      </c>
      <c r="C3159" t="str">
        <f>IFERROR(__xludf.DUMMYFUNCTION("""COMPUTED_VALUE"""),"【新規事業からIPOまで】エクセルで学ぶスタートアップ戦略＆ファイナンス")</f>
        <v>【新規事業からIPOまで】エクセルで学ぶスタートアップ戦略＆ファイナンス</v>
      </c>
    </row>
    <row r="3160">
      <c r="A3160" s="140" t="str">
        <f>IFERROR(__xludf.DUMMYFUNCTION("""COMPUTED_VALUE"""),"de")</f>
        <v>de</v>
      </c>
      <c r="B3160">
        <f>IFERROR(__xludf.DUMMYFUNCTION("""COMPUTED_VALUE"""),1169292.0)</f>
        <v>1169292</v>
      </c>
      <c r="C3160" t="str">
        <f>IFERROR(__xludf.DUMMYFUNCTION("""COMPUTED_VALUE"""),"Swift &amp; iOS 12 - Der umfassende App Entwickler Kurs A-Z")</f>
        <v>Swift &amp; iOS 12 - Der umfassende App Entwickler Kurs A-Z</v>
      </c>
    </row>
    <row r="3161">
      <c r="A3161" s="140" t="str">
        <f>IFERROR(__xludf.DUMMYFUNCTION("""COMPUTED_VALUE"""),"de")</f>
        <v>de</v>
      </c>
      <c r="B3161">
        <f>IFERROR(__xludf.DUMMYFUNCTION("""COMPUTED_VALUE"""),1379740.0)</f>
        <v>1379740</v>
      </c>
      <c r="C3161" t="str">
        <f>IFERROR(__xludf.DUMMYFUNCTION("""COMPUTED_VALUE"""),"Der Unity 2017 &amp; Blender Komplettkurs: Erstelle Top 3D Games")</f>
        <v>Der Unity 2017 &amp; Blender Komplettkurs: Erstelle Top 3D Games</v>
      </c>
    </row>
    <row r="3162">
      <c r="A3162" s="140" t="str">
        <f>IFERROR(__xludf.DUMMYFUNCTION("""COMPUTED_VALUE"""),"en")</f>
        <v>en</v>
      </c>
      <c r="B3162">
        <f>IFERROR(__xludf.DUMMYFUNCTION("""COMPUTED_VALUE"""),1573504.0)</f>
        <v>1573504</v>
      </c>
      <c r="C3162" t="str">
        <f>IFERROR(__xludf.DUMMYFUNCTION("""COMPUTED_VALUE"""),"Introduction to the GDPR In One Hour - The Basic Facts")</f>
        <v>Introduction to the GDPR In One Hour - The Basic Facts</v>
      </c>
    </row>
    <row r="3163">
      <c r="A3163" s="140" t="str">
        <f>IFERROR(__xludf.DUMMYFUNCTION("""COMPUTED_VALUE"""),"ja")</f>
        <v>ja</v>
      </c>
      <c r="B3163">
        <f>IFERROR(__xludf.DUMMYFUNCTION("""COMPUTED_VALUE"""),3452848.0)</f>
        <v>3452848</v>
      </c>
      <c r="C3163" t="str">
        <f>IFERROR(__xludf.DUMMYFUNCTION("""COMPUTED_VALUE"""),"モダンJavaScriptの基礎から始める挫折しないためのReact入門")</f>
        <v>モダンJavaScriptの基礎から始める挫折しないためのReact入門</v>
      </c>
    </row>
    <row r="3164">
      <c r="A3164" s="140" t="str">
        <f>IFERROR(__xludf.DUMMYFUNCTION("""COMPUTED_VALUE"""),"pt")</f>
        <v>pt</v>
      </c>
      <c r="B3164">
        <f>IFERROR(__xludf.DUMMYFUNCTION("""COMPUTED_VALUE"""),1955638.0)</f>
        <v>1955638</v>
      </c>
      <c r="C3164" t="str">
        <f>IFERROR(__xludf.DUMMYFUNCTION("""COMPUTED_VALUE"""),"DevOps: AWS com Terraform Automatizando sua infraestrutura")</f>
        <v>DevOps: AWS com Terraform Automatizando sua infraestrutura</v>
      </c>
    </row>
    <row r="3165">
      <c r="A3165" s="140" t="str">
        <f>IFERROR(__xludf.DUMMYFUNCTION("""COMPUTED_VALUE"""),"en")</f>
        <v>en</v>
      </c>
      <c r="B3165">
        <f>IFERROR(__xludf.DUMMYFUNCTION("""COMPUTED_VALUE"""),3060170.0)</f>
        <v>3060170</v>
      </c>
      <c r="C3165" t="str">
        <f>IFERROR(__xludf.DUMMYFUNCTION("""COMPUTED_VALUE"""),"Ubiquiti Enterprise Wireless with LABS")</f>
        <v>Ubiquiti Enterprise Wireless with LABS</v>
      </c>
    </row>
    <row r="3166">
      <c r="A3166" s="140" t="str">
        <f>IFERROR(__xludf.DUMMYFUNCTION("""COMPUTED_VALUE"""),"es")</f>
        <v>es</v>
      </c>
      <c r="B3166">
        <f>IFERROR(__xludf.DUMMYFUNCTION("""COMPUTED_VALUE"""),3875828.0)</f>
        <v>3875828</v>
      </c>
      <c r="C3166" t="str">
        <f>IFERROR(__xludf.DUMMYFUNCTION("""COMPUTED_VALUE"""),"Curso de Venta B2B - Ventas de Negocio a Negocio")</f>
        <v>Curso de Venta B2B - Ventas de Negocio a Negocio</v>
      </c>
    </row>
    <row r="3167">
      <c r="A3167" s="140" t="str">
        <f>IFERROR(__xludf.DUMMYFUNCTION("""COMPUTED_VALUE"""),"en")</f>
        <v>en</v>
      </c>
      <c r="B3167">
        <f>IFERROR(__xludf.DUMMYFUNCTION("""COMPUTED_VALUE"""),548062.0)</f>
        <v>548062</v>
      </c>
      <c r="C3167" t="str">
        <f>IFERROR(__xludf.DUMMYFUNCTION("""COMPUTED_VALUE"""),"XSLT XPATH and XQuery Fundamentals")</f>
        <v>XSLT XPATH and XQuery Fundamentals</v>
      </c>
    </row>
    <row r="3168">
      <c r="A3168" s="140" t="str">
        <f>IFERROR(__xludf.DUMMYFUNCTION("""COMPUTED_VALUE"""),"en")</f>
        <v>en</v>
      </c>
      <c r="B3168">
        <f>IFERROR(__xludf.DUMMYFUNCTION("""COMPUTED_VALUE"""),1350984.0)</f>
        <v>1350984</v>
      </c>
      <c r="C3168" t="str">
        <f>IFERROR(__xludf.DUMMYFUNCTION("""COMPUTED_VALUE"""),"The Modern Python 3 Bootcamp")</f>
        <v>The Modern Python 3 Bootcamp</v>
      </c>
    </row>
    <row r="3169">
      <c r="A3169" s="140" t="str">
        <f>IFERROR(__xludf.DUMMYFUNCTION("""COMPUTED_VALUE"""),"pt")</f>
        <v>pt</v>
      </c>
      <c r="B3169">
        <f>IFERROR(__xludf.DUMMYFUNCTION("""COMPUTED_VALUE"""),907638.0)</f>
        <v>907638</v>
      </c>
      <c r="C3169" t="str">
        <f>IFERROR(__xludf.DUMMYFUNCTION("""COMPUTED_VALUE"""),"UML - Guia Básico para Análise e Projeto de Sistemas")</f>
        <v>UML - Guia Básico para Análise e Projeto de Sistemas</v>
      </c>
    </row>
    <row r="3170">
      <c r="A3170" s="140" t="str">
        <f>IFERROR(__xludf.DUMMYFUNCTION("""COMPUTED_VALUE"""),"tr")</f>
        <v>tr</v>
      </c>
      <c r="B3170">
        <f>IFERROR(__xludf.DUMMYFUNCTION("""COMPUTED_VALUE"""),2204766.0)</f>
        <v>2204766</v>
      </c>
      <c r="C3170" t="str">
        <f>IFERROR(__xludf.DUMMYFUNCTION("""COMPUTED_VALUE"""),"Dijital Sinyal İşlemenin Temelleri ve Matlab Uygulamaları")</f>
        <v>Dijital Sinyal İşlemenin Temelleri ve Matlab Uygulamaları</v>
      </c>
    </row>
    <row r="3171">
      <c r="A3171" s="140" t="str">
        <f>IFERROR(__xludf.DUMMYFUNCTION("""COMPUTED_VALUE"""),"en")</f>
        <v>en</v>
      </c>
      <c r="B3171">
        <f>IFERROR(__xludf.DUMMYFUNCTION("""COMPUTED_VALUE"""),1419186.0)</f>
        <v>1419186</v>
      </c>
      <c r="C3171" t="str">
        <f>IFERROR(__xludf.DUMMYFUNCTION("""COMPUTED_VALUE"""),"Data Structures and Algorithms:  Deep Dive Using Java")</f>
        <v>Data Structures and Algorithms:  Deep Dive Using Java</v>
      </c>
    </row>
    <row r="3172">
      <c r="A3172" s="140" t="str">
        <f>IFERROR(__xludf.DUMMYFUNCTION("""COMPUTED_VALUE"""),"de")</f>
        <v>de</v>
      </c>
      <c r="B3172">
        <f>IFERROR(__xludf.DUMMYFUNCTION("""COMPUTED_VALUE"""),2862216.0)</f>
        <v>2862216</v>
      </c>
      <c r="C3172" t="str">
        <f>IFERROR(__xludf.DUMMYFUNCTION("""COMPUTED_VALUE"""),"Lebendiges Software Design 2/3: Modulare Architektur")</f>
        <v>Lebendiges Software Design 2/3: Modulare Architektur</v>
      </c>
    </row>
    <row r="3173">
      <c r="A3173" s="140" t="str">
        <f>IFERROR(__xludf.DUMMYFUNCTION("""COMPUTED_VALUE"""),"pt")</f>
        <v>pt</v>
      </c>
      <c r="B3173">
        <f>IFERROR(__xludf.DUMMYFUNCTION("""COMPUTED_VALUE"""),2548889.0)</f>
        <v>2548889</v>
      </c>
      <c r="C3173" t="str">
        <f>IFERROR(__xludf.DUMMYFUNCTION("""COMPUTED_VALUE"""),"Node JS Curso Completo do Básico ao Avançado")</f>
        <v>Node JS Curso Completo do Básico ao Avançado</v>
      </c>
    </row>
    <row r="3174">
      <c r="A3174" s="140" t="str">
        <f>IFERROR(__xludf.DUMMYFUNCTION("""COMPUTED_VALUE"""),"en")</f>
        <v>en</v>
      </c>
      <c r="B3174">
        <f>IFERROR(__xludf.DUMMYFUNCTION("""COMPUTED_VALUE"""),3510096.0)</f>
        <v>3510096</v>
      </c>
      <c r="C3174" t="str">
        <f>IFERROR(__xludf.DUMMYFUNCTION("""COMPUTED_VALUE"""),"Master NestJS - The JavaScript Node.js Framework")</f>
        <v>Master NestJS - The JavaScript Node.js Framework</v>
      </c>
    </row>
    <row r="3175">
      <c r="A3175" s="140" t="str">
        <f>IFERROR(__xludf.DUMMYFUNCTION("""COMPUTED_VALUE"""),"en")</f>
        <v>en</v>
      </c>
      <c r="B3175">
        <f>IFERROR(__xludf.DUMMYFUNCTION("""COMPUTED_VALUE"""),2676416.0)</f>
        <v>2676416</v>
      </c>
      <c r="C3175" t="str">
        <f>IFERROR(__xludf.DUMMYFUNCTION("""COMPUTED_VALUE"""),"HR Analytics Master Course with Excel, Python and R")</f>
        <v>HR Analytics Master Course with Excel, Python and R</v>
      </c>
    </row>
    <row r="3176">
      <c r="A3176" s="140" t="str">
        <f>IFERROR(__xludf.DUMMYFUNCTION("""COMPUTED_VALUE"""),"en")</f>
        <v>en</v>
      </c>
      <c r="B3176">
        <f>IFERROR(__xludf.DUMMYFUNCTION("""COMPUTED_VALUE"""),1158404.0)</f>
        <v>1158404</v>
      </c>
      <c r="C3176" t="str">
        <f>IFERROR(__xludf.DUMMYFUNCTION("""COMPUTED_VALUE"""),"Comprehensive Screenflow Course (Screenflow 9 Update)")</f>
        <v>Comprehensive Screenflow Course (Screenflow 9 Update)</v>
      </c>
    </row>
    <row r="3177">
      <c r="A3177" s="140" t="str">
        <f>IFERROR(__xludf.DUMMYFUNCTION("""COMPUTED_VALUE"""),"pt")</f>
        <v>pt</v>
      </c>
      <c r="B3177">
        <f>IFERROR(__xludf.DUMMYFUNCTION("""COMPUTED_VALUE"""),1854544.0)</f>
        <v>1854544</v>
      </c>
      <c r="C3177" t="str">
        <f>IFERROR(__xludf.DUMMYFUNCTION("""COMPUTED_VALUE"""),"Curso completo de LIBRAS - Prático e Rápido")</f>
        <v>Curso completo de LIBRAS - Prático e Rápido</v>
      </c>
    </row>
    <row r="3178">
      <c r="A3178" s="140" t="str">
        <f>IFERROR(__xludf.DUMMYFUNCTION("""COMPUTED_VALUE"""),"en")</f>
        <v>en</v>
      </c>
      <c r="B3178">
        <f>IFERROR(__xludf.DUMMYFUNCTION("""COMPUTED_VALUE"""),3160166.0)</f>
        <v>3160166</v>
      </c>
      <c r="C3178" t="str">
        <f>IFERROR(__xludf.DUMMYFUNCTION("""COMPUTED_VALUE"""),"Deno Js - Beginner Guide [2021]")</f>
        <v>Deno Js - Beginner Guide [2021]</v>
      </c>
    </row>
    <row r="3179">
      <c r="A3179" s="140" t="str">
        <f>IFERROR(__xludf.DUMMYFUNCTION("""COMPUTED_VALUE"""),"en")</f>
        <v>en</v>
      </c>
      <c r="B3179">
        <f>IFERROR(__xludf.DUMMYFUNCTION("""COMPUTED_VALUE"""),1271898.0)</f>
        <v>1271898</v>
      </c>
      <c r="C3179" t="str">
        <f>IFERROR(__xludf.DUMMYFUNCTION("""COMPUTED_VALUE"""),"Mastering Puppet the devops way by School of DevOps®")</f>
        <v>Mastering Puppet the devops way by School of DevOps®</v>
      </c>
    </row>
    <row r="3180">
      <c r="A3180" s="140" t="str">
        <f>IFERROR(__xludf.DUMMYFUNCTION("""COMPUTED_VALUE"""),"en")</f>
        <v>en</v>
      </c>
      <c r="B3180">
        <f>IFERROR(__xludf.DUMMYFUNCTION("""COMPUTED_VALUE"""),1424248.0)</f>
        <v>1424248</v>
      </c>
      <c r="C3180" t="str">
        <f>IFERROR(__xludf.DUMMYFUNCTION("""COMPUTED_VALUE"""),"Stock Trading Strategies : Technical Analysis MasterClass 2")</f>
        <v>Stock Trading Strategies : Technical Analysis MasterClass 2</v>
      </c>
    </row>
    <row r="3181">
      <c r="A3181" s="140" t="str">
        <f>IFERROR(__xludf.DUMMYFUNCTION("""COMPUTED_VALUE"""),"en")</f>
        <v>en</v>
      </c>
      <c r="B3181">
        <f>IFERROR(__xludf.DUMMYFUNCTION("""COMPUTED_VALUE"""),1342982.0)</f>
        <v>1342982</v>
      </c>
      <c r="C3181" t="str">
        <f>IFERROR(__xludf.DUMMYFUNCTION("""COMPUTED_VALUE"""),"ARM Cortex M Microcontroller DMA Programming Demystified")</f>
        <v>ARM Cortex M Microcontroller DMA Programming Demystified</v>
      </c>
    </row>
    <row r="3182">
      <c r="A3182" s="140" t="str">
        <f>IFERROR(__xludf.DUMMYFUNCTION("""COMPUTED_VALUE"""),"pt")</f>
        <v>pt</v>
      </c>
      <c r="B3182">
        <f>IFERROR(__xludf.DUMMYFUNCTION("""COMPUTED_VALUE"""),1897422.0)</f>
        <v>1897422</v>
      </c>
      <c r="C3182" t="str">
        <f>IFERROR(__xludf.DUMMYFUNCTION("""COMPUTED_VALUE"""),"SEO WordPress: Como aparecer no Google")</f>
        <v>SEO WordPress: Como aparecer no Google</v>
      </c>
    </row>
    <row r="3183">
      <c r="A3183" s="140" t="str">
        <f>IFERROR(__xludf.DUMMYFUNCTION("""COMPUTED_VALUE"""),"ja")</f>
        <v>ja</v>
      </c>
      <c r="B3183">
        <f>IFERROR(__xludf.DUMMYFUNCTION("""COMPUTED_VALUE"""),4151008.0)</f>
        <v>4151008</v>
      </c>
      <c r="C3183" t="str">
        <f>IFERROR(__xludf.DUMMYFUNCTION("""COMPUTED_VALUE"""),"＜UB確認テスト＞【初級編】RPAコンサルタントが教えるUiPath Studio")</f>
        <v>＜UB確認テスト＞【初級編】RPAコンサルタントが教えるUiPath Studio</v>
      </c>
    </row>
    <row r="3184">
      <c r="A3184" s="140" t="str">
        <f>IFERROR(__xludf.DUMMYFUNCTION("""COMPUTED_VALUE"""),"en")</f>
        <v>en</v>
      </c>
      <c r="B3184">
        <f>IFERROR(__xludf.DUMMYFUNCTION("""COMPUTED_VALUE"""),1326668.0)</f>
        <v>1326668</v>
      </c>
      <c r="C3184" t="str">
        <f>IFERROR(__xludf.DUMMYFUNCTION("""COMPUTED_VALUE"""),"Facebook ChatBot Marketing: The Smart Way To Use ManyChat")</f>
        <v>Facebook ChatBot Marketing: The Smart Way To Use ManyChat</v>
      </c>
    </row>
    <row r="3185">
      <c r="A3185" s="140" t="str">
        <f>IFERROR(__xludf.DUMMYFUNCTION("""COMPUTED_VALUE"""),"en")</f>
        <v>en</v>
      </c>
      <c r="B3185">
        <f>IFERROR(__xludf.DUMMYFUNCTION("""COMPUTED_VALUE"""),293814.0)</f>
        <v>293814</v>
      </c>
      <c r="C3185" t="str">
        <f>IFERROR(__xludf.DUMMYFUNCTION("""COMPUTED_VALUE"""),"French for Beginners : Level 1")</f>
        <v>French for Beginners : Level 1</v>
      </c>
    </row>
    <row r="3186">
      <c r="A3186" s="140" t="str">
        <f>IFERROR(__xludf.DUMMYFUNCTION("""COMPUTED_VALUE"""),"de")</f>
        <v>de</v>
      </c>
      <c r="B3186">
        <f>IFERROR(__xludf.DUMMYFUNCTION("""COMPUTED_VALUE"""),555262.0)</f>
        <v>555262</v>
      </c>
      <c r="C3186" t="str">
        <f>IFERROR(__xludf.DUMMYFUNCTION("""COMPUTED_VALUE"""),"Google Apps für Anfänger (deutsch)")</f>
        <v>Google Apps für Anfänger (deutsch)</v>
      </c>
    </row>
    <row r="3187">
      <c r="A3187" s="140" t="str">
        <f>IFERROR(__xludf.DUMMYFUNCTION("""COMPUTED_VALUE"""),"pt")</f>
        <v>pt</v>
      </c>
      <c r="B3187">
        <f>IFERROR(__xludf.DUMMYFUNCTION("""COMPUTED_VALUE"""),3496728.0)</f>
        <v>3496728</v>
      </c>
      <c r="C3187" t="str">
        <f>IFERROR(__xludf.DUMMYFUNCTION("""COMPUTED_VALUE"""),"UI &amp; UX Design de aplicativos e sites - Adobe XD e PSD 2021")</f>
        <v>UI &amp; UX Design de aplicativos e sites - Adobe XD e PSD 2021</v>
      </c>
    </row>
    <row r="3188">
      <c r="A3188" s="140" t="str">
        <f>IFERROR(__xludf.DUMMYFUNCTION("""COMPUTED_VALUE"""),"ja")</f>
        <v>ja</v>
      </c>
      <c r="B3188">
        <f>IFERROR(__xludf.DUMMYFUNCTION("""COMPUTED_VALUE"""),2057065.0)</f>
        <v>2057065</v>
      </c>
      <c r="C3188" t="str">
        <f>IFERROR(__xludf.DUMMYFUNCTION("""COMPUTED_VALUE"""),"【超入門】未経験者が3Dプリントまで Fusion 360でキャラクターをモデリングして3Dプリントをしよう")</f>
        <v>【超入門】未経験者が3Dプリントまで Fusion 360でキャラクターをモデリングして3Dプリントをしよう</v>
      </c>
    </row>
    <row r="3189">
      <c r="A3189" s="140" t="str">
        <f>IFERROR(__xludf.DUMMYFUNCTION("""COMPUTED_VALUE"""),"ja")</f>
        <v>ja</v>
      </c>
      <c r="B3189">
        <f>IFERROR(__xludf.DUMMYFUNCTION("""COMPUTED_VALUE"""),1639104.0)</f>
        <v>1639104</v>
      </c>
      <c r="C3189" t="str">
        <f>IFERROR(__xludf.DUMMYFUNCTION("""COMPUTED_VALUE"""),"医師が教えるR言語での医療データ分析入門")</f>
        <v>医師が教えるR言語での医療データ分析入門</v>
      </c>
    </row>
    <row r="3190">
      <c r="A3190" s="140" t="str">
        <f>IFERROR(__xludf.DUMMYFUNCTION("""COMPUTED_VALUE"""),"fr")</f>
        <v>fr</v>
      </c>
      <c r="B3190">
        <f>IFERROR(__xludf.DUMMYFUNCTION("""COMPUTED_VALUE"""),3127188.0)</f>
        <v>3127188</v>
      </c>
      <c r="C3190" t="str">
        <f>IFERROR(__xludf.DUMMYFUNCTION("""COMPUTED_VALUE"""),"Azure DevOps - Repos : gérer votre code source comme un pro")</f>
        <v>Azure DevOps - Repos : gérer votre code source comme un pro</v>
      </c>
    </row>
    <row r="3191">
      <c r="A3191" s="140" t="str">
        <f>IFERROR(__xludf.DUMMYFUNCTION("""COMPUTED_VALUE"""),"es")</f>
        <v>es</v>
      </c>
      <c r="B3191">
        <f>IFERROR(__xludf.DUMMYFUNCTION("""COMPUTED_VALUE"""),2851410.0)</f>
        <v>2851410</v>
      </c>
      <c r="C3191" t="str">
        <f>IFERROR(__xludf.DUMMYFUNCTION("""COMPUTED_VALUE"""),"CURSO DE DIBUJO - Cuando el Dibujo Creativo supera al Arte")</f>
        <v>CURSO DE DIBUJO - Cuando el Dibujo Creativo supera al Arte</v>
      </c>
    </row>
    <row r="3192">
      <c r="A3192" s="140" t="str">
        <f>IFERROR(__xludf.DUMMYFUNCTION("""COMPUTED_VALUE"""),"en")</f>
        <v>en</v>
      </c>
      <c r="B3192">
        <f>IFERROR(__xludf.DUMMYFUNCTION("""COMPUTED_VALUE"""),2265298.0)</f>
        <v>2265298</v>
      </c>
      <c r="C3192" t="str">
        <f>IFERROR(__xludf.DUMMYFUNCTION("""COMPUTED_VALUE"""),"Reverse Engineering with Radare 2")</f>
        <v>Reverse Engineering with Radare 2</v>
      </c>
    </row>
    <row r="3193">
      <c r="A3193" s="140" t="str">
        <f>IFERROR(__xludf.DUMMYFUNCTION("""COMPUTED_VALUE"""),"ar")</f>
        <v>ar</v>
      </c>
      <c r="B3193">
        <f>IFERROR(__xludf.DUMMYFUNCTION("""COMPUTED_VALUE"""),1456888.0)</f>
        <v>1456888</v>
      </c>
      <c r="C3193" t="str">
        <f>IFERROR(__xludf.DUMMYFUNCTION("""COMPUTED_VALUE"""),"Python For Security Arabic")</f>
        <v>Python For Security Arabic</v>
      </c>
    </row>
    <row r="3194">
      <c r="A3194" s="140" t="str">
        <f>IFERROR(__xludf.DUMMYFUNCTION("""COMPUTED_VALUE"""),"en")</f>
        <v>en</v>
      </c>
      <c r="B3194">
        <f>IFERROR(__xludf.DUMMYFUNCTION("""COMPUTED_VALUE"""),1901226.0)</f>
        <v>1901226</v>
      </c>
      <c r="C3194" t="str">
        <f>IFERROR(__xludf.DUMMYFUNCTION("""COMPUTED_VALUE"""),"Complete General Chemistry 20+ hours of lectures &amp; examples")</f>
        <v>Complete General Chemistry 20+ hours of lectures &amp; examples</v>
      </c>
    </row>
    <row r="3195">
      <c r="A3195" s="140" t="str">
        <f>IFERROR(__xludf.DUMMYFUNCTION("""COMPUTED_VALUE"""),"tr")</f>
        <v>tr</v>
      </c>
      <c r="B3195">
        <f>IFERROR(__xludf.DUMMYFUNCTION("""COMPUTED_VALUE"""),2739024.0)</f>
        <v>2739024</v>
      </c>
      <c r="C3195" t="str">
        <f>IFERROR(__xludf.DUMMYFUNCTION("""COMPUTED_VALUE"""),"Spring ve React ile Web Uygulaması Geliştirmek")</f>
        <v>Spring ve React ile Web Uygulaması Geliştirmek</v>
      </c>
    </row>
    <row r="3196">
      <c r="A3196" s="140" t="str">
        <f>IFERROR(__xludf.DUMMYFUNCTION("""COMPUTED_VALUE"""),"en")</f>
        <v>en</v>
      </c>
      <c r="B3196">
        <f>IFERROR(__xludf.DUMMYFUNCTION("""COMPUTED_VALUE"""),1459426.0)</f>
        <v>1459426</v>
      </c>
      <c r="C3196" t="str">
        <f>IFERROR(__xludf.DUMMYFUNCTION("""COMPUTED_VALUE"""),"REST Assured Fundamentals")</f>
        <v>REST Assured Fundamentals</v>
      </c>
    </row>
    <row r="3197">
      <c r="A3197" s="140" t="str">
        <f>IFERROR(__xludf.DUMMYFUNCTION("""COMPUTED_VALUE"""),"en")</f>
        <v>en</v>
      </c>
      <c r="B3197">
        <f>IFERROR(__xludf.DUMMYFUNCTION("""COMPUTED_VALUE"""),1789086.0)</f>
        <v>1789086</v>
      </c>
      <c r="C3197" t="str">
        <f>IFERROR(__xludf.DUMMYFUNCTION("""COMPUTED_VALUE"""),"SAP ABAP on HANA +HANA Modelling for Beginners with Hands-On")</f>
        <v>SAP ABAP on HANA +HANA Modelling for Beginners with Hands-On</v>
      </c>
    </row>
    <row r="3198">
      <c r="A3198" s="140" t="str">
        <f>IFERROR(__xludf.DUMMYFUNCTION("""COMPUTED_VALUE"""),"es")</f>
        <v>es</v>
      </c>
      <c r="B3198">
        <f>IFERROR(__xludf.DUMMYFUNCTION("""COMPUTED_VALUE"""),419481.0)</f>
        <v>419481</v>
      </c>
      <c r="C3198" t="str">
        <f>IFERROR(__xludf.DUMMYFUNCTION("""COMPUTED_VALUE"""),"Aprende AutoCAD 2D y 3D: Básico e Intermedio.")</f>
        <v>Aprende AutoCAD 2D y 3D: Básico e Intermedio.</v>
      </c>
    </row>
    <row r="3199">
      <c r="A3199" s="140" t="str">
        <f>IFERROR(__xludf.DUMMYFUNCTION("""COMPUTED_VALUE"""),"pt")</f>
        <v>pt</v>
      </c>
      <c r="B3199">
        <f>IFERROR(__xludf.DUMMYFUNCTION("""COMPUTED_VALUE"""),2781978.0)</f>
        <v>2781978</v>
      </c>
      <c r="C3199" t="str">
        <f>IFERROR(__xludf.DUMMYFUNCTION("""COMPUTED_VALUE"""),"Crie APIs REST com Python e Django REST Framework: Essencial")</f>
        <v>Crie APIs REST com Python e Django REST Framework: Essencial</v>
      </c>
    </row>
    <row r="3200">
      <c r="A3200" s="140" t="str">
        <f>IFERROR(__xludf.DUMMYFUNCTION("""COMPUTED_VALUE"""),"en")</f>
        <v>en</v>
      </c>
      <c r="B3200">
        <f>IFERROR(__xludf.DUMMYFUNCTION("""COMPUTED_VALUE"""),2500544.0)</f>
        <v>2500544</v>
      </c>
      <c r="C3200" t="str">
        <f>IFERROR(__xludf.DUMMYFUNCTION("""COMPUTED_VALUE"""),"The Advanced Cryptocurrency Trading Course - With Strategies")</f>
        <v>The Advanced Cryptocurrency Trading Course - With Strategies</v>
      </c>
    </row>
    <row r="3201">
      <c r="A3201" s="140" t="str">
        <f>IFERROR(__xludf.DUMMYFUNCTION("""COMPUTED_VALUE"""),"ja")</f>
        <v>ja</v>
      </c>
      <c r="B3201">
        <f>IFERROR(__xludf.DUMMYFUNCTION("""COMPUTED_VALUE"""),1685648.0)</f>
        <v>1685648</v>
      </c>
      <c r="C3201" t="str">
        <f>IFERROR(__xludf.DUMMYFUNCTION("""COMPUTED_VALUE"""),"3分で一発OK！社内プレゼンの資料作成術")</f>
        <v>3分で一発OK！社内プレゼンの資料作成術</v>
      </c>
    </row>
    <row r="3202">
      <c r="A3202" s="140" t="str">
        <f>IFERROR(__xludf.DUMMYFUNCTION("""COMPUTED_VALUE"""),"en")</f>
        <v>en</v>
      </c>
      <c r="B3202">
        <f>IFERROR(__xludf.DUMMYFUNCTION("""COMPUTED_VALUE"""),1047846.0)</f>
        <v>1047846</v>
      </c>
      <c r="C3202" t="str">
        <f>IFERROR(__xludf.DUMMYFUNCTION("""COMPUTED_VALUE"""),"Amazon Web Services (AWS) Certified 2021 - 4 Certifications!")</f>
        <v>Amazon Web Services (AWS) Certified 2021 - 4 Certifications!</v>
      </c>
    </row>
    <row r="3203">
      <c r="A3203" s="140" t="str">
        <f>IFERROR(__xludf.DUMMYFUNCTION("""COMPUTED_VALUE"""),"en")</f>
        <v>en</v>
      </c>
      <c r="B3203">
        <f>IFERROR(__xludf.DUMMYFUNCTION("""COMPUTED_VALUE"""),1652094.0)</f>
        <v>1652094</v>
      </c>
      <c r="C3203" t="str">
        <f>IFERROR(__xludf.DUMMYFUNCTION("""COMPUTED_VALUE"""),"Introduction to Human Resource Concepts")</f>
        <v>Introduction to Human Resource Concepts</v>
      </c>
    </row>
    <row r="3204">
      <c r="A3204" s="140" t="str">
        <f>IFERROR(__xludf.DUMMYFUNCTION("""COMPUTED_VALUE"""),"ja")</f>
        <v>ja</v>
      </c>
      <c r="B3204">
        <f>IFERROR(__xludf.DUMMYFUNCTION("""COMPUTED_VALUE"""),3201430.0)</f>
        <v>3201430</v>
      </c>
      <c r="C3204" t="str">
        <f>IFERROR(__xludf.DUMMYFUNCTION("""COMPUTED_VALUE"""),"Tableau Public 101 ―とにかく タブロー / Tableau を使ってみたいと思ったらみるコース―")</f>
        <v>Tableau Public 101 ―とにかく タブロー / Tableau を使ってみたいと思ったらみるコース―</v>
      </c>
    </row>
    <row r="3205">
      <c r="A3205" s="140" t="str">
        <f>IFERROR(__xludf.DUMMYFUNCTION("""COMPUTED_VALUE"""),"tr")</f>
        <v>tr</v>
      </c>
      <c r="B3205">
        <f>IFERROR(__xludf.DUMMYFUNCTION("""COMPUTED_VALUE"""),3963034.0)</f>
        <v>3963034</v>
      </c>
      <c r="C3205" t="str">
        <f>IFERROR(__xludf.DUMMYFUNCTION("""COMPUTED_VALUE"""),"Gömülü Sistemler için C Diline Hızlı Bir Giriş")</f>
        <v>Gömülü Sistemler için C Diline Hızlı Bir Giriş</v>
      </c>
    </row>
    <row r="3206">
      <c r="A3206" s="140" t="str">
        <f>IFERROR(__xludf.DUMMYFUNCTION("""COMPUTED_VALUE"""),"es")</f>
        <v>es</v>
      </c>
      <c r="B3206">
        <f>IFERROR(__xludf.DUMMYFUNCTION("""COMPUTED_VALUE"""),2921370.0)</f>
        <v>2921370</v>
      </c>
      <c r="C3206" t="str">
        <f>IFERROR(__xludf.DUMMYFUNCTION("""COMPUTED_VALUE"""),"Master en ASP.NET Core y React Hooks en Azure")</f>
        <v>Master en ASP.NET Core y React Hooks en Azure</v>
      </c>
    </row>
    <row r="3207">
      <c r="A3207" s="140" t="str">
        <f>IFERROR(__xludf.DUMMYFUNCTION("""COMPUTED_VALUE"""),"en")</f>
        <v>en</v>
      </c>
      <c r="B3207">
        <f>IFERROR(__xludf.DUMMYFUNCTION("""COMPUTED_VALUE"""),1948462.0)</f>
        <v>1948462</v>
      </c>
      <c r="C3207" t="str">
        <f>IFERROR(__xludf.DUMMYFUNCTION("""COMPUTED_VALUE"""),"Data Structures and Algorithms in Swift")</f>
        <v>Data Structures and Algorithms in Swift</v>
      </c>
    </row>
    <row r="3208">
      <c r="A3208" s="140" t="str">
        <f>IFERROR(__xludf.DUMMYFUNCTION("""COMPUTED_VALUE"""),"de")</f>
        <v>de</v>
      </c>
      <c r="B3208">
        <f>IFERROR(__xludf.DUMMYFUNCTION("""COMPUTED_VALUE"""),2106770.0)</f>
        <v>2106770</v>
      </c>
      <c r="C3208" t="str">
        <f>IFERROR(__xludf.DUMMYFUNCTION("""COMPUTED_VALUE"""),"Investitionsrechnung")</f>
        <v>Investitionsrechnung</v>
      </c>
    </row>
    <row r="3209">
      <c r="A3209" s="140" t="str">
        <f>IFERROR(__xludf.DUMMYFUNCTION("""COMPUTED_VALUE"""),"en")</f>
        <v>en</v>
      </c>
      <c r="B3209">
        <f>IFERROR(__xludf.DUMMYFUNCTION("""COMPUTED_VALUE"""),1659676.0)</f>
        <v>1659676</v>
      </c>
      <c r="C3209" t="str">
        <f>IFERROR(__xludf.DUMMYFUNCTION("""COMPUTED_VALUE"""),"The Complete Digital Marketing Guide - 20 Courses in 1")</f>
        <v>The Complete Digital Marketing Guide - 20 Courses in 1</v>
      </c>
    </row>
    <row r="3210">
      <c r="A3210" s="140" t="str">
        <f>IFERROR(__xludf.DUMMYFUNCTION("""COMPUTED_VALUE"""),"de")</f>
        <v>de</v>
      </c>
      <c r="B3210">
        <f>IFERROR(__xludf.DUMMYFUNCTION("""COMPUTED_VALUE"""),976538.0)</f>
        <v>976538</v>
      </c>
      <c r="C3210" t="str">
        <f>IFERROR(__xludf.DUMMYFUNCTION("""COMPUTED_VALUE"""),"Effizienz und Effektivität steigern: Mehr Produktivität!")</f>
        <v>Effizienz und Effektivität steigern: Mehr Produktivität!</v>
      </c>
    </row>
    <row r="3211">
      <c r="A3211" s="140" t="str">
        <f>IFERROR(__xludf.DUMMYFUNCTION("""COMPUTED_VALUE"""),"de")</f>
        <v>de</v>
      </c>
      <c r="B3211">
        <f>IFERROR(__xludf.DUMMYFUNCTION("""COMPUTED_VALUE"""),1005178.0)</f>
        <v>1005178</v>
      </c>
      <c r="C3211" t="str">
        <f>IFERROR(__xludf.DUMMYFUNCTION("""COMPUTED_VALUE"""),"SAP Berechtigungen Grundlagen 2016")</f>
        <v>SAP Berechtigungen Grundlagen 2016</v>
      </c>
    </row>
    <row r="3212">
      <c r="A3212" s="140" t="str">
        <f>IFERROR(__xludf.DUMMYFUNCTION("""COMPUTED_VALUE"""),"pt")</f>
        <v>pt</v>
      </c>
      <c r="B3212">
        <f>IFERROR(__xludf.DUMMYFUNCTION("""COMPUTED_VALUE"""),1831902.0)</f>
        <v>1831902</v>
      </c>
      <c r="C3212" t="str">
        <f>IFERROR(__xludf.DUMMYFUNCTION("""COMPUTED_VALUE"""),"Introdução a Banco de Dados com MySQL")</f>
        <v>Introdução a Banco de Dados com MySQL</v>
      </c>
    </row>
    <row r="3213">
      <c r="A3213" s="140" t="str">
        <f>IFERROR(__xludf.DUMMYFUNCTION("""COMPUTED_VALUE"""),"en")</f>
        <v>en</v>
      </c>
      <c r="B3213">
        <f>IFERROR(__xludf.DUMMYFUNCTION("""COMPUTED_VALUE"""),1997078.0)</f>
        <v>1997078</v>
      </c>
      <c r="C3213" t="str">
        <f>IFERROR(__xludf.DUMMYFUNCTION("""COMPUTED_VALUE"""),"IELTS Step-by-step | Mastering Vocabulary")</f>
        <v>IELTS Step-by-step | Mastering Vocabulary</v>
      </c>
    </row>
    <row r="3214">
      <c r="A3214" s="140" t="str">
        <f>IFERROR(__xludf.DUMMYFUNCTION("""COMPUTED_VALUE"""),"es")</f>
        <v>es</v>
      </c>
      <c r="B3214">
        <f>IFERROR(__xludf.DUMMYFUNCTION("""COMPUTED_VALUE"""),1451316.0)</f>
        <v>1451316</v>
      </c>
      <c r="C3214" t="str">
        <f>IFERROR(__xludf.DUMMYFUNCTION("""COMPUTED_VALUE"""),"Facebook Ads ESTRATÉGICO 2020: Marketing Digital para VENDER")</f>
        <v>Facebook Ads ESTRATÉGICO 2020: Marketing Digital para VENDER</v>
      </c>
    </row>
    <row r="3215">
      <c r="A3215" s="140" t="str">
        <f>IFERROR(__xludf.DUMMYFUNCTION("""COMPUTED_VALUE"""),"es")</f>
        <v>es</v>
      </c>
      <c r="B3215">
        <f>IFERROR(__xludf.DUMMYFUNCTION("""COMPUTED_VALUE"""),82514.0)</f>
        <v>82514</v>
      </c>
      <c r="C3215" t="str">
        <f>IFERROR(__xludf.DUMMYFUNCTION("""COMPUTED_VALUE"""),"Fundamentos Cisco Networking Parte 1")</f>
        <v>Fundamentos Cisco Networking Parte 1</v>
      </c>
    </row>
    <row r="3216">
      <c r="A3216" s="140" t="str">
        <f>IFERROR(__xludf.DUMMYFUNCTION("""COMPUTED_VALUE"""),"es")</f>
        <v>es</v>
      </c>
      <c r="B3216">
        <f>IFERROR(__xludf.DUMMYFUNCTION("""COMPUTED_VALUE"""),3984148.0)</f>
        <v>3984148</v>
      </c>
      <c r="C3216" t="str">
        <f>IFERROR(__xludf.DUMMYFUNCTION("""COMPUTED_VALUE"""),"Japonés básico con profesora nativa 1 | 12 módulos + examen")</f>
        <v>Japonés básico con profesora nativa 1 | 12 módulos + examen</v>
      </c>
    </row>
    <row r="3217">
      <c r="A3217" s="140" t="str">
        <f>IFERROR(__xludf.DUMMYFUNCTION("""COMPUTED_VALUE"""),"en")</f>
        <v>en</v>
      </c>
      <c r="B3217">
        <f>IFERROR(__xludf.DUMMYFUNCTION("""COMPUTED_VALUE"""),2719708.0)</f>
        <v>2719708</v>
      </c>
      <c r="C3217" t="str">
        <f>IFERROR(__xludf.DUMMYFUNCTION("""COMPUTED_VALUE"""),"Azure LOG ANALYTICS Inside-Out")</f>
        <v>Azure LOG ANALYTICS Inside-Out</v>
      </c>
    </row>
    <row r="3218">
      <c r="A3218" s="140" t="str">
        <f>IFERROR(__xludf.DUMMYFUNCTION("""COMPUTED_VALUE"""),"de")</f>
        <v>de</v>
      </c>
      <c r="B3218">
        <f>IFERROR(__xludf.DUMMYFUNCTION("""COMPUTED_VALUE"""),1743232.0)</f>
        <v>1743232</v>
      </c>
      <c r="C3218" t="str">
        <f>IFERROR(__xludf.DUMMYFUNCTION("""COMPUTED_VALUE"""),"Rhetorik Master - Sicher zur perfekten Rede &amp; Präsentation")</f>
        <v>Rhetorik Master - Sicher zur perfekten Rede &amp; Präsentation</v>
      </c>
    </row>
    <row r="3219">
      <c r="A3219" s="140" t="str">
        <f>IFERROR(__xludf.DUMMYFUNCTION("""COMPUTED_VALUE"""),"pt")</f>
        <v>pt</v>
      </c>
      <c r="B3219">
        <f>IFERROR(__xludf.DUMMYFUNCTION("""COMPUTED_VALUE"""),1385120.0)</f>
        <v>1385120</v>
      </c>
      <c r="C3219" t="str">
        <f>IFERROR(__xludf.DUMMYFUNCTION("""COMPUTED_VALUE"""),"Windows Server 2016 do absoluto zero ao PROFISSIONAL!")</f>
        <v>Windows Server 2016 do absoluto zero ao PROFISSIONAL!</v>
      </c>
    </row>
    <row r="3220">
      <c r="A3220" s="140" t="str">
        <f>IFERROR(__xludf.DUMMYFUNCTION("""COMPUTED_VALUE"""),"en")</f>
        <v>en</v>
      </c>
      <c r="B3220">
        <f>IFERROR(__xludf.DUMMYFUNCTION("""COMPUTED_VALUE"""),2885556.0)</f>
        <v>2885556</v>
      </c>
      <c r="C3220" t="str">
        <f>IFERROR(__xludf.DUMMYFUNCTION("""COMPUTED_VALUE"""),"Identity &amp; Access Management :OIM Implementation")</f>
        <v>Identity &amp; Access Management :OIM Implementation</v>
      </c>
    </row>
    <row r="3221">
      <c r="A3221" s="140" t="str">
        <f>IFERROR(__xludf.DUMMYFUNCTION("""COMPUTED_VALUE"""),"ja")</f>
        <v>ja</v>
      </c>
      <c r="B3221">
        <f>IFERROR(__xludf.DUMMYFUNCTION("""COMPUTED_VALUE"""),3959880.0)</f>
        <v>3959880</v>
      </c>
      <c r="C3221" t="str">
        <f>IFERROR(__xludf.DUMMYFUNCTION("""COMPUTED_VALUE"""),"爆速で5つのPython Webアプリを開発")</f>
        <v>爆速で5つのPython Webアプリを開発</v>
      </c>
    </row>
    <row r="3222">
      <c r="A3222" s="140" t="str">
        <f>IFERROR(__xludf.DUMMYFUNCTION("""COMPUTED_VALUE"""),"en")</f>
        <v>en</v>
      </c>
      <c r="B3222">
        <f>IFERROR(__xludf.DUMMYFUNCTION("""COMPUTED_VALUE"""),2393796.0)</f>
        <v>2393796</v>
      </c>
      <c r="C3222" t="str">
        <f>IFERROR(__xludf.DUMMYFUNCTION("""COMPUTED_VALUE"""),"Climate Change and Green Infrastructure")</f>
        <v>Climate Change and Green Infrastructure</v>
      </c>
    </row>
    <row r="3223">
      <c r="A3223" s="140" t="str">
        <f>IFERROR(__xludf.DUMMYFUNCTION("""COMPUTED_VALUE"""),"en")</f>
        <v>en</v>
      </c>
      <c r="B3223">
        <f>IFERROR(__xludf.DUMMYFUNCTION("""COMPUTED_VALUE"""),1931660.0)</f>
        <v>1931660</v>
      </c>
      <c r="C3223" t="str">
        <f>IFERROR(__xludf.DUMMYFUNCTION("""COMPUTED_VALUE"""),"Python - Solve 250 Python Quizzes")</f>
        <v>Python - Solve 250 Python Quizzes</v>
      </c>
    </row>
    <row r="3224">
      <c r="A3224" s="140" t="str">
        <f>IFERROR(__xludf.DUMMYFUNCTION("""COMPUTED_VALUE"""),"pt")</f>
        <v>pt</v>
      </c>
      <c r="B3224">
        <f>IFERROR(__xludf.DUMMYFUNCTION("""COMPUTED_VALUE"""),1876112.0)</f>
        <v>1876112</v>
      </c>
      <c r="C3224" t="str">
        <f>IFERROR(__xludf.DUMMYFUNCTION("""COMPUTED_VALUE"""),"Chatbot Avançado com Manychat PRO - Seja um Expert")</f>
        <v>Chatbot Avançado com Manychat PRO - Seja um Expert</v>
      </c>
    </row>
    <row r="3225">
      <c r="A3225" s="140" t="str">
        <f>IFERROR(__xludf.DUMMYFUNCTION("""COMPUTED_VALUE"""),"es")</f>
        <v>es</v>
      </c>
      <c r="B3225">
        <f>IFERROR(__xludf.DUMMYFUNCTION("""COMPUTED_VALUE"""),1701302.0)</f>
        <v>1701302</v>
      </c>
      <c r="C3225" t="str">
        <f>IFERROR(__xludf.DUMMYFUNCTION("""COMPUTED_VALUE"""),"Curso de AutoCAD desde cero hasta avanzado y 3D | 11 Horas")</f>
        <v>Curso de AutoCAD desde cero hasta avanzado y 3D | 11 Horas</v>
      </c>
    </row>
    <row r="3226">
      <c r="A3226" s="140" t="str">
        <f>IFERROR(__xludf.DUMMYFUNCTION("""COMPUTED_VALUE"""),"fr")</f>
        <v>fr</v>
      </c>
      <c r="B3226">
        <f>IFERROR(__xludf.DUMMYFUNCTION("""COMPUTED_VALUE"""),4074990.0)</f>
        <v>4074990</v>
      </c>
      <c r="C3226" t="str">
        <f>IFERROR(__xludf.DUMMYFUNCTION("""COMPUTED_VALUE"""),"Coder 10 projets avec React")</f>
        <v>Coder 10 projets avec React</v>
      </c>
    </row>
    <row r="3227">
      <c r="A3227" s="140" t="str">
        <f>IFERROR(__xludf.DUMMYFUNCTION("""COMPUTED_VALUE"""),"en")</f>
        <v>en</v>
      </c>
      <c r="B3227">
        <f>IFERROR(__xludf.DUMMYFUNCTION("""COMPUTED_VALUE"""),2015076.0)</f>
        <v>2015076</v>
      </c>
      <c r="C3227" t="str">
        <f>IFERROR(__xludf.DUMMYFUNCTION("""COMPUTED_VALUE"""),"CompTIA Security+ (SY0-601) Complete Course &amp; Exam")</f>
        <v>CompTIA Security+ (SY0-601) Complete Course &amp; Exam</v>
      </c>
    </row>
    <row r="3228">
      <c r="A3228" s="140" t="str">
        <f>IFERROR(__xludf.DUMMYFUNCTION("""COMPUTED_VALUE"""),"ja")</f>
        <v>ja</v>
      </c>
      <c r="B3228">
        <f>IFERROR(__xludf.DUMMYFUNCTION("""COMPUTED_VALUE"""),2148120.0)</f>
        <v>2148120</v>
      </c>
      <c r="C3228" t="str">
        <f>IFERROR(__xludf.DUMMYFUNCTION("""COMPUTED_VALUE"""),"現役エンジニアが教える、手を動かして学ぶGoogle Cloud Platform(GCP) 入門")</f>
        <v>現役エンジニアが教える、手を動かして学ぶGoogle Cloud Platform(GCP) 入門</v>
      </c>
    </row>
    <row r="3229">
      <c r="A3229" s="140" t="str">
        <f>IFERROR(__xludf.DUMMYFUNCTION("""COMPUTED_VALUE"""),"en")</f>
        <v>en</v>
      </c>
      <c r="B3229">
        <f>IFERROR(__xludf.DUMMYFUNCTION("""COMPUTED_VALUE"""),622228.0)</f>
        <v>622228</v>
      </c>
      <c r="C3229" t="str">
        <f>IFERROR(__xludf.DUMMYFUNCTION("""COMPUTED_VALUE"""),"Mastering Windows 10 Made Easy Training Tutorial")</f>
        <v>Mastering Windows 10 Made Easy Training Tutorial</v>
      </c>
    </row>
    <row r="3230">
      <c r="A3230" s="140" t="str">
        <f>IFERROR(__xludf.DUMMYFUNCTION("""COMPUTED_VALUE"""),"tr")</f>
        <v>tr</v>
      </c>
      <c r="B3230">
        <f>IFERROR(__xludf.DUMMYFUNCTION("""COMPUTED_VALUE"""),3005860.0)</f>
        <v>3005860</v>
      </c>
      <c r="C3230" t="str">
        <f>IFERROR(__xludf.DUMMYFUNCTION("""COMPUTED_VALUE"""),"ALMANCA A1(1000 SORU+59 VİDEO DERS+KELİME SÖZLÜĞÜ)")</f>
        <v>ALMANCA A1(1000 SORU+59 VİDEO DERS+KELİME SÖZLÜĞÜ)</v>
      </c>
    </row>
    <row r="3231">
      <c r="A3231" s="140" t="str">
        <f>IFERROR(__xludf.DUMMYFUNCTION("""COMPUTED_VALUE"""),"en")</f>
        <v>en</v>
      </c>
      <c r="B3231">
        <f>IFERROR(__xludf.DUMMYFUNCTION("""COMPUTED_VALUE"""),405818.0)</f>
        <v>405818</v>
      </c>
      <c r="C3231" t="str">
        <f>IFERROR(__xludf.DUMMYFUNCTION("""COMPUTED_VALUE"""),"Javascript for Beginners Learn by Doing Practical Exercises")</f>
        <v>Javascript for Beginners Learn by Doing Practical Exercises</v>
      </c>
    </row>
    <row r="3232">
      <c r="A3232" s="140" t="str">
        <f>IFERROR(__xludf.DUMMYFUNCTION("""COMPUTED_VALUE"""),"en")</f>
        <v>en</v>
      </c>
      <c r="B3232">
        <f>IFERROR(__xludf.DUMMYFUNCTION("""COMPUTED_VALUE"""),2283238.0)</f>
        <v>2283238</v>
      </c>
      <c r="C3232" t="str">
        <f>IFERROR(__xludf.DUMMYFUNCTION("""COMPUTED_VALUE"""),"RabbitMQ : Messaging with Java, Spring Boot And Spring MVC")</f>
        <v>RabbitMQ : Messaging with Java, Spring Boot And Spring MVC</v>
      </c>
    </row>
    <row r="3233">
      <c r="A3233" s="140" t="str">
        <f>IFERROR(__xludf.DUMMYFUNCTION("""COMPUTED_VALUE"""),"es")</f>
        <v>es</v>
      </c>
      <c r="B3233">
        <f>IFERROR(__xludf.DUMMYFUNCTION("""COMPUTED_VALUE"""),949868.0)</f>
        <v>949868</v>
      </c>
      <c r="C3233" t="str">
        <f>IFERROR(__xludf.DUMMYFUNCTION("""COMPUTED_VALUE"""),"Creando Tienda Online con Wordpress y WooCommerce desde cero")</f>
        <v>Creando Tienda Online con Wordpress y WooCommerce desde cero</v>
      </c>
    </row>
    <row r="3234">
      <c r="A3234" s="140" t="str">
        <f>IFERROR(__xludf.DUMMYFUNCTION("""COMPUTED_VALUE"""),"ja")</f>
        <v>ja</v>
      </c>
      <c r="B3234">
        <f>IFERROR(__xludf.DUMMYFUNCTION("""COMPUTED_VALUE"""),2011356.0)</f>
        <v>2011356</v>
      </c>
      <c r="C3234" t="str">
        <f>IFERROR(__xludf.DUMMYFUNCTION("""COMPUTED_VALUE"""),"【夢月流】PythonでGUIプログラミング～TkinterよりもカッコいいGUIアプリを作成したい人のはじめの一歩～")</f>
        <v>【夢月流】PythonでGUIプログラミング～TkinterよりもカッコいいGUIアプリを作成したい人のはじめの一歩～</v>
      </c>
    </row>
    <row r="3235">
      <c r="A3235" s="140" t="str">
        <f>IFERROR(__xludf.DUMMYFUNCTION("""COMPUTED_VALUE"""),"ja")</f>
        <v>ja</v>
      </c>
      <c r="B3235">
        <f>IFERROR(__xludf.DUMMYFUNCTION("""COMPUTED_VALUE"""),3447502.0)</f>
        <v>3447502</v>
      </c>
      <c r="C3235" t="str">
        <f>IFERROR(__xludf.DUMMYFUNCTION("""COMPUTED_VALUE"""),"ネイティブの気持ちをハックしろ！認知文法に基づく英語学習　英文法HACKER【動詞・助動詞編】")</f>
        <v>ネイティブの気持ちをハックしろ！認知文法に基づく英語学習　英文法HACKER【動詞・助動詞編】</v>
      </c>
    </row>
    <row r="3236">
      <c r="A3236" s="140" t="str">
        <f>IFERROR(__xludf.DUMMYFUNCTION("""COMPUTED_VALUE"""),"en")</f>
        <v>en</v>
      </c>
      <c r="B3236">
        <f>IFERROR(__xludf.DUMMYFUNCTION("""COMPUTED_VALUE"""),4048380.0)</f>
        <v>4048380</v>
      </c>
      <c r="C3236" t="str">
        <f>IFERROR(__xludf.DUMMYFUNCTION("""COMPUTED_VALUE"""),"Mathematical Optimization with GAMS and Pyomo (Python)")</f>
        <v>Mathematical Optimization with GAMS and Pyomo (Python)</v>
      </c>
    </row>
    <row r="3237">
      <c r="A3237" s="140" t="str">
        <f>IFERROR(__xludf.DUMMYFUNCTION("""COMPUTED_VALUE"""),"en")</f>
        <v>en</v>
      </c>
      <c r="B3237">
        <f>IFERROR(__xludf.DUMMYFUNCTION("""COMPUTED_VALUE"""),63115.0)</f>
        <v>63115</v>
      </c>
      <c r="C3237" t="str">
        <f>IFERROR(__xludf.DUMMYFUNCTION("""COMPUTED_VALUE"""),"Learn Estimating &amp; Cost Control")</f>
        <v>Learn Estimating &amp; Cost Control</v>
      </c>
    </row>
    <row r="3238">
      <c r="A3238" s="140" t="str">
        <f>IFERROR(__xludf.DUMMYFUNCTION("""COMPUTED_VALUE"""),"es")</f>
        <v>es</v>
      </c>
      <c r="B3238">
        <f>IFERROR(__xludf.DUMMYFUNCTION("""COMPUTED_VALUE"""),1143806.0)</f>
        <v>1143806</v>
      </c>
      <c r="C3238" t="str">
        <f>IFERROR(__xludf.DUMMYFUNCTION("""COMPUTED_VALUE"""),"Crea un programa de facturación con Microsoft Access")</f>
        <v>Crea un programa de facturación con Microsoft Access</v>
      </c>
    </row>
    <row r="3239">
      <c r="A3239" s="140" t="str">
        <f>IFERROR(__xludf.DUMMYFUNCTION("""COMPUTED_VALUE"""),"en")</f>
        <v>en</v>
      </c>
      <c r="B3239">
        <f>IFERROR(__xludf.DUMMYFUNCTION("""COMPUTED_VALUE"""),3554469.0)</f>
        <v>3554469</v>
      </c>
      <c r="C3239" t="str">
        <f>IFERROR(__xludf.DUMMYFUNCTION("""COMPUTED_VALUE"""),"International Logistics &amp; Transportation in Supply Chain.")</f>
        <v>International Logistics &amp; Transportation in Supply Chain.</v>
      </c>
    </row>
    <row r="3240">
      <c r="A3240" s="140" t="str">
        <f>IFERROR(__xludf.DUMMYFUNCTION("""COMPUTED_VALUE"""),"en")</f>
        <v>en</v>
      </c>
      <c r="B3240">
        <f>IFERROR(__xludf.DUMMYFUNCTION("""COMPUTED_VALUE"""),2110978.0)</f>
        <v>2110978</v>
      </c>
      <c r="C3240" t="str">
        <f>IFERROR(__xludf.DUMMYFUNCTION("""COMPUTED_VALUE"""),"Emergency Course for the TOEFL® iBT: Prep in Just 2 Days")</f>
        <v>Emergency Course for the TOEFL® iBT: Prep in Just 2 Days</v>
      </c>
    </row>
    <row r="3241">
      <c r="A3241" s="140" t="str">
        <f>IFERROR(__xludf.DUMMYFUNCTION("""COMPUTED_VALUE"""),"en")</f>
        <v>en</v>
      </c>
      <c r="B3241">
        <f>IFERROR(__xludf.DUMMYFUNCTION("""COMPUTED_VALUE"""),2295003.0)</f>
        <v>2295003</v>
      </c>
      <c r="C3241" t="str">
        <f>IFERROR(__xludf.DUMMYFUNCTION("""COMPUTED_VALUE"""),"Devops Tools and AWS for Java Microservice Developers")</f>
        <v>Devops Tools and AWS for Java Microservice Developers</v>
      </c>
    </row>
    <row r="3242">
      <c r="A3242" s="140" t="str">
        <f>IFERROR(__xludf.DUMMYFUNCTION("""COMPUTED_VALUE"""),"en")</f>
        <v>en</v>
      </c>
      <c r="B3242">
        <f>IFERROR(__xludf.DUMMYFUNCTION("""COMPUTED_VALUE"""),2604248.0)</f>
        <v>2604248</v>
      </c>
      <c r="C3242" t="str">
        <f>IFERROR(__xludf.DUMMYFUNCTION("""COMPUTED_VALUE"""),"Learn Java Functional Programming with Lambdas &amp; Streams")</f>
        <v>Learn Java Functional Programming with Lambdas &amp; Streams</v>
      </c>
    </row>
    <row r="3243">
      <c r="A3243" s="140" t="str">
        <f>IFERROR(__xludf.DUMMYFUNCTION("""COMPUTED_VALUE"""),"en")</f>
        <v>en</v>
      </c>
      <c r="B3243">
        <f>IFERROR(__xludf.DUMMYFUNCTION("""COMPUTED_VALUE"""),2694950.0)</f>
        <v>2694950</v>
      </c>
      <c r="C3243" t="str">
        <f>IFERROR(__xludf.DUMMYFUNCTION("""COMPUTED_VALUE"""),"Salesforce Platform App Builder Certification Course 2021")</f>
        <v>Salesforce Platform App Builder Certification Course 2021</v>
      </c>
    </row>
    <row r="3244">
      <c r="A3244" s="140" t="str">
        <f>IFERROR(__xludf.DUMMYFUNCTION("""COMPUTED_VALUE"""),"en")</f>
        <v>en</v>
      </c>
      <c r="B3244">
        <f>IFERROR(__xludf.DUMMYFUNCTION("""COMPUTED_VALUE"""),3759664.0)</f>
        <v>3759664</v>
      </c>
      <c r="C3244" t="str">
        <f>IFERROR(__xludf.DUMMYFUNCTION("""COMPUTED_VALUE"""),"HashiCorp Certified: Terraform Associate -50 Practical Demos")</f>
        <v>HashiCorp Certified: Terraform Associate -50 Practical Demos</v>
      </c>
    </row>
    <row r="3245">
      <c r="A3245" s="140" t="str">
        <f>IFERROR(__xludf.DUMMYFUNCTION("""COMPUTED_VALUE"""),"ar")</f>
        <v>ar</v>
      </c>
      <c r="B3245">
        <f>IFERROR(__xludf.DUMMYFUNCTION("""COMPUTED_VALUE"""),3404260.0)</f>
        <v>3404260</v>
      </c>
      <c r="C3245" t="str">
        <f>IFERROR(__xludf.DUMMYFUNCTION("""COMPUTED_VALUE"""),"ادارة المشاريع الاحترافية")</f>
        <v>ادارة المشاريع الاحترافية</v>
      </c>
    </row>
    <row r="3246">
      <c r="A3246" s="140" t="str">
        <f>IFERROR(__xludf.DUMMYFUNCTION("""COMPUTED_VALUE"""),"en")</f>
        <v>en</v>
      </c>
      <c r="B3246">
        <f>IFERROR(__xludf.DUMMYFUNCTION("""COMPUTED_VALUE"""),1933264.0)</f>
        <v>1933264</v>
      </c>
      <c r="C3246" t="str">
        <f>IFERROR(__xludf.DUMMYFUNCTION("""COMPUTED_VALUE"""),"EMV Module 1: A beginner's guide to chip card transactions")</f>
        <v>EMV Module 1: A beginner's guide to chip card transactions</v>
      </c>
    </row>
    <row r="3247">
      <c r="A3247" s="140" t="str">
        <f>IFERROR(__xludf.DUMMYFUNCTION("""COMPUTED_VALUE"""),"en")</f>
        <v>en</v>
      </c>
      <c r="B3247">
        <f>IFERROR(__xludf.DUMMYFUNCTION("""COMPUTED_VALUE"""),1445848.0)</f>
        <v>1445848</v>
      </c>
      <c r="C3247" t="str">
        <f>IFERROR(__xludf.DUMMYFUNCTION("""COMPUTED_VALUE"""),"Hosting Websites with Amazon Lightsail | AWS for 2020")</f>
        <v>Hosting Websites with Amazon Lightsail | AWS for 2020</v>
      </c>
    </row>
    <row r="3248">
      <c r="A3248" s="140" t="str">
        <f>IFERROR(__xludf.DUMMYFUNCTION("""COMPUTED_VALUE"""),"en")</f>
        <v>en</v>
      </c>
      <c r="B3248">
        <f>IFERROR(__xludf.DUMMYFUNCTION("""COMPUTED_VALUE"""),720550.0)</f>
        <v>720550</v>
      </c>
      <c r="C3248" t="str">
        <f>IFERROR(__xludf.DUMMYFUNCTION("""COMPUTED_VALUE"""),"Maven Tutorial - Manage Java Dependencies in 20 Steps")</f>
        <v>Maven Tutorial - Manage Java Dependencies in 20 Steps</v>
      </c>
    </row>
    <row r="3249">
      <c r="A3249" s="140" t="str">
        <f>IFERROR(__xludf.DUMMYFUNCTION("""COMPUTED_VALUE"""),"en")</f>
        <v>en</v>
      </c>
      <c r="B3249">
        <f>IFERROR(__xludf.DUMMYFUNCTION("""COMPUTED_VALUE"""),436900.0)</f>
        <v>436900</v>
      </c>
      <c r="C3249" t="str">
        <f>IFERROR(__xludf.DUMMYFUNCTION("""COMPUTED_VALUE"""),"Managing Employees Young &amp; Old (Multi-Generation Mgmt)")</f>
        <v>Managing Employees Young &amp; Old (Multi-Generation Mgmt)</v>
      </c>
    </row>
    <row r="3250">
      <c r="A3250" s="140" t="str">
        <f>IFERROR(__xludf.DUMMYFUNCTION("""COMPUTED_VALUE"""),"en")</f>
        <v>en</v>
      </c>
      <c r="B3250">
        <f>IFERROR(__xludf.DUMMYFUNCTION("""COMPUTED_VALUE"""),2084814.0)</f>
        <v>2084814</v>
      </c>
      <c r="C3250" t="str">
        <f>IFERROR(__xludf.DUMMYFUNCTION("""COMPUTED_VALUE"""),"Revit MEP 2019 Essentials and Intermediate")</f>
        <v>Revit MEP 2019 Essentials and Intermediate</v>
      </c>
    </row>
    <row r="3251">
      <c r="A3251" s="140" t="str">
        <f>IFERROR(__xludf.DUMMYFUNCTION("""COMPUTED_VALUE"""),"es")</f>
        <v>es</v>
      </c>
      <c r="B3251">
        <f>IFERROR(__xludf.DUMMYFUNCTION("""COMPUTED_VALUE"""),3918808.0)</f>
        <v>3918808</v>
      </c>
      <c r="C3251" t="str">
        <f>IFERROR(__xludf.DUMMYFUNCTION("""COMPUTED_VALUE"""),"Finanzas Personales: El Código del Dinero y la Riqueza")</f>
        <v>Finanzas Personales: El Código del Dinero y la Riqueza</v>
      </c>
    </row>
    <row r="3252">
      <c r="A3252" s="140" t="str">
        <f>IFERROR(__xludf.DUMMYFUNCTION("""COMPUTED_VALUE"""),"en")</f>
        <v>en</v>
      </c>
      <c r="B3252">
        <f>IFERROR(__xludf.DUMMYFUNCTION("""COMPUTED_VALUE"""),3276820.0)</f>
        <v>3276820</v>
      </c>
      <c r="C3252" t="str">
        <f>IFERROR(__xludf.DUMMYFUNCTION("""COMPUTED_VALUE"""),"CSMath: Make Data-Driven Decisions in Customer Success")</f>
        <v>CSMath: Make Data-Driven Decisions in Customer Success</v>
      </c>
    </row>
    <row r="3253">
      <c r="A3253" s="140" t="str">
        <f>IFERROR(__xludf.DUMMYFUNCTION("""COMPUTED_VALUE"""),"ja")</f>
        <v>ja</v>
      </c>
      <c r="B3253">
        <f>IFERROR(__xludf.DUMMYFUNCTION("""COMPUTED_VALUE"""),4012608.0)</f>
        <v>4012608</v>
      </c>
      <c r="C3253" t="str">
        <f>IFERROR(__xludf.DUMMYFUNCTION("""COMPUTED_VALUE"""),"＜UB確認テスト＞手を動かして考える！DX戦略とビジネスモデル（グランドデザイン編）")</f>
        <v>＜UB確認テスト＞手を動かして考える！DX戦略とビジネスモデル（グランドデザイン編）</v>
      </c>
    </row>
    <row r="3254">
      <c r="A3254" s="140" t="str">
        <f>IFERROR(__xludf.DUMMYFUNCTION("""COMPUTED_VALUE"""),"en")</f>
        <v>en</v>
      </c>
      <c r="B3254">
        <f>IFERROR(__xludf.DUMMYFUNCTION("""COMPUTED_VALUE"""),166064.0)</f>
        <v>166064</v>
      </c>
      <c r="C3254" t="str">
        <f>IFERROR(__xludf.DUMMYFUNCTION("""COMPUTED_VALUE"""),"Statistics / Data Analysis in SPSS: MANOVA")</f>
        <v>Statistics / Data Analysis in SPSS: MANOVA</v>
      </c>
    </row>
    <row r="3255">
      <c r="A3255" s="140" t="str">
        <f>IFERROR(__xludf.DUMMYFUNCTION("""COMPUTED_VALUE"""),"es")</f>
        <v>es</v>
      </c>
      <c r="B3255">
        <f>IFERROR(__xludf.DUMMYFUNCTION("""COMPUTED_VALUE"""),113836.0)</f>
        <v>113836</v>
      </c>
      <c r="C3255" t="str">
        <f>IFERROR(__xludf.DUMMYFUNCTION("""COMPUTED_VALUE"""),"Tomcat para Administradores y desarrolladores")</f>
        <v>Tomcat para Administradores y desarrolladores</v>
      </c>
    </row>
    <row r="3256">
      <c r="A3256" s="140" t="str">
        <f>IFERROR(__xludf.DUMMYFUNCTION("""COMPUTED_VALUE"""),"en")</f>
        <v>en</v>
      </c>
      <c r="B3256">
        <f>IFERROR(__xludf.DUMMYFUNCTION("""COMPUTED_VALUE"""),4380438.0)</f>
        <v>4380438</v>
      </c>
      <c r="C3256" t="str">
        <f>IFERROR(__xludf.DUMMYFUNCTION("""COMPUTED_VALUE"""),"Microsoft Excel: Advanced Excel Dashboard Design")</f>
        <v>Microsoft Excel: Advanced Excel Dashboard Design</v>
      </c>
    </row>
    <row r="3257">
      <c r="A3257" s="140" t="str">
        <f>IFERROR(__xludf.DUMMYFUNCTION("""COMPUTED_VALUE"""),"en")</f>
        <v>en</v>
      </c>
      <c r="B3257">
        <f>IFERROR(__xludf.DUMMYFUNCTION("""COMPUTED_VALUE"""),648408.0)</f>
        <v>648408</v>
      </c>
      <c r="C3257" t="str">
        <f>IFERROR(__xludf.DUMMYFUNCTION("""COMPUTED_VALUE"""),"Salesforce Apex Programming Language")</f>
        <v>Salesforce Apex Programming Language</v>
      </c>
    </row>
    <row r="3258">
      <c r="A3258" s="140" t="str">
        <f>IFERROR(__xludf.DUMMYFUNCTION("""COMPUTED_VALUE"""),"es")</f>
        <v>es</v>
      </c>
      <c r="B3258">
        <f>IFERROR(__xludf.DUMMYFUNCTION("""COMPUTED_VALUE"""),2316054.0)</f>
        <v>2316054</v>
      </c>
      <c r="C3258" t="str">
        <f>IFERROR(__xludf.DUMMYFUNCTION("""COMPUTED_VALUE"""),"Amazon AWS. Curso básico de Amazon AWS. Aprende desde cero")</f>
        <v>Amazon AWS. Curso básico de Amazon AWS. Aprende desde cero</v>
      </c>
    </row>
    <row r="3259">
      <c r="A3259" s="140" t="str">
        <f>IFERROR(__xludf.DUMMYFUNCTION("""COMPUTED_VALUE"""),"ja")</f>
        <v>ja</v>
      </c>
      <c r="B3259">
        <f>IFERROR(__xludf.DUMMYFUNCTION("""COMPUTED_VALUE"""),1352982.0)</f>
        <v>1352982</v>
      </c>
      <c r="C3259" t="str">
        <f>IFERROR(__xludf.DUMMYFUNCTION("""COMPUTED_VALUE"""),"データサイエンティストを目指す人のための『ゼロからの Tableau 入門』")</f>
        <v>データサイエンティストを目指す人のための『ゼロからの Tableau 入門』</v>
      </c>
    </row>
    <row r="3260">
      <c r="A3260" s="140" t="str">
        <f>IFERROR(__xludf.DUMMYFUNCTION("""COMPUTED_VALUE"""),"en")</f>
        <v>en</v>
      </c>
      <c r="B3260">
        <f>IFERROR(__xludf.DUMMYFUNCTION("""COMPUTED_VALUE"""),1541066.0)</f>
        <v>1541066</v>
      </c>
      <c r="C3260" t="str">
        <f>IFERROR(__xludf.DUMMYFUNCTION("""COMPUTED_VALUE"""),"Big Data for Managers")</f>
        <v>Big Data for Managers</v>
      </c>
    </row>
    <row r="3261">
      <c r="A3261" s="140" t="str">
        <f>IFERROR(__xludf.DUMMYFUNCTION("""COMPUTED_VALUE"""),"es")</f>
        <v>es</v>
      </c>
      <c r="B3261">
        <f>IFERROR(__xludf.DUMMYFUNCTION("""COMPUTED_VALUE"""),2544789.0)</f>
        <v>2544789</v>
      </c>
      <c r="C3261" t="str">
        <f>IFERROR(__xludf.DUMMYFUNCTION("""COMPUTED_VALUE"""),"Master en Lógica de Programación: Pruebas Técnicas de Código")</f>
        <v>Master en Lógica de Programación: Pruebas Técnicas de Código</v>
      </c>
    </row>
    <row r="3262">
      <c r="A3262" s="140" t="str">
        <f>IFERROR(__xludf.DUMMYFUNCTION("""COMPUTED_VALUE"""),"pt")</f>
        <v>pt</v>
      </c>
      <c r="B3262">
        <f>IFERROR(__xludf.DUMMYFUNCTION("""COMPUTED_VALUE"""),3786202.0)</f>
        <v>3786202</v>
      </c>
      <c r="C3262" t="str">
        <f>IFERROR(__xludf.DUMMYFUNCTION("""COMPUTED_VALUE"""),"Padrões de Projeto em JAVA na Prática!")</f>
        <v>Padrões de Projeto em JAVA na Prática!</v>
      </c>
    </row>
    <row r="3263">
      <c r="A3263" s="140" t="str">
        <f>IFERROR(__xludf.DUMMYFUNCTION("""COMPUTED_VALUE"""),"es")</f>
        <v>es</v>
      </c>
      <c r="B3263">
        <f>IFERROR(__xludf.DUMMYFUNCTION("""COMPUTED_VALUE"""),1523568.0)</f>
        <v>1523568</v>
      </c>
      <c r="C3263" t="str">
        <f>IFERROR(__xludf.DUMMYFUNCTION("""COMPUTED_VALUE"""),"Wordpress: Crear páginas web desde cero con Elementor - 2021")</f>
        <v>Wordpress: Crear páginas web desde cero con Elementor - 2021</v>
      </c>
    </row>
    <row r="3264">
      <c r="A3264" s="140" t="str">
        <f>IFERROR(__xludf.DUMMYFUNCTION("""COMPUTED_VALUE"""),"pt")</f>
        <v>pt</v>
      </c>
      <c r="B3264">
        <f>IFERROR(__xludf.DUMMYFUNCTION("""COMPUTED_VALUE"""),2657400.0)</f>
        <v>2657400</v>
      </c>
      <c r="C3264" t="str">
        <f>IFERROR(__xludf.DUMMYFUNCTION("""COMPUTED_VALUE"""),"Matemática Financeira com o Uso da HP12C e do MS-Excel")</f>
        <v>Matemática Financeira com o Uso da HP12C e do MS-Excel</v>
      </c>
    </row>
    <row r="3265">
      <c r="A3265" s="140" t="str">
        <f>IFERROR(__xludf.DUMMYFUNCTION("""COMPUTED_VALUE"""),"pt")</f>
        <v>pt</v>
      </c>
      <c r="B3265">
        <f>IFERROR(__xludf.DUMMYFUNCTION("""COMPUTED_VALUE"""),2453652.0)</f>
        <v>2453652</v>
      </c>
      <c r="C3265" t="str">
        <f>IFERROR(__xludf.DUMMYFUNCTION("""COMPUTED_VALUE"""),"Fast MBA - Specialist | Solução Estratégica de Problemas")</f>
        <v>Fast MBA - Specialist | Solução Estratégica de Problemas</v>
      </c>
    </row>
    <row r="3266">
      <c r="A3266" s="140" t="str">
        <f>IFERROR(__xludf.DUMMYFUNCTION("""COMPUTED_VALUE"""),"es")</f>
        <v>es</v>
      </c>
      <c r="B3266">
        <f>IFERROR(__xludf.DUMMYFUNCTION("""COMPUTED_VALUE"""),792652.0)</f>
        <v>792652</v>
      </c>
      <c r="C3266" t="str">
        <f>IFERROR(__xludf.DUMMYFUNCTION("""COMPUTED_VALUE"""),"Desarrolla Aplicaciones Android con App Inventor desde Cero")</f>
        <v>Desarrolla Aplicaciones Android con App Inventor desde Cero</v>
      </c>
    </row>
    <row r="3267">
      <c r="A3267" s="140" t="str">
        <f>IFERROR(__xludf.DUMMYFUNCTION("""COMPUTED_VALUE"""),"tr")</f>
        <v>tr</v>
      </c>
      <c r="B3267">
        <f>IFERROR(__xludf.DUMMYFUNCTION("""COMPUTED_VALUE"""),1743456.0)</f>
        <v>1743456</v>
      </c>
      <c r="C3267" t="str">
        <f>IFERROR(__xludf.DUMMYFUNCTION("""COMPUTED_VALUE"""),"C | Sıfırdan İleri Seviyeye Komple C Programlama")</f>
        <v>C | Sıfırdan İleri Seviyeye Komple C Programlama</v>
      </c>
    </row>
    <row r="3268">
      <c r="A3268" s="140" t="str">
        <f>IFERROR(__xludf.DUMMYFUNCTION("""COMPUTED_VALUE"""),"es")</f>
        <v>es</v>
      </c>
      <c r="B3268">
        <f>IFERROR(__xludf.DUMMYFUNCTION("""COMPUTED_VALUE"""),3001852.0)</f>
        <v>3001852</v>
      </c>
      <c r="C3268" t="str">
        <f>IFERROR(__xludf.DUMMYFUNCTION("""COMPUTED_VALUE"""),"Crea Sistemas Marketplace con Angular y Firebase Database")</f>
        <v>Crea Sistemas Marketplace con Angular y Firebase Database</v>
      </c>
    </row>
    <row r="3269">
      <c r="A3269" s="140" t="str">
        <f>IFERROR(__xludf.DUMMYFUNCTION("""COMPUTED_VALUE"""),"pt")</f>
        <v>pt</v>
      </c>
      <c r="B3269">
        <f>IFERROR(__xludf.DUMMYFUNCTION("""COMPUTED_VALUE"""),1480378.0)</f>
        <v>1480378</v>
      </c>
      <c r="C3269" t="str">
        <f>IFERROR(__xludf.DUMMYFUNCTION("""COMPUTED_VALUE"""),"Crie seu personagem 3D completo no Blender!")</f>
        <v>Crie seu personagem 3D completo no Blender!</v>
      </c>
    </row>
    <row r="3270">
      <c r="A3270" s="140" t="str">
        <f>IFERROR(__xludf.DUMMYFUNCTION("""COMPUTED_VALUE"""),"en")</f>
        <v>en</v>
      </c>
      <c r="B3270">
        <f>IFERROR(__xludf.DUMMYFUNCTION("""COMPUTED_VALUE"""),1490022.0)</f>
        <v>1490022</v>
      </c>
      <c r="C3270" t="str">
        <f>IFERROR(__xludf.DUMMYFUNCTION("""COMPUTED_VALUE"""),"The Complete Environment Painting Super Course")</f>
        <v>The Complete Environment Painting Super Course</v>
      </c>
    </row>
    <row r="3271">
      <c r="A3271" s="140" t="str">
        <f>IFERROR(__xludf.DUMMYFUNCTION("""COMPUTED_VALUE"""),"en")</f>
        <v>en</v>
      </c>
      <c r="B3271">
        <f>IFERROR(__xludf.DUMMYFUNCTION("""COMPUTED_VALUE"""),1461456.0)</f>
        <v>1461456</v>
      </c>
      <c r="C3271" t="str">
        <f>IFERROR(__xludf.DUMMYFUNCTION("""COMPUTED_VALUE"""),"Cisco CCNA GNS3 Ultimate Labs: CCNA Exam Prep Labs to pass")</f>
        <v>Cisco CCNA GNS3 Ultimate Labs: CCNA Exam Prep Labs to pass</v>
      </c>
    </row>
    <row r="3272">
      <c r="A3272" s="140" t="str">
        <f>IFERROR(__xludf.DUMMYFUNCTION("""COMPUTED_VALUE"""),"tr")</f>
        <v>tr</v>
      </c>
      <c r="B3272">
        <f>IFERROR(__xludf.DUMMYFUNCTION("""COMPUTED_VALUE"""),1678184.0)</f>
        <v>1678184</v>
      </c>
      <c r="C3272" t="str">
        <f>IFERROR(__xludf.DUMMYFUNCTION("""COMPUTED_VALUE"""),"C# İle 25 Derste 25 Uygulamalı Proje")</f>
        <v>C# İle 25 Derste 25 Uygulamalı Proje</v>
      </c>
    </row>
    <row r="3273">
      <c r="A3273" s="140" t="str">
        <f>IFERROR(__xludf.DUMMYFUNCTION("""COMPUTED_VALUE"""),"zh")</f>
        <v>zh</v>
      </c>
      <c r="B3273">
        <f>IFERROR(__xludf.DUMMYFUNCTION("""COMPUTED_VALUE"""),2321788.0)</f>
        <v>2321788</v>
      </c>
      <c r="C3273" t="str">
        <f>IFERROR(__xludf.DUMMYFUNCTION("""COMPUTED_VALUE"""),"Django 2  Web开发入门与实战")</f>
        <v>Django 2  Web开发入门与实战</v>
      </c>
    </row>
    <row r="3274">
      <c r="A3274" s="140" t="str">
        <f>IFERROR(__xludf.DUMMYFUNCTION("""COMPUTED_VALUE"""),"es")</f>
        <v>es</v>
      </c>
      <c r="B3274">
        <f>IFERROR(__xludf.DUMMYFUNCTION("""COMPUTED_VALUE"""),1756340.0)</f>
        <v>1756340</v>
      </c>
      <c r="C3274" t="str">
        <f>IFERROR(__xludf.DUMMYFUNCTION("""COMPUTED_VALUE"""),"React - La Guía Completa: Hooks Context Redux MERN +15 Apps")</f>
        <v>React - La Guía Completa: Hooks Context Redux MERN +15 Apps</v>
      </c>
    </row>
    <row r="3275">
      <c r="A3275" s="140" t="str">
        <f>IFERROR(__xludf.DUMMYFUNCTION("""COMPUTED_VALUE"""),"en")</f>
        <v>en</v>
      </c>
      <c r="B3275">
        <f>IFERROR(__xludf.DUMMYFUNCTION("""COMPUTED_VALUE"""),1087656.0)</f>
        <v>1087656</v>
      </c>
      <c r="C3275" t="str">
        <f>IFERROR(__xludf.DUMMYFUNCTION("""COMPUTED_VALUE"""),"Robot Framework - Jenkins CI &amp; Git Version Control")</f>
        <v>Robot Framework - Jenkins CI &amp; Git Version Control</v>
      </c>
    </row>
    <row r="3276">
      <c r="A3276" s="140" t="str">
        <f>IFERROR(__xludf.DUMMYFUNCTION("""COMPUTED_VALUE"""),"es")</f>
        <v>es</v>
      </c>
      <c r="B3276">
        <f>IFERROR(__xludf.DUMMYFUNCTION("""COMPUTED_VALUE"""),1173914.0)</f>
        <v>1173914</v>
      </c>
      <c r="C3276" t="str">
        <f>IFERROR(__xludf.DUMMYFUNCTION("""COMPUTED_VALUE"""),"Curso de SEO y Posicionamiento en Google [ACTUALIZADO]")</f>
        <v>Curso de SEO y Posicionamiento en Google [ACTUALIZADO]</v>
      </c>
    </row>
    <row r="3277">
      <c r="A3277" s="140" t="str">
        <f>IFERROR(__xludf.DUMMYFUNCTION("""COMPUTED_VALUE"""),"en")</f>
        <v>en</v>
      </c>
      <c r="B3277">
        <f>IFERROR(__xludf.DUMMYFUNCTION("""COMPUTED_VALUE"""),2025800.0)</f>
        <v>2025800</v>
      </c>
      <c r="C3277" t="str">
        <f>IFERROR(__xludf.DUMMYFUNCTION("""COMPUTED_VALUE"""),"Building Structures in Portuguese - Structure 1")</f>
        <v>Building Structures in Portuguese - Structure 1</v>
      </c>
    </row>
    <row r="3278">
      <c r="A3278" s="140" t="str">
        <f>IFERROR(__xludf.DUMMYFUNCTION("""COMPUTED_VALUE"""),"pt")</f>
        <v>pt</v>
      </c>
      <c r="B3278">
        <f>IFERROR(__xludf.DUMMYFUNCTION("""COMPUTED_VALUE"""),2555071.0)</f>
        <v>2555071</v>
      </c>
      <c r="C3278" t="str">
        <f>IFERROR(__xludf.DUMMYFUNCTION("""COMPUTED_VALUE"""),"Curso de Google Data Studio - do básico ao avançado!")</f>
        <v>Curso de Google Data Studio - do básico ao avançado!</v>
      </c>
    </row>
    <row r="3279">
      <c r="A3279" s="140" t="str">
        <f>IFERROR(__xludf.DUMMYFUNCTION("""COMPUTED_VALUE"""),"pt")</f>
        <v>pt</v>
      </c>
      <c r="B3279">
        <f>IFERROR(__xludf.DUMMYFUNCTION("""COMPUTED_VALUE"""),2205026.0)</f>
        <v>2205026</v>
      </c>
      <c r="C3279" t="str">
        <f>IFERROR(__xludf.DUMMYFUNCTION("""COMPUTED_VALUE"""),"Curso de Visual Studio 2019 - Desenvolvimento Front End")</f>
        <v>Curso de Visual Studio 2019 - Desenvolvimento Front End</v>
      </c>
    </row>
    <row r="3280">
      <c r="A3280" s="140" t="str">
        <f>IFERROR(__xludf.DUMMYFUNCTION("""COMPUTED_VALUE"""),"en")</f>
        <v>en</v>
      </c>
      <c r="B3280">
        <f>IFERROR(__xludf.DUMMYFUNCTION("""COMPUTED_VALUE"""),2653250.0)</f>
        <v>2653250</v>
      </c>
      <c r="C3280" t="str">
        <f>IFERROR(__xludf.DUMMYFUNCTION("""COMPUTED_VALUE"""),"Exceptional Leadership: Leading at a Higher Level")</f>
        <v>Exceptional Leadership: Leading at a Higher Level</v>
      </c>
    </row>
    <row r="3281">
      <c r="A3281" s="140" t="str">
        <f>IFERROR(__xludf.DUMMYFUNCTION("""COMPUTED_VALUE"""),"en")</f>
        <v>en</v>
      </c>
      <c r="B3281">
        <f>IFERROR(__xludf.DUMMYFUNCTION("""COMPUTED_VALUE"""),65833.0)</f>
        <v>65833</v>
      </c>
      <c r="C3281" t="str">
        <f>IFERROR(__xludf.DUMMYFUNCTION("""COMPUTED_VALUE"""),"How to Run truly Productive Meetings – and add value")</f>
        <v>How to Run truly Productive Meetings – and add value</v>
      </c>
    </row>
    <row r="3282">
      <c r="A3282" s="140" t="str">
        <f>IFERROR(__xludf.DUMMYFUNCTION("""COMPUTED_VALUE"""),"en")</f>
        <v>en</v>
      </c>
      <c r="B3282">
        <f>IFERROR(__xludf.DUMMYFUNCTION("""COMPUTED_VALUE"""),53911.0)</f>
        <v>53911</v>
      </c>
      <c r="C3282" t="str">
        <f>IFERROR(__xludf.DUMMYFUNCTION("""COMPUTED_VALUE"""),"The Theory Behind Electronics - A Beginners Guide")</f>
        <v>The Theory Behind Electronics - A Beginners Guide</v>
      </c>
    </row>
    <row r="3283">
      <c r="A3283" s="140" t="str">
        <f>IFERROR(__xludf.DUMMYFUNCTION("""COMPUTED_VALUE"""),"en")</f>
        <v>en</v>
      </c>
      <c r="B3283">
        <f>IFERROR(__xludf.DUMMYFUNCTION("""COMPUTED_VALUE"""),977360.0)</f>
        <v>977360</v>
      </c>
      <c r="C3283" t="str">
        <f>IFERROR(__xludf.DUMMYFUNCTION("""COMPUTED_VALUE"""),"Learn DevOps: Infrastructure Automation With Terraform")</f>
        <v>Learn DevOps: Infrastructure Automation With Terraform</v>
      </c>
    </row>
    <row r="3284">
      <c r="A3284" s="140" t="str">
        <f>IFERROR(__xludf.DUMMYFUNCTION("""COMPUTED_VALUE"""),"en")</f>
        <v>en</v>
      </c>
      <c r="B3284">
        <f>IFERROR(__xludf.DUMMYFUNCTION("""COMPUTED_VALUE"""),659464.0)</f>
        <v>659464</v>
      </c>
      <c r="C3284" t="str">
        <f>IFERROR(__xludf.DUMMYFUNCTION("""COMPUTED_VALUE"""),"Microsoft Excel Beginners &amp; Intermediate Excel Training")</f>
        <v>Microsoft Excel Beginners &amp; Intermediate Excel Training</v>
      </c>
    </row>
    <row r="3285">
      <c r="A3285" s="140" t="str">
        <f>IFERROR(__xludf.DUMMYFUNCTION("""COMPUTED_VALUE"""),"fr")</f>
        <v>fr</v>
      </c>
      <c r="B3285">
        <f>IFERROR(__xludf.DUMMYFUNCTION("""COMPUTED_VALUE"""),3675984.0)</f>
        <v>3675984</v>
      </c>
      <c r="C3285" t="str">
        <f>IFERROR(__xludf.DUMMYFUNCTION("""COMPUTED_VALUE"""),"Business Analyst: Comment Etre Rapidement Opérationnel")</f>
        <v>Business Analyst: Comment Etre Rapidement Opérationnel</v>
      </c>
    </row>
    <row r="3286">
      <c r="A3286" s="140" t="str">
        <f>IFERROR(__xludf.DUMMYFUNCTION("""COMPUTED_VALUE"""),"pt")</f>
        <v>pt</v>
      </c>
      <c r="B3286">
        <f>IFERROR(__xludf.DUMMYFUNCTION("""COMPUTED_VALUE"""),855368.0)</f>
        <v>855368</v>
      </c>
      <c r="C3286" t="str">
        <f>IFERROR(__xludf.DUMMYFUNCTION("""COMPUTED_VALUE"""),"Curso de SEO Completo - Do básico ao avançado.")</f>
        <v>Curso de SEO Completo - Do básico ao avançado.</v>
      </c>
    </row>
    <row r="3287">
      <c r="A3287" s="140" t="str">
        <f>IFERROR(__xludf.DUMMYFUNCTION("""COMPUTED_VALUE"""),"en")</f>
        <v>en</v>
      </c>
      <c r="B3287">
        <f>IFERROR(__xludf.DUMMYFUNCTION("""COMPUTED_VALUE"""),2339350.0)</f>
        <v>2339350</v>
      </c>
      <c r="C3287" t="str">
        <f>IFERROR(__xludf.DUMMYFUNCTION("""COMPUTED_VALUE"""),"SAP MM Subcontracting and SAP Batch Management Process")</f>
        <v>SAP MM Subcontracting and SAP Batch Management Process</v>
      </c>
    </row>
    <row r="3288">
      <c r="A3288" s="140" t="str">
        <f>IFERROR(__xludf.DUMMYFUNCTION("""COMPUTED_VALUE"""),"en")</f>
        <v>en</v>
      </c>
      <c r="B3288">
        <f>IFERROR(__xludf.DUMMYFUNCTION("""COMPUTED_VALUE"""),2609434.0)</f>
        <v>2609434</v>
      </c>
      <c r="C3288" t="str">
        <f>IFERROR(__xludf.DUMMYFUNCTION("""COMPUTED_VALUE"""),"Node.js API Masterclass With Express &amp; MongoDB")</f>
        <v>Node.js API Masterclass With Express &amp; MongoDB</v>
      </c>
    </row>
    <row r="3289">
      <c r="A3289" s="140" t="str">
        <f>IFERROR(__xludf.DUMMYFUNCTION("""COMPUTED_VALUE"""),"en")</f>
        <v>en</v>
      </c>
      <c r="B3289">
        <f>IFERROR(__xludf.DUMMYFUNCTION("""COMPUTED_VALUE"""),985468.0)</f>
        <v>985468</v>
      </c>
      <c r="C3289" t="str">
        <f>IFERROR(__xludf.DUMMYFUNCTION("""COMPUTED_VALUE"""),"Complete ARM Cortex-M Bare-Metal Programming (TM4C123)")</f>
        <v>Complete ARM Cortex-M Bare-Metal Programming (TM4C123)</v>
      </c>
    </row>
    <row r="3290">
      <c r="A3290" s="140" t="str">
        <f>IFERROR(__xludf.DUMMYFUNCTION("""COMPUTED_VALUE"""),"en")</f>
        <v>en</v>
      </c>
      <c r="B3290">
        <f>IFERROR(__xludf.DUMMYFUNCTION("""COMPUTED_VALUE"""),1612808.0)</f>
        <v>1612808</v>
      </c>
      <c r="C3290" t="str">
        <f>IFERROR(__xludf.DUMMYFUNCTION("""COMPUTED_VALUE"""),"Teamwork")</f>
        <v>Teamwork</v>
      </c>
    </row>
    <row r="3291">
      <c r="A3291" s="140" t="str">
        <f>IFERROR(__xludf.DUMMYFUNCTION("""COMPUTED_VALUE"""),"en")</f>
        <v>en</v>
      </c>
      <c r="B3291">
        <f>IFERROR(__xludf.DUMMYFUNCTION("""COMPUTED_VALUE"""),1073378.0)</f>
        <v>1073378</v>
      </c>
      <c r="C3291" t="str">
        <f>IFERROR(__xludf.DUMMYFUNCTION("""COMPUTED_VALUE"""),"Docker on Windows 10 and Server 2016")</f>
        <v>Docker on Windows 10 and Server 2016</v>
      </c>
    </row>
    <row r="3292">
      <c r="A3292" s="140" t="str">
        <f>IFERROR(__xludf.DUMMYFUNCTION("""COMPUTED_VALUE"""),"en")</f>
        <v>en</v>
      </c>
      <c r="B3292">
        <f>IFERROR(__xludf.DUMMYFUNCTION("""COMPUTED_VALUE"""),1518744.0)</f>
        <v>1518744</v>
      </c>
      <c r="C3292" t="str">
        <f>IFERROR(__xludf.DUMMYFUNCTION("""COMPUTED_VALUE"""),"Strategic Planning Basics for Human Resources")</f>
        <v>Strategic Planning Basics for Human Resources</v>
      </c>
    </row>
    <row r="3293">
      <c r="A3293" s="140" t="str">
        <f>IFERROR(__xludf.DUMMYFUNCTION("""COMPUTED_VALUE"""),"en")</f>
        <v>en</v>
      </c>
      <c r="B3293">
        <f>IFERROR(__xludf.DUMMYFUNCTION("""COMPUTED_VALUE"""),3754372.0)</f>
        <v>3754372</v>
      </c>
      <c r="C3293" t="str">
        <f>IFERROR(__xludf.DUMMYFUNCTION("""COMPUTED_VALUE"""),"Basics of Power Electronics")</f>
        <v>Basics of Power Electronics</v>
      </c>
    </row>
    <row r="3294">
      <c r="A3294" s="140" t="str">
        <f>IFERROR(__xludf.DUMMYFUNCTION("""COMPUTED_VALUE"""),"tr")</f>
        <v>tr</v>
      </c>
      <c r="B3294">
        <f>IFERROR(__xludf.DUMMYFUNCTION("""COMPUTED_VALUE"""),1910470.0)</f>
        <v>1910470</v>
      </c>
      <c r="C3294" t="str">
        <f>IFERROR(__xludf.DUMMYFUNCTION("""COMPUTED_VALUE"""),"Müzakere Becerileri")</f>
        <v>Müzakere Becerileri</v>
      </c>
    </row>
    <row r="3295">
      <c r="A3295" s="140" t="str">
        <f>IFERROR(__xludf.DUMMYFUNCTION("""COMPUTED_VALUE"""),"de")</f>
        <v>de</v>
      </c>
      <c r="B3295">
        <f>IFERROR(__xludf.DUMMYFUNCTION("""COMPUTED_VALUE"""),2781184.0)</f>
        <v>2781184</v>
      </c>
      <c r="C3295" t="str">
        <f>IFERROR(__xludf.DUMMYFUNCTION("""COMPUTED_VALUE"""),"Linux Zertifizierung - Enterprise System Administration II")</f>
        <v>Linux Zertifizierung - Enterprise System Administration II</v>
      </c>
    </row>
    <row r="3296">
      <c r="A3296" s="140" t="str">
        <f>IFERROR(__xludf.DUMMYFUNCTION("""COMPUTED_VALUE"""),"en")</f>
        <v>en</v>
      </c>
      <c r="B3296">
        <f>IFERROR(__xludf.DUMMYFUNCTION("""COMPUTED_VALUE"""),992244.0)</f>
        <v>992244</v>
      </c>
      <c r="C3296" t="str">
        <f>IFERROR(__xludf.DUMMYFUNCTION("""COMPUTED_VALUE"""),"Elearning 2021: How To Create An Online Elearning Course")</f>
        <v>Elearning 2021: How To Create An Online Elearning Course</v>
      </c>
    </row>
    <row r="3297">
      <c r="A3297" s="140" t="str">
        <f>IFERROR(__xludf.DUMMYFUNCTION("""COMPUTED_VALUE"""),"en")</f>
        <v>en</v>
      </c>
      <c r="B3297">
        <f>IFERROR(__xludf.DUMMYFUNCTION("""COMPUTED_VALUE"""),3310234.0)</f>
        <v>3310234</v>
      </c>
      <c r="C3297" t="str">
        <f>IFERROR(__xludf.DUMMYFUNCTION("""COMPUTED_VALUE"""),"Master Bootstrap 5 with 6 projects and Sass customization")</f>
        <v>Master Bootstrap 5 with 6 projects and Sass customization</v>
      </c>
    </row>
    <row r="3298">
      <c r="A3298" s="140" t="str">
        <f>IFERROR(__xludf.DUMMYFUNCTION("""COMPUTED_VALUE"""),"en")</f>
        <v>en</v>
      </c>
      <c r="B3298">
        <f>IFERROR(__xludf.DUMMYFUNCTION("""COMPUTED_VALUE"""),3685634.0)</f>
        <v>3685634</v>
      </c>
      <c r="C3298" t="str">
        <f>IFERROR(__xludf.DUMMYFUNCTION("""COMPUTED_VALUE"""),"Azure Data Factory For Data Engineers - Project on Covid19")</f>
        <v>Azure Data Factory For Data Engineers - Project on Covid19</v>
      </c>
    </row>
    <row r="3299">
      <c r="A3299" s="140" t="str">
        <f>IFERROR(__xludf.DUMMYFUNCTION("""COMPUTED_VALUE"""),"en")</f>
        <v>en</v>
      </c>
      <c r="B3299">
        <f>IFERROR(__xludf.DUMMYFUNCTION("""COMPUTED_VALUE"""),1400762.0)</f>
        <v>1400762</v>
      </c>
      <c r="C3299" t="str">
        <f>IFERROR(__xludf.DUMMYFUNCTION("""COMPUTED_VALUE"""),"Hacking with macOS - Build 18 Desktop Apps with Swift 5")</f>
        <v>Hacking with macOS - Build 18 Desktop Apps with Swift 5</v>
      </c>
    </row>
    <row r="3300">
      <c r="A3300" s="140" t="str">
        <f>IFERROR(__xludf.DUMMYFUNCTION("""COMPUTED_VALUE"""),"fr")</f>
        <v>fr</v>
      </c>
      <c r="B3300">
        <f>IFERROR(__xludf.DUMMYFUNCTION("""COMPUTED_VALUE"""),3721180.0)</f>
        <v>3721180</v>
      </c>
      <c r="C3300" t="str">
        <f>IFERROR(__xludf.DUMMYFUNCTION("""COMPUTED_VALUE"""),"L'art de la négociation d'influence : le guide 2021")</f>
        <v>L'art de la négociation d'influence : le guide 2021</v>
      </c>
    </row>
    <row r="3301">
      <c r="A3301" s="140" t="str">
        <f>IFERROR(__xludf.DUMMYFUNCTION("""COMPUTED_VALUE"""),"pt")</f>
        <v>pt</v>
      </c>
      <c r="B3301">
        <f>IFERROR(__xludf.DUMMYFUNCTION("""COMPUTED_VALUE"""),1547482.0)</f>
        <v>1547482</v>
      </c>
      <c r="C3301" t="str">
        <f>IFERROR(__xludf.DUMMYFUNCTION("""COMPUTED_VALUE"""),"Testes de Hipóteses: Comparação de Dois Grupos em SPSS")</f>
        <v>Testes de Hipóteses: Comparação de Dois Grupos em SPSS</v>
      </c>
    </row>
    <row r="3302">
      <c r="A3302" s="140" t="str">
        <f>IFERROR(__xludf.DUMMYFUNCTION("""COMPUTED_VALUE"""),"en")</f>
        <v>en</v>
      </c>
      <c r="B3302">
        <f>IFERROR(__xludf.DUMMYFUNCTION("""COMPUTED_VALUE"""),482564.0)</f>
        <v>482564</v>
      </c>
      <c r="C3302" t="str">
        <f>IFERROR(__xludf.DUMMYFUNCTION("""COMPUTED_VALUE"""),"[2022] The Complete Management Skills Certification Course")</f>
        <v>[2022] The Complete Management Skills Certification Course</v>
      </c>
    </row>
    <row r="3303">
      <c r="A3303" s="140" t="str">
        <f>IFERROR(__xludf.DUMMYFUNCTION("""COMPUTED_VALUE"""),"ja")</f>
        <v>ja</v>
      </c>
      <c r="B3303">
        <f>IFERROR(__xludf.DUMMYFUNCTION("""COMPUTED_VALUE"""),3614492.0)</f>
        <v>3614492</v>
      </c>
      <c r="C3303" t="str">
        <f>IFERROR(__xludf.DUMMYFUNCTION("""COMPUTED_VALUE"""),"GraphQL フルスタックWeb開発入門 (Django + React/Apollo Client)")</f>
        <v>GraphQL フルスタックWeb開発入門 (Django + React/Apollo Client)</v>
      </c>
    </row>
    <row r="3304">
      <c r="A3304" s="140" t="str">
        <f>IFERROR(__xludf.DUMMYFUNCTION("""COMPUTED_VALUE"""),"de")</f>
        <v>de</v>
      </c>
      <c r="B3304">
        <f>IFERROR(__xludf.DUMMYFUNCTION("""COMPUTED_VALUE"""),2500020.0)</f>
        <v>2500020</v>
      </c>
      <c r="C3304" t="str">
        <f>IFERROR(__xludf.DUMMYFUNCTION("""COMPUTED_VALUE"""),"Die Swift 5 &amp; iOS 13 Masterclass - App Entwicklung von A - Z")</f>
        <v>Die Swift 5 &amp; iOS 13 Masterclass - App Entwicklung von A - Z</v>
      </c>
    </row>
    <row r="3305">
      <c r="A3305" s="140" t="str">
        <f>IFERROR(__xludf.DUMMYFUNCTION("""COMPUTED_VALUE"""),"es")</f>
        <v>es</v>
      </c>
      <c r="B3305">
        <f>IFERROR(__xludf.DUMMYFUNCTION("""COMPUTED_VALUE"""),2398608.0)</f>
        <v>2398608</v>
      </c>
      <c r="C3305" t="str">
        <f>IFERROR(__xludf.DUMMYFUNCTION("""COMPUTED_VALUE"""),"Node.js - Creando API con Express y MongoDB (Incl. Deno)")</f>
        <v>Node.js - Creando API con Express y MongoDB (Incl. Deno)</v>
      </c>
    </row>
    <row r="3306">
      <c r="A3306" s="140" t="str">
        <f>IFERROR(__xludf.DUMMYFUNCTION("""COMPUTED_VALUE"""),"pt")</f>
        <v>pt</v>
      </c>
      <c r="B3306">
        <f>IFERROR(__xludf.DUMMYFUNCTION("""COMPUTED_VALUE"""),4015414.0)</f>
        <v>4015414</v>
      </c>
      <c r="C3306" t="str">
        <f>IFERROR(__xludf.DUMMYFUNCTION("""COMPUTED_VALUE"""),"COBIT 2019 Foundation - Preparatório para Certificação")</f>
        <v>COBIT 2019 Foundation - Preparatório para Certificação</v>
      </c>
    </row>
    <row r="3307">
      <c r="A3307" s="140" t="str">
        <f>IFERROR(__xludf.DUMMYFUNCTION("""COMPUTED_VALUE"""),"en")</f>
        <v>en</v>
      </c>
      <c r="B3307">
        <f>IFERROR(__xludf.DUMMYFUNCTION("""COMPUTED_VALUE"""),2090934.0)</f>
        <v>2090934</v>
      </c>
      <c r="C3307" t="str">
        <f>IFERROR(__xludf.DUMMYFUNCTION("""COMPUTED_VALUE"""),"Oracle Database Administration Workshop ( 12c and Higher)")</f>
        <v>Oracle Database Administration Workshop ( 12c and Higher)</v>
      </c>
    </row>
    <row r="3308">
      <c r="A3308" s="140" t="str">
        <f>IFERROR(__xludf.DUMMYFUNCTION("""COMPUTED_VALUE"""),"en")</f>
        <v>en</v>
      </c>
      <c r="B3308">
        <f>IFERROR(__xludf.DUMMYFUNCTION("""COMPUTED_VALUE"""),2529094.0)</f>
        <v>2529094</v>
      </c>
      <c r="C3308" t="str">
        <f>IFERROR(__xludf.DUMMYFUNCTION("""COMPUTED_VALUE"""),"AWS Certified Solutions Architect Associate 2020 - Hands on!")</f>
        <v>AWS Certified Solutions Architect Associate 2020 - Hands on!</v>
      </c>
    </row>
    <row r="3309">
      <c r="A3309" s="140" t="str">
        <f>IFERROR(__xludf.DUMMYFUNCTION("""COMPUTED_VALUE"""),"en")</f>
        <v>en</v>
      </c>
      <c r="B3309">
        <f>IFERROR(__xludf.DUMMYFUNCTION("""COMPUTED_VALUE"""),3714254.0)</f>
        <v>3714254</v>
      </c>
      <c r="C3309" t="str">
        <f>IFERROR(__xludf.DUMMYFUNCTION("""COMPUTED_VALUE"""),"SAP Basis Essential Training")</f>
        <v>SAP Basis Essential Training</v>
      </c>
    </row>
    <row r="3310">
      <c r="A3310" s="140" t="str">
        <f>IFERROR(__xludf.DUMMYFUNCTION("""COMPUTED_VALUE"""),"pt")</f>
        <v>pt</v>
      </c>
      <c r="B3310">
        <f>IFERROR(__xludf.DUMMYFUNCTION("""COMPUTED_VALUE"""),2527928.0)</f>
        <v>2527928</v>
      </c>
      <c r="C3310" t="str">
        <f>IFERROR(__xludf.DUMMYFUNCTION("""COMPUTED_VALUE"""),"Day Trading")</f>
        <v>Day Trading</v>
      </c>
    </row>
    <row r="3311">
      <c r="A3311" s="140" t="str">
        <f>IFERROR(__xludf.DUMMYFUNCTION("""COMPUTED_VALUE"""),"es")</f>
        <v>es</v>
      </c>
      <c r="B3311">
        <f>IFERROR(__xludf.DUMMYFUNCTION("""COMPUTED_VALUE"""),1991708.0)</f>
        <v>1991708</v>
      </c>
      <c r="C3311" t="str">
        <f>IFERROR(__xludf.DUMMYFUNCTION("""COMPUTED_VALUE"""),"Máster en IoT - Conéctate al Futuro [2021]")</f>
        <v>Máster en IoT - Conéctate al Futuro [2021]</v>
      </c>
    </row>
    <row r="3312">
      <c r="A3312" s="140" t="str">
        <f>IFERROR(__xludf.DUMMYFUNCTION("""COMPUTED_VALUE"""),"pt")</f>
        <v>pt</v>
      </c>
      <c r="B3312">
        <f>IFERROR(__xludf.DUMMYFUNCTION("""COMPUTED_VALUE"""),2596032.0)</f>
        <v>2596032</v>
      </c>
      <c r="C3312" t="str">
        <f>IFERROR(__xludf.DUMMYFUNCTION("""COMPUTED_VALUE"""),"Curso de Espanhol para pessoas que falam português: 1 de 2")</f>
        <v>Curso de Espanhol para pessoas que falam português: 1 de 2</v>
      </c>
    </row>
    <row r="3313">
      <c r="A3313" s="140" t="str">
        <f>IFERROR(__xludf.DUMMYFUNCTION("""COMPUTED_VALUE"""),"pt")</f>
        <v>pt</v>
      </c>
      <c r="B3313">
        <f>IFERROR(__xludf.DUMMYFUNCTION("""COMPUTED_VALUE"""),1267492.0)</f>
        <v>1267492</v>
      </c>
      <c r="C3313" t="str">
        <f>IFERROR(__xludf.DUMMYFUNCTION("""COMPUTED_VALUE"""),"3ds Max : Aprenda 3D Studio Max do Básico ao Avançado")</f>
        <v>3ds Max : Aprenda 3D Studio Max do Básico ao Avançado</v>
      </c>
    </row>
    <row r="3314">
      <c r="A3314" s="140" t="str">
        <f>IFERROR(__xludf.DUMMYFUNCTION("""COMPUTED_VALUE"""),"en")</f>
        <v>en</v>
      </c>
      <c r="B3314">
        <f>IFERROR(__xludf.DUMMYFUNCTION("""COMPUTED_VALUE"""),3439718.0)</f>
        <v>3439718</v>
      </c>
      <c r="C3314" t="str">
        <f>IFERROR(__xludf.DUMMYFUNCTION("""COMPUTED_VALUE"""),"Reverse Engineering 5: Reversing Visual Basic")</f>
        <v>Reverse Engineering 5: Reversing Visual Basic</v>
      </c>
    </row>
    <row r="3315">
      <c r="A3315" s="140" t="str">
        <f>IFERROR(__xludf.DUMMYFUNCTION("""COMPUTED_VALUE"""),"es")</f>
        <v>es</v>
      </c>
      <c r="B3315">
        <f>IFERROR(__xludf.DUMMYFUNCTION("""COMPUTED_VALUE"""),1961802.0)</f>
        <v>1961802</v>
      </c>
      <c r="C3315" t="str">
        <f>IFERROR(__xludf.DUMMYFUNCTION("""COMPUTED_VALUE"""),"Microservicios Lumen: Crea tus servicios y APIs con Lumen")</f>
        <v>Microservicios Lumen: Crea tus servicios y APIs con Lumen</v>
      </c>
    </row>
    <row r="3316">
      <c r="A3316" s="140" t="str">
        <f>IFERROR(__xludf.DUMMYFUNCTION("""COMPUTED_VALUE"""),"en")</f>
        <v>en</v>
      </c>
      <c r="B3316">
        <f>IFERROR(__xludf.DUMMYFUNCTION("""COMPUTED_VALUE"""),1035518.0)</f>
        <v>1035518</v>
      </c>
      <c r="C3316" t="str">
        <f>IFERROR(__xludf.DUMMYFUNCTION("""COMPUTED_VALUE"""),"Concurrency, Multithreading and Parallel Computing in Java")</f>
        <v>Concurrency, Multithreading and Parallel Computing in Java</v>
      </c>
    </row>
    <row r="3317">
      <c r="A3317" s="140" t="str">
        <f>IFERROR(__xludf.DUMMYFUNCTION("""COMPUTED_VALUE"""),"es")</f>
        <v>es</v>
      </c>
      <c r="B3317">
        <f>IFERROR(__xludf.DUMMYFUNCTION("""COMPUTED_VALUE"""),1129868.0)</f>
        <v>1129868</v>
      </c>
      <c r="C3317" t="str">
        <f>IFERROR(__xludf.DUMMYFUNCTION("""COMPUTED_VALUE"""),"Aprende a programar jugando con Scratch")</f>
        <v>Aprende a programar jugando con Scratch</v>
      </c>
    </row>
    <row r="3318">
      <c r="A3318" s="140" t="str">
        <f>IFERROR(__xludf.DUMMYFUNCTION("""COMPUTED_VALUE"""),"ja")</f>
        <v>ja</v>
      </c>
      <c r="B3318">
        <f>IFERROR(__xludf.DUMMYFUNCTION("""COMPUTED_VALUE"""),1949062.0)</f>
        <v>1949062</v>
      </c>
      <c r="C3318" t="str">
        <f>IFERROR(__xludf.DUMMYFUNCTION("""COMPUTED_VALUE"""),"Amazon Web Service マスターコース EC2編")</f>
        <v>Amazon Web Service マスターコース EC2編</v>
      </c>
    </row>
    <row r="3319">
      <c r="A3319" s="140" t="str">
        <f>IFERROR(__xludf.DUMMYFUNCTION("""COMPUTED_VALUE"""),"en")</f>
        <v>en</v>
      </c>
      <c r="B3319">
        <f>IFERROR(__xludf.DUMMYFUNCTION("""COMPUTED_VALUE"""),3002664.0)</f>
        <v>3002664</v>
      </c>
      <c r="C3319" t="str">
        <f>IFERROR(__xludf.DUMMYFUNCTION("""COMPUTED_VALUE"""),"Data Storytelling and Data Visualization [2021]")</f>
        <v>Data Storytelling and Data Visualization [2021]</v>
      </c>
    </row>
    <row r="3320">
      <c r="A3320" s="140" t="str">
        <f>IFERROR(__xludf.DUMMYFUNCTION("""COMPUTED_VALUE"""),"es")</f>
        <v>es</v>
      </c>
      <c r="B3320">
        <f>IFERROR(__xludf.DUMMYFUNCTION("""COMPUTED_VALUE"""),2849098.0)</f>
        <v>2849098</v>
      </c>
      <c r="C3320" t="str">
        <f>IFERROR(__xludf.DUMMYFUNCTION("""COMPUTED_VALUE"""),"Gestión de Nóminas y Seguros Sociales")</f>
        <v>Gestión de Nóminas y Seguros Sociales</v>
      </c>
    </row>
    <row r="3321">
      <c r="A3321" s="140" t="str">
        <f>IFERROR(__xludf.DUMMYFUNCTION("""COMPUTED_VALUE"""),"en")</f>
        <v>en</v>
      </c>
      <c r="B3321">
        <f>IFERROR(__xludf.DUMMYFUNCTION("""COMPUTED_VALUE"""),3655840.0)</f>
        <v>3655840</v>
      </c>
      <c r="C3321" t="str">
        <f>IFERROR(__xludf.DUMMYFUNCTION("""COMPUTED_VALUE"""),"The Ultimate 2022 Fullstack Web Development Bootcamp")</f>
        <v>The Ultimate 2022 Fullstack Web Development Bootcamp</v>
      </c>
    </row>
    <row r="3322">
      <c r="A3322" s="140" t="str">
        <f>IFERROR(__xludf.DUMMYFUNCTION("""COMPUTED_VALUE"""),"fr")</f>
        <v>fr</v>
      </c>
      <c r="B3322">
        <f>IFERROR(__xludf.DUMMYFUNCTION("""COMPUTED_VALUE"""),1876366.0)</f>
        <v>1876366</v>
      </c>
      <c r="C3322" t="str">
        <f>IFERROR(__xludf.DUMMYFUNCTION("""COMPUTED_VALUE"""),"Blender 2.79 - Création d'environnements naturels")</f>
        <v>Blender 2.79 - Création d'environnements naturels</v>
      </c>
    </row>
    <row r="3323">
      <c r="A3323" s="140" t="str">
        <f>IFERROR(__xludf.DUMMYFUNCTION("""COMPUTED_VALUE"""),"en")</f>
        <v>en</v>
      </c>
      <c r="B3323">
        <f>IFERROR(__xludf.DUMMYFUNCTION("""COMPUTED_VALUE"""),1796738.0)</f>
        <v>1796738</v>
      </c>
      <c r="C3323" t="str">
        <f>IFERROR(__xludf.DUMMYFUNCTION("""COMPUTED_VALUE"""),"Future Skills 2030-Prepare for the 4th Industrial Revolution")</f>
        <v>Future Skills 2030-Prepare for the 4th Industrial Revolution</v>
      </c>
    </row>
    <row r="3324">
      <c r="A3324" s="140" t="str">
        <f>IFERROR(__xludf.DUMMYFUNCTION("""COMPUTED_VALUE"""),"tr")</f>
        <v>tr</v>
      </c>
      <c r="B3324">
        <f>IFERROR(__xludf.DUMMYFUNCTION("""COMPUTED_VALUE"""),1886516.0)</f>
        <v>1886516</v>
      </c>
      <c r="C3324" t="str">
        <f>IFERROR(__xludf.DUMMYFUNCTION("""COMPUTED_VALUE"""),"Modül D - Yönetim Becerileri ve Yönetim Araçları Modülü")</f>
        <v>Modül D - Yönetim Becerileri ve Yönetim Araçları Modülü</v>
      </c>
    </row>
    <row r="3325">
      <c r="A3325" s="140" t="str">
        <f>IFERROR(__xludf.DUMMYFUNCTION("""COMPUTED_VALUE"""),"pt")</f>
        <v>pt</v>
      </c>
      <c r="B3325">
        <f>IFERROR(__xludf.DUMMYFUNCTION("""COMPUTED_VALUE"""),951836.0)</f>
        <v>951836</v>
      </c>
      <c r="C3325" t="str">
        <f>IFERROR(__xludf.DUMMYFUNCTION("""COMPUTED_VALUE"""),"MBA Completo em 1 Curso: Prof Premiado de Escola de Negócios")</f>
        <v>MBA Completo em 1 Curso: Prof Premiado de Escola de Negócios</v>
      </c>
    </row>
    <row r="3326">
      <c r="A3326" s="140" t="str">
        <f>IFERROR(__xludf.DUMMYFUNCTION("""COMPUTED_VALUE"""),"ja")</f>
        <v>ja</v>
      </c>
      <c r="B3326">
        <f>IFERROR(__xludf.DUMMYFUNCTION("""COMPUTED_VALUE"""),3914082.0)</f>
        <v>3914082</v>
      </c>
      <c r="C3326" t="str">
        <f>IFERROR(__xludf.DUMMYFUNCTION("""COMPUTED_VALUE"""),"【Unity C# ゲーム開発入門】改訂版：リバーシではじめるゲーム開発")</f>
        <v>【Unity C# ゲーム開発入門】改訂版：リバーシではじめるゲーム開発</v>
      </c>
    </row>
    <row r="3327">
      <c r="A3327" s="140" t="str">
        <f>IFERROR(__xludf.DUMMYFUNCTION("""COMPUTED_VALUE"""),"en")</f>
        <v>en</v>
      </c>
      <c r="B3327">
        <f>IFERROR(__xludf.DUMMYFUNCTION("""COMPUTED_VALUE"""),4187754.0)</f>
        <v>4187754</v>
      </c>
      <c r="C3327" t="str">
        <f>IFERROR(__xludf.DUMMYFUNCTION("""COMPUTED_VALUE"""),"Complete CCNP ENCOR (350-401) Master Class")</f>
        <v>Complete CCNP ENCOR (350-401) Master Class</v>
      </c>
    </row>
    <row r="3328">
      <c r="A3328" s="140" t="str">
        <f>IFERROR(__xludf.DUMMYFUNCTION("""COMPUTED_VALUE"""),"en")</f>
        <v>en</v>
      </c>
      <c r="B3328">
        <f>IFERROR(__xludf.DUMMYFUNCTION("""COMPUTED_VALUE"""),1731644.0)</f>
        <v>1731644</v>
      </c>
      <c r="C3328" t="str">
        <f>IFERROR(__xludf.DUMMYFUNCTION("""COMPUTED_VALUE"""),"Control Systems Made Simple | Beginner's Guide")</f>
        <v>Control Systems Made Simple | Beginner's Guide</v>
      </c>
    </row>
    <row r="3329">
      <c r="A3329" s="140" t="str">
        <f>IFERROR(__xludf.DUMMYFUNCTION("""COMPUTED_VALUE"""),"pt")</f>
        <v>pt</v>
      </c>
      <c r="B3329">
        <f>IFERROR(__xludf.DUMMYFUNCTION("""COMPUTED_VALUE"""),4125074.0)</f>
        <v>4125074</v>
      </c>
      <c r="C3329" t="str">
        <f>IFERROR(__xludf.DUMMYFUNCTION("""COMPUTED_VALUE"""),"Tableau Prep de A a Z")</f>
        <v>Tableau Prep de A a Z</v>
      </c>
    </row>
    <row r="3330">
      <c r="A3330" s="140" t="str">
        <f>IFERROR(__xludf.DUMMYFUNCTION("""COMPUTED_VALUE"""),"en")</f>
        <v>en</v>
      </c>
      <c r="B3330">
        <f>IFERROR(__xludf.DUMMYFUNCTION("""COMPUTED_VALUE"""),3575021.0)</f>
        <v>3575021</v>
      </c>
      <c r="C3330" t="str">
        <f>IFERROR(__xludf.DUMMYFUNCTION("""COMPUTED_VALUE"""),"2021: Algorithmic Trading with Machine Learning in Python")</f>
        <v>2021: Algorithmic Trading with Machine Learning in Python</v>
      </c>
    </row>
    <row r="3331">
      <c r="A3331" s="140" t="str">
        <f>IFERROR(__xludf.DUMMYFUNCTION("""COMPUTED_VALUE"""),"fr")</f>
        <v>fr</v>
      </c>
      <c r="B3331">
        <f>IFERROR(__xludf.DUMMYFUNCTION("""COMPUTED_VALUE"""),1432312.0)</f>
        <v>1432312</v>
      </c>
      <c r="C3331" t="str">
        <f>IFERROR(__xludf.DUMMYFUNCTION("""COMPUTED_VALUE"""),"Cryptomonnaies &amp; Bitcoin : comprendre, acheter et vendre !")</f>
        <v>Cryptomonnaies &amp; Bitcoin : comprendre, acheter et vendre !</v>
      </c>
    </row>
    <row r="3332">
      <c r="A3332" s="140" t="str">
        <f>IFERROR(__xludf.DUMMYFUNCTION("""COMPUTED_VALUE"""),"en")</f>
        <v>en</v>
      </c>
      <c r="B3332">
        <f>IFERROR(__xludf.DUMMYFUNCTION("""COMPUTED_VALUE"""),2804061.0)</f>
        <v>2804061</v>
      </c>
      <c r="C3332" t="str">
        <f>IFERROR(__xludf.DUMMYFUNCTION("""COMPUTED_VALUE"""),"CCNA 200-301 Pre-Exam Practice Tests")</f>
        <v>CCNA 200-301 Pre-Exam Practice Tests</v>
      </c>
    </row>
    <row r="3333">
      <c r="A3333" s="140" t="str">
        <f>IFERROR(__xludf.DUMMYFUNCTION("""COMPUTED_VALUE"""),"ja")</f>
        <v>ja</v>
      </c>
      <c r="B3333">
        <f>IFERROR(__xludf.DUMMYFUNCTION("""COMPUTED_VALUE"""),1879116.0)</f>
        <v>1879116</v>
      </c>
      <c r="C3333" t="str">
        <f>IFERROR(__xludf.DUMMYFUNCTION("""COMPUTED_VALUE"""),"一週間で身につくJava言語")</f>
        <v>一週間で身につくJava言語</v>
      </c>
    </row>
    <row r="3334">
      <c r="A3334" s="140" t="str">
        <f>IFERROR(__xludf.DUMMYFUNCTION("""COMPUTED_VALUE"""),"en")</f>
        <v>en</v>
      </c>
      <c r="B3334">
        <f>IFERROR(__xludf.DUMMYFUNCTION("""COMPUTED_VALUE"""),1561458.0)</f>
        <v>1561458</v>
      </c>
      <c r="C3334" t="str">
        <f>IFERROR(__xludf.DUMMYFUNCTION("""COMPUTED_VALUE"""),"CSS - The Complete Guide 2022 (incl. Flexbox, Grid &amp; Sass)")</f>
        <v>CSS - The Complete Guide 2022 (incl. Flexbox, Grid &amp; Sass)</v>
      </c>
    </row>
    <row r="3335">
      <c r="A3335" s="140" t="str">
        <f>IFERROR(__xludf.DUMMYFUNCTION("""COMPUTED_VALUE"""),"es")</f>
        <v>es</v>
      </c>
      <c r="B3335">
        <f>IFERROR(__xludf.DUMMYFUNCTION("""COMPUTED_VALUE"""),3620780.0)</f>
        <v>3620780</v>
      </c>
      <c r="C3335" t="str">
        <f>IFERROR(__xludf.DUMMYFUNCTION("""COMPUTED_VALUE"""),"Canva en 2021: ¡Diseños Profesionales en Tiempo Record!")</f>
        <v>Canva en 2021: ¡Diseños Profesionales en Tiempo Record!</v>
      </c>
    </row>
    <row r="3336">
      <c r="A3336" s="140" t="str">
        <f>IFERROR(__xludf.DUMMYFUNCTION("""COMPUTED_VALUE"""),"en")</f>
        <v>en</v>
      </c>
      <c r="B3336">
        <f>IFERROR(__xludf.DUMMYFUNCTION("""COMPUTED_VALUE"""),2452986.0)</f>
        <v>2452986</v>
      </c>
      <c r="C3336" t="str">
        <f>IFERROR(__xludf.DUMMYFUNCTION("""COMPUTED_VALUE"""),"MTA 98-383 Introduction to Programming Using HTML and CSS")</f>
        <v>MTA 98-383 Introduction to Programming Using HTML and CSS</v>
      </c>
    </row>
    <row r="3337">
      <c r="A3337" s="140" t="str">
        <f>IFERROR(__xludf.DUMMYFUNCTION("""COMPUTED_VALUE"""),"en")</f>
        <v>en</v>
      </c>
      <c r="B3337">
        <f>IFERROR(__xludf.DUMMYFUNCTION("""COMPUTED_VALUE"""),1983564.0)</f>
        <v>1983564</v>
      </c>
      <c r="C3337" t="str">
        <f>IFERROR(__xludf.DUMMYFUNCTION("""COMPUTED_VALUE"""),"Mastering the Django admin dashboard")</f>
        <v>Mastering the Django admin dashboard</v>
      </c>
    </row>
    <row r="3338">
      <c r="A3338" s="140" t="str">
        <f>IFERROR(__xludf.DUMMYFUNCTION("""COMPUTED_VALUE"""),"en")</f>
        <v>en</v>
      </c>
      <c r="B3338">
        <f>IFERROR(__xludf.DUMMYFUNCTION("""COMPUTED_VALUE"""),2664746.0)</f>
        <v>2664746</v>
      </c>
      <c r="C3338" t="str">
        <f>IFERROR(__xludf.DUMMYFUNCTION("""COMPUTED_VALUE"""),"Mastering Visual Studio Code")</f>
        <v>Mastering Visual Studio Code</v>
      </c>
    </row>
    <row r="3339">
      <c r="A3339" s="140" t="str">
        <f>IFERROR(__xludf.DUMMYFUNCTION("""COMPUTED_VALUE"""),"en")</f>
        <v>en</v>
      </c>
      <c r="B3339">
        <f>IFERROR(__xludf.DUMMYFUNCTION("""COMPUTED_VALUE"""),3383006.0)</f>
        <v>3383006</v>
      </c>
      <c r="C3339" t="str">
        <f>IFERROR(__xludf.DUMMYFUNCTION("""COMPUTED_VALUE"""),"Salesforce Advanced Admin Practice Tests【240 Questions】'2021")</f>
        <v>Salesforce Advanced Admin Practice Tests【240 Questions】'2021</v>
      </c>
    </row>
    <row r="3340">
      <c r="A3340" s="140" t="str">
        <f>IFERROR(__xludf.DUMMYFUNCTION("""COMPUTED_VALUE"""),"en")</f>
        <v>en</v>
      </c>
      <c r="B3340">
        <f>IFERROR(__xludf.DUMMYFUNCTION("""COMPUTED_VALUE"""),117490.0)</f>
        <v>117490</v>
      </c>
      <c r="C3340" t="str">
        <f>IFERROR(__xludf.DUMMYFUNCTION("""COMPUTED_VALUE"""),"Become a Calculus 1 Master")</f>
        <v>Become a Calculus 1 Master</v>
      </c>
    </row>
    <row r="3341">
      <c r="A3341" s="140" t="str">
        <f>IFERROR(__xludf.DUMMYFUNCTION("""COMPUTED_VALUE"""),"de")</f>
        <v>de</v>
      </c>
      <c r="B3341">
        <f>IFERROR(__xludf.DUMMYFUNCTION("""COMPUTED_VALUE"""),2039244.0)</f>
        <v>2039244</v>
      </c>
      <c r="C3341" t="str">
        <f>IFERROR(__xludf.DUMMYFUNCTION("""COMPUTED_VALUE"""),"Design Thinking Crashkurs | Vom Einsteiger zum Anwender")</f>
        <v>Design Thinking Crashkurs | Vom Einsteiger zum Anwender</v>
      </c>
    </row>
    <row r="3342">
      <c r="A3342" s="140" t="str">
        <f>IFERROR(__xludf.DUMMYFUNCTION("""COMPUTED_VALUE"""),"pt")</f>
        <v>pt</v>
      </c>
      <c r="B3342">
        <f>IFERROR(__xludf.DUMMYFUNCTION("""COMPUTED_VALUE"""),2530304.0)</f>
        <v>2530304</v>
      </c>
      <c r="C3342" t="str">
        <f>IFERROR(__xludf.DUMMYFUNCTION("""COMPUTED_VALUE"""),"Pacote Office - Word, Excel e PowerPoint")</f>
        <v>Pacote Office - Word, Excel e PowerPoint</v>
      </c>
    </row>
    <row r="3343">
      <c r="A3343" s="140" t="str">
        <f>IFERROR(__xludf.DUMMYFUNCTION("""COMPUTED_VALUE"""),"en")</f>
        <v>en</v>
      </c>
      <c r="B3343">
        <f>IFERROR(__xludf.DUMMYFUNCTION("""COMPUTED_VALUE"""),3676646.0)</f>
        <v>3676646</v>
      </c>
      <c r="C3343" t="str">
        <f>IFERROR(__xludf.DUMMYFUNCTION("""COMPUTED_VALUE"""),"SignalR Mastery: Become a Pro in Real-Time Web Development")</f>
        <v>SignalR Mastery: Become a Pro in Real-Time Web Development</v>
      </c>
    </row>
    <row r="3344">
      <c r="A3344" s="140" t="str">
        <f>IFERROR(__xludf.DUMMYFUNCTION("""COMPUTED_VALUE"""),"es")</f>
        <v>es</v>
      </c>
      <c r="B3344">
        <f>IFERROR(__xludf.DUMMYFUNCTION("""COMPUTED_VALUE"""),1330276.0)</f>
        <v>1330276</v>
      </c>
      <c r="C3344" t="str">
        <f>IFERROR(__xludf.DUMMYFUNCTION("""COMPUTED_VALUE"""),"Master Diseño Digital con Adobe Photoshop CC 2019 + 30 horas")</f>
        <v>Master Diseño Digital con Adobe Photoshop CC 2019 + 30 horas</v>
      </c>
    </row>
    <row r="3345">
      <c r="A3345" s="140" t="str">
        <f>IFERROR(__xludf.DUMMYFUNCTION("""COMPUTED_VALUE"""),"en")</f>
        <v>en</v>
      </c>
      <c r="B3345">
        <f>IFERROR(__xludf.DUMMYFUNCTION("""COMPUTED_VALUE"""),1456380.0)</f>
        <v>1456380</v>
      </c>
      <c r="C3345" t="str">
        <f>IFERROR(__xludf.DUMMYFUNCTION("""COMPUTED_VALUE"""),"Certified ISTQB Test Analyst Advanced Level (CTAL-TA) - 2021")</f>
        <v>Certified ISTQB Test Analyst Advanced Level (CTAL-TA) - 2021</v>
      </c>
    </row>
    <row r="3346">
      <c r="A3346" s="140" t="str">
        <f>IFERROR(__xludf.DUMMYFUNCTION("""COMPUTED_VALUE"""),"tr")</f>
        <v>tr</v>
      </c>
      <c r="B3346">
        <f>IFERROR(__xludf.DUMMYFUNCTION("""COMPUTED_VALUE"""),3497518.0)</f>
        <v>3497518</v>
      </c>
      <c r="C3346" t="str">
        <f>IFERROR(__xludf.DUMMYFUNCTION("""COMPUTED_VALUE"""),"Arapça YDS-YÖKDİL-YDT Soru Analizleri (ÇÖZÜME GEL / PAKET-1)")</f>
        <v>Arapça YDS-YÖKDİL-YDT Soru Analizleri (ÇÖZÜME GEL / PAKET-1)</v>
      </c>
    </row>
    <row r="3347">
      <c r="A3347" s="140" t="str">
        <f>IFERROR(__xludf.DUMMYFUNCTION("""COMPUTED_VALUE"""),"en")</f>
        <v>en</v>
      </c>
      <c r="B3347">
        <f>IFERROR(__xludf.DUMMYFUNCTION("""COMPUTED_VALUE"""),1330590.0)</f>
        <v>1330590</v>
      </c>
      <c r="C3347" t="str">
        <f>IFERROR(__xludf.DUMMYFUNCTION("""COMPUTED_VALUE"""),"Become A Learning Machine 2.0: Read 300 Books This Year")</f>
        <v>Become A Learning Machine 2.0: Read 300 Books This Year</v>
      </c>
    </row>
    <row r="3348">
      <c r="A3348" s="140" t="str">
        <f>IFERROR(__xludf.DUMMYFUNCTION("""COMPUTED_VALUE"""),"en")</f>
        <v>en</v>
      </c>
      <c r="B3348">
        <f>IFERROR(__xludf.DUMMYFUNCTION("""COMPUTED_VALUE"""),2634490.0)</f>
        <v>2634490</v>
      </c>
      <c r="C3348" t="str">
        <f>IFERROR(__xludf.DUMMYFUNCTION("""COMPUTED_VALUE"""),"The Modern Javascript Bootcamp Course (2022)")</f>
        <v>The Modern Javascript Bootcamp Course (2022)</v>
      </c>
    </row>
    <row r="3349">
      <c r="A3349" s="140" t="str">
        <f>IFERROR(__xludf.DUMMYFUNCTION("""COMPUTED_VALUE"""),"es")</f>
        <v>es</v>
      </c>
      <c r="B3349">
        <f>IFERROR(__xludf.DUMMYFUNCTION("""COMPUTED_VALUE"""),2674812.0)</f>
        <v>2674812</v>
      </c>
      <c r="C3349" t="str">
        <f>IFERROR(__xludf.DUMMYFUNCTION("""COMPUTED_VALUE"""),"Aprende Unit Test en Java con Junit 5 y Mockito")</f>
        <v>Aprende Unit Test en Java con Junit 5 y Mockito</v>
      </c>
    </row>
    <row r="3350">
      <c r="A3350" s="140" t="str">
        <f>IFERROR(__xludf.DUMMYFUNCTION("""COMPUTED_VALUE"""),"tr")</f>
        <v>tr</v>
      </c>
      <c r="B3350">
        <f>IFERROR(__xludf.DUMMYFUNCTION("""COMPUTED_VALUE"""),3411232.0)</f>
        <v>3411232</v>
      </c>
      <c r="C3350" t="str">
        <f>IFERROR(__xludf.DUMMYFUNCTION("""COMPUTED_VALUE"""),"Sıfırdan İleri Düzey Web Geliştirme (HTML, CSS, Javascript)")</f>
        <v>Sıfırdan İleri Düzey Web Geliştirme (HTML, CSS, Javascript)</v>
      </c>
    </row>
    <row r="3351">
      <c r="A3351" s="140" t="str">
        <f>IFERROR(__xludf.DUMMYFUNCTION("""COMPUTED_VALUE"""),"en")</f>
        <v>en</v>
      </c>
      <c r="B3351">
        <f>IFERROR(__xludf.DUMMYFUNCTION("""COMPUTED_VALUE"""),2703840.0)</f>
        <v>2703840</v>
      </c>
      <c r="C3351" t="str">
        <f>IFERROR(__xludf.DUMMYFUNCTION("""COMPUTED_VALUE"""),"Tableau 2020 Certified Associate Exam Guide A-Z (w Datasets)")</f>
        <v>Tableau 2020 Certified Associate Exam Guide A-Z (w Datasets)</v>
      </c>
    </row>
    <row r="3352">
      <c r="A3352" s="140" t="str">
        <f>IFERROR(__xludf.DUMMYFUNCTION("""COMPUTED_VALUE"""),"ja")</f>
        <v>ja</v>
      </c>
      <c r="B3352">
        <f>IFERROR(__xludf.DUMMYFUNCTION("""COMPUTED_VALUE"""),425390.0)</f>
        <v>425390</v>
      </c>
      <c r="C3352" t="str">
        <f>IFERROR(__xludf.DUMMYFUNCTION("""COMPUTED_VALUE"""),"全世界で３万人が受講！ 英語速読・記憶講座（日本語字幕）")</f>
        <v>全世界で３万人が受講！ 英語速読・記憶講座（日本語字幕）</v>
      </c>
    </row>
    <row r="3353">
      <c r="A3353" s="140" t="str">
        <f>IFERROR(__xludf.DUMMYFUNCTION("""COMPUTED_VALUE"""),"en")</f>
        <v>en</v>
      </c>
      <c r="B3353">
        <f>IFERROR(__xludf.DUMMYFUNCTION("""COMPUTED_VALUE"""),1639836.0)</f>
        <v>1639836</v>
      </c>
      <c r="C3353" t="str">
        <f>IFERROR(__xludf.DUMMYFUNCTION("""COMPUTED_VALUE"""),"Build Web Apps with Vue JS 3 &amp; Firebase")</f>
        <v>Build Web Apps with Vue JS 3 &amp; Firebase</v>
      </c>
    </row>
    <row r="3354">
      <c r="A3354" s="140" t="str">
        <f>IFERROR(__xludf.DUMMYFUNCTION("""COMPUTED_VALUE"""),"tr")</f>
        <v>tr</v>
      </c>
      <c r="B3354">
        <f>IFERROR(__xludf.DUMMYFUNCTION("""COMPUTED_VALUE"""),3171442.0)</f>
        <v>3171442</v>
      </c>
      <c r="C3354" t="str">
        <f>IFERROR(__xludf.DUMMYFUNCTION("""COMPUTED_VALUE"""),"E-Ticaret Markaları Pazaryerlerini Nasıl Yönetmeli")</f>
        <v>E-Ticaret Markaları Pazaryerlerini Nasıl Yönetmeli</v>
      </c>
    </row>
    <row r="3355">
      <c r="A3355" s="140" t="str">
        <f>IFERROR(__xludf.DUMMYFUNCTION("""COMPUTED_VALUE"""),"en")</f>
        <v>en</v>
      </c>
      <c r="B3355">
        <f>IFERROR(__xludf.DUMMYFUNCTION("""COMPUTED_VALUE"""),1170626.0)</f>
        <v>1170626</v>
      </c>
      <c r="C3355" t="str">
        <f>IFERROR(__xludf.DUMMYFUNCTION("""COMPUTED_VALUE"""),"Start Trading Stocks Using Technical Analysis! Part 2")</f>
        <v>Start Trading Stocks Using Technical Analysis! Part 2</v>
      </c>
    </row>
    <row r="3356">
      <c r="A3356" s="140" t="str">
        <f>IFERROR(__xludf.DUMMYFUNCTION("""COMPUTED_VALUE"""),"de")</f>
        <v>de</v>
      </c>
      <c r="B3356">
        <f>IFERROR(__xludf.DUMMYFUNCTION("""COMPUTED_VALUE"""),1565848.0)</f>
        <v>1565848</v>
      </c>
      <c r="C3356" t="str">
        <f>IFERROR(__xludf.DUMMYFUNCTION("""COMPUTED_VALUE"""),"Eventpsychologie Basic Academy")</f>
        <v>Eventpsychologie Basic Academy</v>
      </c>
    </row>
    <row r="3357">
      <c r="A3357" s="140" t="str">
        <f>IFERROR(__xludf.DUMMYFUNCTION("""COMPUTED_VALUE"""),"en")</f>
        <v>en</v>
      </c>
      <c r="B3357">
        <f>IFERROR(__xludf.DUMMYFUNCTION("""COMPUTED_VALUE"""),140210.0)</f>
        <v>140210</v>
      </c>
      <c r="C3357" t="str">
        <f>IFERROR(__xludf.DUMMYFUNCTION("""COMPUTED_VALUE"""),"Complete High Speed Vedic Math Course")</f>
        <v>Complete High Speed Vedic Math Course</v>
      </c>
    </row>
    <row r="3358">
      <c r="A3358" s="140" t="str">
        <f>IFERROR(__xludf.DUMMYFUNCTION("""COMPUTED_VALUE"""),"ar")</f>
        <v>ar</v>
      </c>
      <c r="B3358">
        <f>IFERROR(__xludf.DUMMYFUNCTION("""COMPUTED_VALUE"""),3125248.0)</f>
        <v>3125248</v>
      </c>
      <c r="C3358" t="str">
        <f>IFERROR(__xludf.DUMMYFUNCTION("""COMPUTED_VALUE"""),"Advanced Microsoft Excel for Accountants (In Arabic)")</f>
        <v>Advanced Microsoft Excel for Accountants (In Arabic)</v>
      </c>
    </row>
    <row r="3359">
      <c r="A3359" s="140" t="str">
        <f>IFERROR(__xludf.DUMMYFUNCTION("""COMPUTED_VALUE"""),"tr")</f>
        <v>tr</v>
      </c>
      <c r="B3359">
        <f>IFERROR(__xludf.DUMMYFUNCTION("""COMPUTED_VALUE"""),3262292.0)</f>
        <v>3262292</v>
      </c>
      <c r="C3359" t="str">
        <f>IFERROR(__xludf.DUMMYFUNCTION("""COMPUTED_VALUE"""),"Blender 2.93 ile Sıfırdan Modelleme Öğrenin")</f>
        <v>Blender 2.93 ile Sıfırdan Modelleme Öğrenin</v>
      </c>
    </row>
    <row r="3360">
      <c r="A3360" s="140" t="str">
        <f>IFERROR(__xludf.DUMMYFUNCTION("""COMPUTED_VALUE"""),"ar")</f>
        <v>ar</v>
      </c>
      <c r="B3360">
        <f>IFERROR(__xludf.DUMMYFUNCTION("""COMPUTED_VALUE"""),3442310.0)</f>
        <v>3442310</v>
      </c>
      <c r="C3360" t="str">
        <f>IFERROR(__xludf.DUMMYFUNCTION("""COMPUTED_VALUE"""),"ISTQB Foundation Level")</f>
        <v>ISTQB Foundation Level</v>
      </c>
    </row>
    <row r="3361">
      <c r="A3361" s="140" t="str">
        <f>IFERROR(__xludf.DUMMYFUNCTION("""COMPUTED_VALUE"""),"en")</f>
        <v>en</v>
      </c>
      <c r="B3361">
        <f>IFERROR(__xludf.DUMMYFUNCTION("""COMPUTED_VALUE"""),688968.0)</f>
        <v>688968</v>
      </c>
      <c r="C3361" t="str">
        <f>IFERROR(__xludf.DUMMYFUNCTION("""COMPUTED_VALUE"""),"PHP with PDO - ULTIMATE Crash Course")</f>
        <v>PHP with PDO - ULTIMATE Crash Course</v>
      </c>
    </row>
    <row r="3362">
      <c r="A3362" s="140" t="str">
        <f>IFERROR(__xludf.DUMMYFUNCTION("""COMPUTED_VALUE"""),"en")</f>
        <v>en</v>
      </c>
      <c r="B3362">
        <f>IFERROR(__xludf.DUMMYFUNCTION("""COMPUTED_VALUE"""),2085288.0)</f>
        <v>2085288</v>
      </c>
      <c r="C3362" t="str">
        <f>IFERROR(__xludf.DUMMYFUNCTION("""COMPUTED_VALUE"""),"Introduction to voice interface design")</f>
        <v>Introduction to voice interface design</v>
      </c>
    </row>
    <row r="3363">
      <c r="A3363" s="140" t="str">
        <f>IFERROR(__xludf.DUMMYFUNCTION("""COMPUTED_VALUE"""),"fr")</f>
        <v>fr</v>
      </c>
      <c r="B3363">
        <f>IFERROR(__xludf.DUMMYFUNCTION("""COMPUTED_VALUE"""),1323218.0)</f>
        <v>1323218</v>
      </c>
      <c r="C3363" t="str">
        <f>IFERROR(__xludf.DUMMYFUNCTION("""COMPUTED_VALUE"""),"Hacking Éthique : Tests d'intrusion et sécurité web")</f>
        <v>Hacking Éthique : Tests d'intrusion et sécurité web</v>
      </c>
    </row>
    <row r="3364">
      <c r="A3364" s="140" t="str">
        <f>IFERROR(__xludf.DUMMYFUNCTION("""COMPUTED_VALUE"""),"pt")</f>
        <v>pt</v>
      </c>
      <c r="B3364">
        <f>IFERROR(__xludf.DUMMYFUNCTION("""COMPUTED_VALUE"""),1827468.0)</f>
        <v>1827468</v>
      </c>
      <c r="C3364" t="str">
        <f>IFERROR(__xludf.DUMMYFUNCTION("""COMPUTED_VALUE"""),"Curso de Inglês de Negócios")</f>
        <v>Curso de Inglês de Negócios</v>
      </c>
    </row>
    <row r="3365">
      <c r="A3365" s="140" t="str">
        <f>IFERROR(__xludf.DUMMYFUNCTION("""COMPUTED_VALUE"""),"pt")</f>
        <v>pt</v>
      </c>
      <c r="B3365">
        <f>IFERROR(__xludf.DUMMYFUNCTION("""COMPUTED_VALUE"""),1918144.0)</f>
        <v>1918144</v>
      </c>
      <c r="C3365" t="str">
        <f>IFERROR(__xludf.DUMMYFUNCTION("""COMPUTED_VALUE"""),"Detecção de Objetos com Python e OpenCV")</f>
        <v>Detecção de Objetos com Python e OpenCV</v>
      </c>
    </row>
    <row r="3366">
      <c r="A3366" s="140" t="str">
        <f>IFERROR(__xludf.DUMMYFUNCTION("""COMPUTED_VALUE"""),"ja")</f>
        <v>ja</v>
      </c>
      <c r="B3366">
        <f>IFERROR(__xludf.DUMMYFUNCTION("""COMPUTED_VALUE"""),1868462.0)</f>
        <v>1868462</v>
      </c>
      <c r="C3366" t="str">
        <f>IFERROR(__xludf.DUMMYFUNCTION("""COMPUTED_VALUE"""),"相手からOK/YESをもらう! アウトライナーを使ったロジカルなライティング構成の練り方")</f>
        <v>相手からOK/YESをもらう! アウトライナーを使ったロジカルなライティング構成の練り方</v>
      </c>
    </row>
    <row r="3367">
      <c r="A3367" s="140" t="str">
        <f>IFERROR(__xludf.DUMMYFUNCTION("""COMPUTED_VALUE"""),"pt")</f>
        <v>pt</v>
      </c>
      <c r="B3367">
        <f>IFERROR(__xludf.DUMMYFUNCTION("""COMPUTED_VALUE"""),1930254.0)</f>
        <v>1930254</v>
      </c>
      <c r="C3367" t="str">
        <f>IFERROR(__xludf.DUMMYFUNCTION("""COMPUTED_VALUE"""),"Curso de Técnicas de Vendas")</f>
        <v>Curso de Técnicas de Vendas</v>
      </c>
    </row>
    <row r="3368">
      <c r="A3368" s="140" t="str">
        <f>IFERROR(__xludf.DUMMYFUNCTION("""COMPUTED_VALUE"""),"en")</f>
        <v>en</v>
      </c>
      <c r="B3368">
        <f>IFERROR(__xludf.DUMMYFUNCTION("""COMPUTED_VALUE"""),1000234.0)</f>
        <v>1000234</v>
      </c>
      <c r="C3368" t="str">
        <f>IFERROR(__xludf.DUMMYFUNCTION("""COMPUTED_VALUE"""),"SQL for Beginners: The Easiest Way to Learn SQL Step by Step")</f>
        <v>SQL for Beginners: The Easiest Way to Learn SQL Step by Step</v>
      </c>
    </row>
    <row r="3369">
      <c r="A3369" s="140" t="str">
        <f>IFERROR(__xludf.DUMMYFUNCTION("""COMPUTED_VALUE"""),"pt")</f>
        <v>pt</v>
      </c>
      <c r="B3369">
        <f>IFERROR(__xludf.DUMMYFUNCTION("""COMPUTED_VALUE"""),1694044.0)</f>
        <v>1694044</v>
      </c>
      <c r="C3369" t="str">
        <f>IFERROR(__xludf.DUMMYFUNCTION("""COMPUTED_VALUE"""),"HIPER-FOCO &amp; Hiper-Produtividade")</f>
        <v>HIPER-FOCO &amp; Hiper-Produtividade</v>
      </c>
    </row>
    <row r="3370">
      <c r="A3370" s="140" t="str">
        <f>IFERROR(__xludf.DUMMYFUNCTION("""COMPUTED_VALUE"""),"en")</f>
        <v>en</v>
      </c>
      <c r="B3370">
        <f>IFERROR(__xludf.DUMMYFUNCTION("""COMPUTED_VALUE"""),1008166.0)</f>
        <v>1008166</v>
      </c>
      <c r="C3370" t="str">
        <f>IFERROR(__xludf.DUMMYFUNCTION("""COMPUTED_VALUE"""),"English Grammar Launch: Upgrade your speaking and listening")</f>
        <v>English Grammar Launch: Upgrade your speaking and listening</v>
      </c>
    </row>
    <row r="3371">
      <c r="A3371" s="140" t="str">
        <f>IFERROR(__xludf.DUMMYFUNCTION("""COMPUTED_VALUE"""),"en")</f>
        <v>en</v>
      </c>
      <c r="B3371">
        <f>IFERROR(__xludf.DUMMYFUNCTION("""COMPUTED_VALUE"""),1426442.0)</f>
        <v>1426442</v>
      </c>
      <c r="C3371" t="str">
        <f>IFERROR(__xludf.DUMMYFUNCTION("""COMPUTED_VALUE"""),"Become a Better Singer: Lessons &amp; Exercises for All Levels!")</f>
        <v>Become a Better Singer: Lessons &amp; Exercises for All Levels!</v>
      </c>
    </row>
    <row r="3372">
      <c r="A3372" s="140" t="str">
        <f>IFERROR(__xludf.DUMMYFUNCTION("""COMPUTED_VALUE"""),"es")</f>
        <v>es</v>
      </c>
      <c r="B3372">
        <f>IFERROR(__xludf.DUMMYFUNCTION("""COMPUTED_VALUE"""),1254192.0)</f>
        <v>1254192</v>
      </c>
      <c r="C3372" t="str">
        <f>IFERROR(__xludf.DUMMYFUNCTION("""COMPUTED_VALUE"""),"Componentes en Angular - nivel PRO (Angular 2/4/5/6/7+)")</f>
        <v>Componentes en Angular - nivel PRO (Angular 2/4/5/6/7+)</v>
      </c>
    </row>
    <row r="3373">
      <c r="A3373" s="140" t="str">
        <f>IFERROR(__xludf.DUMMYFUNCTION("""COMPUTED_VALUE"""),"en")</f>
        <v>en</v>
      </c>
      <c r="B3373">
        <f>IFERROR(__xludf.DUMMYFUNCTION("""COMPUTED_VALUE"""),2771884.0)</f>
        <v>2771884</v>
      </c>
      <c r="C3373" t="str">
        <f>IFERROR(__xludf.DUMMYFUNCTION("""COMPUTED_VALUE"""),"[NEW] AWS Certified Advanced Networking Specialty 2021")</f>
        <v>[NEW] AWS Certified Advanced Networking Specialty 2021</v>
      </c>
    </row>
    <row r="3374">
      <c r="A3374" s="140" t="str">
        <f>IFERROR(__xludf.DUMMYFUNCTION("""COMPUTED_VALUE"""),"en")</f>
        <v>en</v>
      </c>
      <c r="B3374">
        <f>IFERROR(__xludf.DUMMYFUNCTION("""COMPUTED_VALUE"""),3655146.0)</f>
        <v>3655146</v>
      </c>
      <c r="C3374" t="str">
        <f>IFERROR(__xludf.DUMMYFUNCTION("""COMPUTED_VALUE"""),"MERN Stack E-Commerce Mobile App with React Native [2021]")</f>
        <v>MERN Stack E-Commerce Mobile App with React Native [2021]</v>
      </c>
    </row>
    <row r="3375">
      <c r="A3375" s="140" t="str">
        <f>IFERROR(__xludf.DUMMYFUNCTION("""COMPUTED_VALUE"""),"en")</f>
        <v>en</v>
      </c>
      <c r="B3375">
        <f>IFERROR(__xludf.DUMMYFUNCTION("""COMPUTED_VALUE"""),3128296.0)</f>
        <v>3128296</v>
      </c>
      <c r="C3375" t="str">
        <f>IFERROR(__xludf.DUMMYFUNCTION("""COMPUTED_VALUE"""),"Machine Learning for Absolute Beginners - Level 2")</f>
        <v>Machine Learning for Absolute Beginners - Level 2</v>
      </c>
    </row>
    <row r="3376">
      <c r="A3376" s="140" t="str">
        <f>IFERROR(__xludf.DUMMYFUNCTION("""COMPUTED_VALUE"""),"en")</f>
        <v>en</v>
      </c>
      <c r="B3376">
        <f>IFERROR(__xludf.DUMMYFUNCTION("""COMPUTED_VALUE"""),2459524.0)</f>
        <v>2459524</v>
      </c>
      <c r="C3376" t="str">
        <f>IFERROR(__xludf.DUMMYFUNCTION("""COMPUTED_VALUE"""),"The Absolute Beginners Guide to Cyber Security - Part 4")</f>
        <v>The Absolute Beginners Guide to Cyber Security - Part 4</v>
      </c>
    </row>
    <row r="3377">
      <c r="A3377" s="140" t="str">
        <f>IFERROR(__xludf.DUMMYFUNCTION("""COMPUTED_VALUE"""),"en")</f>
        <v>en</v>
      </c>
      <c r="B3377">
        <f>IFERROR(__xludf.DUMMYFUNCTION("""COMPUTED_VALUE"""),942320.0)</f>
        <v>942320</v>
      </c>
      <c r="C3377" t="str">
        <f>IFERROR(__xludf.DUMMYFUNCTION("""COMPUTED_VALUE"""),"Awaken Your Heart, Creativity &amp; Wisdom with Tara Brach")</f>
        <v>Awaken Your Heart, Creativity &amp; Wisdom with Tara Brach</v>
      </c>
    </row>
    <row r="3378">
      <c r="A3378" s="140" t="str">
        <f>IFERROR(__xludf.DUMMYFUNCTION("""COMPUTED_VALUE"""),"en")</f>
        <v>en</v>
      </c>
      <c r="B3378">
        <f>IFERROR(__xludf.DUMMYFUNCTION("""COMPUTED_VALUE"""),3447860.0)</f>
        <v>3447860</v>
      </c>
      <c r="C3378" t="str">
        <f>IFERROR(__xludf.DUMMYFUNCTION("""COMPUTED_VALUE"""),"Qt 5 Design Patterns")</f>
        <v>Qt 5 Design Patterns</v>
      </c>
    </row>
    <row r="3379">
      <c r="A3379" s="140" t="str">
        <f>IFERROR(__xludf.DUMMYFUNCTION("""COMPUTED_VALUE"""),"es")</f>
        <v>es</v>
      </c>
      <c r="B3379">
        <f>IFERROR(__xludf.DUMMYFUNCTION("""COMPUTED_VALUE"""),2187746.0)</f>
        <v>2187746</v>
      </c>
      <c r="C3379" t="str">
        <f>IFERROR(__xludf.DUMMYFUNCTION("""COMPUTED_VALUE"""),"Máster en C# 2021: Xamarin, Blazor, Bases de Datos")</f>
        <v>Máster en C# 2021: Xamarin, Blazor, Bases de Datos</v>
      </c>
    </row>
    <row r="3380">
      <c r="A3380" s="140" t="str">
        <f>IFERROR(__xludf.DUMMYFUNCTION("""COMPUTED_VALUE"""),"es")</f>
        <v>es</v>
      </c>
      <c r="B3380">
        <f>IFERROR(__xludf.DUMMYFUNCTION("""COMPUTED_VALUE"""),3581469.0)</f>
        <v>3581469</v>
      </c>
      <c r="C3380" t="str">
        <f>IFERROR(__xludf.DUMMYFUNCTION("""COMPUTED_VALUE"""),"Liderazgo - Manual del Líder Remoto")</f>
        <v>Liderazgo - Manual del Líder Remoto</v>
      </c>
    </row>
    <row r="3381">
      <c r="A3381" s="140" t="str">
        <f>IFERROR(__xludf.DUMMYFUNCTION("""COMPUTED_VALUE"""),"ja")</f>
        <v>ja</v>
      </c>
      <c r="B3381">
        <f>IFERROR(__xludf.DUMMYFUNCTION("""COMPUTED_VALUE"""),2190598.0)</f>
        <v>2190598</v>
      </c>
      <c r="C3381" t="str">
        <f>IFERROR(__xludf.DUMMYFUNCTION("""COMPUTED_VALUE"""),"Nuxt.js入門決定版！Vue.jsのフレームワークNuxt.jsの基本からFirebaseと連携したSPAの開発まで")</f>
        <v>Nuxt.js入門決定版！Vue.jsのフレームワークNuxt.jsの基本からFirebaseと連携したSPAの開発まで</v>
      </c>
    </row>
    <row r="3382">
      <c r="A3382" s="140" t="str">
        <f>IFERROR(__xludf.DUMMYFUNCTION("""COMPUTED_VALUE"""),"ja")</f>
        <v>ja</v>
      </c>
      <c r="B3382">
        <f>IFERROR(__xludf.DUMMYFUNCTION("""COMPUTED_VALUE"""),3080210.0)</f>
        <v>3080210</v>
      </c>
      <c r="C3382" t="str">
        <f>IFERROR(__xludf.DUMMYFUNCTION("""COMPUTED_VALUE"""),"【続】Microsoft - Excel Power Pivot 入門講座　 ～DAX-CALCULATE特訓編～")</f>
        <v>【続】Microsoft - Excel Power Pivot 入門講座　 ～DAX-CALCULATE特訓編～</v>
      </c>
    </row>
    <row r="3383">
      <c r="A3383" s="140" t="str">
        <f>IFERROR(__xludf.DUMMYFUNCTION("""COMPUTED_VALUE"""),"en")</f>
        <v>en</v>
      </c>
      <c r="B3383">
        <f>IFERROR(__xludf.DUMMYFUNCTION("""COMPUTED_VALUE"""),1236626.0)</f>
        <v>1236626</v>
      </c>
      <c r="C3383" t="str">
        <f>IFERROR(__xludf.DUMMYFUNCTION("""COMPUTED_VALUE"""),"AWS Certified Solution Architect - Associate")</f>
        <v>AWS Certified Solution Architect - Associate</v>
      </c>
    </row>
    <row r="3384">
      <c r="A3384" s="140" t="str">
        <f>IFERROR(__xludf.DUMMYFUNCTION("""COMPUTED_VALUE"""),"pt")</f>
        <v>pt</v>
      </c>
      <c r="B3384">
        <f>IFERROR(__xludf.DUMMYFUNCTION("""COMPUTED_VALUE"""),950894.0)</f>
        <v>950894</v>
      </c>
      <c r="C3384" t="str">
        <f>IFERROR(__xludf.DUMMYFUNCTION("""COMPUTED_VALUE"""),"CURSO DE PHOTOSHOP COMPLETO - DO BÁSICO AO AVANÇADO")</f>
        <v>CURSO DE PHOTOSHOP COMPLETO - DO BÁSICO AO AVANÇADO</v>
      </c>
    </row>
    <row r="3385">
      <c r="A3385" s="140" t="str">
        <f>IFERROR(__xludf.DUMMYFUNCTION("""COMPUTED_VALUE"""),"en")</f>
        <v>en</v>
      </c>
      <c r="B3385">
        <f>IFERROR(__xludf.DUMMYFUNCTION("""COMPUTED_VALUE"""),2824623.0)</f>
        <v>2824623</v>
      </c>
      <c r="C3385" t="str">
        <f>IFERROR(__xludf.DUMMYFUNCTION("""COMPUTED_VALUE"""),"Python for Penetration Testers")</f>
        <v>Python for Penetration Testers</v>
      </c>
    </row>
    <row r="3386">
      <c r="A3386" s="140" t="str">
        <f>IFERROR(__xludf.DUMMYFUNCTION("""COMPUTED_VALUE"""),"pt")</f>
        <v>pt</v>
      </c>
      <c r="B3386">
        <f>IFERROR(__xludf.DUMMYFUNCTION("""COMPUTED_VALUE"""),2643066.0)</f>
        <v>2643066</v>
      </c>
      <c r="C3386" t="str">
        <f>IFERROR(__xludf.DUMMYFUNCTION("""COMPUTED_VALUE"""),"Bootcamp Completo em Data Science com Python 2021")</f>
        <v>Bootcamp Completo em Data Science com Python 2021</v>
      </c>
    </row>
    <row r="3387">
      <c r="A3387" s="140" t="str">
        <f>IFERROR(__xludf.DUMMYFUNCTION("""COMPUTED_VALUE"""),"en")</f>
        <v>en</v>
      </c>
      <c r="B3387">
        <f>IFERROR(__xludf.DUMMYFUNCTION("""COMPUTED_VALUE"""),3357352.0)</f>
        <v>3357352</v>
      </c>
      <c r="C3387" t="str">
        <f>IFERROR(__xludf.DUMMYFUNCTION("""COMPUTED_VALUE"""),"Applied Control Systems 3: UAV drone (3D Dynamics &amp; control)")</f>
        <v>Applied Control Systems 3: UAV drone (3D Dynamics &amp; control)</v>
      </c>
    </row>
    <row r="3388">
      <c r="A3388" s="140" t="str">
        <f>IFERROR(__xludf.DUMMYFUNCTION("""COMPUTED_VALUE"""),"ja")</f>
        <v>ja</v>
      </c>
      <c r="B3388">
        <f>IFERROR(__xludf.DUMMYFUNCTION("""COMPUTED_VALUE"""),4073770.0)</f>
        <v>4073770</v>
      </c>
      <c r="C3388" t="str">
        <f>IFERROR(__xludf.DUMMYFUNCTION("""COMPUTED_VALUE"""),"【新IDE対応】Google Apps Script（GAS）の基礎を完全習得 -初心者歓迎-【爆速で習得しちゃおう】")</f>
        <v>【新IDE対応】Google Apps Script（GAS）の基礎を完全習得 -初心者歓迎-【爆速で習得しちゃおう】</v>
      </c>
    </row>
    <row r="3389">
      <c r="A3389" s="140" t="str">
        <f>IFERROR(__xludf.DUMMYFUNCTION("""COMPUTED_VALUE"""),"tr")</f>
        <v>tr</v>
      </c>
      <c r="B3389">
        <f>IFERROR(__xludf.DUMMYFUNCTION("""COMPUTED_VALUE"""),3661886.0)</f>
        <v>3661886</v>
      </c>
      <c r="C3389" t="str">
        <f>IFERROR(__xludf.DUMMYFUNCTION("""COMPUTED_VALUE"""),"Uygulamalı Borsa ve Temel Analiz Eğitimi")</f>
        <v>Uygulamalı Borsa ve Temel Analiz Eğitimi</v>
      </c>
    </row>
    <row r="3390">
      <c r="A3390" s="140" t="str">
        <f>IFERROR(__xludf.DUMMYFUNCTION("""COMPUTED_VALUE"""),"pt")</f>
        <v>pt</v>
      </c>
      <c r="B3390">
        <f>IFERROR(__xludf.DUMMYFUNCTION("""COMPUTED_VALUE"""),1902950.0)</f>
        <v>1902950</v>
      </c>
      <c r="C3390" t="str">
        <f>IFERROR(__xludf.DUMMYFUNCTION("""COMPUTED_VALUE"""),"Adobe XD: UI Design do básico aos protótipos (Windows e Mac)")</f>
        <v>Adobe XD: UI Design do básico aos protótipos (Windows e Mac)</v>
      </c>
    </row>
    <row r="3391">
      <c r="A3391" s="140" t="str">
        <f>IFERROR(__xludf.DUMMYFUNCTION("""COMPUTED_VALUE"""),"en")</f>
        <v>en</v>
      </c>
      <c r="B3391">
        <f>IFERROR(__xludf.DUMMYFUNCTION("""COMPUTED_VALUE"""),2713322.0)</f>
        <v>2713322</v>
      </c>
      <c r="C3391" t="str">
        <f>IFERROR(__xludf.DUMMYFUNCTION("""COMPUTED_VALUE"""),"SAP SD -Essential Reports-Fiori/Standard/Custom-(Z)/Queries")</f>
        <v>SAP SD -Essential Reports-Fiori/Standard/Custom-(Z)/Queries</v>
      </c>
    </row>
    <row r="3392">
      <c r="A3392" s="140" t="str">
        <f>IFERROR(__xludf.DUMMYFUNCTION("""COMPUTED_VALUE"""),"fr")</f>
        <v>fr</v>
      </c>
      <c r="B3392">
        <f>IFERROR(__xludf.DUMMYFUNCTION("""COMPUTED_VALUE"""),2097086.0)</f>
        <v>2097086</v>
      </c>
      <c r="C3392" t="str">
        <f>IFERROR(__xludf.DUMMYFUNCTION("""COMPUTED_VALUE"""),"Design Thinking - Menez des projets innovants")</f>
        <v>Design Thinking - Menez des projets innovants</v>
      </c>
    </row>
    <row r="3393">
      <c r="A3393" s="140" t="str">
        <f>IFERROR(__xludf.DUMMYFUNCTION("""COMPUTED_VALUE"""),"es")</f>
        <v>es</v>
      </c>
      <c r="B3393">
        <f>IFERROR(__xludf.DUMMYFUNCTION("""COMPUTED_VALUE"""),1972358.0)</f>
        <v>1972358</v>
      </c>
      <c r="C3393" t="str">
        <f>IFERROR(__xludf.DUMMYFUNCTION("""COMPUTED_VALUE"""),"Adobe XD CC - Máster: Diseño profesional de prototipos. 2021")</f>
        <v>Adobe XD CC - Máster: Diseño profesional de prototipos. 2021</v>
      </c>
    </row>
    <row r="3394">
      <c r="A3394" s="140" t="str">
        <f>IFERROR(__xludf.DUMMYFUNCTION("""COMPUTED_VALUE"""),"en")</f>
        <v>en</v>
      </c>
      <c r="B3394">
        <f>IFERROR(__xludf.DUMMYFUNCTION("""COMPUTED_VALUE"""),732914.0)</f>
        <v>732914</v>
      </c>
      <c r="C3394" t="str">
        <f>IFERROR(__xludf.DUMMYFUNCTION("""COMPUTED_VALUE"""),"10X SUPERHUMAN Focus: Maximize Your Brain &amp; Focus")</f>
        <v>10X SUPERHUMAN Focus: Maximize Your Brain &amp; Focus</v>
      </c>
    </row>
    <row r="3395">
      <c r="A3395" s="140" t="str">
        <f>IFERROR(__xludf.DUMMYFUNCTION("""COMPUTED_VALUE"""),"fr")</f>
        <v>fr</v>
      </c>
      <c r="B3395">
        <f>IFERROR(__xludf.DUMMYFUNCTION("""COMPUTED_VALUE"""),1488146.0)</f>
        <v>1488146</v>
      </c>
      <c r="C3395" t="str">
        <f>IFERROR(__xludf.DUMMYFUNCTION("""COMPUTED_VALUE"""),"Le Mind Mapping avec XMIND Zen")</f>
        <v>Le Mind Mapping avec XMIND Zen</v>
      </c>
    </row>
    <row r="3396">
      <c r="A3396" s="140" t="str">
        <f>IFERROR(__xludf.DUMMYFUNCTION("""COMPUTED_VALUE"""),"en")</f>
        <v>en</v>
      </c>
      <c r="B3396">
        <f>IFERROR(__xludf.DUMMYFUNCTION("""COMPUTED_VALUE"""),4310694.0)</f>
        <v>4310694</v>
      </c>
      <c r="C3396" t="str">
        <f>IFERROR(__xludf.DUMMYFUNCTION("""COMPUTED_VALUE"""),"Scrum Project Management : the complete guide")</f>
        <v>Scrum Project Management : the complete guide</v>
      </c>
    </row>
    <row r="3397">
      <c r="A3397" s="140" t="str">
        <f>IFERROR(__xludf.DUMMYFUNCTION("""COMPUTED_VALUE"""),"en")</f>
        <v>en</v>
      </c>
      <c r="B3397">
        <f>IFERROR(__xludf.DUMMYFUNCTION("""COMPUTED_VALUE"""),1215660.0)</f>
        <v>1215660</v>
      </c>
      <c r="C3397" t="str">
        <f>IFERROR(__xludf.DUMMYFUNCTION("""COMPUTED_VALUE"""),"How to build an ecommerce store with wordpress &amp; woocommerce")</f>
        <v>How to build an ecommerce store with wordpress &amp; woocommerce</v>
      </c>
    </row>
    <row r="3398">
      <c r="A3398" s="140" t="str">
        <f>IFERROR(__xludf.DUMMYFUNCTION("""COMPUTED_VALUE"""),"en")</f>
        <v>en</v>
      </c>
      <c r="B3398">
        <f>IFERROR(__xludf.DUMMYFUNCTION("""COMPUTED_VALUE"""),978184.0)</f>
        <v>978184</v>
      </c>
      <c r="C3398" t="str">
        <f>IFERROR(__xludf.DUMMYFUNCTION("""COMPUTED_VALUE"""),"Advanced Windows Performance Troubleshooting")</f>
        <v>Advanced Windows Performance Troubleshooting</v>
      </c>
    </row>
    <row r="3399">
      <c r="A3399" s="140" t="str">
        <f>IFERROR(__xludf.DUMMYFUNCTION("""COMPUTED_VALUE"""),"en")</f>
        <v>en</v>
      </c>
      <c r="B3399">
        <f>IFERROR(__xludf.DUMMYFUNCTION("""COMPUTED_VALUE"""),2182258.0)</f>
        <v>2182258</v>
      </c>
      <c r="C3399" t="str">
        <f>IFERROR(__xludf.DUMMYFUNCTION("""COMPUTED_VALUE"""),"Probability for Statistics and Data Science")</f>
        <v>Probability for Statistics and Data Science</v>
      </c>
    </row>
    <row r="3400">
      <c r="A3400" s="140" t="str">
        <f>IFERROR(__xludf.DUMMYFUNCTION("""COMPUTED_VALUE"""),"en")</f>
        <v>en</v>
      </c>
      <c r="B3400">
        <f>IFERROR(__xludf.DUMMYFUNCTION("""COMPUTED_VALUE"""),2181338.0)</f>
        <v>2181338</v>
      </c>
      <c r="C3400" t="str">
        <f>IFERROR(__xludf.DUMMYFUNCTION("""COMPUTED_VALUE"""),"Easy C# with Windows Forms +70 Projects for Beginners to Pro")</f>
        <v>Easy C# with Windows Forms +70 Projects for Beginners to Pro</v>
      </c>
    </row>
    <row r="3401">
      <c r="A3401" s="140" t="str">
        <f>IFERROR(__xludf.DUMMYFUNCTION("""COMPUTED_VALUE"""),"ja")</f>
        <v>ja</v>
      </c>
      <c r="B3401">
        <f>IFERROR(__xludf.DUMMYFUNCTION("""COMPUTED_VALUE"""),490912.0)</f>
        <v>490912</v>
      </c>
      <c r="C3401" t="str">
        <f>IFERROR(__xludf.DUMMYFUNCTION("""COMPUTED_VALUE"""),"「経営者たちのストーリー」①　星野リゾート代表　星野佳路")</f>
        <v>「経営者たちのストーリー」①　星野リゾート代表　星野佳路</v>
      </c>
    </row>
    <row r="3402">
      <c r="A3402" s="140" t="str">
        <f>IFERROR(__xludf.DUMMYFUNCTION("""COMPUTED_VALUE"""),"en")</f>
        <v>en</v>
      </c>
      <c r="B3402">
        <f>IFERROR(__xludf.DUMMYFUNCTION("""COMPUTED_VALUE"""),1667230.0)</f>
        <v>1667230</v>
      </c>
      <c r="C3402" t="str">
        <f>IFERROR(__xludf.DUMMYFUNCTION("""COMPUTED_VALUE"""),"Node.js Unit Testing In-Depth")</f>
        <v>Node.js Unit Testing In-Depth</v>
      </c>
    </row>
    <row r="3403">
      <c r="A3403" s="140" t="str">
        <f>IFERROR(__xludf.DUMMYFUNCTION("""COMPUTED_VALUE"""),"en")</f>
        <v>en</v>
      </c>
      <c r="B3403">
        <f>IFERROR(__xludf.DUMMYFUNCTION("""COMPUTED_VALUE"""),2319848.0)</f>
        <v>2319848</v>
      </c>
      <c r="C3403" t="str">
        <f>IFERROR(__xludf.DUMMYFUNCTION("""COMPUTED_VALUE"""),"Functional Programming in JavaScript: A Practical Guide")</f>
        <v>Functional Programming in JavaScript: A Practical Guide</v>
      </c>
    </row>
    <row r="3404">
      <c r="A3404" s="140" t="str">
        <f>IFERROR(__xludf.DUMMYFUNCTION("""COMPUTED_VALUE"""),"es")</f>
        <v>es</v>
      </c>
      <c r="B3404">
        <f>IFERROR(__xludf.DUMMYFUNCTION("""COMPUTED_VALUE"""),2581866.0)</f>
        <v>2581866</v>
      </c>
      <c r="C3404" t="str">
        <f>IFERROR(__xludf.DUMMYFUNCTION("""COMPUTED_VALUE"""),"Angular - Formularios: curso intensivo (Angular 8+)")</f>
        <v>Angular - Formularios: curso intensivo (Angular 8+)</v>
      </c>
    </row>
    <row r="3405">
      <c r="A3405" s="140" t="str">
        <f>IFERROR(__xludf.DUMMYFUNCTION("""COMPUTED_VALUE"""),"fr")</f>
        <v>fr</v>
      </c>
      <c r="B3405">
        <f>IFERROR(__xludf.DUMMYFUNCTION("""COMPUTED_VALUE"""),3767200.0)</f>
        <v>3767200</v>
      </c>
      <c r="C3405" t="str">
        <f>IFERROR(__xludf.DUMMYFUNCTION("""COMPUTED_VALUE"""),"Formation Complète en Autocad 2D et 3D (2 in 1)")</f>
        <v>Formation Complète en Autocad 2D et 3D (2 in 1)</v>
      </c>
    </row>
    <row r="3406">
      <c r="A3406" s="140" t="str">
        <f>IFERROR(__xludf.DUMMYFUNCTION("""COMPUTED_VALUE"""),"en")</f>
        <v>en</v>
      </c>
      <c r="B3406">
        <f>IFERROR(__xludf.DUMMYFUNCTION("""COMPUTED_VALUE"""),372570.0)</f>
        <v>372570</v>
      </c>
      <c r="C3406" t="str">
        <f>IFERROR(__xludf.DUMMYFUNCTION("""COMPUTED_VALUE"""),"Time Management Secrets For Busy People")</f>
        <v>Time Management Secrets For Busy People</v>
      </c>
    </row>
    <row r="3407">
      <c r="A3407" s="140" t="str">
        <f>IFERROR(__xludf.DUMMYFUNCTION("""COMPUTED_VALUE"""),"en")</f>
        <v>en</v>
      </c>
      <c r="B3407">
        <f>IFERROR(__xludf.DUMMYFUNCTION("""COMPUTED_VALUE"""),2779654.0)</f>
        <v>2779654</v>
      </c>
      <c r="C3407" t="str">
        <f>IFERROR(__xludf.DUMMYFUNCTION("""COMPUTED_VALUE"""),"AZ-104 Microsoft Azure Administrator Practice Exam Questions")</f>
        <v>AZ-104 Microsoft Azure Administrator Practice Exam Questions</v>
      </c>
    </row>
    <row r="3408">
      <c r="A3408" s="140" t="str">
        <f>IFERROR(__xludf.DUMMYFUNCTION("""COMPUTED_VALUE"""),"en")</f>
        <v>en</v>
      </c>
      <c r="B3408">
        <f>IFERROR(__xludf.DUMMYFUNCTION("""COMPUTED_VALUE"""),2503012.0)</f>
        <v>2503012</v>
      </c>
      <c r="C3408" t="str">
        <f>IFERROR(__xludf.DUMMYFUNCTION("""COMPUTED_VALUE"""),"ServiceNow HRSD Implementation Specialist Tests")</f>
        <v>ServiceNow HRSD Implementation Specialist Tests</v>
      </c>
    </row>
    <row r="3409">
      <c r="A3409" s="140" t="str">
        <f>IFERROR(__xludf.DUMMYFUNCTION("""COMPUTED_VALUE"""),"en")</f>
        <v>en</v>
      </c>
      <c r="B3409">
        <f>IFERROR(__xludf.DUMMYFUNCTION("""COMPUTED_VALUE"""),3329602.0)</f>
        <v>3329602</v>
      </c>
      <c r="C3409" t="str">
        <f>IFERROR(__xludf.DUMMYFUNCTION("""COMPUTED_VALUE"""),"Machine Learning MASTER, Zero to Mastery")</f>
        <v>Machine Learning MASTER, Zero to Mastery</v>
      </c>
    </row>
    <row r="3410">
      <c r="A3410" s="140" t="str">
        <f>IFERROR(__xludf.DUMMYFUNCTION("""COMPUTED_VALUE"""),"en")</f>
        <v>en</v>
      </c>
      <c r="B3410">
        <f>IFERROR(__xludf.DUMMYFUNCTION("""COMPUTED_VALUE"""),449900.0)</f>
        <v>449900</v>
      </c>
      <c r="C3410" t="str">
        <f>IFERROR(__xludf.DUMMYFUNCTION("""COMPUTED_VALUE"""),"Salesforce Apex Coding &amp; VisualForce Designing for beginners")</f>
        <v>Salesforce Apex Coding &amp; VisualForce Designing for beginners</v>
      </c>
    </row>
    <row r="3411">
      <c r="A3411" s="140" t="str">
        <f>IFERROR(__xludf.DUMMYFUNCTION("""COMPUTED_VALUE"""),"ar")</f>
        <v>ar</v>
      </c>
      <c r="B3411">
        <f>IFERROR(__xludf.DUMMYFUNCTION("""COMPUTED_VALUE"""),1954450.0)</f>
        <v>1954450</v>
      </c>
      <c r="C3411" t="str">
        <f>IFERROR(__xludf.DUMMYFUNCTION("""COMPUTED_VALUE"""),"Web Development with Python Django -دليلك لتعلم جانجو")</f>
        <v>Web Development with Python Django -دليلك لتعلم جانجو</v>
      </c>
    </row>
    <row r="3412">
      <c r="A3412" s="140" t="str">
        <f>IFERROR(__xludf.DUMMYFUNCTION("""COMPUTED_VALUE"""),"tr")</f>
        <v>tr</v>
      </c>
      <c r="B3412">
        <f>IFERROR(__xludf.DUMMYFUNCTION("""COMPUTED_VALUE"""),2813573.0)</f>
        <v>2813573</v>
      </c>
      <c r="C3412" t="str">
        <f>IFERROR(__xludf.DUMMYFUNCTION("""COMPUTED_VALUE"""),"Wordpress Site Hızlandırma (Hız Optimizasyonu)")</f>
        <v>Wordpress Site Hızlandırma (Hız Optimizasyonu)</v>
      </c>
    </row>
    <row r="3413">
      <c r="A3413" s="140" t="str">
        <f>IFERROR(__xludf.DUMMYFUNCTION("""COMPUTED_VALUE"""),"zh")</f>
        <v>zh</v>
      </c>
      <c r="B3413">
        <f>IFERROR(__xludf.DUMMYFUNCTION("""COMPUTED_VALUE"""),1294480.0)</f>
        <v>1294480</v>
      </c>
      <c r="C3413" t="str">
        <f>IFERROR(__xludf.DUMMYFUNCTION("""COMPUTED_VALUE"""),"Python高級課程：如何創建/發佈/維護/參與Opensource Software")</f>
        <v>Python高級課程：如何創建/發佈/維護/參與Opensource Software</v>
      </c>
    </row>
    <row r="3414">
      <c r="A3414" s="140" t="str">
        <f>IFERROR(__xludf.DUMMYFUNCTION("""COMPUTED_VALUE"""),"en")</f>
        <v>en</v>
      </c>
      <c r="B3414">
        <f>IFERROR(__xludf.DUMMYFUNCTION("""COMPUTED_VALUE"""),2027448.0)</f>
        <v>2027448</v>
      </c>
      <c r="C3414" t="str">
        <f>IFERROR(__xludf.DUMMYFUNCTION("""COMPUTED_VALUE"""),"Breath is Life Breathwork &amp; Meditation course")</f>
        <v>Breath is Life Breathwork &amp; Meditation course</v>
      </c>
    </row>
    <row r="3415">
      <c r="A3415" s="140" t="str">
        <f>IFERROR(__xludf.DUMMYFUNCTION("""COMPUTED_VALUE"""),"en")</f>
        <v>en</v>
      </c>
      <c r="B3415">
        <f>IFERROR(__xludf.DUMMYFUNCTION("""COMPUTED_VALUE"""),2796454.0)</f>
        <v>2796454</v>
      </c>
      <c r="C3415" t="str">
        <f>IFERROR(__xludf.DUMMYFUNCTION("""COMPUTED_VALUE"""),"Deploy Machine Learning Models on GCP + AWS Lambda (Docker)")</f>
        <v>Deploy Machine Learning Models on GCP + AWS Lambda (Docker)</v>
      </c>
    </row>
    <row r="3416">
      <c r="A3416" s="140" t="str">
        <f>IFERROR(__xludf.DUMMYFUNCTION("""COMPUTED_VALUE"""),"en")</f>
        <v>en</v>
      </c>
      <c r="B3416">
        <f>IFERROR(__xludf.DUMMYFUNCTION("""COMPUTED_VALUE"""),2324618.0)</f>
        <v>2324618</v>
      </c>
      <c r="C3416" t="str">
        <f>IFERROR(__xludf.DUMMYFUNCTION("""COMPUTED_VALUE"""),"PMP Practice Test Exam 2021-PMBOK6")</f>
        <v>PMP Practice Test Exam 2021-PMBOK6</v>
      </c>
    </row>
    <row r="3417">
      <c r="A3417" s="140" t="str">
        <f>IFERROR(__xludf.DUMMYFUNCTION("""COMPUTED_VALUE"""),"en")</f>
        <v>en</v>
      </c>
      <c r="B3417">
        <f>IFERROR(__xludf.DUMMYFUNCTION("""COMPUTED_VALUE"""),866584.0)</f>
        <v>866584</v>
      </c>
      <c r="C3417" t="str">
        <f>IFERROR(__xludf.DUMMYFUNCTION("""COMPUTED_VALUE"""),"Advanced Accounting A Complete Study for CA/CMA/CFA/ACCA/CS")</f>
        <v>Advanced Accounting A Complete Study for CA/CMA/CFA/ACCA/CS</v>
      </c>
    </row>
    <row r="3418">
      <c r="A3418" s="140" t="str">
        <f>IFERROR(__xludf.DUMMYFUNCTION("""COMPUTED_VALUE"""),"en")</f>
        <v>en</v>
      </c>
      <c r="B3418">
        <f>IFERROR(__xludf.DUMMYFUNCTION("""COMPUTED_VALUE"""),4390074.0)</f>
        <v>4390074</v>
      </c>
      <c r="C3418" t="str">
        <f>IFERROR(__xludf.DUMMYFUNCTION("""COMPUTED_VALUE"""),"Tech 101: Introduction to Working in Tech")</f>
        <v>Tech 101: Introduction to Working in Tech</v>
      </c>
    </row>
    <row r="3419">
      <c r="A3419" s="140" t="str">
        <f>IFERROR(__xludf.DUMMYFUNCTION("""COMPUTED_VALUE"""),"zh")</f>
        <v>zh</v>
      </c>
      <c r="B3419">
        <f>IFERROR(__xludf.DUMMYFUNCTION("""COMPUTED_VALUE"""),2193194.0)</f>
        <v>2193194</v>
      </c>
      <c r="C3419" t="str">
        <f>IFERROR(__xludf.DUMMYFUNCTION("""COMPUTED_VALUE"""),"财务自由之路")</f>
        <v>财务自由之路</v>
      </c>
    </row>
    <row r="3420">
      <c r="A3420" s="140" t="str">
        <f>IFERROR(__xludf.DUMMYFUNCTION("""COMPUTED_VALUE"""),"ar")</f>
        <v>ar</v>
      </c>
      <c r="B3420">
        <f>IFERROR(__xludf.DUMMYFUNCTION("""COMPUTED_VALUE"""),1293022.0)</f>
        <v>1293022</v>
      </c>
      <c r="C3420" t="str">
        <f>IFERROR(__xludf.DUMMYFUNCTION("""COMPUTED_VALUE"""),"إدارة المشاريع التنموية PMD Pro: Project Management in NGOs")</f>
        <v>إدارة المشاريع التنموية PMD Pro: Project Management in NGOs</v>
      </c>
    </row>
    <row r="3421">
      <c r="A3421" s="140" t="str">
        <f>IFERROR(__xludf.DUMMYFUNCTION("""COMPUTED_VALUE"""),"en")</f>
        <v>en</v>
      </c>
      <c r="B3421">
        <f>IFERROR(__xludf.DUMMYFUNCTION("""COMPUTED_VALUE"""),1633068.0)</f>
        <v>1633068</v>
      </c>
      <c r="C3421" t="str">
        <f>IFERROR(__xludf.DUMMYFUNCTION("""COMPUTED_VALUE"""),"Blockchain Advanced Level: Uses Beyond Bitcoin")</f>
        <v>Blockchain Advanced Level: Uses Beyond Bitcoin</v>
      </c>
    </row>
    <row r="3422">
      <c r="A3422" s="140" t="str">
        <f>IFERROR(__xludf.DUMMYFUNCTION("""COMPUTED_VALUE"""),"en")</f>
        <v>en</v>
      </c>
      <c r="B3422">
        <f>IFERROR(__xludf.DUMMYFUNCTION("""COMPUTED_VALUE"""),2531636.0)</f>
        <v>2531636</v>
      </c>
      <c r="C3422" t="str">
        <f>IFERROR(__xludf.DUMMYFUNCTION("""COMPUTED_VALUE"""),"PowerPoint VBA Macros and Coding Interactive Presentations")</f>
        <v>PowerPoint VBA Macros and Coding Interactive Presentations</v>
      </c>
    </row>
    <row r="3423">
      <c r="A3423" s="140" t="str">
        <f>IFERROR(__xludf.DUMMYFUNCTION("""COMPUTED_VALUE"""),"en")</f>
        <v>en</v>
      </c>
      <c r="B3423">
        <f>IFERROR(__xludf.DUMMYFUNCTION("""COMPUTED_VALUE"""),1050778.0)</f>
        <v>1050778</v>
      </c>
      <c r="C3423" t="str">
        <f>IFERROR(__xludf.DUMMYFUNCTION("""COMPUTED_VALUE"""),"SSL/TLS Operations")</f>
        <v>SSL/TLS Operations</v>
      </c>
    </row>
    <row r="3424">
      <c r="A3424" s="140" t="str">
        <f>IFERROR(__xludf.DUMMYFUNCTION("""COMPUTED_VALUE"""),"ko")</f>
        <v>ko</v>
      </c>
      <c r="B3424">
        <f>IFERROR(__xludf.DUMMYFUNCTION("""COMPUTED_VALUE"""),4278720.0)</f>
        <v>4278720</v>
      </c>
      <c r="C3424" t="str">
        <f>IFERROR(__xludf.DUMMYFUNCTION("""COMPUTED_VALUE"""),"엄마표 영어, 용어로 보는 20년 로드맵")</f>
        <v>엄마표 영어, 용어로 보는 20년 로드맵</v>
      </c>
    </row>
    <row r="3425">
      <c r="A3425" s="140" t="str">
        <f>IFERROR(__xludf.DUMMYFUNCTION("""COMPUTED_VALUE"""),"tr")</f>
        <v>tr</v>
      </c>
      <c r="B3425">
        <f>IFERROR(__xludf.DUMMYFUNCTION("""COMPUTED_VALUE"""),3353624.0)</f>
        <v>3353624</v>
      </c>
      <c r="C3425" t="str">
        <f>IFERROR(__xludf.DUMMYFUNCTION("""COMPUTED_VALUE"""),"Blender Temel Animasyon Eğitimi")</f>
        <v>Blender Temel Animasyon Eğitimi</v>
      </c>
    </row>
    <row r="3426">
      <c r="A3426" s="140" t="str">
        <f>IFERROR(__xludf.DUMMYFUNCTION("""COMPUTED_VALUE"""),"en")</f>
        <v>en</v>
      </c>
      <c r="B3426">
        <f>IFERROR(__xludf.DUMMYFUNCTION("""COMPUTED_VALUE"""),2901382.0)</f>
        <v>2901382</v>
      </c>
      <c r="C3426" t="str">
        <f>IFERROR(__xludf.DUMMYFUNCTION("""COMPUTED_VALUE"""),"CCNP ENTERPRISE - ENCOR-350-401 PART1/5")</f>
        <v>CCNP ENTERPRISE - ENCOR-350-401 PART1/5</v>
      </c>
    </row>
    <row r="3427">
      <c r="A3427" s="140" t="str">
        <f>IFERROR(__xludf.DUMMYFUNCTION("""COMPUTED_VALUE"""),"en")</f>
        <v>en</v>
      </c>
      <c r="B3427">
        <f>IFERROR(__xludf.DUMMYFUNCTION("""COMPUTED_VALUE"""),109602.0)</f>
        <v>109602</v>
      </c>
      <c r="C3427" t="str">
        <f>IFERROR(__xludf.DUMMYFUNCTION("""COMPUTED_VALUE"""),"How to Create Epic Presentations &amp; Videos with Prezi")</f>
        <v>How to Create Epic Presentations &amp; Videos with Prezi</v>
      </c>
    </row>
    <row r="3428">
      <c r="A3428" s="140" t="str">
        <f>IFERROR(__xludf.DUMMYFUNCTION("""COMPUTED_VALUE"""),"en")</f>
        <v>en</v>
      </c>
      <c r="B3428">
        <f>IFERROR(__xludf.DUMMYFUNCTION("""COMPUTED_VALUE"""),1664030.0)</f>
        <v>1664030</v>
      </c>
      <c r="C3428" t="str">
        <f>IFERROR(__xludf.DUMMYFUNCTION("""COMPUTED_VALUE"""),"Learn Drupal 8 module development with examples")</f>
        <v>Learn Drupal 8 module development with examples</v>
      </c>
    </row>
    <row r="3429">
      <c r="A3429" s="140" t="str">
        <f>IFERROR(__xludf.DUMMYFUNCTION("""COMPUTED_VALUE"""),"de")</f>
        <v>de</v>
      </c>
      <c r="B3429">
        <f>IFERROR(__xludf.DUMMYFUNCTION("""COMPUTED_VALUE"""),2819319.0)</f>
        <v>2819319</v>
      </c>
      <c r="C3429" t="str">
        <f>IFERROR(__xludf.DUMMYFUNCTION("""COMPUTED_VALUE"""),"Die Elevator Pitch Masterstage: Überzeugen in 60 Sekunden!")</f>
        <v>Die Elevator Pitch Masterstage: Überzeugen in 60 Sekunden!</v>
      </c>
    </row>
    <row r="3430">
      <c r="A3430" s="140" t="str">
        <f>IFERROR(__xludf.DUMMYFUNCTION("""COMPUTED_VALUE"""),"en")</f>
        <v>en</v>
      </c>
      <c r="B3430">
        <f>IFERROR(__xludf.DUMMYFUNCTION("""COMPUTED_VALUE"""),1421158.0)</f>
        <v>1421158</v>
      </c>
      <c r="C3430" t="str">
        <f>IFERROR(__xludf.DUMMYFUNCTION("""COMPUTED_VALUE"""),"Spanish for Beginners. The complete Method. Level 2.")</f>
        <v>Spanish for Beginners. The complete Method. Level 2.</v>
      </c>
    </row>
    <row r="3431">
      <c r="A3431" s="140" t="str">
        <f>IFERROR(__xludf.DUMMYFUNCTION("""COMPUTED_VALUE"""),"fr")</f>
        <v>fr</v>
      </c>
      <c r="B3431">
        <f>IFERROR(__xludf.DUMMYFUNCTION("""COMPUTED_VALUE"""),3318438.0)</f>
        <v>3318438</v>
      </c>
      <c r="C3431" t="str">
        <f>IFERROR(__xludf.DUMMYFUNCTION("""COMPUTED_VALUE"""),"Orthographe et Prononciation de la langue Française")</f>
        <v>Orthographe et Prononciation de la langue Française</v>
      </c>
    </row>
    <row r="3432">
      <c r="A3432" s="140" t="str">
        <f>IFERROR(__xludf.DUMMYFUNCTION("""COMPUTED_VALUE"""),"tr")</f>
        <v>tr</v>
      </c>
      <c r="B3432">
        <f>IFERROR(__xludf.DUMMYFUNCTION("""COMPUTED_VALUE"""),2645054.0)</f>
        <v>2645054</v>
      </c>
      <c r="C3432" t="str">
        <f>IFERROR(__xludf.DUMMYFUNCTION("""COMPUTED_VALUE"""),"C# OOP Kamp: Nesne Tabanlı Programlamayı Sıfırdan Öğrenin")</f>
        <v>C# OOP Kamp: Nesne Tabanlı Programlamayı Sıfırdan Öğrenin</v>
      </c>
    </row>
    <row r="3433">
      <c r="A3433" s="140" t="str">
        <f>IFERROR(__xludf.DUMMYFUNCTION("""COMPUTED_VALUE"""),"es")</f>
        <v>es</v>
      </c>
      <c r="B3433">
        <f>IFERROR(__xludf.DUMMYFUNCTION("""COMPUTED_VALUE"""),3418522.0)</f>
        <v>3418522</v>
      </c>
      <c r="C3433" t="str">
        <f>IFERROR(__xludf.DUMMYFUNCTION("""COMPUTED_VALUE"""),"Curso avanzado de estadística no paramétrica con R y Python")</f>
        <v>Curso avanzado de estadística no paramétrica con R y Python</v>
      </c>
    </row>
    <row r="3434">
      <c r="A3434" s="140" t="str">
        <f>IFERROR(__xludf.DUMMYFUNCTION("""COMPUTED_VALUE"""),"ja")</f>
        <v>ja</v>
      </c>
      <c r="B3434">
        <f>IFERROR(__xludf.DUMMYFUNCTION("""COMPUTED_VALUE"""),2436698.0)</f>
        <v>2436698</v>
      </c>
      <c r="C3434" t="str">
        <f>IFERROR(__xludf.DUMMYFUNCTION("""COMPUTED_VALUE"""),"プロダクトマネジメント実践講座: シリコンバレーの現役プロダクトマネージャーが伝授する、世界の最前線で使われるKPI")</f>
        <v>プロダクトマネジメント実践講座: シリコンバレーの現役プロダクトマネージャーが伝授する、世界の最前線で使われるKPI</v>
      </c>
    </row>
    <row r="3435">
      <c r="A3435" s="140" t="str">
        <f>IFERROR(__xludf.DUMMYFUNCTION("""COMPUTED_VALUE"""),"en")</f>
        <v>en</v>
      </c>
      <c r="B3435">
        <f>IFERROR(__xludf.DUMMYFUNCTION("""COMPUTED_VALUE"""),2017350.0)</f>
        <v>2017350</v>
      </c>
      <c r="C3435" t="str">
        <f>IFERROR(__xludf.DUMMYFUNCTION("""COMPUTED_VALUE"""),"PMP Math Prep - PMP Math and Formulas")</f>
        <v>PMP Math Prep - PMP Math and Formulas</v>
      </c>
    </row>
    <row r="3436">
      <c r="A3436" s="140" t="str">
        <f>IFERROR(__xludf.DUMMYFUNCTION("""COMPUTED_VALUE"""),"en")</f>
        <v>en</v>
      </c>
      <c r="B3436">
        <f>IFERROR(__xludf.DUMMYFUNCTION("""COMPUTED_VALUE"""),101694.0)</f>
        <v>101694</v>
      </c>
      <c r="C3436" t="str">
        <f>IFERROR(__xludf.DUMMYFUNCTION("""COMPUTED_VALUE"""),"Discover Your Life Purpose")</f>
        <v>Discover Your Life Purpose</v>
      </c>
    </row>
    <row r="3437">
      <c r="A3437" s="140" t="str">
        <f>IFERROR(__xludf.DUMMYFUNCTION("""COMPUTED_VALUE"""),"en")</f>
        <v>en</v>
      </c>
      <c r="B3437">
        <f>IFERROR(__xludf.DUMMYFUNCTION("""COMPUTED_VALUE"""),1734820.0)</f>
        <v>1734820</v>
      </c>
      <c r="C3437" t="str">
        <f>IFERROR(__xludf.DUMMYFUNCTION("""COMPUTED_VALUE"""),"Bad Boss: Dealing with a Difficult Manager")</f>
        <v>Bad Boss: Dealing with a Difficult Manager</v>
      </c>
    </row>
    <row r="3438">
      <c r="A3438" s="140" t="str">
        <f>IFERROR(__xludf.DUMMYFUNCTION("""COMPUTED_VALUE"""),"es")</f>
        <v>es</v>
      </c>
      <c r="B3438">
        <f>IFERROR(__xludf.DUMMYFUNCTION("""COMPUTED_VALUE"""),371090.0)</f>
        <v>371090</v>
      </c>
      <c r="C3438" t="str">
        <f>IFERROR(__xludf.DUMMYFUNCTION("""COMPUTED_VALUE"""),"Máster en Programación de Videojuegos con Unity® 2021 y C#")</f>
        <v>Máster en Programación de Videojuegos con Unity® 2021 y C#</v>
      </c>
    </row>
    <row r="3439">
      <c r="A3439" s="140" t="str">
        <f>IFERROR(__xludf.DUMMYFUNCTION("""COMPUTED_VALUE"""),"en")</f>
        <v>en</v>
      </c>
      <c r="B3439">
        <f>IFERROR(__xludf.DUMMYFUNCTION("""COMPUTED_VALUE"""),1720558.0)</f>
        <v>1720558</v>
      </c>
      <c r="C3439" t="str">
        <f>IFERROR(__xludf.DUMMYFUNCTION("""COMPUTED_VALUE"""),"The Modern GraphQL Bootcamp (with Node.js and Apollo)")</f>
        <v>The Modern GraphQL Bootcamp (with Node.js and Apollo)</v>
      </c>
    </row>
    <row r="3440">
      <c r="A3440" s="140" t="str">
        <f>IFERROR(__xludf.DUMMYFUNCTION("""COMPUTED_VALUE"""),"en")</f>
        <v>en</v>
      </c>
      <c r="B3440">
        <f>IFERROR(__xludf.DUMMYFUNCTION("""COMPUTED_VALUE"""),1691534.0)</f>
        <v>1691534</v>
      </c>
      <c r="C3440" t="str">
        <f>IFERROR(__xludf.DUMMYFUNCTION("""COMPUTED_VALUE"""),"Instructional Design for Classroom Training")</f>
        <v>Instructional Design for Classroom Training</v>
      </c>
    </row>
    <row r="3441">
      <c r="A3441" s="140" t="str">
        <f>IFERROR(__xludf.DUMMYFUNCTION("""COMPUTED_VALUE"""),"en")</f>
        <v>en</v>
      </c>
      <c r="B3441">
        <f>IFERROR(__xludf.DUMMYFUNCTION("""COMPUTED_VALUE"""),1757918.0)</f>
        <v>1757918</v>
      </c>
      <c r="C3441" t="str">
        <f>IFERROR(__xludf.DUMMYFUNCTION("""COMPUTED_VALUE"""),"THE LOGICAL FRAMEWORK APPROACH")</f>
        <v>THE LOGICAL FRAMEWORK APPROACH</v>
      </c>
    </row>
    <row r="3442">
      <c r="A3442" s="140" t="str">
        <f>IFERROR(__xludf.DUMMYFUNCTION("""COMPUTED_VALUE"""),"de")</f>
        <v>de</v>
      </c>
      <c r="B3442">
        <f>IFERROR(__xludf.DUMMYFUNCTION("""COMPUTED_VALUE"""),1219236.0)</f>
        <v>1219236</v>
      </c>
      <c r="C3442" t="str">
        <f>IFERROR(__xludf.DUMMYFUNCTION("""COMPUTED_VALUE"""),"⭐️[Mehr Leads] Landingpages &amp; Lead-Generation mit WordPress!")</f>
        <v>⭐️[Mehr Leads] Landingpages &amp; Lead-Generation mit WordPress!</v>
      </c>
    </row>
    <row r="3443">
      <c r="A3443" s="140" t="str">
        <f>IFERROR(__xludf.DUMMYFUNCTION("""COMPUTED_VALUE"""),"en")</f>
        <v>en</v>
      </c>
      <c r="B3443">
        <f>IFERROR(__xludf.DUMMYFUNCTION("""COMPUTED_VALUE"""),3381732.0)</f>
        <v>3381732</v>
      </c>
      <c r="C3443" t="str">
        <f>IFERROR(__xludf.DUMMYFUNCTION("""COMPUTED_VALUE"""),"Complete Altair Hypermesh &amp; Optistruct Course")</f>
        <v>Complete Altair Hypermesh &amp; Optistruct Course</v>
      </c>
    </row>
    <row r="3444">
      <c r="A3444" s="140" t="str">
        <f>IFERROR(__xludf.DUMMYFUNCTION("""COMPUTED_VALUE"""),"tr")</f>
        <v>tr</v>
      </c>
      <c r="B3444">
        <f>IFERROR(__xludf.DUMMYFUNCTION("""COMPUTED_VALUE"""),2696780.0)</f>
        <v>2696780</v>
      </c>
      <c r="C3444" t="str">
        <f>IFERROR(__xludf.DUMMYFUNCTION("""COMPUTED_VALUE"""),"Cisco Network Hacking")</f>
        <v>Cisco Network Hacking</v>
      </c>
    </row>
    <row r="3445">
      <c r="A3445" s="140" t="str">
        <f>IFERROR(__xludf.DUMMYFUNCTION("""COMPUTED_VALUE"""),"en")</f>
        <v>en</v>
      </c>
      <c r="B3445">
        <f>IFERROR(__xludf.DUMMYFUNCTION("""COMPUTED_VALUE"""),2013544.0)</f>
        <v>2013544</v>
      </c>
      <c r="C3445" t="str">
        <f>IFERROR(__xludf.DUMMYFUNCTION("""COMPUTED_VALUE"""),"Advanced Product Management: Leadership &amp; Communication")</f>
        <v>Advanced Product Management: Leadership &amp; Communication</v>
      </c>
    </row>
    <row r="3446">
      <c r="A3446" s="140" t="str">
        <f>IFERROR(__xludf.DUMMYFUNCTION("""COMPUTED_VALUE"""),"es")</f>
        <v>es</v>
      </c>
      <c r="B3446">
        <f>IFERROR(__xludf.DUMMYFUNCTION("""COMPUTED_VALUE"""),2561124.0)</f>
        <v>2561124</v>
      </c>
      <c r="C3446" t="str">
        <f>IFERROR(__xludf.DUMMYFUNCTION("""COMPUTED_VALUE"""),"Portugués básico en 13 días")</f>
        <v>Portugués básico en 13 días</v>
      </c>
    </row>
    <row r="3447">
      <c r="A3447" s="140" t="str">
        <f>IFERROR(__xludf.DUMMYFUNCTION("""COMPUTED_VALUE"""),"ja")</f>
        <v>ja</v>
      </c>
      <c r="B3447">
        <f>IFERROR(__xludf.DUMMYFUNCTION("""COMPUTED_VALUE"""),1227488.0)</f>
        <v>1227488</v>
      </c>
      <c r="C3447" t="str">
        <f>IFERROR(__xludf.DUMMYFUNCTION("""COMPUTED_VALUE"""),"【 初心者から財務プロまで 】エクセルで学ぶビジネス・シミュレーション講座 マスターコース")</f>
        <v>【 初心者から財務プロまで 】エクセルで学ぶビジネス・シミュレーション講座 マスターコース</v>
      </c>
    </row>
    <row r="3448">
      <c r="A3448" s="140" t="str">
        <f>IFERROR(__xludf.DUMMYFUNCTION("""COMPUTED_VALUE"""),"en")</f>
        <v>en</v>
      </c>
      <c r="B3448">
        <f>IFERROR(__xludf.DUMMYFUNCTION("""COMPUTED_VALUE"""),3687702.0)</f>
        <v>3687702</v>
      </c>
      <c r="C3448" t="str">
        <f>IFERROR(__xludf.DUMMYFUNCTION("""COMPUTED_VALUE"""),"Short Programming intro in Python and C++")</f>
        <v>Short Programming intro in Python and C++</v>
      </c>
    </row>
    <row r="3449">
      <c r="A3449" s="140" t="str">
        <f>IFERROR(__xludf.DUMMYFUNCTION("""COMPUTED_VALUE"""),"en")</f>
        <v>en</v>
      </c>
      <c r="B3449">
        <f>IFERROR(__xludf.DUMMYFUNCTION("""COMPUTED_VALUE"""),2196792.0)</f>
        <v>2196792</v>
      </c>
      <c r="C3449" t="str">
        <f>IFERROR(__xludf.DUMMYFUNCTION("""COMPUTED_VALUE"""),"API Automation testing using Karate framework")</f>
        <v>API Automation testing using Karate framework</v>
      </c>
    </row>
    <row r="3450">
      <c r="A3450" s="140" t="str">
        <f>IFERROR(__xludf.DUMMYFUNCTION("""COMPUTED_VALUE"""),"en")</f>
        <v>en</v>
      </c>
      <c r="B3450">
        <f>IFERROR(__xludf.DUMMYFUNCTION("""COMPUTED_VALUE"""),1218250.0)</f>
        <v>1218250</v>
      </c>
      <c r="C3450" t="str">
        <f>IFERROR(__xludf.DUMMYFUNCTION("""COMPUTED_VALUE"""),"Build a Plug &amp; Play Hacking Box in 3 Hours + Free eBook")</f>
        <v>Build a Plug &amp; Play Hacking Box in 3 Hours + Free eBook</v>
      </c>
    </row>
    <row r="3451">
      <c r="A3451" s="140" t="str">
        <f>IFERROR(__xludf.DUMMYFUNCTION("""COMPUTED_VALUE"""),"en")</f>
        <v>en</v>
      </c>
      <c r="B3451">
        <f>IFERROR(__xludf.DUMMYFUNCTION("""COMPUTED_VALUE"""),8324.0)</f>
        <v>8324</v>
      </c>
      <c r="C3451" t="str">
        <f>IFERROR(__xludf.DUMMYFUNCTION("""COMPUTED_VALUE"""),"Javascript for Beginners")</f>
        <v>Javascript for Beginners</v>
      </c>
    </row>
    <row r="3452">
      <c r="A3452" s="140" t="str">
        <f>IFERROR(__xludf.DUMMYFUNCTION("""COMPUTED_VALUE"""),"es")</f>
        <v>es</v>
      </c>
      <c r="B3452">
        <f>IFERROR(__xludf.DUMMYFUNCTION("""COMPUTED_VALUE"""),2612578.0)</f>
        <v>2612578</v>
      </c>
      <c r="C3452" t="str">
        <f>IFERROR(__xludf.DUMMYFUNCTION("""COMPUTED_VALUE"""),"Kubernetes para Desarrolladores")</f>
        <v>Kubernetes para Desarrolladores</v>
      </c>
    </row>
    <row r="3453">
      <c r="A3453" s="140" t="str">
        <f>IFERROR(__xludf.DUMMYFUNCTION("""COMPUTED_VALUE"""),"es")</f>
        <v>es</v>
      </c>
      <c r="B3453">
        <f>IFERROR(__xludf.DUMMYFUNCTION("""COMPUTED_VALUE"""),1426766.0)</f>
        <v>1426766</v>
      </c>
      <c r="C3453" t="str">
        <f>IFERROR(__xludf.DUMMYFUNCTION("""COMPUTED_VALUE"""),"Curso de Ansible: Automatización de principiante a experto.")</f>
        <v>Curso de Ansible: Automatización de principiante a experto.</v>
      </c>
    </row>
    <row r="3454">
      <c r="A3454" s="140" t="str">
        <f>IFERROR(__xludf.DUMMYFUNCTION("""COMPUTED_VALUE"""),"de")</f>
        <v>de</v>
      </c>
      <c r="B3454">
        <f>IFERROR(__xludf.DUMMYFUNCTION("""COMPUTED_VALUE"""),978956.0)</f>
        <v>978956</v>
      </c>
      <c r="C3454" t="str">
        <f>IFERROR(__xludf.DUMMYFUNCTION("""COMPUTED_VALUE"""),"Testreporting - Know-How &amp; Vorlagen für das Testmanagement")</f>
        <v>Testreporting - Know-How &amp; Vorlagen für das Testmanagement</v>
      </c>
    </row>
    <row r="3455">
      <c r="A3455" s="140" t="str">
        <f>IFERROR(__xludf.DUMMYFUNCTION("""COMPUTED_VALUE"""),"en")</f>
        <v>en</v>
      </c>
      <c r="B3455">
        <f>IFERROR(__xludf.DUMMYFUNCTION("""COMPUTED_VALUE"""),1311178.0)</f>
        <v>1311178</v>
      </c>
      <c r="C3455" t="str">
        <f>IFERROR(__xludf.DUMMYFUNCTION("""COMPUTED_VALUE"""),"Agile Business Analysis: Getting / Writing Lean Requirements")</f>
        <v>Agile Business Analysis: Getting / Writing Lean Requirements</v>
      </c>
    </row>
    <row r="3456">
      <c r="A3456" s="140" t="str">
        <f>IFERROR(__xludf.DUMMYFUNCTION("""COMPUTED_VALUE"""),"ja")</f>
        <v>ja</v>
      </c>
      <c r="B3456">
        <f>IFERROR(__xludf.DUMMYFUNCTION("""COMPUTED_VALUE"""),2620778.0)</f>
        <v>2620778</v>
      </c>
      <c r="C3456" t="str">
        <f>IFERROR(__xludf.DUMMYFUNCTION("""COMPUTED_VALUE"""),"基礎だけ学ぶ PHPプログラミング講座")</f>
        <v>基礎だけ学ぶ PHPプログラミング講座</v>
      </c>
    </row>
    <row r="3457">
      <c r="A3457" s="140" t="str">
        <f>IFERROR(__xludf.DUMMYFUNCTION("""COMPUTED_VALUE"""),"de")</f>
        <v>de</v>
      </c>
      <c r="B3457">
        <f>IFERROR(__xludf.DUMMYFUNCTION("""COMPUTED_VALUE"""),2707272.0)</f>
        <v>2707272</v>
      </c>
      <c r="C3457" t="str">
        <f>IFERROR(__xludf.DUMMYFUNCTION("""COMPUTED_VALUE"""),"Small Talk - Mühelos kommunizieren &amp; Freunde Gewinnen")</f>
        <v>Small Talk - Mühelos kommunizieren &amp; Freunde Gewinnen</v>
      </c>
    </row>
    <row r="3458">
      <c r="A3458" s="140" t="str">
        <f>IFERROR(__xludf.DUMMYFUNCTION("""COMPUTED_VALUE"""),"de")</f>
        <v>de</v>
      </c>
      <c r="B3458">
        <f>IFERROR(__xludf.DUMMYFUNCTION("""COMPUTED_VALUE"""),1812896.0)</f>
        <v>1812896</v>
      </c>
      <c r="C3458" t="str">
        <f>IFERROR(__xludf.DUMMYFUNCTION("""COMPUTED_VALUE"""),"Zeiterfassung in Microsoft Excel: Stundenzettel erstellen")</f>
        <v>Zeiterfassung in Microsoft Excel: Stundenzettel erstellen</v>
      </c>
    </row>
    <row r="3459">
      <c r="A3459" s="140" t="str">
        <f>IFERROR(__xludf.DUMMYFUNCTION("""COMPUTED_VALUE"""),"de")</f>
        <v>de</v>
      </c>
      <c r="B3459">
        <f>IFERROR(__xludf.DUMMYFUNCTION("""COMPUTED_VALUE"""),2787006.0)</f>
        <v>2787006</v>
      </c>
      <c r="C3459" t="str">
        <f>IFERROR(__xludf.DUMMYFUNCTION("""COMPUTED_VALUE"""),"Autodesk FUSION 360 für Einsteiger")</f>
        <v>Autodesk FUSION 360 für Einsteiger</v>
      </c>
    </row>
    <row r="3460">
      <c r="A3460" s="140" t="str">
        <f>IFERROR(__xludf.DUMMYFUNCTION("""COMPUTED_VALUE"""),"ja")</f>
        <v>ja</v>
      </c>
      <c r="B3460">
        <f>IFERROR(__xludf.DUMMYFUNCTION("""COMPUTED_VALUE"""),1851456.0)</f>
        <v>1851456</v>
      </c>
      <c r="C3460" t="str">
        <f>IFERROR(__xludf.DUMMYFUNCTION("""COMPUTED_VALUE"""),"Raspberry Pi とTensorFlow ではじめるAI・IoTアプリ開発入門")</f>
        <v>Raspberry Pi とTensorFlow ではじめるAI・IoTアプリ開発入門</v>
      </c>
    </row>
    <row r="3461">
      <c r="A3461" s="140" t="str">
        <f>IFERROR(__xludf.DUMMYFUNCTION("""COMPUTED_VALUE"""),"es")</f>
        <v>es</v>
      </c>
      <c r="B3461">
        <f>IFERROR(__xludf.DUMMYFUNCTION("""COMPUTED_VALUE"""),1852438.0)</f>
        <v>1852438</v>
      </c>
      <c r="C3461" t="str">
        <f>IFERROR(__xludf.DUMMYFUNCTION("""COMPUTED_VALUE"""),"[A-Z] avanzando en analítica digital: Google Analytics y GA4")</f>
        <v>[A-Z] avanzando en analítica digital: Google Analytics y GA4</v>
      </c>
    </row>
    <row r="3462">
      <c r="A3462" s="140" t="str">
        <f>IFERROR(__xludf.DUMMYFUNCTION("""COMPUTED_VALUE"""),"pt")</f>
        <v>pt</v>
      </c>
      <c r="B3462">
        <f>IFERROR(__xludf.DUMMYFUNCTION("""COMPUTED_VALUE"""),2447400.0)</f>
        <v>2447400</v>
      </c>
      <c r="C3462" t="str">
        <f>IFERROR(__xludf.DUMMYFUNCTION("""COMPUTED_VALUE"""),"Microsoft Azure Cloud para Iniciantes 2021")</f>
        <v>Microsoft Azure Cloud para Iniciantes 2021</v>
      </c>
    </row>
    <row r="3463">
      <c r="A3463" s="140" t="str">
        <f>IFERROR(__xludf.DUMMYFUNCTION("""COMPUTED_VALUE"""),"en")</f>
        <v>en</v>
      </c>
      <c r="B3463">
        <f>IFERROR(__xludf.DUMMYFUNCTION("""COMPUTED_VALUE"""),2882630.0)</f>
        <v>2882630</v>
      </c>
      <c r="C3463" t="str">
        <f>IFERROR(__xludf.DUMMYFUNCTION("""COMPUTED_VALUE"""),"Learn Practical Apache Beam in Java | BigData framework")</f>
        <v>Learn Practical Apache Beam in Java | BigData framework</v>
      </c>
    </row>
    <row r="3464">
      <c r="A3464" s="140" t="str">
        <f>IFERROR(__xludf.DUMMYFUNCTION("""COMPUTED_VALUE"""),"de")</f>
        <v>de</v>
      </c>
      <c r="B3464">
        <f>IFERROR(__xludf.DUMMYFUNCTION("""COMPUTED_VALUE"""),1106442.0)</f>
        <v>1106442</v>
      </c>
      <c r="C3464" t="str">
        <f>IFERROR(__xludf.DUMMYFUNCTION("""COMPUTED_VALUE"""),"Praxisprojekt: A/B-Test mit PHP")</f>
        <v>Praxisprojekt: A/B-Test mit PHP</v>
      </c>
    </row>
    <row r="3465">
      <c r="A3465" s="140" t="str">
        <f>IFERROR(__xludf.DUMMYFUNCTION("""COMPUTED_VALUE"""),"es")</f>
        <v>es</v>
      </c>
      <c r="B3465">
        <f>IFERROR(__xludf.DUMMYFUNCTION("""COMPUTED_VALUE"""),2655054.0)</f>
        <v>2655054</v>
      </c>
      <c r="C3465" t="str">
        <f>IFERROR(__xludf.DUMMYFUNCTION("""COMPUTED_VALUE"""),"Mantenimiento y Reparación de Equipos de Computo Desde Cero")</f>
        <v>Mantenimiento y Reparación de Equipos de Computo Desde Cero</v>
      </c>
    </row>
    <row r="3466">
      <c r="A3466" s="140" t="str">
        <f>IFERROR(__xludf.DUMMYFUNCTION("""COMPUTED_VALUE"""),"de")</f>
        <v>de</v>
      </c>
      <c r="B3466">
        <f>IFERROR(__xludf.DUMMYFUNCTION("""COMPUTED_VALUE"""),3257116.0)</f>
        <v>3257116</v>
      </c>
      <c r="C3466" t="str">
        <f>IFERROR(__xludf.DUMMYFUNCTION("""COMPUTED_VALUE"""),"Digitale Rhetorik: online präsentieren und überzeugen!")</f>
        <v>Digitale Rhetorik: online präsentieren und überzeugen!</v>
      </c>
    </row>
    <row r="3467">
      <c r="A3467" s="140" t="str">
        <f>IFERROR(__xludf.DUMMYFUNCTION("""COMPUTED_VALUE"""),"en")</f>
        <v>en</v>
      </c>
      <c r="B3467">
        <f>IFERROR(__xludf.DUMMYFUNCTION("""COMPUTED_VALUE"""),2938198.0)</f>
        <v>2938198</v>
      </c>
      <c r="C3467" t="str">
        <f>IFERROR(__xludf.DUMMYFUNCTION("""COMPUTED_VALUE"""),"The Complete SAP Workflow Training (2021)")</f>
        <v>The Complete SAP Workflow Training (2021)</v>
      </c>
    </row>
    <row r="3468">
      <c r="A3468" s="140" t="str">
        <f>IFERROR(__xludf.DUMMYFUNCTION("""COMPUTED_VALUE"""),"en")</f>
        <v>en</v>
      </c>
      <c r="B3468">
        <f>IFERROR(__xludf.DUMMYFUNCTION("""COMPUTED_VALUE"""),3444948.0)</f>
        <v>3444948</v>
      </c>
      <c r="C3468" t="str">
        <f>IFERROR(__xludf.DUMMYFUNCTION("""COMPUTED_VALUE"""),"Prepare the Safe 5.0 Leading Safe certificate")</f>
        <v>Prepare the Safe 5.0 Leading Safe certificate</v>
      </c>
    </row>
    <row r="3469">
      <c r="A3469" s="140" t="str">
        <f>IFERROR(__xludf.DUMMYFUNCTION("""COMPUTED_VALUE"""),"ja")</f>
        <v>ja</v>
      </c>
      <c r="B3469">
        <f>IFERROR(__xludf.DUMMYFUNCTION("""COMPUTED_VALUE"""),3746032.0)</f>
        <v>3746032</v>
      </c>
      <c r="C3469" t="str">
        <f>IFERROR(__xludf.DUMMYFUNCTION("""COMPUTED_VALUE"""),"[テスト編] Nextjs + React-testing-libraryでモダンReactソフトウェアテスト")</f>
        <v>[テスト編] Nextjs + React-testing-libraryでモダンReactソフトウェアテスト</v>
      </c>
    </row>
    <row r="3470">
      <c r="A3470" s="140" t="str">
        <f>IFERROR(__xludf.DUMMYFUNCTION("""COMPUTED_VALUE"""),"en")</f>
        <v>en</v>
      </c>
      <c r="B3470">
        <f>IFERROR(__xludf.DUMMYFUNCTION("""COMPUTED_VALUE"""),3105324.0)</f>
        <v>3105324</v>
      </c>
      <c r="C3470" t="str">
        <f>IFERROR(__xludf.DUMMYFUNCTION("""COMPUTED_VALUE"""),"DB2 For Beginners")</f>
        <v>DB2 For Beginners</v>
      </c>
    </row>
    <row r="3471">
      <c r="A3471" s="140" t="str">
        <f>IFERROR(__xludf.DUMMYFUNCTION("""COMPUTED_VALUE"""),"ja")</f>
        <v>ja</v>
      </c>
      <c r="B3471">
        <f>IFERROR(__xludf.DUMMYFUNCTION("""COMPUTED_VALUE"""),2309390.0)</f>
        <v>2309390</v>
      </c>
      <c r="C3471" t="str">
        <f>IFERROR(__xludf.DUMMYFUNCTION("""COMPUTED_VALUE"""),"PythonによるWebスクレイピング 〜Webアプリケーション編〜")</f>
        <v>PythonによるWebスクレイピング 〜Webアプリケーション編〜</v>
      </c>
    </row>
    <row r="3472">
      <c r="A3472" s="140" t="str">
        <f>IFERROR(__xludf.DUMMYFUNCTION("""COMPUTED_VALUE"""),"ja")</f>
        <v>ja</v>
      </c>
      <c r="B3472">
        <f>IFERROR(__xludf.DUMMYFUNCTION("""COMPUTED_VALUE"""),2604598.0)</f>
        <v>2604598</v>
      </c>
      <c r="C3472" t="str">
        <f>IFERROR(__xludf.DUMMYFUNCTION("""COMPUTED_VALUE"""),"【Pythonで学ぶ 】CUDA プログラミング入門")</f>
        <v>【Pythonで学ぶ 】CUDA プログラミング入門</v>
      </c>
    </row>
    <row r="3473">
      <c r="A3473" s="140" t="str">
        <f>IFERROR(__xludf.DUMMYFUNCTION("""COMPUTED_VALUE"""),"pt")</f>
        <v>pt</v>
      </c>
      <c r="B3473">
        <f>IFERROR(__xludf.DUMMYFUNCTION("""COMPUTED_VALUE"""),1425088.0)</f>
        <v>1425088</v>
      </c>
      <c r="C3473" t="str">
        <f>IFERROR(__xludf.DUMMYFUNCTION("""COMPUTED_VALUE"""),"Protheus 12 - Arquitetura e instalação na prática")</f>
        <v>Protheus 12 - Arquitetura e instalação na prática</v>
      </c>
    </row>
    <row r="3474">
      <c r="A3474" s="140" t="str">
        <f>IFERROR(__xludf.DUMMYFUNCTION("""COMPUTED_VALUE"""),"pt")</f>
        <v>pt</v>
      </c>
      <c r="B3474">
        <f>IFERROR(__xludf.DUMMYFUNCTION("""COMPUTED_VALUE"""),1021106.0)</f>
        <v>1021106</v>
      </c>
      <c r="C3474" t="str">
        <f>IFERROR(__xludf.DUMMYFUNCTION("""COMPUTED_VALUE"""),"Curso completo de Finanças Pessoais")</f>
        <v>Curso completo de Finanças Pessoais</v>
      </c>
    </row>
    <row r="3475">
      <c r="A3475" s="140" t="str">
        <f>IFERROR(__xludf.DUMMYFUNCTION("""COMPUTED_VALUE"""),"en")</f>
        <v>en</v>
      </c>
      <c r="B3475">
        <f>IFERROR(__xludf.DUMMYFUNCTION("""COMPUTED_VALUE"""),1685334.0)</f>
        <v>1685334</v>
      </c>
      <c r="C3475" t="str">
        <f>IFERROR(__xludf.DUMMYFUNCTION("""COMPUTED_VALUE"""),"Introduction to Genetic Algorithms: Theory and Applications")</f>
        <v>Introduction to Genetic Algorithms: Theory and Applications</v>
      </c>
    </row>
    <row r="3476">
      <c r="A3476" s="140" t="str">
        <f>IFERROR(__xludf.DUMMYFUNCTION("""COMPUTED_VALUE"""),"en")</f>
        <v>en</v>
      </c>
      <c r="B3476">
        <f>IFERROR(__xludf.DUMMYFUNCTION("""COMPUTED_VALUE"""),2507704.0)</f>
        <v>2507704</v>
      </c>
      <c r="C3476" t="str">
        <f>IFERROR(__xludf.DUMMYFUNCTION("""COMPUTED_VALUE"""),"Diversity &amp; Inclusion: Building a Grassroots Foundation")</f>
        <v>Diversity &amp; Inclusion: Building a Grassroots Foundation</v>
      </c>
    </row>
    <row r="3477">
      <c r="A3477" s="140" t="str">
        <f>IFERROR(__xludf.DUMMYFUNCTION("""COMPUTED_VALUE"""),"en")</f>
        <v>en</v>
      </c>
      <c r="B3477">
        <f>IFERROR(__xludf.DUMMYFUNCTION("""COMPUTED_VALUE"""),1585738.0)</f>
        <v>1585738</v>
      </c>
      <c r="C3477" t="str">
        <f>IFERROR(__xludf.DUMMYFUNCTION("""COMPUTED_VALUE"""),"Communication Skills: Personality and Behaviour in Business")</f>
        <v>Communication Skills: Personality and Behaviour in Business</v>
      </c>
    </row>
    <row r="3478">
      <c r="A3478" s="140" t="str">
        <f>IFERROR(__xludf.DUMMYFUNCTION("""COMPUTED_VALUE"""),"es")</f>
        <v>es</v>
      </c>
      <c r="B3478">
        <f>IFERROR(__xludf.DUMMYFUNCTION("""COMPUTED_VALUE"""),3076924.0)</f>
        <v>3076924</v>
      </c>
      <c r="C3478" t="str">
        <f>IFERROR(__xludf.DUMMYFUNCTION("""COMPUTED_VALUE"""),"Microsoft Excel Aplicado a las Finanzas / Excel Financiero")</f>
        <v>Microsoft Excel Aplicado a las Finanzas / Excel Financiero</v>
      </c>
    </row>
    <row r="3479">
      <c r="A3479" s="140" t="str">
        <f>IFERROR(__xludf.DUMMYFUNCTION("""COMPUTED_VALUE"""),"en")</f>
        <v>en</v>
      </c>
      <c r="B3479">
        <f>IFERROR(__xludf.DUMMYFUNCTION("""COMPUTED_VALUE"""),2376786.0)</f>
        <v>2376786</v>
      </c>
      <c r="C3479" t="str">
        <f>IFERROR(__xludf.DUMMYFUNCTION("""COMPUTED_VALUE"""),"Advanced Web Scraping with Python using Scrapy &amp; Splash")</f>
        <v>Advanced Web Scraping with Python using Scrapy &amp; Splash</v>
      </c>
    </row>
    <row r="3480">
      <c r="A3480" s="140" t="str">
        <f>IFERROR(__xludf.DUMMYFUNCTION("""COMPUTED_VALUE"""),"en")</f>
        <v>en</v>
      </c>
      <c r="B3480">
        <f>IFERROR(__xludf.DUMMYFUNCTION("""COMPUTED_VALUE"""),763080.0)</f>
        <v>763080</v>
      </c>
      <c r="C3480" t="str">
        <f>IFERROR(__xludf.DUMMYFUNCTION("""COMPUTED_VALUE"""),"Salesforce Administrator Certification Course")</f>
        <v>Salesforce Administrator Certification Course</v>
      </c>
    </row>
    <row r="3481">
      <c r="A3481" s="140" t="str">
        <f>IFERROR(__xludf.DUMMYFUNCTION("""COMPUTED_VALUE"""),"en")</f>
        <v>en</v>
      </c>
      <c r="B3481">
        <f>IFERROR(__xludf.DUMMYFUNCTION("""COMPUTED_VALUE"""),1155820.0)</f>
        <v>1155820</v>
      </c>
      <c r="C3481" t="str">
        <f>IFERROR(__xludf.DUMMYFUNCTION("""COMPUTED_VALUE"""),"Learn Social Engineering From Scratch")</f>
        <v>Learn Social Engineering From Scratch</v>
      </c>
    </row>
    <row r="3482">
      <c r="A3482" s="140" t="str">
        <f>IFERROR(__xludf.DUMMYFUNCTION("""COMPUTED_VALUE"""),"en")</f>
        <v>en</v>
      </c>
      <c r="B3482">
        <f>IFERROR(__xludf.DUMMYFUNCTION("""COMPUTED_VALUE"""),673024.0)</f>
        <v>673024</v>
      </c>
      <c r="C3482" t="str">
        <f>IFERROR(__xludf.DUMMYFUNCTION("""COMPUTED_VALUE"""),"Learn SAP ABAP by Doing")</f>
        <v>Learn SAP ABAP by Doing</v>
      </c>
    </row>
    <row r="3483">
      <c r="A3483" s="140" t="str">
        <f>IFERROR(__xludf.DUMMYFUNCTION("""COMPUTED_VALUE"""),"en")</f>
        <v>en</v>
      </c>
      <c r="B3483">
        <f>IFERROR(__xludf.DUMMYFUNCTION("""COMPUTED_VALUE"""),992574.0)</f>
        <v>992574</v>
      </c>
      <c r="C3483" t="str">
        <f>IFERROR(__xludf.DUMMYFUNCTION("""COMPUTED_VALUE"""),"Digital Electronics: Robotics, learn by building module II")</f>
        <v>Digital Electronics: Robotics, learn by building module II</v>
      </c>
    </row>
    <row r="3484">
      <c r="A3484" s="140" t="str">
        <f>IFERROR(__xludf.DUMMYFUNCTION("""COMPUTED_VALUE"""),"en")</f>
        <v>en</v>
      </c>
      <c r="B3484">
        <f>IFERROR(__xludf.DUMMYFUNCTION("""COMPUTED_VALUE"""),1575904.0)</f>
        <v>1575904</v>
      </c>
      <c r="C3484" t="str">
        <f>IFERROR(__xludf.DUMMYFUNCTION("""COMPUTED_VALUE"""),"Taoist Meditation Course &amp; Guided Meditation")</f>
        <v>Taoist Meditation Course &amp; Guided Meditation</v>
      </c>
    </row>
    <row r="3485">
      <c r="A3485" s="140" t="str">
        <f>IFERROR(__xludf.DUMMYFUNCTION("""COMPUTED_VALUE"""),"en")</f>
        <v>en</v>
      </c>
      <c r="B3485">
        <f>IFERROR(__xludf.DUMMYFUNCTION("""COMPUTED_VALUE"""),1405082.0)</f>
        <v>1405082</v>
      </c>
      <c r="C3485" t="str">
        <f>IFERROR(__xludf.DUMMYFUNCTION("""COMPUTED_VALUE"""),"UML Class Diagrams for Programmers")</f>
        <v>UML Class Diagrams for Programmers</v>
      </c>
    </row>
    <row r="3486">
      <c r="A3486" s="140" t="str">
        <f>IFERROR(__xludf.DUMMYFUNCTION("""COMPUTED_VALUE"""),"en")</f>
        <v>en</v>
      </c>
      <c r="B3486">
        <f>IFERROR(__xludf.DUMMYFUNCTION("""COMPUTED_VALUE"""),3324786.0)</f>
        <v>3324786</v>
      </c>
      <c r="C3486" t="str">
        <f>IFERROR(__xludf.DUMMYFUNCTION("""COMPUTED_VALUE"""),"Microsoft Office 365 Administration")</f>
        <v>Microsoft Office 365 Administration</v>
      </c>
    </row>
    <row r="3487">
      <c r="A3487" s="140" t="str">
        <f>IFERROR(__xludf.DUMMYFUNCTION("""COMPUTED_VALUE"""),"ja")</f>
        <v>ja</v>
      </c>
      <c r="B3487">
        <f>IFERROR(__xludf.DUMMYFUNCTION("""COMPUTED_VALUE"""),2643990.0)</f>
        <v>2643990</v>
      </c>
      <c r="C3487" t="str">
        <f>IFERROR(__xludf.DUMMYFUNCTION("""COMPUTED_VALUE"""),"はじめての Kotlin【Java 知らなくてOK！丁寧な解説で Android に必要な Kotlin の基本を学習】")</f>
        <v>はじめての Kotlin【Java 知らなくてOK！丁寧な解説で Android に必要な Kotlin の基本を学習】</v>
      </c>
    </row>
    <row r="3488">
      <c r="A3488" s="140" t="str">
        <f>IFERROR(__xludf.DUMMYFUNCTION("""COMPUTED_VALUE"""),"en")</f>
        <v>en</v>
      </c>
      <c r="B3488">
        <f>IFERROR(__xludf.DUMMYFUNCTION("""COMPUTED_VALUE"""),434390.0)</f>
        <v>434390</v>
      </c>
      <c r="C3488" t="str">
        <f>IFERROR(__xludf.DUMMYFUNCTION("""COMPUTED_VALUE"""),"Outlook 13/16/19 Like a Boss. The Complete Course.")</f>
        <v>Outlook 13/16/19 Like a Boss. The Complete Course.</v>
      </c>
    </row>
    <row r="3489">
      <c r="A3489" s="140" t="str">
        <f>IFERROR(__xludf.DUMMYFUNCTION("""COMPUTED_VALUE"""),"en")</f>
        <v>en</v>
      </c>
      <c r="B3489">
        <f>IFERROR(__xludf.DUMMYFUNCTION("""COMPUTED_VALUE"""),1662426.0)</f>
        <v>1662426</v>
      </c>
      <c r="C3489" t="str">
        <f>IFERROR(__xludf.DUMMYFUNCTION("""COMPUTED_VALUE"""),"Scrum Fundamentals Certified Prep Course")</f>
        <v>Scrum Fundamentals Certified Prep Course</v>
      </c>
    </row>
    <row r="3490">
      <c r="A3490" s="140" t="str">
        <f>IFERROR(__xludf.DUMMYFUNCTION("""COMPUTED_VALUE"""),"de")</f>
        <v>de</v>
      </c>
      <c r="B3490">
        <f>IFERROR(__xludf.DUMMYFUNCTION("""COMPUTED_VALUE"""),2372128.0)</f>
        <v>2372128</v>
      </c>
      <c r="C3490" t="str">
        <f>IFERROR(__xludf.DUMMYFUNCTION("""COMPUTED_VALUE"""),"Premiere Pro für Anfänger - Videoschnitt mit Adobe Premiere")</f>
        <v>Premiere Pro für Anfänger - Videoschnitt mit Adobe Premiere</v>
      </c>
    </row>
    <row r="3491">
      <c r="A3491" s="140" t="str">
        <f>IFERROR(__xludf.DUMMYFUNCTION("""COMPUTED_VALUE"""),"en")</f>
        <v>en</v>
      </c>
      <c r="B3491">
        <f>IFERROR(__xludf.DUMMYFUNCTION("""COMPUTED_VALUE"""),2259748.0)</f>
        <v>2259748</v>
      </c>
      <c r="C3491" t="str">
        <f>IFERROR(__xludf.DUMMYFUNCTION("""COMPUTED_VALUE"""),"Java Collections from basics to Advanced")</f>
        <v>Java Collections from basics to Advanced</v>
      </c>
    </row>
    <row r="3492">
      <c r="A3492" s="140" t="str">
        <f>IFERROR(__xludf.DUMMYFUNCTION("""COMPUTED_VALUE"""),"en")</f>
        <v>en</v>
      </c>
      <c r="B3492">
        <f>IFERROR(__xludf.DUMMYFUNCTION("""COMPUTED_VALUE"""),1698420.0)</f>
        <v>1698420</v>
      </c>
      <c r="C3492" t="str">
        <f>IFERROR(__xludf.DUMMYFUNCTION("""COMPUTED_VALUE"""),"Excel Interactive Dashboards and Data Analysis")</f>
        <v>Excel Interactive Dashboards and Data Analysis</v>
      </c>
    </row>
    <row r="3493">
      <c r="A3493" s="140" t="str">
        <f>IFERROR(__xludf.DUMMYFUNCTION("""COMPUTED_VALUE"""),"pt")</f>
        <v>pt</v>
      </c>
      <c r="B3493">
        <f>IFERROR(__xludf.DUMMYFUNCTION("""COMPUTED_VALUE"""),2805621.0)</f>
        <v>2805621</v>
      </c>
      <c r="C3493" t="str">
        <f>IFERROR(__xludf.DUMMYFUNCTION("""COMPUTED_VALUE"""),"Deep Learning de A à Z com PyTorch e Python")</f>
        <v>Deep Learning de A à Z com PyTorch e Python</v>
      </c>
    </row>
    <row r="3494">
      <c r="A3494" s="140" t="str">
        <f>IFERROR(__xludf.DUMMYFUNCTION("""COMPUTED_VALUE"""),"ja")</f>
        <v>ja</v>
      </c>
      <c r="B3494">
        <f>IFERROR(__xludf.DUMMYFUNCTION("""COMPUTED_VALUE"""),4064144.0)</f>
        <v>4064144</v>
      </c>
      <c r="C3494" t="str">
        <f>IFERROR(__xludf.DUMMYFUNCTION("""COMPUTED_VALUE"""),"データ処理・グラフ作成のためのR/RStudioベーシック講座【はじめてのプログラミング/DX】")</f>
        <v>データ処理・グラフ作成のためのR/RStudioベーシック講座【はじめてのプログラミング/DX】</v>
      </c>
    </row>
    <row r="3495">
      <c r="A3495" s="140" t="str">
        <f>IFERROR(__xludf.DUMMYFUNCTION("""COMPUTED_VALUE"""),"en")</f>
        <v>en</v>
      </c>
      <c r="B3495">
        <f>IFERROR(__xludf.DUMMYFUNCTION("""COMPUTED_VALUE"""),1725034.0)</f>
        <v>1725034</v>
      </c>
      <c r="C3495" t="str">
        <f>IFERROR(__xludf.DUMMYFUNCTION("""COMPUTED_VALUE"""),"ROS For Beginners (ROS Noetic, Melodic, Kinetic)")</f>
        <v>ROS For Beginners (ROS Noetic, Melodic, Kinetic)</v>
      </c>
    </row>
    <row r="3496">
      <c r="A3496" s="140" t="str">
        <f>IFERROR(__xludf.DUMMYFUNCTION("""COMPUTED_VALUE"""),"en")</f>
        <v>en</v>
      </c>
      <c r="B3496">
        <f>IFERROR(__xludf.DUMMYFUNCTION("""COMPUTED_VALUE"""),442896.0)</f>
        <v>442896</v>
      </c>
      <c r="C3496" t="str">
        <f>IFERROR(__xludf.DUMMYFUNCTION("""COMPUTED_VALUE"""),"Learn SCADA from Scratch - Design, Program and Interface")</f>
        <v>Learn SCADA from Scratch - Design, Program and Interface</v>
      </c>
    </row>
    <row r="3497">
      <c r="A3497" s="140" t="str">
        <f>IFERROR(__xludf.DUMMYFUNCTION("""COMPUTED_VALUE"""),"en")</f>
        <v>en</v>
      </c>
      <c r="B3497">
        <f>IFERROR(__xludf.DUMMYFUNCTION("""COMPUTED_VALUE"""),1483106.0)</f>
        <v>1483106</v>
      </c>
      <c r="C3497" t="str">
        <f>IFERROR(__xludf.DUMMYFUNCTION("""COMPUTED_VALUE"""),"Exploring AWS IoT")</f>
        <v>Exploring AWS IoT</v>
      </c>
    </row>
    <row r="3498">
      <c r="A3498" s="140" t="str">
        <f>IFERROR(__xludf.DUMMYFUNCTION("""COMPUTED_VALUE"""),"es")</f>
        <v>es</v>
      </c>
      <c r="B3498">
        <f>IFERROR(__xludf.DUMMYFUNCTION("""COMPUTED_VALUE"""),3527152.0)</f>
        <v>3527152</v>
      </c>
      <c r="C3498" t="str">
        <f>IFERROR(__xludf.DUMMYFUNCTION("""COMPUTED_VALUE"""),"Inteligencia Emocional Según la Universidad de Harvard")</f>
        <v>Inteligencia Emocional Según la Universidad de Harvard</v>
      </c>
    </row>
    <row r="3499">
      <c r="A3499" s="140" t="str">
        <f>IFERROR(__xludf.DUMMYFUNCTION("""COMPUTED_VALUE"""),"en")</f>
        <v>en</v>
      </c>
      <c r="B3499">
        <f>IFERROR(__xludf.DUMMYFUNCTION("""COMPUTED_VALUE"""),3686390.0)</f>
        <v>3686390</v>
      </c>
      <c r="C3499" t="str">
        <f>IFERROR(__xludf.DUMMYFUNCTION("""COMPUTED_VALUE"""),"The Complete Guide to Bubble Visual Programming")</f>
        <v>The Complete Guide to Bubble Visual Programming</v>
      </c>
    </row>
    <row r="3500">
      <c r="A3500" s="140" t="str">
        <f>IFERROR(__xludf.DUMMYFUNCTION("""COMPUTED_VALUE"""),"en")</f>
        <v>en</v>
      </c>
      <c r="B3500">
        <f>IFERROR(__xludf.DUMMYFUNCTION("""COMPUTED_VALUE"""),2394610.0)</f>
        <v>2394610</v>
      </c>
      <c r="C3500" t="str">
        <f>IFERROR(__xludf.DUMMYFUNCTION("""COMPUTED_VALUE"""),"Kafka &amp; Kafka Stream With Java Spring Boot - Hands-on Coding")</f>
        <v>Kafka &amp; Kafka Stream With Java Spring Boot - Hands-on Coding</v>
      </c>
    </row>
    <row r="3501">
      <c r="A3501" s="140" t="str">
        <f>IFERROR(__xludf.DUMMYFUNCTION("""COMPUTED_VALUE"""),"es")</f>
        <v>es</v>
      </c>
      <c r="B3501">
        <f>IFERROR(__xludf.DUMMYFUNCTION("""COMPUTED_VALUE"""),2165162.0)</f>
        <v>2165162</v>
      </c>
      <c r="C3501" t="str">
        <f>IFERROR(__xludf.DUMMYFUNCTION("""COMPUTED_VALUE"""),"Service Desk Practica - Complemento para ITIL")</f>
        <v>Service Desk Practica - Complemento para ITIL</v>
      </c>
    </row>
    <row r="3502">
      <c r="A3502" s="140" t="str">
        <f>IFERROR(__xludf.DUMMYFUNCTION("""COMPUTED_VALUE"""),"en")</f>
        <v>en</v>
      </c>
      <c r="B3502">
        <f>IFERROR(__xludf.DUMMYFUNCTION("""COMPUTED_VALUE"""),1906014.0)</f>
        <v>1906014</v>
      </c>
      <c r="C3502" t="str">
        <f>IFERROR(__xludf.DUMMYFUNCTION("""COMPUTED_VALUE"""),"ArtWorks! Art Therapy Guide For Personal Development")</f>
        <v>ArtWorks! Art Therapy Guide For Personal Development</v>
      </c>
    </row>
    <row r="3503">
      <c r="A3503" s="140" t="str">
        <f>IFERROR(__xludf.DUMMYFUNCTION("""COMPUTED_VALUE"""),"en")</f>
        <v>en</v>
      </c>
      <c r="B3503">
        <f>IFERROR(__xludf.DUMMYFUNCTION("""COMPUTED_VALUE"""),1344388.0)</f>
        <v>1344388</v>
      </c>
      <c r="C3503" t="str">
        <f>IFERROR(__xludf.DUMMYFUNCTION("""COMPUTED_VALUE"""),"Instructional Design Pro (Part 2): No Beginners Allowed!")</f>
        <v>Instructional Design Pro (Part 2): No Beginners Allowed!</v>
      </c>
    </row>
    <row r="3504">
      <c r="A3504" s="140" t="str">
        <f>IFERROR(__xludf.DUMMYFUNCTION("""COMPUTED_VALUE"""),"en")</f>
        <v>en</v>
      </c>
      <c r="B3504">
        <f>IFERROR(__xludf.DUMMYFUNCTION("""COMPUTED_VALUE"""),1244262.0)</f>
        <v>1244262</v>
      </c>
      <c r="C3504" t="str">
        <f>IFERROR(__xludf.DUMMYFUNCTION("""COMPUTED_VALUE"""),"An Introduction to Google Cloud Platform for Data Engineers")</f>
        <v>An Introduction to Google Cloud Platform for Data Engineers</v>
      </c>
    </row>
    <row r="3505">
      <c r="A3505" s="140" t="str">
        <f>IFERROR(__xludf.DUMMYFUNCTION("""COMPUTED_VALUE"""),"en")</f>
        <v>en</v>
      </c>
      <c r="B3505">
        <f>IFERROR(__xludf.DUMMYFUNCTION("""COMPUTED_VALUE"""),3460688.0)</f>
        <v>3460688</v>
      </c>
      <c r="C3505" t="str">
        <f>IFERROR(__xludf.DUMMYFUNCTION("""COMPUTED_VALUE"""),"Apache Spark 3 - Real-time Stream Processing using Scala")</f>
        <v>Apache Spark 3 - Real-time Stream Processing using Scala</v>
      </c>
    </row>
    <row r="3506">
      <c r="A3506" s="140" t="str">
        <f>IFERROR(__xludf.DUMMYFUNCTION("""COMPUTED_VALUE"""),"en")</f>
        <v>en</v>
      </c>
      <c r="B3506">
        <f>IFERROR(__xludf.DUMMYFUNCTION("""COMPUTED_VALUE"""),1122044.0)</f>
        <v>1122044</v>
      </c>
      <c r="C3506" t="str">
        <f>IFERROR(__xludf.DUMMYFUNCTION("""COMPUTED_VALUE"""),"Mobile App Development with PhoneGap")</f>
        <v>Mobile App Development with PhoneGap</v>
      </c>
    </row>
    <row r="3507">
      <c r="A3507" s="140" t="str">
        <f>IFERROR(__xludf.DUMMYFUNCTION("""COMPUTED_VALUE"""),"en")</f>
        <v>en</v>
      </c>
      <c r="B3507">
        <f>IFERROR(__xludf.DUMMYFUNCTION("""COMPUTED_VALUE"""),2539828.0)</f>
        <v>2539828</v>
      </c>
      <c r="C3507" t="str">
        <f>IFERROR(__xludf.DUMMYFUNCTION("""COMPUTED_VALUE"""),"AZ-204 Developing Solutions for Azure Certification 2021")</f>
        <v>AZ-204 Developing Solutions for Azure Certification 2021</v>
      </c>
    </row>
    <row r="3508">
      <c r="A3508" s="140" t="str">
        <f>IFERROR(__xludf.DUMMYFUNCTION("""COMPUTED_VALUE"""),"en")</f>
        <v>en</v>
      </c>
      <c r="B3508">
        <f>IFERROR(__xludf.DUMMYFUNCTION("""COMPUTED_VALUE"""),595258.0)</f>
        <v>595258</v>
      </c>
      <c r="C3508" t="str">
        <f>IFERROR(__xludf.DUMMYFUNCTION("""COMPUTED_VALUE"""),"Finance for Non-Finance: Learn Quick and Easy")</f>
        <v>Finance for Non-Finance: Learn Quick and Easy</v>
      </c>
    </row>
    <row r="3509">
      <c r="A3509" s="140" t="str">
        <f>IFERROR(__xludf.DUMMYFUNCTION("""COMPUTED_VALUE"""),"ja")</f>
        <v>ja</v>
      </c>
      <c r="B3509">
        <f>IFERROR(__xludf.DUMMYFUNCTION("""COMPUTED_VALUE"""),2080034.0)</f>
        <v>2080034</v>
      </c>
      <c r="C3509" t="str">
        <f>IFERROR(__xludf.DUMMYFUNCTION("""COMPUTED_VALUE"""),"Excel上級者へのVLOOKUPマスター(INDEX+MATCH関数入り)手を動かして学ぶ忍者シリーズ「疾風の書」")</f>
        <v>Excel上級者へのVLOOKUPマスター(INDEX+MATCH関数入り)手を動かして学ぶ忍者シリーズ「疾風の書」</v>
      </c>
    </row>
    <row r="3510">
      <c r="A3510" s="140" t="str">
        <f>IFERROR(__xludf.DUMMYFUNCTION("""COMPUTED_VALUE"""),"en")</f>
        <v>en</v>
      </c>
      <c r="B3510">
        <f>IFERROR(__xludf.DUMMYFUNCTION("""COMPUTED_VALUE"""),1530072.0)</f>
        <v>1530072</v>
      </c>
      <c r="C3510" t="str">
        <f>IFERROR(__xludf.DUMMYFUNCTION("""COMPUTED_VALUE"""),"Labor Relations for Human Resources")</f>
        <v>Labor Relations for Human Resources</v>
      </c>
    </row>
    <row r="3511">
      <c r="A3511" s="140" t="str">
        <f>IFERROR(__xludf.DUMMYFUNCTION("""COMPUTED_VALUE"""),"en")</f>
        <v>en</v>
      </c>
      <c r="B3511">
        <f>IFERROR(__xludf.DUMMYFUNCTION("""COMPUTED_VALUE"""),3533422.0)</f>
        <v>3533422</v>
      </c>
      <c r="C3511" t="str">
        <f>IFERROR(__xludf.DUMMYFUNCTION("""COMPUTED_VALUE"""),"MERN eCommerce From Scratch")</f>
        <v>MERN eCommerce From Scratch</v>
      </c>
    </row>
    <row r="3512">
      <c r="A3512" s="140" t="str">
        <f>IFERROR(__xludf.DUMMYFUNCTION("""COMPUTED_VALUE"""),"en")</f>
        <v>en</v>
      </c>
      <c r="B3512">
        <f>IFERROR(__xludf.DUMMYFUNCTION("""COMPUTED_VALUE"""),565120.0)</f>
        <v>565120</v>
      </c>
      <c r="C3512" t="str">
        <f>IFERROR(__xludf.DUMMYFUNCTION("""COMPUTED_VALUE"""),"MS Office 2013: 10-in-1 Courses To Maximize Productivity")</f>
        <v>MS Office 2013: 10-in-1 Courses To Maximize Productivity</v>
      </c>
    </row>
    <row r="3513">
      <c r="A3513" s="140" t="str">
        <f>IFERROR(__xludf.DUMMYFUNCTION("""COMPUTED_VALUE"""),"en")</f>
        <v>en</v>
      </c>
      <c r="B3513">
        <f>IFERROR(__xludf.DUMMYFUNCTION("""COMPUTED_VALUE"""),2551689.0)</f>
        <v>2551689</v>
      </c>
      <c r="C3513" t="str">
        <f>IFERROR(__xludf.DUMMYFUNCTION("""COMPUTED_VALUE"""),"Complete Backend (API) Development with Python A-Z™")</f>
        <v>Complete Backend (API) Development with Python A-Z™</v>
      </c>
    </row>
    <row r="3514">
      <c r="A3514" s="140" t="str">
        <f>IFERROR(__xludf.DUMMYFUNCTION("""COMPUTED_VALUE"""),"en")</f>
        <v>en</v>
      </c>
      <c r="B3514">
        <f>IFERROR(__xludf.DUMMYFUNCTION("""COMPUTED_VALUE"""),2824191.0)</f>
        <v>2824191</v>
      </c>
      <c r="C3514" t="str">
        <f>IFERROR(__xludf.DUMMYFUNCTION("""COMPUTED_VALUE"""),"Gulp 4: Automate your development workflow")</f>
        <v>Gulp 4: Automate your development workflow</v>
      </c>
    </row>
    <row r="3515">
      <c r="A3515" s="140" t="str">
        <f>IFERROR(__xludf.DUMMYFUNCTION("""COMPUTED_VALUE"""),"en")</f>
        <v>en</v>
      </c>
      <c r="B3515">
        <f>IFERROR(__xludf.DUMMYFUNCTION("""COMPUTED_VALUE"""),2647244.0)</f>
        <v>2647244</v>
      </c>
      <c r="C3515" t="str">
        <f>IFERROR(__xludf.DUMMYFUNCTION("""COMPUTED_VALUE"""),"Software Performance Testing and Engineering")</f>
        <v>Software Performance Testing and Engineering</v>
      </c>
    </row>
    <row r="3516">
      <c r="A3516" s="140" t="str">
        <f>IFERROR(__xludf.DUMMYFUNCTION("""COMPUTED_VALUE"""),"en")</f>
        <v>en</v>
      </c>
      <c r="B3516">
        <f>IFERROR(__xludf.DUMMYFUNCTION("""COMPUTED_VALUE"""),637930.0)</f>
        <v>637930</v>
      </c>
      <c r="C3516" t="str">
        <f>IFERROR(__xludf.DUMMYFUNCTION("""COMPUTED_VALUE"""),"An Entire MBA in 1 Course:Award Winning Business School Prof")</f>
        <v>An Entire MBA in 1 Course:Award Winning Business School Prof</v>
      </c>
    </row>
    <row r="3517">
      <c r="A3517" s="140" t="str">
        <f>IFERROR(__xludf.DUMMYFUNCTION("""COMPUTED_VALUE"""),"en")</f>
        <v>en</v>
      </c>
      <c r="B3517">
        <f>IFERROR(__xludf.DUMMYFUNCTION("""COMPUTED_VALUE"""),348510.0)</f>
        <v>348510</v>
      </c>
      <c r="C3517" t="str">
        <f>IFERROR(__xludf.DUMMYFUNCTION("""COMPUTED_VALUE"""),"Time Management Public Speaking - Drastically Reduce Prep")</f>
        <v>Time Management Public Speaking - Drastically Reduce Prep</v>
      </c>
    </row>
    <row r="3518">
      <c r="A3518" s="140" t="str">
        <f>IFERROR(__xludf.DUMMYFUNCTION("""COMPUTED_VALUE"""),"es")</f>
        <v>es</v>
      </c>
      <c r="B3518">
        <f>IFERROR(__xludf.DUMMYFUNCTION("""COMPUTED_VALUE"""),1001448.0)</f>
        <v>1001448</v>
      </c>
      <c r="C3518" t="str">
        <f>IFERROR(__xludf.DUMMYFUNCTION("""COMPUTED_VALUE"""),"Influencia y Negociación - Fundamentos de Liderazgo 3")</f>
        <v>Influencia y Negociación - Fundamentos de Liderazgo 3</v>
      </c>
    </row>
    <row r="3519">
      <c r="A3519" s="140" t="str">
        <f>IFERROR(__xludf.DUMMYFUNCTION("""COMPUTED_VALUE"""),"en")</f>
        <v>en</v>
      </c>
      <c r="B3519">
        <f>IFERROR(__xludf.DUMMYFUNCTION("""COMPUTED_VALUE"""),1324662.0)</f>
        <v>1324662</v>
      </c>
      <c r="C3519" t="str">
        <f>IFERROR(__xludf.DUMMYFUNCTION("""COMPUTED_VALUE"""),"Food Safety in catering (UK)")</f>
        <v>Food Safety in catering (UK)</v>
      </c>
    </row>
    <row r="3520">
      <c r="A3520" s="140" t="str">
        <f>IFERROR(__xludf.DUMMYFUNCTION("""COMPUTED_VALUE"""),"ja")</f>
        <v>ja</v>
      </c>
      <c r="B3520">
        <f>IFERROR(__xludf.DUMMYFUNCTION("""COMPUTED_VALUE"""),2037478.0)</f>
        <v>2037478</v>
      </c>
      <c r="C3520" t="str">
        <f>IFERROR(__xludf.DUMMYFUNCTION("""COMPUTED_VALUE"""),"Excelショートカット忍法帖　90以上のエクセル時短技を、手を動かして覚える150分")</f>
        <v>Excelショートカット忍法帖　90以上のエクセル時短技を、手を動かして覚える150分</v>
      </c>
    </row>
    <row r="3521">
      <c r="A3521" s="140" t="str">
        <f>IFERROR(__xludf.DUMMYFUNCTION("""COMPUTED_VALUE"""),"de")</f>
        <v>de</v>
      </c>
      <c r="B3521">
        <f>IFERROR(__xludf.DUMMYFUNCTION("""COMPUTED_VALUE"""),2226184.0)</f>
        <v>2226184</v>
      </c>
      <c r="C3521" t="str">
        <f>IFERROR(__xludf.DUMMYFUNCTION("""COMPUTED_VALUE"""),"Vermögensaufbau und Altersvorsorge mit Indexfonds und ETFs")</f>
        <v>Vermögensaufbau und Altersvorsorge mit Indexfonds und ETFs</v>
      </c>
    </row>
    <row r="3522">
      <c r="A3522" s="140" t="str">
        <f>IFERROR(__xludf.DUMMYFUNCTION("""COMPUTED_VALUE"""),"fr")</f>
        <v>fr</v>
      </c>
      <c r="B3522">
        <f>IFERROR(__xludf.DUMMYFUNCTION("""COMPUTED_VALUE"""),2319258.0)</f>
        <v>2319258</v>
      </c>
      <c r="C3522" t="str">
        <f>IFERROR(__xludf.DUMMYFUNCTION("""COMPUTED_VALUE"""),"Comment installer un LMS Open Source - Part 2")</f>
        <v>Comment installer un LMS Open Source - Part 2</v>
      </c>
    </row>
    <row r="3523">
      <c r="A3523" s="140" t="str">
        <f>IFERROR(__xludf.DUMMYFUNCTION("""COMPUTED_VALUE"""),"en")</f>
        <v>en</v>
      </c>
      <c r="B3523">
        <f>IFERROR(__xludf.DUMMYFUNCTION("""COMPUTED_VALUE"""),1111700.0)</f>
        <v>1111700</v>
      </c>
      <c r="C3523" t="str">
        <f>IFERROR(__xludf.DUMMYFUNCTION("""COMPUTED_VALUE"""),"Cisco CyberOps Associate CBROPS 200-201: Part 2 Course")</f>
        <v>Cisco CyberOps Associate CBROPS 200-201: Part 2 Course</v>
      </c>
    </row>
    <row r="3524">
      <c r="A3524" s="140" t="str">
        <f>IFERROR(__xludf.DUMMYFUNCTION("""COMPUTED_VALUE"""),"en")</f>
        <v>en</v>
      </c>
      <c r="B3524">
        <f>IFERROR(__xludf.DUMMYFUNCTION("""COMPUTED_VALUE"""),1614438.0)</f>
        <v>1614438</v>
      </c>
      <c r="C3524" t="str">
        <f>IFERROR(__xludf.DUMMYFUNCTION("""COMPUTED_VALUE"""),"Mainframe: The Complete COBOL Course From Beginner To Expert")</f>
        <v>Mainframe: The Complete COBOL Course From Beginner To Expert</v>
      </c>
    </row>
    <row r="3525">
      <c r="A3525" s="140" t="str">
        <f>IFERROR(__xludf.DUMMYFUNCTION("""COMPUTED_VALUE"""),"en")</f>
        <v>en</v>
      </c>
      <c r="B3525">
        <f>IFERROR(__xludf.DUMMYFUNCTION("""COMPUTED_VALUE"""),1160756.0)</f>
        <v>1160756</v>
      </c>
      <c r="C3525" t="str">
        <f>IFERROR(__xludf.DUMMYFUNCTION("""COMPUTED_VALUE"""),"SAP GRC Access Control 10 Connector Configuration")</f>
        <v>SAP GRC Access Control 10 Connector Configuration</v>
      </c>
    </row>
    <row r="3526">
      <c r="A3526" s="140" t="str">
        <f>IFERROR(__xludf.DUMMYFUNCTION("""COMPUTED_VALUE"""),"en")</f>
        <v>en</v>
      </c>
      <c r="B3526">
        <f>IFERROR(__xludf.DUMMYFUNCTION("""COMPUTED_VALUE"""),547072.0)</f>
        <v>547072</v>
      </c>
      <c r="C3526" t="str">
        <f>IFERROR(__xludf.DUMMYFUNCTION("""COMPUTED_VALUE"""),"Customer Service: Keep 'em coming back!")</f>
        <v>Customer Service: Keep 'em coming back!</v>
      </c>
    </row>
    <row r="3527">
      <c r="A3527" s="140" t="str">
        <f>IFERROR(__xludf.DUMMYFUNCTION("""COMPUTED_VALUE"""),"en")</f>
        <v>en</v>
      </c>
      <c r="B3527">
        <f>IFERROR(__xludf.DUMMYFUNCTION("""COMPUTED_VALUE"""),2276255.0)</f>
        <v>2276255</v>
      </c>
      <c r="C3527" t="str">
        <f>IFERROR(__xludf.DUMMYFUNCTION("""COMPUTED_VALUE"""),"Revenue Recognition - IFRS 15 &amp; ASC 606")</f>
        <v>Revenue Recognition - IFRS 15 &amp; ASC 606</v>
      </c>
    </row>
    <row r="3528">
      <c r="A3528" s="140" t="str">
        <f>IFERROR(__xludf.DUMMYFUNCTION("""COMPUTED_VALUE"""),"en")</f>
        <v>en</v>
      </c>
      <c r="B3528">
        <f>IFERROR(__xludf.DUMMYFUNCTION("""COMPUTED_VALUE"""),1217180.0)</f>
        <v>1217180</v>
      </c>
      <c r="C3528" t="str">
        <f>IFERROR(__xludf.DUMMYFUNCTION("""COMPUTED_VALUE"""),"Meditation and the Evolution of Consciousness with Daaji")</f>
        <v>Meditation and the Evolution of Consciousness with Daaji</v>
      </c>
    </row>
    <row r="3529">
      <c r="A3529" s="140" t="str">
        <f>IFERROR(__xludf.DUMMYFUNCTION("""COMPUTED_VALUE"""),"ja")</f>
        <v>ja</v>
      </c>
      <c r="B3529">
        <f>IFERROR(__xludf.DUMMYFUNCTION("""COMPUTED_VALUE"""),3921464.0)</f>
        <v>3921464</v>
      </c>
      <c r="C3529" t="str">
        <f>IFERROR(__xludf.DUMMYFUNCTION("""COMPUTED_VALUE"""),"【世界で1万人が受講！】交渉の基礎：効果的な交渉の進め方")</f>
        <v>【世界で1万人が受講！】交渉の基礎：効果的な交渉の進め方</v>
      </c>
    </row>
    <row r="3530">
      <c r="A3530" s="140" t="str">
        <f>IFERROR(__xludf.DUMMYFUNCTION("""COMPUTED_VALUE"""),"en")</f>
        <v>en</v>
      </c>
      <c r="B3530">
        <f>IFERROR(__xludf.DUMMYFUNCTION("""COMPUTED_VALUE"""),1027180.0)</f>
        <v>1027180</v>
      </c>
      <c r="C3530" t="str">
        <f>IFERROR(__xludf.DUMMYFUNCTION("""COMPUTED_VALUE"""),"Video Production Bootcamp: Videography, Cinematography+")</f>
        <v>Video Production Bootcamp: Videography, Cinematography+</v>
      </c>
    </row>
    <row r="3531">
      <c r="A3531" s="140" t="str">
        <f>IFERROR(__xludf.DUMMYFUNCTION("""COMPUTED_VALUE"""),"es")</f>
        <v>es</v>
      </c>
      <c r="B3531">
        <f>IFERROR(__xludf.DUMMYFUNCTION("""COMPUTED_VALUE"""),2068439.0)</f>
        <v>2068439</v>
      </c>
      <c r="C3531" t="str">
        <f>IFERROR(__xludf.DUMMYFUNCTION("""COMPUTED_VALUE"""),"Curso Completo de Computación [Informática]")</f>
        <v>Curso Completo de Computación [Informática]</v>
      </c>
    </row>
    <row r="3532">
      <c r="A3532" s="140" t="str">
        <f>IFERROR(__xludf.DUMMYFUNCTION("""COMPUTED_VALUE"""),"en")</f>
        <v>en</v>
      </c>
      <c r="B3532">
        <f>IFERROR(__xludf.DUMMYFUNCTION("""COMPUTED_VALUE"""),2215064.0)</f>
        <v>2215064</v>
      </c>
      <c r="C3532" t="str">
        <f>IFERROR(__xludf.DUMMYFUNCTION("""COMPUTED_VALUE"""),"The Essential Guide for Effective Managers")</f>
        <v>The Essential Guide for Effective Managers</v>
      </c>
    </row>
    <row r="3533">
      <c r="A3533" s="140" t="str">
        <f>IFERROR(__xludf.DUMMYFUNCTION("""COMPUTED_VALUE"""),"en")</f>
        <v>en</v>
      </c>
      <c r="B3533">
        <f>IFERROR(__xludf.DUMMYFUNCTION("""COMPUTED_VALUE"""),694982.0)</f>
        <v>694982</v>
      </c>
      <c r="C3533" t="str">
        <f>IFERROR(__xludf.DUMMYFUNCTION("""COMPUTED_VALUE"""),"Rest API Testing (Automation) from Scratch-Rest Assured Java")</f>
        <v>Rest API Testing (Automation) from Scratch-Rest Assured Java</v>
      </c>
    </row>
    <row r="3534">
      <c r="A3534" s="140" t="str">
        <f>IFERROR(__xludf.DUMMYFUNCTION("""COMPUTED_VALUE"""),"en")</f>
        <v>en</v>
      </c>
      <c r="B3534">
        <f>IFERROR(__xludf.DUMMYFUNCTION("""COMPUTED_VALUE"""),63594.0)</f>
        <v>63594</v>
      </c>
      <c r="C3534" t="str">
        <f>IFERROR(__xludf.DUMMYFUNCTION("""COMPUTED_VALUE"""),"Predict Consumer Decisions with Choice-Based Conjoint")</f>
        <v>Predict Consumer Decisions with Choice-Based Conjoint</v>
      </c>
    </row>
    <row r="3535">
      <c r="A3535" s="140" t="str">
        <f>IFERROR(__xludf.DUMMYFUNCTION("""COMPUTED_VALUE"""),"en")</f>
        <v>en</v>
      </c>
      <c r="B3535">
        <f>IFERROR(__xludf.DUMMYFUNCTION("""COMPUTED_VALUE"""),3476654.0)</f>
        <v>3476654</v>
      </c>
      <c r="C3535" t="str">
        <f>IFERROR(__xludf.DUMMYFUNCTION("""COMPUTED_VALUE"""),"5G, 4G LTE, 3G, 2G; Mobile/Cellular Networks For Beginners")</f>
        <v>5G, 4G LTE, 3G, 2G; Mobile/Cellular Networks For Beginners</v>
      </c>
    </row>
    <row r="3536">
      <c r="A3536" s="140" t="str">
        <f>IFERROR(__xludf.DUMMYFUNCTION("""COMPUTED_VALUE"""),"en")</f>
        <v>en</v>
      </c>
      <c r="B3536">
        <f>IFERROR(__xludf.DUMMYFUNCTION("""COMPUTED_VALUE"""),1740734.0)</f>
        <v>1740734</v>
      </c>
      <c r="C3536" t="str">
        <f>IFERROR(__xludf.DUMMYFUNCTION("""COMPUTED_VALUE"""),"HAProxy for Beginners")</f>
        <v>HAProxy for Beginners</v>
      </c>
    </row>
    <row r="3537">
      <c r="A3537" s="140" t="str">
        <f>IFERROR(__xludf.DUMMYFUNCTION("""COMPUTED_VALUE"""),"ko")</f>
        <v>ko</v>
      </c>
      <c r="B3537">
        <f>IFERROR(__xludf.DUMMYFUNCTION("""COMPUTED_VALUE"""),2366012.0)</f>
        <v>2366012</v>
      </c>
      <c r="C3537" t="str">
        <f>IFERROR(__xludf.DUMMYFUNCTION("""COMPUTED_VALUE"""),"파이썬 Python 드론 프로그래밍 입문 - 미국 실리콘밸리 현역 엔지니어와 함께 드론을 날려봅시다")</f>
        <v>파이썬 Python 드론 프로그래밍 입문 - 미국 실리콘밸리 현역 엔지니어와 함께 드론을 날려봅시다</v>
      </c>
    </row>
    <row r="3538">
      <c r="A3538" s="140" t="str">
        <f>IFERROR(__xludf.DUMMYFUNCTION("""COMPUTED_VALUE"""),"en")</f>
        <v>en</v>
      </c>
      <c r="B3538">
        <f>IFERROR(__xludf.DUMMYFUNCTION("""COMPUTED_VALUE"""),2099870.0)</f>
        <v>2099870</v>
      </c>
      <c r="C3538" t="str">
        <f>IFERROR(__xludf.DUMMYFUNCTION("""COMPUTED_VALUE"""),"Liferay for Beginners Create Your Website Without Coding")</f>
        <v>Liferay for Beginners Create Your Website Without Coding</v>
      </c>
    </row>
    <row r="3539">
      <c r="A3539" s="140" t="str">
        <f>IFERROR(__xludf.DUMMYFUNCTION("""COMPUTED_VALUE"""),"pt")</f>
        <v>pt</v>
      </c>
      <c r="B3539">
        <f>IFERROR(__xludf.DUMMYFUNCTION("""COMPUTED_VALUE"""),2335814.0)</f>
        <v>2335814</v>
      </c>
      <c r="C3539" t="str">
        <f>IFERROR(__xludf.DUMMYFUNCTION("""COMPUTED_VALUE"""),"Como criar WEB SERVICES em PHP com JSON para APLICATIVOS.")</f>
        <v>Como criar WEB SERVICES em PHP com JSON para APLICATIVOS.</v>
      </c>
    </row>
    <row r="3540">
      <c r="A3540" s="140" t="str">
        <f>IFERROR(__xludf.DUMMYFUNCTION("""COMPUTED_VALUE"""),"en")</f>
        <v>en</v>
      </c>
      <c r="B3540">
        <f>IFERROR(__xludf.DUMMYFUNCTION("""COMPUTED_VALUE"""),723878.0)</f>
        <v>723878</v>
      </c>
      <c r="C3540" t="str">
        <f>IFERROR(__xludf.DUMMYFUNCTION("""COMPUTED_VALUE"""),"Bootstrap 4 Beginners: Code a Responsive Landing Page")</f>
        <v>Bootstrap 4 Beginners: Code a Responsive Landing Page</v>
      </c>
    </row>
    <row r="3541">
      <c r="A3541" s="140" t="str">
        <f>IFERROR(__xludf.DUMMYFUNCTION("""COMPUTED_VALUE"""),"en")</f>
        <v>en</v>
      </c>
      <c r="B3541">
        <f>IFERROR(__xludf.DUMMYFUNCTION("""COMPUTED_VALUE"""),1861396.0)</f>
        <v>1861396</v>
      </c>
      <c r="C3541" t="str">
        <f>IFERROR(__xludf.DUMMYFUNCTION("""COMPUTED_VALUE"""),"QC101 Quantum Computing &amp; Quantum Physics for Beginners")</f>
        <v>QC101 Quantum Computing &amp; Quantum Physics for Beginners</v>
      </c>
    </row>
    <row r="3542">
      <c r="A3542" s="140" t="str">
        <f>IFERROR(__xludf.DUMMYFUNCTION("""COMPUTED_VALUE"""),"en")</f>
        <v>en</v>
      </c>
      <c r="B3542">
        <f>IFERROR(__xludf.DUMMYFUNCTION("""COMPUTED_VALUE"""),1651518.0)</f>
        <v>1651518</v>
      </c>
      <c r="C3542" t="str">
        <f>IFERROR(__xludf.DUMMYFUNCTION("""COMPUTED_VALUE"""),"Effective Bookkeeping and Payroll")</f>
        <v>Effective Bookkeeping and Payroll</v>
      </c>
    </row>
    <row r="3543">
      <c r="A3543" s="140" t="str">
        <f>IFERROR(__xludf.DUMMYFUNCTION("""COMPUTED_VALUE"""),"en")</f>
        <v>en</v>
      </c>
      <c r="B3543">
        <f>IFERROR(__xludf.DUMMYFUNCTION("""COMPUTED_VALUE"""),2092642.0)</f>
        <v>2092642</v>
      </c>
      <c r="C3543" t="str">
        <f>IFERROR(__xludf.DUMMYFUNCTION("""COMPUTED_VALUE"""),"The Superboss Playbook for Managers")</f>
        <v>The Superboss Playbook for Managers</v>
      </c>
    </row>
    <row r="3544">
      <c r="A3544" s="140" t="str">
        <f>IFERROR(__xludf.DUMMYFUNCTION("""COMPUTED_VALUE"""),"en")</f>
        <v>en</v>
      </c>
      <c r="B3544">
        <f>IFERROR(__xludf.DUMMYFUNCTION("""COMPUTED_VALUE"""),1123098.0)</f>
        <v>1123098</v>
      </c>
      <c r="C3544" t="str">
        <f>IFERROR(__xludf.DUMMYFUNCTION("""COMPUTED_VALUE"""),"Reactive Angular Course (with RxJs)")</f>
        <v>Reactive Angular Course (with RxJs)</v>
      </c>
    </row>
    <row r="3545">
      <c r="A3545" s="140" t="str">
        <f>IFERROR(__xludf.DUMMYFUNCTION("""COMPUTED_VALUE"""),"fr")</f>
        <v>fr</v>
      </c>
      <c r="B3545">
        <f>IFERROR(__xludf.DUMMYFUNCTION("""COMPUTED_VALUE"""),1906804.0)</f>
        <v>1906804</v>
      </c>
      <c r="C3545" t="str">
        <f>IFERROR(__xludf.DUMMYFUNCTION("""COMPUTED_VALUE"""),"Flexbox CSS - Le guide complet par la pratique")</f>
        <v>Flexbox CSS - Le guide complet par la pratique</v>
      </c>
    </row>
    <row r="3546">
      <c r="A3546" s="140" t="str">
        <f>IFERROR(__xludf.DUMMYFUNCTION("""COMPUTED_VALUE"""),"en")</f>
        <v>en</v>
      </c>
      <c r="B3546">
        <f>IFERROR(__xludf.DUMMYFUNCTION("""COMPUTED_VALUE"""),550604.0)</f>
        <v>550604</v>
      </c>
      <c r="C3546" t="str">
        <f>IFERROR(__xludf.DUMMYFUNCTION("""COMPUTED_VALUE"""),"Intro to Storytelling: Wow Your Crowd")</f>
        <v>Intro to Storytelling: Wow Your Crowd</v>
      </c>
    </row>
    <row r="3547">
      <c r="A3547" s="140" t="str">
        <f>IFERROR(__xludf.DUMMYFUNCTION("""COMPUTED_VALUE"""),"ja")</f>
        <v>ja</v>
      </c>
      <c r="B3547">
        <f>IFERROR(__xludf.DUMMYFUNCTION("""COMPUTED_VALUE"""),3596292.0)</f>
        <v>3596292</v>
      </c>
      <c r="C3547" t="str">
        <f>IFERROR(__xludf.DUMMYFUNCTION("""COMPUTED_VALUE"""),"Python と AWS で始める!! 感情分析 AI を使った実践的 LINE Bot 開発入門")</f>
        <v>Python と AWS で始める!! 感情分析 AI を使った実践的 LINE Bot 開発入門</v>
      </c>
    </row>
    <row r="3548">
      <c r="A3548" s="140" t="str">
        <f>IFERROR(__xludf.DUMMYFUNCTION("""COMPUTED_VALUE"""),"pt")</f>
        <v>pt</v>
      </c>
      <c r="B3548">
        <f>IFERROR(__xludf.DUMMYFUNCTION("""COMPUTED_VALUE"""),2172854.0)</f>
        <v>2172854</v>
      </c>
      <c r="C3548" t="str">
        <f>IFERROR(__xludf.DUMMYFUNCTION("""COMPUTED_VALUE"""),"Desenvolver Sistema LAZARUS 2.0 + ACBR (SAT/NFC-e) + MYSQL")</f>
        <v>Desenvolver Sistema LAZARUS 2.0 + ACBR (SAT/NFC-e) + MYSQL</v>
      </c>
    </row>
    <row r="3549">
      <c r="A3549" s="140" t="str">
        <f>IFERROR(__xludf.DUMMYFUNCTION("""COMPUTED_VALUE"""),"en")</f>
        <v>en</v>
      </c>
      <c r="B3549">
        <f>IFERROR(__xludf.DUMMYFUNCTION("""COMPUTED_VALUE"""),1052828.0)</f>
        <v>1052828</v>
      </c>
      <c r="C3549" t="str">
        <f>IFERROR(__xludf.DUMMYFUNCTION("""COMPUTED_VALUE"""),"Utilizing OneNote 2016 to its Fullest")</f>
        <v>Utilizing OneNote 2016 to its Fullest</v>
      </c>
    </row>
    <row r="3550">
      <c r="A3550" s="140" t="str">
        <f>IFERROR(__xludf.DUMMYFUNCTION("""COMPUTED_VALUE"""),"en")</f>
        <v>en</v>
      </c>
      <c r="B3550">
        <f>IFERROR(__xludf.DUMMYFUNCTION("""COMPUTED_VALUE"""),937586.0)</f>
        <v>937586</v>
      </c>
      <c r="C3550" t="str">
        <f>IFERROR(__xludf.DUMMYFUNCTION("""COMPUTED_VALUE"""),"Ruby on Rails 5 - BDD, RSpec and Capybara")</f>
        <v>Ruby on Rails 5 - BDD, RSpec and Capybara</v>
      </c>
    </row>
    <row r="3551">
      <c r="A3551" s="140" t="str">
        <f>IFERROR(__xludf.DUMMYFUNCTION("""COMPUTED_VALUE"""),"en")</f>
        <v>en</v>
      </c>
      <c r="B3551">
        <f>IFERROR(__xludf.DUMMYFUNCTION("""COMPUTED_VALUE"""),970600.0)</f>
        <v>970600</v>
      </c>
      <c r="C3551" t="str">
        <f>IFERROR(__xludf.DUMMYFUNCTION("""COMPUTED_VALUE"""),"REST APIs with Flask and Python")</f>
        <v>REST APIs with Flask and Python</v>
      </c>
    </row>
    <row r="3552">
      <c r="A3552" s="140" t="str">
        <f>IFERROR(__xludf.DUMMYFUNCTION("""COMPUTED_VALUE"""),"es")</f>
        <v>es</v>
      </c>
      <c r="B3552">
        <f>IFERROR(__xludf.DUMMYFUNCTION("""COMPUTED_VALUE"""),3803578.0)</f>
        <v>3803578</v>
      </c>
      <c r="C3552" t="str">
        <f>IFERROR(__xludf.DUMMYFUNCTION("""COMPUTED_VALUE"""),"Curso de Branding - Marca, Identidad Corporativa, Logotipo.")</f>
        <v>Curso de Branding - Marca, Identidad Corporativa, Logotipo.</v>
      </c>
    </row>
    <row r="3553">
      <c r="A3553" s="140" t="str">
        <f>IFERROR(__xludf.DUMMYFUNCTION("""COMPUTED_VALUE"""),"de")</f>
        <v>de</v>
      </c>
      <c r="B3553">
        <f>IFERROR(__xludf.DUMMYFUNCTION("""COMPUTED_VALUE"""),3285264.0)</f>
        <v>3285264</v>
      </c>
      <c r="C3553" t="str">
        <f>IFERROR(__xludf.DUMMYFUNCTION("""COMPUTED_VALUE"""),"Die TikTok Marketing Masterclass: Tik Tok von A bis Z")</f>
        <v>Die TikTok Marketing Masterclass: Tik Tok von A bis Z</v>
      </c>
    </row>
    <row r="3554">
      <c r="A3554" s="140" t="str">
        <f>IFERROR(__xludf.DUMMYFUNCTION("""COMPUTED_VALUE"""),"en")</f>
        <v>en</v>
      </c>
      <c r="B3554">
        <f>IFERROR(__xludf.DUMMYFUNCTION("""COMPUTED_VALUE"""),1580524.0)</f>
        <v>1580524</v>
      </c>
      <c r="C3554" t="str">
        <f>IFERROR(__xludf.DUMMYFUNCTION("""COMPUTED_VALUE"""),"Angular &amp; Django Full Stack: web, backend API, mobile apps")</f>
        <v>Angular &amp; Django Full Stack: web, backend API, mobile apps</v>
      </c>
    </row>
    <row r="3555">
      <c r="A3555" s="140" t="str">
        <f>IFERROR(__xludf.DUMMYFUNCTION("""COMPUTED_VALUE"""),"es")</f>
        <v>es</v>
      </c>
      <c r="B3555">
        <f>IFERROR(__xludf.DUMMYFUNCTION("""COMPUTED_VALUE"""),1890392.0)</f>
        <v>1890392</v>
      </c>
      <c r="C3555" t="str">
        <f>IFERROR(__xludf.DUMMYFUNCTION("""COMPUTED_VALUE"""),"OSINT: Espionaje Digital Avanzado. Realiza Ciberpatrullaje.-")</f>
        <v>OSINT: Espionaje Digital Avanzado. Realiza Ciberpatrullaje.-</v>
      </c>
    </row>
    <row r="3556">
      <c r="A3556" s="140" t="str">
        <f>IFERROR(__xludf.DUMMYFUNCTION("""COMPUTED_VALUE"""),"en")</f>
        <v>en</v>
      </c>
      <c r="B3556">
        <f>IFERROR(__xludf.DUMMYFUNCTION("""COMPUTED_VALUE"""),4369934.0)</f>
        <v>4369934</v>
      </c>
      <c r="C3556" t="str">
        <f>IFERROR(__xludf.DUMMYFUNCTION("""COMPUTED_VALUE"""),"Personal Growth Masterclass: Accomplish More in Your Career")</f>
        <v>Personal Growth Masterclass: Accomplish More in Your Career</v>
      </c>
    </row>
    <row r="3557">
      <c r="A3557" s="140" t="str">
        <f>IFERROR(__xludf.DUMMYFUNCTION("""COMPUTED_VALUE"""),"en")</f>
        <v>en</v>
      </c>
      <c r="B3557">
        <f>IFERROR(__xludf.DUMMYFUNCTION("""COMPUTED_VALUE"""),2519782.0)</f>
        <v>2519782</v>
      </c>
      <c r="C3557" t="str">
        <f>IFERROR(__xludf.DUMMYFUNCTION("""COMPUTED_VALUE"""),"Primavera Risk Analysis - Step by Step")</f>
        <v>Primavera Risk Analysis - Step by Step</v>
      </c>
    </row>
    <row r="3558">
      <c r="A3558" s="140" t="str">
        <f>IFERROR(__xludf.DUMMYFUNCTION("""COMPUTED_VALUE"""),"en")</f>
        <v>en</v>
      </c>
      <c r="B3558">
        <f>IFERROR(__xludf.DUMMYFUNCTION("""COMPUTED_VALUE"""),932344.0)</f>
        <v>932344</v>
      </c>
      <c r="C3558" t="str">
        <f>IFERROR(__xludf.DUMMYFUNCTION("""COMPUTED_VALUE"""),"Data Analysis with Pandas and Python")</f>
        <v>Data Analysis with Pandas and Python</v>
      </c>
    </row>
    <row r="3559">
      <c r="A3559" s="140" t="str">
        <f>IFERROR(__xludf.DUMMYFUNCTION("""COMPUTED_VALUE"""),"en")</f>
        <v>en</v>
      </c>
      <c r="B3559">
        <f>IFERROR(__xludf.DUMMYFUNCTION("""COMPUTED_VALUE"""),519596.0)</f>
        <v>519596</v>
      </c>
      <c r="C3559" t="str">
        <f>IFERROR(__xludf.DUMMYFUNCTION("""COMPUTED_VALUE"""),"Chart JS, the complete guide. ChartJS missing manual.")</f>
        <v>Chart JS, the complete guide. ChartJS missing manual.</v>
      </c>
    </row>
    <row r="3560">
      <c r="A3560" s="140" t="str">
        <f>IFERROR(__xludf.DUMMYFUNCTION("""COMPUTED_VALUE"""),"en")</f>
        <v>en</v>
      </c>
      <c r="B3560">
        <f>IFERROR(__xludf.DUMMYFUNCTION("""COMPUTED_VALUE"""),476792.0)</f>
        <v>476792</v>
      </c>
      <c r="C3560" t="str">
        <f>IFERROR(__xludf.DUMMYFUNCTION("""COMPUTED_VALUE"""),"How To Write Bulletproof Multi-Threaded C# Code")</f>
        <v>How To Write Bulletproof Multi-Threaded C# Code</v>
      </c>
    </row>
    <row r="3561">
      <c r="A3561" s="140" t="str">
        <f>IFERROR(__xludf.DUMMYFUNCTION("""COMPUTED_VALUE"""),"pt")</f>
        <v>pt</v>
      </c>
      <c r="B3561">
        <f>IFERROR(__xludf.DUMMYFUNCTION("""COMPUTED_VALUE"""),1316330.0)</f>
        <v>1316330</v>
      </c>
      <c r="C3561" t="str">
        <f>IFERROR(__xludf.DUMMYFUNCTION("""COMPUTED_VALUE"""),"Curso Completo do Android Oreo (8.0) - Aprenda com 12 Apps")</f>
        <v>Curso Completo do Android Oreo (8.0) - Aprenda com 12 Apps</v>
      </c>
    </row>
    <row r="3562">
      <c r="A3562" s="140" t="str">
        <f>IFERROR(__xludf.DUMMYFUNCTION("""COMPUTED_VALUE"""),"en")</f>
        <v>en</v>
      </c>
      <c r="B3562">
        <f>IFERROR(__xludf.DUMMYFUNCTION("""COMPUTED_VALUE"""),1586988.0)</f>
        <v>1586988</v>
      </c>
      <c r="C3562" t="str">
        <f>IFERROR(__xludf.DUMMYFUNCTION("""COMPUTED_VALUE"""),"The JavaScript Bible - JavaScript Bootcamp 2021")</f>
        <v>The JavaScript Bible - JavaScript Bootcamp 2021</v>
      </c>
    </row>
    <row r="3563">
      <c r="A3563" s="140" t="str">
        <f>IFERROR(__xludf.DUMMYFUNCTION("""COMPUTED_VALUE"""),"en")</f>
        <v>en</v>
      </c>
      <c r="B3563">
        <f>IFERROR(__xludf.DUMMYFUNCTION("""COMPUTED_VALUE"""),2051741.0)</f>
        <v>2051741</v>
      </c>
      <c r="C3563" t="str">
        <f>IFERROR(__xludf.DUMMYFUNCTION("""COMPUTED_VALUE"""),"Ultimate AWS Certified SysOps Administrator Associate 2021")</f>
        <v>Ultimate AWS Certified SysOps Administrator Associate 2021</v>
      </c>
    </row>
    <row r="3564">
      <c r="A3564" s="140" t="str">
        <f>IFERROR(__xludf.DUMMYFUNCTION("""COMPUTED_VALUE"""),"en")</f>
        <v>en</v>
      </c>
      <c r="B3564">
        <f>IFERROR(__xludf.DUMMYFUNCTION("""COMPUTED_VALUE"""),2428350.0)</f>
        <v>2428350</v>
      </c>
      <c r="C3564" t="str">
        <f>IFERROR(__xludf.DUMMYFUNCTION("""COMPUTED_VALUE"""),"Informatica Cloud Specialist Certification")</f>
        <v>Informatica Cloud Specialist Certification</v>
      </c>
    </row>
    <row r="3565">
      <c r="A3565" s="140" t="str">
        <f>IFERROR(__xludf.DUMMYFUNCTION("""COMPUTED_VALUE"""),"en")</f>
        <v>en</v>
      </c>
      <c r="B3565">
        <f>IFERROR(__xludf.DUMMYFUNCTION("""COMPUTED_VALUE"""),1851642.0)</f>
        <v>1851642</v>
      </c>
      <c r="C3565" t="str">
        <f>IFERROR(__xludf.DUMMYFUNCTION("""COMPUTED_VALUE"""),"Getting Started with .NET Core Identity Server 4")</f>
        <v>Getting Started with .NET Core Identity Server 4</v>
      </c>
    </row>
    <row r="3566">
      <c r="A3566" s="140" t="str">
        <f>IFERROR(__xludf.DUMMYFUNCTION("""COMPUTED_VALUE"""),"tr")</f>
        <v>tr</v>
      </c>
      <c r="B3566">
        <f>IFERROR(__xludf.DUMMYFUNCTION("""COMPUTED_VALUE"""),3349202.0)</f>
        <v>3349202</v>
      </c>
      <c r="C3566" t="str">
        <f>IFERROR(__xludf.DUMMYFUNCTION("""COMPUTED_VALUE"""),"JAVA: Sıfırdan Örneklerle ve Mantığıyla Öğrenin")</f>
        <v>JAVA: Sıfırdan Örneklerle ve Mantığıyla Öğrenin</v>
      </c>
    </row>
    <row r="3567">
      <c r="A3567" s="140" t="str">
        <f>IFERROR(__xludf.DUMMYFUNCTION("""COMPUTED_VALUE"""),"en")</f>
        <v>en</v>
      </c>
      <c r="B3567">
        <f>IFERROR(__xludf.DUMMYFUNCTION("""COMPUTED_VALUE"""),1294188.0)</f>
        <v>1294188</v>
      </c>
      <c r="C3567" t="str">
        <f>IFERROR(__xludf.DUMMYFUNCTION("""COMPUTED_VALUE"""),"Apache Kafka Series - Kafka Streams for Data Processing")</f>
        <v>Apache Kafka Series - Kafka Streams for Data Processing</v>
      </c>
    </row>
    <row r="3568">
      <c r="A3568" s="140" t="str">
        <f>IFERROR(__xludf.DUMMYFUNCTION("""COMPUTED_VALUE"""),"pt")</f>
        <v>pt</v>
      </c>
      <c r="B3568">
        <f>IFERROR(__xludf.DUMMYFUNCTION("""COMPUTED_VALUE"""),1721432.0)</f>
        <v>1721432</v>
      </c>
      <c r="C3568" t="str">
        <f>IFERROR(__xludf.DUMMYFUNCTION("""COMPUTED_VALUE"""),"Excel Focado para o Ambiente Empresarial-Básico ao Avançado!")</f>
        <v>Excel Focado para o Ambiente Empresarial-Básico ao Avançado!</v>
      </c>
    </row>
    <row r="3569">
      <c r="A3569" s="140" t="str">
        <f>IFERROR(__xludf.DUMMYFUNCTION("""COMPUTED_VALUE"""),"ja")</f>
        <v>ja</v>
      </c>
      <c r="B3569">
        <f>IFERROR(__xludf.DUMMYFUNCTION("""COMPUTED_VALUE"""),425640.0)</f>
        <v>425640</v>
      </c>
      <c r="C3569" t="str">
        <f>IFERROR(__xludf.DUMMYFUNCTION("""COMPUTED_VALUE"""),"もう交渉でひるまない！ 世界で通用する強気の英語面接術 （日本語字幕版）")</f>
        <v>もう交渉でひるまない！ 世界で通用する強気の英語面接術 （日本語字幕版）</v>
      </c>
    </row>
    <row r="3570">
      <c r="A3570" s="140" t="str">
        <f>IFERROR(__xludf.DUMMYFUNCTION("""COMPUTED_VALUE"""),"en")</f>
        <v>en</v>
      </c>
      <c r="B3570">
        <f>IFERROR(__xludf.DUMMYFUNCTION("""COMPUTED_VALUE"""),948186.0)</f>
        <v>948186</v>
      </c>
      <c r="C3570" t="str">
        <f>IFERROR(__xludf.DUMMYFUNCTION("""COMPUTED_VALUE"""),"Team workflows in JIRA")</f>
        <v>Team workflows in JIRA</v>
      </c>
    </row>
    <row r="3571">
      <c r="A3571" s="140" t="str">
        <f>IFERROR(__xludf.DUMMYFUNCTION("""COMPUTED_VALUE"""),"fr")</f>
        <v>fr</v>
      </c>
      <c r="B3571">
        <f>IFERROR(__xludf.DUMMYFUNCTION("""COMPUTED_VALUE"""),2768824.0)</f>
        <v>2768824</v>
      </c>
      <c r="C3571" t="str">
        <f>IFERROR(__xludf.DUMMYFUNCTION("""COMPUTED_VALUE"""),"AWS Certified Cloud Practitioner 2021 [dernière édition]")</f>
        <v>AWS Certified Cloud Practitioner 2021 [dernière édition]</v>
      </c>
    </row>
    <row r="3572">
      <c r="A3572" s="140" t="str">
        <f>IFERROR(__xludf.DUMMYFUNCTION("""COMPUTED_VALUE"""),"en")</f>
        <v>en</v>
      </c>
      <c r="B3572">
        <f>IFERROR(__xludf.DUMMYFUNCTION("""COMPUTED_VALUE"""),1934486.0)</f>
        <v>1934486</v>
      </c>
      <c r="C3572" t="str">
        <f>IFERROR(__xludf.DUMMYFUNCTION("""COMPUTED_VALUE"""),"The Ultimate Guide to Digitally Painting Everything")</f>
        <v>The Ultimate Guide to Digitally Painting Everything</v>
      </c>
    </row>
    <row r="3573">
      <c r="A3573" s="140" t="str">
        <f>IFERROR(__xludf.DUMMYFUNCTION("""COMPUTED_VALUE"""),"de")</f>
        <v>de</v>
      </c>
      <c r="B3573">
        <f>IFERROR(__xludf.DUMMYFUNCTION("""COMPUTED_VALUE"""),1203602.0)</f>
        <v>1203602</v>
      </c>
      <c r="C3573" t="str">
        <f>IFERROR(__xludf.DUMMYFUNCTION("""COMPUTED_VALUE"""),"Visualisiere Daten mit Python - auch für Anfänger!")</f>
        <v>Visualisiere Daten mit Python - auch für Anfänger!</v>
      </c>
    </row>
    <row r="3574">
      <c r="A3574" s="140" t="str">
        <f>IFERROR(__xludf.DUMMYFUNCTION("""COMPUTED_VALUE"""),"en")</f>
        <v>en</v>
      </c>
      <c r="B3574">
        <f>IFERROR(__xludf.DUMMYFUNCTION("""COMPUTED_VALUE"""),679242.0)</f>
        <v>679242</v>
      </c>
      <c r="C3574" t="str">
        <f>IFERROR(__xludf.DUMMYFUNCTION("""COMPUTED_VALUE"""),"Automation framework development with Selenium C# (Advanced)")</f>
        <v>Automation framework development with Selenium C# (Advanced)</v>
      </c>
    </row>
    <row r="3575">
      <c r="A3575" s="140" t="str">
        <f>IFERROR(__xludf.DUMMYFUNCTION("""COMPUTED_VALUE"""),"en")</f>
        <v>en</v>
      </c>
      <c r="B3575">
        <f>IFERROR(__xludf.DUMMYFUNCTION("""COMPUTED_VALUE"""),673882.0)</f>
        <v>673882</v>
      </c>
      <c r="C3575" t="str">
        <f>IFERROR(__xludf.DUMMYFUNCTION("""COMPUTED_VALUE"""),"Pardot Training: Get up and running with Salesforce Pardot")</f>
        <v>Pardot Training: Get up and running with Salesforce Pardot</v>
      </c>
    </row>
    <row r="3576">
      <c r="A3576" s="140" t="str">
        <f>IFERROR(__xludf.DUMMYFUNCTION("""COMPUTED_VALUE"""),"en")</f>
        <v>en</v>
      </c>
      <c r="B3576">
        <f>IFERROR(__xludf.DUMMYFUNCTION("""COMPUTED_VALUE"""),696050.0)</f>
        <v>696050</v>
      </c>
      <c r="C3576" t="str">
        <f>IFERROR(__xludf.DUMMYFUNCTION("""COMPUTED_VALUE"""),"Selenium WebDriver With Python 3.x - Novice To Ninja")</f>
        <v>Selenium WebDriver With Python 3.x - Novice To Ninja</v>
      </c>
    </row>
    <row r="3577">
      <c r="A3577" s="140" t="str">
        <f>IFERROR(__xludf.DUMMYFUNCTION("""COMPUTED_VALUE"""),"en")</f>
        <v>en</v>
      </c>
      <c r="B3577">
        <f>IFERROR(__xludf.DUMMYFUNCTION("""COMPUTED_VALUE"""),4396968.0)</f>
        <v>4396968</v>
      </c>
      <c r="C3577" t="str">
        <f>IFERROR(__xludf.DUMMYFUNCTION("""COMPUTED_VALUE"""),"Getting Started with Data Management")</f>
        <v>Getting Started with Data Management</v>
      </c>
    </row>
    <row r="3578">
      <c r="A3578" s="140" t="str">
        <f>IFERROR(__xludf.DUMMYFUNCTION("""COMPUTED_VALUE"""),"ja")</f>
        <v>ja</v>
      </c>
      <c r="B3578">
        <f>IFERROR(__xludf.DUMMYFUNCTION("""COMPUTED_VALUE"""),2603102.0)</f>
        <v>2603102</v>
      </c>
      <c r="C3578" t="str">
        <f>IFERROR(__xludf.DUMMYFUNCTION("""COMPUTED_VALUE"""),"【超実践】すぐに使えるデザイン思考！〜基本をおさえ、日常にイノベーションを起こす38個の習慣〜")</f>
        <v>【超実践】すぐに使えるデザイン思考！〜基本をおさえ、日常にイノベーションを起こす38個の習慣〜</v>
      </c>
    </row>
    <row r="3579">
      <c r="A3579" s="140" t="str">
        <f>IFERROR(__xludf.DUMMYFUNCTION("""COMPUTED_VALUE"""),"ar")</f>
        <v>ar</v>
      </c>
      <c r="B3579">
        <f>IFERROR(__xludf.DUMMYFUNCTION("""COMPUTED_VALUE"""),1584904.0)</f>
        <v>1584904</v>
      </c>
      <c r="C3579" t="str">
        <f>IFERROR(__xludf.DUMMYFUNCTION("""COMPUTED_VALUE"""),"2G, 3G, 4G and Pre 5G Mobile Systems from A to Z in Arabic")</f>
        <v>2G, 3G, 4G and Pre 5G Mobile Systems from A to Z in Arabic</v>
      </c>
    </row>
    <row r="3580">
      <c r="A3580" s="140" t="str">
        <f>IFERROR(__xludf.DUMMYFUNCTION("""COMPUTED_VALUE"""),"en")</f>
        <v>en</v>
      </c>
      <c r="B3580">
        <f>IFERROR(__xludf.DUMMYFUNCTION("""COMPUTED_VALUE"""),336172.0)</f>
        <v>336172</v>
      </c>
      <c r="C3580" t="str">
        <f>IFERROR(__xludf.DUMMYFUNCTION("""COMPUTED_VALUE"""),"How To Remember Everything With Tom Weber")</f>
        <v>How To Remember Everything With Tom Weber</v>
      </c>
    </row>
    <row r="3581">
      <c r="A3581" s="140" t="str">
        <f>IFERROR(__xludf.DUMMYFUNCTION("""COMPUTED_VALUE"""),"es")</f>
        <v>es</v>
      </c>
      <c r="B3581">
        <f>IFERROR(__xludf.DUMMYFUNCTION("""COMPUTED_VALUE"""),2352886.0)</f>
        <v>2352886</v>
      </c>
      <c r="C3581" t="str">
        <f>IFERROR(__xludf.DUMMYFUNCTION("""COMPUTED_VALUE"""),"Modelo de Supply Chain Analytics con Microsoft Power BI")</f>
        <v>Modelo de Supply Chain Analytics con Microsoft Power BI</v>
      </c>
    </row>
    <row r="3582">
      <c r="A3582" s="140" t="str">
        <f>IFERROR(__xludf.DUMMYFUNCTION("""COMPUTED_VALUE"""),"en")</f>
        <v>en</v>
      </c>
      <c r="B3582">
        <f>IFERROR(__xludf.DUMMYFUNCTION("""COMPUTED_VALUE"""),1436826.0)</f>
        <v>1436826</v>
      </c>
      <c r="C3582" t="str">
        <f>IFERROR(__xludf.DUMMYFUNCTION("""COMPUTED_VALUE"""),"3 Minute Portuguese - Course 2 | Lessons for beginners")</f>
        <v>3 Minute Portuguese - Course 2 | Lessons for beginners</v>
      </c>
    </row>
    <row r="3583">
      <c r="A3583" s="140" t="str">
        <f>IFERROR(__xludf.DUMMYFUNCTION("""COMPUTED_VALUE"""),"en")</f>
        <v>en</v>
      </c>
      <c r="B3583">
        <f>IFERROR(__xludf.DUMMYFUNCTION("""COMPUTED_VALUE"""),977810.0)</f>
        <v>977810</v>
      </c>
      <c r="C3583" t="str">
        <f>IFERROR(__xludf.DUMMYFUNCTION("""COMPUTED_VALUE"""),"Learn Modern JavaScript: Getting Started")</f>
        <v>Learn Modern JavaScript: Getting Started</v>
      </c>
    </row>
    <row r="3584">
      <c r="A3584" s="140" t="str">
        <f>IFERROR(__xludf.DUMMYFUNCTION("""COMPUTED_VALUE"""),"en")</f>
        <v>en</v>
      </c>
      <c r="B3584">
        <f>IFERROR(__xludf.DUMMYFUNCTION("""COMPUTED_VALUE"""),2079522.0)</f>
        <v>2079522</v>
      </c>
      <c r="C3584" t="str">
        <f>IFERROR(__xludf.DUMMYFUNCTION("""COMPUTED_VALUE"""),"Interview Training for Hiring Managers and Teams")</f>
        <v>Interview Training for Hiring Managers and Teams</v>
      </c>
    </row>
    <row r="3585">
      <c r="A3585" s="140" t="str">
        <f>IFERROR(__xludf.DUMMYFUNCTION("""COMPUTED_VALUE"""),"en")</f>
        <v>en</v>
      </c>
      <c r="B3585">
        <f>IFERROR(__xludf.DUMMYFUNCTION("""COMPUTED_VALUE"""),726250.0)</f>
        <v>726250</v>
      </c>
      <c r="C3585" t="str">
        <f>IFERROR(__xludf.DUMMYFUNCTION("""COMPUTED_VALUE"""),"Effective Communication for Healthcare Leaders")</f>
        <v>Effective Communication for Healthcare Leaders</v>
      </c>
    </row>
    <row r="3586">
      <c r="A3586" s="140" t="str">
        <f>IFERROR(__xludf.DUMMYFUNCTION("""COMPUTED_VALUE"""),"pt")</f>
        <v>pt</v>
      </c>
      <c r="B3586">
        <f>IFERROR(__xludf.DUMMYFUNCTION("""COMPUTED_VALUE"""),685304.0)</f>
        <v>685304</v>
      </c>
      <c r="C3586" t="str">
        <f>IFERROR(__xludf.DUMMYFUNCTION("""COMPUTED_VALUE"""),"Como falar bem em público e fazer boas apresentações")</f>
        <v>Como falar bem em público e fazer boas apresentações</v>
      </c>
    </row>
    <row r="3587">
      <c r="A3587" s="140" t="str">
        <f>IFERROR(__xludf.DUMMYFUNCTION("""COMPUTED_VALUE"""),"de")</f>
        <v>de</v>
      </c>
      <c r="B3587">
        <f>IFERROR(__xludf.DUMMYFUNCTION("""COMPUTED_VALUE"""),1970058.0)</f>
        <v>1970058</v>
      </c>
      <c r="C3587" t="str">
        <f>IFERROR(__xludf.DUMMYFUNCTION("""COMPUTED_VALUE"""),"Nextcloud 21 Installieren, Einrichten &amp; Anwenden mit Ubuntu")</f>
        <v>Nextcloud 21 Installieren, Einrichten &amp; Anwenden mit Ubuntu</v>
      </c>
    </row>
    <row r="3588">
      <c r="A3588" s="140" t="str">
        <f>IFERROR(__xludf.DUMMYFUNCTION("""COMPUTED_VALUE"""),"en")</f>
        <v>en</v>
      </c>
      <c r="B3588">
        <f>IFERROR(__xludf.DUMMYFUNCTION("""COMPUTED_VALUE"""),567826.0)</f>
        <v>567826</v>
      </c>
      <c r="C3588" t="str">
        <f>IFERROR(__xludf.DUMMYFUNCTION("""COMPUTED_VALUE"""),"Art for Beginners: Drawing and Watercolor Painting Animals")</f>
        <v>Art for Beginners: Drawing and Watercolor Painting Animals</v>
      </c>
    </row>
    <row r="3589">
      <c r="A3589" s="140" t="str">
        <f>IFERROR(__xludf.DUMMYFUNCTION("""COMPUTED_VALUE"""),"pt")</f>
        <v>pt</v>
      </c>
      <c r="B3589">
        <f>IFERROR(__xludf.DUMMYFUNCTION("""COMPUTED_VALUE"""),2397776.0)</f>
        <v>2397776</v>
      </c>
      <c r="C3589" t="str">
        <f>IFERROR(__xludf.DUMMYFUNCTION("""COMPUTED_VALUE"""),"Inglês para Negócios (Business English)")</f>
        <v>Inglês para Negócios (Business English)</v>
      </c>
    </row>
    <row r="3590">
      <c r="A3590" s="140" t="str">
        <f>IFERROR(__xludf.DUMMYFUNCTION("""COMPUTED_VALUE"""),"en")</f>
        <v>en</v>
      </c>
      <c r="B3590">
        <f>IFERROR(__xludf.DUMMYFUNCTION("""COMPUTED_VALUE"""),4029222.0)</f>
        <v>4029222</v>
      </c>
      <c r="C3590" t="str">
        <f>IFERROR(__xludf.DUMMYFUNCTION("""COMPUTED_VALUE"""),"Crash Course on Productivity &amp; Time Management +EXTRA Course")</f>
        <v>Crash Course on Productivity &amp; Time Management +EXTRA Course</v>
      </c>
    </row>
    <row r="3591">
      <c r="A3591" s="140" t="str">
        <f>IFERROR(__xludf.DUMMYFUNCTION("""COMPUTED_VALUE"""),"en")</f>
        <v>en</v>
      </c>
      <c r="B3591">
        <f>IFERROR(__xludf.DUMMYFUNCTION("""COMPUTED_VALUE"""),2040798.0)</f>
        <v>2040798</v>
      </c>
      <c r="C3591" t="str">
        <f>IFERROR(__xludf.DUMMYFUNCTION("""COMPUTED_VALUE"""),"REST API Design, Management, Monitoring &amp; Analytics")</f>
        <v>REST API Design, Management, Monitoring &amp; Analytics</v>
      </c>
    </row>
    <row r="3592">
      <c r="A3592" s="140" t="str">
        <f>IFERROR(__xludf.DUMMYFUNCTION("""COMPUTED_VALUE"""),"ja")</f>
        <v>ja</v>
      </c>
      <c r="B3592">
        <f>IFERROR(__xludf.DUMMYFUNCTION("""COMPUTED_VALUE"""),1093586.0)</f>
        <v>1093586</v>
      </c>
      <c r="C3592" t="str">
        <f>IFERROR(__xludf.DUMMYFUNCTION("""COMPUTED_VALUE"""),"アクションゲームをまるごと作って体験できる！Unityゲーム制作ハンズオン")</f>
        <v>アクションゲームをまるごと作って体験できる！Unityゲーム制作ハンズオン</v>
      </c>
    </row>
    <row r="3593">
      <c r="A3593" s="140" t="str">
        <f>IFERROR(__xludf.DUMMYFUNCTION("""COMPUTED_VALUE"""),"es")</f>
        <v>es</v>
      </c>
      <c r="B3593">
        <f>IFERROR(__xludf.DUMMYFUNCTION("""COMPUTED_VALUE"""),3382290.0)</f>
        <v>3382290</v>
      </c>
      <c r="C3593" t="str">
        <f>IFERROR(__xludf.DUMMYFUNCTION("""COMPUTED_VALUE"""),"Eventos con éxito: gestión y creatividad")</f>
        <v>Eventos con éxito: gestión y creatividad</v>
      </c>
    </row>
    <row r="3594">
      <c r="A3594" s="140" t="str">
        <f>IFERROR(__xludf.DUMMYFUNCTION("""COMPUTED_VALUE"""),"es")</f>
        <v>es</v>
      </c>
      <c r="B3594">
        <f>IFERROR(__xludf.DUMMYFUNCTION("""COMPUTED_VALUE"""),2904144.0)</f>
        <v>2904144</v>
      </c>
      <c r="C3594" t="str">
        <f>IFERROR(__xludf.DUMMYFUNCTION("""COMPUTED_VALUE"""),"CCNA 200-301")</f>
        <v>CCNA 200-301</v>
      </c>
    </row>
    <row r="3595">
      <c r="A3595" s="140" t="str">
        <f>IFERROR(__xludf.DUMMYFUNCTION("""COMPUTED_VALUE"""),"tr")</f>
        <v>tr</v>
      </c>
      <c r="B3595">
        <f>IFERROR(__xludf.DUMMYFUNCTION("""COMPUTED_VALUE"""),3229181.0)</f>
        <v>3229181</v>
      </c>
      <c r="C3595" t="str">
        <f>IFERROR(__xludf.DUMMYFUNCTION("""COMPUTED_VALUE"""),"Pomodoro ile 1 Haftada Python Ögrenin + 100 Soru-Çözüm")</f>
        <v>Pomodoro ile 1 Haftada Python Ögrenin + 100 Soru-Çözüm</v>
      </c>
    </row>
    <row r="3596">
      <c r="A3596" s="140" t="str">
        <f>IFERROR(__xludf.DUMMYFUNCTION("""COMPUTED_VALUE"""),"pt")</f>
        <v>pt</v>
      </c>
      <c r="B3596">
        <f>IFERROR(__xludf.DUMMYFUNCTION("""COMPUTED_VALUE"""),1755476.0)</f>
        <v>1755476</v>
      </c>
      <c r="C3596" t="str">
        <f>IFERROR(__xludf.DUMMYFUNCTION("""COMPUTED_VALUE"""),"HTML e CSS Essencial - Front End Para Iniciantes")</f>
        <v>HTML e CSS Essencial - Front End Para Iniciantes</v>
      </c>
    </row>
    <row r="3597">
      <c r="A3597" s="140" t="str">
        <f>IFERROR(__xludf.DUMMYFUNCTION("""COMPUTED_VALUE"""),"es")</f>
        <v>es</v>
      </c>
      <c r="B3597">
        <f>IFERROR(__xludf.DUMMYFUNCTION("""COMPUTED_VALUE"""),3116520.0)</f>
        <v>3116520</v>
      </c>
      <c r="C3597" t="str">
        <f>IFERROR(__xludf.DUMMYFUNCTION("""COMPUTED_VALUE"""),"Cómo Escribir Un Plan De Negocios Y Una Estrategia Comercial")</f>
        <v>Cómo Escribir Un Plan De Negocios Y Una Estrategia Comercial</v>
      </c>
    </row>
    <row r="3598">
      <c r="A3598" s="140" t="str">
        <f>IFERROR(__xludf.DUMMYFUNCTION("""COMPUTED_VALUE"""),"ar")</f>
        <v>ar</v>
      </c>
      <c r="B3598">
        <f>IFERROR(__xludf.DUMMYFUNCTION("""COMPUTED_VALUE"""),3107370.0)</f>
        <v>3107370</v>
      </c>
      <c r="C3598" t="str">
        <f>IFERROR(__xludf.DUMMYFUNCTION("""COMPUTED_VALUE"""),"The Web Front End Learning Guide")</f>
        <v>The Web Front End Learning Guide</v>
      </c>
    </row>
    <row r="3599">
      <c r="A3599" s="140" t="str">
        <f>IFERROR(__xludf.DUMMYFUNCTION("""COMPUTED_VALUE"""),"en")</f>
        <v>en</v>
      </c>
      <c r="B3599">
        <f>IFERROR(__xludf.DUMMYFUNCTION("""COMPUTED_VALUE"""),2977104.0)</f>
        <v>2977104</v>
      </c>
      <c r="C3599" t="str">
        <f>IFERROR(__xludf.DUMMYFUNCTION("""COMPUTED_VALUE"""),"Aruba Switching Training With Labs For ACSA ACSP HPE")</f>
        <v>Aruba Switching Training With Labs For ACSA ACSP HPE</v>
      </c>
    </row>
    <row r="3600">
      <c r="A3600" s="140" t="str">
        <f>IFERROR(__xludf.DUMMYFUNCTION("""COMPUTED_VALUE"""),"en")</f>
        <v>en</v>
      </c>
      <c r="B3600">
        <f>IFERROR(__xludf.DUMMYFUNCTION("""COMPUTED_VALUE"""),1404946.0)</f>
        <v>1404946</v>
      </c>
      <c r="C3600" t="str">
        <f>IFERROR(__xludf.DUMMYFUNCTION("""COMPUTED_VALUE"""),"Build and Deploy Your First Decentralized App with Etherem")</f>
        <v>Build and Deploy Your First Decentralized App with Etherem</v>
      </c>
    </row>
    <row r="3601">
      <c r="A3601" s="140" t="str">
        <f>IFERROR(__xludf.DUMMYFUNCTION("""COMPUTED_VALUE"""),"en")</f>
        <v>en</v>
      </c>
      <c r="B3601">
        <f>IFERROR(__xludf.DUMMYFUNCTION("""COMPUTED_VALUE"""),954776.0)</f>
        <v>954776</v>
      </c>
      <c r="C3601" t="str">
        <f>IFERROR(__xludf.DUMMYFUNCTION("""COMPUTED_VALUE"""),"Juniper Chassis Clusters (SRX/EX)")</f>
        <v>Juniper Chassis Clusters (SRX/EX)</v>
      </c>
    </row>
    <row r="3602">
      <c r="A3602" s="140" t="str">
        <f>IFERROR(__xludf.DUMMYFUNCTION("""COMPUTED_VALUE"""),"en")</f>
        <v>en</v>
      </c>
      <c r="B3602">
        <f>IFERROR(__xludf.DUMMYFUNCTION("""COMPUTED_VALUE"""),1605992.0)</f>
        <v>1605992</v>
      </c>
      <c r="C3602" t="str">
        <f>IFERROR(__xludf.DUMMYFUNCTION("""COMPUTED_VALUE"""),"Vue JS Essentials with Vuex and Vue Router")</f>
        <v>Vue JS Essentials with Vuex and Vue Router</v>
      </c>
    </row>
    <row r="3603">
      <c r="A3603" s="140" t="str">
        <f>IFERROR(__xludf.DUMMYFUNCTION("""COMPUTED_VALUE"""),"en")</f>
        <v>en</v>
      </c>
      <c r="B3603">
        <f>IFERROR(__xludf.DUMMYFUNCTION("""COMPUTED_VALUE"""),3621118.0)</f>
        <v>3621118</v>
      </c>
      <c r="C3603" t="str">
        <f>IFERROR(__xludf.DUMMYFUNCTION("""COMPUTED_VALUE"""),"Real World Python Test Automation with Pytest (Django app)")</f>
        <v>Real World Python Test Automation with Pytest (Django app)</v>
      </c>
    </row>
    <row r="3604">
      <c r="A3604" s="140" t="str">
        <f>IFERROR(__xludf.DUMMYFUNCTION("""COMPUTED_VALUE"""),"en")</f>
        <v>en</v>
      </c>
      <c r="B3604">
        <f>IFERROR(__xludf.DUMMYFUNCTION("""COMPUTED_VALUE"""),1664482.0)</f>
        <v>1664482</v>
      </c>
      <c r="C3604" t="str">
        <f>IFERROR(__xludf.DUMMYFUNCTION("""COMPUTED_VALUE"""),"The Complete VMware vSphere 7 : Beginner to Advanced-pt 2/2")</f>
        <v>The Complete VMware vSphere 7 : Beginner to Advanced-pt 2/2</v>
      </c>
    </row>
    <row r="3605">
      <c r="A3605" s="140" t="str">
        <f>IFERROR(__xludf.DUMMYFUNCTION("""COMPUTED_VALUE"""),"en")</f>
        <v>en</v>
      </c>
      <c r="B3605">
        <f>IFERROR(__xludf.DUMMYFUNCTION("""COMPUTED_VALUE"""),2183500.0)</f>
        <v>2183500</v>
      </c>
      <c r="C3605" t="str">
        <f>IFERROR(__xludf.DUMMYFUNCTION("""COMPUTED_VALUE"""),"Make Your First 2D Game with Unity &amp; C# - Beginner Course")</f>
        <v>Make Your First 2D Game with Unity &amp; C# - Beginner Course</v>
      </c>
    </row>
    <row r="3606">
      <c r="A3606" s="140" t="str">
        <f>IFERROR(__xludf.DUMMYFUNCTION("""COMPUTED_VALUE"""),"pt")</f>
        <v>pt</v>
      </c>
      <c r="B3606">
        <f>IFERROR(__xludf.DUMMYFUNCTION("""COMPUTED_VALUE"""),894560.0)</f>
        <v>894560</v>
      </c>
      <c r="C3606" t="str">
        <f>IFERROR(__xludf.DUMMYFUNCTION("""COMPUTED_VALUE"""),"Animação no PowerPoint: Slides Animados e Efeitos Incríveis")</f>
        <v>Animação no PowerPoint: Slides Animados e Efeitos Incríveis</v>
      </c>
    </row>
    <row r="3607">
      <c r="A3607" s="140" t="str">
        <f>IFERROR(__xludf.DUMMYFUNCTION("""COMPUTED_VALUE"""),"en")</f>
        <v>en</v>
      </c>
      <c r="B3607">
        <f>IFERROR(__xludf.DUMMYFUNCTION("""COMPUTED_VALUE"""),1434492.0)</f>
        <v>1434492</v>
      </c>
      <c r="C3607" t="str">
        <f>IFERROR(__xludf.DUMMYFUNCTION("""COMPUTED_VALUE"""),"Modern Productivity — Superhuman Focus In A Distracted World")</f>
        <v>Modern Productivity — Superhuman Focus In A Distracted World</v>
      </c>
    </row>
    <row r="3608">
      <c r="A3608" s="140" t="str">
        <f>IFERROR(__xludf.DUMMYFUNCTION("""COMPUTED_VALUE"""),"pt")</f>
        <v>pt</v>
      </c>
      <c r="B3608">
        <f>IFERROR(__xludf.DUMMYFUNCTION("""COMPUTED_VALUE"""),2357344.0)</f>
        <v>2357344</v>
      </c>
      <c r="C3608" t="str">
        <f>IFERROR(__xludf.DUMMYFUNCTION("""COMPUTED_VALUE"""),"CRM de Vendas e Prospecção Automática B2B com o Pcontrol")</f>
        <v>CRM de Vendas e Prospecção Automática B2B com o Pcontrol</v>
      </c>
    </row>
    <row r="3609">
      <c r="A3609" s="140" t="str">
        <f>IFERROR(__xludf.DUMMYFUNCTION("""COMPUTED_VALUE"""),"pt")</f>
        <v>pt</v>
      </c>
      <c r="B3609">
        <f>IFERROR(__xludf.DUMMYFUNCTION("""COMPUTED_VALUE"""),1199862.0)</f>
        <v>1199862</v>
      </c>
      <c r="C3609" t="str">
        <f>IFERROR(__xludf.DUMMYFUNCTION("""COMPUTED_VALUE"""),"Gestão Ágil com Scrum COMPLETO + 3 Cursos EXTRAS")</f>
        <v>Gestão Ágil com Scrum COMPLETO + 3 Cursos EXTRAS</v>
      </c>
    </row>
    <row r="3610">
      <c r="A3610" s="140" t="str">
        <f>IFERROR(__xludf.DUMMYFUNCTION("""COMPUTED_VALUE"""),"en")</f>
        <v>en</v>
      </c>
      <c r="B3610">
        <f>IFERROR(__xludf.DUMMYFUNCTION("""COMPUTED_VALUE"""),856992.0)</f>
        <v>856992</v>
      </c>
      <c r="C3610" t="str">
        <f>IFERROR(__xludf.DUMMYFUNCTION("""COMPUTED_VALUE"""),"PMI-ACP Agile Certified Exam Prep - 21 PDUs")</f>
        <v>PMI-ACP Agile Certified Exam Prep - 21 PDUs</v>
      </c>
    </row>
    <row r="3611">
      <c r="A3611" s="140" t="str">
        <f>IFERROR(__xludf.DUMMYFUNCTION("""COMPUTED_VALUE"""),"en")</f>
        <v>en</v>
      </c>
      <c r="B3611">
        <f>IFERROR(__xludf.DUMMYFUNCTION("""COMPUTED_VALUE"""),1974404.0)</f>
        <v>1974404</v>
      </c>
      <c r="C3611" t="str">
        <f>IFERROR(__xludf.DUMMYFUNCTION("""COMPUTED_VALUE"""),"Learn To Create An RPG Game In Unity")</f>
        <v>Learn To Create An RPG Game In Unity</v>
      </c>
    </row>
    <row r="3612">
      <c r="A3612" s="140" t="str">
        <f>IFERROR(__xludf.DUMMYFUNCTION("""COMPUTED_VALUE"""),"en")</f>
        <v>en</v>
      </c>
      <c r="B3612">
        <f>IFERROR(__xludf.DUMMYFUNCTION("""COMPUTED_VALUE"""),2430284.0)</f>
        <v>2430284</v>
      </c>
      <c r="C3612" t="str">
        <f>IFERROR(__xludf.DUMMYFUNCTION("""COMPUTED_VALUE"""),"Java Lambda &amp; Streams [Examples With Selenium WebDriver]")</f>
        <v>Java Lambda &amp; Streams [Examples With Selenium WebDriver]</v>
      </c>
    </row>
    <row r="3613">
      <c r="A3613" s="140" t="str">
        <f>IFERROR(__xludf.DUMMYFUNCTION("""COMPUTED_VALUE"""),"en")</f>
        <v>en</v>
      </c>
      <c r="B3613">
        <f>IFERROR(__xludf.DUMMYFUNCTION("""COMPUTED_VALUE"""),3337010.0)</f>
        <v>3337010</v>
      </c>
      <c r="C3613" t="str">
        <f>IFERROR(__xludf.DUMMYFUNCTION("""COMPUTED_VALUE"""),"Azure AI Fundamentals AI-900 practice exams -Pass guaranteed")</f>
        <v>Azure AI Fundamentals AI-900 practice exams -Pass guaranteed</v>
      </c>
    </row>
    <row r="3614">
      <c r="A3614" s="140" t="str">
        <f>IFERROR(__xludf.DUMMYFUNCTION("""COMPUTED_VALUE"""),"en")</f>
        <v>en</v>
      </c>
      <c r="B3614">
        <f>IFERROR(__xludf.DUMMYFUNCTION("""COMPUTED_VALUE"""),4007410.0)</f>
        <v>4007410</v>
      </c>
      <c r="C3614" t="str">
        <f>IFERROR(__xludf.DUMMYFUNCTION("""COMPUTED_VALUE"""),"Crystal Singing Bowls Sound Therapy &amp; Sound Healing Training")</f>
        <v>Crystal Singing Bowls Sound Therapy &amp; Sound Healing Training</v>
      </c>
    </row>
    <row r="3615">
      <c r="A3615" s="140" t="str">
        <f>IFERROR(__xludf.DUMMYFUNCTION("""COMPUTED_VALUE"""),"de")</f>
        <v>de</v>
      </c>
      <c r="B3615">
        <f>IFERROR(__xludf.DUMMYFUNCTION("""COMPUTED_VALUE"""),1671618.0)</f>
        <v>1671618</v>
      </c>
      <c r="C3615" t="str">
        <f>IFERROR(__xludf.DUMMYFUNCTION("""COMPUTED_VALUE"""),"Der große Deep Learning Kurs mit Keras und TensorFlow 2")</f>
        <v>Der große Deep Learning Kurs mit Keras und TensorFlow 2</v>
      </c>
    </row>
    <row r="3616">
      <c r="A3616" s="140" t="str">
        <f>IFERROR(__xludf.DUMMYFUNCTION("""COMPUTED_VALUE"""),"en")</f>
        <v>en</v>
      </c>
      <c r="B3616">
        <f>IFERROR(__xludf.DUMMYFUNCTION("""COMPUTED_VALUE"""),2840950.0)</f>
        <v>2840950</v>
      </c>
      <c r="C3616" t="str">
        <f>IFERROR(__xludf.DUMMYFUNCTION("""COMPUTED_VALUE"""),"Software Architecture Case Studies")</f>
        <v>Software Architecture Case Studies</v>
      </c>
    </row>
    <row r="3617">
      <c r="A3617" s="140" t="str">
        <f>IFERROR(__xludf.DUMMYFUNCTION("""COMPUTED_VALUE"""),"de")</f>
        <v>de</v>
      </c>
      <c r="B3617">
        <f>IFERROR(__xludf.DUMMYFUNCTION("""COMPUTED_VALUE"""),1436546.0)</f>
        <v>1436546</v>
      </c>
      <c r="C3617" t="str">
        <f>IFERROR(__xludf.DUMMYFUNCTION("""COMPUTED_VALUE"""),"WordPress Kurs von WPC mit dem Nr. 1 Page Builder ELEMENTOR!")</f>
        <v>WordPress Kurs von WPC mit dem Nr. 1 Page Builder ELEMENTOR!</v>
      </c>
    </row>
    <row r="3618">
      <c r="A3618" s="140" t="str">
        <f>IFERROR(__xludf.DUMMYFUNCTION("""COMPUTED_VALUE"""),"en")</f>
        <v>en</v>
      </c>
      <c r="B3618">
        <f>IFERROR(__xludf.DUMMYFUNCTION("""COMPUTED_VALUE"""),2841766.0)</f>
        <v>2841766</v>
      </c>
      <c r="C3618" t="str">
        <f>IFERROR(__xludf.DUMMYFUNCTION("""COMPUTED_VALUE"""),"Introduction to Troubleshooting with Palo Alto Firewalls")</f>
        <v>Introduction to Troubleshooting with Palo Alto Firewalls</v>
      </c>
    </row>
    <row r="3619">
      <c r="A3619" s="140" t="str">
        <f>IFERROR(__xludf.DUMMYFUNCTION("""COMPUTED_VALUE"""),"en")</f>
        <v>en</v>
      </c>
      <c r="B3619">
        <f>IFERROR(__xludf.DUMMYFUNCTION("""COMPUTED_VALUE"""),2122930.0)</f>
        <v>2122930</v>
      </c>
      <c r="C3619" t="str">
        <f>IFERROR(__xludf.DUMMYFUNCTION("""COMPUTED_VALUE"""),"Discrete-Events and Agent-Based simulations with AnyLogic")</f>
        <v>Discrete-Events and Agent-Based simulations with AnyLogic</v>
      </c>
    </row>
    <row r="3620">
      <c r="A3620" s="140" t="str">
        <f>IFERROR(__xludf.DUMMYFUNCTION("""COMPUTED_VALUE"""),"en")</f>
        <v>en</v>
      </c>
      <c r="B3620">
        <f>IFERROR(__xludf.DUMMYFUNCTION("""COMPUTED_VALUE"""),3413858.0)</f>
        <v>3413858</v>
      </c>
      <c r="C3620" t="str">
        <f>IFERROR(__xludf.DUMMYFUNCTION("""COMPUTED_VALUE"""),"Concurrency in Go (Golang)")</f>
        <v>Concurrency in Go (Golang)</v>
      </c>
    </row>
    <row r="3621">
      <c r="A3621" s="140" t="str">
        <f>IFERROR(__xludf.DUMMYFUNCTION("""COMPUTED_VALUE"""),"en")</f>
        <v>en</v>
      </c>
      <c r="B3621">
        <f>IFERROR(__xludf.DUMMYFUNCTION("""COMPUTED_VALUE"""),661106.0)</f>
        <v>661106</v>
      </c>
      <c r="C3621" t="str">
        <f>IFERROR(__xludf.DUMMYFUNCTION("""COMPUTED_VALUE"""),"Be A Better Manager 1 - Influential Management Training")</f>
        <v>Be A Better Manager 1 - Influential Management Training</v>
      </c>
    </row>
    <row r="3622">
      <c r="A3622" s="140" t="str">
        <f>IFERROR(__xludf.DUMMYFUNCTION("""COMPUTED_VALUE"""),"en")</f>
        <v>en</v>
      </c>
      <c r="B3622">
        <f>IFERROR(__xludf.DUMMYFUNCTION("""COMPUTED_VALUE"""),833442.0)</f>
        <v>833442</v>
      </c>
      <c r="C3622" t="str">
        <f>IFERROR(__xludf.DUMMYFUNCTION("""COMPUTED_VALUE"""),"Angular &amp; NodeJS - The MEAN Stack Guide [2022 Edition]")</f>
        <v>Angular &amp; NodeJS - The MEAN Stack Guide [2022 Edition]</v>
      </c>
    </row>
    <row r="3623">
      <c r="A3623" s="140" t="str">
        <f>IFERROR(__xludf.DUMMYFUNCTION("""COMPUTED_VALUE"""),"en")</f>
        <v>en</v>
      </c>
      <c r="B3623">
        <f>IFERROR(__xludf.DUMMYFUNCTION("""COMPUTED_VALUE"""),51797.0)</f>
        <v>51797</v>
      </c>
      <c r="C3623" t="str">
        <f>IFERROR(__xludf.DUMMYFUNCTION("""COMPUTED_VALUE"""),"Effective use of Outlook 2010")</f>
        <v>Effective use of Outlook 2010</v>
      </c>
    </row>
    <row r="3624">
      <c r="A3624" s="140" t="str">
        <f>IFERROR(__xludf.DUMMYFUNCTION("""COMPUTED_VALUE"""),"en")</f>
        <v>en</v>
      </c>
      <c r="B3624">
        <f>IFERROR(__xludf.DUMMYFUNCTION("""COMPUTED_VALUE"""),4241488.0)</f>
        <v>4241488</v>
      </c>
      <c r="C3624" t="str">
        <f>IFERROR(__xludf.DUMMYFUNCTION("""COMPUTED_VALUE"""),"[NEW] DP-900: Microsoft Azure Data Fundamentals in a Weekend")</f>
        <v>[NEW] DP-900: Microsoft Azure Data Fundamentals in a Weekend</v>
      </c>
    </row>
    <row r="3625">
      <c r="A3625" s="140" t="str">
        <f>IFERROR(__xludf.DUMMYFUNCTION("""COMPUTED_VALUE"""),"en")</f>
        <v>en</v>
      </c>
      <c r="B3625">
        <f>IFERROR(__xludf.DUMMYFUNCTION("""COMPUTED_VALUE"""),2108272.0)</f>
        <v>2108272</v>
      </c>
      <c r="C3625" t="str">
        <f>IFERROR(__xludf.DUMMYFUNCTION("""COMPUTED_VALUE"""),"Time Management Mastery: Do More, Stress Less")</f>
        <v>Time Management Mastery: Do More, Stress Less</v>
      </c>
    </row>
    <row r="3626">
      <c r="A3626" s="140" t="str">
        <f>IFERROR(__xludf.DUMMYFUNCTION("""COMPUTED_VALUE"""),"ja")</f>
        <v>ja</v>
      </c>
      <c r="B3626">
        <f>IFERROR(__xludf.DUMMYFUNCTION("""COMPUTED_VALUE"""),3047046.0)</f>
        <v>3047046</v>
      </c>
      <c r="C3626" t="str">
        <f>IFERROR(__xludf.DUMMYFUNCTION("""COMPUTED_VALUE"""),"【1日でマスター！】誰でも簡単にアニメーションが作れる！VYONDを使ったアニメーション講座【体験版でも可】")</f>
        <v>【1日でマスター！】誰でも簡単にアニメーションが作れる！VYONDを使ったアニメーション講座【体験版でも可】</v>
      </c>
    </row>
    <row r="3627">
      <c r="A3627" s="140" t="str">
        <f>IFERROR(__xludf.DUMMYFUNCTION("""COMPUTED_VALUE"""),"en")</f>
        <v>en</v>
      </c>
      <c r="B3627">
        <f>IFERROR(__xludf.DUMMYFUNCTION("""COMPUTED_VALUE"""),132138.0)</f>
        <v>132138</v>
      </c>
      <c r="C3627" t="str">
        <f>IFERROR(__xludf.DUMMYFUNCTION("""COMPUTED_VALUE"""),"Oracle Performance Tuning")</f>
        <v>Oracle Performance Tuning</v>
      </c>
    </row>
    <row r="3628">
      <c r="A3628" s="140" t="str">
        <f>IFERROR(__xludf.DUMMYFUNCTION("""COMPUTED_VALUE"""),"en")</f>
        <v>en</v>
      </c>
      <c r="B3628">
        <f>IFERROR(__xludf.DUMMYFUNCTION("""COMPUTED_VALUE"""),2846906.0)</f>
        <v>2846906</v>
      </c>
      <c r="C3628" t="str">
        <f>IFERROR(__xludf.DUMMYFUNCTION("""COMPUTED_VALUE"""),"The New Product Owner Certification of 2021 - 800 questions")</f>
        <v>The New Product Owner Certification of 2021 - 800 questions</v>
      </c>
    </row>
    <row r="3629">
      <c r="A3629" s="140" t="str">
        <f>IFERROR(__xludf.DUMMYFUNCTION("""COMPUTED_VALUE"""),"de")</f>
        <v>de</v>
      </c>
      <c r="B3629">
        <f>IFERROR(__xludf.DUMMYFUNCTION("""COMPUTED_VALUE"""),1450702.0)</f>
        <v>1450702</v>
      </c>
      <c r="C3629" t="str">
        <f>IFERROR(__xludf.DUMMYFUNCTION("""COMPUTED_VALUE"""),"Simpel investieren für Finanzanfänger und Privatinvestoren")</f>
        <v>Simpel investieren für Finanzanfänger und Privatinvestoren</v>
      </c>
    </row>
    <row r="3630">
      <c r="A3630" s="140" t="str">
        <f>IFERROR(__xludf.DUMMYFUNCTION("""COMPUTED_VALUE"""),"fr")</f>
        <v>fr</v>
      </c>
      <c r="B3630">
        <f>IFERROR(__xludf.DUMMYFUNCTION("""COMPUTED_VALUE"""),1645472.0)</f>
        <v>1645472</v>
      </c>
      <c r="C3630" t="str">
        <f>IFERROR(__xludf.DUMMYFUNCTION("""COMPUTED_VALUE"""),"Photoshop CC 2020- Avancé à Expert + Ateliers Créatifs")</f>
        <v>Photoshop CC 2020- Avancé à Expert + Ateliers Créatifs</v>
      </c>
    </row>
    <row r="3631">
      <c r="A3631" s="140" t="str">
        <f>IFERROR(__xludf.DUMMYFUNCTION("""COMPUTED_VALUE"""),"en")</f>
        <v>en</v>
      </c>
      <c r="B3631">
        <f>IFERROR(__xludf.DUMMYFUNCTION("""COMPUTED_VALUE"""),3519778.0)</f>
        <v>3519778</v>
      </c>
      <c r="C3631" t="str">
        <f>IFERROR(__xludf.DUMMYFUNCTION("""COMPUTED_VALUE"""),"FortiGate Firewall Version 6.4 NSE4 Training")</f>
        <v>FortiGate Firewall Version 6.4 NSE4 Training</v>
      </c>
    </row>
    <row r="3632">
      <c r="A3632" s="140" t="str">
        <f>IFERROR(__xludf.DUMMYFUNCTION("""COMPUTED_VALUE"""),"en")</f>
        <v>en</v>
      </c>
      <c r="B3632">
        <f>IFERROR(__xludf.DUMMYFUNCTION("""COMPUTED_VALUE"""),1203914.0)</f>
        <v>1203914</v>
      </c>
      <c r="C3632" t="str">
        <f>IFERROR(__xludf.DUMMYFUNCTION("""COMPUTED_VALUE"""),"Google Analytics Reports and Dashboards with Data Studio")</f>
        <v>Google Analytics Reports and Dashboards with Data Studio</v>
      </c>
    </row>
    <row r="3633">
      <c r="A3633" s="140" t="str">
        <f>IFERROR(__xludf.DUMMYFUNCTION("""COMPUTED_VALUE"""),"en")</f>
        <v>en</v>
      </c>
      <c r="B3633">
        <f>IFERROR(__xludf.DUMMYFUNCTION("""COMPUTED_VALUE"""),3275286.0)</f>
        <v>3275286</v>
      </c>
      <c r="C3633" t="str">
        <f>IFERROR(__xludf.DUMMYFUNCTION("""COMPUTED_VALUE"""),"Asana -Project Management -The Complete Course for Beginners")</f>
        <v>Asana -Project Management -The Complete Course for Beginners</v>
      </c>
    </row>
    <row r="3634">
      <c r="A3634" s="140" t="str">
        <f>IFERROR(__xludf.DUMMYFUNCTION("""COMPUTED_VALUE"""),"en")</f>
        <v>en</v>
      </c>
      <c r="B3634">
        <f>IFERROR(__xludf.DUMMYFUNCTION("""COMPUTED_VALUE"""),3768848.0)</f>
        <v>3768848</v>
      </c>
      <c r="C3634" t="str">
        <f>IFERROR(__xludf.DUMMYFUNCTION("""COMPUTED_VALUE"""),"Complete Drawing Course: Create Video Game Concept Art")</f>
        <v>Complete Drawing Course: Create Video Game Concept Art</v>
      </c>
    </row>
    <row r="3635">
      <c r="A3635" s="140" t="str">
        <f>IFERROR(__xludf.DUMMYFUNCTION("""COMPUTED_VALUE"""),"es")</f>
        <v>es</v>
      </c>
      <c r="B3635">
        <f>IFERROR(__xludf.DUMMYFUNCTION("""COMPUTED_VALUE"""),2558094.0)</f>
        <v>2558094</v>
      </c>
      <c r="C3635" t="str">
        <f>IFERROR(__xludf.DUMMYFUNCTION("""COMPUTED_VALUE"""),"Seguridad Informática- Ingeniería social: El arte del engaño")</f>
        <v>Seguridad Informática- Ingeniería social: El arte del engaño</v>
      </c>
    </row>
    <row r="3636">
      <c r="A3636" s="140" t="str">
        <f>IFERROR(__xludf.DUMMYFUNCTION("""COMPUTED_VALUE"""),"en")</f>
        <v>en</v>
      </c>
      <c r="B3636">
        <f>IFERROR(__xludf.DUMMYFUNCTION("""COMPUTED_VALUE"""),2324132.0)</f>
        <v>2324132</v>
      </c>
      <c r="C3636" t="str">
        <f>IFERROR(__xludf.DUMMYFUNCTION("""COMPUTED_VALUE"""),"OpenFOAM Intermediate")</f>
        <v>OpenFOAM Intermediate</v>
      </c>
    </row>
    <row r="3637">
      <c r="A3637" s="140" t="str">
        <f>IFERROR(__xludf.DUMMYFUNCTION("""COMPUTED_VALUE"""),"zh")</f>
        <v>zh</v>
      </c>
      <c r="B3637">
        <f>IFERROR(__xludf.DUMMYFUNCTION("""COMPUTED_VALUE"""),1864936.0)</f>
        <v>1864936</v>
      </c>
      <c r="C3637" t="str">
        <f>IFERROR(__xludf.DUMMYFUNCTION("""COMPUTED_VALUE"""),"MongoDB零基础从入门到精通")</f>
        <v>MongoDB零基础从入门到精通</v>
      </c>
    </row>
    <row r="3638">
      <c r="A3638" s="140" t="str">
        <f>IFERROR(__xludf.DUMMYFUNCTION("""COMPUTED_VALUE"""),"en")</f>
        <v>en</v>
      </c>
      <c r="B3638">
        <f>IFERROR(__xludf.DUMMYFUNCTION("""COMPUTED_VALUE"""),2529094.0)</f>
        <v>2529094</v>
      </c>
      <c r="C3638" t="str">
        <f>IFERROR(__xludf.DUMMYFUNCTION("""COMPUTED_VALUE"""),"AWS Certified Solutions Architect Associate 2020 - Hands on!")</f>
        <v>AWS Certified Solutions Architect Associate 2020 - Hands on!</v>
      </c>
    </row>
    <row r="3639">
      <c r="A3639" s="140" t="str">
        <f>IFERROR(__xludf.DUMMYFUNCTION("""COMPUTED_VALUE"""),"en")</f>
        <v>en</v>
      </c>
      <c r="B3639">
        <f>IFERROR(__xludf.DUMMYFUNCTION("""COMPUTED_VALUE"""),1479340.0)</f>
        <v>1479340</v>
      </c>
      <c r="C3639" t="str">
        <f>IFERROR(__xludf.DUMMYFUNCTION("""COMPUTED_VALUE"""),"Blockchain Programming in iOS Using Swift")</f>
        <v>Blockchain Programming in iOS Using Swift</v>
      </c>
    </row>
    <row r="3640">
      <c r="A3640" s="140" t="str">
        <f>IFERROR(__xludf.DUMMYFUNCTION("""COMPUTED_VALUE"""),"pt")</f>
        <v>pt</v>
      </c>
      <c r="B3640">
        <f>IFERROR(__xludf.DUMMYFUNCTION("""COMPUTED_VALUE"""),1834624.0)</f>
        <v>1834624</v>
      </c>
      <c r="C3640" t="str">
        <f>IFERROR(__xludf.DUMMYFUNCTION("""COMPUTED_VALUE"""),"Domine Administração de Bancos de Dados com DB2 IBM")</f>
        <v>Domine Administração de Bancos de Dados com DB2 IBM</v>
      </c>
    </row>
    <row r="3641">
      <c r="A3641" s="140" t="str">
        <f>IFERROR(__xludf.DUMMYFUNCTION("""COMPUTED_VALUE"""),"en")</f>
        <v>en</v>
      </c>
      <c r="B3641">
        <f>IFERROR(__xludf.DUMMYFUNCTION("""COMPUTED_VALUE"""),890884.0)</f>
        <v>890884</v>
      </c>
      <c r="C3641" t="str">
        <f>IFERROR(__xludf.DUMMYFUNCTION("""COMPUTED_VALUE"""),"Ultimate Ableton Live 9 COMPLETE: Parts 1, 2, &amp; 3")</f>
        <v>Ultimate Ableton Live 9 COMPLETE: Parts 1, 2, &amp; 3</v>
      </c>
    </row>
    <row r="3642">
      <c r="A3642" s="140" t="str">
        <f>IFERROR(__xludf.DUMMYFUNCTION("""COMPUTED_VALUE"""),"es")</f>
        <v>es</v>
      </c>
      <c r="B3642">
        <f>IFERROR(__xludf.DUMMYFUNCTION("""COMPUTED_VALUE"""),3484544.0)</f>
        <v>3484544</v>
      </c>
      <c r="C3642" t="str">
        <f>IFERROR(__xludf.DUMMYFUNCTION("""COMPUTED_VALUE"""),"Curso de series temporales multivariantes con R y Python")</f>
        <v>Curso de series temporales multivariantes con R y Python</v>
      </c>
    </row>
    <row r="3643">
      <c r="A3643" s="140" t="str">
        <f>IFERROR(__xludf.DUMMYFUNCTION("""COMPUTED_VALUE"""),"pt")</f>
        <v>pt</v>
      </c>
      <c r="B3643">
        <f>IFERROR(__xludf.DUMMYFUNCTION("""COMPUTED_VALUE"""),1854772.0)</f>
        <v>1854772</v>
      </c>
      <c r="C3643" t="str">
        <f>IFERROR(__xludf.DUMMYFUNCTION("""COMPUTED_VALUE"""),"Mediação de Conflitos: Curso Básico Foco na Prática")</f>
        <v>Mediação de Conflitos: Curso Básico Foco na Prática</v>
      </c>
    </row>
    <row r="3644">
      <c r="A3644" s="140" t="str">
        <f>IFERROR(__xludf.DUMMYFUNCTION("""COMPUTED_VALUE"""),"fr")</f>
        <v>fr</v>
      </c>
      <c r="B3644">
        <f>IFERROR(__xludf.DUMMYFUNCTION("""COMPUTED_VALUE"""),2289739.0)</f>
        <v>2289739</v>
      </c>
      <c r="C3644" t="str">
        <f>IFERROR(__xludf.DUMMYFUNCTION("""COMPUTED_VALUE"""),"Excel, les indispensables pour être productif !")</f>
        <v>Excel, les indispensables pour être productif !</v>
      </c>
    </row>
    <row r="3645">
      <c r="A3645" s="140" t="str">
        <f>IFERROR(__xludf.DUMMYFUNCTION("""COMPUTED_VALUE"""),"fr")</f>
        <v>fr</v>
      </c>
      <c r="B3645">
        <f>IFERROR(__xludf.DUMMYFUNCTION("""COMPUTED_VALUE"""),2713640.0)</f>
        <v>2713640</v>
      </c>
      <c r="C3645" t="str">
        <f>IFERROR(__xludf.DUMMYFUNCTION("""COMPUTED_VALUE"""),"Créez votre site web comme un pro du marketing")</f>
        <v>Créez votre site web comme un pro du marketing</v>
      </c>
    </row>
    <row r="3646">
      <c r="A3646" s="140" t="str">
        <f>IFERROR(__xludf.DUMMYFUNCTION("""COMPUTED_VALUE"""),"en")</f>
        <v>en</v>
      </c>
      <c r="B3646">
        <f>IFERROR(__xludf.DUMMYFUNCTION("""COMPUTED_VALUE"""),2400948.0)</f>
        <v>2400948</v>
      </c>
      <c r="C3646" t="str">
        <f>IFERROR(__xludf.DUMMYFUNCTION("""COMPUTED_VALUE"""),"A Complete Guide on TensorFlow 2.0 using Keras API")</f>
        <v>A Complete Guide on TensorFlow 2.0 using Keras API</v>
      </c>
    </row>
    <row r="3647">
      <c r="A3647" s="140" t="str">
        <f>IFERROR(__xludf.DUMMYFUNCTION("""COMPUTED_VALUE"""),"en")</f>
        <v>en</v>
      </c>
      <c r="B3647">
        <f>IFERROR(__xludf.DUMMYFUNCTION("""COMPUTED_VALUE"""),3138058.0)</f>
        <v>3138058</v>
      </c>
      <c r="C3647" t="str">
        <f>IFERROR(__xludf.DUMMYFUNCTION("""COMPUTED_VALUE"""),"Deno: The Complete Guide Zero to Mastery")</f>
        <v>Deno: The Complete Guide Zero to Mastery</v>
      </c>
    </row>
    <row r="3648">
      <c r="A3648" s="140" t="str">
        <f>IFERROR(__xludf.DUMMYFUNCTION("""COMPUTED_VALUE"""),"ja")</f>
        <v>ja</v>
      </c>
      <c r="B3648">
        <f>IFERROR(__xludf.DUMMYFUNCTION("""COMPUTED_VALUE"""),3626666.0)</f>
        <v>3626666</v>
      </c>
      <c r="C3648" t="str">
        <f>IFERROR(__xludf.DUMMYFUNCTION("""COMPUTED_VALUE"""),"【リーダー必見！】いちばんわかりやすい「業務的意思決定」マスター講座")</f>
        <v>【リーダー必見！】いちばんわかりやすい「業務的意思決定」マスター講座</v>
      </c>
    </row>
    <row r="3649">
      <c r="A3649" s="140" t="str">
        <f>IFERROR(__xludf.DUMMYFUNCTION("""COMPUTED_VALUE"""),"es")</f>
        <v>es</v>
      </c>
      <c r="B3649">
        <f>IFERROR(__xludf.DUMMYFUNCTION("""COMPUTED_VALUE"""),1212882.0)</f>
        <v>1212882</v>
      </c>
      <c r="C3649" t="str">
        <f>IFERROR(__xludf.DUMMYFUNCTION("""COMPUTED_VALUE"""),"Macros y VBA: Programa, automatiza y amplía Microsoft Excel.")</f>
        <v>Macros y VBA: Programa, automatiza y amplía Microsoft Excel.</v>
      </c>
    </row>
    <row r="3650">
      <c r="A3650" s="140" t="str">
        <f>IFERROR(__xludf.DUMMYFUNCTION("""COMPUTED_VALUE"""),"pt")</f>
        <v>pt</v>
      </c>
      <c r="B3650">
        <f>IFERROR(__xludf.DUMMYFUNCTION("""COMPUTED_VALUE"""),1643084.0)</f>
        <v>1643084</v>
      </c>
      <c r="C3650" t="str">
        <f>IFERROR(__xludf.DUMMYFUNCTION("""COMPUTED_VALUE"""),"COMO ORGANIZAR ESPAÇOS E DISTRIBUIR OBJETOS DE DECORAÇÃO")</f>
        <v>COMO ORGANIZAR ESPAÇOS E DISTRIBUIR OBJETOS DE DECORAÇÃO</v>
      </c>
    </row>
    <row r="3651">
      <c r="A3651" s="140" t="str">
        <f>IFERROR(__xludf.DUMMYFUNCTION("""COMPUTED_VALUE"""),"en")</f>
        <v>en</v>
      </c>
      <c r="B3651">
        <f>IFERROR(__xludf.DUMMYFUNCTION("""COMPUTED_VALUE"""),2729528.0)</f>
        <v>2729528</v>
      </c>
      <c r="C3651" t="str">
        <f>IFERROR(__xludf.DUMMYFUNCTION("""COMPUTED_VALUE"""),"Write &amp; Publish Your First Nonfiction Book on the Side")</f>
        <v>Write &amp; Publish Your First Nonfiction Book on the Side</v>
      </c>
    </row>
    <row r="3652">
      <c r="A3652" s="140" t="str">
        <f>IFERROR(__xludf.DUMMYFUNCTION("""COMPUTED_VALUE"""),"en")</f>
        <v>en</v>
      </c>
      <c r="B3652">
        <f>IFERROR(__xludf.DUMMYFUNCTION("""COMPUTED_VALUE"""),2764566.0)</f>
        <v>2764566</v>
      </c>
      <c r="C3652" t="str">
        <f>IFERROR(__xludf.DUMMYFUNCTION("""COMPUTED_VALUE"""),"3 Minute French - Course 7 | Language lessons for beginners")</f>
        <v>3 Minute French - Course 7 | Language lessons for beginners</v>
      </c>
    </row>
    <row r="3653">
      <c r="A3653" s="140" t="str">
        <f>IFERROR(__xludf.DUMMYFUNCTION("""COMPUTED_VALUE"""),"es")</f>
        <v>es</v>
      </c>
      <c r="B3653">
        <f>IFERROR(__xludf.DUMMYFUNCTION("""COMPUTED_VALUE"""),1363082.0)</f>
        <v>1363082</v>
      </c>
      <c r="C3653" t="str">
        <f>IFERROR(__xludf.DUMMYFUNCTION("""COMPUTED_VALUE"""),"Producción de Videos: el Entrenamiento Absoluto")</f>
        <v>Producción de Videos: el Entrenamiento Absoluto</v>
      </c>
    </row>
    <row r="3654">
      <c r="A3654" s="140" t="str">
        <f>IFERROR(__xludf.DUMMYFUNCTION("""COMPUTED_VALUE"""),"en")</f>
        <v>en</v>
      </c>
      <c r="B3654">
        <f>IFERROR(__xludf.DUMMYFUNCTION("""COMPUTED_VALUE"""),506514.0)</f>
        <v>506514</v>
      </c>
      <c r="C3654" t="str">
        <f>IFERROR(__xludf.DUMMYFUNCTION("""COMPUTED_VALUE"""),"Oracle WebLogic 12c for Administrators")</f>
        <v>Oracle WebLogic 12c for Administrators</v>
      </c>
    </row>
    <row r="3655">
      <c r="A3655" s="140" t="str">
        <f>IFERROR(__xludf.DUMMYFUNCTION("""COMPUTED_VALUE"""),"en")</f>
        <v>en</v>
      </c>
      <c r="B3655">
        <f>IFERROR(__xludf.DUMMYFUNCTION("""COMPUTED_VALUE"""),2915162.0)</f>
        <v>2915162</v>
      </c>
      <c r="C3655" t="str">
        <f>IFERROR(__xludf.DUMMYFUNCTION("""COMPUTED_VALUE"""),"Linux Redhat Administration III - Automation Ansible-RHEL8")</f>
        <v>Linux Redhat Administration III - Automation Ansible-RHEL8</v>
      </c>
    </row>
    <row r="3656">
      <c r="A3656" s="140" t="str">
        <f>IFERROR(__xludf.DUMMYFUNCTION("""COMPUTED_VALUE"""),"en")</f>
        <v>en</v>
      </c>
      <c r="B3656">
        <f>IFERROR(__xludf.DUMMYFUNCTION("""COMPUTED_VALUE"""),4219486.0)</f>
        <v>4219486</v>
      </c>
      <c r="C3656" t="str">
        <f>IFERROR(__xludf.DUMMYFUNCTION("""COMPUTED_VALUE"""),"Job Interview Like A BOSS! How To Turn An Interview To A Job")</f>
        <v>Job Interview Like A BOSS! How To Turn An Interview To A Job</v>
      </c>
    </row>
    <row r="3657">
      <c r="A3657" s="140" t="str">
        <f>IFERROR(__xludf.DUMMYFUNCTION("""COMPUTED_VALUE"""),"en")</f>
        <v>en</v>
      </c>
      <c r="B3657">
        <f>IFERROR(__xludf.DUMMYFUNCTION("""COMPUTED_VALUE"""),4003980.0)</f>
        <v>4003980</v>
      </c>
      <c r="C3657" t="str">
        <f>IFERROR(__xludf.DUMMYFUNCTION("""COMPUTED_VALUE"""),"ASP.NET Core - SOLID and Clean Architecture (.NET 5 and up)")</f>
        <v>ASP.NET Core - SOLID and Clean Architecture (.NET 5 and up)</v>
      </c>
    </row>
    <row r="3658">
      <c r="A3658" s="140" t="str">
        <f>IFERROR(__xludf.DUMMYFUNCTION("""COMPUTED_VALUE"""),"tr")</f>
        <v>tr</v>
      </c>
      <c r="B3658">
        <f>IFERROR(__xludf.DUMMYFUNCTION("""COMPUTED_VALUE"""),2065679.0)</f>
        <v>2065679</v>
      </c>
      <c r="C3658" t="str">
        <f>IFERROR(__xludf.DUMMYFUNCTION("""COMPUTED_VALUE"""),"Python ile Yapay Zeka: A'dan Z'ye Reinforcement Learning (7)")</f>
        <v>Python ile Yapay Zeka: A'dan Z'ye Reinforcement Learning (7)</v>
      </c>
    </row>
    <row r="3659">
      <c r="A3659" s="140" t="str">
        <f>IFERROR(__xludf.DUMMYFUNCTION("""COMPUTED_VALUE"""),"ja")</f>
        <v>ja</v>
      </c>
      <c r="B3659">
        <f>IFERROR(__xludf.DUMMYFUNCTION("""COMPUTED_VALUE"""),1555408.0)</f>
        <v>1555408</v>
      </c>
      <c r="C3659" t="str">
        <f>IFERROR(__xludf.DUMMYFUNCTION("""COMPUTED_VALUE"""),"Bootstrap3＋Dreamweaver(CC2018)＋HTML5＋CSS3　レスポンシブWEBデザイン実践コース")</f>
        <v>Bootstrap3＋Dreamweaver(CC2018)＋HTML5＋CSS3　レスポンシブWEBデザイン実践コース</v>
      </c>
    </row>
    <row r="3660">
      <c r="A3660" s="140" t="str">
        <f>IFERROR(__xludf.DUMMYFUNCTION("""COMPUTED_VALUE"""),"pt")</f>
        <v>pt</v>
      </c>
      <c r="B3660">
        <f>IFERROR(__xludf.DUMMYFUNCTION("""COMPUTED_VALUE"""),3298438.0)</f>
        <v>3298438</v>
      </c>
      <c r="C3660" t="str">
        <f>IFERROR(__xludf.DUMMYFUNCTION("""COMPUTED_VALUE"""),"Corel Draw Master - Do básico ao avançado")</f>
        <v>Corel Draw Master - Do básico ao avançado</v>
      </c>
    </row>
    <row r="3661">
      <c r="A3661" s="140" t="str">
        <f>IFERROR(__xludf.DUMMYFUNCTION("""COMPUTED_VALUE"""),"es")</f>
        <v>es</v>
      </c>
      <c r="B3661">
        <f>IFERROR(__xludf.DUMMYFUNCTION("""COMPUTED_VALUE"""),2412880.0)</f>
        <v>2412880</v>
      </c>
      <c r="C3661" t="str">
        <f>IFERROR(__xludf.DUMMYFUNCTION("""COMPUTED_VALUE"""),"IOT MASTERCLASS, Preparándonos para la gran revolución!")</f>
        <v>IOT MASTERCLASS, Preparándonos para la gran revolución!</v>
      </c>
    </row>
    <row r="3662">
      <c r="A3662" s="140" t="str">
        <f>IFERROR(__xludf.DUMMYFUNCTION("""COMPUTED_VALUE"""),"en")</f>
        <v>en</v>
      </c>
      <c r="B3662">
        <f>IFERROR(__xludf.DUMMYFUNCTION("""COMPUTED_VALUE"""),2987928.0)</f>
        <v>2987928</v>
      </c>
      <c r="C3662" t="str">
        <f>IFERROR(__xludf.DUMMYFUNCTION("""COMPUTED_VALUE"""),"Know Read Understand Piping &amp; Instrumentation Diagrams P&amp;IDs")</f>
        <v>Know Read Understand Piping &amp; Instrumentation Diagrams P&amp;IDs</v>
      </c>
    </row>
    <row r="3663">
      <c r="A3663" s="140" t="str">
        <f>IFERROR(__xludf.DUMMYFUNCTION("""COMPUTED_VALUE"""),"en")</f>
        <v>en</v>
      </c>
      <c r="B3663">
        <f>IFERROR(__xludf.DUMMYFUNCTION("""COMPUTED_VALUE"""),1512040.0)</f>
        <v>1512040</v>
      </c>
      <c r="C3663" t="str">
        <f>IFERROR(__xludf.DUMMYFUNCTION("""COMPUTED_VALUE"""),"B2B Sales Objections Simplified")</f>
        <v>B2B Sales Objections Simplified</v>
      </c>
    </row>
    <row r="3664">
      <c r="A3664" s="140" t="str">
        <f>IFERROR(__xludf.DUMMYFUNCTION("""COMPUTED_VALUE"""),"es")</f>
        <v>es</v>
      </c>
      <c r="B3664">
        <f>IFERROR(__xludf.DUMMYFUNCTION("""COMPUTED_VALUE"""),3507240.0)</f>
        <v>3507240</v>
      </c>
      <c r="C3664" t="str">
        <f>IFERROR(__xludf.DUMMYFUNCTION("""COMPUTED_VALUE"""),"Modelo Multi Estratégico para la Enseñanza Efectiva en Línea")</f>
        <v>Modelo Multi Estratégico para la Enseñanza Efectiva en Línea</v>
      </c>
    </row>
    <row r="3665">
      <c r="A3665" s="140" t="str">
        <f>IFERROR(__xludf.DUMMYFUNCTION("""COMPUTED_VALUE"""),"en")</f>
        <v>en</v>
      </c>
      <c r="B3665">
        <f>IFERROR(__xludf.DUMMYFUNCTION("""COMPUTED_VALUE"""),1360998.0)</f>
        <v>1360998</v>
      </c>
      <c r="C3665" t="str">
        <f>IFERROR(__xludf.DUMMYFUNCTION("""COMPUTED_VALUE"""),"Mastering data visualization in D3.js")</f>
        <v>Mastering data visualization in D3.js</v>
      </c>
    </row>
    <row r="3666">
      <c r="A3666" s="140" t="str">
        <f>IFERROR(__xludf.DUMMYFUNCTION("""COMPUTED_VALUE"""),"en")</f>
        <v>en</v>
      </c>
      <c r="B3666">
        <f>IFERROR(__xludf.DUMMYFUNCTION("""COMPUTED_VALUE"""),4349890.0)</f>
        <v>4349890</v>
      </c>
      <c r="C3666" t="str">
        <f>IFERROR(__xludf.DUMMYFUNCTION("""COMPUTED_VALUE"""),"Mastering the System Design Interview")</f>
        <v>Mastering the System Design Interview</v>
      </c>
    </row>
    <row r="3667">
      <c r="A3667" s="140" t="str">
        <f>IFERROR(__xludf.DUMMYFUNCTION("""COMPUTED_VALUE"""),"en")</f>
        <v>en</v>
      </c>
      <c r="B3667">
        <f>IFERROR(__xludf.DUMMYFUNCTION("""COMPUTED_VALUE"""),1533864.0)</f>
        <v>1533864</v>
      </c>
      <c r="C3667" t="str">
        <f>IFERROR(__xludf.DUMMYFUNCTION("""COMPUTED_VALUE"""),"Deep Learning: Advanced Computer Vision (GANs, SSD, +More!)")</f>
        <v>Deep Learning: Advanced Computer Vision (GANs, SSD, +More!)</v>
      </c>
    </row>
    <row r="3668">
      <c r="A3668" s="140" t="str">
        <f>IFERROR(__xludf.DUMMYFUNCTION("""COMPUTED_VALUE"""),"es")</f>
        <v>es</v>
      </c>
      <c r="B3668">
        <f>IFERROR(__xludf.DUMMYFUNCTION("""COMPUTED_VALUE"""),1411306.0)</f>
        <v>1411306</v>
      </c>
      <c r="C3668" t="str">
        <f>IFERROR(__xludf.DUMMYFUNCTION("""COMPUTED_VALUE"""),"Curso completo VMware vSphere 6.7 de principiante a avanzado")</f>
        <v>Curso completo VMware vSphere 6.7 de principiante a avanzado</v>
      </c>
    </row>
    <row r="3669">
      <c r="A3669" s="140" t="str">
        <f>IFERROR(__xludf.DUMMYFUNCTION("""COMPUTED_VALUE"""),"en")</f>
        <v>en</v>
      </c>
      <c r="B3669">
        <f>IFERROR(__xludf.DUMMYFUNCTION("""COMPUTED_VALUE"""),921474.0)</f>
        <v>921474</v>
      </c>
      <c r="C3669" t="str">
        <f>IFERROR(__xludf.DUMMYFUNCTION("""COMPUTED_VALUE"""),"The Complete DevOps Engineer Course 2.0 - Java &amp; Kubernetes")</f>
        <v>The Complete DevOps Engineer Course 2.0 - Java &amp; Kubernetes</v>
      </c>
    </row>
    <row r="3670">
      <c r="A3670" s="140" t="str">
        <f>IFERROR(__xludf.DUMMYFUNCTION("""COMPUTED_VALUE"""),"en")</f>
        <v>en</v>
      </c>
      <c r="B3670">
        <f>IFERROR(__xludf.DUMMYFUNCTION("""COMPUTED_VALUE"""),695856.0)</f>
        <v>695856</v>
      </c>
      <c r="C3670" t="str">
        <f>IFERROR(__xludf.DUMMYFUNCTION("""COMPUTED_VALUE"""),"10 Ways To Resolve Home Internet Problems")</f>
        <v>10 Ways To Resolve Home Internet Problems</v>
      </c>
    </row>
    <row r="3671">
      <c r="A3671" s="140" t="str">
        <f>IFERROR(__xludf.DUMMYFUNCTION("""COMPUTED_VALUE"""),"de")</f>
        <v>de</v>
      </c>
      <c r="B3671">
        <f>IFERROR(__xludf.DUMMYFUNCTION("""COMPUTED_VALUE"""),720528.0)</f>
        <v>720528</v>
      </c>
      <c r="C3671" t="str">
        <f>IFERROR(__xludf.DUMMYFUNCTION("""COMPUTED_VALUE"""),"Google Analytics für Einsteiger")</f>
        <v>Google Analytics für Einsteiger</v>
      </c>
    </row>
    <row r="3672">
      <c r="A3672" s="140" t="str">
        <f>IFERROR(__xludf.DUMMYFUNCTION("""COMPUTED_VALUE"""),"ja")</f>
        <v>ja</v>
      </c>
      <c r="B3672">
        <f>IFERROR(__xludf.DUMMYFUNCTION("""COMPUTED_VALUE"""),4189212.0)</f>
        <v>4189212</v>
      </c>
      <c r="C3672" t="str">
        <f>IFERROR(__xludf.DUMMYFUNCTION("""COMPUTED_VALUE"""),"豊富な演習でゼロから学ぶ統計学入門コース｜検定3級レベルの知識をしっかり習得しよう")</f>
        <v>豊富な演習でゼロから学ぶ統計学入門コース｜検定3級レベルの知識をしっかり習得しよう</v>
      </c>
    </row>
    <row r="3673">
      <c r="A3673" s="140" t="str">
        <f>IFERROR(__xludf.DUMMYFUNCTION("""COMPUTED_VALUE"""),"es")</f>
        <v>es</v>
      </c>
      <c r="B3673">
        <f>IFERROR(__xludf.DUMMYFUNCTION("""COMPUTED_VALUE"""),1897532.0)</f>
        <v>1897532</v>
      </c>
      <c r="C3673" t="str">
        <f>IFERROR(__xludf.DUMMYFUNCTION("""COMPUTED_VALUE"""),"Jenkins, De Cero A Experto: Conviértete En Un Jenkins Master")</f>
        <v>Jenkins, De Cero A Experto: Conviértete En Un Jenkins Master</v>
      </c>
    </row>
    <row r="3674">
      <c r="A3674" s="140" t="str">
        <f>IFERROR(__xludf.DUMMYFUNCTION("""COMPUTED_VALUE"""),"ja")</f>
        <v>ja</v>
      </c>
      <c r="B3674">
        <f>IFERROR(__xludf.DUMMYFUNCTION("""COMPUTED_VALUE"""),3243248.0)</f>
        <v>3243248</v>
      </c>
      <c r="C3674" t="str">
        <f>IFERROR(__xludf.DUMMYFUNCTION("""COMPUTED_VALUE"""),"【Python/Django3】Webアプリ作成からデプロイまで！")</f>
        <v>【Python/Django3】Webアプリ作成からデプロイまで！</v>
      </c>
    </row>
    <row r="3675">
      <c r="A3675" s="140" t="str">
        <f>IFERROR(__xludf.DUMMYFUNCTION("""COMPUTED_VALUE"""),"en")</f>
        <v>en</v>
      </c>
      <c r="B3675">
        <f>IFERROR(__xludf.DUMMYFUNCTION("""COMPUTED_VALUE"""),1283554.0)</f>
        <v>1283554</v>
      </c>
      <c r="C3675" t="str">
        <f>IFERROR(__xludf.DUMMYFUNCTION("""COMPUTED_VALUE"""),"The Unofficial Guide to NDI - IP Video Production")</f>
        <v>The Unofficial Guide to NDI - IP Video Production</v>
      </c>
    </row>
    <row r="3676">
      <c r="A3676" s="140" t="str">
        <f>IFERROR(__xludf.DUMMYFUNCTION("""COMPUTED_VALUE"""),"en")</f>
        <v>en</v>
      </c>
      <c r="B3676">
        <f>IFERROR(__xludf.DUMMYFUNCTION("""COMPUTED_VALUE"""),872460.0)</f>
        <v>872460</v>
      </c>
      <c r="C3676" t="str">
        <f>IFERROR(__xludf.DUMMYFUNCTION("""COMPUTED_VALUE"""),"The Complete Cyber Security Course : End Point Protection!")</f>
        <v>The Complete Cyber Security Course : End Point Protection!</v>
      </c>
    </row>
    <row r="3677">
      <c r="A3677" s="140" t="str">
        <f>IFERROR(__xludf.DUMMYFUNCTION("""COMPUTED_VALUE"""),"en")</f>
        <v>en</v>
      </c>
      <c r="B3677">
        <f>IFERROR(__xludf.DUMMYFUNCTION("""COMPUTED_VALUE"""),1141698.0)</f>
        <v>1141698</v>
      </c>
      <c r="C3677" t="str">
        <f>IFERROR(__xludf.DUMMYFUNCTION("""COMPUTED_VALUE"""),"Apache Kafka Series - Confluent Schema Registry &amp; REST Proxy")</f>
        <v>Apache Kafka Series - Confluent Schema Registry &amp; REST Proxy</v>
      </c>
    </row>
    <row r="3678">
      <c r="A3678" s="140" t="str">
        <f>IFERROR(__xludf.DUMMYFUNCTION("""COMPUTED_VALUE"""),"ja")</f>
        <v>ja</v>
      </c>
      <c r="B3678">
        <f>IFERROR(__xludf.DUMMYFUNCTION("""COMPUTED_VALUE"""),3809796.0)</f>
        <v>3809796</v>
      </c>
      <c r="C3678" t="str">
        <f>IFERROR(__xludf.DUMMYFUNCTION("""COMPUTED_VALUE"""),"Flutter × Firebaseで開発するモバイルアプリ入門")</f>
        <v>Flutter × Firebaseで開発するモバイルアプリ入門</v>
      </c>
    </row>
    <row r="3679">
      <c r="A3679" s="140" t="str">
        <f>IFERROR(__xludf.DUMMYFUNCTION("""COMPUTED_VALUE"""),"tr")</f>
        <v>tr</v>
      </c>
      <c r="B3679">
        <f>IFERROR(__xludf.DUMMYFUNCTION("""COMPUTED_VALUE"""),2694102.0)</f>
        <v>2694102</v>
      </c>
      <c r="C3679" t="str">
        <f>IFERROR(__xludf.DUMMYFUNCTION("""COMPUTED_VALUE"""),"Logo Go3 ile Bilgisayarlı Ön Muhasebe")</f>
        <v>Logo Go3 ile Bilgisayarlı Ön Muhasebe</v>
      </c>
    </row>
    <row r="3680">
      <c r="A3680" s="140" t="str">
        <f>IFERROR(__xludf.DUMMYFUNCTION("""COMPUTED_VALUE"""),"en")</f>
        <v>en</v>
      </c>
      <c r="B3680">
        <f>IFERROR(__xludf.DUMMYFUNCTION("""COMPUTED_VALUE"""),2158992.0)</f>
        <v>2158992</v>
      </c>
      <c r="C3680" t="str">
        <f>IFERROR(__xludf.DUMMYFUNCTION("""COMPUTED_VALUE"""),"The Complete Camtasia Course for Content Creators: Start Now")</f>
        <v>The Complete Camtasia Course for Content Creators: Start Now</v>
      </c>
    </row>
    <row r="3681">
      <c r="A3681" s="140" t="str">
        <f>IFERROR(__xludf.DUMMYFUNCTION("""COMPUTED_VALUE"""),"es")</f>
        <v>es</v>
      </c>
      <c r="B3681">
        <f>IFERROR(__xludf.DUMMYFUNCTION("""COMPUTED_VALUE"""),3171860.0)</f>
        <v>3171860</v>
      </c>
      <c r="C3681" t="str">
        <f>IFERROR(__xludf.DUMMYFUNCTION("""COMPUTED_VALUE"""),"COBIT® 2019 (español). Simulador de examen de certificación.")</f>
        <v>COBIT® 2019 (español). Simulador de examen de certificación.</v>
      </c>
    </row>
    <row r="3682">
      <c r="A3682" s="140" t="str">
        <f>IFERROR(__xludf.DUMMYFUNCTION("""COMPUTED_VALUE"""),"ko")</f>
        <v>ko</v>
      </c>
      <c r="B3682">
        <f>IFERROR(__xludf.DUMMYFUNCTION("""COMPUTED_VALUE"""),1163192.0)</f>
        <v>1163192</v>
      </c>
      <c r="C3682" t="str">
        <f>IFERROR(__xludf.DUMMYFUNCTION("""COMPUTED_VALUE"""),"하루 10분 오피스 요가")</f>
        <v>하루 10분 오피스 요가</v>
      </c>
    </row>
    <row r="3683">
      <c r="A3683" s="140" t="str">
        <f>IFERROR(__xludf.DUMMYFUNCTION("""COMPUTED_VALUE"""),"tr")</f>
        <v>tr</v>
      </c>
      <c r="B3683">
        <f>IFERROR(__xludf.DUMMYFUNCTION("""COMPUTED_VALUE"""),1746350.0)</f>
        <v>1746350</v>
      </c>
      <c r="C3683" t="str">
        <f>IFERROR(__xludf.DUMMYFUNCTION("""COMPUTED_VALUE"""),"Python: Yapay Zeka için Python Programlama (1)")</f>
        <v>Python: Yapay Zeka için Python Programlama (1)</v>
      </c>
    </row>
    <row r="3684">
      <c r="A3684" s="140" t="str">
        <f>IFERROR(__xludf.DUMMYFUNCTION("""COMPUTED_VALUE"""),"es")</f>
        <v>es</v>
      </c>
      <c r="B3684">
        <f>IFERROR(__xludf.DUMMYFUNCTION("""COMPUTED_VALUE"""),2353450.0)</f>
        <v>2353450</v>
      </c>
      <c r="C3684" t="str">
        <f>IFERROR(__xludf.DUMMYFUNCTION("""COMPUTED_VALUE"""),"Kubernetes sencillo para desarrolladores")</f>
        <v>Kubernetes sencillo para desarrolladores</v>
      </c>
    </row>
    <row r="3685">
      <c r="A3685" s="140" t="str">
        <f>IFERROR(__xludf.DUMMYFUNCTION("""COMPUTED_VALUE"""),"pt")</f>
        <v>pt</v>
      </c>
      <c r="B3685">
        <f>IFERROR(__xludf.DUMMYFUNCTION("""COMPUTED_VALUE"""),818104.0)</f>
        <v>818104</v>
      </c>
      <c r="C3685" t="str">
        <f>IFERROR(__xludf.DUMMYFUNCTION("""COMPUTED_VALUE"""),"Macros VBA para Excel Completo - Construa 7+ Ferramentas")</f>
        <v>Macros VBA para Excel Completo - Construa 7+ Ferramentas</v>
      </c>
    </row>
    <row r="3686">
      <c r="A3686" s="140" t="str">
        <f>IFERROR(__xludf.DUMMYFUNCTION("""COMPUTED_VALUE"""),"en")</f>
        <v>en</v>
      </c>
      <c r="B3686">
        <f>IFERROR(__xludf.DUMMYFUNCTION("""COMPUTED_VALUE"""),2086722.0)</f>
        <v>2086722</v>
      </c>
      <c r="C3686" t="str">
        <f>IFERROR(__xludf.DUMMYFUNCTION("""COMPUTED_VALUE"""),"The Complete Job Interviewing Skills Masterclass Course")</f>
        <v>The Complete Job Interviewing Skills Masterclass Course</v>
      </c>
    </row>
    <row r="3687">
      <c r="A3687" s="140" t="str">
        <f>IFERROR(__xludf.DUMMYFUNCTION("""COMPUTED_VALUE"""),"en")</f>
        <v>en</v>
      </c>
      <c r="B3687">
        <f>IFERROR(__xludf.DUMMYFUNCTION("""COMPUTED_VALUE"""),76978.0)</f>
        <v>76978</v>
      </c>
      <c r="C3687" t="str">
        <f>IFERROR(__xludf.DUMMYFUNCTION("""COMPUTED_VALUE"""),"Understanding and Complying with HIPAA")</f>
        <v>Understanding and Complying with HIPAA</v>
      </c>
    </row>
    <row r="3688">
      <c r="A3688" s="140" t="str">
        <f>IFERROR(__xludf.DUMMYFUNCTION("""COMPUTED_VALUE"""),"en")</f>
        <v>en</v>
      </c>
      <c r="B3688">
        <f>IFERROR(__xludf.DUMMYFUNCTION("""COMPUTED_VALUE"""),1304264.0)</f>
        <v>1304264</v>
      </c>
      <c r="C3688" t="str">
        <f>IFERROR(__xludf.DUMMYFUNCTION("""COMPUTED_VALUE"""),"Beginning Test Driven Development in C++")</f>
        <v>Beginning Test Driven Development in C++</v>
      </c>
    </row>
    <row r="3689">
      <c r="A3689" s="140" t="str">
        <f>IFERROR(__xludf.DUMMYFUNCTION("""COMPUTED_VALUE"""),"en")</f>
        <v>en</v>
      </c>
      <c r="B3689">
        <f>IFERROR(__xludf.DUMMYFUNCTION("""COMPUTED_VALUE"""),1255136.0)</f>
        <v>1255136</v>
      </c>
      <c r="C3689" t="str">
        <f>IFERROR(__xludf.DUMMYFUNCTION("""COMPUTED_VALUE"""),"Technical Analysis MasterClass:Trading By Technical Analysis")</f>
        <v>Technical Analysis MasterClass:Trading By Technical Analysis</v>
      </c>
    </row>
    <row r="3690">
      <c r="A3690" s="140" t="str">
        <f>IFERROR(__xludf.DUMMYFUNCTION("""COMPUTED_VALUE"""),"ja")</f>
        <v>ja</v>
      </c>
      <c r="B3690">
        <f>IFERROR(__xludf.DUMMYFUNCTION("""COMPUTED_VALUE"""),2644934.0)</f>
        <v>2644934</v>
      </c>
      <c r="C3690" t="str">
        <f>IFERROR(__xludf.DUMMYFUNCTION("""COMPUTED_VALUE"""),"最新版:　基本情報技術者試験+応用情報技術者試験+Python+SQL　初心者からプロのエンジニアになる講座")</f>
        <v>最新版:　基本情報技術者試験+応用情報技術者試験+Python+SQL　初心者からプロのエンジニアになる講座</v>
      </c>
    </row>
    <row r="3691">
      <c r="A3691" s="140" t="str">
        <f>IFERROR(__xludf.DUMMYFUNCTION("""COMPUTED_VALUE"""),"es")</f>
        <v>es</v>
      </c>
      <c r="B3691">
        <f>IFERROR(__xludf.DUMMYFUNCTION("""COMPUTED_VALUE"""),1399780.0)</f>
        <v>1399780</v>
      </c>
      <c r="C3691" t="str">
        <f>IFERROR(__xludf.DUMMYFUNCTION("""COMPUTED_VALUE"""),"Tablas Dinámicas: Análisis de datos en Microsoft Excel.")</f>
        <v>Tablas Dinámicas: Análisis de datos en Microsoft Excel.</v>
      </c>
    </row>
    <row r="3692">
      <c r="A3692" s="140" t="str">
        <f>IFERROR(__xludf.DUMMYFUNCTION("""COMPUTED_VALUE"""),"en")</f>
        <v>en</v>
      </c>
      <c r="B3692">
        <f>IFERROR(__xludf.DUMMYFUNCTION("""COMPUTED_VALUE"""),606334.0)</f>
        <v>606334</v>
      </c>
      <c r="C3692" t="str">
        <f>IFERROR(__xludf.DUMMYFUNCTION("""COMPUTED_VALUE"""),"Microsoft Excel 2016  - The Comprehensive Excel 2016 Guide")</f>
        <v>Microsoft Excel 2016  - The Comprehensive Excel 2016 Guide</v>
      </c>
    </row>
    <row r="3693">
      <c r="A3693" s="140" t="str">
        <f>IFERROR(__xludf.DUMMYFUNCTION("""COMPUTED_VALUE"""),"en")</f>
        <v>en</v>
      </c>
      <c r="B3693">
        <f>IFERROR(__xludf.DUMMYFUNCTION("""COMPUTED_VALUE"""),2102800.0)</f>
        <v>2102800</v>
      </c>
      <c r="C3693" t="str">
        <f>IFERROR(__xludf.DUMMYFUNCTION("""COMPUTED_VALUE"""),"Serverless React with AWS Amplify - The Complete Guide")</f>
        <v>Serverless React with AWS Amplify - The Complete Guide</v>
      </c>
    </row>
    <row r="3694">
      <c r="A3694" s="140" t="str">
        <f>IFERROR(__xludf.DUMMYFUNCTION("""COMPUTED_VALUE"""),"en")</f>
        <v>en</v>
      </c>
      <c r="B3694">
        <f>IFERROR(__xludf.DUMMYFUNCTION("""COMPUTED_VALUE"""),3491366.0)</f>
        <v>3491366</v>
      </c>
      <c r="C3694" t="str">
        <f>IFERROR(__xludf.DUMMYFUNCTION("""COMPUTED_VALUE"""),"*NEW* Advanced Forms - 2021 Build &amp; Master Web forms")</f>
        <v>*NEW* Advanced Forms - 2021 Build &amp; Master Web forms</v>
      </c>
    </row>
    <row r="3695">
      <c r="A3695" s="140" t="str">
        <f>IFERROR(__xludf.DUMMYFUNCTION("""COMPUTED_VALUE"""),"ar")</f>
        <v>ar</v>
      </c>
      <c r="B3695">
        <f>IFERROR(__xludf.DUMMYFUNCTION("""COMPUTED_VALUE"""),2346968.0)</f>
        <v>2346968</v>
      </c>
      <c r="C3695" t="str">
        <f>IFERROR(__xludf.DUMMYFUNCTION("""COMPUTED_VALUE"""),"arduino | تعلم البرمجة والتحكم في الأشياء بإستخدام الاردوينو")</f>
        <v>arduino | تعلم البرمجة والتحكم في الأشياء بإستخدام الاردوينو</v>
      </c>
    </row>
    <row r="3696">
      <c r="A3696" s="140" t="str">
        <f>IFERROR(__xludf.DUMMYFUNCTION("""COMPUTED_VALUE"""),"fr")</f>
        <v>fr</v>
      </c>
      <c r="B3696">
        <f>IFERROR(__xludf.DUMMYFUNCTION("""COMPUTED_VALUE"""),2837098.0)</f>
        <v>2837098</v>
      </c>
      <c r="C3696" t="str">
        <f>IFERROR(__xludf.DUMMYFUNCTION("""COMPUTED_VALUE"""),"Introduction à l'analyse pour les non-data analystes")</f>
        <v>Introduction à l'analyse pour les non-data analystes</v>
      </c>
    </row>
    <row r="3697">
      <c r="A3697" s="140" t="str">
        <f>IFERROR(__xludf.DUMMYFUNCTION("""COMPUTED_VALUE"""),"tr")</f>
        <v>tr</v>
      </c>
      <c r="B3697">
        <f>IFERROR(__xludf.DUMMYFUNCTION("""COMPUTED_VALUE"""),1461610.0)</f>
        <v>1461610</v>
      </c>
      <c r="C3697" t="str">
        <f>IFERROR(__xludf.DUMMYFUNCTION("""COMPUTED_VALUE"""),"Cisco CCNP Sınavına Hazırlık Kurs ve Uygulama Örnekleri")</f>
        <v>Cisco CCNP Sınavına Hazırlık Kurs ve Uygulama Örnekleri</v>
      </c>
    </row>
    <row r="3698">
      <c r="A3698" s="140" t="str">
        <f>IFERROR(__xludf.DUMMYFUNCTION("""COMPUTED_VALUE"""),"en")</f>
        <v>en</v>
      </c>
      <c r="B3698">
        <f>IFERROR(__xludf.DUMMYFUNCTION("""COMPUTED_VALUE"""),1496348.0)</f>
        <v>1496348</v>
      </c>
      <c r="C3698" t="str">
        <f>IFERROR(__xludf.DUMMYFUNCTION("""COMPUTED_VALUE"""),"Unit Testing for C# Developers")</f>
        <v>Unit Testing for C# Developers</v>
      </c>
    </row>
    <row r="3699">
      <c r="A3699" s="140" t="str">
        <f>IFERROR(__xludf.DUMMYFUNCTION("""COMPUTED_VALUE"""),"fr")</f>
        <v>fr</v>
      </c>
      <c r="B3699">
        <f>IFERROR(__xludf.DUMMYFUNCTION("""COMPUTED_VALUE"""),929570.0)</f>
        <v>929570</v>
      </c>
      <c r="C3699" t="str">
        <f>IFERROR(__xludf.DUMMYFUNCTION("""COMPUTED_VALUE"""),"Le temps, une ressource précieuse - Barbara Meyer")</f>
        <v>Le temps, une ressource précieuse - Barbara Meyer</v>
      </c>
    </row>
    <row r="3700">
      <c r="A3700" s="140" t="str">
        <f>IFERROR(__xludf.DUMMYFUNCTION("""COMPUTED_VALUE"""),"tr")</f>
        <v>tr</v>
      </c>
      <c r="B3700">
        <f>IFERROR(__xludf.DUMMYFUNCTION("""COMPUTED_VALUE"""),2516326.0)</f>
        <v>2516326</v>
      </c>
      <c r="C3700" t="str">
        <f>IFERROR(__xludf.DUMMYFUNCTION("""COMPUTED_VALUE"""),"ALMANCA ÖĞRENİYORUM B1 KONU ANLATIMI")</f>
        <v>ALMANCA ÖĞRENİYORUM B1 KONU ANLATIMI</v>
      </c>
    </row>
    <row r="3701">
      <c r="A3701" s="140" t="str">
        <f>IFERROR(__xludf.DUMMYFUNCTION("""COMPUTED_VALUE"""),"fr")</f>
        <v>fr</v>
      </c>
      <c r="B3701">
        <f>IFERROR(__xludf.DUMMYFUNCTION("""COMPUTED_VALUE"""),1898032.0)</f>
        <v>1898032</v>
      </c>
      <c r="C3701" t="str">
        <f>IFERROR(__xludf.DUMMYFUNCTION("""COMPUTED_VALUE"""),"FORMATION KRITA")</f>
        <v>FORMATION KRITA</v>
      </c>
    </row>
    <row r="3702">
      <c r="A3702" s="140" t="str">
        <f>IFERROR(__xludf.DUMMYFUNCTION("""COMPUTED_VALUE"""),"es")</f>
        <v>es</v>
      </c>
      <c r="B3702">
        <f>IFERROR(__xludf.DUMMYFUNCTION("""COMPUTED_VALUE"""),2213942.0)</f>
        <v>2213942</v>
      </c>
      <c r="C3702" t="str">
        <f>IFERROR(__xludf.DUMMYFUNCTION("""COMPUTED_VALUE"""),"Nuxt js: aplicaciones universales con vue js")</f>
        <v>Nuxt js: aplicaciones universales con vue js</v>
      </c>
    </row>
    <row r="3703">
      <c r="A3703" s="140" t="str">
        <f>IFERROR(__xludf.DUMMYFUNCTION("""COMPUTED_VALUE"""),"de")</f>
        <v>de</v>
      </c>
      <c r="B3703">
        <f>IFERROR(__xludf.DUMMYFUNCTION("""COMPUTED_VALUE"""),1007244.0)</f>
        <v>1007244</v>
      </c>
      <c r="C3703" t="str">
        <f>IFERROR(__xludf.DUMMYFUNCTION("""COMPUTED_VALUE"""),"Schwarze Rhetorik: Manipulation durch Sprache!")</f>
        <v>Schwarze Rhetorik: Manipulation durch Sprache!</v>
      </c>
    </row>
    <row r="3704">
      <c r="A3704" s="140" t="str">
        <f>IFERROR(__xludf.DUMMYFUNCTION("""COMPUTED_VALUE"""),"en")</f>
        <v>en</v>
      </c>
      <c r="B3704">
        <f>IFERROR(__xludf.DUMMYFUNCTION("""COMPUTED_VALUE"""),428642.0)</f>
        <v>428642</v>
      </c>
      <c r="C3704" t="str">
        <f>IFERROR(__xludf.DUMMYFUNCTION("""COMPUTED_VALUE"""),"Business to Business Selling Skills")</f>
        <v>Business to Business Selling Skills</v>
      </c>
    </row>
    <row r="3705">
      <c r="A3705" s="140" t="str">
        <f>IFERROR(__xludf.DUMMYFUNCTION("""COMPUTED_VALUE"""),"en")</f>
        <v>en</v>
      </c>
      <c r="B3705">
        <f>IFERROR(__xludf.DUMMYFUNCTION("""COMPUTED_VALUE"""),837258.0)</f>
        <v>837258</v>
      </c>
      <c r="C3705" t="str">
        <f>IFERROR(__xludf.DUMMYFUNCTION("""COMPUTED_VALUE"""),"Best Excel Course: Data Cleaning - For further Data Analysis")</f>
        <v>Best Excel Course: Data Cleaning - For further Data Analysis</v>
      </c>
    </row>
    <row r="3706">
      <c r="A3706" s="140" t="str">
        <f>IFERROR(__xludf.DUMMYFUNCTION("""COMPUTED_VALUE"""),"en")</f>
        <v>en</v>
      </c>
      <c r="B3706">
        <f>IFERROR(__xludf.DUMMYFUNCTION("""COMPUTED_VALUE"""),2800790.0)</f>
        <v>2800790</v>
      </c>
      <c r="C3706" t="str">
        <f>IFERROR(__xludf.DUMMYFUNCTION("""COMPUTED_VALUE"""),"RPA - Process Automation using UIPATH - Beginner to Expert")</f>
        <v>RPA - Process Automation using UIPATH - Beginner to Expert</v>
      </c>
    </row>
    <row r="3707">
      <c r="A3707" s="140" t="str">
        <f>IFERROR(__xludf.DUMMYFUNCTION("""COMPUTED_VALUE"""),"es")</f>
        <v>es</v>
      </c>
      <c r="B3707">
        <f>IFERROR(__xludf.DUMMYFUNCTION("""COMPUTED_VALUE"""),882422.0)</f>
        <v>882422</v>
      </c>
      <c r="C3707" t="str">
        <f>IFERROR(__xludf.DUMMYFUNCTION("""COMPUTED_VALUE"""),"Curso Maestro de Python 3: Aprende Desde Cero")</f>
        <v>Curso Maestro de Python 3: Aprende Desde Cero</v>
      </c>
    </row>
    <row r="3708">
      <c r="A3708" s="140" t="str">
        <f>IFERROR(__xludf.DUMMYFUNCTION("""COMPUTED_VALUE"""),"en")</f>
        <v>en</v>
      </c>
      <c r="B3708">
        <f>IFERROR(__xludf.DUMMYFUNCTION("""COMPUTED_VALUE"""),999200.0)</f>
        <v>999200</v>
      </c>
      <c r="C3708" t="str">
        <f>IFERROR(__xludf.DUMMYFUNCTION("""COMPUTED_VALUE"""),"Introduction to TypeScript Development")</f>
        <v>Introduction to TypeScript Development</v>
      </c>
    </row>
    <row r="3709">
      <c r="A3709" s="140" t="str">
        <f>IFERROR(__xludf.DUMMYFUNCTION("""COMPUTED_VALUE"""),"es")</f>
        <v>es</v>
      </c>
      <c r="B3709">
        <f>IFERROR(__xludf.DUMMYFUNCTION("""COMPUTED_VALUE"""),882422.0)</f>
        <v>882422</v>
      </c>
      <c r="C3709" t="str">
        <f>IFERROR(__xludf.DUMMYFUNCTION("""COMPUTED_VALUE"""),"Curso Maestro de Python 3: Aprende Desde Cero")</f>
        <v>Curso Maestro de Python 3: Aprende Desde Cero</v>
      </c>
    </row>
    <row r="3710">
      <c r="A3710" s="140" t="str">
        <f>IFERROR(__xludf.DUMMYFUNCTION("""COMPUTED_VALUE"""),"en")</f>
        <v>en</v>
      </c>
      <c r="B3710">
        <f>IFERROR(__xludf.DUMMYFUNCTION("""COMPUTED_VALUE"""),2093784.0)</f>
        <v>2093784</v>
      </c>
      <c r="C3710" t="str">
        <f>IFERROR(__xludf.DUMMYFUNCTION("""COMPUTED_VALUE"""),"Refactoring to Design Patterns by Example")</f>
        <v>Refactoring to Design Patterns by Example</v>
      </c>
    </row>
    <row r="3711">
      <c r="A3711" s="140" t="str">
        <f>IFERROR(__xludf.DUMMYFUNCTION("""COMPUTED_VALUE"""),"en")</f>
        <v>en</v>
      </c>
      <c r="B3711">
        <f>IFERROR(__xludf.DUMMYFUNCTION("""COMPUTED_VALUE"""),3871572.0)</f>
        <v>3871572</v>
      </c>
      <c r="C3711" t="str">
        <f>IFERROR(__xludf.DUMMYFUNCTION("""COMPUTED_VALUE"""),"AWS Certified solution architect associate high level test")</f>
        <v>AWS Certified solution architect associate high level test</v>
      </c>
    </row>
    <row r="3712">
      <c r="A3712" s="140" t="str">
        <f>IFERROR(__xludf.DUMMYFUNCTION("""COMPUTED_VALUE"""),"en")</f>
        <v>en</v>
      </c>
      <c r="B3712">
        <f>IFERROR(__xludf.DUMMYFUNCTION("""COMPUTED_VALUE"""),503306.0)</f>
        <v>503306</v>
      </c>
      <c r="C3712" t="str">
        <f>IFERROR(__xludf.DUMMYFUNCTION("""COMPUTED_VALUE"""),"Microcontrollers and the C Programming Language (MSP430)")</f>
        <v>Microcontrollers and the C Programming Language (MSP430)</v>
      </c>
    </row>
    <row r="3713">
      <c r="A3713" s="140" t="str">
        <f>IFERROR(__xludf.DUMMYFUNCTION("""COMPUTED_VALUE"""),"es")</f>
        <v>es</v>
      </c>
      <c r="B3713">
        <f>IFERROR(__xludf.DUMMYFUNCTION("""COMPUTED_VALUE"""),1770590.0)</f>
        <v>1770590</v>
      </c>
      <c r="C3713" t="str">
        <f>IFERROR(__xludf.DUMMYFUNCTION("""COMPUTED_VALUE"""),"Curso de TJ Walker sobre hablar en público de 1 hora")</f>
        <v>Curso de TJ Walker sobre hablar en público de 1 hora</v>
      </c>
    </row>
    <row r="3714">
      <c r="A3714" s="140" t="str">
        <f>IFERROR(__xludf.DUMMYFUNCTION("""COMPUTED_VALUE"""),"en")</f>
        <v>en</v>
      </c>
      <c r="B3714">
        <f>IFERROR(__xludf.DUMMYFUNCTION("""COMPUTED_VALUE"""),2032604.0)</f>
        <v>2032604</v>
      </c>
      <c r="C3714" t="str">
        <f>IFERROR(__xludf.DUMMYFUNCTION("""COMPUTED_VALUE"""),"Operating Systems Part 3 : Synchronization and Deadlock")</f>
        <v>Operating Systems Part 3 : Synchronization and Deadlock</v>
      </c>
    </row>
    <row r="3715">
      <c r="A3715" s="140" t="str">
        <f>IFERROR(__xludf.DUMMYFUNCTION("""COMPUTED_VALUE"""),"pt")</f>
        <v>pt</v>
      </c>
      <c r="B3715">
        <f>IFERROR(__xludf.DUMMYFUNCTION("""COMPUTED_VALUE"""),1653790.0)</f>
        <v>1653790</v>
      </c>
      <c r="C3715" t="str">
        <f>IFERROR(__xludf.DUMMYFUNCTION("""COMPUTED_VALUE"""),"Desenvolvedor júnior level 1: fundamentos do desenvolvimento")</f>
        <v>Desenvolvedor júnior level 1: fundamentos do desenvolvimento</v>
      </c>
    </row>
    <row r="3716">
      <c r="A3716" s="140" t="str">
        <f>IFERROR(__xludf.DUMMYFUNCTION("""COMPUTED_VALUE"""),"fr")</f>
        <v>fr</v>
      </c>
      <c r="B3716">
        <f>IFERROR(__xludf.DUMMYFUNCTION("""COMPUTED_VALUE"""),2738488.0)</f>
        <v>2738488</v>
      </c>
      <c r="C3716" t="str">
        <f>IFERROR(__xludf.DUMMYFUNCTION("""COMPUTED_VALUE"""),"Outlook 2019")</f>
        <v>Outlook 2019</v>
      </c>
    </row>
    <row r="3717">
      <c r="A3717" s="140" t="str">
        <f>IFERROR(__xludf.DUMMYFUNCTION("""COMPUTED_VALUE"""),"en")</f>
        <v>en</v>
      </c>
      <c r="B3717">
        <f>IFERROR(__xludf.DUMMYFUNCTION("""COMPUTED_VALUE"""),132804.0)</f>
        <v>132804</v>
      </c>
      <c r="C3717" t="str">
        <f>IFERROR(__xludf.DUMMYFUNCTION("""COMPUTED_VALUE"""),"Website Localization For Translators")</f>
        <v>Website Localization For Translators</v>
      </c>
    </row>
    <row r="3718">
      <c r="A3718" s="140" t="str">
        <f>IFERROR(__xludf.DUMMYFUNCTION("""COMPUTED_VALUE"""),"en")</f>
        <v>en</v>
      </c>
      <c r="B3718">
        <f>IFERROR(__xludf.DUMMYFUNCTION("""COMPUTED_VALUE"""),1033446.0)</f>
        <v>1033446</v>
      </c>
      <c r="C3718" t="str">
        <f>IFERROR(__xludf.DUMMYFUNCTION("""COMPUTED_VALUE"""),"UI/UX design with Adobe XD: Design &amp; Prototype a Mobile App")</f>
        <v>UI/UX design with Adobe XD: Design &amp; Prototype a Mobile App</v>
      </c>
    </row>
    <row r="3719">
      <c r="A3719" s="140" t="str">
        <f>IFERROR(__xludf.DUMMYFUNCTION("""COMPUTED_VALUE"""),"de")</f>
        <v>de</v>
      </c>
      <c r="B3719">
        <f>IFERROR(__xludf.DUMMYFUNCTION("""COMPUTED_VALUE"""),688978.0)</f>
        <v>688978</v>
      </c>
      <c r="C3719" t="str">
        <f>IFERROR(__xludf.DUMMYFUNCTION("""COMPUTED_VALUE"""),"Ich bin. Also wirke ich.")</f>
        <v>Ich bin. Also wirke ich.</v>
      </c>
    </row>
    <row r="3720">
      <c r="A3720" s="140" t="str">
        <f>IFERROR(__xludf.DUMMYFUNCTION("""COMPUTED_VALUE"""),"es")</f>
        <v>es</v>
      </c>
      <c r="B3720">
        <f>IFERROR(__xludf.DUMMYFUNCTION("""COMPUTED_VALUE"""),2053579.0)</f>
        <v>2053579</v>
      </c>
      <c r="C3720" t="str">
        <f>IFERROR(__xludf.DUMMYFUNCTION("""COMPUTED_VALUE"""),"Spring Boot 2 - Desarrollo web con Spring Framework y MySQL8")</f>
        <v>Spring Boot 2 - Desarrollo web con Spring Framework y MySQL8</v>
      </c>
    </row>
    <row r="3721">
      <c r="A3721" s="140" t="str">
        <f>IFERROR(__xludf.DUMMYFUNCTION("""COMPUTED_VALUE"""),"en")</f>
        <v>en</v>
      </c>
      <c r="B3721">
        <f>IFERROR(__xludf.DUMMYFUNCTION("""COMPUTED_VALUE"""),911298.0)</f>
        <v>911298</v>
      </c>
      <c r="C3721" t="str">
        <f>IFERROR(__xludf.DUMMYFUNCTION("""COMPUTED_VALUE"""),"All About Gaming Industry Careers &amp; Game Design Fundamentals")</f>
        <v>All About Gaming Industry Careers &amp; Game Design Fundamentals</v>
      </c>
    </row>
    <row r="3722">
      <c r="A3722" s="140" t="str">
        <f>IFERROR(__xludf.DUMMYFUNCTION("""COMPUTED_VALUE"""),"es")</f>
        <v>es</v>
      </c>
      <c r="B3722">
        <f>IFERROR(__xludf.DUMMYFUNCTION("""COMPUTED_VALUE"""),987578.0)</f>
        <v>987578</v>
      </c>
      <c r="C3722" t="str">
        <f>IFERROR(__xludf.DUMMYFUNCTION("""COMPUTED_VALUE"""),"Optimización de Almacenes, Inventarios y Stocks.")</f>
        <v>Optimización de Almacenes, Inventarios y Stocks.</v>
      </c>
    </row>
    <row r="3723">
      <c r="A3723" s="140" t="str">
        <f>IFERROR(__xludf.DUMMYFUNCTION("""COMPUTED_VALUE"""),"en")</f>
        <v>en</v>
      </c>
      <c r="B3723">
        <f>IFERROR(__xludf.DUMMYFUNCTION("""COMPUTED_VALUE"""),1250764.0)</f>
        <v>1250764</v>
      </c>
      <c r="C3723" t="str">
        <f>IFERROR(__xludf.DUMMYFUNCTION("""COMPUTED_VALUE"""),"Automation Testing using Selenium &amp; Katalon Studio")</f>
        <v>Automation Testing using Selenium &amp; Katalon Studio</v>
      </c>
    </row>
    <row r="3724">
      <c r="A3724" s="140" t="str">
        <f>IFERROR(__xludf.DUMMYFUNCTION("""COMPUTED_VALUE"""),"pt")</f>
        <v>pt</v>
      </c>
      <c r="B3724">
        <f>IFERROR(__xludf.DUMMYFUNCTION("""COMPUTED_VALUE"""),2434994.0)</f>
        <v>2434994</v>
      </c>
      <c r="C3724" t="str">
        <f>IFERROR(__xludf.DUMMYFUNCTION("""COMPUTED_VALUE"""),"Transformando Conflitos nas Organizações")</f>
        <v>Transformando Conflitos nas Organizações</v>
      </c>
    </row>
    <row r="3725">
      <c r="A3725" s="140" t="str">
        <f>IFERROR(__xludf.DUMMYFUNCTION("""COMPUTED_VALUE"""),"de")</f>
        <v>de</v>
      </c>
      <c r="B3725">
        <f>IFERROR(__xludf.DUMMYFUNCTION("""COMPUTED_VALUE"""),1493316.0)</f>
        <v>1493316</v>
      </c>
      <c r="C3725" t="str">
        <f>IFERROR(__xludf.DUMMYFUNCTION("""COMPUTED_VALUE"""),"Facebook Werbeanzeigen Meisterkurs: Facebook Werbung von A-Z")</f>
        <v>Facebook Werbeanzeigen Meisterkurs: Facebook Werbung von A-Z</v>
      </c>
    </row>
    <row r="3726">
      <c r="A3726" s="140" t="str">
        <f>IFERROR(__xludf.DUMMYFUNCTION("""COMPUTED_VALUE"""),"en")</f>
        <v>en</v>
      </c>
      <c r="B3726">
        <f>IFERROR(__xludf.DUMMYFUNCTION("""COMPUTED_VALUE"""),1544802.0)</f>
        <v>1544802</v>
      </c>
      <c r="C3726" t="str">
        <f>IFERROR(__xludf.DUMMYFUNCTION("""COMPUTED_VALUE"""),"Build a Blockchain and a Cryptocurrency from Scratch")</f>
        <v>Build a Blockchain and a Cryptocurrency from Scratch</v>
      </c>
    </row>
    <row r="3727">
      <c r="A3727" s="140" t="str">
        <f>IFERROR(__xludf.DUMMYFUNCTION("""COMPUTED_VALUE"""),"en")</f>
        <v>en</v>
      </c>
      <c r="B3727">
        <f>IFERROR(__xludf.DUMMYFUNCTION("""COMPUTED_VALUE"""),3733600.0)</f>
        <v>3733600</v>
      </c>
      <c r="C3727" t="str">
        <f>IFERROR(__xludf.DUMMYFUNCTION("""COMPUTED_VALUE"""),"Fundamentals of Energy")</f>
        <v>Fundamentals of Energy</v>
      </c>
    </row>
    <row r="3728">
      <c r="A3728" s="140" t="str">
        <f>IFERROR(__xludf.DUMMYFUNCTION("""COMPUTED_VALUE"""),"en")</f>
        <v>en</v>
      </c>
      <c r="B3728">
        <f>IFERROR(__xludf.DUMMYFUNCTION("""COMPUTED_VALUE"""),2818117.0)</f>
        <v>2818117</v>
      </c>
      <c r="C3728" t="str">
        <f>IFERROR(__xludf.DUMMYFUNCTION("""COMPUTED_VALUE"""),"Windows Privilege Escalation for OSCP &amp; Beyond!")</f>
        <v>Windows Privilege Escalation for OSCP &amp; Beyond!</v>
      </c>
    </row>
    <row r="3729">
      <c r="A3729" s="140" t="str">
        <f>IFERROR(__xludf.DUMMYFUNCTION("""COMPUTED_VALUE"""),"en")</f>
        <v>en</v>
      </c>
      <c r="B3729">
        <f>IFERROR(__xludf.DUMMYFUNCTION("""COMPUTED_VALUE"""),1227222.0)</f>
        <v>1227222</v>
      </c>
      <c r="C3729" t="str">
        <f>IFERROR(__xludf.DUMMYFUNCTION("""COMPUTED_VALUE"""),"Beginner VS Code")</f>
        <v>Beginner VS Code</v>
      </c>
    </row>
    <row r="3730">
      <c r="A3730" s="140" t="str">
        <f>IFERROR(__xludf.DUMMYFUNCTION("""COMPUTED_VALUE"""),"en")</f>
        <v>en</v>
      </c>
      <c r="B3730">
        <f>IFERROR(__xludf.DUMMYFUNCTION("""COMPUTED_VALUE"""),3998348.0)</f>
        <v>3998348</v>
      </c>
      <c r="C3730" t="str">
        <f>IFERROR(__xludf.DUMMYFUNCTION("""COMPUTED_VALUE"""),"Complete Guide to ASP.NET Core Identity (.NET 5)")</f>
        <v>Complete Guide to ASP.NET Core Identity (.NET 5)</v>
      </c>
    </row>
    <row r="3731">
      <c r="A3731" s="140" t="str">
        <f>IFERROR(__xludf.DUMMYFUNCTION("""COMPUTED_VALUE"""),"pt")</f>
        <v>pt</v>
      </c>
      <c r="B3731">
        <f>IFERROR(__xludf.DUMMYFUNCTION("""COMPUTED_VALUE"""),2354022.0)</f>
        <v>2354022</v>
      </c>
      <c r="C3731" t="str">
        <f>IFERROR(__xludf.DUMMYFUNCTION("""COMPUTED_VALUE"""),"Criando Game Avançado Do Zero com Unreal Engine e Blueprints")</f>
        <v>Criando Game Avançado Do Zero com Unreal Engine e Blueprints</v>
      </c>
    </row>
    <row r="3732">
      <c r="A3732" s="140" t="str">
        <f>IFERROR(__xludf.DUMMYFUNCTION("""COMPUTED_VALUE"""),"ja")</f>
        <v>ja</v>
      </c>
      <c r="B3732">
        <f>IFERROR(__xludf.DUMMYFUNCTION("""COMPUTED_VALUE"""),4063256.0)</f>
        <v>4063256</v>
      </c>
      <c r="C3732" t="str">
        <f>IFERROR(__xludf.DUMMYFUNCTION("""COMPUTED_VALUE"""),"After Effects【脱初心者】タイトル・アニメーション8種+課題1種【モーショングラフィックス】")</f>
        <v>After Effects【脱初心者】タイトル・アニメーション8種+課題1種【モーショングラフィックス】</v>
      </c>
    </row>
    <row r="3733">
      <c r="A3733" s="140" t="str">
        <f>IFERROR(__xludf.DUMMYFUNCTION("""COMPUTED_VALUE"""),"en")</f>
        <v>en</v>
      </c>
      <c r="B3733">
        <f>IFERROR(__xludf.DUMMYFUNCTION("""COMPUTED_VALUE"""),1623786.0)</f>
        <v>1623786</v>
      </c>
      <c r="C3733" t="str">
        <f>IFERROR(__xludf.DUMMYFUNCTION("""COMPUTED_VALUE"""),"Fundamentals of Watson Analytics")</f>
        <v>Fundamentals of Watson Analytics</v>
      </c>
    </row>
    <row r="3734">
      <c r="A3734" s="140" t="str">
        <f>IFERROR(__xludf.DUMMYFUNCTION("""COMPUTED_VALUE"""),"en")</f>
        <v>en</v>
      </c>
      <c r="B3734">
        <f>IFERROR(__xludf.DUMMYFUNCTION("""COMPUTED_VALUE"""),1039210.0)</f>
        <v>1039210</v>
      </c>
      <c r="C3734" t="str">
        <f>IFERROR(__xludf.DUMMYFUNCTION("""COMPUTED_VALUE"""),"Lean Management for Lean Six Sigma Training &amp; Certification")</f>
        <v>Lean Management for Lean Six Sigma Training &amp; Certification</v>
      </c>
    </row>
    <row r="3735">
      <c r="A3735" s="140" t="str">
        <f>IFERROR(__xludf.DUMMYFUNCTION("""COMPUTED_VALUE"""),"ar")</f>
        <v>ar</v>
      </c>
      <c r="B3735">
        <f>IFERROR(__xludf.DUMMYFUNCTION("""COMPUTED_VALUE"""),2133568.0)</f>
        <v>2133568</v>
      </c>
      <c r="C3735" t="str">
        <f>IFERROR(__xludf.DUMMYFUNCTION("""COMPUTED_VALUE"""),"Emergency Backup Power Systems UPS محطات الديزل وانظمة")</f>
        <v>Emergency Backup Power Systems UPS محطات الديزل وانظمة</v>
      </c>
    </row>
    <row r="3736">
      <c r="A3736" s="140" t="str">
        <f>IFERROR(__xludf.DUMMYFUNCTION("""COMPUTED_VALUE"""),"en")</f>
        <v>en</v>
      </c>
      <c r="B3736">
        <f>IFERROR(__xludf.DUMMYFUNCTION("""COMPUTED_VALUE"""),1911130.0)</f>
        <v>1911130</v>
      </c>
      <c r="C3736" t="str">
        <f>IFERROR(__xludf.DUMMYFUNCTION("""COMPUTED_VALUE"""),"How to VLOG: Complete Beginner's Course")</f>
        <v>How to VLOG: Complete Beginner's Course</v>
      </c>
    </row>
    <row r="3737">
      <c r="A3737" s="140" t="str">
        <f>IFERROR(__xludf.DUMMYFUNCTION("""COMPUTED_VALUE"""),"en")</f>
        <v>en</v>
      </c>
      <c r="B3737">
        <f>IFERROR(__xludf.DUMMYFUNCTION("""COMPUTED_VALUE"""),3175270.0)</f>
        <v>3175270</v>
      </c>
      <c r="C3737" t="str">
        <f>IFERROR(__xludf.DUMMYFUNCTION("""COMPUTED_VALUE"""),"Tableau Desktop for Data Analysis &amp; Data Visualization")</f>
        <v>Tableau Desktop for Data Analysis &amp; Data Visualization</v>
      </c>
    </row>
    <row r="3738">
      <c r="A3738" s="140" t="str">
        <f>IFERROR(__xludf.DUMMYFUNCTION("""COMPUTED_VALUE"""),"fr")</f>
        <v>fr</v>
      </c>
      <c r="B3738">
        <f>IFERROR(__xludf.DUMMYFUNCTION("""COMPUTED_VALUE"""),1979532.0)</f>
        <v>1979532</v>
      </c>
      <c r="C3738" t="str">
        <f>IFERROR(__xludf.DUMMYFUNCTION("""COMPUTED_VALUE"""),"Cours d’Italien pour Débutants")</f>
        <v>Cours d’Italien pour Débutants</v>
      </c>
    </row>
    <row r="3739">
      <c r="A3739" s="140" t="str">
        <f>IFERROR(__xludf.DUMMYFUNCTION("""COMPUTED_VALUE"""),"ja")</f>
        <v>ja</v>
      </c>
      <c r="B3739">
        <f>IFERROR(__xludf.DUMMYFUNCTION("""COMPUTED_VALUE"""),4248718.0)</f>
        <v>4248718</v>
      </c>
      <c r="C3739" t="str">
        <f>IFERROR(__xludf.DUMMYFUNCTION("""COMPUTED_VALUE"""),"【Power BIの基本】初学者～中級者に「準備・視覚化・共有」の3ステップでPowerBIとデータ分析の基本が身につく")</f>
        <v>【Power BIの基本】初学者～中級者に「準備・視覚化・共有」の3ステップでPowerBIとデータ分析の基本が身につく</v>
      </c>
    </row>
    <row r="3740">
      <c r="A3740" s="140" t="str">
        <f>IFERROR(__xludf.DUMMYFUNCTION("""COMPUTED_VALUE"""),"tr")</f>
        <v>tr</v>
      </c>
      <c r="B3740">
        <f>IFERROR(__xludf.DUMMYFUNCTION("""COMPUTED_VALUE"""),2738868.0)</f>
        <v>2738868</v>
      </c>
      <c r="C3740" t="str">
        <f>IFERROR(__xludf.DUMMYFUNCTION("""COMPUTED_VALUE"""),"HTML5'i Detaylı Olarak Öğreniyoruz")</f>
        <v>HTML5'i Detaylı Olarak Öğreniyoruz</v>
      </c>
    </row>
    <row r="3741">
      <c r="A3741" s="140" t="str">
        <f>IFERROR(__xludf.DUMMYFUNCTION("""COMPUTED_VALUE"""),"pt")</f>
        <v>pt</v>
      </c>
      <c r="B3741">
        <f>IFERROR(__xludf.DUMMYFUNCTION("""COMPUTED_VALUE"""),1501550.0)</f>
        <v>1501550</v>
      </c>
      <c r="C3741" t="str">
        <f>IFERROR(__xludf.DUMMYFUNCTION("""COMPUTED_VALUE"""),"Gestão de pessoas: me tornei gestor, e agora?")</f>
        <v>Gestão de pessoas: me tornei gestor, e agora?</v>
      </c>
    </row>
    <row r="3742">
      <c r="A3742" s="140" t="str">
        <f>IFERROR(__xludf.DUMMYFUNCTION("""COMPUTED_VALUE"""),"de")</f>
        <v>de</v>
      </c>
      <c r="B3742">
        <f>IFERROR(__xludf.DUMMYFUNCTION("""COMPUTED_VALUE"""),3347056.0)</f>
        <v>3347056</v>
      </c>
      <c r="C3742" t="str">
        <f>IFERROR(__xludf.DUMMYFUNCTION("""COMPUTED_VALUE"""),"Kennzahlen in der Logistik")</f>
        <v>Kennzahlen in der Logistik</v>
      </c>
    </row>
    <row r="3743">
      <c r="A3743" s="140" t="str">
        <f>IFERROR(__xludf.DUMMYFUNCTION("""COMPUTED_VALUE"""),"en")</f>
        <v>en</v>
      </c>
      <c r="B3743">
        <f>IFERROR(__xludf.DUMMYFUNCTION("""COMPUTED_VALUE"""),1263468.0)</f>
        <v>1263468</v>
      </c>
      <c r="C3743" t="str">
        <f>IFERROR(__xludf.DUMMYFUNCTION("""COMPUTED_VALUE"""),"REST APIs using Spring Data REST")</f>
        <v>REST APIs using Spring Data REST</v>
      </c>
    </row>
    <row r="3744">
      <c r="A3744" s="140" t="str">
        <f>IFERROR(__xludf.DUMMYFUNCTION("""COMPUTED_VALUE"""),"pt")</f>
        <v>pt</v>
      </c>
      <c r="B3744">
        <f>IFERROR(__xludf.DUMMYFUNCTION("""COMPUTED_VALUE"""),1896982.0)</f>
        <v>1896982</v>
      </c>
      <c r="C3744" t="str">
        <f>IFERROR(__xludf.DUMMYFUNCTION("""COMPUTED_VALUE"""),"Adobe Illustrator CC 2020 - O curso mais completo de design")</f>
        <v>Adobe Illustrator CC 2020 - O curso mais completo de design</v>
      </c>
    </row>
    <row r="3745">
      <c r="A3745" s="140" t="str">
        <f>IFERROR(__xludf.DUMMYFUNCTION("""COMPUTED_VALUE"""),"pt")</f>
        <v>pt</v>
      </c>
      <c r="B3745">
        <f>IFERROR(__xludf.DUMMYFUNCTION("""COMPUTED_VALUE"""),2722022.0)</f>
        <v>2722022</v>
      </c>
      <c r="C3745" t="str">
        <f>IFERROR(__xludf.DUMMYFUNCTION("""COMPUTED_VALUE"""),"Simulado Exame Cisco CCNA 200-301 - Atualizado 2021")</f>
        <v>Simulado Exame Cisco CCNA 200-301 - Atualizado 2021</v>
      </c>
    </row>
    <row r="3746">
      <c r="A3746" s="140" t="str">
        <f>IFERROR(__xludf.DUMMYFUNCTION("""COMPUTED_VALUE"""),"en")</f>
        <v>en</v>
      </c>
      <c r="B3746">
        <f>IFERROR(__xludf.DUMMYFUNCTION("""COMPUTED_VALUE"""),18656.0)</f>
        <v>18656</v>
      </c>
      <c r="C3746" t="str">
        <f>IFERROR(__xludf.DUMMYFUNCTION("""COMPUTED_VALUE"""),"Wheelock's Latin : Chapters 1-15 Lectures")</f>
        <v>Wheelock's Latin : Chapters 1-15 Lectures</v>
      </c>
    </row>
    <row r="3747">
      <c r="A3747" s="140" t="str">
        <f>IFERROR(__xludf.DUMMYFUNCTION("""COMPUTED_VALUE"""),"en")</f>
        <v>en</v>
      </c>
      <c r="B3747">
        <f>IFERROR(__xludf.DUMMYFUNCTION("""COMPUTED_VALUE"""),2027452.0)</f>
        <v>2027452</v>
      </c>
      <c r="C3747" t="str">
        <f>IFERROR(__xludf.DUMMYFUNCTION("""COMPUTED_VALUE"""),"ArcGIS Level 1: GIS &amp; ArcMap, ArcCatalog, ArcGlobe, ArcScene")</f>
        <v>ArcGIS Level 1: GIS &amp; ArcMap, ArcCatalog, ArcGlobe, ArcScene</v>
      </c>
    </row>
    <row r="3748">
      <c r="A3748" s="140" t="str">
        <f>IFERROR(__xludf.DUMMYFUNCTION("""COMPUTED_VALUE"""),"ja")</f>
        <v>ja</v>
      </c>
      <c r="B3748">
        <f>IFERROR(__xludf.DUMMYFUNCTION("""COMPUTED_VALUE"""),3758936.0)</f>
        <v>3758936</v>
      </c>
      <c r="C3748" t="str">
        <f>IFERROR(__xludf.DUMMYFUNCTION("""COMPUTED_VALUE"""),"【世界ベストセラー講師による】変革型リーダーシップで企業文化を一歩先へ導く")</f>
        <v>【世界ベストセラー講師による】変革型リーダーシップで企業文化を一歩先へ導く</v>
      </c>
    </row>
    <row r="3749">
      <c r="A3749" s="140" t="str">
        <f>IFERROR(__xludf.DUMMYFUNCTION("""COMPUTED_VALUE"""),"en")</f>
        <v>en</v>
      </c>
      <c r="B3749">
        <f>IFERROR(__xludf.DUMMYFUNCTION("""COMPUTED_VALUE"""),2806163.0)</f>
        <v>2806163</v>
      </c>
      <c r="C3749" t="str">
        <f>IFERROR(__xludf.DUMMYFUNCTION("""COMPUTED_VALUE"""),"Microsoft Excel: Pivot Tables, Power Query, Power Pivot/DAX")</f>
        <v>Microsoft Excel: Pivot Tables, Power Query, Power Pivot/DAX</v>
      </c>
    </row>
    <row r="3750">
      <c r="A3750" s="140" t="str">
        <f>IFERROR(__xludf.DUMMYFUNCTION("""COMPUTED_VALUE"""),"pt")</f>
        <v>pt</v>
      </c>
      <c r="B3750">
        <f>IFERROR(__xludf.DUMMYFUNCTION("""COMPUTED_VALUE"""),3259432.0)</f>
        <v>3259432</v>
      </c>
      <c r="C3750" t="str">
        <f>IFERROR(__xludf.DUMMYFUNCTION("""COMPUTED_VALUE"""),"Curso Crie Apresentações Profissionais no PowerPoint")</f>
        <v>Curso Crie Apresentações Profissionais no PowerPoint</v>
      </c>
    </row>
    <row r="3751">
      <c r="A3751" s="140" t="str">
        <f>IFERROR(__xludf.DUMMYFUNCTION("""COMPUTED_VALUE"""),"en")</f>
        <v>en</v>
      </c>
      <c r="B3751">
        <f>IFERROR(__xludf.DUMMYFUNCTION("""COMPUTED_VALUE"""),2722246.0)</f>
        <v>2722246</v>
      </c>
      <c r="C3751" t="str">
        <f>IFERROR(__xludf.DUMMYFUNCTION("""COMPUTED_VALUE"""),"Spring Boot REST &amp; Angular + Full Stack Application!")</f>
        <v>Spring Boot REST &amp; Angular + Full Stack Application!</v>
      </c>
    </row>
    <row r="3752">
      <c r="A3752" s="140" t="str">
        <f>IFERROR(__xludf.DUMMYFUNCTION("""COMPUTED_VALUE"""),"de")</f>
        <v>de</v>
      </c>
      <c r="B3752">
        <f>IFERROR(__xludf.DUMMYFUNCTION("""COMPUTED_VALUE"""),1648202.0)</f>
        <v>1648202</v>
      </c>
      <c r="C3752" t="str">
        <f>IFERROR(__xludf.DUMMYFUNCTION("""COMPUTED_VALUE"""),"React Native - Der Einstieg in die Entwicklung mobiler Apps")</f>
        <v>React Native - Der Einstieg in die Entwicklung mobiler Apps</v>
      </c>
    </row>
    <row r="3753">
      <c r="A3753" s="140" t="str">
        <f>IFERROR(__xludf.DUMMYFUNCTION("""COMPUTED_VALUE"""),"en")</f>
        <v>en</v>
      </c>
      <c r="B3753">
        <f>IFERROR(__xludf.DUMMYFUNCTION("""COMPUTED_VALUE"""),1799306.0)</f>
        <v>1799306</v>
      </c>
      <c r="C3753" t="str">
        <f>IFERROR(__xludf.DUMMYFUNCTION("""COMPUTED_VALUE"""),"Web Scraping in Nodejs &amp; JavaScript")</f>
        <v>Web Scraping in Nodejs &amp; JavaScript</v>
      </c>
    </row>
    <row r="3754">
      <c r="A3754" s="140" t="str">
        <f>IFERROR(__xludf.DUMMYFUNCTION("""COMPUTED_VALUE"""),"es")</f>
        <v>es</v>
      </c>
      <c r="B3754">
        <f>IFERROR(__xludf.DUMMYFUNCTION("""COMPUTED_VALUE"""),1243084.0)</f>
        <v>1243084</v>
      </c>
      <c r="C3754" t="str">
        <f>IFERROR(__xludf.DUMMYFUNCTION("""COMPUTED_VALUE"""),"Kotlin Actualizado 2022 | Introducción a la Programación")</f>
        <v>Kotlin Actualizado 2022 | Introducción a la Programación</v>
      </c>
    </row>
    <row r="3755">
      <c r="A3755" s="140" t="str">
        <f>IFERROR(__xludf.DUMMYFUNCTION("""COMPUTED_VALUE"""),"ja")</f>
        <v>ja</v>
      </c>
      <c r="B3755">
        <f>IFERROR(__xludf.DUMMYFUNCTION("""COMPUTED_VALUE"""),3620396.0)</f>
        <v>3620396</v>
      </c>
      <c r="C3755" t="str">
        <f>IFERROR(__xludf.DUMMYFUNCTION("""COMPUTED_VALUE"""),"NoCode (ノーコード)でスマホアプリを作る！知識がなくてもアプリが作れるAdalo講座")</f>
        <v>NoCode (ノーコード)でスマホアプリを作る！知識がなくてもアプリが作れるAdalo講座</v>
      </c>
    </row>
    <row r="3756">
      <c r="A3756" s="140" t="str">
        <f>IFERROR(__xludf.DUMMYFUNCTION("""COMPUTED_VALUE"""),"ko")</f>
        <v>ko</v>
      </c>
      <c r="B3756">
        <f>IFERROR(__xludf.DUMMYFUNCTION("""COMPUTED_VALUE"""),3582740.0)</f>
        <v>3582740</v>
      </c>
      <c r="C3756" t="str">
        <f>IFERROR(__xludf.DUMMYFUNCTION("""COMPUTED_VALUE"""),"AWS 공인 클라우드 전문가 CLF-C01 연습문제")</f>
        <v>AWS 공인 클라우드 전문가 CLF-C01 연습문제</v>
      </c>
    </row>
    <row r="3757">
      <c r="A3757" s="140" t="str">
        <f>IFERROR(__xludf.DUMMYFUNCTION("""COMPUTED_VALUE"""),"es")</f>
        <v>es</v>
      </c>
      <c r="B3757">
        <f>IFERROR(__xludf.DUMMYFUNCTION("""COMPUTED_VALUE"""),1698642.0)</f>
        <v>1698642</v>
      </c>
      <c r="C3757" t="str">
        <f>IFERROR(__xludf.DUMMYFUNCTION("""COMPUTED_VALUE"""),"Aprende 3ds Max desde cero a Profesional")</f>
        <v>Aprende 3ds Max desde cero a Profesional</v>
      </c>
    </row>
    <row r="3758">
      <c r="A3758" s="140" t="str">
        <f>IFERROR(__xludf.DUMMYFUNCTION("""COMPUTED_VALUE"""),"en")</f>
        <v>en</v>
      </c>
      <c r="B3758">
        <f>IFERROR(__xludf.DUMMYFUNCTION("""COMPUTED_VALUE"""),2583632.0)</f>
        <v>2583632</v>
      </c>
      <c r="C3758" t="str">
        <f>IFERROR(__xludf.DUMMYFUNCTION("""COMPUTED_VALUE"""),"A Big Data Hadoop and Spark project for absolute beginners")</f>
        <v>A Big Data Hadoop and Spark project for absolute beginners</v>
      </c>
    </row>
    <row r="3759">
      <c r="A3759" s="140" t="str">
        <f>IFERROR(__xludf.DUMMYFUNCTION("""COMPUTED_VALUE"""),"en")</f>
        <v>en</v>
      </c>
      <c r="B3759">
        <f>IFERROR(__xludf.DUMMYFUNCTION("""COMPUTED_VALUE"""),1319770.0)</f>
        <v>1319770</v>
      </c>
      <c r="C3759" t="str">
        <f>IFERROR(__xludf.DUMMYFUNCTION("""COMPUTED_VALUE"""),"Design Patterns in Modern C++")</f>
        <v>Design Patterns in Modern C++</v>
      </c>
    </row>
    <row r="3760">
      <c r="A3760" s="140" t="str">
        <f>IFERROR(__xludf.DUMMYFUNCTION("""COMPUTED_VALUE"""),"ja")</f>
        <v>ja</v>
      </c>
      <c r="B3760">
        <f>IFERROR(__xludf.DUMMYFUNCTION("""COMPUTED_VALUE"""),2641334.0)</f>
        <v>2641334</v>
      </c>
      <c r="C3760" t="str">
        <f>IFERROR(__xludf.DUMMYFUNCTION("""COMPUTED_VALUE"""),"REST WebAPI サービス 設計")</f>
        <v>REST WebAPI サービス 設計</v>
      </c>
    </row>
    <row r="3761">
      <c r="A3761" s="140" t="str">
        <f>IFERROR(__xludf.DUMMYFUNCTION("""COMPUTED_VALUE"""),"en")</f>
        <v>en</v>
      </c>
      <c r="B3761">
        <f>IFERROR(__xludf.DUMMYFUNCTION("""COMPUTED_VALUE"""),1951188.0)</f>
        <v>1951188</v>
      </c>
      <c r="C3761" t="str">
        <f>IFERROR(__xludf.DUMMYFUNCTION("""COMPUTED_VALUE"""),"Complete Introduction to Excel Power Query")</f>
        <v>Complete Introduction to Excel Power Query</v>
      </c>
    </row>
    <row r="3762">
      <c r="A3762" s="140" t="str">
        <f>IFERROR(__xludf.DUMMYFUNCTION("""COMPUTED_VALUE"""),"en")</f>
        <v>en</v>
      </c>
      <c r="B3762">
        <f>IFERROR(__xludf.DUMMYFUNCTION("""COMPUTED_VALUE"""),831548.0)</f>
        <v>831548</v>
      </c>
      <c r="C3762" t="str">
        <f>IFERROR(__xludf.DUMMYFUNCTION("""COMPUTED_VALUE"""),"Fast &amp; effective Landing Page course: Start converting today")</f>
        <v>Fast &amp; effective Landing Page course: Start converting today</v>
      </c>
    </row>
    <row r="3763">
      <c r="A3763" s="140" t="str">
        <f>IFERROR(__xludf.DUMMYFUNCTION("""COMPUTED_VALUE"""),"en")</f>
        <v>en</v>
      </c>
      <c r="B3763">
        <f>IFERROR(__xludf.DUMMYFUNCTION("""COMPUTED_VALUE"""),1577450.0)</f>
        <v>1577450</v>
      </c>
      <c r="C3763" t="str">
        <f>IFERROR(__xludf.DUMMYFUNCTION("""COMPUTED_VALUE"""),"Hacking For Beginners")</f>
        <v>Hacking For Beginners</v>
      </c>
    </row>
    <row r="3764">
      <c r="A3764" s="140" t="str">
        <f>IFERROR(__xludf.DUMMYFUNCTION("""COMPUTED_VALUE"""),"en")</f>
        <v>en</v>
      </c>
      <c r="B3764">
        <f>IFERROR(__xludf.DUMMYFUNCTION("""COMPUTED_VALUE"""),3314246.0)</f>
        <v>3314246</v>
      </c>
      <c r="C3764" t="str">
        <f>IFERROR(__xludf.DUMMYFUNCTION("""COMPUTED_VALUE"""),"Real time Full Azure training for System Administrators")</f>
        <v>Real time Full Azure training for System Administrators</v>
      </c>
    </row>
    <row r="3765">
      <c r="A3765" s="140" t="str">
        <f>IFERROR(__xludf.DUMMYFUNCTION("""COMPUTED_VALUE"""),"tr")</f>
        <v>tr</v>
      </c>
      <c r="B3765">
        <f>IFERROR(__xludf.DUMMYFUNCTION("""COMPUTED_VALUE"""),3432432.0)</f>
        <v>3432432</v>
      </c>
      <c r="C3765" t="str">
        <f>IFERROR(__xludf.DUMMYFUNCTION("""COMPUTED_VALUE"""),"Dijital Donanım Tasarımcısı Olma Kursu (FPGA / ASIC)")</f>
        <v>Dijital Donanım Tasarımcısı Olma Kursu (FPGA / ASIC)</v>
      </c>
    </row>
    <row r="3766">
      <c r="A3766" s="140" t="str">
        <f>IFERROR(__xludf.DUMMYFUNCTION("""COMPUTED_VALUE"""),"en")</f>
        <v>en</v>
      </c>
      <c r="B3766">
        <f>IFERROR(__xludf.DUMMYFUNCTION("""COMPUTED_VALUE"""),1516746.0)</f>
        <v>1516746</v>
      </c>
      <c r="C3766" t="str">
        <f>IFERROR(__xludf.DUMMYFUNCTION("""COMPUTED_VALUE"""),"Learn how to simplified HR Reports")</f>
        <v>Learn how to simplified HR Reports</v>
      </c>
    </row>
    <row r="3767">
      <c r="A3767" s="140" t="str">
        <f>IFERROR(__xludf.DUMMYFUNCTION("""COMPUTED_VALUE"""),"de")</f>
        <v>de</v>
      </c>
      <c r="B3767">
        <f>IFERROR(__xludf.DUMMYFUNCTION("""COMPUTED_VALUE"""),1225034.0)</f>
        <v>1225034</v>
      </c>
      <c r="C3767" t="str">
        <f>IFERROR(__xludf.DUMMYFUNCTION("""COMPUTED_VALUE"""),"Schreiben mit Flair: Wie du ein exzellenter Autor wirst")</f>
        <v>Schreiben mit Flair: Wie du ein exzellenter Autor wirst</v>
      </c>
    </row>
    <row r="3768">
      <c r="A3768" s="140" t="str">
        <f>IFERROR(__xludf.DUMMYFUNCTION("""COMPUTED_VALUE"""),"ja")</f>
        <v>ja</v>
      </c>
      <c r="B3768">
        <f>IFERROR(__xludf.DUMMYFUNCTION("""COMPUTED_VALUE"""),4166816.0)</f>
        <v>4166816</v>
      </c>
      <c r="C3768" t="str">
        <f>IFERROR(__xludf.DUMMYFUNCTION("""COMPUTED_VALUE"""),"【中級者向け】Django3でショッピングアプリ開発 - ECサイト構築で行うPython・WEBアプリケーション開発")</f>
        <v>【中級者向け】Django3でショッピングアプリ開発 - ECサイト構築で行うPython・WEBアプリケーション開発</v>
      </c>
    </row>
    <row r="3769">
      <c r="A3769" s="140" t="str">
        <f>IFERROR(__xludf.DUMMYFUNCTION("""COMPUTED_VALUE"""),"en")</f>
        <v>en</v>
      </c>
      <c r="B3769">
        <f>IFERROR(__xludf.DUMMYFUNCTION("""COMPUTED_VALUE"""),2273638.0)</f>
        <v>2273638</v>
      </c>
      <c r="C3769" t="str">
        <f>IFERROR(__xludf.DUMMYFUNCTION("""COMPUTED_VALUE"""),"Cisco CCDA - 200-310 DESGN with Ben Jacobson")</f>
        <v>Cisco CCDA - 200-310 DESGN with Ben Jacobson</v>
      </c>
    </row>
    <row r="3770">
      <c r="A3770" s="140" t="str">
        <f>IFERROR(__xludf.DUMMYFUNCTION("""COMPUTED_VALUE"""),"pt")</f>
        <v>pt</v>
      </c>
      <c r="B3770">
        <f>IFERROR(__xludf.DUMMYFUNCTION("""COMPUTED_VALUE"""),1475236.0)</f>
        <v>1475236</v>
      </c>
      <c r="C3770" t="str">
        <f>IFERROR(__xludf.DUMMYFUNCTION("""COMPUTED_VALUE"""),"Venda Mais Usando o Telefone (e Prospecte Mais)")</f>
        <v>Venda Mais Usando o Telefone (e Prospecte Mais)</v>
      </c>
    </row>
    <row r="3771">
      <c r="A3771" s="140" t="str">
        <f>IFERROR(__xludf.DUMMYFUNCTION("""COMPUTED_VALUE"""),"en")</f>
        <v>en</v>
      </c>
      <c r="B3771">
        <f>IFERROR(__xludf.DUMMYFUNCTION("""COMPUTED_VALUE"""),705934.0)</f>
        <v>705934</v>
      </c>
      <c r="C3771" t="str">
        <f>IFERROR(__xludf.DUMMYFUNCTION("""COMPUTED_VALUE"""),"Android N: From Beginner to Paid Professional")</f>
        <v>Android N: From Beginner to Paid Professional</v>
      </c>
    </row>
    <row r="3772">
      <c r="A3772" s="140" t="str">
        <f>IFERROR(__xludf.DUMMYFUNCTION("""COMPUTED_VALUE"""),"es")</f>
        <v>es</v>
      </c>
      <c r="B3772">
        <f>IFERROR(__xludf.DUMMYFUNCTION("""COMPUTED_VALUE"""),1599206.0)</f>
        <v>1599206</v>
      </c>
      <c r="C3772" t="str">
        <f>IFERROR(__xludf.DUMMYFUNCTION("""COMPUTED_VALUE"""),"EXPERTO en Realidad Aumentada con Unity®2019 y Vuforia")</f>
        <v>EXPERTO en Realidad Aumentada con Unity®2019 y Vuforia</v>
      </c>
    </row>
    <row r="3773">
      <c r="A3773" s="140" t="str">
        <f>IFERROR(__xludf.DUMMYFUNCTION("""COMPUTED_VALUE"""),"es")</f>
        <v>es</v>
      </c>
      <c r="B3773">
        <f>IFERROR(__xludf.DUMMYFUNCTION("""COMPUTED_VALUE"""),1905940.0)</f>
        <v>1905940</v>
      </c>
      <c r="C3773" t="str">
        <f>IFERROR(__xludf.DUMMYFUNCTION("""COMPUTED_VALUE"""),"Desarrollo de aplicaciones con iOS 12, swift 5 y Xcode 10")</f>
        <v>Desarrollo de aplicaciones con iOS 12, swift 5 y Xcode 10</v>
      </c>
    </row>
    <row r="3774">
      <c r="A3774" s="140" t="str">
        <f>IFERROR(__xludf.DUMMYFUNCTION("""COMPUTED_VALUE"""),"en")</f>
        <v>en</v>
      </c>
      <c r="B3774">
        <f>IFERROR(__xludf.DUMMYFUNCTION("""COMPUTED_VALUE"""),2155366.0)</f>
        <v>2155366</v>
      </c>
      <c r="C3774" t="str">
        <f>IFERROR(__xludf.DUMMYFUNCTION("""COMPUTED_VALUE"""),"Salesforce Apex Trigger and Trigger Design Pattern")</f>
        <v>Salesforce Apex Trigger and Trigger Design Pattern</v>
      </c>
    </row>
    <row r="3775">
      <c r="A3775" s="140" t="str">
        <f>IFERROR(__xludf.DUMMYFUNCTION("""COMPUTED_VALUE"""),"en")</f>
        <v>en</v>
      </c>
      <c r="B3775">
        <f>IFERROR(__xludf.DUMMYFUNCTION("""COMPUTED_VALUE"""),1711158.0)</f>
        <v>1711158</v>
      </c>
      <c r="C3775" t="str">
        <f>IFERROR(__xludf.DUMMYFUNCTION("""COMPUTED_VALUE"""),"Prepare &amp; Pass AWS Certified Cloud Practitioner Exam")</f>
        <v>Prepare &amp; Pass AWS Certified Cloud Practitioner Exam</v>
      </c>
    </row>
    <row r="3776">
      <c r="A3776" s="140" t="str">
        <f>IFERROR(__xludf.DUMMYFUNCTION("""COMPUTED_VALUE"""),"en")</f>
        <v>en</v>
      </c>
      <c r="B3776">
        <f>IFERROR(__xludf.DUMMYFUNCTION("""COMPUTED_VALUE"""),1181236.0)</f>
        <v>1181236</v>
      </c>
      <c r="C3776" t="str">
        <f>IFERROR(__xludf.DUMMYFUNCTION("""COMPUTED_VALUE"""),"RF Basic Concepts &amp; Components Radio Frequency- Entry Level")</f>
        <v>RF Basic Concepts &amp; Components Radio Frequency- Entry Level</v>
      </c>
    </row>
    <row r="3777">
      <c r="A3777" s="140" t="str">
        <f>IFERROR(__xludf.DUMMYFUNCTION("""COMPUTED_VALUE"""),"ja")</f>
        <v>ja</v>
      </c>
      <c r="B3777">
        <f>IFERROR(__xludf.DUMMYFUNCTION("""COMPUTED_VALUE"""),1640916.0)</f>
        <v>1640916</v>
      </c>
      <c r="C3777" t="str">
        <f>IFERROR(__xludf.DUMMYFUNCTION("""COMPUTED_VALUE"""),"HTML5＆CSS3＋JavaScript 講座【初級レベル】コーディングに自信のない方や独学者の復習に最適です。")</f>
        <v>HTML5＆CSS3＋JavaScript 講座【初級レベル】コーディングに自信のない方や独学者の復習に最適です。</v>
      </c>
    </row>
    <row r="3778">
      <c r="A3778" s="140" t="str">
        <f>IFERROR(__xludf.DUMMYFUNCTION("""COMPUTED_VALUE"""),"fr")</f>
        <v>fr</v>
      </c>
      <c r="B3778">
        <f>IFERROR(__xludf.DUMMYFUNCTION("""COMPUTED_VALUE"""),1287692.0)</f>
        <v>1287692</v>
      </c>
      <c r="C3778" t="str">
        <f>IFERROR(__xludf.DUMMYFUNCTION("""COMPUTED_VALUE"""),"Formation Complète After Effects CC en 24h")</f>
        <v>Formation Complète After Effects CC en 24h</v>
      </c>
    </row>
    <row r="3779">
      <c r="A3779" s="140" t="str">
        <f>IFERROR(__xludf.DUMMYFUNCTION("""COMPUTED_VALUE"""),"en")</f>
        <v>en</v>
      </c>
      <c r="B3779">
        <f>IFERROR(__xludf.DUMMYFUNCTION("""COMPUTED_VALUE"""),516446.0)</f>
        <v>516446</v>
      </c>
      <c r="C3779" t="str">
        <f>IFERROR(__xludf.DUMMYFUNCTION("""COMPUTED_VALUE"""),"Microsoft Excel - Advanced Excel Formulas &amp; Functions")</f>
        <v>Microsoft Excel - Advanced Excel Formulas &amp; Functions</v>
      </c>
    </row>
    <row r="3780">
      <c r="A3780" s="140" t="str">
        <f>IFERROR(__xludf.DUMMYFUNCTION("""COMPUTED_VALUE"""),"ja")</f>
        <v>ja</v>
      </c>
      <c r="B3780">
        <f>IFERROR(__xludf.DUMMYFUNCTION("""COMPUTED_VALUE"""),3237075.0)</f>
        <v>3237075</v>
      </c>
      <c r="C3780" t="str">
        <f>IFERROR(__xludf.DUMMYFUNCTION("""COMPUTED_VALUE"""),"アルディーノマイコンと電子工作入門")</f>
        <v>アルディーノマイコンと電子工作入門</v>
      </c>
    </row>
    <row r="3781">
      <c r="A3781" s="140" t="str">
        <f>IFERROR(__xludf.DUMMYFUNCTION("""COMPUTED_VALUE"""),"en")</f>
        <v>en</v>
      </c>
      <c r="B3781">
        <f>IFERROR(__xludf.DUMMYFUNCTION("""COMPUTED_VALUE"""),477888.0)</f>
        <v>477888</v>
      </c>
      <c r="C3781" t="str">
        <f>IFERROR(__xludf.DUMMYFUNCTION("""COMPUTED_VALUE"""),"Successful Negotiation: Master Your Negotiating Skills")</f>
        <v>Successful Negotiation: Master Your Negotiating Skills</v>
      </c>
    </row>
    <row r="3782">
      <c r="A3782" s="140" t="str">
        <f>IFERROR(__xludf.DUMMYFUNCTION("""COMPUTED_VALUE"""),"en")</f>
        <v>en</v>
      </c>
      <c r="B3782">
        <f>IFERROR(__xludf.DUMMYFUNCTION("""COMPUTED_VALUE"""),672754.0)</f>
        <v>672754</v>
      </c>
      <c r="C3782" t="str">
        <f>IFERROR(__xludf.DUMMYFUNCTION("""COMPUTED_VALUE"""),"Conscious Business: Building Empowered Relationships")</f>
        <v>Conscious Business: Building Empowered Relationships</v>
      </c>
    </row>
    <row r="3783">
      <c r="A3783" s="140" t="str">
        <f>IFERROR(__xludf.DUMMYFUNCTION("""COMPUTED_VALUE"""),"en")</f>
        <v>en</v>
      </c>
      <c r="B3783">
        <f>IFERROR(__xludf.DUMMYFUNCTION("""COMPUTED_VALUE"""),995036.0)</f>
        <v>995036</v>
      </c>
      <c r="C3783" t="str">
        <f>IFERROR(__xludf.DUMMYFUNCTION("""COMPUTED_VALUE"""),"Tableau 10 Desktop Training")</f>
        <v>Tableau 10 Desktop Training</v>
      </c>
    </row>
    <row r="3784">
      <c r="A3784" s="140" t="str">
        <f>IFERROR(__xludf.DUMMYFUNCTION("""COMPUTED_VALUE"""),"en")</f>
        <v>en</v>
      </c>
      <c r="B3784">
        <f>IFERROR(__xludf.DUMMYFUNCTION("""COMPUTED_VALUE"""),874762.0)</f>
        <v>874762</v>
      </c>
      <c r="C3784" t="str">
        <f>IFERROR(__xludf.DUMMYFUNCTION("""COMPUTED_VALUE"""),"Meal Planning Masterclass: Create Your Own Meal Plan")</f>
        <v>Meal Planning Masterclass: Create Your Own Meal Plan</v>
      </c>
    </row>
    <row r="3785">
      <c r="A3785" s="140" t="str">
        <f>IFERROR(__xludf.DUMMYFUNCTION("""COMPUTED_VALUE"""),"en")</f>
        <v>en</v>
      </c>
      <c r="B3785">
        <f>IFERROR(__xludf.DUMMYFUNCTION("""COMPUTED_VALUE"""),380872.0)</f>
        <v>380872</v>
      </c>
      <c r="C3785" t="str">
        <f>IFERROR(__xludf.DUMMYFUNCTION("""COMPUTED_VALUE"""),"Learn JMETER from Scratch on Live Apps -Performance Testing")</f>
        <v>Learn JMETER from Scratch on Live Apps -Performance Testing</v>
      </c>
    </row>
    <row r="3786">
      <c r="A3786" s="140" t="str">
        <f>IFERROR(__xludf.DUMMYFUNCTION("""COMPUTED_VALUE"""),"es")</f>
        <v>es</v>
      </c>
      <c r="B3786">
        <f>IFERROR(__xludf.DUMMYFUNCTION("""COMPUTED_VALUE"""),3184982.0)</f>
        <v>3184982</v>
      </c>
      <c r="C3786" t="str">
        <f>IFERROR(__xludf.DUMMYFUNCTION("""COMPUTED_VALUE"""),"Spark y Python con PySpark en AWS para Big Data")</f>
        <v>Spark y Python con PySpark en AWS para Big Data</v>
      </c>
    </row>
    <row r="3787">
      <c r="A3787" s="140" t="str">
        <f>IFERROR(__xludf.DUMMYFUNCTION("""COMPUTED_VALUE"""),"es")</f>
        <v>es</v>
      </c>
      <c r="B3787">
        <f>IFERROR(__xludf.DUMMYFUNCTION("""COMPUTED_VALUE"""),3265718.0)</f>
        <v>3265718</v>
      </c>
      <c r="C3787" t="str">
        <f>IFERROR(__xludf.DUMMYFUNCTION("""COMPUTED_VALUE"""),"Historias de Usuario - Como escribir User Story")</f>
        <v>Historias de Usuario - Como escribir User Story</v>
      </c>
    </row>
    <row r="3788">
      <c r="A3788" s="140" t="str">
        <f>IFERROR(__xludf.DUMMYFUNCTION("""COMPUTED_VALUE"""),"en")</f>
        <v>en</v>
      </c>
      <c r="B3788">
        <f>IFERROR(__xludf.DUMMYFUNCTION("""COMPUTED_VALUE"""),2595366.0)</f>
        <v>2595366</v>
      </c>
      <c r="C3788" t="str">
        <f>IFERROR(__xludf.DUMMYFUNCTION("""COMPUTED_VALUE"""),"Unit Testing Swift Mobile App")</f>
        <v>Unit Testing Swift Mobile App</v>
      </c>
    </row>
    <row r="3789">
      <c r="A3789" s="140" t="str">
        <f>IFERROR(__xludf.DUMMYFUNCTION("""COMPUTED_VALUE"""),"en")</f>
        <v>en</v>
      </c>
      <c r="B3789">
        <f>IFERROR(__xludf.DUMMYFUNCTION("""COMPUTED_VALUE"""),1488132.0)</f>
        <v>1488132</v>
      </c>
      <c r="C3789" t="str">
        <f>IFERROR(__xludf.DUMMYFUNCTION("""COMPUTED_VALUE"""),"CDI/CD with TeamCity From Beginner to Advanced")</f>
        <v>CDI/CD with TeamCity From Beginner to Advanced</v>
      </c>
    </row>
    <row r="3790">
      <c r="A3790" s="140" t="str">
        <f>IFERROR(__xludf.DUMMYFUNCTION("""COMPUTED_VALUE"""),"en")</f>
        <v>en</v>
      </c>
      <c r="B3790">
        <f>IFERROR(__xludf.DUMMYFUNCTION("""COMPUTED_VALUE"""),1322562.0)</f>
        <v>1322562</v>
      </c>
      <c r="C3790" t="str">
        <f>IFERROR(__xludf.DUMMYFUNCTION("""COMPUTED_VALUE"""),"How to Present Your Thoughts Smoothly, Clearly &amp; Powerfully")</f>
        <v>How to Present Your Thoughts Smoothly, Clearly &amp; Powerfully</v>
      </c>
    </row>
    <row r="3791">
      <c r="A3791" s="140" t="str">
        <f>IFERROR(__xludf.DUMMYFUNCTION("""COMPUTED_VALUE"""),"fr")</f>
        <v>fr</v>
      </c>
      <c r="B3791">
        <f>IFERROR(__xludf.DUMMYFUNCTION("""COMPUTED_VALUE"""),1984416.0)</f>
        <v>1984416</v>
      </c>
      <c r="C3791" t="str">
        <f>IFERROR(__xludf.DUMMYFUNCTION("""COMPUTED_VALUE"""),"Créer un beau site responsive de A à Z avec Bootstrap !")</f>
        <v>Créer un beau site responsive de A à Z avec Bootstrap !</v>
      </c>
    </row>
    <row r="3792">
      <c r="A3792" s="140" t="str">
        <f>IFERROR(__xludf.DUMMYFUNCTION("""COMPUTED_VALUE"""),"en")</f>
        <v>en</v>
      </c>
      <c r="B3792">
        <f>IFERROR(__xludf.DUMMYFUNCTION("""COMPUTED_VALUE"""),817820.0)</f>
        <v>817820</v>
      </c>
      <c r="C3792" t="str">
        <f>IFERROR(__xludf.DUMMYFUNCTION("""COMPUTED_VALUE"""),"Storage Area Network with Oracle ZFS on Centos Linux : L2")</f>
        <v>Storage Area Network with Oracle ZFS on Centos Linux : L2</v>
      </c>
    </row>
    <row r="3793">
      <c r="A3793" s="140" t="str">
        <f>IFERROR(__xludf.DUMMYFUNCTION("""COMPUTED_VALUE"""),"es")</f>
        <v>es</v>
      </c>
      <c r="B3793">
        <f>IFERROR(__xludf.DUMMYFUNCTION("""COMPUTED_VALUE"""),2707990.0)</f>
        <v>2707990</v>
      </c>
      <c r="C3793" t="str">
        <f>IFERROR(__xludf.DUMMYFUNCTION("""COMPUTED_VALUE"""),"Fuerza Mental: el Poder de una Voluntad de Hierro.")</f>
        <v>Fuerza Mental: el Poder de una Voluntad de Hierro.</v>
      </c>
    </row>
    <row r="3794">
      <c r="A3794" s="140" t="str">
        <f>IFERROR(__xludf.DUMMYFUNCTION("""COMPUTED_VALUE"""),"en")</f>
        <v>en</v>
      </c>
      <c r="B3794">
        <f>IFERROR(__xludf.DUMMYFUNCTION("""COMPUTED_VALUE"""),172336.0)</f>
        <v>172336</v>
      </c>
      <c r="C3794" t="str">
        <f>IFERROR(__xludf.DUMMYFUNCTION("""COMPUTED_VALUE"""),"How to Develop Emotional Resilience to Manage Stress")</f>
        <v>How to Develop Emotional Resilience to Manage Stress</v>
      </c>
    </row>
    <row r="3795">
      <c r="A3795" s="140" t="str">
        <f>IFERROR(__xludf.DUMMYFUNCTION("""COMPUTED_VALUE"""),"en")</f>
        <v>en</v>
      </c>
      <c r="B3795">
        <f>IFERROR(__xludf.DUMMYFUNCTION("""COMPUTED_VALUE"""),692418.0)</f>
        <v>692418</v>
      </c>
      <c r="C3795" t="str">
        <f>IFERROR(__xludf.DUMMYFUNCTION("""COMPUTED_VALUE"""),"Professional Life Coach Certification PCELC Coach Training")</f>
        <v>Professional Life Coach Certification PCELC Coach Training</v>
      </c>
    </row>
    <row r="3796">
      <c r="A3796" s="140" t="str">
        <f>IFERROR(__xludf.DUMMYFUNCTION("""COMPUTED_VALUE"""),"fr")</f>
        <v>fr</v>
      </c>
      <c r="B3796">
        <f>IFERROR(__xludf.DUMMYFUNCTION("""COMPUTED_VALUE"""),3087732.0)</f>
        <v>3087732</v>
      </c>
      <c r="C3796" t="str">
        <f>IFERROR(__xludf.DUMMYFUNCTION("""COMPUTED_VALUE"""),"Azure DevOps - Boards : planifiez votre travail")</f>
        <v>Azure DevOps - Boards : planifiez votre travail</v>
      </c>
    </row>
    <row r="3797">
      <c r="A3797" s="140" t="str">
        <f>IFERROR(__xludf.DUMMYFUNCTION("""COMPUTED_VALUE"""),"en")</f>
        <v>en</v>
      </c>
      <c r="B3797">
        <f>IFERROR(__xludf.DUMMYFUNCTION("""COMPUTED_VALUE"""),375594.0)</f>
        <v>375594</v>
      </c>
      <c r="C3797" t="str">
        <f>IFERROR(__xludf.DUMMYFUNCTION("""COMPUTED_VALUE"""),"Financial Management A Complete Study for CA/CMA/CS/CFA/ACCA")</f>
        <v>Financial Management A Complete Study for CA/CMA/CS/CFA/ACCA</v>
      </c>
    </row>
    <row r="3798">
      <c r="A3798" s="140" t="str">
        <f>IFERROR(__xludf.DUMMYFUNCTION("""COMPUTED_VALUE"""),"en")</f>
        <v>en</v>
      </c>
      <c r="B3798">
        <f>IFERROR(__xludf.DUMMYFUNCTION("""COMPUTED_VALUE"""),327448.0)</f>
        <v>327448</v>
      </c>
      <c r="C3798" t="str">
        <f>IFERROR(__xludf.DUMMYFUNCTION("""COMPUTED_VALUE"""),"CCIE Routing &amp; Switching Version 5.0 - Layer 2")</f>
        <v>CCIE Routing &amp; Switching Version 5.0 - Layer 2</v>
      </c>
    </row>
    <row r="3799">
      <c r="A3799" s="140" t="str">
        <f>IFERROR(__xludf.DUMMYFUNCTION("""COMPUTED_VALUE"""),"es")</f>
        <v>es</v>
      </c>
      <c r="B3799">
        <f>IFERROR(__xludf.DUMMYFUNCTION("""COMPUTED_VALUE"""),1167854.0)</f>
        <v>1167854</v>
      </c>
      <c r="C3799" t="str">
        <f>IFERROR(__xludf.DUMMYFUNCTION("""COMPUTED_VALUE"""),"Wireshark v2 para Dummies")</f>
        <v>Wireshark v2 para Dummies</v>
      </c>
    </row>
    <row r="3800">
      <c r="A3800" s="140" t="str">
        <f>IFERROR(__xludf.DUMMYFUNCTION("""COMPUTED_VALUE"""),"en")</f>
        <v>en</v>
      </c>
      <c r="B3800">
        <f>IFERROR(__xludf.DUMMYFUNCTION("""COMPUTED_VALUE"""),642528.0)</f>
        <v>642528</v>
      </c>
      <c r="C3800" t="str">
        <f>IFERROR(__xludf.DUMMYFUNCTION("""COMPUTED_VALUE"""),"Creating a Responsive Web Design")</f>
        <v>Creating a Responsive Web Design</v>
      </c>
    </row>
    <row r="3801">
      <c r="A3801" s="140" t="str">
        <f>IFERROR(__xludf.DUMMYFUNCTION("""COMPUTED_VALUE"""),"en")</f>
        <v>en</v>
      </c>
      <c r="B3801">
        <f>IFERROR(__xludf.DUMMYFUNCTION("""COMPUTED_VALUE"""),3709756.0)</f>
        <v>3709756</v>
      </c>
      <c r="C3801" t="str">
        <f>IFERROR(__xludf.DUMMYFUNCTION("""COMPUTED_VALUE"""),"Microsoft MB-901 Cert Course: Dynamics 365 Fundamentals")</f>
        <v>Microsoft MB-901 Cert Course: Dynamics 365 Fundamentals</v>
      </c>
    </row>
    <row r="3802">
      <c r="A3802" s="140" t="str">
        <f>IFERROR(__xludf.DUMMYFUNCTION("""COMPUTED_VALUE"""),"en")</f>
        <v>en</v>
      </c>
      <c r="B3802">
        <f>IFERROR(__xludf.DUMMYFUNCTION("""COMPUTED_VALUE"""),3401208.0)</f>
        <v>3401208</v>
      </c>
      <c r="C3802" t="str">
        <f>IFERROR(__xludf.DUMMYFUNCTION("""COMPUTED_VALUE"""),"[NEW] Computer Networking : Go from Zero to Hero (2021)")</f>
        <v>[NEW] Computer Networking : Go from Zero to Hero (2021)</v>
      </c>
    </row>
    <row r="3803">
      <c r="A3803" s="140" t="str">
        <f>IFERROR(__xludf.DUMMYFUNCTION("""COMPUTED_VALUE"""),"en")</f>
        <v>en</v>
      </c>
      <c r="B3803">
        <f>IFERROR(__xludf.DUMMYFUNCTION("""COMPUTED_VALUE"""),1779610.0)</f>
        <v>1779610</v>
      </c>
      <c r="C3803" t="str">
        <f>IFERROR(__xludf.DUMMYFUNCTION("""COMPUTED_VALUE"""),"Linux Security: The Complete Iptables Firewall Guide")</f>
        <v>Linux Security: The Complete Iptables Firewall Guide</v>
      </c>
    </row>
    <row r="3804">
      <c r="A3804" s="140" t="str">
        <f>IFERROR(__xludf.DUMMYFUNCTION("""COMPUTED_VALUE"""),"ja")</f>
        <v>ja</v>
      </c>
      <c r="B3804">
        <f>IFERROR(__xludf.DUMMYFUNCTION("""COMPUTED_VALUE"""),3596348.0)</f>
        <v>3596348</v>
      </c>
      <c r="C3804" t="str">
        <f>IFERROR(__xludf.DUMMYFUNCTION("""COMPUTED_VALUE"""),"【AWS初心者向け】手を動かして身につける！ 実戦で役立つAWSサービスの基礎とアーキテクチャ(SAAレベル)")</f>
        <v>【AWS初心者向け】手を動かして身につける！ 実戦で役立つAWSサービスの基礎とアーキテクチャ(SAAレベル)</v>
      </c>
    </row>
    <row r="3805">
      <c r="A3805" s="140" t="str">
        <f>IFERROR(__xludf.DUMMYFUNCTION("""COMPUTED_VALUE"""),"tr")</f>
        <v>tr</v>
      </c>
      <c r="B3805">
        <f>IFERROR(__xludf.DUMMYFUNCTION("""COMPUTED_VALUE"""),2462578.0)</f>
        <v>2462578</v>
      </c>
      <c r="C3805" t="str">
        <f>IFERROR(__xludf.DUMMYFUNCTION("""COMPUTED_VALUE"""),"Sistem ve Network Mühendisliği")</f>
        <v>Sistem ve Network Mühendisliği</v>
      </c>
    </row>
    <row r="3806">
      <c r="A3806" s="140" t="str">
        <f>IFERROR(__xludf.DUMMYFUNCTION("""COMPUTED_VALUE"""),"en")</f>
        <v>en</v>
      </c>
      <c r="B3806">
        <f>IFERROR(__xludf.DUMMYFUNCTION("""COMPUTED_VALUE"""),1421288.0)</f>
        <v>1421288</v>
      </c>
      <c r="C3806" t="str">
        <f>IFERROR(__xludf.DUMMYFUNCTION("""COMPUTED_VALUE"""),"Infinite Mind: Acquire Photographic Memory &amp; Become a Genius")</f>
        <v>Infinite Mind: Acquire Photographic Memory &amp; Become a Genius</v>
      </c>
    </row>
    <row r="3807">
      <c r="A3807" s="140" t="str">
        <f>IFERROR(__xludf.DUMMYFUNCTION("""COMPUTED_VALUE"""),"en")</f>
        <v>en</v>
      </c>
      <c r="B3807">
        <f>IFERROR(__xludf.DUMMYFUNCTION("""COMPUTED_VALUE"""),1464166.0)</f>
        <v>1464166</v>
      </c>
      <c r="C3807" t="str">
        <f>IFERROR(__xludf.DUMMYFUNCTION("""COMPUTED_VALUE"""),"DevOps MasterClass : Terraform Jenkins Kubernetes Ansible")</f>
        <v>DevOps MasterClass : Terraform Jenkins Kubernetes Ansible</v>
      </c>
    </row>
    <row r="3808">
      <c r="A3808" s="140" t="str">
        <f>IFERROR(__xludf.DUMMYFUNCTION("""COMPUTED_VALUE"""),"ja")</f>
        <v>ja</v>
      </c>
      <c r="B3808">
        <f>IFERROR(__xludf.DUMMYFUNCTION("""COMPUTED_VALUE"""),1678320.0)</f>
        <v>1678320</v>
      </c>
      <c r="C3808" t="str">
        <f>IFERROR(__xludf.DUMMYFUNCTION("""COMPUTED_VALUE"""),"パフォーマンス改善のためのGoogle アナリティクス活用法")</f>
        <v>パフォーマンス改善のためのGoogle アナリティクス活用法</v>
      </c>
    </row>
    <row r="3809">
      <c r="A3809" s="140" t="str">
        <f>IFERROR(__xludf.DUMMYFUNCTION("""COMPUTED_VALUE"""),"en")</f>
        <v>en</v>
      </c>
      <c r="B3809">
        <f>IFERROR(__xludf.DUMMYFUNCTION("""COMPUTED_VALUE"""),3634866.0)</f>
        <v>3634866</v>
      </c>
      <c r="C3809" t="str">
        <f>IFERROR(__xludf.DUMMYFUNCTION("""COMPUTED_VALUE"""),"Pragmatic System Design")</f>
        <v>Pragmatic System Design</v>
      </c>
    </row>
    <row r="3810">
      <c r="A3810" s="140" t="str">
        <f>IFERROR(__xludf.DUMMYFUNCTION("""COMPUTED_VALUE"""),"de")</f>
        <v>de</v>
      </c>
      <c r="B3810">
        <f>IFERROR(__xludf.DUMMYFUNCTION("""COMPUTED_VALUE"""),2014020.0)</f>
        <v>2014020</v>
      </c>
      <c r="C3810" t="str">
        <f>IFERROR(__xludf.DUMMYFUNCTION("""COMPUTED_VALUE"""),"Bootstrap 4 - Meistere modernes Webdesign mit 5 Projekten")</f>
        <v>Bootstrap 4 - Meistere modernes Webdesign mit 5 Projekten</v>
      </c>
    </row>
    <row r="3811">
      <c r="A3811" s="140" t="str">
        <f>IFERROR(__xludf.DUMMYFUNCTION("""COMPUTED_VALUE"""),"es")</f>
        <v>es</v>
      </c>
      <c r="B3811">
        <f>IFERROR(__xludf.DUMMYFUNCTION("""COMPUTED_VALUE"""),63211.0)</f>
        <v>63211</v>
      </c>
      <c r="C3811" t="str">
        <f>IFERROR(__xludf.DUMMYFUNCTION("""COMPUTED_VALUE"""),"Inglés útil para principiantes 1: empieza a hablar ya")</f>
        <v>Inglés útil para principiantes 1: empieza a hablar ya</v>
      </c>
    </row>
    <row r="3812">
      <c r="A3812" s="140" t="str">
        <f>IFERROR(__xludf.DUMMYFUNCTION("""COMPUTED_VALUE"""),"en")</f>
        <v>en</v>
      </c>
      <c r="B3812">
        <f>IFERROR(__xludf.DUMMYFUNCTION("""COMPUTED_VALUE"""),2038920.0)</f>
        <v>2038920</v>
      </c>
      <c r="C3812" t="str">
        <f>IFERROR(__xludf.DUMMYFUNCTION("""COMPUTED_VALUE"""),"Voice Training – 30-Days to a More Confident Powerful Voice.")</f>
        <v>Voice Training – 30-Days to a More Confident Powerful Voice.</v>
      </c>
    </row>
    <row r="3813">
      <c r="A3813" s="140" t="str">
        <f>IFERROR(__xludf.DUMMYFUNCTION("""COMPUTED_VALUE"""),"en")</f>
        <v>en</v>
      </c>
      <c r="B3813">
        <f>IFERROR(__xludf.DUMMYFUNCTION("""COMPUTED_VALUE"""),2652072.0)</f>
        <v>2652072</v>
      </c>
      <c r="C3813" t="str">
        <f>IFERROR(__xludf.DUMMYFUNCTION("""COMPUTED_VALUE"""),"Award winning ACCA SBL Strategic Business Leader course")</f>
        <v>Award winning ACCA SBL Strategic Business Leader course</v>
      </c>
    </row>
    <row r="3814">
      <c r="A3814" s="140" t="str">
        <f>IFERROR(__xludf.DUMMYFUNCTION("""COMPUTED_VALUE"""),"pt")</f>
        <v>pt</v>
      </c>
      <c r="B3814">
        <f>IFERROR(__xludf.DUMMYFUNCTION("""COMPUTED_VALUE"""),2517200.0)</f>
        <v>2517200</v>
      </c>
      <c r="C3814" t="str">
        <f>IFERROR(__xludf.DUMMYFUNCTION("""COMPUTED_VALUE"""),"React JS + Firebase + Bootstrap: projeto passo á passo")</f>
        <v>React JS + Firebase + Bootstrap: projeto passo á passo</v>
      </c>
    </row>
    <row r="3815">
      <c r="A3815" s="140" t="str">
        <f>IFERROR(__xludf.DUMMYFUNCTION("""COMPUTED_VALUE"""),"en")</f>
        <v>en</v>
      </c>
      <c r="B3815">
        <f>IFERROR(__xludf.DUMMYFUNCTION("""COMPUTED_VALUE"""),3117452.0)</f>
        <v>3117452</v>
      </c>
      <c r="C3815" t="str">
        <f>IFERROR(__xludf.DUMMYFUNCTION("""COMPUTED_VALUE"""),"Tackle Remote Working Challenges")</f>
        <v>Tackle Remote Working Challenges</v>
      </c>
    </row>
    <row r="3816">
      <c r="A3816" s="140" t="str">
        <f>IFERROR(__xludf.DUMMYFUNCTION("""COMPUTED_VALUE"""),"ja")</f>
        <v>ja</v>
      </c>
      <c r="B3816">
        <f>IFERROR(__xludf.DUMMYFUNCTION("""COMPUTED_VALUE"""),1567110.0)</f>
        <v>1567110</v>
      </c>
      <c r="C3816" t="str">
        <f>IFERROR(__xludf.DUMMYFUNCTION("""COMPUTED_VALUE"""),"子供を熱くさせるプログラミング教室「Ritz」の入門７日間講座　親子でスクラッチ(Scratch)で本格ゲームを作ろう！")</f>
        <v>子供を熱くさせるプログラミング教室「Ritz」の入門７日間講座　親子でスクラッチ(Scratch)で本格ゲームを作ろう！</v>
      </c>
    </row>
    <row r="3817">
      <c r="A3817" s="140" t="str">
        <f>IFERROR(__xludf.DUMMYFUNCTION("""COMPUTED_VALUE"""),"es")</f>
        <v>es</v>
      </c>
      <c r="B3817">
        <f>IFERROR(__xludf.DUMMYFUNCTION("""COMPUTED_VALUE"""),3292300.0)</f>
        <v>3292300</v>
      </c>
      <c r="C3817" t="str">
        <f>IFERROR(__xludf.DUMMYFUNCTION("""COMPUTED_VALUE"""),"Curso completo de Unity 2020: domina el mundo de videojuegos")</f>
        <v>Curso completo de Unity 2020: domina el mundo de videojuegos</v>
      </c>
    </row>
    <row r="3818">
      <c r="A3818" s="140" t="str">
        <f>IFERROR(__xludf.DUMMYFUNCTION("""COMPUTED_VALUE"""),"en")</f>
        <v>en</v>
      </c>
      <c r="B3818">
        <f>IFERROR(__xludf.DUMMYFUNCTION("""COMPUTED_VALUE"""),3395102.0)</f>
        <v>3395102</v>
      </c>
      <c r="C3818" t="str">
        <f>IFERROR(__xludf.DUMMYFUNCTION("""COMPUTED_VALUE"""),"Algorithmic Trading A-Z with Python, Machine Learning &amp; AWS")</f>
        <v>Algorithmic Trading A-Z with Python, Machine Learning &amp; AWS</v>
      </c>
    </row>
    <row r="3819">
      <c r="A3819" s="140" t="str">
        <f>IFERROR(__xludf.DUMMYFUNCTION("""COMPUTED_VALUE"""),"en")</f>
        <v>en</v>
      </c>
      <c r="B3819">
        <f>IFERROR(__xludf.DUMMYFUNCTION("""COMPUTED_VALUE"""),448878.0)</f>
        <v>448878</v>
      </c>
      <c r="C3819" t="str">
        <f>IFERROR(__xludf.DUMMYFUNCTION("""COMPUTED_VALUE"""),"Master Adobe Lightroom Fast")</f>
        <v>Master Adobe Lightroom Fast</v>
      </c>
    </row>
    <row r="3820">
      <c r="A3820" s="140" t="str">
        <f>IFERROR(__xludf.DUMMYFUNCTION("""COMPUTED_VALUE"""),"es")</f>
        <v>es</v>
      </c>
      <c r="B3820">
        <f>IFERROR(__xludf.DUMMYFUNCTION("""COMPUTED_VALUE"""),4229018.0)</f>
        <v>4229018</v>
      </c>
      <c r="C3820" t="str">
        <f>IFERROR(__xludf.DUMMYFUNCTION("""COMPUTED_VALUE"""),"ISO/IEC 27001. Prepara a las Empresas para la Certificación")</f>
        <v>ISO/IEC 27001. Prepara a las Empresas para la Certificación</v>
      </c>
    </row>
    <row r="3821">
      <c r="A3821" s="140" t="str">
        <f>IFERROR(__xludf.DUMMYFUNCTION("""COMPUTED_VALUE"""),"en")</f>
        <v>en</v>
      </c>
      <c r="B3821">
        <f>IFERROR(__xludf.DUMMYFUNCTION("""COMPUTED_VALUE"""),1889724.0)</f>
        <v>1889724</v>
      </c>
      <c r="C3821" t="str">
        <f>IFERROR(__xludf.DUMMYFUNCTION("""COMPUTED_VALUE"""),"IT service operations and Service Desk management")</f>
        <v>IT service operations and Service Desk management</v>
      </c>
    </row>
    <row r="3822">
      <c r="A3822" s="140" t="str">
        <f>IFERROR(__xludf.DUMMYFUNCTION("""COMPUTED_VALUE"""),"en")</f>
        <v>en</v>
      </c>
      <c r="B3822">
        <f>IFERROR(__xludf.DUMMYFUNCTION("""COMPUTED_VALUE"""),1322476.0)</f>
        <v>1322476</v>
      </c>
      <c r="C3822" t="str">
        <f>IFERROR(__xludf.DUMMYFUNCTION("""COMPUTED_VALUE"""),"Microsoft Excel 2016 Mac 1: Beginner-Specialist Certificate")</f>
        <v>Microsoft Excel 2016 Mac 1: Beginner-Specialist Certificate</v>
      </c>
    </row>
    <row r="3823">
      <c r="A3823" s="140" t="str">
        <f>IFERROR(__xludf.DUMMYFUNCTION("""COMPUTED_VALUE"""),"en")</f>
        <v>en</v>
      </c>
      <c r="B3823">
        <f>IFERROR(__xludf.DUMMYFUNCTION("""COMPUTED_VALUE"""),1061754.0)</f>
        <v>1061754</v>
      </c>
      <c r="C3823" t="str">
        <f>IFERROR(__xludf.DUMMYFUNCTION("""COMPUTED_VALUE"""),"Udemy Masters: Learn Online Course Creation - Unofficial")</f>
        <v>Udemy Masters: Learn Online Course Creation - Unofficial</v>
      </c>
    </row>
    <row r="3824">
      <c r="A3824" s="140" t="str">
        <f>IFERROR(__xludf.DUMMYFUNCTION("""COMPUTED_VALUE"""),"de")</f>
        <v>de</v>
      </c>
      <c r="B3824">
        <f>IFERROR(__xludf.DUMMYFUNCTION("""COMPUTED_VALUE"""),2778790.0)</f>
        <v>2778790</v>
      </c>
      <c r="C3824" t="str">
        <f>IFERROR(__xludf.DUMMYFUNCTION("""COMPUTED_VALUE"""),"REST APIs mit Asp.Net core und C# entwicklen")</f>
        <v>REST APIs mit Asp.Net core und C# entwicklen</v>
      </c>
    </row>
    <row r="3825">
      <c r="A3825" s="140" t="str">
        <f>IFERROR(__xludf.DUMMYFUNCTION("""COMPUTED_VALUE"""),"pt")</f>
        <v>pt</v>
      </c>
      <c r="B3825">
        <f>IFERROR(__xludf.DUMMYFUNCTION("""COMPUTED_VALUE"""),1759072.0)</f>
        <v>1759072</v>
      </c>
      <c r="C3825" t="str">
        <f>IFERROR(__xludf.DUMMYFUNCTION("""COMPUTED_VALUE"""),"C# Curso Completo: Do Básico ao Avançado!")</f>
        <v>C# Curso Completo: Do Básico ao Avançado!</v>
      </c>
    </row>
    <row r="3826">
      <c r="A3826" s="140" t="str">
        <f>IFERROR(__xludf.DUMMYFUNCTION("""COMPUTED_VALUE"""),"en")</f>
        <v>en</v>
      </c>
      <c r="B3826">
        <f>IFERROR(__xludf.DUMMYFUNCTION("""COMPUTED_VALUE"""),2037316.0)</f>
        <v>2037316</v>
      </c>
      <c r="C3826" t="str">
        <f>IFERROR(__xludf.DUMMYFUNCTION("""COMPUTED_VALUE"""),"How to become a badass manager and CEO")</f>
        <v>How to become a badass manager and CEO</v>
      </c>
    </row>
    <row r="3827">
      <c r="A3827" s="140" t="str">
        <f>IFERROR(__xludf.DUMMYFUNCTION("""COMPUTED_VALUE"""),"en")</f>
        <v>en</v>
      </c>
      <c r="B3827">
        <f>IFERROR(__xludf.DUMMYFUNCTION("""COMPUTED_VALUE"""),1221852.0)</f>
        <v>1221852</v>
      </c>
      <c r="C3827" t="str">
        <f>IFERROR(__xludf.DUMMYFUNCTION("""COMPUTED_VALUE"""),"Object Oriented Analysis, Design &amp; Programming with UML")</f>
        <v>Object Oriented Analysis, Design &amp; Programming with UML</v>
      </c>
    </row>
    <row r="3828">
      <c r="A3828" s="140" t="str">
        <f>IFERROR(__xludf.DUMMYFUNCTION("""COMPUTED_VALUE"""),"tr")</f>
        <v>tr</v>
      </c>
      <c r="B3828">
        <f>IFERROR(__xludf.DUMMYFUNCTION("""COMPUTED_VALUE"""),2045016.0)</f>
        <v>2045016</v>
      </c>
      <c r="C3828" t="str">
        <f>IFERROR(__xludf.DUMMYFUNCTION("""COMPUTED_VALUE"""),"Sıfırdan Woocommerce Tema Yapımı")</f>
        <v>Sıfırdan Woocommerce Tema Yapımı</v>
      </c>
    </row>
    <row r="3829">
      <c r="A3829" s="140" t="str">
        <f>IFERROR(__xludf.DUMMYFUNCTION("""COMPUTED_VALUE"""),"en")</f>
        <v>en</v>
      </c>
      <c r="B3829">
        <f>IFERROR(__xludf.DUMMYFUNCTION("""COMPUTED_VALUE"""),626202.0)</f>
        <v>626202</v>
      </c>
      <c r="C3829" t="str">
        <f>IFERROR(__xludf.DUMMYFUNCTION("""COMPUTED_VALUE"""),"Success Tips: Boosting Confidence, Wealth &amp; Productivity")</f>
        <v>Success Tips: Boosting Confidence, Wealth &amp; Productivity</v>
      </c>
    </row>
    <row r="3830">
      <c r="A3830" s="140" t="str">
        <f>IFERROR(__xludf.DUMMYFUNCTION("""COMPUTED_VALUE"""),"ja")</f>
        <v>ja</v>
      </c>
      <c r="B3830">
        <f>IFERROR(__xludf.DUMMYFUNCTION("""COMPUTED_VALUE"""),3951898.0)</f>
        <v>3951898</v>
      </c>
      <c r="C3830" t="str">
        <f>IFERROR(__xludf.DUMMYFUNCTION("""COMPUTED_VALUE"""),"IoTセンサーを自作しよう！KiCadで回路基板からDIY！ESP32プログラミング")</f>
        <v>IoTセンサーを自作しよう！KiCadで回路基板からDIY！ESP32プログラミング</v>
      </c>
    </row>
    <row r="3831">
      <c r="A3831" s="140" t="str">
        <f>IFERROR(__xludf.DUMMYFUNCTION("""COMPUTED_VALUE"""),"de")</f>
        <v>de</v>
      </c>
      <c r="B3831">
        <f>IFERROR(__xludf.DUMMYFUNCTION("""COMPUTED_VALUE"""),2159748.0)</f>
        <v>2159748</v>
      </c>
      <c r="C3831" t="str">
        <f>IFERROR(__xludf.DUMMYFUNCTION("""COMPUTED_VALUE"""),"Kreativtechniken - Kreativität auf Knopfdruck")</f>
        <v>Kreativtechniken - Kreativität auf Knopfdruck</v>
      </c>
    </row>
    <row r="3832">
      <c r="A3832" s="140" t="str">
        <f>IFERROR(__xludf.DUMMYFUNCTION("""COMPUTED_VALUE"""),"en")</f>
        <v>en</v>
      </c>
      <c r="B3832">
        <f>IFERROR(__xludf.DUMMYFUNCTION("""COMPUTED_VALUE"""),3584202.0)</f>
        <v>3584202</v>
      </c>
      <c r="C3832" t="str">
        <f>IFERROR(__xludf.DUMMYFUNCTION("""COMPUTED_VALUE"""),"Learning Needs Analysis")</f>
        <v>Learning Needs Analysis</v>
      </c>
    </row>
    <row r="3833">
      <c r="A3833" s="140" t="str">
        <f>IFERROR(__xludf.DUMMYFUNCTION("""COMPUTED_VALUE"""),"es")</f>
        <v>es</v>
      </c>
      <c r="B3833">
        <f>IFERROR(__xludf.DUMMYFUNCTION("""COMPUTED_VALUE"""),940740.0)</f>
        <v>940740</v>
      </c>
      <c r="C3833" t="str">
        <f>IFERROR(__xludf.DUMMYFUNCTION("""COMPUTED_VALUE"""),"Git y GitHub Completo Desde Cero")</f>
        <v>Git y GitHub Completo Desde Cero</v>
      </c>
    </row>
    <row r="3834">
      <c r="A3834" s="140" t="str">
        <f>IFERROR(__xludf.DUMMYFUNCTION("""COMPUTED_VALUE"""),"en")</f>
        <v>en</v>
      </c>
      <c r="B3834">
        <f>IFERROR(__xludf.DUMMYFUNCTION("""COMPUTED_VALUE"""),29551.0)</f>
        <v>29551</v>
      </c>
      <c r="C3834" t="str">
        <f>IFERROR(__xludf.DUMMYFUNCTION("""COMPUTED_VALUE"""),"Master Microsoft Word 2010 the Easy Way")</f>
        <v>Master Microsoft Word 2010 the Easy Way</v>
      </c>
    </row>
    <row r="3835">
      <c r="A3835" s="140" t="str">
        <f>IFERROR(__xludf.DUMMYFUNCTION("""COMPUTED_VALUE"""),"en")</f>
        <v>en</v>
      </c>
      <c r="B3835">
        <f>IFERROR(__xludf.DUMMYFUNCTION("""COMPUTED_VALUE"""),78858.0)</f>
        <v>78858</v>
      </c>
      <c r="C3835" t="str">
        <f>IFERROR(__xludf.DUMMYFUNCTION("""COMPUTED_VALUE"""),"The US Healthcare Industry: Changes and Opportunities")</f>
        <v>The US Healthcare Industry: Changes and Opportunities</v>
      </c>
    </row>
    <row r="3836">
      <c r="A3836" s="140" t="str">
        <f>IFERROR(__xludf.DUMMYFUNCTION("""COMPUTED_VALUE"""),"pt")</f>
        <v>pt</v>
      </c>
      <c r="B3836">
        <f>IFERROR(__xludf.DUMMYFUNCTION("""COMPUTED_VALUE"""),2298834.0)</f>
        <v>2298834</v>
      </c>
      <c r="C3836" t="str">
        <f>IFERROR(__xludf.DUMMYFUNCTION("""COMPUTED_VALUE"""),"Asp.NET Core Identity + MVC e Web API + SQL Server + EF Core")</f>
        <v>Asp.NET Core Identity + MVC e Web API + SQL Server + EF Core</v>
      </c>
    </row>
    <row r="3837">
      <c r="A3837" s="140" t="str">
        <f>IFERROR(__xludf.DUMMYFUNCTION("""COMPUTED_VALUE"""),"pt")</f>
        <v>pt</v>
      </c>
      <c r="B3837">
        <f>IFERROR(__xludf.DUMMYFUNCTION("""COMPUTED_VALUE"""),2148686.0)</f>
        <v>2148686</v>
      </c>
      <c r="C3837" t="str">
        <f>IFERROR(__xludf.DUMMYFUNCTION("""COMPUTED_VALUE"""),"Como criar Marcas do Zero - Pequenos e Médios Negócios")</f>
        <v>Como criar Marcas do Zero - Pequenos e Médios Negócios</v>
      </c>
    </row>
    <row r="3838">
      <c r="A3838" s="140" t="str">
        <f>IFERROR(__xludf.DUMMYFUNCTION("""COMPUTED_VALUE"""),"fr")</f>
        <v>fr</v>
      </c>
      <c r="B3838">
        <f>IFERROR(__xludf.DUMMYFUNCTION("""COMPUTED_VALUE"""),2410642.0)</f>
        <v>2410642</v>
      </c>
      <c r="C3838" t="str">
        <f>IFERROR(__xludf.DUMMYFUNCTION("""COMPUTED_VALUE"""),"Apprenez à prospecter sur Linkedin en 15 minutes / jour !")</f>
        <v>Apprenez à prospecter sur Linkedin en 15 minutes / jour !</v>
      </c>
    </row>
    <row r="3839">
      <c r="A3839" s="140" t="str">
        <f>IFERROR(__xludf.DUMMYFUNCTION("""COMPUTED_VALUE"""),"en")</f>
        <v>en</v>
      </c>
      <c r="B3839">
        <f>IFERROR(__xludf.DUMMYFUNCTION("""COMPUTED_VALUE"""),2325910.0)</f>
        <v>2325910</v>
      </c>
      <c r="C3839" t="str">
        <f>IFERROR(__xludf.DUMMYFUNCTION("""COMPUTED_VALUE"""),"Learn TestNG using IntelliJ IDEA")</f>
        <v>Learn TestNG using IntelliJ IDEA</v>
      </c>
    </row>
    <row r="3840">
      <c r="A3840" s="140" t="str">
        <f>IFERROR(__xludf.DUMMYFUNCTION("""COMPUTED_VALUE"""),"en")</f>
        <v>en</v>
      </c>
      <c r="B3840">
        <f>IFERROR(__xludf.DUMMYFUNCTION("""COMPUTED_VALUE"""),2831264.0)</f>
        <v>2831264</v>
      </c>
      <c r="C3840" t="str">
        <f>IFERROR(__xludf.DUMMYFUNCTION("""COMPUTED_VALUE"""),"AWS Athena Tutorial with Hands on LAB | Serverless Querying")</f>
        <v>AWS Athena Tutorial with Hands on LAB | Serverless Querying</v>
      </c>
    </row>
    <row r="3841">
      <c r="A3841" s="140" t="str">
        <f>IFERROR(__xludf.DUMMYFUNCTION("""COMPUTED_VALUE"""),"de")</f>
        <v>de</v>
      </c>
      <c r="B3841">
        <f>IFERROR(__xludf.DUMMYFUNCTION("""COMPUTED_VALUE"""),1068668.0)</f>
        <v>1068668</v>
      </c>
      <c r="C3841" t="str">
        <f>IFERROR(__xludf.DUMMYFUNCTION("""COMPUTED_VALUE"""),"SAP ABAP Programmierung auf einen Blick")</f>
        <v>SAP ABAP Programmierung auf einen Blick</v>
      </c>
    </row>
    <row r="3842">
      <c r="A3842" s="140" t="str">
        <f>IFERROR(__xludf.DUMMYFUNCTION("""COMPUTED_VALUE"""),"pt")</f>
        <v>pt</v>
      </c>
      <c r="B3842">
        <f>IFERROR(__xludf.DUMMYFUNCTION("""COMPUTED_VALUE"""),1736556.0)</f>
        <v>1736556</v>
      </c>
      <c r="C3842" t="str">
        <f>IFERROR(__xludf.DUMMYFUNCTION("""COMPUTED_VALUE"""),"Mini-MBA Gestão de Projetos e Certificação PMP - 2020")</f>
        <v>Mini-MBA Gestão de Projetos e Certificação PMP - 2020</v>
      </c>
    </row>
    <row r="3843">
      <c r="A3843" s="140" t="str">
        <f>IFERROR(__xludf.DUMMYFUNCTION("""COMPUTED_VALUE"""),"es")</f>
        <v>es</v>
      </c>
      <c r="B3843">
        <f>IFERROR(__xludf.DUMMYFUNCTION("""COMPUTED_VALUE"""),3633550.0)</f>
        <v>3633550</v>
      </c>
      <c r="C3843" t="str">
        <f>IFERROR(__xludf.DUMMYFUNCTION("""COMPUTED_VALUE"""),"Curso de Canva - Diseño Grafico para Emprendedores desde 0")</f>
        <v>Curso de Canva - Diseño Grafico para Emprendedores desde 0</v>
      </c>
    </row>
    <row r="3844">
      <c r="A3844" s="140" t="str">
        <f>IFERROR(__xludf.DUMMYFUNCTION("""COMPUTED_VALUE"""),"en")</f>
        <v>en</v>
      </c>
      <c r="B3844">
        <f>IFERROR(__xludf.DUMMYFUNCTION("""COMPUTED_VALUE"""),3810274.0)</f>
        <v>3810274</v>
      </c>
      <c r="C3844" t="str">
        <f>IFERROR(__xludf.DUMMYFUNCTION("""COMPUTED_VALUE"""),"QGIS &amp; Google Earth Engine for Environmental Applications")</f>
        <v>QGIS &amp; Google Earth Engine for Environmental Applications</v>
      </c>
    </row>
    <row r="3845">
      <c r="A3845" s="140" t="str">
        <f>IFERROR(__xludf.DUMMYFUNCTION("""COMPUTED_VALUE"""),"en")</f>
        <v>en</v>
      </c>
      <c r="B3845">
        <f>IFERROR(__xludf.DUMMYFUNCTION("""COMPUTED_VALUE"""),473548.0)</f>
        <v>473548</v>
      </c>
      <c r="C3845" t="str">
        <f>IFERROR(__xludf.DUMMYFUNCTION("""COMPUTED_VALUE"""),"PHP OOP: Object Oriented Programming for beginners + Project")</f>
        <v>PHP OOP: Object Oriented Programming for beginners + Project</v>
      </c>
    </row>
    <row r="3846">
      <c r="A3846" s="140" t="str">
        <f>IFERROR(__xludf.DUMMYFUNCTION("""COMPUTED_VALUE"""),"fr")</f>
        <v>fr</v>
      </c>
      <c r="B3846">
        <f>IFERROR(__xludf.DUMMYFUNCTION("""COMPUTED_VALUE"""),1058196.0)</f>
        <v>1058196</v>
      </c>
      <c r="C3846" t="str">
        <f>IFERROR(__xludf.DUMMYFUNCTION("""COMPUTED_VALUE"""),"Lean Six Sigma certification ceinture blanche")</f>
        <v>Lean Six Sigma certification ceinture blanche</v>
      </c>
    </row>
    <row r="3847">
      <c r="A3847" s="140" t="str">
        <f>IFERROR(__xludf.DUMMYFUNCTION("""COMPUTED_VALUE"""),"ja")</f>
        <v>ja</v>
      </c>
      <c r="B3847">
        <f>IFERROR(__xludf.DUMMYFUNCTION("""COMPUTED_VALUE"""),3978248.0)</f>
        <v>3978248</v>
      </c>
      <c r="C3847" t="str">
        <f>IFERROR(__xludf.DUMMYFUNCTION("""COMPUTED_VALUE"""),"【はじめての会計学】1日で学べる財務会計の基本マスターコース（Excelテンプレ付き）")</f>
        <v>【はじめての会計学】1日で学べる財務会計の基本マスターコース（Excelテンプレ付き）</v>
      </c>
    </row>
    <row r="3848">
      <c r="A3848" s="140" t="str">
        <f>IFERROR(__xludf.DUMMYFUNCTION("""COMPUTED_VALUE"""),"en")</f>
        <v>en</v>
      </c>
      <c r="B3848">
        <f>IFERROR(__xludf.DUMMYFUNCTION("""COMPUTED_VALUE"""),2790502.0)</f>
        <v>2790502</v>
      </c>
      <c r="C3848" t="str">
        <f>IFERROR(__xludf.DUMMYFUNCTION("""COMPUTED_VALUE"""),"Cracking Coding Interview : Data Structure &amp; Algorithms C++")</f>
        <v>Cracking Coding Interview : Data Structure &amp; Algorithms C++</v>
      </c>
    </row>
    <row r="3849">
      <c r="A3849" s="140" t="str">
        <f>IFERROR(__xludf.DUMMYFUNCTION("""COMPUTED_VALUE"""),"en")</f>
        <v>en</v>
      </c>
      <c r="B3849">
        <f>IFERROR(__xludf.DUMMYFUNCTION("""COMPUTED_VALUE"""),1575836.0)</f>
        <v>1575836</v>
      </c>
      <c r="C3849" t="str">
        <f>IFERROR(__xludf.DUMMYFUNCTION("""COMPUTED_VALUE"""),"The Complete Copywriting Course : Write to Sell Like a Pro")</f>
        <v>The Complete Copywriting Course : Write to Sell Like a Pro</v>
      </c>
    </row>
    <row r="3850">
      <c r="A3850" s="140" t="str">
        <f>IFERROR(__xludf.DUMMYFUNCTION("""COMPUTED_VALUE"""),"en")</f>
        <v>en</v>
      </c>
      <c r="B3850">
        <f>IFERROR(__xludf.DUMMYFUNCTION("""COMPUTED_VALUE"""),780112.0)</f>
        <v>780112</v>
      </c>
      <c r="C3850" t="str">
        <f>IFERROR(__xludf.DUMMYFUNCTION("""COMPUTED_VALUE"""),"College Mandarin Chinese on Your Own advanced Level 1")</f>
        <v>College Mandarin Chinese on Your Own advanced Level 1</v>
      </c>
    </row>
    <row r="3851">
      <c r="A3851" s="140" t="str">
        <f>IFERROR(__xludf.DUMMYFUNCTION("""COMPUTED_VALUE"""),"en")</f>
        <v>en</v>
      </c>
      <c r="B3851">
        <f>IFERROR(__xludf.DUMMYFUNCTION("""COMPUTED_VALUE"""),1378858.0)</f>
        <v>1378858</v>
      </c>
      <c r="C3851" t="str">
        <f>IFERROR(__xludf.DUMMYFUNCTION("""COMPUTED_VALUE"""),"Pass your job interview in English : Get your dream job!")</f>
        <v>Pass your job interview in English : Get your dream job!</v>
      </c>
    </row>
    <row r="3852">
      <c r="A3852" s="140" t="str">
        <f>IFERROR(__xludf.DUMMYFUNCTION("""COMPUTED_VALUE"""),"en")</f>
        <v>en</v>
      </c>
      <c r="B3852">
        <f>IFERROR(__xludf.DUMMYFUNCTION("""COMPUTED_VALUE"""),2070433.0)</f>
        <v>2070433</v>
      </c>
      <c r="C3852" t="str">
        <f>IFERROR(__xludf.DUMMYFUNCTION("""COMPUTED_VALUE"""),"Decision Making: Mistakes, in Probability and Statistics !")</f>
        <v>Decision Making: Mistakes, in Probability and Statistics !</v>
      </c>
    </row>
    <row r="3853">
      <c r="A3853" s="140" t="str">
        <f>IFERROR(__xludf.DUMMYFUNCTION("""COMPUTED_VALUE"""),"en")</f>
        <v>en</v>
      </c>
      <c r="B3853">
        <f>IFERROR(__xludf.DUMMYFUNCTION("""COMPUTED_VALUE"""),1432672.0)</f>
        <v>1432672</v>
      </c>
      <c r="C3853" t="str">
        <f>IFERROR(__xludf.DUMMYFUNCTION("""COMPUTED_VALUE"""),"Revit Structure 2018 from Zero to Hero")</f>
        <v>Revit Structure 2018 from Zero to Hero</v>
      </c>
    </row>
    <row r="3854">
      <c r="A3854" s="140" t="str">
        <f>IFERROR(__xludf.DUMMYFUNCTION("""COMPUTED_VALUE"""),"de")</f>
        <v>de</v>
      </c>
      <c r="B3854">
        <f>IFERROR(__xludf.DUMMYFUNCTION("""COMPUTED_VALUE"""),1916916.0)</f>
        <v>1916916</v>
      </c>
      <c r="C3854" t="str">
        <f>IFERROR(__xludf.DUMMYFUNCTION("""COMPUTED_VALUE"""),"Der Einstieg in Adobe XD - Lerne Experience Design")</f>
        <v>Der Einstieg in Adobe XD - Lerne Experience Design</v>
      </c>
    </row>
    <row r="3855">
      <c r="A3855" s="140" t="str">
        <f>IFERROR(__xludf.DUMMYFUNCTION("""COMPUTED_VALUE"""),"en")</f>
        <v>en</v>
      </c>
      <c r="B3855">
        <f>IFERROR(__xludf.DUMMYFUNCTION("""COMPUTED_VALUE"""),1316370.0)</f>
        <v>1316370</v>
      </c>
      <c r="C3855" t="str">
        <f>IFERROR(__xludf.DUMMYFUNCTION("""COMPUTED_VALUE"""),"Learning Algorithms in JavaScript from Scratch")</f>
        <v>Learning Algorithms in JavaScript from Scratch</v>
      </c>
    </row>
    <row r="3856">
      <c r="A3856" s="140" t="str">
        <f>IFERROR(__xludf.DUMMYFUNCTION("""COMPUTED_VALUE"""),"es")</f>
        <v>es</v>
      </c>
      <c r="B3856">
        <f>IFERROR(__xludf.DUMMYFUNCTION("""COMPUTED_VALUE"""),2366594.0)</f>
        <v>2366594</v>
      </c>
      <c r="C3856" t="str">
        <f>IFERROR(__xludf.DUMMYFUNCTION("""COMPUTED_VALUE"""),"Reclutamiento, entrevista y selección de personal.")</f>
        <v>Reclutamiento, entrevista y selección de personal.</v>
      </c>
    </row>
    <row r="3857">
      <c r="A3857" s="140" t="str">
        <f>IFERROR(__xludf.DUMMYFUNCTION("""COMPUTED_VALUE"""),"en")</f>
        <v>en</v>
      </c>
      <c r="B3857">
        <f>IFERROR(__xludf.DUMMYFUNCTION("""COMPUTED_VALUE"""),2581436.0)</f>
        <v>2581436</v>
      </c>
      <c r="C3857" t="str">
        <f>IFERROR(__xludf.DUMMYFUNCTION("""COMPUTED_VALUE"""),"Create a Python Application to connect to multiple databases")</f>
        <v>Create a Python Application to connect to multiple databases</v>
      </c>
    </row>
    <row r="3858">
      <c r="A3858" s="140" t="str">
        <f>IFERROR(__xludf.DUMMYFUNCTION("""COMPUTED_VALUE"""),"en")</f>
        <v>en</v>
      </c>
      <c r="B3858">
        <f>IFERROR(__xludf.DUMMYFUNCTION("""COMPUTED_VALUE"""),2381100.0)</f>
        <v>2381100</v>
      </c>
      <c r="C3858" t="str">
        <f>IFERROR(__xludf.DUMMYFUNCTION("""COMPUTED_VALUE"""),"Master Microsoft Power Automate(Flow) Expressions in 2 hours")</f>
        <v>Master Microsoft Power Automate(Flow) Expressions in 2 hours</v>
      </c>
    </row>
    <row r="3859">
      <c r="A3859" s="140" t="str">
        <f>IFERROR(__xludf.DUMMYFUNCTION("""COMPUTED_VALUE"""),"es")</f>
        <v>es</v>
      </c>
      <c r="B3859">
        <f>IFERROR(__xludf.DUMMYFUNCTION("""COMPUTED_VALUE"""),2266062.0)</f>
        <v>2266062</v>
      </c>
      <c r="C3859" t="str">
        <f>IFERROR(__xludf.DUMMYFUNCTION("""COMPUTED_VALUE"""),"Cómo descubrir tu Pasión y vivir de ella")</f>
        <v>Cómo descubrir tu Pasión y vivir de ella</v>
      </c>
    </row>
    <row r="3860">
      <c r="A3860" s="140" t="str">
        <f>IFERROR(__xludf.DUMMYFUNCTION("""COMPUTED_VALUE"""),"pt")</f>
        <v>pt</v>
      </c>
      <c r="B3860">
        <f>IFERROR(__xludf.DUMMYFUNCTION("""COMPUTED_VALUE"""),1453309.0)</f>
        <v>1453309</v>
      </c>
      <c r="C3860" t="str">
        <f>IFERROR(__xludf.DUMMYFUNCTION("""COMPUTED_VALUE"""),"Derivadas: aprenda do zero ao avançado e domine o assunto")</f>
        <v>Derivadas: aprenda do zero ao avançado e domine o assunto</v>
      </c>
    </row>
    <row r="3861">
      <c r="A3861" s="140" t="str">
        <f>IFERROR(__xludf.DUMMYFUNCTION("""COMPUTED_VALUE"""),"fr")</f>
        <v>fr</v>
      </c>
      <c r="B3861">
        <f>IFERROR(__xludf.DUMMYFUNCTION("""COMPUTED_VALUE"""),1180708.0)</f>
        <v>1180708</v>
      </c>
      <c r="C3861" t="str">
        <f>IFERROR(__xludf.DUMMYFUNCTION("""COMPUTED_VALUE"""),"Python : Cours complet pour débutant (Manipulation de Data)")</f>
        <v>Python : Cours complet pour débutant (Manipulation de Data)</v>
      </c>
    </row>
    <row r="3862">
      <c r="A3862" s="140" t="str">
        <f>IFERROR(__xludf.DUMMYFUNCTION("""COMPUTED_VALUE"""),"en")</f>
        <v>en</v>
      </c>
      <c r="B3862">
        <f>IFERROR(__xludf.DUMMYFUNCTION("""COMPUTED_VALUE"""),1862914.0)</f>
        <v>1862914</v>
      </c>
      <c r="C3862" t="str">
        <f>IFERROR(__xludf.DUMMYFUNCTION("""COMPUTED_VALUE"""),"Apache Kafka for Developers using Spring Boot[LatestEdition]")</f>
        <v>Apache Kafka for Developers using Spring Boot[LatestEdition]</v>
      </c>
    </row>
    <row r="3863">
      <c r="A3863" s="140" t="str">
        <f>IFERROR(__xludf.DUMMYFUNCTION("""COMPUTED_VALUE"""),"en")</f>
        <v>en</v>
      </c>
      <c r="B3863">
        <f>IFERROR(__xludf.DUMMYFUNCTION("""COMPUTED_VALUE"""),1002030.0)</f>
        <v>1002030</v>
      </c>
      <c r="C3863" t="str">
        <f>IFERROR(__xludf.DUMMYFUNCTION("""COMPUTED_VALUE"""),"Web Development w/ Google’s Go (golang) Programming Language")</f>
        <v>Web Development w/ Google’s Go (golang) Programming Language</v>
      </c>
    </row>
    <row r="3864">
      <c r="A3864" s="140" t="str">
        <f>IFERROR(__xludf.DUMMYFUNCTION("""COMPUTED_VALUE"""),"fr")</f>
        <v>fr</v>
      </c>
      <c r="B3864">
        <f>IFERROR(__xludf.DUMMYFUNCTION("""COMPUTED_VALUE"""),2432564.0)</f>
        <v>2432564</v>
      </c>
      <c r="C3864" t="str">
        <f>IFERROR(__xludf.DUMMYFUNCTION("""COMPUTED_VALUE"""),"Apprenez à aimer Microsoft Word (Mac et PC)")</f>
        <v>Apprenez à aimer Microsoft Word (Mac et PC)</v>
      </c>
    </row>
    <row r="3865">
      <c r="A3865" s="140" t="str">
        <f>IFERROR(__xludf.DUMMYFUNCTION("""COMPUTED_VALUE"""),"en")</f>
        <v>en</v>
      </c>
      <c r="B3865">
        <f>IFERROR(__xludf.DUMMYFUNCTION("""COMPUTED_VALUE"""),2341314.0)</f>
        <v>2341314</v>
      </c>
      <c r="C3865" t="str">
        <f>IFERROR(__xludf.DUMMYFUNCTION("""COMPUTED_VALUE"""),"Pass your VMware VCP-6.7 (VCP-2019) DCV exam - PRACTICE TEST")</f>
        <v>Pass your VMware VCP-6.7 (VCP-2019) DCV exam - PRACTICE TEST</v>
      </c>
    </row>
    <row r="3866">
      <c r="A3866" s="140" t="str">
        <f>IFERROR(__xludf.DUMMYFUNCTION("""COMPUTED_VALUE"""),"ja")</f>
        <v>ja</v>
      </c>
      <c r="B3866">
        <f>IFERROR(__xludf.DUMMYFUNCTION("""COMPUTED_VALUE"""),3729814.0)</f>
        <v>3729814</v>
      </c>
      <c r="C3866" t="str">
        <f>IFERROR(__xludf.DUMMYFUNCTION("""COMPUTED_VALUE"""),"登録者34万人のYouTuberが教える！YouTubeを短期間で収益化させるためのロードマップ")</f>
        <v>登録者34万人のYouTuberが教える！YouTubeを短期間で収益化させるためのロードマップ</v>
      </c>
    </row>
    <row r="3867">
      <c r="A3867" s="140" t="str">
        <f>IFERROR(__xludf.DUMMYFUNCTION("""COMPUTED_VALUE"""),"fr")</f>
        <v>fr</v>
      </c>
      <c r="B3867">
        <f>IFERROR(__xludf.DUMMYFUNCTION("""COMPUTED_VALUE"""),1323124.0)</f>
        <v>1323124</v>
      </c>
      <c r="C3867" t="str">
        <f>IFERROR(__xludf.DUMMYFUNCTION("""COMPUTED_VALUE"""),"Utiliser le marketing de contenu pour attirer des visiteurs")</f>
        <v>Utiliser le marketing de contenu pour attirer des visiteurs</v>
      </c>
    </row>
    <row r="3868">
      <c r="A3868" s="140" t="str">
        <f>IFERROR(__xludf.DUMMYFUNCTION("""COMPUTED_VALUE"""),"ko")</f>
        <v>ko</v>
      </c>
      <c r="B3868">
        <f>IFERROR(__xludf.DUMMYFUNCTION("""COMPUTED_VALUE"""),4294152.0)</f>
        <v>4294152</v>
      </c>
      <c r="C3868" t="str">
        <f>IFERROR(__xludf.DUMMYFUNCTION("""COMPUTED_VALUE"""),"【글로벌 Best강의】 AI 만들기: 17시간 만에 인공지능 초보자에서 전문가로! (한글자막)")</f>
        <v>【글로벌 Best강의】 AI 만들기: 17시간 만에 인공지능 초보자에서 전문가로! (한글자막)</v>
      </c>
    </row>
    <row r="3869">
      <c r="A3869" s="140" t="str">
        <f>IFERROR(__xludf.DUMMYFUNCTION("""COMPUTED_VALUE"""),"en")</f>
        <v>en</v>
      </c>
      <c r="B3869">
        <f>IFERROR(__xludf.DUMMYFUNCTION("""COMPUTED_VALUE"""),3746012.0)</f>
        <v>3746012</v>
      </c>
      <c r="C3869" t="str">
        <f>IFERROR(__xludf.DUMMYFUNCTION("""COMPUTED_VALUE"""),"Enterprise OAuth 2.0 and OpenID Connect for Developers")</f>
        <v>Enterprise OAuth 2.0 and OpenID Connect for Developers</v>
      </c>
    </row>
    <row r="3870">
      <c r="A3870" s="140" t="str">
        <f>IFERROR(__xludf.DUMMYFUNCTION("""COMPUTED_VALUE"""),"en")</f>
        <v>en</v>
      </c>
      <c r="B3870">
        <f>IFERROR(__xludf.DUMMYFUNCTION("""COMPUTED_VALUE"""),2315768.0)</f>
        <v>2315768</v>
      </c>
      <c r="C3870" t="str">
        <f>IFERROR(__xludf.DUMMYFUNCTION("""COMPUTED_VALUE"""),"Automated Software Testing with TestCafe")</f>
        <v>Automated Software Testing with TestCafe</v>
      </c>
    </row>
    <row r="3871">
      <c r="A3871" s="140" t="str">
        <f>IFERROR(__xludf.DUMMYFUNCTION("""COMPUTED_VALUE"""),"de")</f>
        <v>de</v>
      </c>
      <c r="B3871">
        <f>IFERROR(__xludf.DUMMYFUNCTION("""COMPUTED_VALUE"""),677298.0)</f>
        <v>677298</v>
      </c>
      <c r="C3871" t="str">
        <f>IFERROR(__xludf.DUMMYFUNCTION("""COMPUTED_VALUE"""),"SAP ABAP Crashkurs für Anfänger")</f>
        <v>SAP ABAP Crashkurs für Anfänger</v>
      </c>
    </row>
    <row r="3872">
      <c r="A3872" s="140" t="str">
        <f>IFERROR(__xludf.DUMMYFUNCTION("""COMPUTED_VALUE"""),"de")</f>
        <v>de</v>
      </c>
      <c r="B3872">
        <f>IFERROR(__xludf.DUMMYFUNCTION("""COMPUTED_VALUE"""),2726292.0)</f>
        <v>2726292</v>
      </c>
      <c r="C3872" t="str">
        <f>IFERROR(__xludf.DUMMYFUNCTION("""COMPUTED_VALUE"""),"Axure RP 9 Basiskurs Deutsch")</f>
        <v>Axure RP 9 Basiskurs Deutsch</v>
      </c>
    </row>
    <row r="3873">
      <c r="A3873" s="140" t="str">
        <f>IFERROR(__xludf.DUMMYFUNCTION("""COMPUTED_VALUE"""),"tr")</f>
        <v>tr</v>
      </c>
      <c r="B3873">
        <f>IFERROR(__xludf.DUMMYFUNCTION("""COMPUTED_VALUE"""),3796240.0)</f>
        <v>3796240</v>
      </c>
      <c r="C3873" t="str">
        <f>IFERROR(__xludf.DUMMYFUNCTION("""COMPUTED_VALUE"""),"Python Data Science A-Z: Python ile Veri Bilimi")</f>
        <v>Python Data Science A-Z: Python ile Veri Bilimi</v>
      </c>
    </row>
    <row r="3874">
      <c r="A3874" s="140" t="str">
        <f>IFERROR(__xludf.DUMMYFUNCTION("""COMPUTED_VALUE"""),"en")</f>
        <v>en</v>
      </c>
      <c r="B3874">
        <f>IFERROR(__xludf.DUMMYFUNCTION("""COMPUTED_VALUE"""),2811919.0)</f>
        <v>2811919</v>
      </c>
      <c r="C3874" t="str">
        <f>IFERROR(__xludf.DUMMYFUNCTION("""COMPUTED_VALUE"""),"Spring MicroServices using DDD and deploy to PCF(TAS)")</f>
        <v>Spring MicroServices using DDD and deploy to PCF(TAS)</v>
      </c>
    </row>
    <row r="3875">
      <c r="A3875" s="140" t="str">
        <f>IFERROR(__xludf.DUMMYFUNCTION("""COMPUTED_VALUE"""),"en")</f>
        <v>en</v>
      </c>
      <c r="B3875">
        <f>IFERROR(__xludf.DUMMYFUNCTION("""COMPUTED_VALUE"""),4310724.0)</f>
        <v>4310724</v>
      </c>
      <c r="C3875" t="str">
        <f>IFERROR(__xludf.DUMMYFUNCTION("""COMPUTED_VALUE"""),"SQL - The Complete Developer's Guide (MySQL, PostgreSQL)")</f>
        <v>SQL - The Complete Developer's Guide (MySQL, PostgreSQL)</v>
      </c>
    </row>
    <row r="3876">
      <c r="A3876" s="140" t="str">
        <f>IFERROR(__xludf.DUMMYFUNCTION("""COMPUTED_VALUE"""),"en")</f>
        <v>en</v>
      </c>
      <c r="B3876">
        <f>IFERROR(__xludf.DUMMYFUNCTION("""COMPUTED_VALUE"""),2755782.0)</f>
        <v>2755782</v>
      </c>
      <c r="C3876" t="str">
        <f>IFERROR(__xludf.DUMMYFUNCTION("""COMPUTED_VALUE"""),"Level 4 Diploma - Commercial Contracting (L4M3)")</f>
        <v>Level 4 Diploma - Commercial Contracting (L4M3)</v>
      </c>
    </row>
    <row r="3877">
      <c r="A3877" s="140" t="str">
        <f>IFERROR(__xludf.DUMMYFUNCTION("""COMPUTED_VALUE"""),"fr")</f>
        <v>fr</v>
      </c>
      <c r="B3877">
        <f>IFERROR(__xludf.DUMMYFUNCTION("""COMPUTED_VALUE"""),3819578.0)</f>
        <v>3819578</v>
      </c>
      <c r="C3877" t="str">
        <f>IFERROR(__xludf.DUMMYFUNCTION("""COMPUTED_VALUE"""),"Gestion de projet Agile : Scrum et Kanban")</f>
        <v>Gestion de projet Agile : Scrum et Kanban</v>
      </c>
    </row>
    <row r="3878">
      <c r="A3878" s="140" t="str">
        <f>IFERROR(__xludf.DUMMYFUNCTION("""COMPUTED_VALUE"""),"en")</f>
        <v>en</v>
      </c>
      <c r="B3878">
        <f>IFERROR(__xludf.DUMMYFUNCTION("""COMPUTED_VALUE"""),871138.0)</f>
        <v>871138</v>
      </c>
      <c r="C3878" t="str">
        <f>IFERROR(__xludf.DUMMYFUNCTION("""COMPUTED_VALUE"""),"Java Network Programming - TCP/IP Socket Programming")</f>
        <v>Java Network Programming - TCP/IP Socket Programming</v>
      </c>
    </row>
    <row r="3879">
      <c r="A3879" s="140" t="str">
        <f>IFERROR(__xludf.DUMMYFUNCTION("""COMPUTED_VALUE"""),"en")</f>
        <v>en</v>
      </c>
      <c r="B3879">
        <f>IFERROR(__xludf.DUMMYFUNCTION("""COMPUTED_VALUE"""),544860.0)</f>
        <v>544860</v>
      </c>
      <c r="C3879" t="str">
        <f>IFERROR(__xludf.DUMMYFUNCTION("""COMPUTED_VALUE"""),"Learn Social Psychology Fundamentals")</f>
        <v>Learn Social Psychology Fundamentals</v>
      </c>
    </row>
    <row r="3880">
      <c r="A3880" s="140" t="str">
        <f>IFERROR(__xludf.DUMMYFUNCTION("""COMPUTED_VALUE"""),"ja")</f>
        <v>ja</v>
      </c>
      <c r="B3880">
        <f>IFERROR(__xludf.DUMMYFUNCTION("""COMPUTED_VALUE"""),3945970.0)</f>
        <v>3945970</v>
      </c>
      <c r="C3880" t="str">
        <f>IFERROR(__xludf.DUMMYFUNCTION("""COMPUTED_VALUE"""),"ゼロから分かるコンピュータの仕組み【ハードとソフトの動きをイメージできるようになろう！】")</f>
        <v>ゼロから分かるコンピュータの仕組み【ハードとソフトの動きをイメージできるようになろう！】</v>
      </c>
    </row>
    <row r="3881">
      <c r="A3881" s="140" t="str">
        <f>IFERROR(__xludf.DUMMYFUNCTION("""COMPUTED_VALUE"""),"de")</f>
        <v>de</v>
      </c>
      <c r="B3881">
        <f>IFERROR(__xludf.DUMMYFUNCTION("""COMPUTED_VALUE"""),2733610.0)</f>
        <v>2733610</v>
      </c>
      <c r="C3881" t="str">
        <f>IFERROR(__xludf.DUMMYFUNCTION("""COMPUTED_VALUE"""),"Coaching - So machen's die Profis.")</f>
        <v>Coaching - So machen's die Profis.</v>
      </c>
    </row>
    <row r="3882">
      <c r="A3882" s="140" t="str">
        <f>IFERROR(__xludf.DUMMYFUNCTION("""COMPUTED_VALUE"""),"en")</f>
        <v>en</v>
      </c>
      <c r="B3882">
        <f>IFERROR(__xludf.DUMMYFUNCTION("""COMPUTED_VALUE"""),1679476.0)</f>
        <v>1679476</v>
      </c>
      <c r="C3882" t="str">
        <f>IFERROR(__xludf.DUMMYFUNCTION("""COMPUTED_VALUE"""),"How To Stop Feeling Like A Fraud in 4 Easy Steps!")</f>
        <v>How To Stop Feeling Like A Fraud in 4 Easy Steps!</v>
      </c>
    </row>
    <row r="3883">
      <c r="A3883" s="140" t="str">
        <f>IFERROR(__xludf.DUMMYFUNCTION("""COMPUTED_VALUE"""),"en")</f>
        <v>en</v>
      </c>
      <c r="B3883">
        <f>IFERROR(__xludf.DUMMYFUNCTION("""COMPUTED_VALUE"""),1885796.0)</f>
        <v>1885796</v>
      </c>
      <c r="C3883" t="str">
        <f>IFERROR(__xludf.DUMMYFUNCTION("""COMPUTED_VALUE"""),"Maps with R Leaflet")</f>
        <v>Maps with R Leaflet</v>
      </c>
    </row>
    <row r="3884">
      <c r="A3884" s="140" t="str">
        <f>IFERROR(__xludf.DUMMYFUNCTION("""COMPUTED_VALUE"""),"fr")</f>
        <v>fr</v>
      </c>
      <c r="B3884">
        <f>IFERROR(__xludf.DUMMYFUNCTION("""COMPUTED_VALUE"""),1597028.0)</f>
        <v>1597028</v>
      </c>
      <c r="C3884" t="str">
        <f>IFERROR(__xludf.DUMMYFUNCTION("""COMPUTED_VALUE"""),"Indesign CC 2020 - MasterClass - Débutant à Intermédiaire")</f>
        <v>Indesign CC 2020 - MasterClass - Débutant à Intermédiaire</v>
      </c>
    </row>
    <row r="3885">
      <c r="A3885" s="140" t="str">
        <f>IFERROR(__xludf.DUMMYFUNCTION("""COMPUTED_VALUE"""),"en")</f>
        <v>en</v>
      </c>
      <c r="B3885">
        <f>IFERROR(__xludf.DUMMYFUNCTION("""COMPUTED_VALUE"""),139210.0)</f>
        <v>139210</v>
      </c>
      <c r="C3885" t="str">
        <f>IFERROR(__xludf.DUMMYFUNCTION("""COMPUTED_VALUE"""),"Soundscaping for health, relationships and success")</f>
        <v>Soundscaping for health, relationships and success</v>
      </c>
    </row>
    <row r="3886">
      <c r="A3886" s="140" t="str">
        <f>IFERROR(__xludf.DUMMYFUNCTION("""COMPUTED_VALUE"""),"fr")</f>
        <v>fr</v>
      </c>
      <c r="B3886">
        <f>IFERROR(__xludf.DUMMYFUNCTION("""COMPUTED_VALUE"""),1198720.0)</f>
        <v>1198720</v>
      </c>
      <c r="C3886" t="str">
        <f>IFERROR(__xludf.DUMMYFUNCTION("""COMPUTED_VALUE"""),"Java et les bases de données avec JDBC, Hibernate et JPA")</f>
        <v>Java et les bases de données avec JDBC, Hibernate et JPA</v>
      </c>
    </row>
    <row r="3887">
      <c r="A3887" s="140" t="str">
        <f>IFERROR(__xludf.DUMMYFUNCTION("""COMPUTED_VALUE"""),"tr")</f>
        <v>tr</v>
      </c>
      <c r="B3887">
        <f>IFERROR(__xludf.DUMMYFUNCTION("""COMPUTED_VALUE"""),2920276.0)</f>
        <v>2920276</v>
      </c>
      <c r="C3887" t="str">
        <f>IFERROR(__xludf.DUMMYFUNCTION("""COMPUTED_VALUE"""),"0'dan 100'e Uygulamalı Konteyner Temelleri ve Docker")</f>
        <v>0'dan 100'e Uygulamalı Konteyner Temelleri ve Docker</v>
      </c>
    </row>
    <row r="3888">
      <c r="A3888" s="140" t="str">
        <f>IFERROR(__xludf.DUMMYFUNCTION("""COMPUTED_VALUE"""),"en")</f>
        <v>en</v>
      </c>
      <c r="B3888">
        <f>IFERROR(__xludf.DUMMYFUNCTION("""COMPUTED_VALUE"""),1470810.0)</f>
        <v>1470810</v>
      </c>
      <c r="C3888" t="str">
        <f>IFERROR(__xludf.DUMMYFUNCTION("""COMPUTED_VALUE"""),"The Modern JavaScript Bootcamp")</f>
        <v>The Modern JavaScript Bootcamp</v>
      </c>
    </row>
    <row r="3889">
      <c r="A3889" s="140" t="str">
        <f>IFERROR(__xludf.DUMMYFUNCTION("""COMPUTED_VALUE"""),"ja")</f>
        <v>ja</v>
      </c>
      <c r="B3889">
        <f>IFERROR(__xludf.DUMMYFUNCTION("""COMPUTED_VALUE"""),2941684.0)</f>
        <v>2941684</v>
      </c>
      <c r="C3889" t="str">
        <f>IFERROR(__xludf.DUMMYFUNCTION("""COMPUTED_VALUE"""),"【図解でスッキリ！】いちばんわかりやすい「財務分析指標」マスター講座")</f>
        <v>【図解でスッキリ！】いちばんわかりやすい「財務分析指標」マスター講座</v>
      </c>
    </row>
    <row r="3890">
      <c r="A3890" s="140" t="str">
        <f>IFERROR(__xludf.DUMMYFUNCTION("""COMPUTED_VALUE"""),"ja")</f>
        <v>ja</v>
      </c>
      <c r="B3890">
        <f>IFERROR(__xludf.DUMMYFUNCTION("""COMPUTED_VALUE"""),2596890.0)</f>
        <v>2596890</v>
      </c>
      <c r="C3890" t="str">
        <f>IFERROR(__xludf.DUMMYFUNCTION("""COMPUTED_VALUE"""),"Affinity Designer（アフィニティデザイナー）の使い方〜基本編")</f>
        <v>Affinity Designer（アフィニティデザイナー）の使い方〜基本編</v>
      </c>
    </row>
    <row r="3891">
      <c r="A3891" s="140" t="str">
        <f>IFERROR(__xludf.DUMMYFUNCTION("""COMPUTED_VALUE"""),"en")</f>
        <v>en</v>
      </c>
      <c r="B3891">
        <f>IFERROR(__xludf.DUMMYFUNCTION("""COMPUTED_VALUE"""),1356532.0)</f>
        <v>1356532</v>
      </c>
      <c r="C3891" t="str">
        <f>IFERROR(__xludf.DUMMYFUNCTION("""COMPUTED_VALUE"""),"WordPress Theme Development from Scratch")</f>
        <v>WordPress Theme Development from Scratch</v>
      </c>
    </row>
    <row r="3892">
      <c r="A3892" s="140" t="str">
        <f>IFERROR(__xludf.DUMMYFUNCTION("""COMPUTED_VALUE"""),"en")</f>
        <v>en</v>
      </c>
      <c r="B3892">
        <f>IFERROR(__xludf.DUMMYFUNCTION("""COMPUTED_VALUE"""),206886.0)</f>
        <v>206886</v>
      </c>
      <c r="C3892" t="str">
        <f>IFERROR(__xludf.DUMMYFUNCTION("""COMPUTED_VALUE"""),"Public Speaking &amp; Communicating: Skip Theory, Master the Art")</f>
        <v>Public Speaking &amp; Communicating: Skip Theory, Master the Art</v>
      </c>
    </row>
    <row r="3893">
      <c r="A3893" s="140" t="str">
        <f>IFERROR(__xludf.DUMMYFUNCTION("""COMPUTED_VALUE"""),"tr")</f>
        <v>tr</v>
      </c>
      <c r="B3893">
        <f>IFERROR(__xludf.DUMMYFUNCTION("""COMPUTED_VALUE"""),2995532.0)</f>
        <v>2995532</v>
      </c>
      <c r="C3893" t="str">
        <f>IFERROR(__xludf.DUMMYFUNCTION("""COMPUTED_VALUE"""),"Şirket Değerleme ve Finansal Strateji Geliştirme")</f>
        <v>Şirket Değerleme ve Finansal Strateji Geliştirme</v>
      </c>
    </row>
    <row r="3894">
      <c r="A3894" s="140" t="str">
        <f>IFERROR(__xludf.DUMMYFUNCTION("""COMPUTED_VALUE"""),"pt")</f>
        <v>pt</v>
      </c>
      <c r="B3894">
        <f>IFERROR(__xludf.DUMMYFUNCTION("""COMPUTED_VALUE"""),3495624.0)</f>
        <v>3495624</v>
      </c>
      <c r="C3894" t="str">
        <f>IFERROR(__xludf.DUMMYFUNCTION("""COMPUTED_VALUE"""),"Introdução à AWS")</f>
        <v>Introdução à AWS</v>
      </c>
    </row>
    <row r="3895">
      <c r="A3895" s="140" t="str">
        <f>IFERROR(__xludf.DUMMYFUNCTION("""COMPUTED_VALUE"""),"en")</f>
        <v>en</v>
      </c>
      <c r="B3895">
        <f>IFERROR(__xludf.DUMMYFUNCTION("""COMPUTED_VALUE"""),416548.0)</f>
        <v>416548</v>
      </c>
      <c r="C3895" t="str">
        <f>IFERROR(__xludf.DUMMYFUNCTION("""COMPUTED_VALUE"""),"Logo Design Masterclass: Learn Logo Design and Illustrator")</f>
        <v>Logo Design Masterclass: Learn Logo Design and Illustrator</v>
      </c>
    </row>
    <row r="3896">
      <c r="A3896" s="140" t="str">
        <f>IFERROR(__xludf.DUMMYFUNCTION("""COMPUTED_VALUE"""),"en")</f>
        <v>en</v>
      </c>
      <c r="B3896">
        <f>IFERROR(__xludf.DUMMYFUNCTION("""COMPUTED_VALUE"""),2980080.0)</f>
        <v>2980080</v>
      </c>
      <c r="C3896" t="str">
        <f>IFERROR(__xludf.DUMMYFUNCTION("""COMPUTED_VALUE"""),"A Fullstack Saga: SpringBoot / Angular / Kubernetes")</f>
        <v>A Fullstack Saga: SpringBoot / Angular / Kubernetes</v>
      </c>
    </row>
    <row r="3897">
      <c r="A3897" s="140" t="str">
        <f>IFERROR(__xludf.DUMMYFUNCTION("""COMPUTED_VALUE"""),"en")</f>
        <v>en</v>
      </c>
      <c r="B3897">
        <f>IFERROR(__xludf.DUMMYFUNCTION("""COMPUTED_VALUE"""),605876.0)</f>
        <v>605876</v>
      </c>
      <c r="C3897" t="str">
        <f>IFERROR(__xludf.DUMMYFUNCTION("""COMPUTED_VALUE"""),"Video Editing using DaVinci Resolve")</f>
        <v>Video Editing using DaVinci Resolve</v>
      </c>
    </row>
    <row r="3898">
      <c r="A3898" s="140" t="str">
        <f>IFERROR(__xludf.DUMMYFUNCTION("""COMPUTED_VALUE"""),"en")</f>
        <v>en</v>
      </c>
      <c r="B3898">
        <f>IFERROR(__xludf.DUMMYFUNCTION("""COMPUTED_VALUE"""),1184844.0)</f>
        <v>1184844</v>
      </c>
      <c r="C3898" t="str">
        <f>IFERROR(__xludf.DUMMYFUNCTION("""COMPUTED_VALUE"""),"The Complete App Design Course - UX, UI and Design Thinking")</f>
        <v>The Complete App Design Course - UX, UI and Design Thinking</v>
      </c>
    </row>
    <row r="3899">
      <c r="A3899" s="140" t="str">
        <f>IFERROR(__xludf.DUMMYFUNCTION("""COMPUTED_VALUE"""),"en")</f>
        <v>en</v>
      </c>
      <c r="B3899">
        <f>IFERROR(__xludf.DUMMYFUNCTION("""COMPUTED_VALUE"""),352132.0)</f>
        <v>352132</v>
      </c>
      <c r="C3899" t="str">
        <f>IFERROR(__xludf.DUMMYFUNCTION("""COMPUTED_VALUE"""),"Master Web Design in Photoshop: Complete UI/UX Masterclass")</f>
        <v>Master Web Design in Photoshop: Complete UI/UX Masterclass</v>
      </c>
    </row>
    <row r="3900">
      <c r="A3900" s="140" t="str">
        <f>IFERROR(__xludf.DUMMYFUNCTION("""COMPUTED_VALUE"""),"tr")</f>
        <v>tr</v>
      </c>
      <c r="B3900">
        <f>IFERROR(__xludf.DUMMYFUNCTION("""COMPUTED_VALUE"""),3695094.0)</f>
        <v>3695094</v>
      </c>
      <c r="C3900" t="str">
        <f>IFERROR(__xludf.DUMMYFUNCTION("""COMPUTED_VALUE"""),"Google Ads Eğitimi 2021 - 0'dan İleri Seviyeye Uygulamalı")</f>
        <v>Google Ads Eğitimi 2021 - 0'dan İleri Seviyeye Uygulamalı</v>
      </c>
    </row>
    <row r="3901">
      <c r="A3901" s="140" t="str">
        <f>IFERROR(__xludf.DUMMYFUNCTION("""COMPUTED_VALUE"""),"es")</f>
        <v>es</v>
      </c>
      <c r="B3901">
        <f>IFERROR(__xludf.DUMMYFUNCTION("""COMPUTED_VALUE"""),3903026.0)</f>
        <v>3903026</v>
      </c>
      <c r="C3901" t="str">
        <f>IFERROR(__xludf.DUMMYFUNCTION("""COMPUTED_VALUE"""),"Curso Completo Paso a Paso de Marketing de Afiliados Exitoso")</f>
        <v>Curso Completo Paso a Paso de Marketing de Afiliados Exitoso</v>
      </c>
    </row>
    <row r="3902">
      <c r="A3902" s="140" t="str">
        <f>IFERROR(__xludf.DUMMYFUNCTION("""COMPUTED_VALUE"""),"es")</f>
        <v>es</v>
      </c>
      <c r="B3902">
        <f>IFERROR(__xludf.DUMMYFUNCTION("""COMPUTED_VALUE"""),1184016.0)</f>
        <v>1184016</v>
      </c>
      <c r="C3902" t="str">
        <f>IFERROR(__xludf.DUMMYFUNCTION("""COMPUTED_VALUE"""),"Desarrollo frontend con Angular 4 y backend con Symfony 3.3")</f>
        <v>Desarrollo frontend con Angular 4 y backend con Symfony 3.3</v>
      </c>
    </row>
    <row r="3903">
      <c r="A3903" s="140" t="str">
        <f>IFERROR(__xludf.DUMMYFUNCTION("""COMPUTED_VALUE"""),"en")</f>
        <v>en</v>
      </c>
      <c r="B3903">
        <f>IFERROR(__xludf.DUMMYFUNCTION("""COMPUTED_VALUE"""),4121782.0)</f>
        <v>4121782</v>
      </c>
      <c r="C3903" t="str">
        <f>IFERROR(__xludf.DUMMYFUNCTION("""COMPUTED_VALUE"""),"SWIFT Message Types - MT and MX ISO 20022 - An Overview")</f>
        <v>SWIFT Message Types - MT and MX ISO 20022 - An Overview</v>
      </c>
    </row>
    <row r="3904">
      <c r="A3904" s="140" t="str">
        <f>IFERROR(__xludf.DUMMYFUNCTION("""COMPUTED_VALUE"""),"en")</f>
        <v>en</v>
      </c>
      <c r="B3904">
        <f>IFERROR(__xludf.DUMMYFUNCTION("""COMPUTED_VALUE"""),2464676.0)</f>
        <v>2464676</v>
      </c>
      <c r="C3904" t="str">
        <f>IFERROR(__xludf.DUMMYFUNCTION("""COMPUTED_VALUE"""),"SAP Basis Administration")</f>
        <v>SAP Basis Administration</v>
      </c>
    </row>
    <row r="3905">
      <c r="A3905" s="140" t="str">
        <f>IFERROR(__xludf.DUMMYFUNCTION("""COMPUTED_VALUE"""),"en")</f>
        <v>en</v>
      </c>
      <c r="B3905">
        <f>IFERROR(__xludf.DUMMYFUNCTION("""COMPUTED_VALUE"""),1683788.0)</f>
        <v>1683788</v>
      </c>
      <c r="C3905" t="str">
        <f>IFERROR(__xludf.DUMMYFUNCTION("""COMPUTED_VALUE"""),"Secrets of Powerful, Peaceful &amp; Beautiful Tai Chi!")</f>
        <v>Secrets of Powerful, Peaceful &amp; Beautiful Tai Chi!</v>
      </c>
    </row>
    <row r="3906">
      <c r="A3906" s="140" t="str">
        <f>IFERROR(__xludf.DUMMYFUNCTION("""COMPUTED_VALUE"""),"de")</f>
        <v>de</v>
      </c>
      <c r="B3906">
        <f>IFERROR(__xludf.DUMMYFUNCTION("""COMPUTED_VALUE"""),1706510.0)</f>
        <v>1706510</v>
      </c>
      <c r="C3906" t="str">
        <f>IFERROR(__xludf.DUMMYFUNCTION("""COMPUTED_VALUE"""),"Essen in Japan – Im Restaurant und Spezialitäten")</f>
        <v>Essen in Japan – Im Restaurant und Spezialitäten</v>
      </c>
    </row>
    <row r="3907">
      <c r="A3907" s="140" t="str">
        <f>IFERROR(__xludf.DUMMYFUNCTION("""COMPUTED_VALUE"""),"en")</f>
        <v>en</v>
      </c>
      <c r="B3907">
        <f>IFERROR(__xludf.DUMMYFUNCTION("""COMPUTED_VALUE"""),3422150.0)</f>
        <v>3422150</v>
      </c>
      <c r="C3907" t="str">
        <f>IFERROR(__xludf.DUMMYFUNCTION("""COMPUTED_VALUE"""),"Technical Product Management: learn on 4 real industry cases")</f>
        <v>Technical Product Management: learn on 4 real industry cases</v>
      </c>
    </row>
    <row r="3908">
      <c r="A3908" s="140" t="str">
        <f>IFERROR(__xludf.DUMMYFUNCTION("""COMPUTED_VALUE"""),"en")</f>
        <v>en</v>
      </c>
      <c r="B3908">
        <f>IFERROR(__xludf.DUMMYFUNCTION("""COMPUTED_VALUE"""),627730.0)</f>
        <v>627730</v>
      </c>
      <c r="C3908" t="str">
        <f>IFERROR(__xludf.DUMMYFUNCTION("""COMPUTED_VALUE"""),"Adobe After Effects: Complete Course from Novice to Expert")</f>
        <v>Adobe After Effects: Complete Course from Novice to Expert</v>
      </c>
    </row>
    <row r="3909">
      <c r="A3909" s="140" t="str">
        <f>IFERROR(__xludf.DUMMYFUNCTION("""COMPUTED_VALUE"""),"de")</f>
        <v>de</v>
      </c>
      <c r="B3909">
        <f>IFERROR(__xludf.DUMMYFUNCTION("""COMPUTED_VALUE"""),1468006.0)</f>
        <v>1468006</v>
      </c>
      <c r="C3909" t="str">
        <f>IFERROR(__xludf.DUMMYFUNCTION("""COMPUTED_VALUE"""),"Sicherheit und Privatsphäre im Internet für Einsteiger")</f>
        <v>Sicherheit und Privatsphäre im Internet für Einsteiger</v>
      </c>
    </row>
    <row r="3910">
      <c r="A3910" s="140" t="str">
        <f>IFERROR(__xludf.DUMMYFUNCTION("""COMPUTED_VALUE"""),"en")</f>
        <v>en</v>
      </c>
      <c r="B3910">
        <f>IFERROR(__xludf.DUMMYFUNCTION("""COMPUTED_VALUE"""),292628.0)</f>
        <v>292628</v>
      </c>
      <c r="C3910" t="str">
        <f>IFERROR(__xludf.DUMMYFUNCTION("""COMPUTED_VALUE"""),"Learn Chinese | Level 1")</f>
        <v>Learn Chinese | Level 1</v>
      </c>
    </row>
    <row r="3911">
      <c r="A3911" s="140" t="str">
        <f>IFERROR(__xludf.DUMMYFUNCTION("""COMPUTED_VALUE"""),"fr")</f>
        <v>fr</v>
      </c>
      <c r="B3911">
        <f>IFERROR(__xludf.DUMMYFUNCTION("""COMPUTED_VALUE"""),2556876.0)</f>
        <v>2556876</v>
      </c>
      <c r="C3911" t="str">
        <f>IFERROR(__xludf.DUMMYFUNCTION("""COMPUTED_VALUE"""),"Créer 5 applications de bureau avec Qt for Python (PySide2)")</f>
        <v>Créer 5 applications de bureau avec Qt for Python (PySide2)</v>
      </c>
    </row>
    <row r="3912">
      <c r="A3912" s="140" t="str">
        <f>IFERROR(__xludf.DUMMYFUNCTION("""COMPUTED_VALUE"""),"en")</f>
        <v>en</v>
      </c>
      <c r="B3912">
        <f>IFERROR(__xludf.DUMMYFUNCTION("""COMPUTED_VALUE"""),2842220.0)</f>
        <v>2842220</v>
      </c>
      <c r="C3912" t="str">
        <f>IFERROR(__xludf.DUMMYFUNCTION("""COMPUTED_VALUE"""),"Ultimate Docker Fast-Track Beginner to Advanced")</f>
        <v>Ultimate Docker Fast-Track Beginner to Advanced</v>
      </c>
    </row>
    <row r="3913">
      <c r="A3913" s="140" t="str">
        <f>IFERROR(__xludf.DUMMYFUNCTION("""COMPUTED_VALUE"""),"en")</f>
        <v>en</v>
      </c>
      <c r="B3913">
        <f>IFERROR(__xludf.DUMMYFUNCTION("""COMPUTED_VALUE"""),3887162.0)</f>
        <v>3887162</v>
      </c>
      <c r="C3913" t="str">
        <f>IFERROR(__xludf.DUMMYFUNCTION("""COMPUTED_VALUE"""),"Building AWS Basic Architecture for super beginners")</f>
        <v>Building AWS Basic Architecture for super beginners</v>
      </c>
    </row>
    <row r="3914">
      <c r="A3914" s="140" t="str">
        <f>IFERROR(__xludf.DUMMYFUNCTION("""COMPUTED_VALUE"""),"en")</f>
        <v>en</v>
      </c>
      <c r="B3914">
        <f>IFERROR(__xludf.DUMMYFUNCTION("""COMPUTED_VALUE"""),3270418.0)</f>
        <v>3270418</v>
      </c>
      <c r="C3914" t="str">
        <f>IFERROR(__xludf.DUMMYFUNCTION("""COMPUTED_VALUE"""),"How To Make Better, Faster Decisions At Work")</f>
        <v>How To Make Better, Faster Decisions At Work</v>
      </c>
    </row>
    <row r="3915">
      <c r="A3915" s="140" t="str">
        <f>IFERROR(__xludf.DUMMYFUNCTION("""COMPUTED_VALUE"""),"pt")</f>
        <v>pt</v>
      </c>
      <c r="B3915">
        <f>IFERROR(__xludf.DUMMYFUNCTION("""COMPUTED_VALUE"""),1251060.0)</f>
        <v>1251060</v>
      </c>
      <c r="C3915" t="str">
        <f>IFERROR(__xludf.DUMMYFUNCTION("""COMPUTED_VALUE"""),"Curso de Moodle - Plataforma de Cursos")</f>
        <v>Curso de Moodle - Plataforma de Cursos</v>
      </c>
    </row>
    <row r="3916">
      <c r="A3916" s="140" t="str">
        <f>IFERROR(__xludf.DUMMYFUNCTION("""COMPUTED_VALUE"""),"zh")</f>
        <v>zh</v>
      </c>
      <c r="B3916">
        <f>IFERROR(__xludf.DUMMYFUNCTION("""COMPUTED_VALUE"""),2129778.0)</f>
        <v>2129778</v>
      </c>
      <c r="C3916" t="str">
        <f>IFERROR(__xludf.DUMMYFUNCTION("""COMPUTED_VALUE"""),"Maven从入门到精通")</f>
        <v>Maven从入门到精通</v>
      </c>
    </row>
    <row r="3917">
      <c r="A3917" s="140" t="str">
        <f>IFERROR(__xludf.DUMMYFUNCTION("""COMPUTED_VALUE"""),"en")</f>
        <v>en</v>
      </c>
      <c r="B3917">
        <f>IFERROR(__xludf.DUMMYFUNCTION("""COMPUTED_VALUE"""),1904956.0)</f>
        <v>1904956</v>
      </c>
      <c r="C3917" t="str">
        <f>IFERROR(__xludf.DUMMYFUNCTION("""COMPUTED_VALUE"""),"Advanced Selenium WebDriver with Java and TestNG")</f>
        <v>Advanced Selenium WebDriver with Java and TestNG</v>
      </c>
    </row>
    <row r="3918">
      <c r="A3918" s="140" t="str">
        <f>IFERROR(__xludf.DUMMYFUNCTION("""COMPUTED_VALUE"""),"en")</f>
        <v>en</v>
      </c>
      <c r="B3918">
        <f>IFERROR(__xludf.DUMMYFUNCTION("""COMPUTED_VALUE"""),1595304.0)</f>
        <v>1595304</v>
      </c>
      <c r="C3918" t="str">
        <f>IFERROR(__xludf.DUMMYFUNCTION("""COMPUTED_VALUE"""),"Logistics Optimization with Excel Solver")</f>
        <v>Logistics Optimization with Excel Solver</v>
      </c>
    </row>
    <row r="3919">
      <c r="A3919" s="140" t="str">
        <f>IFERROR(__xludf.DUMMYFUNCTION("""COMPUTED_VALUE"""),"en")</f>
        <v>en</v>
      </c>
      <c r="B3919">
        <f>IFERROR(__xludf.DUMMYFUNCTION("""COMPUTED_VALUE"""),1551422.0)</f>
        <v>1551422</v>
      </c>
      <c r="C3919" t="str">
        <f>IFERROR(__xludf.DUMMYFUNCTION("""COMPUTED_VALUE"""),"ES6, ES7 &amp; ES8, TIME to update your JavaScript / ECMAScript!")</f>
        <v>ES6, ES7 &amp; ES8, TIME to update your JavaScript / ECMAScript!</v>
      </c>
    </row>
    <row r="3920">
      <c r="A3920" s="140" t="str">
        <f>IFERROR(__xludf.DUMMYFUNCTION("""COMPUTED_VALUE"""),"en")</f>
        <v>en</v>
      </c>
      <c r="B3920">
        <f>IFERROR(__xludf.DUMMYFUNCTION("""COMPUTED_VALUE"""),86322.0)</f>
        <v>86322</v>
      </c>
      <c r="C3920" t="str">
        <f>IFERROR(__xludf.DUMMYFUNCTION("""COMPUTED_VALUE"""),"ServiceNow Kickstart: Basic Skills for CMDB Administration")</f>
        <v>ServiceNow Kickstart: Basic Skills for CMDB Administration</v>
      </c>
    </row>
    <row r="3921">
      <c r="A3921" s="140" t="str">
        <f>IFERROR(__xludf.DUMMYFUNCTION("""COMPUTED_VALUE"""),"fr")</f>
        <v>fr</v>
      </c>
      <c r="B3921">
        <f>IFERROR(__xludf.DUMMYFUNCTION("""COMPUTED_VALUE"""),964220.0)</f>
        <v>964220</v>
      </c>
      <c r="C3921" t="str">
        <f>IFERROR(__xludf.DUMMYFUNCTION("""COMPUTED_VALUE"""),"Débuter avec Windows Server 2012 et le réseau")</f>
        <v>Débuter avec Windows Server 2012 et le réseau</v>
      </c>
    </row>
    <row r="3922">
      <c r="A3922" s="140" t="str">
        <f>IFERROR(__xludf.DUMMYFUNCTION("""COMPUTED_VALUE"""),"en")</f>
        <v>en</v>
      </c>
      <c r="B3922">
        <f>IFERROR(__xludf.DUMMYFUNCTION("""COMPUTED_VALUE"""),2484784.0)</f>
        <v>2484784</v>
      </c>
      <c r="C3922" t="str">
        <f>IFERROR(__xludf.DUMMYFUNCTION("""COMPUTED_VALUE"""),"Build Undetectable Malware Using C Language: Ethical Hacking")</f>
        <v>Build Undetectable Malware Using C Language: Ethical Hacking</v>
      </c>
    </row>
    <row r="3923">
      <c r="A3923" s="140" t="str">
        <f>IFERROR(__xludf.DUMMYFUNCTION("""COMPUTED_VALUE"""),"es")</f>
        <v>es</v>
      </c>
      <c r="B3923">
        <f>IFERROR(__xludf.DUMMYFUNCTION("""COMPUTED_VALUE"""),393454.0)</f>
        <v>393454</v>
      </c>
      <c r="C3923" t="str">
        <f>IFERROR(__xludf.DUMMYFUNCTION("""COMPUTED_VALUE"""),"Core Data en iOS  y Swift | La Mejor Introducción")</f>
        <v>Core Data en iOS  y Swift | La Mejor Introducción</v>
      </c>
    </row>
    <row r="3924">
      <c r="A3924" s="140" t="str">
        <f>IFERROR(__xludf.DUMMYFUNCTION("""COMPUTED_VALUE"""),"en")</f>
        <v>en</v>
      </c>
      <c r="B3924">
        <f>IFERROR(__xludf.DUMMYFUNCTION("""COMPUTED_VALUE"""),1191996.0)</f>
        <v>1191996</v>
      </c>
      <c r="C3924" t="str">
        <f>IFERROR(__xludf.DUMMYFUNCTION("""COMPUTED_VALUE"""),"VBScripting Fundamentals (Updated 2021)")</f>
        <v>VBScripting Fundamentals (Updated 2021)</v>
      </c>
    </row>
    <row r="3925">
      <c r="A3925" s="140" t="str">
        <f>IFERROR(__xludf.DUMMYFUNCTION("""COMPUTED_VALUE"""),"en")</f>
        <v>en</v>
      </c>
      <c r="B3925">
        <f>IFERROR(__xludf.DUMMYFUNCTION("""COMPUTED_VALUE"""),1000574.0)</f>
        <v>1000574</v>
      </c>
      <c r="C3925" t="str">
        <f>IFERROR(__xludf.DUMMYFUNCTION("""COMPUTED_VALUE"""),"The Complete Developers Guide to MongoDB")</f>
        <v>The Complete Developers Guide to MongoDB</v>
      </c>
    </row>
    <row r="3926">
      <c r="A3926" s="140" t="str">
        <f>IFERROR(__xludf.DUMMYFUNCTION("""COMPUTED_VALUE"""),"en")</f>
        <v>en</v>
      </c>
      <c r="B3926">
        <f>IFERROR(__xludf.DUMMYFUNCTION("""COMPUTED_VALUE"""),2782330.0)</f>
        <v>2782330</v>
      </c>
      <c r="C3926" t="str">
        <f>IFERROR(__xludf.DUMMYFUNCTION("""COMPUTED_VALUE"""),"Production Ready Kubernetes setup for CI/CD - DevOps project")</f>
        <v>Production Ready Kubernetes setup for CI/CD - DevOps project</v>
      </c>
    </row>
    <row r="3927">
      <c r="A3927" s="140" t="str">
        <f>IFERROR(__xludf.DUMMYFUNCTION("""COMPUTED_VALUE"""),"fr")</f>
        <v>fr</v>
      </c>
      <c r="B3927">
        <f>IFERROR(__xludf.DUMMYFUNCTION("""COMPUTED_VALUE"""),2705872.0)</f>
        <v>2705872</v>
      </c>
      <c r="C3927" t="str">
        <f>IFERROR(__xludf.DUMMYFUNCTION("""COMPUTED_VALUE"""),"L'éducation financière ce qu'il faut savoir avant d'investir")</f>
        <v>L'éducation financière ce qu'il faut savoir avant d'investir</v>
      </c>
    </row>
    <row r="3928">
      <c r="A3928" s="140" t="str">
        <f>IFERROR(__xludf.DUMMYFUNCTION("""COMPUTED_VALUE"""),"en")</f>
        <v>en</v>
      </c>
      <c r="B3928">
        <f>IFERROR(__xludf.DUMMYFUNCTION("""COMPUTED_VALUE"""),1698420.0)</f>
        <v>1698420</v>
      </c>
      <c r="C3928" t="str">
        <f>IFERROR(__xludf.DUMMYFUNCTION("""COMPUTED_VALUE"""),"Excel Interactive Dashboards and Data Analysis")</f>
        <v>Excel Interactive Dashboards and Data Analysis</v>
      </c>
    </row>
    <row r="3929">
      <c r="A3929" s="140" t="str">
        <f>IFERROR(__xludf.DUMMYFUNCTION("""COMPUTED_VALUE"""),"en")</f>
        <v>en</v>
      </c>
      <c r="B3929">
        <f>IFERROR(__xludf.DUMMYFUNCTION("""COMPUTED_VALUE"""),1752748.0)</f>
        <v>1752748</v>
      </c>
      <c r="C3929" t="str">
        <f>IFERROR(__xludf.DUMMYFUNCTION("""COMPUTED_VALUE"""),"Oracle Java Certification: Shortest Way To Crack OCA 1Z0-808")</f>
        <v>Oracle Java Certification: Shortest Way To Crack OCA 1Z0-808</v>
      </c>
    </row>
    <row r="3930">
      <c r="A3930" s="140" t="str">
        <f>IFERROR(__xludf.DUMMYFUNCTION("""COMPUTED_VALUE"""),"en")</f>
        <v>en</v>
      </c>
      <c r="B3930">
        <f>IFERROR(__xludf.DUMMYFUNCTION("""COMPUTED_VALUE"""),1870492.0)</f>
        <v>1870492</v>
      </c>
      <c r="C3930" t="str">
        <f>IFERROR(__xludf.DUMMYFUNCTION("""COMPUTED_VALUE"""),"The Skilled Helper Training Course (with Gerard Egan Ph.D.)")</f>
        <v>The Skilled Helper Training Course (with Gerard Egan Ph.D.)</v>
      </c>
    </row>
    <row r="3931">
      <c r="A3931" s="140" t="str">
        <f>IFERROR(__xludf.DUMMYFUNCTION("""COMPUTED_VALUE"""),"es")</f>
        <v>es</v>
      </c>
      <c r="B3931">
        <f>IFERROR(__xludf.DUMMYFUNCTION("""COMPUTED_VALUE"""),1719364.0)</f>
        <v>1719364</v>
      </c>
      <c r="C3931" t="str">
        <f>IFERROR(__xludf.DUMMYFUNCTION("""COMPUTED_VALUE"""),"Master en Frameworks JavaScript: Aprende Angular, React, Vue")</f>
        <v>Master en Frameworks JavaScript: Aprende Angular, React, Vue</v>
      </c>
    </row>
    <row r="3932">
      <c r="A3932" s="140" t="str">
        <f>IFERROR(__xludf.DUMMYFUNCTION("""COMPUTED_VALUE"""),"ja")</f>
        <v>ja</v>
      </c>
      <c r="B3932">
        <f>IFERROR(__xludf.DUMMYFUNCTION("""COMPUTED_VALUE"""),895620.0)</f>
        <v>895620</v>
      </c>
      <c r="C3932" t="str">
        <f>IFERROR(__xludf.DUMMYFUNCTION("""COMPUTED_VALUE"""),"【今日からはじめるプログラミング】コードの基本から必須スキルまで習得できる講座 / Swift5.x~対応")</f>
        <v>【今日からはじめるプログラミング】コードの基本から必須スキルまで習得できる講座 / Swift5.x~対応</v>
      </c>
    </row>
    <row r="3933">
      <c r="A3933" s="140" t="str">
        <f>IFERROR(__xludf.DUMMYFUNCTION("""COMPUTED_VALUE"""),"de")</f>
        <v>de</v>
      </c>
      <c r="B3933">
        <f>IFERROR(__xludf.DUMMYFUNCTION("""COMPUTED_VALUE"""),3570305.0)</f>
        <v>3570305</v>
      </c>
      <c r="C3933" t="str">
        <f>IFERROR(__xludf.DUMMYFUNCTION("""COMPUTED_VALUE"""),"Microsoft Teams Komplettkurs - Vom Einsteiger zum Profi")</f>
        <v>Microsoft Teams Komplettkurs - Vom Einsteiger zum Profi</v>
      </c>
    </row>
    <row r="3934">
      <c r="A3934" s="140" t="str">
        <f>IFERROR(__xludf.DUMMYFUNCTION("""COMPUTED_VALUE"""),"en")</f>
        <v>en</v>
      </c>
      <c r="B3934">
        <f>IFERROR(__xludf.DUMMYFUNCTION("""COMPUTED_VALUE"""),813990.0)</f>
        <v>813990</v>
      </c>
      <c r="C3934" t="str">
        <f>IFERROR(__xludf.DUMMYFUNCTION("""COMPUTED_VALUE"""),"Project Management Crash Course with PMLC")</f>
        <v>Project Management Crash Course with PMLC</v>
      </c>
    </row>
    <row r="3935">
      <c r="A3935" s="140" t="str">
        <f>IFERROR(__xludf.DUMMYFUNCTION("""COMPUTED_VALUE"""),"en")</f>
        <v>en</v>
      </c>
      <c r="B3935">
        <f>IFERROR(__xludf.DUMMYFUNCTION("""COMPUTED_VALUE"""),1941642.0)</f>
        <v>1941642</v>
      </c>
      <c r="C3935" t="str">
        <f>IFERROR(__xludf.DUMMYFUNCTION("""COMPUTED_VALUE"""),"Oracle DB Tuning &amp; Troubleshooting - Interpret an AWR Report")</f>
        <v>Oracle DB Tuning &amp; Troubleshooting - Interpret an AWR Report</v>
      </c>
    </row>
    <row r="3936">
      <c r="A3936" s="140" t="str">
        <f>IFERROR(__xludf.DUMMYFUNCTION("""COMPUTED_VALUE"""),"de")</f>
        <v>de</v>
      </c>
      <c r="B3936">
        <f>IFERROR(__xludf.DUMMYFUNCTION("""COMPUTED_VALUE"""),2218976.0)</f>
        <v>2218976</v>
      </c>
      <c r="C3936" t="str">
        <f>IFERROR(__xludf.DUMMYFUNCTION("""COMPUTED_VALUE"""),"Android Kompaktkurs für den Einstieg mit Jetpack und Kotlin")</f>
        <v>Android Kompaktkurs für den Einstieg mit Jetpack und Kotlin</v>
      </c>
    </row>
    <row r="3937">
      <c r="A3937" s="140" t="str">
        <f>IFERROR(__xludf.DUMMYFUNCTION("""COMPUTED_VALUE"""),"en")</f>
        <v>en</v>
      </c>
      <c r="B3937">
        <f>IFERROR(__xludf.DUMMYFUNCTION("""COMPUTED_VALUE"""),998560.0)</f>
        <v>998560</v>
      </c>
      <c r="C3937" t="str">
        <f>IFERROR(__xludf.DUMMYFUNCTION("""COMPUTED_VALUE"""),"Get to Know Your Food: Claims, Labels &amp; Ingredients")</f>
        <v>Get to Know Your Food: Claims, Labels &amp; Ingredients</v>
      </c>
    </row>
    <row r="3938">
      <c r="A3938" s="140" t="str">
        <f>IFERROR(__xludf.DUMMYFUNCTION("""COMPUTED_VALUE"""),"es")</f>
        <v>es</v>
      </c>
      <c r="B3938">
        <f>IFERROR(__xludf.DUMMYFUNCTION("""COMPUTED_VALUE"""),3143868.0)</f>
        <v>3143868</v>
      </c>
      <c r="C3938" t="str">
        <f>IFERROR(__xludf.DUMMYFUNCTION("""COMPUTED_VALUE"""),"Google Classroom: Implementación de un ejemplo practico")</f>
        <v>Google Classroom: Implementación de un ejemplo practico</v>
      </c>
    </row>
    <row r="3939">
      <c r="A3939" s="140" t="str">
        <f>IFERROR(__xludf.DUMMYFUNCTION("""COMPUTED_VALUE"""),"en")</f>
        <v>en</v>
      </c>
      <c r="B3939">
        <f>IFERROR(__xludf.DUMMYFUNCTION("""COMPUTED_VALUE"""),1315060.0)</f>
        <v>1315060</v>
      </c>
      <c r="C3939" t="str">
        <f>IFERROR(__xludf.DUMMYFUNCTION("""COMPUTED_VALUE"""),"Technical Writing: How to Write Software Documentation")</f>
        <v>Technical Writing: How to Write Software Documentation</v>
      </c>
    </row>
    <row r="3940">
      <c r="A3940" s="140" t="str">
        <f>IFERROR(__xludf.DUMMYFUNCTION("""COMPUTED_VALUE"""),"ja")</f>
        <v>ja</v>
      </c>
      <c r="B3940">
        <f>IFERROR(__xludf.DUMMYFUNCTION("""COMPUTED_VALUE"""),3081064.0)</f>
        <v>3081064</v>
      </c>
      <c r="C3940" t="str">
        <f>IFERROR(__xludf.DUMMYFUNCTION("""COMPUTED_VALUE"""),"会議が楽しくなる！「ファシリテーション講座」")</f>
        <v>会議が楽しくなる！「ファシリテーション講座」</v>
      </c>
    </row>
    <row r="3941">
      <c r="A3941" s="140" t="str">
        <f>IFERROR(__xludf.DUMMYFUNCTION("""COMPUTED_VALUE"""),"de")</f>
        <v>de</v>
      </c>
      <c r="B3941">
        <f>IFERROR(__xludf.DUMMYFUNCTION("""COMPUTED_VALUE"""),1229104.0)</f>
        <v>1229104</v>
      </c>
      <c r="C3941" t="str">
        <f>IFERROR(__xludf.DUMMYFUNCTION("""COMPUTED_VALUE"""),"Adobe Lightroom: Alles komplett von A bis Z inkl. Plugins")</f>
        <v>Adobe Lightroom: Alles komplett von A bis Z inkl. Plugins</v>
      </c>
    </row>
    <row r="3942">
      <c r="A3942" s="140" t="str">
        <f>IFERROR(__xludf.DUMMYFUNCTION("""COMPUTED_VALUE"""),"fr")</f>
        <v>fr</v>
      </c>
      <c r="B3942">
        <f>IFERROR(__xludf.DUMMYFUNCTION("""COMPUTED_VALUE"""),2768824.0)</f>
        <v>2768824</v>
      </c>
      <c r="C3942" t="str">
        <f>IFERROR(__xludf.DUMMYFUNCTION("""COMPUTED_VALUE"""),"AWS Certified Cloud Practitioner 2021 [dernière édition]")</f>
        <v>AWS Certified Cloud Practitioner 2021 [dernière édition]</v>
      </c>
    </row>
    <row r="3943">
      <c r="A3943" s="140" t="str">
        <f>IFERROR(__xludf.DUMMYFUNCTION("""COMPUTED_VALUE"""),"en")</f>
        <v>en</v>
      </c>
      <c r="B3943">
        <f>IFERROR(__xludf.DUMMYFUNCTION("""COMPUTED_VALUE"""),58309.0)</f>
        <v>58309</v>
      </c>
      <c r="C3943" t="str">
        <f>IFERROR(__xludf.DUMMYFUNCTION("""COMPUTED_VALUE"""),"Understanding HIPAA for the Medical Office")</f>
        <v>Understanding HIPAA for the Medical Office</v>
      </c>
    </row>
    <row r="3944">
      <c r="A3944" s="140" t="str">
        <f>IFERROR(__xludf.DUMMYFUNCTION("""COMPUTED_VALUE"""),"en")</f>
        <v>en</v>
      </c>
      <c r="B3944">
        <f>IFERROR(__xludf.DUMMYFUNCTION("""COMPUTED_VALUE"""),4061318.0)</f>
        <v>4061318</v>
      </c>
      <c r="C3944" t="str">
        <f>IFERROR(__xludf.DUMMYFUNCTION("""COMPUTED_VALUE"""),"Terraform on Azure with IaC DevOps SRE | Real-World 25 Demos")</f>
        <v>Terraform on Azure with IaC DevOps SRE | Real-World 25 Demos</v>
      </c>
    </row>
    <row r="3945">
      <c r="A3945" s="140" t="str">
        <f>IFERROR(__xludf.DUMMYFUNCTION("""COMPUTED_VALUE"""),"en")</f>
        <v>en</v>
      </c>
      <c r="B3945">
        <f>IFERROR(__xludf.DUMMYFUNCTION("""COMPUTED_VALUE"""),1005550.0)</f>
        <v>1005550</v>
      </c>
      <c r="C3945" t="str">
        <f>IFERROR(__xludf.DUMMYFUNCTION("""COMPUTED_VALUE"""),"Quick Start Guide to Oracle SOA 12c")</f>
        <v>Quick Start Guide to Oracle SOA 12c</v>
      </c>
    </row>
    <row r="3946">
      <c r="A3946" s="140" t="str">
        <f>IFERROR(__xludf.DUMMYFUNCTION("""COMPUTED_VALUE"""),"en")</f>
        <v>en</v>
      </c>
      <c r="B3946">
        <f>IFERROR(__xludf.DUMMYFUNCTION("""COMPUTED_VALUE"""),600732.0)</f>
        <v>600732</v>
      </c>
      <c r="C3946" t="str">
        <f>IFERROR(__xludf.DUMMYFUNCTION("""COMPUTED_VALUE"""),"SDF: Memory Forensics 1")</f>
        <v>SDF: Memory Forensics 1</v>
      </c>
    </row>
    <row r="3947">
      <c r="A3947" s="140" t="str">
        <f>IFERROR(__xludf.DUMMYFUNCTION("""COMPUTED_VALUE"""),"pt")</f>
        <v>pt</v>
      </c>
      <c r="B3947">
        <f>IFERROR(__xludf.DUMMYFUNCTION("""COMPUTED_VALUE"""),1693622.0)</f>
        <v>1693622</v>
      </c>
      <c r="C3947" t="str">
        <f>IFERROR(__xludf.DUMMYFUNCTION("""COMPUTED_VALUE"""),"Wireshark Analisando Tráfego")</f>
        <v>Wireshark Analisando Tráfego</v>
      </c>
    </row>
    <row r="3948">
      <c r="A3948" s="140" t="str">
        <f>IFERROR(__xludf.DUMMYFUNCTION("""COMPUTED_VALUE"""),"en")</f>
        <v>en</v>
      </c>
      <c r="B3948">
        <f>IFERROR(__xludf.DUMMYFUNCTION("""COMPUTED_VALUE"""),3347736.0)</f>
        <v>3347736</v>
      </c>
      <c r="C3948" t="str">
        <f>IFERROR(__xludf.DUMMYFUNCTION("""COMPUTED_VALUE"""),"English for Business and Law - Contract Law")</f>
        <v>English for Business and Law - Contract Law</v>
      </c>
    </row>
    <row r="3949">
      <c r="A3949" s="140" t="str">
        <f>IFERROR(__xludf.DUMMYFUNCTION("""COMPUTED_VALUE"""),"en")</f>
        <v>en</v>
      </c>
      <c r="B3949">
        <f>IFERROR(__xludf.DUMMYFUNCTION("""COMPUTED_VALUE"""),585066.0)</f>
        <v>585066</v>
      </c>
      <c r="C3949" t="str">
        <f>IFERROR(__xludf.DUMMYFUNCTION("""COMPUTED_VALUE"""),"Culture | How to Manage Team Conflict")</f>
        <v>Culture | How to Manage Team Conflict</v>
      </c>
    </row>
    <row r="3950">
      <c r="A3950" s="140" t="str">
        <f>IFERROR(__xludf.DUMMYFUNCTION("""COMPUTED_VALUE"""),"en")</f>
        <v>en</v>
      </c>
      <c r="B3950">
        <f>IFERROR(__xludf.DUMMYFUNCTION("""COMPUTED_VALUE"""),2134134.0)</f>
        <v>2134134</v>
      </c>
      <c r="C3950" t="str">
        <f>IFERROR(__xludf.DUMMYFUNCTION("""COMPUTED_VALUE"""),"Scrum")</f>
        <v>Scrum</v>
      </c>
    </row>
    <row r="3951">
      <c r="A3951" s="140" t="str">
        <f>IFERROR(__xludf.DUMMYFUNCTION("""COMPUTED_VALUE"""),"en")</f>
        <v>en</v>
      </c>
      <c r="B3951">
        <f>IFERROR(__xludf.DUMMYFUNCTION("""COMPUTED_VALUE"""),1482322.0)</f>
        <v>1482322</v>
      </c>
      <c r="C3951" t="str">
        <f>IFERROR(__xludf.DUMMYFUNCTION("""COMPUTED_VALUE"""),"Cucumber Framework with Selenium Webdriver and Java")</f>
        <v>Cucumber Framework with Selenium Webdriver and Java</v>
      </c>
    </row>
    <row r="3952">
      <c r="A3952" s="140" t="str">
        <f>IFERROR(__xludf.DUMMYFUNCTION("""COMPUTED_VALUE"""),"pt")</f>
        <v>pt</v>
      </c>
      <c r="B3952">
        <f>IFERROR(__xludf.DUMMYFUNCTION("""COMPUTED_VALUE"""),3392750.0)</f>
        <v>3392750</v>
      </c>
      <c r="C3952" t="str">
        <f>IFERROR(__xludf.DUMMYFUNCTION("""COMPUTED_VALUE"""),"Computação em Nuvem (Cloud Computing): Essencial")</f>
        <v>Computação em Nuvem (Cloud Computing): Essencial</v>
      </c>
    </row>
    <row r="3953">
      <c r="A3953" s="140" t="str">
        <f>IFERROR(__xludf.DUMMYFUNCTION("""COMPUTED_VALUE"""),"pt")</f>
        <v>pt</v>
      </c>
      <c r="B3953">
        <f>IFERROR(__xludf.DUMMYFUNCTION("""COMPUTED_VALUE"""),1283284.0)</f>
        <v>1283284</v>
      </c>
      <c r="C3953" t="str">
        <f>IFERROR(__xludf.DUMMYFUNCTION("""COMPUTED_VALUE"""),"Buyer Personas: Aprenda o que são e como criá-las")</f>
        <v>Buyer Personas: Aprenda o que são e como criá-las</v>
      </c>
    </row>
    <row r="3954">
      <c r="A3954" s="140" t="str">
        <f>IFERROR(__xludf.DUMMYFUNCTION("""COMPUTED_VALUE"""),"en")</f>
        <v>en</v>
      </c>
      <c r="B3954">
        <f>IFERROR(__xludf.DUMMYFUNCTION("""COMPUTED_VALUE"""),1337206.0)</f>
        <v>1337206</v>
      </c>
      <c r="C3954" t="str">
        <f>IFERROR(__xludf.DUMMYFUNCTION("""COMPUTED_VALUE"""),"Feedback is Fuel")</f>
        <v>Feedback is Fuel</v>
      </c>
    </row>
    <row r="3955">
      <c r="A3955" s="140" t="str">
        <f>IFERROR(__xludf.DUMMYFUNCTION("""COMPUTED_VALUE"""),"pt")</f>
        <v>pt</v>
      </c>
      <c r="B3955">
        <f>IFERROR(__xludf.DUMMYFUNCTION("""COMPUTED_VALUE"""),2324418.0)</f>
        <v>2324418</v>
      </c>
      <c r="C3955" t="str">
        <f>IFERROR(__xludf.DUMMYFUNCTION("""COMPUTED_VALUE"""),"Operando na Prática com Criptomoedas: Do Zero ao Avançado")</f>
        <v>Operando na Prática com Criptomoedas: Do Zero ao Avançado</v>
      </c>
    </row>
    <row r="3956">
      <c r="A3956" s="140" t="str">
        <f>IFERROR(__xludf.DUMMYFUNCTION("""COMPUTED_VALUE"""),"en")</f>
        <v>en</v>
      </c>
      <c r="B3956">
        <f>IFERROR(__xludf.DUMMYFUNCTION("""COMPUTED_VALUE"""),1151620.0)</f>
        <v>1151620</v>
      </c>
      <c r="C3956" t="str">
        <f>IFERROR(__xludf.DUMMYFUNCTION("""COMPUTED_VALUE"""),"The Complete Facebook Sales Funnel Blueprint")</f>
        <v>The Complete Facebook Sales Funnel Blueprint</v>
      </c>
    </row>
    <row r="3957">
      <c r="A3957" s="140" t="str">
        <f>IFERROR(__xludf.DUMMYFUNCTION("""COMPUTED_VALUE"""),"en")</f>
        <v>en</v>
      </c>
      <c r="B3957">
        <f>IFERROR(__xludf.DUMMYFUNCTION("""COMPUTED_VALUE"""),625204.0)</f>
        <v>625204</v>
      </c>
      <c r="C3957" t="str">
        <f>IFERROR(__xludf.DUMMYFUNCTION("""COMPUTED_VALUE"""),"The Web Developer Bootcamp 2022")</f>
        <v>The Web Developer Bootcamp 2022</v>
      </c>
    </row>
    <row r="3958">
      <c r="A3958" s="140" t="str">
        <f>IFERROR(__xludf.DUMMYFUNCTION("""COMPUTED_VALUE"""),"en")</f>
        <v>en</v>
      </c>
      <c r="B3958">
        <f>IFERROR(__xludf.DUMMYFUNCTION("""COMPUTED_VALUE"""),1759194.0)</f>
        <v>1759194</v>
      </c>
      <c r="C3958" t="str">
        <f>IFERROR(__xludf.DUMMYFUNCTION("""COMPUTED_VALUE"""),"Graph Theory Algorithms")</f>
        <v>Graph Theory Algorithms</v>
      </c>
    </row>
    <row r="3959">
      <c r="A3959" s="140" t="str">
        <f>IFERROR(__xludf.DUMMYFUNCTION("""COMPUTED_VALUE"""),"en")</f>
        <v>en</v>
      </c>
      <c r="B3959">
        <f>IFERROR(__xludf.DUMMYFUNCTION("""COMPUTED_VALUE"""),1185034.0)</f>
        <v>1185034</v>
      </c>
      <c r="C3959" t="str">
        <f>IFERROR(__xludf.DUMMYFUNCTION("""COMPUTED_VALUE"""),"The ActiveCampaign &amp; Interest Driven Sales Funnels Course")</f>
        <v>The ActiveCampaign &amp; Interest Driven Sales Funnels Course</v>
      </c>
    </row>
    <row r="3960">
      <c r="A3960" s="140" t="str">
        <f>IFERROR(__xludf.DUMMYFUNCTION("""COMPUTED_VALUE"""),"en")</f>
        <v>en</v>
      </c>
      <c r="B3960">
        <f>IFERROR(__xludf.DUMMYFUNCTION("""COMPUTED_VALUE"""),737164.0)</f>
        <v>737164</v>
      </c>
      <c r="C3960" t="str">
        <f>IFERROR(__xludf.DUMMYFUNCTION("""COMPUTED_VALUE"""),"Microsoft Word 1: 9 hours to Specialist (intermediate) level")</f>
        <v>Microsoft Word 1: 9 hours to Specialist (intermediate) level</v>
      </c>
    </row>
    <row r="3961">
      <c r="A3961" s="140" t="str">
        <f>IFERROR(__xludf.DUMMYFUNCTION("""COMPUTED_VALUE"""),"en")</f>
        <v>en</v>
      </c>
      <c r="B3961">
        <f>IFERROR(__xludf.DUMMYFUNCTION("""COMPUTED_VALUE"""),802574.0)</f>
        <v>802574</v>
      </c>
      <c r="C3961" t="str">
        <f>IFERROR(__xludf.DUMMYFUNCTION("""COMPUTED_VALUE"""),"AZ-204 Developing for Microsoft Azure Exam Prep")</f>
        <v>AZ-204 Developing for Microsoft Azure Exam Prep</v>
      </c>
    </row>
    <row r="3962">
      <c r="A3962" s="140" t="str">
        <f>IFERROR(__xludf.DUMMYFUNCTION("""COMPUTED_VALUE"""),"es")</f>
        <v>es</v>
      </c>
      <c r="B3962">
        <f>IFERROR(__xludf.DUMMYFUNCTION("""COMPUTED_VALUE"""),2324644.0)</f>
        <v>2324644</v>
      </c>
      <c r="C3962" t="str">
        <f>IFERROR(__xludf.DUMMYFUNCTION("""COMPUTED_VALUE"""),"¿Cómo hacer un Plan de Ventas?")</f>
        <v>¿Cómo hacer un Plan de Ventas?</v>
      </c>
    </row>
    <row r="3963">
      <c r="A3963" s="140" t="str">
        <f>IFERROR(__xludf.DUMMYFUNCTION("""COMPUTED_VALUE"""),"es")</f>
        <v>es</v>
      </c>
      <c r="B3963">
        <f>IFERROR(__xludf.DUMMYFUNCTION("""COMPUTED_VALUE"""),2734116.0)</f>
        <v>2734116</v>
      </c>
      <c r="C3963" t="str">
        <f>IFERROR(__xludf.DUMMYFUNCTION("""COMPUTED_VALUE"""),"React JS, Golang y MongoDB: Creando Red Social como Twitter")</f>
        <v>React JS, Golang y MongoDB: Creando Red Social como Twitter</v>
      </c>
    </row>
    <row r="3964">
      <c r="A3964" s="140" t="str">
        <f>IFERROR(__xludf.DUMMYFUNCTION("""COMPUTED_VALUE"""),"pt")</f>
        <v>pt</v>
      </c>
      <c r="B3964">
        <f>IFERROR(__xludf.DUMMYFUNCTION("""COMPUTED_VALUE"""),1360966.0)</f>
        <v>1360966</v>
      </c>
      <c r="C3964" t="str">
        <f>IFERROR(__xludf.DUMMYFUNCTION("""COMPUTED_VALUE"""),"Spring Boot, Hibernate, REST, Ionic, JWT, S3, MySQL, MongoDB")</f>
        <v>Spring Boot, Hibernate, REST, Ionic, JWT, S3, MySQL, MongoDB</v>
      </c>
    </row>
    <row r="3965">
      <c r="A3965" s="140" t="str">
        <f>IFERROR(__xludf.DUMMYFUNCTION("""COMPUTED_VALUE"""),"en")</f>
        <v>en</v>
      </c>
      <c r="B3965">
        <f>IFERROR(__xludf.DUMMYFUNCTION("""COMPUTED_VALUE"""),1436332.0)</f>
        <v>1436332</v>
      </c>
      <c r="C3965" t="str">
        <f>IFERROR(__xludf.DUMMYFUNCTION("""COMPUTED_VALUE"""),"Learn JavaScript: Full-Stack from Scratch")</f>
        <v>Learn JavaScript: Full-Stack from Scratch</v>
      </c>
    </row>
    <row r="3966">
      <c r="A3966" s="140" t="str">
        <f>IFERROR(__xludf.DUMMYFUNCTION("""COMPUTED_VALUE"""),"en")</f>
        <v>en</v>
      </c>
      <c r="B3966">
        <f>IFERROR(__xludf.DUMMYFUNCTION("""COMPUTED_VALUE"""),3237155.0)</f>
        <v>3237155</v>
      </c>
      <c r="C3966" t="str">
        <f>IFERROR(__xludf.DUMMYFUNCTION("""COMPUTED_VALUE"""),"PTE Academic Exam Preparation: Writing Mastery (Achieve 79+)")</f>
        <v>PTE Academic Exam Preparation: Writing Mastery (Achieve 79+)</v>
      </c>
    </row>
    <row r="3967">
      <c r="A3967" s="140" t="str">
        <f>IFERROR(__xludf.DUMMYFUNCTION("""COMPUTED_VALUE"""),"ko")</f>
        <v>ko</v>
      </c>
      <c r="B3967">
        <f>IFERROR(__xludf.DUMMYFUNCTION("""COMPUTED_VALUE"""),4204712.0)</f>
        <v>4204712</v>
      </c>
      <c r="C3967" t="str">
        <f>IFERROR(__xludf.DUMMYFUNCTION("""COMPUTED_VALUE"""),"머신러닝과 딥러닝의 원리와 이론")</f>
        <v>머신러닝과 딥러닝의 원리와 이론</v>
      </c>
    </row>
    <row r="3968">
      <c r="A3968" s="140" t="str">
        <f>IFERROR(__xludf.DUMMYFUNCTION("""COMPUTED_VALUE"""),"pt")</f>
        <v>pt</v>
      </c>
      <c r="B3968">
        <f>IFERROR(__xludf.DUMMYFUNCTION("""COMPUTED_VALUE"""),4028410.0)</f>
        <v>4028410</v>
      </c>
      <c r="C3968" t="str">
        <f>IFERROR(__xludf.DUMMYFUNCTION("""COMPUTED_VALUE"""),"MongoDB do básico ao avançado (c/ Mongoose e projetos)")</f>
        <v>MongoDB do básico ao avançado (c/ Mongoose e projetos)</v>
      </c>
    </row>
    <row r="3969">
      <c r="A3969" s="140" t="str">
        <f>IFERROR(__xludf.DUMMYFUNCTION("""COMPUTED_VALUE"""),"en")</f>
        <v>en</v>
      </c>
      <c r="B3969">
        <f>IFERROR(__xludf.DUMMYFUNCTION("""COMPUTED_VALUE"""),1345720.0)</f>
        <v>1345720</v>
      </c>
      <c r="C3969" t="str">
        <f>IFERROR(__xludf.DUMMYFUNCTION("""COMPUTED_VALUE"""),"React - Mastering Test Driven Development")</f>
        <v>React - Mastering Test Driven Development</v>
      </c>
    </row>
    <row r="3970">
      <c r="A3970" s="140" t="str">
        <f>IFERROR(__xludf.DUMMYFUNCTION("""COMPUTED_VALUE"""),"de")</f>
        <v>de</v>
      </c>
      <c r="B3970">
        <f>IFERROR(__xludf.DUMMYFUNCTION("""COMPUTED_VALUE"""),2781448.0)</f>
        <v>2781448</v>
      </c>
      <c r="C3970" t="str">
        <f>IFERROR(__xludf.DUMMYFUNCTION("""COMPUTED_VALUE"""),"Microsoft Teams 2020")</f>
        <v>Microsoft Teams 2020</v>
      </c>
    </row>
    <row r="3971">
      <c r="A3971" s="140" t="str">
        <f>IFERROR(__xludf.DUMMYFUNCTION("""COMPUTED_VALUE"""),"en")</f>
        <v>en</v>
      </c>
      <c r="B3971">
        <f>IFERROR(__xludf.DUMMYFUNCTION("""COMPUTED_VALUE"""),4189210.0)</f>
        <v>4189210</v>
      </c>
      <c r="C3971" t="str">
        <f>IFERROR(__xludf.DUMMYFUNCTION("""COMPUTED_VALUE"""),"Complete CCNA (200-301) Master Class")</f>
        <v>Complete CCNA (200-301) Master Class</v>
      </c>
    </row>
    <row r="3972">
      <c r="A3972" s="140" t="str">
        <f>IFERROR(__xludf.DUMMYFUNCTION("""COMPUTED_VALUE"""),"en")</f>
        <v>en</v>
      </c>
      <c r="B3972">
        <f>IFERROR(__xludf.DUMMYFUNCTION("""COMPUTED_VALUE"""),948440.0)</f>
        <v>948440</v>
      </c>
      <c r="C3972" t="str">
        <f>IFERROR(__xludf.DUMMYFUNCTION("""COMPUTED_VALUE"""),"PSD to Responsive HTML5: Beginner to Advanced")</f>
        <v>PSD to Responsive HTML5: Beginner to Advanced</v>
      </c>
    </row>
    <row r="3973">
      <c r="A3973" s="140" t="str">
        <f>IFERROR(__xludf.DUMMYFUNCTION("""COMPUTED_VALUE"""),"en")</f>
        <v>en</v>
      </c>
      <c r="B3973">
        <f>IFERROR(__xludf.DUMMYFUNCTION("""COMPUTED_VALUE"""),1205354.0)</f>
        <v>1205354</v>
      </c>
      <c r="C3973" t="str">
        <f>IFERROR(__xludf.DUMMYFUNCTION("""COMPUTED_VALUE"""),"Applied Statistical Modeling for Data Analysis in R")</f>
        <v>Applied Statistical Modeling for Data Analysis in R</v>
      </c>
    </row>
    <row r="3974">
      <c r="A3974" s="140" t="str">
        <f>IFERROR(__xludf.DUMMYFUNCTION("""COMPUTED_VALUE"""),"en")</f>
        <v>en</v>
      </c>
      <c r="B3974">
        <f>IFERROR(__xludf.DUMMYFUNCTION("""COMPUTED_VALUE"""),2669808.0)</f>
        <v>2669808</v>
      </c>
      <c r="C3974" t="str">
        <f>IFERROR(__xludf.DUMMYFUNCTION("""COMPUTED_VALUE"""),"Java Course with Practical Examples for Absolute Beginners")</f>
        <v>Java Course with Practical Examples for Absolute Beginners</v>
      </c>
    </row>
    <row r="3975">
      <c r="A3975" s="140" t="str">
        <f>IFERROR(__xludf.DUMMYFUNCTION("""COMPUTED_VALUE"""),"es")</f>
        <v>es</v>
      </c>
      <c r="B3975">
        <f>IFERROR(__xludf.DUMMYFUNCTION("""COMPUTED_VALUE"""),57966.0)</f>
        <v>57966</v>
      </c>
      <c r="C3975" t="str">
        <f>IFERROR(__xludf.DUMMYFUNCTION("""COMPUTED_VALUE"""),"Desarrollo Web, de novato a experto")</f>
        <v>Desarrollo Web, de novato a experto</v>
      </c>
    </row>
    <row r="3976">
      <c r="A3976" s="140" t="str">
        <f>IFERROR(__xludf.DUMMYFUNCTION("""COMPUTED_VALUE"""),"es")</f>
        <v>es</v>
      </c>
      <c r="B3976">
        <f>IFERROR(__xludf.DUMMYFUNCTION("""COMPUTED_VALUE"""),1395118.0)</f>
        <v>1395118</v>
      </c>
      <c r="C3976" t="str">
        <f>IFERROR(__xludf.DUMMYFUNCTION("""COMPUTED_VALUE"""),"Diseño de Bases de Datos Relacionales")</f>
        <v>Diseño de Bases de Datos Relacionales</v>
      </c>
    </row>
    <row r="3977">
      <c r="A3977" s="140" t="str">
        <f>IFERROR(__xludf.DUMMYFUNCTION("""COMPUTED_VALUE"""),"de")</f>
        <v>de</v>
      </c>
      <c r="B3977">
        <f>IFERROR(__xludf.DUMMYFUNCTION("""COMPUTED_VALUE"""),1099486.0)</f>
        <v>1099486</v>
      </c>
      <c r="C3977" t="str">
        <f>IFERROR(__xludf.DUMMYFUNCTION("""COMPUTED_VALUE"""),"SSH effektiv nutzen: Tipps &amp; Tricks für Linux-Admins")</f>
        <v>SSH effektiv nutzen: Tipps &amp; Tricks für Linux-Admins</v>
      </c>
    </row>
    <row r="3978">
      <c r="A3978" s="140" t="str">
        <f>IFERROR(__xludf.DUMMYFUNCTION("""COMPUTED_VALUE"""),"en")</f>
        <v>en</v>
      </c>
      <c r="B3978">
        <f>IFERROR(__xludf.DUMMYFUNCTION("""COMPUTED_VALUE"""),3060296.0)</f>
        <v>3060296</v>
      </c>
      <c r="C3978" t="str">
        <f>IFERROR(__xludf.DUMMYFUNCTION("""COMPUTED_VALUE"""),"Redis - World's Fastest Database - Beginners to Advance")</f>
        <v>Redis - World's Fastest Database - Beginners to Advance</v>
      </c>
    </row>
    <row r="3979">
      <c r="A3979" s="140" t="str">
        <f>IFERROR(__xludf.DUMMYFUNCTION("""COMPUTED_VALUE"""),"pt")</f>
        <v>pt</v>
      </c>
      <c r="B3979">
        <f>IFERROR(__xludf.DUMMYFUNCTION("""COMPUTED_VALUE"""),1768944.0)</f>
        <v>1768944</v>
      </c>
      <c r="C3979" t="str">
        <f>IFERROR(__xludf.DUMMYFUNCTION("""COMPUTED_VALUE"""),"Virtualização com VMware")</f>
        <v>Virtualização com VMware</v>
      </c>
    </row>
    <row r="3980">
      <c r="A3980" s="140" t="str">
        <f>IFERROR(__xludf.DUMMYFUNCTION("""COMPUTED_VALUE"""),"pt")</f>
        <v>pt</v>
      </c>
      <c r="B3980">
        <f>IFERROR(__xludf.DUMMYFUNCTION("""COMPUTED_VALUE"""),915020.0)</f>
        <v>915020</v>
      </c>
      <c r="C3980" t="str">
        <f>IFERROR(__xludf.DUMMYFUNCTION("""COMPUTED_VALUE"""),"Shiatsu - Massagem para a família")</f>
        <v>Shiatsu - Massagem para a família</v>
      </c>
    </row>
    <row r="3981">
      <c r="A3981" s="140" t="str">
        <f>IFERROR(__xludf.DUMMYFUNCTION("""COMPUTED_VALUE"""),"en")</f>
        <v>en</v>
      </c>
      <c r="B3981">
        <f>IFERROR(__xludf.DUMMYFUNCTION("""COMPUTED_VALUE"""),1507748.0)</f>
        <v>1507748</v>
      </c>
      <c r="C3981" t="str">
        <f>IFERROR(__xludf.DUMMYFUNCTION("""COMPUTED_VALUE"""),"The key metric of pricing in Economics: Elasticity")</f>
        <v>The key metric of pricing in Economics: Elasticity</v>
      </c>
    </row>
    <row r="3982">
      <c r="A3982" s="140" t="str">
        <f>IFERROR(__xludf.DUMMYFUNCTION("""COMPUTED_VALUE"""),"tr")</f>
        <v>tr</v>
      </c>
      <c r="B3982">
        <f>IFERROR(__xludf.DUMMYFUNCTION("""COMPUTED_VALUE"""),3813910.0)</f>
        <v>3813910</v>
      </c>
      <c r="C3982" t="str">
        <f>IFERROR(__xludf.DUMMYFUNCTION("""COMPUTED_VALUE"""),"Oracle Veritabanı Yönetimi, Database Administrator(DBA) (1)")</f>
        <v>Oracle Veritabanı Yönetimi, Database Administrator(DBA) (1)</v>
      </c>
    </row>
    <row r="3983">
      <c r="A3983" s="140" t="str">
        <f>IFERROR(__xludf.DUMMYFUNCTION("""COMPUTED_VALUE"""),"de")</f>
        <v>de</v>
      </c>
      <c r="B3983">
        <f>IFERROR(__xludf.DUMMYFUNCTION("""COMPUTED_VALUE"""),1551418.0)</f>
        <v>1551418</v>
      </c>
      <c r="C3983" t="str">
        <f>IFERROR(__xludf.DUMMYFUNCTION("""COMPUTED_VALUE"""),"C++ Komplettkurs: Praxisnahe und Moderne C++ Programmierung")</f>
        <v>C++ Komplettkurs: Praxisnahe und Moderne C++ Programmierung</v>
      </c>
    </row>
    <row r="3984">
      <c r="A3984" s="140" t="str">
        <f>IFERROR(__xludf.DUMMYFUNCTION("""COMPUTED_VALUE"""),"tr")</f>
        <v>tr</v>
      </c>
      <c r="B3984">
        <f>IFERROR(__xludf.DUMMYFUNCTION("""COMPUTED_VALUE"""),2041928.0)</f>
        <v>2041928</v>
      </c>
      <c r="C3984" t="str">
        <f>IFERROR(__xludf.DUMMYFUNCTION("""COMPUTED_VALUE"""),"Network Marketing Liderlik Akademisi")</f>
        <v>Network Marketing Liderlik Akademisi</v>
      </c>
    </row>
    <row r="3985">
      <c r="A3985" s="140" t="str">
        <f>IFERROR(__xludf.DUMMYFUNCTION("""COMPUTED_VALUE"""),"es")</f>
        <v>es</v>
      </c>
      <c r="B3985">
        <f>IFERROR(__xludf.DUMMYFUNCTION("""COMPUTED_VALUE"""),2797654.0)</f>
        <v>2797654</v>
      </c>
      <c r="C3985" t="str">
        <f>IFERROR(__xludf.DUMMYFUNCTION("""COMPUTED_VALUE"""),"Curso completo de iOS 13 con Swift UI 5.2: de cero a experto")</f>
        <v>Curso completo de iOS 13 con Swift UI 5.2: de cero a experto</v>
      </c>
    </row>
    <row r="3986">
      <c r="A3986" s="140" t="str">
        <f>IFERROR(__xludf.DUMMYFUNCTION("""COMPUTED_VALUE"""),"en")</f>
        <v>en</v>
      </c>
      <c r="B3986">
        <f>IFERROR(__xludf.DUMMYFUNCTION("""COMPUTED_VALUE"""),988908.0)</f>
        <v>988908</v>
      </c>
      <c r="C3986" t="str">
        <f>IFERROR(__xludf.DUMMYFUNCTION("""COMPUTED_VALUE"""),"SAS Programming Advance Certification Course(SAS SQL,Macro)")</f>
        <v>SAS Programming Advance Certification Course(SAS SQL,Macro)</v>
      </c>
    </row>
    <row r="3987">
      <c r="A3987" s="140" t="str">
        <f>IFERROR(__xludf.DUMMYFUNCTION("""COMPUTED_VALUE"""),"en")</f>
        <v>en</v>
      </c>
      <c r="B3987">
        <f>IFERROR(__xludf.DUMMYFUNCTION("""COMPUTED_VALUE"""),698670.0)</f>
        <v>698670</v>
      </c>
      <c r="C3987" t="str">
        <f>IFERROR(__xludf.DUMMYFUNCTION("""COMPUTED_VALUE"""),"Mastering Odoo Development - Technical Fundamentals")</f>
        <v>Mastering Odoo Development - Technical Fundamentals</v>
      </c>
    </row>
    <row r="3988">
      <c r="A3988" s="140" t="str">
        <f>IFERROR(__xludf.DUMMYFUNCTION("""COMPUTED_VALUE"""),"ja")</f>
        <v>ja</v>
      </c>
      <c r="B3988">
        <f>IFERROR(__xludf.DUMMYFUNCTION("""COMPUTED_VALUE"""),2328910.0)</f>
        <v>2328910</v>
      </c>
      <c r="C3988" t="str">
        <f>IFERROR(__xludf.DUMMYFUNCTION("""COMPUTED_VALUE"""),"Unity ゲーム開発：インディーゲームクリエイターが教える C#の基礎からゲームリリースまで【スタジオしまづ】")</f>
        <v>Unity ゲーム開発：インディーゲームクリエイターが教える C#の基礎からゲームリリースまで【スタジオしまづ】</v>
      </c>
    </row>
    <row r="3989">
      <c r="A3989" s="140" t="str">
        <f>IFERROR(__xludf.DUMMYFUNCTION("""COMPUTED_VALUE"""),"de")</f>
        <v>de</v>
      </c>
      <c r="B3989">
        <f>IFERROR(__xludf.DUMMYFUNCTION("""COMPUTED_VALUE"""),3530706.0)</f>
        <v>3530706</v>
      </c>
      <c r="C3989" t="str">
        <f>IFERROR(__xludf.DUMMYFUNCTION("""COMPUTED_VALUE"""),"Die Investieren Masterclass: Aktien, Börse, ETFs, Dividenden")</f>
        <v>Die Investieren Masterclass: Aktien, Börse, ETFs, Dividenden</v>
      </c>
    </row>
    <row r="3990">
      <c r="A3990" s="140" t="str">
        <f>IFERROR(__xludf.DUMMYFUNCTION("""COMPUTED_VALUE"""),"en")</f>
        <v>en</v>
      </c>
      <c r="B3990">
        <f>IFERROR(__xludf.DUMMYFUNCTION("""COMPUTED_VALUE"""),2715328.0)</f>
        <v>2715328</v>
      </c>
      <c r="C3990" t="str">
        <f>IFERROR(__xludf.DUMMYFUNCTION("""COMPUTED_VALUE"""),"An Introduction to Online Quantitative Market Research")</f>
        <v>An Introduction to Online Quantitative Market Research</v>
      </c>
    </row>
    <row r="3991">
      <c r="A3991" s="140" t="str">
        <f>IFERROR(__xludf.DUMMYFUNCTION("""COMPUTED_VALUE"""),"en")</f>
        <v>en</v>
      </c>
      <c r="B3991">
        <f>IFERROR(__xludf.DUMMYFUNCTION("""COMPUTED_VALUE"""),1325114.0)</f>
        <v>1325114</v>
      </c>
      <c r="C3991" t="str">
        <f>IFERROR(__xludf.DUMMYFUNCTION("""COMPUTED_VALUE"""),"Chinese Beginner 1 - Everything in HSK1")</f>
        <v>Chinese Beginner 1 - Everything in HSK1</v>
      </c>
    </row>
    <row r="3992">
      <c r="A3992" s="140" t="str">
        <f>IFERROR(__xludf.DUMMYFUNCTION("""COMPUTED_VALUE"""),"pt")</f>
        <v>pt</v>
      </c>
      <c r="B3992">
        <f>IFERROR(__xludf.DUMMYFUNCTION("""COMPUTED_VALUE"""),3061102.0)</f>
        <v>3061102</v>
      </c>
      <c r="C3992" t="str">
        <f>IFERROR(__xludf.DUMMYFUNCTION("""COMPUTED_VALUE"""),"Formação Especialista em Departamento Pessoal - Completo")</f>
        <v>Formação Especialista em Departamento Pessoal - Completo</v>
      </c>
    </row>
    <row r="3993">
      <c r="A3993" s="140" t="str">
        <f>IFERROR(__xludf.DUMMYFUNCTION("""COMPUTED_VALUE"""),"de")</f>
        <v>de</v>
      </c>
      <c r="B3993">
        <f>IFERROR(__xludf.DUMMYFUNCTION("""COMPUTED_VALUE"""),1700846.0)</f>
        <v>1700846</v>
      </c>
      <c r="C3993" t="str">
        <f>IFERROR(__xludf.DUMMYFUNCTION("""COMPUTED_VALUE"""),"Tableau 10: Visuelle Datenanalyse für die Data Science")</f>
        <v>Tableau 10: Visuelle Datenanalyse für die Data Science</v>
      </c>
    </row>
    <row r="3994">
      <c r="A3994" s="140" t="str">
        <f>IFERROR(__xludf.DUMMYFUNCTION("""COMPUTED_VALUE"""),"en")</f>
        <v>en</v>
      </c>
      <c r="B3994">
        <f>IFERROR(__xludf.DUMMYFUNCTION("""COMPUTED_VALUE"""),1532040.0)</f>
        <v>1532040</v>
      </c>
      <c r="C3994" t="str">
        <f>IFERROR(__xludf.DUMMYFUNCTION("""COMPUTED_VALUE"""),"Productivity Machine: Time Management &amp; Productivity Hacks")</f>
        <v>Productivity Machine: Time Management &amp; Productivity Hacks</v>
      </c>
    </row>
    <row r="3995">
      <c r="A3995" s="140" t="str">
        <f>IFERROR(__xludf.DUMMYFUNCTION("""COMPUTED_VALUE"""),"en")</f>
        <v>en</v>
      </c>
      <c r="B3995">
        <f>IFERROR(__xludf.DUMMYFUNCTION("""COMPUTED_VALUE"""),2251868.0)</f>
        <v>2251868</v>
      </c>
      <c r="C3995" t="str">
        <f>IFERROR(__xludf.DUMMYFUNCTION("""COMPUTED_VALUE"""),"Design Patterns in JavaScript")</f>
        <v>Design Patterns in JavaScript</v>
      </c>
    </row>
    <row r="3996">
      <c r="A3996" s="140" t="str">
        <f>IFERROR(__xludf.DUMMYFUNCTION("""COMPUTED_VALUE"""),"pt")</f>
        <v>pt</v>
      </c>
      <c r="B3996">
        <f>IFERROR(__xludf.DUMMYFUNCTION("""COMPUTED_VALUE"""),1180960.0)</f>
        <v>1180960</v>
      </c>
      <c r="C3996" t="str">
        <f>IFERROR(__xludf.DUMMYFUNCTION("""COMPUTED_VALUE"""),"Gestão Financeira Passo a Passo")</f>
        <v>Gestão Financeira Passo a Passo</v>
      </c>
    </row>
    <row r="3997">
      <c r="A3997" s="140" t="str">
        <f>IFERROR(__xludf.DUMMYFUNCTION("""COMPUTED_VALUE"""),"ja")</f>
        <v>ja</v>
      </c>
      <c r="B3997">
        <f>IFERROR(__xludf.DUMMYFUNCTION("""COMPUTED_VALUE"""),3954142.0)</f>
        <v>3954142</v>
      </c>
      <c r="C3997" t="str">
        <f>IFERROR(__xludf.DUMMYFUNCTION("""COMPUTED_VALUE"""),"【現役VCが教える】スタートアップ経営戦略の教科書（1）～立ち上げ編～")</f>
        <v>【現役VCが教える】スタートアップ経営戦略の教科書（1）～立ち上げ編～</v>
      </c>
    </row>
    <row r="3998">
      <c r="A3998" s="140" t="str">
        <f>IFERROR(__xludf.DUMMYFUNCTION("""COMPUTED_VALUE"""),"en")</f>
        <v>en</v>
      </c>
      <c r="B3998">
        <f>IFERROR(__xludf.DUMMYFUNCTION("""COMPUTED_VALUE"""),995036.0)</f>
        <v>995036</v>
      </c>
      <c r="C3998" t="str">
        <f>IFERROR(__xludf.DUMMYFUNCTION("""COMPUTED_VALUE"""),"Tableau 10 Desktop Training")</f>
        <v>Tableau 10 Desktop Training</v>
      </c>
    </row>
    <row r="3999">
      <c r="A3999" s="140" t="str">
        <f>IFERROR(__xludf.DUMMYFUNCTION("""COMPUTED_VALUE"""),"es")</f>
        <v>es</v>
      </c>
      <c r="B3999">
        <f>IFERROR(__xludf.DUMMYFUNCTION("""COMPUTED_VALUE"""),1521936.0)</f>
        <v>1521936</v>
      </c>
      <c r="C3999" t="str">
        <f>IFERROR(__xludf.DUMMYFUNCTION("""COMPUTED_VALUE"""),"Inteligencia emocional y su efecto en tus destrezas sociales")</f>
        <v>Inteligencia emocional y su efecto en tus destrezas sociales</v>
      </c>
    </row>
    <row r="4000">
      <c r="A4000" s="140" t="str">
        <f>IFERROR(__xludf.DUMMYFUNCTION("""COMPUTED_VALUE"""),"ja")</f>
        <v>ja</v>
      </c>
      <c r="B4000">
        <f>IFERROR(__xludf.DUMMYFUNCTION("""COMPUTED_VALUE"""),1835418.0)</f>
        <v>1835418</v>
      </c>
      <c r="C4000" t="str">
        <f>IFERROR(__xludf.DUMMYFUNCTION("""COMPUTED_VALUE"""),"プロダクトマネジメント入門講座：作るなら最初から世界を目指せ！シリコンバレー流Product Management")</f>
        <v>プロダクトマネジメント入門講座：作るなら最初から世界を目指せ！シリコンバレー流Product Management</v>
      </c>
    </row>
    <row r="4001">
      <c r="A4001" s="140" t="str">
        <f>IFERROR(__xludf.DUMMYFUNCTION("""COMPUTED_VALUE"""),"tr")</f>
        <v>tr</v>
      </c>
      <c r="B4001">
        <f>IFERROR(__xludf.DUMMYFUNCTION("""COMPUTED_VALUE"""),2866860.0)</f>
        <v>2866860</v>
      </c>
      <c r="C4001" t="str">
        <f>IFERROR(__xludf.DUMMYFUNCTION("""COMPUTED_VALUE"""),"Proje Bazlı Temel Arduino ve C Eğitimi")</f>
        <v>Proje Bazlı Temel Arduino ve C Eğitimi</v>
      </c>
    </row>
    <row r="4002">
      <c r="A4002" s="140" t="str">
        <f>IFERROR(__xludf.DUMMYFUNCTION("""COMPUTED_VALUE"""),"en")</f>
        <v>en</v>
      </c>
      <c r="B4002">
        <f>IFERROR(__xludf.DUMMYFUNCTION("""COMPUTED_VALUE"""),1586640.0)</f>
        <v>1586640</v>
      </c>
      <c r="C4002" t="str">
        <f>IFERROR(__xludf.DUMMYFUNCTION("""COMPUTED_VALUE"""),"How to Perform an Express Migration from Exchange to O365")</f>
        <v>How to Perform an Express Migration from Exchange to O365</v>
      </c>
    </row>
    <row r="4003">
      <c r="A4003" s="140" t="str">
        <f>IFERROR(__xludf.DUMMYFUNCTION("""COMPUTED_VALUE"""),"es")</f>
        <v>es</v>
      </c>
      <c r="B4003">
        <f>IFERROR(__xludf.DUMMYFUNCTION("""COMPUTED_VALUE"""),1500502.0)</f>
        <v>1500502</v>
      </c>
      <c r="C4003" t="str">
        <f>IFERROR(__xludf.DUMMYFUNCTION("""COMPUTED_VALUE"""),"Como Encontrar y Eliminar Bloqueos Mentales y Emocionales")</f>
        <v>Como Encontrar y Eliminar Bloqueos Mentales y Emocionales</v>
      </c>
    </row>
    <row r="4004">
      <c r="A4004" s="140" t="str">
        <f>IFERROR(__xludf.DUMMYFUNCTION("""COMPUTED_VALUE"""),"en")</f>
        <v>en</v>
      </c>
      <c r="B4004">
        <f>IFERROR(__xludf.DUMMYFUNCTION("""COMPUTED_VALUE"""),379722.0)</f>
        <v>379722</v>
      </c>
      <c r="C4004" t="str">
        <f>IFERROR(__xludf.DUMMYFUNCTION("""COMPUTED_VALUE"""),"jQuery Crash Course: Learn the Essentials of jQuery Fast")</f>
        <v>jQuery Crash Course: Learn the Essentials of jQuery Fast</v>
      </c>
    </row>
    <row r="4005">
      <c r="A4005" s="140" t="str">
        <f>IFERROR(__xludf.DUMMYFUNCTION("""COMPUTED_VALUE"""),"en")</f>
        <v>en</v>
      </c>
      <c r="B4005">
        <f>IFERROR(__xludf.DUMMYFUNCTION("""COMPUTED_VALUE"""),3569651.0)</f>
        <v>3569651</v>
      </c>
      <c r="C4005" t="str">
        <f>IFERROR(__xludf.DUMMYFUNCTION("""COMPUTED_VALUE"""),"AppSettings and Secrets in ASP.NET Core")</f>
        <v>AppSettings and Secrets in ASP.NET Core</v>
      </c>
    </row>
    <row r="4006">
      <c r="A4006" s="140" t="str">
        <f>IFERROR(__xludf.DUMMYFUNCTION("""COMPUTED_VALUE"""),"en")</f>
        <v>en</v>
      </c>
      <c r="B4006">
        <f>IFERROR(__xludf.DUMMYFUNCTION("""COMPUTED_VALUE"""),524990.0)</f>
        <v>524990</v>
      </c>
      <c r="C4006" t="str">
        <f>IFERROR(__xludf.DUMMYFUNCTION("""COMPUTED_VALUE"""),"Software Architecture (SOLID) &amp; Design Patterns in Java")</f>
        <v>Software Architecture (SOLID) &amp; Design Patterns in Java</v>
      </c>
    </row>
    <row r="4007">
      <c r="A4007" s="140" t="str">
        <f>IFERROR(__xludf.DUMMYFUNCTION("""COMPUTED_VALUE"""),"en")</f>
        <v>en</v>
      </c>
      <c r="B4007">
        <f>IFERROR(__xludf.DUMMYFUNCTION("""COMPUTED_VALUE"""),3704154.0)</f>
        <v>3704154</v>
      </c>
      <c r="C4007" t="str">
        <f>IFERROR(__xludf.DUMMYFUNCTION("""COMPUTED_VALUE"""),"Resilience Leadership")</f>
        <v>Resilience Leadership</v>
      </c>
    </row>
    <row r="4008">
      <c r="A4008" s="140" t="str">
        <f>IFERROR(__xludf.DUMMYFUNCTION("""COMPUTED_VALUE"""),"ja")</f>
        <v>ja</v>
      </c>
      <c r="B4008">
        <f>IFERROR(__xludf.DUMMYFUNCTION("""COMPUTED_VALUE"""),4174796.0)</f>
        <v>4174796</v>
      </c>
      <c r="C4008" t="str">
        <f>IFERROR(__xludf.DUMMYFUNCTION("""COMPUTED_VALUE"""),"【11/1更新】ミニアニメで解説！ やさしい「業務効率化」入門")</f>
        <v>【11/1更新】ミニアニメで解説！ やさしい「業務効率化」入門</v>
      </c>
    </row>
    <row r="4009">
      <c r="A4009" s="140" t="str">
        <f>IFERROR(__xludf.DUMMYFUNCTION("""COMPUTED_VALUE"""),"es")</f>
        <v>es</v>
      </c>
      <c r="B4009">
        <f>IFERROR(__xludf.DUMMYFUNCTION("""COMPUTED_VALUE"""),1659962.0)</f>
        <v>1659962</v>
      </c>
      <c r="C4009" t="str">
        <f>IFERROR(__xludf.DUMMYFUNCTION("""COMPUTED_VALUE"""),"Curso de Apps Web Progresivas PWA y Responsive + Angular PWA")</f>
        <v>Curso de Apps Web Progresivas PWA y Responsive + Angular PWA</v>
      </c>
    </row>
    <row r="4010">
      <c r="A4010" s="140" t="str">
        <f>IFERROR(__xludf.DUMMYFUNCTION("""COMPUTED_VALUE"""),"zh")</f>
        <v>zh</v>
      </c>
      <c r="B4010">
        <f>IFERROR(__xludf.DUMMYFUNCTION("""COMPUTED_VALUE"""),2499482.0)</f>
        <v>2499482</v>
      </c>
      <c r="C4010" t="str">
        <f>IFERROR(__xludf.DUMMYFUNCTION("""COMPUTED_VALUE"""),"MyBatis 快速入门教程")</f>
        <v>MyBatis 快速入门教程</v>
      </c>
    </row>
    <row r="4011">
      <c r="A4011" s="140" t="str">
        <f>IFERROR(__xludf.DUMMYFUNCTION("""COMPUTED_VALUE"""),"en")</f>
        <v>en</v>
      </c>
      <c r="B4011">
        <f>IFERROR(__xludf.DUMMYFUNCTION("""COMPUTED_VALUE"""),856992.0)</f>
        <v>856992</v>
      </c>
      <c r="C4011" t="str">
        <f>IFERROR(__xludf.DUMMYFUNCTION("""COMPUTED_VALUE"""),"PMI-ACP Agile Certified Exam Prep - 21 PDUs")</f>
        <v>PMI-ACP Agile Certified Exam Prep - 21 PDUs</v>
      </c>
    </row>
    <row r="4012">
      <c r="A4012" s="140" t="str">
        <f>IFERROR(__xludf.DUMMYFUNCTION("""COMPUTED_VALUE"""),"en")</f>
        <v>en</v>
      </c>
      <c r="B4012">
        <f>IFERROR(__xludf.DUMMYFUNCTION("""COMPUTED_VALUE"""),4008228.0)</f>
        <v>4008228</v>
      </c>
      <c r="C4012" t="str">
        <f>IFERROR(__xludf.DUMMYFUNCTION("""COMPUTED_VALUE"""),"GCP for Beginners - Become a Google Cloud Digital Leader")</f>
        <v>GCP for Beginners - Become a Google Cloud Digital Leader</v>
      </c>
    </row>
    <row r="4013">
      <c r="A4013" s="140" t="str">
        <f>IFERROR(__xludf.DUMMYFUNCTION("""COMPUTED_VALUE"""),"en")</f>
        <v>en</v>
      </c>
      <c r="B4013">
        <f>IFERROR(__xludf.DUMMYFUNCTION("""COMPUTED_VALUE"""),34268.0)</f>
        <v>34268</v>
      </c>
      <c r="C4013" t="str">
        <f>IFERROR(__xludf.DUMMYFUNCTION("""COMPUTED_VALUE"""),"QMS Auditor / Lead Auditor Course")</f>
        <v>QMS Auditor / Lead Auditor Course</v>
      </c>
    </row>
    <row r="4014">
      <c r="A4014" s="140" t="str">
        <f>IFERROR(__xludf.DUMMYFUNCTION("""COMPUTED_VALUE"""),"en")</f>
        <v>en</v>
      </c>
      <c r="B4014">
        <f>IFERROR(__xludf.DUMMYFUNCTION("""COMPUTED_VALUE"""),3184234.0)</f>
        <v>3184234</v>
      </c>
      <c r="C4014" t="str">
        <f>IFERROR(__xludf.DUMMYFUNCTION("""COMPUTED_VALUE"""),"Getting Started with HashiCorp Consul 2021")</f>
        <v>Getting Started with HashiCorp Consul 2021</v>
      </c>
    </row>
    <row r="4015">
      <c r="A4015" s="140" t="str">
        <f>IFERROR(__xludf.DUMMYFUNCTION("""COMPUTED_VALUE"""),"en")</f>
        <v>en</v>
      </c>
      <c r="B4015">
        <f>IFERROR(__xludf.DUMMYFUNCTION("""COMPUTED_VALUE"""),1701332.0)</f>
        <v>1701332</v>
      </c>
      <c r="C4015" t="str">
        <f>IFERROR(__xludf.DUMMYFUNCTION("""COMPUTED_VALUE"""),"Learn Redis And Use Jedis With Spring Data Redis")</f>
        <v>Learn Redis And Use Jedis With Spring Data Redis</v>
      </c>
    </row>
    <row r="4016">
      <c r="A4016" s="140" t="str">
        <f>IFERROR(__xludf.DUMMYFUNCTION("""COMPUTED_VALUE"""),"en")</f>
        <v>en</v>
      </c>
      <c r="B4016">
        <f>IFERROR(__xludf.DUMMYFUNCTION("""COMPUTED_VALUE"""),2412206.0)</f>
        <v>2412206</v>
      </c>
      <c r="C4016" t="str">
        <f>IFERROR(__xludf.DUMMYFUNCTION("""COMPUTED_VALUE"""),"Unconscious Bias: Fuel Diversity and Become a Better You")</f>
        <v>Unconscious Bias: Fuel Diversity and Become a Better You</v>
      </c>
    </row>
    <row r="4017">
      <c r="A4017" s="140" t="str">
        <f>IFERROR(__xludf.DUMMYFUNCTION("""COMPUTED_VALUE"""),"en")</f>
        <v>en</v>
      </c>
      <c r="B4017">
        <f>IFERROR(__xludf.DUMMYFUNCTION("""COMPUTED_VALUE"""),1789766.0)</f>
        <v>1789766</v>
      </c>
      <c r="C4017" t="str">
        <f>IFERROR(__xludf.DUMMYFUNCTION("""COMPUTED_VALUE"""),"TOTAL: CompTIA Network+ Cert. (N10-007) Practice Tests.")</f>
        <v>TOTAL: CompTIA Network+ Cert. (N10-007) Practice Tests.</v>
      </c>
    </row>
    <row r="4018">
      <c r="A4018" s="140" t="str">
        <f>IFERROR(__xludf.DUMMYFUNCTION("""COMPUTED_VALUE"""),"en")</f>
        <v>en</v>
      </c>
      <c r="B4018">
        <f>IFERROR(__xludf.DUMMYFUNCTION("""COMPUTED_VALUE"""),2577850.0)</f>
        <v>2577850</v>
      </c>
      <c r="C4018" t="str">
        <f>IFERROR(__xludf.DUMMYFUNCTION("""COMPUTED_VALUE"""),"Advanced ESP32")</f>
        <v>Advanced ESP32</v>
      </c>
    </row>
    <row r="4019">
      <c r="A4019" s="140" t="str">
        <f>IFERROR(__xludf.DUMMYFUNCTION("""COMPUTED_VALUE"""),"en")</f>
        <v>en</v>
      </c>
      <c r="B4019">
        <f>IFERROR(__xludf.DUMMYFUNCTION("""COMPUTED_VALUE"""),2636700.0)</f>
        <v>2636700</v>
      </c>
      <c r="C4019" t="str">
        <f>IFERROR(__xludf.DUMMYFUNCTION("""COMPUTED_VALUE"""),"Securing Networks with Cisco Umbrella")</f>
        <v>Securing Networks with Cisco Umbrella</v>
      </c>
    </row>
    <row r="4020">
      <c r="A4020" s="140" t="str">
        <f>IFERROR(__xludf.DUMMYFUNCTION("""COMPUTED_VALUE"""),"en")</f>
        <v>en</v>
      </c>
      <c r="B4020">
        <f>IFERROR(__xludf.DUMMYFUNCTION("""COMPUTED_VALUE"""),2392780.0)</f>
        <v>2392780</v>
      </c>
      <c r="C4020" t="str">
        <f>IFERROR(__xludf.DUMMYFUNCTION("""COMPUTED_VALUE"""),"Cumulus Linux from Basics to Advanced VXLAN EVPN - 2020")</f>
        <v>Cumulus Linux from Basics to Advanced VXLAN EVPN - 2020</v>
      </c>
    </row>
    <row r="4021">
      <c r="A4021" s="140" t="str">
        <f>IFERROR(__xludf.DUMMYFUNCTION("""COMPUTED_VALUE"""),"en")</f>
        <v>en</v>
      </c>
      <c r="B4021">
        <f>IFERROR(__xludf.DUMMYFUNCTION("""COMPUTED_VALUE"""),315816.0)</f>
        <v>315816</v>
      </c>
      <c r="C4021" t="str">
        <f>IFERROR(__xludf.DUMMYFUNCTION("""COMPUTED_VALUE"""),"Learn &amp; Master Sign Language")</f>
        <v>Learn &amp; Master Sign Language</v>
      </c>
    </row>
    <row r="4022">
      <c r="A4022" s="140" t="str">
        <f>IFERROR(__xludf.DUMMYFUNCTION("""COMPUTED_VALUE"""),"en")</f>
        <v>en</v>
      </c>
      <c r="B4022">
        <f>IFERROR(__xludf.DUMMYFUNCTION("""COMPUTED_VALUE"""),3632400.0)</f>
        <v>3632400</v>
      </c>
      <c r="C4022" t="str">
        <f>IFERROR(__xludf.DUMMYFUNCTION("""COMPUTED_VALUE"""),"Microsoft PowerApps crash course - from UI to Integration")</f>
        <v>Microsoft PowerApps crash course - from UI to Integration</v>
      </c>
    </row>
    <row r="4023">
      <c r="A4023" s="140" t="str">
        <f>IFERROR(__xludf.DUMMYFUNCTION("""COMPUTED_VALUE"""),"en")</f>
        <v>en</v>
      </c>
      <c r="B4023">
        <f>IFERROR(__xludf.DUMMYFUNCTION("""COMPUTED_VALUE"""),1419190.0)</f>
        <v>1419190</v>
      </c>
      <c r="C4023" t="str">
        <f>IFERROR(__xludf.DUMMYFUNCTION("""COMPUTED_VALUE"""),"Ethical Hacking Course:  Protect Yourself From Being Hacked")</f>
        <v>Ethical Hacking Course:  Protect Yourself From Being Hacked</v>
      </c>
    </row>
    <row r="4024">
      <c r="A4024" s="140" t="str">
        <f>IFERROR(__xludf.DUMMYFUNCTION("""COMPUTED_VALUE"""),"fr")</f>
        <v>fr</v>
      </c>
      <c r="B4024">
        <f>IFERROR(__xludf.DUMMYFUNCTION("""COMPUTED_VALUE"""),1311566.0)</f>
        <v>1311566</v>
      </c>
      <c r="C4024" t="str">
        <f>IFERROR(__xludf.DUMMYFUNCTION("""COMPUTED_VALUE"""),"Introduction à Kubernetes")</f>
        <v>Introduction à Kubernetes</v>
      </c>
    </row>
    <row r="4025">
      <c r="A4025" s="140" t="str">
        <f>IFERROR(__xludf.DUMMYFUNCTION("""COMPUTED_VALUE"""),"en")</f>
        <v>en</v>
      </c>
      <c r="B4025">
        <f>IFERROR(__xludf.DUMMYFUNCTION("""COMPUTED_VALUE"""),3782254.0)</f>
        <v>3782254</v>
      </c>
      <c r="C4025" t="str">
        <f>IFERROR(__xludf.DUMMYFUNCTION("""COMPUTED_VALUE"""),"Create a Third-Person Player Character Controller")</f>
        <v>Create a Third-Person Player Character Controller</v>
      </c>
    </row>
    <row r="4026">
      <c r="A4026" s="140" t="str">
        <f>IFERROR(__xludf.DUMMYFUNCTION("""COMPUTED_VALUE"""),"en")</f>
        <v>en</v>
      </c>
      <c r="B4026">
        <f>IFERROR(__xludf.DUMMYFUNCTION("""COMPUTED_VALUE"""),386242.0)</f>
        <v>386242</v>
      </c>
      <c r="C4026" t="str">
        <f>IFERROR(__xludf.DUMMYFUNCTION("""COMPUTED_VALUE"""),"Software testing and Automation of APIs with UFT/QTP")</f>
        <v>Software testing and Automation of APIs with UFT/QTP</v>
      </c>
    </row>
    <row r="4027">
      <c r="A4027" s="140" t="str">
        <f>IFERROR(__xludf.DUMMYFUNCTION("""COMPUTED_VALUE"""),"en")</f>
        <v>en</v>
      </c>
      <c r="B4027">
        <f>IFERROR(__xludf.DUMMYFUNCTION("""COMPUTED_VALUE"""),444504.0)</f>
        <v>444504</v>
      </c>
      <c r="C4027" t="str">
        <f>IFERROR(__xludf.DUMMYFUNCTION("""COMPUTED_VALUE"""),"Rapid Prototyping for Entrepreneurs| Build a Demo in 2 hours")</f>
        <v>Rapid Prototyping for Entrepreneurs| Build a Demo in 2 hours</v>
      </c>
    </row>
    <row r="4028">
      <c r="A4028" s="140" t="str">
        <f>IFERROR(__xludf.DUMMYFUNCTION("""COMPUTED_VALUE"""),"fr")</f>
        <v>fr</v>
      </c>
      <c r="B4028">
        <f>IFERROR(__xludf.DUMMYFUNCTION("""COMPUTED_VALUE"""),1659158.0)</f>
        <v>1659158</v>
      </c>
      <c r="C4028" t="str">
        <f>IFERROR(__xludf.DUMMYFUNCTION("""COMPUTED_VALUE"""),"Doublez votre confiance et votre estime de vous-même")</f>
        <v>Doublez votre confiance et votre estime de vous-même</v>
      </c>
    </row>
    <row r="4029">
      <c r="A4029" s="140" t="str">
        <f>IFERROR(__xludf.DUMMYFUNCTION("""COMPUTED_VALUE"""),"pt")</f>
        <v>pt</v>
      </c>
      <c r="B4029">
        <f>IFERROR(__xludf.DUMMYFUNCTION("""COMPUTED_VALUE"""),1225734.0)</f>
        <v>1225734</v>
      </c>
      <c r="C4029" t="str">
        <f>IFERROR(__xludf.DUMMYFUNCTION("""COMPUTED_VALUE"""),"Formação Cientista de Dados com Python e R [2021]")</f>
        <v>Formação Cientista de Dados com Python e R [2021]</v>
      </c>
    </row>
    <row r="4030">
      <c r="A4030" s="140" t="str">
        <f>IFERROR(__xludf.DUMMYFUNCTION("""COMPUTED_VALUE"""),"en")</f>
        <v>en</v>
      </c>
      <c r="B4030">
        <f>IFERROR(__xludf.DUMMYFUNCTION("""COMPUTED_VALUE"""),1627590.0)</f>
        <v>1627590</v>
      </c>
      <c r="C4030" t="str">
        <f>IFERROR(__xludf.DUMMYFUNCTION("""COMPUTED_VALUE"""),"ISO 45001. Occupational Health &amp; Safety management system")</f>
        <v>ISO 45001. Occupational Health &amp; Safety management system</v>
      </c>
    </row>
    <row r="4031">
      <c r="A4031" s="140" t="str">
        <f>IFERROR(__xludf.DUMMYFUNCTION("""COMPUTED_VALUE"""),"en")</f>
        <v>en</v>
      </c>
      <c r="B4031">
        <f>IFERROR(__xludf.DUMMYFUNCTION("""COMPUTED_VALUE"""),2591190.0)</f>
        <v>2591190</v>
      </c>
      <c r="C4031" t="str">
        <f>IFERROR(__xludf.DUMMYFUNCTION("""COMPUTED_VALUE"""),"User Story Masterclass: Your Agile Guide to User Stories")</f>
        <v>User Story Masterclass: Your Agile Guide to User Stories</v>
      </c>
    </row>
    <row r="4032">
      <c r="A4032" s="140" t="str">
        <f>IFERROR(__xludf.DUMMYFUNCTION("""COMPUTED_VALUE"""),"tr")</f>
        <v>tr</v>
      </c>
      <c r="B4032">
        <f>IFERROR(__xludf.DUMMYFUNCTION("""COMPUTED_VALUE"""),3686466.0)</f>
        <v>3686466</v>
      </c>
      <c r="C4032" t="str">
        <f>IFERROR(__xludf.DUMMYFUNCTION("""COMPUTED_VALUE"""),"Adobe After Effects Motion Graphics, Animasyon, Compositing")</f>
        <v>Adobe After Effects Motion Graphics, Animasyon, Compositing</v>
      </c>
    </row>
    <row r="4033">
      <c r="A4033" s="140" t="str">
        <f>IFERROR(__xludf.DUMMYFUNCTION("""COMPUTED_VALUE"""),"en")</f>
        <v>en</v>
      </c>
      <c r="B4033">
        <f>IFERROR(__xludf.DUMMYFUNCTION("""COMPUTED_VALUE"""),1357236.0)</f>
        <v>1357236</v>
      </c>
      <c r="C4033" t="str">
        <f>IFERROR(__xludf.DUMMYFUNCTION("""COMPUTED_VALUE"""),"Administrating Red Hat Enterprise Linux (EL)")</f>
        <v>Administrating Red Hat Enterprise Linux (EL)</v>
      </c>
    </row>
    <row r="4034">
      <c r="A4034" s="140" t="str">
        <f>IFERROR(__xludf.DUMMYFUNCTION("""COMPUTED_VALUE"""),"es")</f>
        <v>es</v>
      </c>
      <c r="B4034">
        <f>IFERROR(__xludf.DUMMYFUNCTION("""COMPUTED_VALUE"""),2560438.0)</f>
        <v>2560438</v>
      </c>
      <c r="C4034" t="str">
        <f>IFERROR(__xludf.DUMMYFUNCTION("""COMPUTED_VALUE"""),"Spanish for beginners. Learn Spanish language. Level 1.")</f>
        <v>Spanish for beginners. Learn Spanish language. Level 1.</v>
      </c>
    </row>
    <row r="4035">
      <c r="A4035" s="140" t="str">
        <f>IFERROR(__xludf.DUMMYFUNCTION("""COMPUTED_VALUE"""),"en")</f>
        <v>en</v>
      </c>
      <c r="B4035">
        <f>IFERROR(__xludf.DUMMYFUNCTION("""COMPUTED_VALUE"""),1322060.0)</f>
        <v>1322060</v>
      </c>
      <c r="C4035" t="str">
        <f>IFERROR(__xludf.DUMMYFUNCTION("""COMPUTED_VALUE"""),"Advanced Excel Power Query-M language, troubleshoot, Pattern")</f>
        <v>Advanced Excel Power Query-M language, troubleshoot, Pattern</v>
      </c>
    </row>
    <row r="4036">
      <c r="A4036" s="140" t="str">
        <f>IFERROR(__xludf.DUMMYFUNCTION("""COMPUTED_VALUE"""),"pt")</f>
        <v>pt</v>
      </c>
      <c r="B4036">
        <f>IFERROR(__xludf.DUMMYFUNCTION("""COMPUTED_VALUE"""),2188320.0)</f>
        <v>2188320</v>
      </c>
      <c r="C4036" t="str">
        <f>IFERROR(__xludf.DUMMYFUNCTION("""COMPUTED_VALUE"""),"Python: Do básico à Integral e Derivada")</f>
        <v>Python: Do básico à Integral e Derivada</v>
      </c>
    </row>
    <row r="4037">
      <c r="A4037" s="140" t="str">
        <f>IFERROR(__xludf.DUMMYFUNCTION("""COMPUTED_VALUE"""),"en")</f>
        <v>en</v>
      </c>
      <c r="B4037">
        <f>IFERROR(__xludf.DUMMYFUNCTION("""COMPUTED_VALUE"""),1627198.0)</f>
        <v>1627198</v>
      </c>
      <c r="C4037" t="str">
        <f>IFERROR(__xludf.DUMMYFUNCTION("""COMPUTED_VALUE"""),"Deep Dive - ASP.NET WebForms")</f>
        <v>Deep Dive - ASP.NET WebForms</v>
      </c>
    </row>
    <row r="4038">
      <c r="A4038" s="140" t="str">
        <f>IFERROR(__xludf.DUMMYFUNCTION("""COMPUTED_VALUE"""),"tr")</f>
        <v>tr</v>
      </c>
      <c r="B4038">
        <f>IFERROR(__xludf.DUMMYFUNCTION("""COMPUTED_VALUE"""),3514320.0)</f>
        <v>3514320</v>
      </c>
      <c r="C4038" t="str">
        <f>IFERROR(__xludf.DUMMYFUNCTION("""COMPUTED_VALUE"""),"Flutter ile Mobil Uygulama Geliştirme")</f>
        <v>Flutter ile Mobil Uygulama Geliştirme</v>
      </c>
    </row>
    <row r="4039">
      <c r="A4039" s="140" t="str">
        <f>IFERROR(__xludf.DUMMYFUNCTION("""COMPUTED_VALUE"""),"pt")</f>
        <v>pt</v>
      </c>
      <c r="B4039">
        <f>IFERROR(__xludf.DUMMYFUNCTION("""COMPUTED_VALUE"""),2981572.0)</f>
        <v>2981572</v>
      </c>
      <c r="C4039" t="str">
        <f>IFERROR(__xludf.DUMMYFUNCTION("""COMPUTED_VALUE"""),"Crie aplicativos multiplataforma com Flutter")</f>
        <v>Crie aplicativos multiplataforma com Flutter</v>
      </c>
    </row>
    <row r="4040">
      <c r="A4040" s="140" t="str">
        <f>IFERROR(__xludf.DUMMYFUNCTION("""COMPUTED_VALUE"""),"en")</f>
        <v>en</v>
      </c>
      <c r="B4040">
        <f>IFERROR(__xludf.DUMMYFUNCTION("""COMPUTED_VALUE"""),1242944.0)</f>
        <v>1242944</v>
      </c>
      <c r="C4040" t="str">
        <f>IFERROR(__xludf.DUMMYFUNCTION("""COMPUTED_VALUE"""),"Data Analysis Essentials Using Excel")</f>
        <v>Data Analysis Essentials Using Excel</v>
      </c>
    </row>
    <row r="4041">
      <c r="A4041" s="140" t="str">
        <f>IFERROR(__xludf.DUMMYFUNCTION("""COMPUTED_VALUE"""),"en")</f>
        <v>en</v>
      </c>
      <c r="B4041">
        <f>IFERROR(__xludf.DUMMYFUNCTION("""COMPUTED_VALUE"""),1945750.0)</f>
        <v>1945750</v>
      </c>
      <c r="C4041" t="str">
        <f>IFERROR(__xludf.DUMMYFUNCTION("""COMPUTED_VALUE"""),"GDPR Privacy Data Protection CASE STUDIES (CIPT,CIPM, CIPP)")</f>
        <v>GDPR Privacy Data Protection CASE STUDIES (CIPT,CIPM, CIPP)</v>
      </c>
    </row>
    <row r="4042">
      <c r="A4042" s="140" t="str">
        <f>IFERROR(__xludf.DUMMYFUNCTION("""COMPUTED_VALUE"""),"tr")</f>
        <v>tr</v>
      </c>
      <c r="B4042">
        <f>IFERROR(__xludf.DUMMYFUNCTION("""COMPUTED_VALUE"""),3021472.0)</f>
        <v>3021472</v>
      </c>
      <c r="C4042" t="str">
        <f>IFERROR(__xludf.DUMMYFUNCTION("""COMPUTED_VALUE"""),"ASP.NET MVC5 GİRİŞ- WEB UYGULAMA (E-TİCARET SİTESİ) GELİŞTİR")</f>
        <v>ASP.NET MVC5 GİRİŞ- WEB UYGULAMA (E-TİCARET SİTESİ) GELİŞTİR</v>
      </c>
    </row>
    <row r="4043">
      <c r="A4043" s="140" t="str">
        <f>IFERROR(__xludf.DUMMYFUNCTION("""COMPUTED_VALUE"""),"tr")</f>
        <v>tr</v>
      </c>
      <c r="B4043">
        <f>IFERROR(__xludf.DUMMYFUNCTION("""COMPUTED_VALUE"""),2792872.0)</f>
        <v>2792872</v>
      </c>
      <c r="C4043" t="str">
        <f>IFERROR(__xludf.DUMMYFUNCTION("""COMPUTED_VALUE"""),"Oracle SQL'i Sıfırdan İleri Seviyeye Tüm Yönleriyle Öğrenin")</f>
        <v>Oracle SQL'i Sıfırdan İleri Seviyeye Tüm Yönleriyle Öğrenin</v>
      </c>
    </row>
    <row r="4044">
      <c r="A4044" s="140" t="str">
        <f>IFERROR(__xludf.DUMMYFUNCTION("""COMPUTED_VALUE"""),"en")</f>
        <v>en</v>
      </c>
      <c r="B4044">
        <f>IFERROR(__xludf.DUMMYFUNCTION("""COMPUTED_VALUE"""),348146.0)</f>
        <v>348146</v>
      </c>
      <c r="C4044" t="str">
        <f>IFERROR(__xludf.DUMMYFUNCTION("""COMPUTED_VALUE"""),"Photoshop Beginners Mastery: Zero to Hero in Photoshop")</f>
        <v>Photoshop Beginners Mastery: Zero to Hero in Photoshop</v>
      </c>
    </row>
    <row r="4045">
      <c r="A4045" s="140" t="str">
        <f>IFERROR(__xludf.DUMMYFUNCTION("""COMPUTED_VALUE"""),"en")</f>
        <v>en</v>
      </c>
      <c r="B4045">
        <f>IFERROR(__xludf.DUMMYFUNCTION("""COMPUTED_VALUE"""),1360446.0)</f>
        <v>1360446</v>
      </c>
      <c r="C4045" t="str">
        <f>IFERROR(__xludf.DUMMYFUNCTION("""COMPUTED_VALUE"""),"AWS Certified Cloud Practitioner 2021")</f>
        <v>AWS Certified Cloud Practitioner 2021</v>
      </c>
    </row>
    <row r="4046">
      <c r="A4046" s="140" t="str">
        <f>IFERROR(__xludf.DUMMYFUNCTION("""COMPUTED_VALUE"""),"en")</f>
        <v>en</v>
      </c>
      <c r="B4046">
        <f>IFERROR(__xludf.DUMMYFUNCTION("""COMPUTED_VALUE"""),4292750.0)</f>
        <v>4292750</v>
      </c>
      <c r="C4046" t="str">
        <f>IFERROR(__xludf.DUMMYFUNCTION("""COMPUTED_VALUE"""),"Advanced React Testing: Redux Saga and React Router")</f>
        <v>Advanced React Testing: Redux Saga and React Router</v>
      </c>
    </row>
    <row r="4047">
      <c r="A4047" s="140" t="str">
        <f>IFERROR(__xludf.DUMMYFUNCTION("""COMPUTED_VALUE"""),"en")</f>
        <v>en</v>
      </c>
      <c r="B4047">
        <f>IFERROR(__xludf.DUMMYFUNCTION("""COMPUTED_VALUE"""),1144726.0)</f>
        <v>1144726</v>
      </c>
      <c r="C4047" t="str">
        <f>IFERROR(__xludf.DUMMYFUNCTION("""COMPUTED_VALUE"""),"Build a Real-world App with ASP.NET Core and Angular 2 (4+)")</f>
        <v>Build a Real-world App with ASP.NET Core and Angular 2 (4+)</v>
      </c>
    </row>
    <row r="4048">
      <c r="A4048" s="140" t="str">
        <f>IFERROR(__xludf.DUMMYFUNCTION("""COMPUTED_VALUE"""),"es")</f>
        <v>es</v>
      </c>
      <c r="B4048">
        <f>IFERROR(__xludf.DUMMYFUNCTION("""COMPUTED_VALUE"""),4327018.0)</f>
        <v>4327018</v>
      </c>
      <c r="C4048" t="str">
        <f>IFERROR(__xludf.DUMMYFUNCTION("""COMPUTED_VALUE"""),"Certifícate en AWS Cloud Practitioner Examen CLF-C01 2º Edic")</f>
        <v>Certifícate en AWS Cloud Practitioner Examen CLF-C01 2º Edic</v>
      </c>
    </row>
    <row r="4049">
      <c r="A4049" s="140" t="str">
        <f>IFERROR(__xludf.DUMMYFUNCTION("""COMPUTED_VALUE"""),"pt")</f>
        <v>pt</v>
      </c>
      <c r="B4049">
        <f>IFERROR(__xludf.DUMMYFUNCTION("""COMPUTED_VALUE"""),3584098.0)</f>
        <v>3584098</v>
      </c>
      <c r="C4049" t="str">
        <f>IFERROR(__xludf.DUMMYFUNCTION("""COMPUTED_VALUE"""),"Análise de Dados e Negócios com Microsoft Excel 2019")</f>
        <v>Análise de Dados e Negócios com Microsoft Excel 2019</v>
      </c>
    </row>
    <row r="4050">
      <c r="A4050" s="140" t="str">
        <f>IFERROR(__xludf.DUMMYFUNCTION("""COMPUTED_VALUE"""),"fr")</f>
        <v>fr</v>
      </c>
      <c r="B4050">
        <f>IFERROR(__xludf.DUMMYFUNCTION("""COMPUTED_VALUE"""),3911068.0)</f>
        <v>3911068</v>
      </c>
      <c r="C4050" t="str">
        <f>IFERROR(__xludf.DUMMYFUNCTION("""COMPUTED_VALUE"""),"TailwindCSS 2 par la pratique - 2021")</f>
        <v>TailwindCSS 2 par la pratique - 2021</v>
      </c>
    </row>
    <row r="4051">
      <c r="A4051" s="140" t="str">
        <f>IFERROR(__xludf.DUMMYFUNCTION("""COMPUTED_VALUE"""),"en")</f>
        <v>en</v>
      </c>
      <c r="B4051">
        <f>IFERROR(__xludf.DUMMYFUNCTION("""COMPUTED_VALUE"""),3063576.0)</f>
        <v>3063576</v>
      </c>
      <c r="C4051" t="str">
        <f>IFERROR(__xludf.DUMMYFUNCTION("""COMPUTED_VALUE"""),"The Complete Guide to Bot Creation")</f>
        <v>The Complete Guide to Bot Creation</v>
      </c>
    </row>
    <row r="4052">
      <c r="A4052" s="140" t="str">
        <f>IFERROR(__xludf.DUMMYFUNCTION("""COMPUTED_VALUE"""),"en")</f>
        <v>en</v>
      </c>
      <c r="B4052">
        <f>IFERROR(__xludf.DUMMYFUNCTION("""COMPUTED_VALUE"""),1672410.0)</f>
        <v>1672410</v>
      </c>
      <c r="C4052" t="str">
        <f>IFERROR(__xludf.DUMMYFUNCTION("""COMPUTED_VALUE"""),"Node.js, Express, MongoDB &amp; More: The Complete Bootcamp 2022")</f>
        <v>Node.js, Express, MongoDB &amp; More: The Complete Bootcamp 2022</v>
      </c>
    </row>
    <row r="4053">
      <c r="A4053" s="140" t="str">
        <f>IFERROR(__xludf.DUMMYFUNCTION("""COMPUTED_VALUE"""),"es")</f>
        <v>es</v>
      </c>
      <c r="B4053">
        <f>IFERROR(__xludf.DUMMYFUNCTION("""COMPUTED_VALUE"""),2542497.0)</f>
        <v>2542497</v>
      </c>
      <c r="C4053" t="str">
        <f>IFERROR(__xludf.DUMMYFUNCTION("""COMPUTED_VALUE"""),"Aprende a publicar cualquier web en Internet (Hosting y VPS)")</f>
        <v>Aprende a publicar cualquier web en Internet (Hosting y VPS)</v>
      </c>
    </row>
    <row r="4054">
      <c r="A4054" s="140" t="str">
        <f>IFERROR(__xludf.DUMMYFUNCTION("""COMPUTED_VALUE"""),"en")</f>
        <v>en</v>
      </c>
      <c r="B4054">
        <f>IFERROR(__xludf.DUMMYFUNCTION("""COMPUTED_VALUE"""),1196522.0)</f>
        <v>1196522</v>
      </c>
      <c r="C4054" t="str">
        <f>IFERROR(__xludf.DUMMYFUNCTION("""COMPUTED_VALUE"""),"How To Build A Brand On Social Media!")</f>
        <v>How To Build A Brand On Social Media!</v>
      </c>
    </row>
    <row r="4055">
      <c r="A4055" s="140" t="str">
        <f>IFERROR(__xludf.DUMMYFUNCTION("""COMPUTED_VALUE"""),"en")</f>
        <v>en</v>
      </c>
      <c r="B4055">
        <f>IFERROR(__xludf.DUMMYFUNCTION("""COMPUTED_VALUE"""),1684294.0)</f>
        <v>1684294</v>
      </c>
      <c r="C4055" t="str">
        <f>IFERROR(__xludf.DUMMYFUNCTION("""COMPUTED_VALUE"""),"Learn to A/B test like a professional")</f>
        <v>Learn to A/B test like a professional</v>
      </c>
    </row>
    <row r="4056">
      <c r="A4056" s="140" t="str">
        <f>IFERROR(__xludf.DUMMYFUNCTION("""COMPUTED_VALUE"""),"en")</f>
        <v>en</v>
      </c>
      <c r="B4056">
        <f>IFERROR(__xludf.DUMMYFUNCTION("""COMPUTED_VALUE"""),540270.0)</f>
        <v>540270</v>
      </c>
      <c r="C4056" t="str">
        <f>IFERROR(__xludf.DUMMYFUNCTION("""COMPUTED_VALUE"""),"Taming Big Data with MapReduce and Hadoop - Hands On!")</f>
        <v>Taming Big Data with MapReduce and Hadoop - Hands On!</v>
      </c>
    </row>
    <row r="4057">
      <c r="A4057" s="140" t="str">
        <f>IFERROR(__xludf.DUMMYFUNCTION("""COMPUTED_VALUE"""),"en")</f>
        <v>en</v>
      </c>
      <c r="B4057">
        <f>IFERROR(__xludf.DUMMYFUNCTION("""COMPUTED_VALUE"""),4059358.0)</f>
        <v>4059358</v>
      </c>
      <c r="C4057" t="str">
        <f>IFERROR(__xludf.DUMMYFUNCTION("""COMPUTED_VALUE"""),"React Query: Server State Management in React")</f>
        <v>React Query: Server State Management in React</v>
      </c>
    </row>
    <row r="4058">
      <c r="A4058" s="140" t="str">
        <f>IFERROR(__xludf.DUMMYFUNCTION("""COMPUTED_VALUE"""),"en")</f>
        <v>en</v>
      </c>
      <c r="B4058">
        <f>IFERROR(__xludf.DUMMYFUNCTION("""COMPUTED_VALUE"""),3142166.0)</f>
        <v>3142166</v>
      </c>
      <c r="C4058" t="str">
        <f>IFERROR(__xludf.DUMMYFUNCTION("""COMPUTED_VALUE"""),"[NEW] Ultimate AWS Certified Cloud Practitioner - 2021")</f>
        <v>[NEW] Ultimate AWS Certified Cloud Practitioner - 2021</v>
      </c>
    </row>
    <row r="4059">
      <c r="A4059" s="140" t="str">
        <f>IFERROR(__xludf.DUMMYFUNCTION("""COMPUTED_VALUE"""),"en")</f>
        <v>en</v>
      </c>
      <c r="B4059">
        <f>IFERROR(__xludf.DUMMYFUNCTION("""COMPUTED_VALUE"""),450918.0)</f>
        <v>450918</v>
      </c>
      <c r="C4059" t="str">
        <f>IFERROR(__xludf.DUMMYFUNCTION("""COMPUTED_VALUE"""),"How To Sing #1: Complete Vocal Warm ups &amp; Voice Physiology")</f>
        <v>How To Sing #1: Complete Vocal Warm ups &amp; Voice Physiology</v>
      </c>
    </row>
    <row r="4060">
      <c r="A4060" s="140" t="str">
        <f>IFERROR(__xludf.DUMMYFUNCTION("""COMPUTED_VALUE"""),"en")</f>
        <v>en</v>
      </c>
      <c r="B4060">
        <f>IFERROR(__xludf.DUMMYFUNCTION("""COMPUTED_VALUE"""),1426946.0)</f>
        <v>1426946</v>
      </c>
      <c r="C4060" t="str">
        <f>IFERROR(__xludf.DUMMYFUNCTION("""COMPUTED_VALUE"""),"How to Master Hiring: Pick the right candidate every time")</f>
        <v>How to Master Hiring: Pick the right candidate every time</v>
      </c>
    </row>
    <row r="4061">
      <c r="A4061" s="140" t="str">
        <f>IFERROR(__xludf.DUMMYFUNCTION("""COMPUTED_VALUE"""),"pt")</f>
        <v>pt</v>
      </c>
      <c r="B4061">
        <f>IFERROR(__xludf.DUMMYFUNCTION("""COMPUTED_VALUE"""),2669998.0)</f>
        <v>2669998</v>
      </c>
      <c r="C4061" t="str">
        <f>IFERROR(__xludf.DUMMYFUNCTION("""COMPUTED_VALUE"""),"Reconhecimento de Emoções com TensorFlow 2.0 e Python")</f>
        <v>Reconhecimento de Emoções com TensorFlow 2.0 e Python</v>
      </c>
    </row>
    <row r="4062">
      <c r="A4062" s="140" t="str">
        <f>IFERROR(__xludf.DUMMYFUNCTION("""COMPUTED_VALUE"""),"en")</f>
        <v>en</v>
      </c>
      <c r="B4062">
        <f>IFERROR(__xludf.DUMMYFUNCTION("""COMPUTED_VALUE"""),1328572.0)</f>
        <v>1328572</v>
      </c>
      <c r="C4062" t="str">
        <f>IFERROR(__xludf.DUMMYFUNCTION("""COMPUTED_VALUE"""),"The Ultimate Guide to Game Development with Unity (Official)")</f>
        <v>The Ultimate Guide to Game Development with Unity (Official)</v>
      </c>
    </row>
    <row r="4063">
      <c r="A4063" s="140" t="str">
        <f>IFERROR(__xludf.DUMMYFUNCTION("""COMPUTED_VALUE"""),"en")</f>
        <v>en</v>
      </c>
      <c r="B4063">
        <f>IFERROR(__xludf.DUMMYFUNCTION("""COMPUTED_VALUE"""),1053272.0)</f>
        <v>1053272</v>
      </c>
      <c r="C4063" t="str">
        <f>IFERROR(__xludf.DUMMYFUNCTION("""COMPUTED_VALUE"""),"Finance Training for Financial Analysts")</f>
        <v>Finance Training for Financial Analysts</v>
      </c>
    </row>
    <row r="4064">
      <c r="A4064" s="140" t="str">
        <f>IFERROR(__xludf.DUMMYFUNCTION("""COMPUTED_VALUE"""),"en")</f>
        <v>en</v>
      </c>
      <c r="B4064">
        <f>IFERROR(__xludf.DUMMYFUNCTION("""COMPUTED_VALUE"""),1229768.0)</f>
        <v>1229768</v>
      </c>
      <c r="C4064" t="str">
        <f>IFERROR(__xludf.DUMMYFUNCTION("""COMPUTED_VALUE"""),"Strategic Cost Management: Procurement and Supply Chain 2021")</f>
        <v>Strategic Cost Management: Procurement and Supply Chain 2021</v>
      </c>
    </row>
    <row r="4065">
      <c r="A4065" s="140" t="str">
        <f>IFERROR(__xludf.DUMMYFUNCTION("""COMPUTED_VALUE"""),"ar")</f>
        <v>ar</v>
      </c>
      <c r="B4065">
        <f>IFERROR(__xludf.DUMMYFUNCTION("""COMPUTED_VALUE"""),743562.0)</f>
        <v>743562</v>
      </c>
      <c r="C4065" t="str">
        <f>IFERROR(__xludf.DUMMYFUNCTION("""COMPUTED_VALUE"""),"PMP &amp; CAPM مقدمة في إدارة المشاريع و اختباري : Earn 2 PDUs")</f>
        <v>PMP &amp; CAPM مقدمة في إدارة المشاريع و اختباري : Earn 2 PDUs</v>
      </c>
    </row>
    <row r="4066">
      <c r="A4066" s="140" t="str">
        <f>IFERROR(__xludf.DUMMYFUNCTION("""COMPUTED_VALUE"""),"en")</f>
        <v>en</v>
      </c>
      <c r="B4066">
        <f>IFERROR(__xludf.DUMMYFUNCTION("""COMPUTED_VALUE"""),4013140.0)</f>
        <v>4013140</v>
      </c>
      <c r="C4066" t="str">
        <f>IFERROR(__xludf.DUMMYFUNCTION("""COMPUTED_VALUE"""),"The Simple Way to Conduct a UX Audit")</f>
        <v>The Simple Way to Conduct a UX Audit</v>
      </c>
    </row>
    <row r="4067">
      <c r="A4067" s="140" t="str">
        <f>IFERROR(__xludf.DUMMYFUNCTION("""COMPUTED_VALUE"""),"es")</f>
        <v>es</v>
      </c>
      <c r="B4067">
        <f>IFERROR(__xludf.DUMMYFUNCTION("""COMPUTED_VALUE"""),2491126.0)</f>
        <v>2491126</v>
      </c>
      <c r="C4067" t="str">
        <f>IFERROR(__xludf.DUMMYFUNCTION("""COMPUTED_VALUE"""),"Curso de Administración de Microsoft 365")</f>
        <v>Curso de Administración de Microsoft 365</v>
      </c>
    </row>
    <row r="4068">
      <c r="A4068" s="140" t="str">
        <f>IFERROR(__xludf.DUMMYFUNCTION("""COMPUTED_VALUE"""),"en")</f>
        <v>en</v>
      </c>
      <c r="B4068">
        <f>IFERROR(__xludf.DUMMYFUNCTION("""COMPUTED_VALUE"""),3427676.0)</f>
        <v>3427676</v>
      </c>
      <c r="C4068" t="str">
        <f>IFERROR(__xludf.DUMMYFUNCTION("""COMPUTED_VALUE"""),"AWS Certified SysOps Administrator Associate 2021 (SOA-C02)")</f>
        <v>AWS Certified SysOps Administrator Associate 2021 (SOA-C02)</v>
      </c>
    </row>
    <row r="4069">
      <c r="A4069" s="140" t="str">
        <f>IFERROR(__xludf.DUMMYFUNCTION("""COMPUTED_VALUE"""),"en")</f>
        <v>en</v>
      </c>
      <c r="B4069">
        <f>IFERROR(__xludf.DUMMYFUNCTION("""COMPUTED_VALUE"""),2041178.0)</f>
        <v>2041178</v>
      </c>
      <c r="C4069" t="str">
        <f>IFERROR(__xludf.DUMMYFUNCTION("""COMPUTED_VALUE"""),"The Absolute Beginners 2021 Guide to Cyber Security - Part 3")</f>
        <v>The Absolute Beginners 2021 Guide to Cyber Security - Part 3</v>
      </c>
    </row>
    <row r="4070">
      <c r="A4070" s="140" t="str">
        <f>IFERROR(__xludf.DUMMYFUNCTION("""COMPUTED_VALUE"""),"es")</f>
        <v>es</v>
      </c>
      <c r="B4070">
        <f>IFERROR(__xludf.DUMMYFUNCTION("""COMPUTED_VALUE"""),1764950.0)</f>
        <v>1764950</v>
      </c>
      <c r="C4070" t="str">
        <f>IFERROR(__xludf.DUMMYFUNCTION("""COMPUTED_VALUE"""),"#ERROR!")</f>
        <v>#ERROR!</v>
      </c>
    </row>
    <row r="4071">
      <c r="A4071" s="140" t="str">
        <f>IFERROR(__xludf.DUMMYFUNCTION("""COMPUTED_VALUE"""),"en")</f>
        <v>en</v>
      </c>
      <c r="B4071">
        <f>IFERROR(__xludf.DUMMYFUNCTION("""COMPUTED_VALUE"""),818990.0)</f>
        <v>818990</v>
      </c>
      <c r="C4071" t="str">
        <f>IFERROR(__xludf.DUMMYFUNCTION("""COMPUTED_VALUE"""),"Git a Web Developer Job: Mastering the Modern Workflow")</f>
        <v>Git a Web Developer Job: Mastering the Modern Workflow</v>
      </c>
    </row>
    <row r="4072">
      <c r="A4072" s="140" t="str">
        <f>IFERROR(__xludf.DUMMYFUNCTION("""COMPUTED_VALUE"""),"ja")</f>
        <v>ja</v>
      </c>
      <c r="B4072">
        <f>IFERROR(__xludf.DUMMYFUNCTION("""COMPUTED_VALUE"""),3257576.0)</f>
        <v>3257576</v>
      </c>
      <c r="C4072" t="str">
        <f>IFERROR(__xludf.DUMMYFUNCTION("""COMPUTED_VALUE"""),"プロダクトマネジメント実践講座: シリコンバレーの現役プロダクトマネージャーが伝授する、伝わるプロダクトアイデアの書き方")</f>
        <v>プロダクトマネジメント実践講座: シリコンバレーの現役プロダクトマネージャーが伝授する、伝わるプロダクトアイデアの書き方</v>
      </c>
    </row>
    <row r="4073">
      <c r="A4073" s="140" t="str">
        <f>IFERROR(__xludf.DUMMYFUNCTION("""COMPUTED_VALUE"""),"ja")</f>
        <v>ja</v>
      </c>
      <c r="B4073">
        <f>IFERROR(__xludf.DUMMYFUNCTION("""COMPUTED_VALUE"""),3090888.0)</f>
        <v>3090888</v>
      </c>
      <c r="C4073" t="str">
        <f>IFERROR(__xludf.DUMMYFUNCTION("""COMPUTED_VALUE"""),"WEBデザイン講座 Level1《初級者レベル》※WEBデザイン➡コーディング➡公開までの全工程を150分で速習する。")</f>
        <v>WEBデザイン講座 Level1《初級者レベル》※WEBデザイン➡コーディング➡公開までの全工程を150分で速習する。</v>
      </c>
    </row>
    <row r="4074">
      <c r="A4074" s="140" t="str">
        <f>IFERROR(__xludf.DUMMYFUNCTION("""COMPUTED_VALUE"""),"es")</f>
        <v>es</v>
      </c>
      <c r="B4074">
        <f>IFERROR(__xludf.DUMMYFUNCTION("""COMPUTED_VALUE"""),2727858.0)</f>
        <v>2727858</v>
      </c>
      <c r="C4074" t="str">
        <f>IFERROR(__xludf.DUMMYFUNCTION("""COMPUTED_VALUE"""),"Hacking Ético Avanzado. Prácticas en Kali Linux. Retos CTF.-")</f>
        <v>Hacking Ético Avanzado. Prácticas en Kali Linux. Retos CTF.-</v>
      </c>
    </row>
    <row r="4075">
      <c r="A4075" s="140" t="str">
        <f>IFERROR(__xludf.DUMMYFUNCTION("""COMPUTED_VALUE"""),"es")</f>
        <v>es</v>
      </c>
      <c r="B4075">
        <f>IFERROR(__xludf.DUMMYFUNCTION("""COMPUTED_VALUE"""),1261088.0)</f>
        <v>1261088</v>
      </c>
      <c r="C4075" t="str">
        <f>IFERROR(__xludf.DUMMYFUNCTION("""COMPUTED_VALUE"""),"Bitcoin: Aprenda a usar, recibir, enviar, comprar y vender.")</f>
        <v>Bitcoin: Aprenda a usar, recibir, enviar, comprar y vender.</v>
      </c>
    </row>
    <row r="4076">
      <c r="A4076" s="140" t="str">
        <f>IFERROR(__xludf.DUMMYFUNCTION("""COMPUTED_VALUE"""),"en")</f>
        <v>en</v>
      </c>
      <c r="B4076">
        <f>IFERROR(__xludf.DUMMYFUNCTION("""COMPUTED_VALUE"""),3674614.0)</f>
        <v>3674614</v>
      </c>
      <c r="C4076" t="str">
        <f>IFERROR(__xludf.DUMMYFUNCTION("""COMPUTED_VALUE"""),"Authentic Leadership: Bring Your Whole Self to Work")</f>
        <v>Authentic Leadership: Bring Your Whole Self to Work</v>
      </c>
    </row>
    <row r="4077">
      <c r="A4077" s="140" t="str">
        <f>IFERROR(__xludf.DUMMYFUNCTION("""COMPUTED_VALUE"""),"pt")</f>
        <v>pt</v>
      </c>
      <c r="B4077">
        <f>IFERROR(__xludf.DUMMYFUNCTION("""COMPUTED_VALUE"""),1508940.0)</f>
        <v>1508940</v>
      </c>
      <c r="C4077" t="str">
        <f>IFERROR(__xludf.DUMMYFUNCTION("""COMPUTED_VALUE"""),"Google Ads (Adwords) COMPLETO + Remarketing + Youtube Ads")</f>
        <v>Google Ads (Adwords) COMPLETO + Remarketing + Youtube Ads</v>
      </c>
    </row>
    <row r="4078">
      <c r="A4078" s="140" t="str">
        <f>IFERROR(__xludf.DUMMYFUNCTION("""COMPUTED_VALUE"""),"pt")</f>
        <v>pt</v>
      </c>
      <c r="B4078">
        <f>IFERROR(__xludf.DUMMYFUNCTION("""COMPUTED_VALUE"""),971712.0)</f>
        <v>971712</v>
      </c>
      <c r="C4078" t="str">
        <f>IFERROR(__xludf.DUMMYFUNCTION("""COMPUTED_VALUE"""),"Zabbix Avançado")</f>
        <v>Zabbix Avançado</v>
      </c>
    </row>
    <row r="4079">
      <c r="A4079" s="140" t="str">
        <f>IFERROR(__xludf.DUMMYFUNCTION("""COMPUTED_VALUE"""),"de")</f>
        <v>de</v>
      </c>
      <c r="B4079">
        <f>IFERROR(__xludf.DUMMYFUNCTION("""COMPUTED_VALUE"""),1799666.0)</f>
        <v>1799666</v>
      </c>
      <c r="C4079" t="str">
        <f>IFERROR(__xludf.DUMMYFUNCTION("""COMPUTED_VALUE"""),"Ableton Live 10 Masterclass")</f>
        <v>Ableton Live 10 Masterclass</v>
      </c>
    </row>
    <row r="4080">
      <c r="A4080" s="140" t="str">
        <f>IFERROR(__xludf.DUMMYFUNCTION("""COMPUTED_VALUE"""),"tr")</f>
        <v>tr</v>
      </c>
      <c r="B4080">
        <f>IFERROR(__xludf.DUMMYFUNCTION("""COMPUTED_VALUE"""),3620692.0)</f>
        <v>3620692</v>
      </c>
      <c r="C4080" t="str">
        <f>IFERROR(__xludf.DUMMYFUNCTION("""COMPUTED_VALUE"""),"Derin Öğrenme ile Görüntü İşleme: Python, OpenCV ve Keras")</f>
        <v>Derin Öğrenme ile Görüntü İşleme: Python, OpenCV ve Keras</v>
      </c>
    </row>
    <row r="4081">
      <c r="A4081" s="140" t="str">
        <f>IFERROR(__xludf.DUMMYFUNCTION("""COMPUTED_VALUE"""),"tr")</f>
        <v>tr</v>
      </c>
      <c r="B4081">
        <f>IFERROR(__xludf.DUMMYFUNCTION("""COMPUTED_VALUE"""),3171410.0)</f>
        <v>3171410</v>
      </c>
      <c r="C4081" t="str">
        <f>IFERROR(__xludf.DUMMYFUNCTION("""COMPUTED_VALUE"""),"MS Excel - Başlangıç / Orta / İleri Tüm Seviyeler")</f>
        <v>MS Excel - Başlangıç / Orta / İleri Tüm Seviyeler</v>
      </c>
    </row>
    <row r="4082">
      <c r="A4082" s="140" t="str">
        <f>IFERROR(__xludf.DUMMYFUNCTION("""COMPUTED_VALUE"""),"en")</f>
        <v>en</v>
      </c>
      <c r="B4082">
        <f>IFERROR(__xludf.DUMMYFUNCTION("""COMPUTED_VALUE"""),3070298.0)</f>
        <v>3070298</v>
      </c>
      <c r="C4082" t="str">
        <f>IFERROR(__xludf.DUMMYFUNCTION("""COMPUTED_VALUE"""),"Identity and Access Management (IAM)")</f>
        <v>Identity and Access Management (IAM)</v>
      </c>
    </row>
    <row r="4083">
      <c r="A4083" s="140" t="str">
        <f>IFERROR(__xludf.DUMMYFUNCTION("""COMPUTED_VALUE"""),"en")</f>
        <v>en</v>
      </c>
      <c r="B4083">
        <f>IFERROR(__xludf.DUMMYFUNCTION("""COMPUTED_VALUE"""),1331472.0)</f>
        <v>1331472</v>
      </c>
      <c r="C4083" t="str">
        <f>IFERROR(__xludf.DUMMYFUNCTION("""COMPUTED_VALUE"""),"OWASP top 10: Web Application Security (no coding!)")</f>
        <v>OWASP top 10: Web Application Security (no coding!)</v>
      </c>
    </row>
    <row r="4084">
      <c r="A4084" s="140" t="str">
        <f>IFERROR(__xludf.DUMMYFUNCTION("""COMPUTED_VALUE"""),"en")</f>
        <v>en</v>
      </c>
      <c r="B4084">
        <f>IFERROR(__xludf.DUMMYFUNCTION("""COMPUTED_VALUE"""),2869064.0)</f>
        <v>2869064</v>
      </c>
      <c r="C4084" t="str">
        <f>IFERROR(__xludf.DUMMYFUNCTION("""COMPUTED_VALUE"""),"Practice CompTIA PenTest+ Exam: 340 Questions, PT0-001")</f>
        <v>Practice CompTIA PenTest+ Exam: 340 Questions, PT0-001</v>
      </c>
    </row>
    <row r="4085">
      <c r="A4085" s="140" t="str">
        <f>IFERROR(__xludf.DUMMYFUNCTION("""COMPUTED_VALUE"""),"en")</f>
        <v>en</v>
      </c>
      <c r="B4085">
        <f>IFERROR(__xludf.DUMMYFUNCTION("""COMPUTED_VALUE"""),927924.0)</f>
        <v>927924</v>
      </c>
      <c r="C4085" t="str">
        <f>IFERROR(__xludf.DUMMYFUNCTION("""COMPUTED_VALUE"""),"LIVE Streaming Pro: Ultimate Course | From Beginner to Pro")</f>
        <v>LIVE Streaming Pro: Ultimate Course | From Beginner to Pro</v>
      </c>
    </row>
    <row r="4086">
      <c r="A4086" s="140" t="str">
        <f>IFERROR(__xludf.DUMMYFUNCTION("""COMPUTED_VALUE"""),"es")</f>
        <v>es</v>
      </c>
      <c r="B4086">
        <f>IFERROR(__xludf.DUMMYFUNCTION("""COMPUTED_VALUE"""),716210.0)</f>
        <v>716210</v>
      </c>
      <c r="C4086" t="str">
        <f>IFERROR(__xludf.DUMMYFUNCTION("""COMPUTED_VALUE"""),"Productividad Personal: para alcanzar tus sueños")</f>
        <v>Productividad Personal: para alcanzar tus sueños</v>
      </c>
    </row>
    <row r="4087">
      <c r="A4087" s="140" t="str">
        <f>IFERROR(__xludf.DUMMYFUNCTION("""COMPUTED_VALUE"""),"en")</f>
        <v>en</v>
      </c>
      <c r="B4087">
        <f>IFERROR(__xludf.DUMMYFUNCTION("""COMPUTED_VALUE"""),2527206.0)</f>
        <v>2527206</v>
      </c>
      <c r="C4087" t="str">
        <f>IFERROR(__xludf.DUMMYFUNCTION("""COMPUTED_VALUE"""),"Oracle Cloud/Fusion Conversion - FBDI , ADF-DI , WebServices")</f>
        <v>Oracle Cloud/Fusion Conversion - FBDI , ADF-DI , WebServices</v>
      </c>
    </row>
    <row r="4088">
      <c r="A4088" s="140" t="str">
        <f>IFERROR(__xludf.DUMMYFUNCTION("""COMPUTED_VALUE"""),"es")</f>
        <v>es</v>
      </c>
      <c r="B4088">
        <f>IFERROR(__xludf.DUMMYFUNCTION("""COMPUTED_VALUE"""),1725150.0)</f>
        <v>1725150</v>
      </c>
      <c r="C4088" t="str">
        <f>IFERROR(__xludf.DUMMYFUNCTION("""COMPUTED_VALUE"""),"After Effects CC Masterclass - Actualizado a CC 2020")</f>
        <v>After Effects CC Masterclass - Actualizado a CC 2020</v>
      </c>
    </row>
    <row r="4089">
      <c r="A4089" s="140" t="str">
        <f>IFERROR(__xludf.DUMMYFUNCTION("""COMPUTED_VALUE"""),"en")</f>
        <v>en</v>
      </c>
      <c r="B4089">
        <f>IFERROR(__xludf.DUMMYFUNCTION("""COMPUTED_VALUE"""),3612836.0)</f>
        <v>3612836</v>
      </c>
      <c r="C4089" t="str">
        <f>IFERROR(__xludf.DUMMYFUNCTION("""COMPUTED_VALUE"""),"How to Paint From Beginner to Master -Acrylic Painting-")</f>
        <v>How to Paint From Beginner to Master -Acrylic Painting-</v>
      </c>
    </row>
    <row r="4090">
      <c r="A4090" s="140" t="str">
        <f>IFERROR(__xludf.DUMMYFUNCTION("""COMPUTED_VALUE"""),"en")</f>
        <v>en</v>
      </c>
      <c r="B4090">
        <f>IFERROR(__xludf.DUMMYFUNCTION("""COMPUTED_VALUE"""),4106444.0)</f>
        <v>4106444</v>
      </c>
      <c r="C4090" t="str">
        <f>IFERROR(__xludf.DUMMYFUNCTION("""COMPUTED_VALUE"""),"Virtual Meetings with Confidence: 90-minute Confidence Guide")</f>
        <v>Virtual Meetings with Confidence: 90-minute Confidence Guide</v>
      </c>
    </row>
    <row r="4091">
      <c r="A4091" s="140" t="str">
        <f>IFERROR(__xludf.DUMMYFUNCTION("""COMPUTED_VALUE"""),"en")</f>
        <v>en</v>
      </c>
      <c r="B4091">
        <f>IFERROR(__xludf.DUMMYFUNCTION("""COMPUTED_VALUE"""),3159078.0)</f>
        <v>3159078</v>
      </c>
      <c r="C4091" t="str">
        <f>IFERROR(__xludf.DUMMYFUNCTION("""COMPUTED_VALUE"""),"Construction Procurement Management")</f>
        <v>Construction Procurement Management</v>
      </c>
    </row>
    <row r="4092">
      <c r="A4092" s="140" t="str">
        <f>IFERROR(__xludf.DUMMYFUNCTION("""COMPUTED_VALUE"""),"tr")</f>
        <v>tr</v>
      </c>
      <c r="B4092">
        <f>IFERROR(__xludf.DUMMYFUNCTION("""COMPUTED_VALUE"""),3003724.0)</f>
        <v>3003724</v>
      </c>
      <c r="C4092" t="str">
        <f>IFERROR(__xludf.DUMMYFUNCTION("""COMPUTED_VALUE"""),"Lingo ile Optimizasyon Uygulamaları")</f>
        <v>Lingo ile Optimizasyon Uygulamaları</v>
      </c>
    </row>
    <row r="4093">
      <c r="A4093" s="140" t="str">
        <f>IFERROR(__xludf.DUMMYFUNCTION("""COMPUTED_VALUE"""),"ja")</f>
        <v>ja</v>
      </c>
      <c r="B4093">
        <f>IFERROR(__xludf.DUMMYFUNCTION("""COMPUTED_VALUE"""),3986192.0)</f>
        <v>3986192</v>
      </c>
      <c r="C4093" t="str">
        <f>IFERROR(__xludf.DUMMYFUNCTION("""COMPUTED_VALUE"""),"＜UB確認テスト＞【新規事業からIPOまで】エクセルで学ぶスタートアップ戦略＆ファイナンス")</f>
        <v>＜UB確認テスト＞【新規事業からIPOまで】エクセルで学ぶスタートアップ戦略＆ファイナンス</v>
      </c>
    </row>
    <row r="4094">
      <c r="A4094" s="140" t="str">
        <f>IFERROR(__xludf.DUMMYFUNCTION("""COMPUTED_VALUE"""),"en")</f>
        <v>en</v>
      </c>
      <c r="B4094">
        <f>IFERROR(__xludf.DUMMYFUNCTION("""COMPUTED_VALUE"""),909996.0)</f>
        <v>909996</v>
      </c>
      <c r="C4094" t="str">
        <f>IFERROR(__xludf.DUMMYFUNCTION("""COMPUTED_VALUE"""),"Navigate Diversity")</f>
        <v>Navigate Diversity</v>
      </c>
    </row>
    <row r="4095">
      <c r="A4095" s="140" t="str">
        <f>IFERROR(__xludf.DUMMYFUNCTION("""COMPUTED_VALUE"""),"zh")</f>
        <v>zh</v>
      </c>
      <c r="B4095">
        <f>IFERROR(__xludf.DUMMYFUNCTION("""COMPUTED_VALUE"""),2479812.0)</f>
        <v>2479812</v>
      </c>
      <c r="C4095" t="str">
        <f>IFERROR(__xludf.DUMMYFUNCTION("""COMPUTED_VALUE"""),"Docker从入门到精通")</f>
        <v>Docker从入门到精通</v>
      </c>
    </row>
    <row r="4096">
      <c r="A4096" s="140" t="str">
        <f>IFERROR(__xludf.DUMMYFUNCTION("""COMPUTED_VALUE"""),"en")</f>
        <v>en</v>
      </c>
      <c r="B4096">
        <f>IFERROR(__xludf.DUMMYFUNCTION("""COMPUTED_VALUE"""),18212.0)</f>
        <v>18212</v>
      </c>
      <c r="C4096" t="str">
        <f>IFERROR(__xludf.DUMMYFUNCTION("""COMPUTED_VALUE"""),"Excel Deep Dive: Pivot Tables Workshop")</f>
        <v>Excel Deep Dive: Pivot Tables Workshop</v>
      </c>
    </row>
    <row r="4097">
      <c r="A4097" s="140" t="str">
        <f>IFERROR(__xludf.DUMMYFUNCTION("""COMPUTED_VALUE"""),"ja")</f>
        <v>ja</v>
      </c>
      <c r="B4097">
        <f>IFERROR(__xludf.DUMMYFUNCTION("""COMPUTED_VALUE"""),2262196.0)</f>
        <v>2262196</v>
      </c>
      <c r="C4097" t="str">
        <f>IFERROR(__xludf.DUMMYFUNCTION("""COMPUTED_VALUE"""),"先生・学生・新社会人の方へ！スクラッチで学ぶAIに負けない人材になるためのプログラミング超入門")</f>
        <v>先生・学生・新社会人の方へ！スクラッチで学ぶAIに負けない人材になるためのプログラミング超入門</v>
      </c>
    </row>
    <row r="4098">
      <c r="A4098" s="140" t="str">
        <f>IFERROR(__xludf.DUMMYFUNCTION("""COMPUTED_VALUE"""),"en")</f>
        <v>en</v>
      </c>
      <c r="B4098">
        <f>IFERROR(__xludf.DUMMYFUNCTION("""COMPUTED_VALUE"""),3386602.0)</f>
        <v>3386602</v>
      </c>
      <c r="C4098" t="str">
        <f>IFERROR(__xludf.DUMMYFUNCTION("""COMPUTED_VALUE"""),"SAP Extended Warehouse Management - Fundamentals of SAP EWM")</f>
        <v>SAP Extended Warehouse Management - Fundamentals of SAP EWM</v>
      </c>
    </row>
    <row r="4099">
      <c r="A4099" s="140" t="str">
        <f>IFERROR(__xludf.DUMMYFUNCTION("""COMPUTED_VALUE"""),"en")</f>
        <v>en</v>
      </c>
      <c r="B4099">
        <f>IFERROR(__xludf.DUMMYFUNCTION("""COMPUTED_VALUE"""),1628048.0)</f>
        <v>1628048</v>
      </c>
      <c r="C4099" t="str">
        <f>IFERROR(__xludf.DUMMYFUNCTION("""COMPUTED_VALUE"""),"ASP.NET Core Identity and Security (SECOND EDITION)")</f>
        <v>ASP.NET Core Identity and Security (SECOND EDITION)</v>
      </c>
    </row>
    <row r="4100">
      <c r="A4100" s="140" t="str">
        <f>IFERROR(__xludf.DUMMYFUNCTION("""COMPUTED_VALUE"""),"ja")</f>
        <v>ja</v>
      </c>
      <c r="B4100">
        <f>IFERROR(__xludf.DUMMYFUNCTION("""COMPUTED_VALUE"""),3543620.0)</f>
        <v>3543620</v>
      </c>
      <c r="C4100" t="str">
        <f>IFERROR(__xludf.DUMMYFUNCTION("""COMPUTED_VALUE"""),"【Unityゲーム開発】プログラミングいらずのBoltで本格2Dシューティングゲーム開発講座！")</f>
        <v>【Unityゲーム開発】プログラミングいらずのBoltで本格2Dシューティングゲーム開発講座！</v>
      </c>
    </row>
    <row r="4101">
      <c r="A4101" s="140" t="str">
        <f>IFERROR(__xludf.DUMMYFUNCTION("""COMPUTED_VALUE"""),"ja")</f>
        <v>ja</v>
      </c>
      <c r="B4101">
        <f>IFERROR(__xludf.DUMMYFUNCTION("""COMPUTED_VALUE"""),1683970.0)</f>
        <v>1683970</v>
      </c>
      <c r="C4101" t="str">
        <f>IFERROR(__xludf.DUMMYFUNCTION("""COMPUTED_VALUE"""),"【初心者向け】カメラを購入したその日から始める写真撮影：写真家・秦達夫の写真講座")</f>
        <v>【初心者向け】カメラを購入したその日から始める写真撮影：写真家・秦達夫の写真講座</v>
      </c>
    </row>
    <row r="4102">
      <c r="A4102" s="140" t="str">
        <f>IFERROR(__xludf.DUMMYFUNCTION("""COMPUTED_VALUE"""),"es")</f>
        <v>es</v>
      </c>
      <c r="B4102">
        <f>IFERROR(__xludf.DUMMYFUNCTION("""COMPUTED_VALUE"""),209742.0)</f>
        <v>209742</v>
      </c>
      <c r="C4102" t="str">
        <f>IFERROR(__xludf.DUMMYFUNCTION("""COMPUTED_VALUE"""),"Nunca más llamada fría")</f>
        <v>Nunca más llamada fría</v>
      </c>
    </row>
    <row r="4103">
      <c r="A4103" s="140" t="str">
        <f>IFERROR(__xludf.DUMMYFUNCTION("""COMPUTED_VALUE"""),"en")</f>
        <v>en</v>
      </c>
      <c r="B4103">
        <f>IFERROR(__xludf.DUMMYFUNCTION("""COMPUTED_VALUE"""),2413006.0)</f>
        <v>2413006</v>
      </c>
      <c r="C4103" t="str">
        <f>IFERROR(__xludf.DUMMYFUNCTION("""COMPUTED_VALUE"""),"Master Go (Golang) Programming:The Complete Go Bootcamp 2022")</f>
        <v>Master Go (Golang) Programming:The Complete Go Bootcamp 2022</v>
      </c>
    </row>
    <row r="4104">
      <c r="A4104" s="140" t="str">
        <f>IFERROR(__xludf.DUMMYFUNCTION("""COMPUTED_VALUE"""),"en")</f>
        <v>en</v>
      </c>
      <c r="B4104">
        <f>IFERROR(__xludf.DUMMYFUNCTION("""COMPUTED_VALUE"""),1550970.0)</f>
        <v>1550970</v>
      </c>
      <c r="C4104" t="str">
        <f>IFERROR(__xludf.DUMMYFUNCTION("""COMPUTED_VALUE"""),"Java Certification : OCP (1Z0-809) Exam Simulation [2021]")</f>
        <v>Java Certification : OCP (1Z0-809) Exam Simulation [2021]</v>
      </c>
    </row>
    <row r="4105">
      <c r="A4105" s="140" t="str">
        <f>IFERROR(__xludf.DUMMYFUNCTION("""COMPUTED_VALUE"""),"en")</f>
        <v>en</v>
      </c>
      <c r="B4105">
        <f>IFERROR(__xludf.DUMMYFUNCTION("""COMPUTED_VALUE"""),1029332.0)</f>
        <v>1029332</v>
      </c>
      <c r="C4105" t="str">
        <f>IFERROR(__xludf.DUMMYFUNCTION("""COMPUTED_VALUE"""),"Cisco CCNA 200-301 - Introduction to networking")</f>
        <v>Cisco CCNA 200-301 - Introduction to networking</v>
      </c>
    </row>
    <row r="4106">
      <c r="A4106" s="140" t="str">
        <f>IFERROR(__xludf.DUMMYFUNCTION("""COMPUTED_VALUE"""),"ja")</f>
        <v>ja</v>
      </c>
      <c r="B4106">
        <f>IFERROR(__xludf.DUMMYFUNCTION("""COMPUTED_VALUE"""),2354328.0)</f>
        <v>2354328</v>
      </c>
      <c r="C4106" t="str">
        <f>IFERROR(__xludf.DUMMYFUNCTION("""COMPUTED_VALUE"""),"最新Photoshop CC　 23時間の動画と演習でPhotoshopの全てを完全マスター　初心者がプロを目指すコース")</f>
        <v>最新Photoshop CC　 23時間の動画と演習でPhotoshopの全てを完全マスター　初心者がプロを目指すコース</v>
      </c>
    </row>
    <row r="4107">
      <c r="A4107" s="140" t="str">
        <f>IFERROR(__xludf.DUMMYFUNCTION("""COMPUTED_VALUE"""),"en")</f>
        <v>en</v>
      </c>
      <c r="B4107">
        <f>IFERROR(__xludf.DUMMYFUNCTION("""COMPUTED_VALUE"""),3585240.0)</f>
        <v>3585240</v>
      </c>
      <c r="C4107" t="str">
        <f>IFERROR(__xludf.DUMMYFUNCTION("""COMPUTED_VALUE"""),"PCEP Python certification practice test")</f>
        <v>PCEP Python certification practice test</v>
      </c>
    </row>
    <row r="4108">
      <c r="A4108" s="140" t="str">
        <f>IFERROR(__xludf.DUMMYFUNCTION("""COMPUTED_VALUE"""),"pt")</f>
        <v>pt</v>
      </c>
      <c r="B4108">
        <f>IFERROR(__xludf.DUMMYFUNCTION("""COMPUTED_VALUE"""),4125894.0)</f>
        <v>4125894</v>
      </c>
      <c r="C4108" t="str">
        <f>IFERROR(__xludf.DUMMYFUNCTION("""COMPUTED_VALUE"""),"Reconhecimento de Textos com OCR e Python")</f>
        <v>Reconhecimento de Textos com OCR e Python</v>
      </c>
    </row>
    <row r="4109">
      <c r="A4109" s="140" t="str">
        <f>IFERROR(__xludf.DUMMYFUNCTION("""COMPUTED_VALUE"""),"en")</f>
        <v>en</v>
      </c>
      <c r="B4109">
        <f>IFERROR(__xludf.DUMMYFUNCTION("""COMPUTED_VALUE"""),1468438.0)</f>
        <v>1468438</v>
      </c>
      <c r="C4109" t="str">
        <f>IFERROR(__xludf.DUMMYFUNCTION("""COMPUTED_VALUE"""),"From Zero to NVivo 11 - Qualitative data analysis with NVivo")</f>
        <v>From Zero to NVivo 11 - Qualitative data analysis with NVivo</v>
      </c>
    </row>
    <row r="4110">
      <c r="A4110" s="140" t="str">
        <f>IFERROR(__xludf.DUMMYFUNCTION("""COMPUTED_VALUE"""),"de")</f>
        <v>de</v>
      </c>
      <c r="B4110">
        <f>IFERROR(__xludf.DUMMYFUNCTION("""COMPUTED_VALUE"""),672274.0)</f>
        <v>672274</v>
      </c>
      <c r="C4110" t="str">
        <f>IFERROR(__xludf.DUMMYFUNCTION("""COMPUTED_VALUE"""),"JavaScript: Verstehe die seltsamen Teile")</f>
        <v>JavaScript: Verstehe die seltsamen Teile</v>
      </c>
    </row>
    <row r="4111">
      <c r="A4111" s="140" t="str">
        <f>IFERROR(__xludf.DUMMYFUNCTION("""COMPUTED_VALUE"""),"pt")</f>
        <v>pt</v>
      </c>
      <c r="B4111">
        <f>IFERROR(__xludf.DUMMYFUNCTION("""COMPUTED_VALUE"""),1040352.0)</f>
        <v>1040352</v>
      </c>
      <c r="C4111" t="str">
        <f>IFERROR(__xludf.DUMMYFUNCTION("""COMPUTED_VALUE"""),"Testes unitários em JAVA: Domine JUnit, Mockito e TDD")</f>
        <v>Testes unitários em JAVA: Domine JUnit, Mockito e TDD</v>
      </c>
    </row>
    <row r="4112">
      <c r="A4112" s="140" t="str">
        <f>IFERROR(__xludf.DUMMYFUNCTION("""COMPUTED_VALUE"""),"en")</f>
        <v>en</v>
      </c>
      <c r="B4112">
        <f>IFERROR(__xludf.DUMMYFUNCTION("""COMPUTED_VALUE"""),940714.0)</f>
        <v>940714</v>
      </c>
      <c r="C4112" t="str">
        <f>IFERROR(__xludf.DUMMYFUNCTION("""COMPUTED_VALUE"""),"Adobe After Effects CC - Motion Graphics Design &amp; VFX")</f>
        <v>Adobe After Effects CC - Motion Graphics Design &amp; VFX</v>
      </c>
    </row>
    <row r="4113">
      <c r="A4113" s="140" t="str">
        <f>IFERROR(__xludf.DUMMYFUNCTION("""COMPUTED_VALUE"""),"ja")</f>
        <v>ja</v>
      </c>
      <c r="B4113">
        <f>IFERROR(__xludf.DUMMYFUNCTION("""COMPUTED_VALUE"""),4150948.0)</f>
        <v>4150948</v>
      </c>
      <c r="C4113" t="str">
        <f>IFERROR(__xludf.DUMMYFUNCTION("""COMPUTED_VALUE"""),"＜UB確認テスト＞MS PowerApps 初級編【コントロールと関数 完全ガイド】（パワーアップス）")</f>
        <v>＜UB確認テスト＞MS PowerApps 初級編【コントロールと関数 完全ガイド】（パワーアップス）</v>
      </c>
    </row>
    <row r="4114">
      <c r="A4114" s="140" t="str">
        <f>IFERROR(__xludf.DUMMYFUNCTION("""COMPUTED_VALUE"""),"en")</f>
        <v>en</v>
      </c>
      <c r="B4114">
        <f>IFERROR(__xludf.DUMMYFUNCTION("""COMPUTED_VALUE"""),525788.0)</f>
        <v>525788</v>
      </c>
      <c r="C4114" t="str">
        <f>IFERROR(__xludf.DUMMYFUNCTION("""COMPUTED_VALUE"""),"PowerPoint &amp; Excel Fusion (+250 PowerPoint Slides)")</f>
        <v>PowerPoint &amp; Excel Fusion (+250 PowerPoint Slides)</v>
      </c>
    </row>
    <row r="4115">
      <c r="A4115" s="140" t="str">
        <f>IFERROR(__xludf.DUMMYFUNCTION("""COMPUTED_VALUE"""),"en")</f>
        <v>en</v>
      </c>
      <c r="B4115">
        <f>IFERROR(__xludf.DUMMYFUNCTION("""COMPUTED_VALUE"""),1460588.0)</f>
        <v>1460588</v>
      </c>
      <c r="C4115" t="str">
        <f>IFERROR(__xludf.DUMMYFUNCTION("""COMPUTED_VALUE"""),"Selenium WebDriver + Java. Complete step by step course.")</f>
        <v>Selenium WebDriver + Java. Complete step by step course.</v>
      </c>
    </row>
    <row r="4116">
      <c r="A4116" s="140" t="str">
        <f>IFERROR(__xludf.DUMMYFUNCTION("""COMPUTED_VALUE"""),"pt")</f>
        <v>pt</v>
      </c>
      <c r="B4116">
        <f>IFERROR(__xludf.DUMMYFUNCTION("""COMPUTED_VALUE"""),1221442.0)</f>
        <v>1221442</v>
      </c>
      <c r="C4116" t="str">
        <f>IFERROR(__xludf.DUMMYFUNCTION("""COMPUTED_VALUE"""),"Curso React.js Ninja - React Completo")</f>
        <v>Curso React.js Ninja - React Completo</v>
      </c>
    </row>
    <row r="4117">
      <c r="A4117" s="140" t="str">
        <f>IFERROR(__xludf.DUMMYFUNCTION("""COMPUTED_VALUE"""),"fr")</f>
        <v>fr</v>
      </c>
      <c r="B4117">
        <f>IFERROR(__xludf.DUMMYFUNCTION("""COMPUTED_VALUE"""),2234362.0)</f>
        <v>2234362</v>
      </c>
      <c r="C4117" t="str">
        <f>IFERROR(__xludf.DUMMYFUNCTION("""COMPUTED_VALUE"""),"CANVA | Créer vos visuels pour les réseaux sociaux Gratuit")</f>
        <v>CANVA | Créer vos visuels pour les réseaux sociaux Gratuit</v>
      </c>
    </row>
    <row r="4118">
      <c r="A4118" s="140" t="str">
        <f>IFERROR(__xludf.DUMMYFUNCTION("""COMPUTED_VALUE"""),"ja")</f>
        <v>ja</v>
      </c>
      <c r="B4118">
        <f>IFERROR(__xludf.DUMMYFUNCTION("""COMPUTED_VALUE"""),4141324.0)</f>
        <v>4141324</v>
      </c>
      <c r="C4118" t="str">
        <f>IFERROR(__xludf.DUMMYFUNCTION("""COMPUTED_VALUE"""),"新任マネージャー必見！部下が主体的に動き出すコミュニケーションマネジメント実践術")</f>
        <v>新任マネージャー必見！部下が主体的に動き出すコミュニケーションマネジメント実践術</v>
      </c>
    </row>
    <row r="4119">
      <c r="A4119" s="140" t="str">
        <f>IFERROR(__xludf.DUMMYFUNCTION("""COMPUTED_VALUE"""),"es")</f>
        <v>es</v>
      </c>
      <c r="B4119">
        <f>IFERROR(__xludf.DUMMYFUNCTION("""COMPUTED_VALUE"""),2217998.0)</f>
        <v>2217998</v>
      </c>
      <c r="C4119" t="str">
        <f>IFERROR(__xludf.DUMMYFUNCTION("""COMPUTED_VALUE"""),"Curso Completo de Marketing Digital - 23 Cursos en 1")</f>
        <v>Curso Completo de Marketing Digital - 23 Cursos en 1</v>
      </c>
    </row>
    <row r="4120">
      <c r="A4120" s="140" t="str">
        <f>IFERROR(__xludf.DUMMYFUNCTION("""COMPUTED_VALUE"""),"en")</f>
        <v>en</v>
      </c>
      <c r="B4120">
        <f>IFERROR(__xludf.DUMMYFUNCTION("""COMPUTED_VALUE"""),1120038.0)</f>
        <v>1120038</v>
      </c>
      <c r="C4120" t="str">
        <f>IFERROR(__xludf.DUMMYFUNCTION("""COMPUTED_VALUE"""),"Learn JIRA with real-world examples (+Confluence bonus)")</f>
        <v>Learn JIRA with real-world examples (+Confluence bonus)</v>
      </c>
    </row>
    <row r="4121">
      <c r="A4121" s="140" t="str">
        <f>IFERROR(__xludf.DUMMYFUNCTION("""COMPUTED_VALUE"""),"en")</f>
        <v>en</v>
      </c>
      <c r="B4121">
        <f>IFERROR(__xludf.DUMMYFUNCTION("""COMPUTED_VALUE"""),2670026.0)</f>
        <v>2670026</v>
      </c>
      <c r="C4121" t="str">
        <f>IFERROR(__xludf.DUMMYFUNCTION("""COMPUTED_VALUE"""),"AZ-301/304 Azure Architect Design Practice Test")</f>
        <v>AZ-301/304 Azure Architect Design Practice Test</v>
      </c>
    </row>
    <row r="4122">
      <c r="A4122" s="140" t="str">
        <f>IFERROR(__xludf.DUMMYFUNCTION("""COMPUTED_VALUE"""),"en")</f>
        <v>en</v>
      </c>
      <c r="B4122">
        <f>IFERROR(__xludf.DUMMYFUNCTION("""COMPUTED_VALUE"""),552372.0)</f>
        <v>552372</v>
      </c>
      <c r="C4122" t="str">
        <f>IFERROR(__xludf.DUMMYFUNCTION("""COMPUTED_VALUE"""),"Email Etiquette: Write More Effective Emails At Work")</f>
        <v>Email Etiquette: Write More Effective Emails At Work</v>
      </c>
    </row>
    <row r="4123">
      <c r="A4123" s="140" t="str">
        <f>IFERROR(__xludf.DUMMYFUNCTION("""COMPUTED_VALUE"""),"tr")</f>
        <v>tr</v>
      </c>
      <c r="B4123">
        <f>IFERROR(__xludf.DUMMYFUNCTION("""COMPUTED_VALUE"""),3645364.0)</f>
        <v>3645364</v>
      </c>
      <c r="C4123" t="str">
        <f>IFERROR(__xludf.DUMMYFUNCTION("""COMPUTED_VALUE"""),"Etik Hacker İleri Seviye: Sızma Testleri &amp; Yetki Yükseltme")</f>
        <v>Etik Hacker İleri Seviye: Sızma Testleri &amp; Yetki Yükseltme</v>
      </c>
    </row>
    <row r="4124">
      <c r="A4124" s="140" t="str">
        <f>IFERROR(__xludf.DUMMYFUNCTION("""COMPUTED_VALUE"""),"pt")</f>
        <v>pt</v>
      </c>
      <c r="B4124">
        <f>IFERROR(__xludf.DUMMYFUNCTION("""COMPUTED_VALUE"""),2041290.0)</f>
        <v>2041290</v>
      </c>
      <c r="C4124" t="str">
        <f>IFERROR(__xludf.DUMMYFUNCTION("""COMPUTED_VALUE"""),"UI Design: Design de Interfaces com foco em Projetos Web")</f>
        <v>UI Design: Design de Interfaces com foco em Projetos Web</v>
      </c>
    </row>
    <row r="4125">
      <c r="A4125" s="140" t="str">
        <f>IFERROR(__xludf.DUMMYFUNCTION("""COMPUTED_VALUE"""),"pt")</f>
        <v>pt</v>
      </c>
      <c r="B4125">
        <f>IFERROR(__xludf.DUMMYFUNCTION("""COMPUTED_VALUE"""),3199324.0)</f>
        <v>3199324</v>
      </c>
      <c r="C4125" t="str">
        <f>IFERROR(__xludf.DUMMYFUNCTION("""COMPUTED_VALUE"""),"Python para Investimentos na Bolsa de Valores")</f>
        <v>Python para Investimentos na Bolsa de Valores</v>
      </c>
    </row>
    <row r="4126">
      <c r="A4126" s="140" t="str">
        <f>IFERROR(__xludf.DUMMYFUNCTION("""COMPUTED_VALUE"""),"en")</f>
        <v>en</v>
      </c>
      <c r="B4126">
        <f>IFERROR(__xludf.DUMMYFUNCTION("""COMPUTED_VALUE"""),4047242.0)</f>
        <v>4047242</v>
      </c>
      <c r="C4126" t="str">
        <f>IFERROR(__xludf.DUMMYFUNCTION("""COMPUTED_VALUE"""),"Leadership: Designing Your Post-Covid Hybrid Organization")</f>
        <v>Leadership: Designing Your Post-Covid Hybrid Organization</v>
      </c>
    </row>
    <row r="4127">
      <c r="A4127" s="140" t="str">
        <f>IFERROR(__xludf.DUMMYFUNCTION("""COMPUTED_VALUE"""),"en")</f>
        <v>en</v>
      </c>
      <c r="B4127">
        <f>IFERROR(__xludf.DUMMYFUNCTION("""COMPUTED_VALUE"""),1420626.0)</f>
        <v>1420626</v>
      </c>
      <c r="C4127" t="str">
        <f>IFERROR(__xludf.DUMMYFUNCTION("""COMPUTED_VALUE"""),"CISSP: How to study, plans, tips, materials, approach - 2022")</f>
        <v>CISSP: How to study, plans, tips, materials, approach - 2022</v>
      </c>
    </row>
    <row r="4128">
      <c r="A4128" s="140" t="str">
        <f>IFERROR(__xludf.DUMMYFUNCTION("""COMPUTED_VALUE"""),"en")</f>
        <v>en</v>
      </c>
      <c r="B4128">
        <f>IFERROR(__xludf.DUMMYFUNCTION("""COMPUTED_VALUE"""),378718.0)</f>
        <v>378718</v>
      </c>
      <c r="C4128" t="str">
        <f>IFERROR(__xludf.DUMMYFUNCTION("""COMPUTED_VALUE"""),"Team Facilitation: The Core Skill of Great Team Leaders")</f>
        <v>Team Facilitation: The Core Skill of Great Team Leaders</v>
      </c>
    </row>
    <row r="4129">
      <c r="A4129" s="140" t="str">
        <f>IFERROR(__xludf.DUMMYFUNCTION("""COMPUTED_VALUE"""),"en")</f>
        <v>en</v>
      </c>
      <c r="B4129">
        <f>IFERROR(__xludf.DUMMYFUNCTION("""COMPUTED_VALUE"""),1412464.0)</f>
        <v>1412464</v>
      </c>
      <c r="C4129" t="str">
        <f>IFERROR(__xludf.DUMMYFUNCTION("""COMPUTED_VALUE"""),"Data Structures and Algorithms in C++ For Coding Interview")</f>
        <v>Data Structures and Algorithms in C++ For Coding Interview</v>
      </c>
    </row>
    <row r="4130">
      <c r="A4130" s="140" t="str">
        <f>IFERROR(__xludf.DUMMYFUNCTION("""COMPUTED_VALUE"""),"en")</f>
        <v>en</v>
      </c>
      <c r="B4130">
        <f>IFERROR(__xludf.DUMMYFUNCTION("""COMPUTED_VALUE"""),1175526.0)</f>
        <v>1175526</v>
      </c>
      <c r="C4130" t="str">
        <f>IFERROR(__xludf.DUMMYFUNCTION("""COMPUTED_VALUE"""),"Facebook Ads Profit Bootcamp: Covert Ads into Sales!")</f>
        <v>Facebook Ads Profit Bootcamp: Covert Ads into Sales!</v>
      </c>
    </row>
    <row r="4131">
      <c r="A4131" s="140" t="str">
        <f>IFERROR(__xludf.DUMMYFUNCTION("""COMPUTED_VALUE"""),"pt")</f>
        <v>pt</v>
      </c>
      <c r="B4131">
        <f>IFERROR(__xludf.DUMMYFUNCTION("""COMPUTED_VALUE"""),3281284.0)</f>
        <v>3281284</v>
      </c>
      <c r="C4131" t="str">
        <f>IFERROR(__xludf.DUMMYFUNCTION("""COMPUTED_VALUE"""),"Padrões de Projeto (Design Patterns) com Python")</f>
        <v>Padrões de Projeto (Design Patterns) com Python</v>
      </c>
    </row>
    <row r="4132">
      <c r="A4132" s="140" t="str">
        <f>IFERROR(__xludf.DUMMYFUNCTION("""COMPUTED_VALUE"""),"en")</f>
        <v>en</v>
      </c>
      <c r="B4132">
        <f>IFERROR(__xludf.DUMMYFUNCTION("""COMPUTED_VALUE"""),1041352.0)</f>
        <v>1041352</v>
      </c>
      <c r="C4132" t="str">
        <f>IFERROR(__xludf.DUMMYFUNCTION("""COMPUTED_VALUE"""),"Elevate Your Tennis Game: Learn from Champion Andre Agassi")</f>
        <v>Elevate Your Tennis Game: Learn from Champion Andre Agassi</v>
      </c>
    </row>
    <row r="4133">
      <c r="A4133" s="140" t="str">
        <f>IFERROR(__xludf.DUMMYFUNCTION("""COMPUTED_VALUE"""),"en")</f>
        <v>en</v>
      </c>
      <c r="B4133">
        <f>IFERROR(__xludf.DUMMYFUNCTION("""COMPUTED_VALUE"""),1390062.0)</f>
        <v>1390062</v>
      </c>
      <c r="C4133" t="str">
        <f>IFERROR(__xludf.DUMMYFUNCTION("""COMPUTED_VALUE"""),"Text Mining and Sentiment Analysis with Tableau and R")</f>
        <v>Text Mining and Sentiment Analysis with Tableau and R</v>
      </c>
    </row>
    <row r="4134">
      <c r="A4134" s="140" t="str">
        <f>IFERROR(__xludf.DUMMYFUNCTION("""COMPUTED_VALUE"""),"ar")</f>
        <v>ar</v>
      </c>
      <c r="B4134">
        <f>IFERROR(__xludf.DUMMYFUNCTION("""COMPUTED_VALUE"""),2481434.0)</f>
        <v>2481434</v>
      </c>
      <c r="C4134" t="str">
        <f>IFERROR(__xludf.DUMMYFUNCTION("""COMPUTED_VALUE"""),"Autodesk Autocad Civil 3D")</f>
        <v>Autodesk Autocad Civil 3D</v>
      </c>
    </row>
    <row r="4135">
      <c r="A4135" s="140" t="str">
        <f>IFERROR(__xludf.DUMMYFUNCTION("""COMPUTED_VALUE"""),"pt")</f>
        <v>pt</v>
      </c>
      <c r="B4135">
        <f>IFERROR(__xludf.DUMMYFUNCTION("""COMPUTED_VALUE"""),1146906.0)</f>
        <v>1146906</v>
      </c>
      <c r="C4135" t="str">
        <f>IFERROR(__xludf.DUMMYFUNCTION("""COMPUTED_VALUE"""),"Inteligência Artificial: Sistemas de Recomendação em Python")</f>
        <v>Inteligência Artificial: Sistemas de Recomendação em Python</v>
      </c>
    </row>
    <row r="4136">
      <c r="A4136" s="140" t="str">
        <f>IFERROR(__xludf.DUMMYFUNCTION("""COMPUTED_VALUE"""),"fr")</f>
        <v>fr</v>
      </c>
      <c r="B4136">
        <f>IFERROR(__xludf.DUMMYFUNCTION("""COMPUTED_VALUE"""),1147764.0)</f>
        <v>1147764</v>
      </c>
      <c r="C4136" t="str">
        <f>IFERROR(__xludf.DUMMYFUNCTION("""COMPUTED_VALUE"""),"Node.js -  Express.js -  JWT et Mongoose par la pratique")</f>
        <v>Node.js -  Express.js -  JWT et Mongoose par la pratique</v>
      </c>
    </row>
    <row r="4137">
      <c r="A4137" s="140" t="str">
        <f>IFERROR(__xludf.DUMMYFUNCTION("""COMPUTED_VALUE"""),"tr")</f>
        <v>tr</v>
      </c>
      <c r="B4137">
        <f>IFERROR(__xludf.DUMMYFUNCTION("""COMPUTED_VALUE"""),3513800.0)</f>
        <v>3513800</v>
      </c>
      <c r="C4137" t="str">
        <f>IFERROR(__xludf.DUMMYFUNCTION("""COMPUTED_VALUE"""),"C# İle Geleceğin Yazılımcıları")</f>
        <v>C# İle Geleceğin Yazılımcıları</v>
      </c>
    </row>
    <row r="4138">
      <c r="A4138" s="140" t="str">
        <f>IFERROR(__xludf.DUMMYFUNCTION("""COMPUTED_VALUE"""),"en")</f>
        <v>en</v>
      </c>
      <c r="B4138">
        <f>IFERROR(__xludf.DUMMYFUNCTION("""COMPUTED_VALUE"""),999336.0)</f>
        <v>999336</v>
      </c>
      <c r="C4138" t="str">
        <f>IFERROR(__xludf.DUMMYFUNCTION("""COMPUTED_VALUE"""),"The Complete iMovie Course - from Beginner to Advanced 2021!")</f>
        <v>The Complete iMovie Course - from Beginner to Advanced 2021!</v>
      </c>
    </row>
    <row r="4139">
      <c r="A4139" s="140" t="str">
        <f>IFERROR(__xludf.DUMMYFUNCTION("""COMPUTED_VALUE"""),"es")</f>
        <v>es</v>
      </c>
      <c r="B4139">
        <f>IFERROR(__xludf.DUMMYFUNCTION("""COMPUTED_VALUE"""),634930.0)</f>
        <v>634930</v>
      </c>
      <c r="C4139" t="str">
        <f>IFERROR(__xludf.DUMMYFUNCTION("""COMPUTED_VALUE"""),"SQL-Consultas en Microsoft SQL Server")</f>
        <v>SQL-Consultas en Microsoft SQL Server</v>
      </c>
    </row>
    <row r="4140">
      <c r="A4140" s="140" t="str">
        <f>IFERROR(__xludf.DUMMYFUNCTION("""COMPUTED_VALUE"""),"es")</f>
        <v>es</v>
      </c>
      <c r="B4140">
        <f>IFERROR(__xludf.DUMMYFUNCTION("""COMPUTED_VALUE"""),2504238.0)</f>
        <v>2504238</v>
      </c>
      <c r="C4140" t="str">
        <f>IFERROR(__xludf.DUMMYFUNCTION("""COMPUTED_VALUE"""),"[A-Z] Google Data Studio crea reportes, informes y dashboard")</f>
        <v>[A-Z] Google Data Studio crea reportes, informes y dashboard</v>
      </c>
    </row>
    <row r="4141">
      <c r="A4141" s="140" t="str">
        <f>IFERROR(__xludf.DUMMYFUNCTION("""COMPUTED_VALUE"""),"ja")</f>
        <v>ja</v>
      </c>
      <c r="B4141">
        <f>IFERROR(__xludf.DUMMYFUNCTION("""COMPUTED_VALUE"""),419860.0)</f>
        <v>419860</v>
      </c>
      <c r="C4141" t="str">
        <f>IFERROR(__xludf.DUMMYFUNCTION("""COMPUTED_VALUE"""),"画像処理と3次元幾何：コンピュータビジョン基礎2")</f>
        <v>画像処理と3次元幾何：コンピュータビジョン基礎2</v>
      </c>
    </row>
    <row r="4142">
      <c r="A4142" s="140" t="str">
        <f>IFERROR(__xludf.DUMMYFUNCTION("""COMPUTED_VALUE"""),"tr")</f>
        <v>tr</v>
      </c>
      <c r="B4142">
        <f>IFERROR(__xludf.DUMMYFUNCTION("""COMPUTED_VALUE"""),2130798.0)</f>
        <v>2130798</v>
      </c>
      <c r="C4142" t="str">
        <f>IFERROR(__xludf.DUMMYFUNCTION("""COMPUTED_VALUE"""),"Logo Tasarımı Eğitimi + Temel Illustrator Eğitimi")</f>
        <v>Logo Tasarımı Eğitimi + Temel Illustrator Eğitimi</v>
      </c>
    </row>
    <row r="4143">
      <c r="A4143" s="140" t="str">
        <f>IFERROR(__xludf.DUMMYFUNCTION("""COMPUTED_VALUE"""),"en")</f>
        <v>en</v>
      </c>
      <c r="B4143">
        <f>IFERROR(__xludf.DUMMYFUNCTION("""COMPUTED_VALUE"""),1000200.0)</f>
        <v>1000200</v>
      </c>
      <c r="C4143" t="str">
        <f>IFERROR(__xludf.DUMMYFUNCTION("""COMPUTED_VALUE"""),"Cisco BGP Configuration &amp; Labs 2022-  Basic to Advanced!")</f>
        <v>Cisco BGP Configuration &amp; Labs 2022-  Basic to Advanced!</v>
      </c>
    </row>
    <row r="4144">
      <c r="A4144" s="140" t="str">
        <f>IFERROR(__xludf.DUMMYFUNCTION("""COMPUTED_VALUE"""),"en")</f>
        <v>en</v>
      </c>
      <c r="B4144">
        <f>IFERROR(__xludf.DUMMYFUNCTION("""COMPUTED_VALUE"""),1522272.0)</f>
        <v>1522272</v>
      </c>
      <c r="C4144" t="str">
        <f>IFERROR(__xludf.DUMMYFUNCTION("""COMPUTED_VALUE"""),"Windows Server 2016 Administration")</f>
        <v>Windows Server 2016 Administration</v>
      </c>
    </row>
    <row r="4145">
      <c r="A4145" s="140" t="str">
        <f>IFERROR(__xludf.DUMMYFUNCTION("""COMPUTED_VALUE"""),"en")</f>
        <v>en</v>
      </c>
      <c r="B4145">
        <f>IFERROR(__xludf.DUMMYFUNCTION("""COMPUTED_VALUE"""),4022034.0)</f>
        <v>4022034</v>
      </c>
      <c r="C4145" t="str">
        <f>IFERROR(__xludf.DUMMYFUNCTION("""COMPUTED_VALUE"""),"Hibernate and Spring Data JPA: Beginner to Guru")</f>
        <v>Hibernate and Spring Data JPA: Beginner to Guru</v>
      </c>
    </row>
    <row r="4146">
      <c r="A4146" s="140" t="str">
        <f>IFERROR(__xludf.DUMMYFUNCTION("""COMPUTED_VALUE"""),"en")</f>
        <v>en</v>
      </c>
      <c r="B4146">
        <f>IFERROR(__xludf.DUMMYFUNCTION("""COMPUTED_VALUE"""),2364990.0)</f>
        <v>2364990</v>
      </c>
      <c r="C4146" t="str">
        <f>IFERROR(__xludf.DUMMYFUNCTION("""COMPUTED_VALUE"""),"Modern Deliverability for Cold Email")</f>
        <v>Modern Deliverability for Cold Email</v>
      </c>
    </row>
    <row r="4147">
      <c r="A4147" s="140" t="str">
        <f>IFERROR(__xludf.DUMMYFUNCTION("""COMPUTED_VALUE"""),"pt")</f>
        <v>pt</v>
      </c>
      <c r="B4147">
        <f>IFERROR(__xludf.DUMMYFUNCTION("""COMPUTED_VALUE"""),1196380.0)</f>
        <v>1196380</v>
      </c>
      <c r="C4147" t="str">
        <f>IFERROR(__xludf.DUMMYFUNCTION("""COMPUTED_VALUE"""),"Python para Todos - Aprenda a criar diversas aplicações")</f>
        <v>Python para Todos - Aprenda a criar diversas aplicações</v>
      </c>
    </row>
    <row r="4148">
      <c r="A4148" s="140" t="str">
        <f>IFERROR(__xludf.DUMMYFUNCTION("""COMPUTED_VALUE"""),"en")</f>
        <v>en</v>
      </c>
      <c r="B4148">
        <f>IFERROR(__xludf.DUMMYFUNCTION("""COMPUTED_VALUE"""),349334.0)</f>
        <v>349334</v>
      </c>
      <c r="C4148" t="str">
        <f>IFERROR(__xludf.DUMMYFUNCTION("""COMPUTED_VALUE"""),"C# Performance Tricks: How To Radically Speed Up Your Code.")</f>
        <v>C# Performance Tricks: How To Radically Speed Up Your Code.</v>
      </c>
    </row>
    <row r="4149">
      <c r="A4149" s="140" t="str">
        <f>IFERROR(__xludf.DUMMYFUNCTION("""COMPUTED_VALUE"""),"en")</f>
        <v>en</v>
      </c>
      <c r="B4149">
        <f>IFERROR(__xludf.DUMMYFUNCTION("""COMPUTED_VALUE"""),1175200.0)</f>
        <v>1175200</v>
      </c>
      <c r="C4149" t="str">
        <f>IFERROR(__xludf.DUMMYFUNCTION("""COMPUTED_VALUE"""),"Statistics for Business Analytics and Data Science A-Z™")</f>
        <v>Statistics for Business Analytics and Data Science A-Z™</v>
      </c>
    </row>
    <row r="4150">
      <c r="A4150" s="140" t="str">
        <f>IFERROR(__xludf.DUMMYFUNCTION("""COMPUTED_VALUE"""),"en")</f>
        <v>en</v>
      </c>
      <c r="B4150">
        <f>IFERROR(__xludf.DUMMYFUNCTION("""COMPUTED_VALUE"""),2579102.0)</f>
        <v>2579102</v>
      </c>
      <c r="C4150" t="str">
        <f>IFERROR(__xludf.DUMMYFUNCTION("""COMPUTED_VALUE"""),"Designing Cartoon Characters in Adobe Animate")</f>
        <v>Designing Cartoon Characters in Adobe Animate</v>
      </c>
    </row>
    <row r="4151">
      <c r="A4151" s="140" t="str">
        <f>IFERROR(__xludf.DUMMYFUNCTION("""COMPUTED_VALUE"""),"es")</f>
        <v>es</v>
      </c>
      <c r="B4151">
        <f>IFERROR(__xludf.DUMMYFUNCTION("""COMPUTED_VALUE"""),773138.0)</f>
        <v>773138</v>
      </c>
      <c r="C4151" t="str">
        <f>IFERROR(__xludf.DUMMYFUNCTION("""COMPUTED_VALUE"""),"Wordpress — ¡Hazte Experto y Crea Tu Propia Web Profesional!")</f>
        <v>Wordpress — ¡Hazte Experto y Crea Tu Propia Web Profesional!</v>
      </c>
    </row>
    <row r="4152">
      <c r="A4152" s="140" t="str">
        <f>IFERROR(__xludf.DUMMYFUNCTION("""COMPUTED_VALUE"""),"pt")</f>
        <v>pt</v>
      </c>
      <c r="B4152">
        <f>IFERROR(__xludf.DUMMYFUNCTION("""COMPUTED_VALUE"""),1350462.0)</f>
        <v>1350462</v>
      </c>
      <c r="C4152" t="str">
        <f>IFERROR(__xludf.DUMMYFUNCTION("""COMPUTED_VALUE"""),"Formação Analista de Business Intelligence com Power BI")</f>
        <v>Formação Analista de Business Intelligence com Power BI</v>
      </c>
    </row>
    <row r="4153">
      <c r="A4153" s="140" t="str">
        <f>IFERROR(__xludf.DUMMYFUNCTION("""COMPUTED_VALUE"""),"en")</f>
        <v>en</v>
      </c>
      <c r="B4153">
        <f>IFERROR(__xludf.DUMMYFUNCTION("""COMPUTED_VALUE"""),3784432.0)</f>
        <v>3784432</v>
      </c>
      <c r="C4153" t="str">
        <f>IFERROR(__xludf.DUMMYFUNCTION("""COMPUTED_VALUE"""),"Tableau Prep for Business Intelligence")</f>
        <v>Tableau Prep for Business Intelligence</v>
      </c>
    </row>
    <row r="4154">
      <c r="A4154" s="140" t="str">
        <f>IFERROR(__xludf.DUMMYFUNCTION("""COMPUTED_VALUE"""),"en")</f>
        <v>en</v>
      </c>
      <c r="B4154">
        <f>IFERROR(__xludf.DUMMYFUNCTION("""COMPUTED_VALUE"""),3834108.0)</f>
        <v>3834108</v>
      </c>
      <c r="C4154" t="str">
        <f>IFERROR(__xludf.DUMMYFUNCTION("""COMPUTED_VALUE"""),"Google Certified Professional Cloud Architect Practice Tests")</f>
        <v>Google Certified Professional Cloud Architect Practice Tests</v>
      </c>
    </row>
    <row r="4155">
      <c r="A4155" s="140" t="str">
        <f>IFERROR(__xludf.DUMMYFUNCTION("""COMPUTED_VALUE"""),"en")</f>
        <v>en</v>
      </c>
      <c r="B4155">
        <f>IFERROR(__xludf.DUMMYFUNCTION("""COMPUTED_VALUE"""),853420.0)</f>
        <v>853420</v>
      </c>
      <c r="C4155" t="str">
        <f>IFERROR(__xludf.DUMMYFUNCTION("""COMPUTED_VALUE"""),"3D Game Development with Blender")</f>
        <v>3D Game Development with Blender</v>
      </c>
    </row>
    <row r="4156">
      <c r="A4156" s="140" t="str">
        <f>IFERROR(__xludf.DUMMYFUNCTION("""COMPUTED_VALUE"""),"ja")</f>
        <v>ja</v>
      </c>
      <c r="B4156">
        <f>IFERROR(__xludf.DUMMYFUNCTION("""COMPUTED_VALUE"""),2348438.0)</f>
        <v>2348438</v>
      </c>
      <c r="C4156" t="str">
        <f>IFERROR(__xludf.DUMMYFUNCTION("""COMPUTED_VALUE"""),"【グローバル・ビジネスケースから学ぶ】マーケティング戦略入門（日本語字幕版）")</f>
        <v>【グローバル・ビジネスケースから学ぶ】マーケティング戦略入門（日本語字幕版）</v>
      </c>
    </row>
    <row r="4157">
      <c r="A4157" s="140" t="str">
        <f>IFERROR(__xludf.DUMMYFUNCTION("""COMPUTED_VALUE"""),"ja")</f>
        <v>ja</v>
      </c>
      <c r="B4157">
        <f>IFERROR(__xludf.DUMMYFUNCTION("""COMPUTED_VALUE"""),2348438.0)</f>
        <v>2348438</v>
      </c>
      <c r="C4157" t="str">
        <f>IFERROR(__xludf.DUMMYFUNCTION("""COMPUTED_VALUE"""),"【グローバル・ビジネスケースから学ぶ】マーケティング戦略入門（日本語字幕版）")</f>
        <v>【グローバル・ビジネスケースから学ぶ】マーケティング戦略入門（日本語字幕版）</v>
      </c>
    </row>
    <row r="4158">
      <c r="A4158" s="140" t="str">
        <f>IFERROR(__xludf.DUMMYFUNCTION("""COMPUTED_VALUE"""),"pt")</f>
        <v>pt</v>
      </c>
      <c r="B4158">
        <f>IFERROR(__xludf.DUMMYFUNCTION("""COMPUTED_VALUE"""),3499892.0)</f>
        <v>3499892</v>
      </c>
      <c r="C4158" t="str">
        <f>IFERROR(__xludf.DUMMYFUNCTION("""COMPUTED_VALUE"""),"Marketing Sensorial - Curso COMPLETO")</f>
        <v>Marketing Sensorial - Curso COMPLETO</v>
      </c>
    </row>
    <row r="4159">
      <c r="A4159" s="140" t="str">
        <f>IFERROR(__xludf.DUMMYFUNCTION("""COMPUTED_VALUE"""),"en")</f>
        <v>en</v>
      </c>
      <c r="B4159">
        <f>IFERROR(__xludf.DUMMYFUNCTION("""COMPUTED_VALUE"""),2752048.0)</f>
        <v>2752048</v>
      </c>
      <c r="C4159" t="str">
        <f>IFERROR(__xludf.DUMMYFUNCTION("""COMPUTED_VALUE"""),"Data Warehouse Fundamentals for Beginners")</f>
        <v>Data Warehouse Fundamentals for Beginners</v>
      </c>
    </row>
    <row r="4160">
      <c r="A4160" s="140" t="str">
        <f>IFERROR(__xludf.DUMMYFUNCTION("""COMPUTED_VALUE"""),"en")</f>
        <v>en</v>
      </c>
      <c r="B4160">
        <f>IFERROR(__xludf.DUMMYFUNCTION("""COMPUTED_VALUE"""),1435776.0)</f>
        <v>1435776</v>
      </c>
      <c r="C4160" t="str">
        <f>IFERROR(__xludf.DUMMYFUNCTION("""COMPUTED_VALUE"""),"Business Analysis: Developing Irresistible Business Cases")</f>
        <v>Business Analysis: Developing Irresistible Business Cases</v>
      </c>
    </row>
    <row r="4161">
      <c r="A4161" s="140" t="str">
        <f>IFERROR(__xludf.DUMMYFUNCTION("""COMPUTED_VALUE"""),"ja")</f>
        <v>ja</v>
      </c>
      <c r="B4161">
        <f>IFERROR(__xludf.DUMMYFUNCTION("""COMPUTED_VALUE"""),3723958.0)</f>
        <v>3723958</v>
      </c>
      <c r="C4161" t="str">
        <f>IFERROR(__xludf.DUMMYFUNCTION("""COMPUTED_VALUE"""),"AWS と Packerで実現するInfrastructure as Code")</f>
        <v>AWS と Packerで実現するInfrastructure as Code</v>
      </c>
    </row>
    <row r="4162">
      <c r="A4162" s="140" t="str">
        <f>IFERROR(__xludf.DUMMYFUNCTION("""COMPUTED_VALUE"""),"en")</f>
        <v>en</v>
      </c>
      <c r="B4162">
        <f>IFERROR(__xludf.DUMMYFUNCTION("""COMPUTED_VALUE"""),820114.0)</f>
        <v>820114</v>
      </c>
      <c r="C4162" t="str">
        <f>IFERROR(__xludf.DUMMYFUNCTION("""COMPUTED_VALUE"""),"Employee Stock Options &amp; RSUs")</f>
        <v>Employee Stock Options &amp; RSUs</v>
      </c>
    </row>
    <row r="4163">
      <c r="A4163" s="140" t="str">
        <f>IFERROR(__xludf.DUMMYFUNCTION("""COMPUTED_VALUE"""),"de")</f>
        <v>de</v>
      </c>
      <c r="B4163">
        <f>IFERROR(__xludf.DUMMYFUNCTION("""COMPUTED_VALUE"""),1148046.0)</f>
        <v>1148046</v>
      </c>
      <c r="C4163" t="str">
        <f>IFERROR(__xludf.DUMMYFUNCTION("""COMPUTED_VALUE"""),"Präsentieren mit PowerPoint: Präsentationstraining")</f>
        <v>Präsentieren mit PowerPoint: Präsentationstraining</v>
      </c>
    </row>
    <row r="4164">
      <c r="A4164" s="140" t="str">
        <f>IFERROR(__xludf.DUMMYFUNCTION("""COMPUTED_VALUE"""),"tr")</f>
        <v>tr</v>
      </c>
      <c r="B4164">
        <f>IFERROR(__xludf.DUMMYFUNCTION("""COMPUTED_VALUE"""),1872200.0)</f>
        <v>1872200</v>
      </c>
      <c r="C4164" t="str">
        <f>IFERROR(__xludf.DUMMYFUNCTION("""COMPUTED_VALUE"""),"Sophos XG Firewall Örnek Topoloji Çalışması")</f>
        <v>Sophos XG Firewall Örnek Topoloji Çalışması</v>
      </c>
    </row>
    <row r="4165">
      <c r="A4165" s="140" t="str">
        <f>IFERROR(__xludf.DUMMYFUNCTION("""COMPUTED_VALUE"""),"ja")</f>
        <v>ja</v>
      </c>
      <c r="B4165">
        <f>IFERROR(__xludf.DUMMYFUNCTION("""COMPUTED_VALUE"""),1824856.0)</f>
        <v>1824856</v>
      </c>
      <c r="C4165" t="str">
        <f>IFERROR(__xludf.DUMMYFUNCTION("""COMPUTED_VALUE"""),"【ARKit2.0対応】6つのチャレンジでARKitを徹底攻略")</f>
        <v>【ARKit2.0対応】6つのチャレンジでARKitを徹底攻略</v>
      </c>
    </row>
    <row r="4166">
      <c r="A4166" s="140" t="str">
        <f>IFERROR(__xludf.DUMMYFUNCTION("""COMPUTED_VALUE"""),"fr")</f>
        <v>fr</v>
      </c>
      <c r="B4166">
        <f>IFERROR(__xludf.DUMMYFUNCTION("""COMPUTED_VALUE"""),3434420.0)</f>
        <v>3434420</v>
      </c>
      <c r="C4166" t="str">
        <f>IFERROR(__xludf.DUMMYFUNCTION("""COMPUTED_VALUE"""),"Wordpress pour débutant : Crée ton Propre Site de A à Z")</f>
        <v>Wordpress pour débutant : Crée ton Propre Site de A à Z</v>
      </c>
    </row>
    <row r="4167">
      <c r="A4167" s="140" t="str">
        <f>IFERROR(__xludf.DUMMYFUNCTION("""COMPUTED_VALUE"""),"es")</f>
        <v>es</v>
      </c>
      <c r="B4167">
        <f>IFERROR(__xludf.DUMMYFUNCTION("""COMPUTED_VALUE"""),3709202.0)</f>
        <v>3709202</v>
      </c>
      <c r="C4167" t="str">
        <f>IFERROR(__xludf.DUMMYFUNCTION("""COMPUTED_VALUE"""),"¡El Curso Definitivo de ZOOM 2021! ¡De básico a Experto!")</f>
        <v>¡El Curso Definitivo de ZOOM 2021! ¡De básico a Experto!</v>
      </c>
    </row>
    <row r="4168">
      <c r="A4168" s="140" t="str">
        <f>IFERROR(__xludf.DUMMYFUNCTION("""COMPUTED_VALUE"""),"en")</f>
        <v>en</v>
      </c>
      <c r="B4168">
        <f>IFERROR(__xludf.DUMMYFUNCTION("""COMPUTED_VALUE"""),2579842.0)</f>
        <v>2579842</v>
      </c>
      <c r="C4168" t="str">
        <f>IFERROR(__xludf.DUMMYFUNCTION("""COMPUTED_VALUE"""),"Software Architecture: REST API Design - The Complete Guide")</f>
        <v>Software Architecture: REST API Design - The Complete Guide</v>
      </c>
    </row>
    <row r="4169">
      <c r="A4169" s="140" t="str">
        <f>IFERROR(__xludf.DUMMYFUNCTION("""COMPUTED_VALUE"""),"en")</f>
        <v>en</v>
      </c>
      <c r="B4169">
        <f>IFERROR(__xludf.DUMMYFUNCTION("""COMPUTED_VALUE"""),2246852.0)</f>
        <v>2246852</v>
      </c>
      <c r="C4169" t="str">
        <f>IFERROR(__xludf.DUMMYFUNCTION("""COMPUTED_VALUE"""),"Emotional Intelligence at Work: Learn from Your Emotions")</f>
        <v>Emotional Intelligence at Work: Learn from Your Emotions</v>
      </c>
    </row>
    <row r="4170">
      <c r="A4170" s="140" t="str">
        <f>IFERROR(__xludf.DUMMYFUNCTION("""COMPUTED_VALUE"""),"ar")</f>
        <v>ar</v>
      </c>
      <c r="B4170">
        <f>IFERROR(__xludf.DUMMYFUNCTION("""COMPUTED_VALUE"""),2741882.0)</f>
        <v>2741882</v>
      </c>
      <c r="C4170" t="str">
        <f>IFERROR(__xludf.DUMMYFUNCTION("""COMPUTED_VALUE"""),"Autocad 2D Course For Surveyors")</f>
        <v>Autocad 2D Course For Surveyors</v>
      </c>
    </row>
    <row r="4171">
      <c r="A4171" s="140" t="str">
        <f>IFERROR(__xludf.DUMMYFUNCTION("""COMPUTED_VALUE"""),"pt")</f>
        <v>pt</v>
      </c>
      <c r="B4171">
        <f>IFERROR(__xludf.DUMMYFUNCTION("""COMPUTED_VALUE"""),2641150.0)</f>
        <v>2641150</v>
      </c>
      <c r="C4171" t="str">
        <f>IFERROR(__xludf.DUMMYFUNCTION("""COMPUTED_VALUE"""),"Matemática Financeira de A à Z - com HP12C e MS Excel (+32h)")</f>
        <v>Matemática Financeira de A à Z - com HP12C e MS Excel (+32h)</v>
      </c>
    </row>
    <row r="4172">
      <c r="A4172" s="140" t="str">
        <f>IFERROR(__xludf.DUMMYFUNCTION("""COMPUTED_VALUE"""),"en")</f>
        <v>en</v>
      </c>
      <c r="B4172">
        <f>IFERROR(__xludf.DUMMYFUNCTION("""COMPUTED_VALUE"""),2769406.0)</f>
        <v>2769406</v>
      </c>
      <c r="C4172" t="str">
        <f>IFERROR(__xludf.DUMMYFUNCTION("""COMPUTED_VALUE"""),"SAP Plant Maintenance(PM) Module Online Classes")</f>
        <v>SAP Plant Maintenance(PM) Module Online Classes</v>
      </c>
    </row>
    <row r="4173">
      <c r="A4173" s="140" t="str">
        <f>IFERROR(__xludf.DUMMYFUNCTION("""COMPUTED_VALUE"""),"ko")</f>
        <v>ko</v>
      </c>
      <c r="B4173">
        <f>IFERROR(__xludf.DUMMYFUNCTION("""COMPUTED_VALUE"""),4272914.0)</f>
        <v>4272914</v>
      </c>
      <c r="C4173" t="str">
        <f>IFERROR(__xludf.DUMMYFUNCTION("""COMPUTED_VALUE"""),"한국인의 영어 습관 고치기 Fixing English Habits for Korean Learners")</f>
        <v>한국인의 영어 습관 고치기 Fixing English Habits for Korean Learners</v>
      </c>
    </row>
    <row r="4174">
      <c r="A4174" s="140" t="str">
        <f>IFERROR(__xludf.DUMMYFUNCTION("""COMPUTED_VALUE"""),"ja")</f>
        <v>ja</v>
      </c>
      <c r="B4174">
        <f>IFERROR(__xludf.DUMMYFUNCTION("""COMPUTED_VALUE"""),2276005.0)</f>
        <v>2276005</v>
      </c>
      <c r="C4174" t="str">
        <f>IFERROR(__xludf.DUMMYFUNCTION("""COMPUTED_VALUE"""),"【AngularとNode.jsで始める】JavaScript系 WEBアプリケーション開発コンプリートガイド①")</f>
        <v>【AngularとNode.jsで始める】JavaScript系 WEBアプリケーション開発コンプリートガイド①</v>
      </c>
    </row>
    <row r="4175">
      <c r="A4175" s="140" t="str">
        <f>IFERROR(__xludf.DUMMYFUNCTION("""COMPUTED_VALUE"""),"en")</f>
        <v>en</v>
      </c>
      <c r="B4175">
        <f>IFERROR(__xludf.DUMMYFUNCTION("""COMPUTED_VALUE"""),3430386.0)</f>
        <v>3430386</v>
      </c>
      <c r="C4175" t="str">
        <f>IFERROR(__xludf.DUMMYFUNCTION("""COMPUTED_VALUE"""),"Create High Performing Teams - Learn Agile &amp; Hackathons")</f>
        <v>Create High Performing Teams - Learn Agile &amp; Hackathons</v>
      </c>
    </row>
    <row r="4176">
      <c r="A4176" s="140" t="str">
        <f>IFERROR(__xludf.DUMMYFUNCTION("""COMPUTED_VALUE"""),"de")</f>
        <v>de</v>
      </c>
      <c r="B4176">
        <f>IFERROR(__xludf.DUMMYFUNCTION("""COMPUTED_VALUE"""),1567028.0)</f>
        <v>1567028</v>
      </c>
      <c r="C4176" t="str">
        <f>IFERROR(__xludf.DUMMYFUNCTION("""COMPUTED_VALUE"""),"Agile Transformation")</f>
        <v>Agile Transformation</v>
      </c>
    </row>
    <row r="4177">
      <c r="A4177" s="140" t="str">
        <f>IFERROR(__xludf.DUMMYFUNCTION("""COMPUTED_VALUE"""),"es")</f>
        <v>es</v>
      </c>
      <c r="B4177">
        <f>IFERROR(__xludf.DUMMYFUNCTION("""COMPUTED_VALUE"""),2116096.0)</f>
        <v>2116096</v>
      </c>
      <c r="C4177" t="str">
        <f>IFERROR(__xludf.DUMMYFUNCTION("""COMPUTED_VALUE"""),"Japonés para principiantes. El método completo. Nivel 1")</f>
        <v>Japonés para principiantes. El método completo. Nivel 1</v>
      </c>
    </row>
    <row r="4178">
      <c r="A4178" s="140" t="str">
        <f>IFERROR(__xludf.DUMMYFUNCTION("""COMPUTED_VALUE"""),"es")</f>
        <v>es</v>
      </c>
      <c r="B4178">
        <f>IFERROR(__xludf.DUMMYFUNCTION("""COMPUTED_VALUE"""),2729398.0)</f>
        <v>2729398</v>
      </c>
      <c r="C4178" t="str">
        <f>IFERROR(__xludf.DUMMYFUNCTION("""COMPUTED_VALUE"""),"AZ-900 Microsoft Azure Fundamentals Curso en Español Nov2021")</f>
        <v>AZ-900 Microsoft Azure Fundamentals Curso en Español Nov2021</v>
      </c>
    </row>
    <row r="4179">
      <c r="A4179" s="140" t="str">
        <f>IFERROR(__xludf.DUMMYFUNCTION("""COMPUTED_VALUE"""),"ja")</f>
        <v>ja</v>
      </c>
      <c r="B4179">
        <f>IFERROR(__xludf.DUMMYFUNCTION("""COMPUTED_VALUE"""),3485968.0)</f>
        <v>3485968</v>
      </c>
      <c r="C4179" t="str">
        <f>IFERROR(__xludf.DUMMYFUNCTION("""COMPUTED_VALUE"""),"【超初心者用】初めてのAdobe illustrator(イラストレーター)使い方講座【完全版】")</f>
        <v>【超初心者用】初めてのAdobe illustrator(イラストレーター)使い方講座【完全版】</v>
      </c>
    </row>
    <row r="4180">
      <c r="A4180" s="140" t="str">
        <f>IFERROR(__xludf.DUMMYFUNCTION("""COMPUTED_VALUE"""),"pt")</f>
        <v>pt</v>
      </c>
      <c r="B4180">
        <f>IFERROR(__xludf.DUMMYFUNCTION("""COMPUTED_VALUE"""),1694348.0)</f>
        <v>1694348</v>
      </c>
      <c r="C4180" t="str">
        <f>IFERROR(__xludf.DUMMYFUNCTION("""COMPUTED_VALUE"""),"CRM . Gestão do Relacionamento com o Cliente")</f>
        <v>CRM . Gestão do Relacionamento com o Cliente</v>
      </c>
    </row>
    <row r="4181">
      <c r="A4181" s="140" t="str">
        <f>IFERROR(__xludf.DUMMYFUNCTION("""COMPUTED_VALUE"""),"pt")</f>
        <v>pt</v>
      </c>
      <c r="B4181">
        <f>IFERROR(__xludf.DUMMYFUNCTION("""COMPUTED_VALUE"""),2286517.0)</f>
        <v>2286517</v>
      </c>
      <c r="C4181" t="str">
        <f>IFERROR(__xludf.DUMMYFUNCTION("""COMPUTED_VALUE"""),"Processo de Automação de Teste Com Selenium WebDriver e Java")</f>
        <v>Processo de Automação de Teste Com Selenium WebDriver e Java</v>
      </c>
    </row>
    <row r="4182">
      <c r="A4182" s="140" t="str">
        <f>IFERROR(__xludf.DUMMYFUNCTION("""COMPUTED_VALUE"""),"en")</f>
        <v>en</v>
      </c>
      <c r="B4182">
        <f>IFERROR(__xludf.DUMMYFUNCTION("""COMPUTED_VALUE"""),1102570.0)</f>
        <v>1102570</v>
      </c>
      <c r="C4182" t="str">
        <f>IFERROR(__xludf.DUMMYFUNCTION("""COMPUTED_VALUE"""),"Salesforce Certified Platform Developer I")</f>
        <v>Salesforce Certified Platform Developer I</v>
      </c>
    </row>
    <row r="4183">
      <c r="A4183" s="140" t="str">
        <f>IFERROR(__xludf.DUMMYFUNCTION("""COMPUTED_VALUE"""),"en")</f>
        <v>en</v>
      </c>
      <c r="B4183">
        <f>IFERROR(__xludf.DUMMYFUNCTION("""COMPUTED_VALUE"""),3754106.0)</f>
        <v>3754106</v>
      </c>
      <c r="C4183" t="str">
        <f>IFERROR(__xludf.DUMMYFUNCTION("""COMPUTED_VALUE"""),"Natural Language Processing: NLP With Transformers in Python")</f>
        <v>Natural Language Processing: NLP With Transformers in Python</v>
      </c>
    </row>
    <row r="4184">
      <c r="A4184" s="140" t="str">
        <f>IFERROR(__xludf.DUMMYFUNCTION("""COMPUTED_VALUE"""),"en")</f>
        <v>en</v>
      </c>
      <c r="B4184">
        <f>IFERROR(__xludf.DUMMYFUNCTION("""COMPUTED_VALUE"""),3019460.0)</f>
        <v>3019460</v>
      </c>
      <c r="C4184" t="str">
        <f>IFERROR(__xludf.DUMMYFUNCTION("""COMPUTED_VALUE"""),"Math For Video Games: The Fastest Way To Get Smarter At Math")</f>
        <v>Math For Video Games: The Fastest Way To Get Smarter At Math</v>
      </c>
    </row>
    <row r="4185">
      <c r="A4185" s="140" t="str">
        <f>IFERROR(__xludf.DUMMYFUNCTION("""COMPUTED_VALUE"""),"ja")</f>
        <v>ja</v>
      </c>
      <c r="B4185">
        <f>IFERROR(__xludf.DUMMYFUNCTION("""COMPUTED_VALUE"""),3062354.0)</f>
        <v>3062354</v>
      </c>
      <c r="C4185" t="str">
        <f>IFERROR(__xludf.DUMMYFUNCTION("""COMPUTED_VALUE"""),"はじめての財務分析（入門）～財務三表（B/S、P/L、C/S）の構造を押さえよう！4時間でシンプルに本質をつかむ")</f>
        <v>はじめての財務分析（入門）～財務三表（B/S、P/L、C/S）の構造を押さえよう！4時間でシンプルに本質をつかむ</v>
      </c>
    </row>
    <row r="4186">
      <c r="A4186" s="140" t="str">
        <f>IFERROR(__xludf.DUMMYFUNCTION("""COMPUTED_VALUE"""),"en")</f>
        <v>en</v>
      </c>
      <c r="B4186">
        <f>IFERROR(__xludf.DUMMYFUNCTION("""COMPUTED_VALUE"""),2494940.0)</f>
        <v>2494940</v>
      </c>
      <c r="C4186" t="str">
        <f>IFERROR(__xludf.DUMMYFUNCTION("""COMPUTED_VALUE"""),"Microsoft Excel: Practical MS Excel + MS Excel data analysis")</f>
        <v>Microsoft Excel: Practical MS Excel + MS Excel data analysis</v>
      </c>
    </row>
    <row r="4187">
      <c r="A4187" s="140" t="str">
        <f>IFERROR(__xludf.DUMMYFUNCTION("""COMPUTED_VALUE"""),"en")</f>
        <v>en</v>
      </c>
      <c r="B4187">
        <f>IFERROR(__xludf.DUMMYFUNCTION("""COMPUTED_VALUE"""),563556.0)</f>
        <v>563556</v>
      </c>
      <c r="C4187" t="str">
        <f>IFERROR(__xludf.DUMMYFUNCTION("""COMPUTED_VALUE"""),"Personal Branding: Strengthen Your Professional Reputation")</f>
        <v>Personal Branding: Strengthen Your Professional Reputation</v>
      </c>
    </row>
    <row r="4188">
      <c r="A4188" s="140" t="str">
        <f>IFERROR(__xludf.DUMMYFUNCTION("""COMPUTED_VALUE"""),"en")</f>
        <v>en</v>
      </c>
      <c r="B4188">
        <f>IFERROR(__xludf.DUMMYFUNCTION("""COMPUTED_VALUE"""),432902.0)</f>
        <v>432902</v>
      </c>
      <c r="C4188" t="str">
        <f>IFERROR(__xludf.DUMMYFUNCTION("""COMPUTED_VALUE"""),"VIDEO EDITING. Techniques loved by pro broadcast filmmakers")</f>
        <v>VIDEO EDITING. Techniques loved by pro broadcast filmmakers</v>
      </c>
    </row>
    <row r="4189">
      <c r="A4189" s="140" t="str">
        <f>IFERROR(__xludf.DUMMYFUNCTION("""COMPUTED_VALUE"""),"fr")</f>
        <v>fr</v>
      </c>
      <c r="B4189">
        <f>IFERROR(__xludf.DUMMYFUNCTION("""COMPUTED_VALUE"""),1977972.0)</f>
        <v>1977972</v>
      </c>
      <c r="C4189" t="str">
        <f>IFERROR(__xludf.DUMMYFUNCTION("""COMPUTED_VALUE"""),"Cours d’Espagnol pour Débutants")</f>
        <v>Cours d’Espagnol pour Débutants</v>
      </c>
    </row>
    <row r="4190">
      <c r="A4190" s="140" t="str">
        <f>IFERROR(__xludf.DUMMYFUNCTION("""COMPUTED_VALUE"""),"es")</f>
        <v>es</v>
      </c>
      <c r="B4190">
        <f>IFERROR(__xludf.DUMMYFUNCTION("""COMPUTED_VALUE"""),2043988.0)</f>
        <v>2043988</v>
      </c>
      <c r="C4190" t="str">
        <f>IFERROR(__xludf.DUMMYFUNCTION("""COMPUTED_VALUE"""),"Máster en Front-End: Crea Temas para WordPress, PHP, Angular")</f>
        <v>Máster en Front-End: Crea Temas para WordPress, PHP, Angular</v>
      </c>
    </row>
    <row r="4191">
      <c r="A4191" s="140" t="str">
        <f>IFERROR(__xludf.DUMMYFUNCTION("""COMPUTED_VALUE"""),"es")</f>
        <v>es</v>
      </c>
      <c r="B4191">
        <f>IFERROR(__xludf.DUMMYFUNCTION("""COMPUTED_VALUE"""),195108.0)</f>
        <v>195108</v>
      </c>
      <c r="C4191" t="str">
        <f>IFERROR(__xludf.DUMMYFUNCTION("""COMPUTED_VALUE"""),"Excel Completo: De Principiante hasta Avanzado + Certificado")</f>
        <v>Excel Completo: De Principiante hasta Avanzado + Certificado</v>
      </c>
    </row>
    <row r="4192">
      <c r="A4192" s="140" t="str">
        <f>IFERROR(__xludf.DUMMYFUNCTION("""COMPUTED_VALUE"""),"ko")</f>
        <v>ko</v>
      </c>
      <c r="B4192">
        <f>IFERROR(__xludf.DUMMYFUNCTION("""COMPUTED_VALUE"""),921654.0)</f>
        <v>921654</v>
      </c>
      <c r="C4192" t="str">
        <f>IFERROR(__xludf.DUMMYFUNCTION("""COMPUTED_VALUE"""),"이슈트래킹과 협업을 더 쉽게! 전문가에게 배우는 JIRA 첫걸음")</f>
        <v>이슈트래킹과 협업을 더 쉽게! 전문가에게 배우는 JIRA 첫걸음</v>
      </c>
    </row>
    <row r="4193">
      <c r="A4193" s="140" t="str">
        <f>IFERROR(__xludf.DUMMYFUNCTION("""COMPUTED_VALUE"""),"es")</f>
        <v>es</v>
      </c>
      <c r="B4193">
        <f>IFERROR(__xludf.DUMMYFUNCTION("""COMPUTED_VALUE"""),4333566.0)</f>
        <v>4333566</v>
      </c>
      <c r="C4193" t="str">
        <f>IFERROR(__xludf.DUMMYFUNCTION("""COMPUTED_VALUE"""),"Growth Marketing: Aprende Growth Hacking desde Cero")</f>
        <v>Growth Marketing: Aprende Growth Hacking desde Cero</v>
      </c>
    </row>
    <row r="4194">
      <c r="A4194" s="140" t="str">
        <f>IFERROR(__xludf.DUMMYFUNCTION("""COMPUTED_VALUE"""),"en")</f>
        <v>en</v>
      </c>
      <c r="B4194">
        <f>IFERROR(__xludf.DUMMYFUNCTION("""COMPUTED_VALUE"""),2068149.0)</f>
        <v>2068149</v>
      </c>
      <c r="C4194" t="str">
        <f>IFERROR(__xludf.DUMMYFUNCTION("""COMPUTED_VALUE"""),"Microcontroller Embedded C Programming: Absolute Beginners")</f>
        <v>Microcontroller Embedded C Programming: Absolute Beginners</v>
      </c>
    </row>
    <row r="4195">
      <c r="A4195" s="140" t="str">
        <f>IFERROR(__xludf.DUMMYFUNCTION("""COMPUTED_VALUE"""),"en")</f>
        <v>en</v>
      </c>
      <c r="B4195">
        <f>IFERROR(__xludf.DUMMYFUNCTION("""COMPUTED_VALUE"""),522258.0)</f>
        <v>522258</v>
      </c>
      <c r="C4195" t="str">
        <f>IFERROR(__xludf.DUMMYFUNCTION("""COMPUTED_VALUE"""),"Cisco Network Security Master Class")</f>
        <v>Cisco Network Security Master Class</v>
      </c>
    </row>
    <row r="4196">
      <c r="A4196" s="140" t="str">
        <f>IFERROR(__xludf.DUMMYFUNCTION("""COMPUTED_VALUE"""),"en")</f>
        <v>en</v>
      </c>
      <c r="B4196">
        <f>IFERROR(__xludf.DUMMYFUNCTION("""COMPUTED_VALUE"""),2369426.0)</f>
        <v>2369426</v>
      </c>
      <c r="C4196" t="str">
        <f>IFERROR(__xludf.DUMMYFUNCTION("""COMPUTED_VALUE"""),"Complete Angular 11 from Zero to Hero | Complete Guide")</f>
        <v>Complete Angular 11 from Zero to Hero | Complete Guide</v>
      </c>
    </row>
    <row r="4197">
      <c r="A4197" s="140" t="str">
        <f>IFERROR(__xludf.DUMMYFUNCTION("""COMPUTED_VALUE"""),"pt")</f>
        <v>pt</v>
      </c>
      <c r="B4197">
        <f>IFERROR(__xludf.DUMMYFUNCTION("""COMPUTED_VALUE"""),1692454.0)</f>
        <v>1692454</v>
      </c>
      <c r="C4197" t="str">
        <f>IFERROR(__xludf.DUMMYFUNCTION("""COMPUTED_VALUE"""),"Deploy Django VPS Linux com Apache2, NGINX, uWSGI e Systemct")</f>
        <v>Deploy Django VPS Linux com Apache2, NGINX, uWSGI e Systemct</v>
      </c>
    </row>
    <row r="4198">
      <c r="A4198" s="140" t="str">
        <f>IFERROR(__xludf.DUMMYFUNCTION("""COMPUTED_VALUE"""),"es")</f>
        <v>es</v>
      </c>
      <c r="B4198">
        <f>IFERROR(__xludf.DUMMYFUNCTION("""COMPUTED_VALUE"""),784812.0)</f>
        <v>784812</v>
      </c>
      <c r="C4198" t="str">
        <f>IFERROR(__xludf.DUMMYFUNCTION("""COMPUTED_VALUE"""),"VRay SketchUp. De Básico a Profesional Experto (ChaosGroup)")</f>
        <v>VRay SketchUp. De Básico a Profesional Experto (ChaosGroup)</v>
      </c>
    </row>
    <row r="4199">
      <c r="A4199" s="140" t="str">
        <f>IFERROR(__xludf.DUMMYFUNCTION("""COMPUTED_VALUE"""),"en")</f>
        <v>en</v>
      </c>
      <c r="B4199">
        <f>IFERROR(__xludf.DUMMYFUNCTION("""COMPUTED_VALUE"""),867204.0)</f>
        <v>867204</v>
      </c>
      <c r="C4199" t="str">
        <f>IFERROR(__xludf.DUMMYFUNCTION("""COMPUTED_VALUE"""),"Learn Professional Pixel Art &amp; Animation for Games")</f>
        <v>Learn Professional Pixel Art &amp; Animation for Games</v>
      </c>
    </row>
    <row r="4200">
      <c r="A4200" s="140" t="str">
        <f>IFERROR(__xludf.DUMMYFUNCTION("""COMPUTED_VALUE"""),"es")</f>
        <v>es</v>
      </c>
      <c r="B4200">
        <f>IFERROR(__xludf.DUMMYFUNCTION("""COMPUTED_VALUE"""),3761864.0)</f>
        <v>3761864</v>
      </c>
      <c r="C4200" t="str">
        <f>IFERROR(__xludf.DUMMYFUNCTION("""COMPUTED_VALUE"""),"Google Earth Engine y Machine Learning: de cero a experto!")</f>
        <v>Google Earth Engine y Machine Learning: de cero a experto!</v>
      </c>
    </row>
    <row r="4201">
      <c r="A4201" s="140" t="str">
        <f>IFERROR(__xludf.DUMMYFUNCTION("""COMPUTED_VALUE"""),"de")</f>
        <v>de</v>
      </c>
      <c r="B4201">
        <f>IFERROR(__xludf.DUMMYFUNCTION("""COMPUTED_VALUE"""),2358860.0)</f>
        <v>2358860</v>
      </c>
      <c r="C4201" t="str">
        <f>IFERROR(__xludf.DUMMYFUNCTION("""COMPUTED_VALUE"""),"MicroPython: Python für Mikrocontroller")</f>
        <v>MicroPython: Python für Mikrocontroller</v>
      </c>
    </row>
    <row r="4202">
      <c r="A4202" s="140" t="str">
        <f>IFERROR(__xludf.DUMMYFUNCTION("""COMPUTED_VALUE"""),"ko")</f>
        <v>ko</v>
      </c>
      <c r="B4202">
        <f>IFERROR(__xludf.DUMMYFUNCTION("""COMPUTED_VALUE"""),2961248.0)</f>
        <v>2961248</v>
      </c>
      <c r="C4202" t="str">
        <f>IFERROR(__xludf.DUMMYFUNCTION("""COMPUTED_VALUE"""),"문과인데 파이썬 할 수 있을까요?")</f>
        <v>문과인데 파이썬 할 수 있을까요?</v>
      </c>
    </row>
    <row r="4203">
      <c r="A4203" s="140" t="str">
        <f>IFERROR(__xludf.DUMMYFUNCTION("""COMPUTED_VALUE"""),"es")</f>
        <v>es</v>
      </c>
      <c r="B4203">
        <f>IFERROR(__xludf.DUMMYFUNCTION("""COMPUTED_VALUE"""),2556762.0)</f>
        <v>2556762</v>
      </c>
      <c r="C4203" t="str">
        <f>IFERROR(__xludf.DUMMYFUNCTION("""COMPUTED_VALUE"""),"Liderazgo y Gestión de Equipos - Nivel Avanzado 2021")</f>
        <v>Liderazgo y Gestión de Equipos - Nivel Avanzado 2021</v>
      </c>
    </row>
    <row r="4204">
      <c r="A4204" s="140" t="str">
        <f>IFERROR(__xludf.DUMMYFUNCTION("""COMPUTED_VALUE"""),"en")</f>
        <v>en</v>
      </c>
      <c r="B4204">
        <f>IFERROR(__xludf.DUMMYFUNCTION("""COMPUTED_VALUE"""),1449032.0)</f>
        <v>1449032</v>
      </c>
      <c r="C4204" t="str">
        <f>IFERROR(__xludf.DUMMYFUNCTION("""COMPUTED_VALUE"""),"Cisco Certified Technician R&amp;S RSTECH (100-490) Training")</f>
        <v>Cisco Certified Technician R&amp;S RSTECH (100-490) Training</v>
      </c>
    </row>
    <row r="4205">
      <c r="A4205" s="140" t="str">
        <f>IFERROR(__xludf.DUMMYFUNCTION("""COMPUTED_VALUE"""),"en")</f>
        <v>en</v>
      </c>
      <c r="B4205">
        <f>IFERROR(__xludf.DUMMYFUNCTION("""COMPUTED_VALUE"""),2413324.0)</f>
        <v>2413324</v>
      </c>
      <c r="C4205" t="str">
        <f>IFERROR(__xludf.DUMMYFUNCTION("""COMPUTED_VALUE"""),"The Complete Regular Expressions(Regex) Course For Beginners")</f>
        <v>The Complete Regular Expressions(Regex) Course For Beginners</v>
      </c>
    </row>
    <row r="4206">
      <c r="A4206" s="140" t="str">
        <f>IFERROR(__xludf.DUMMYFUNCTION("""COMPUTED_VALUE"""),"ja")</f>
        <v>ja</v>
      </c>
      <c r="B4206">
        <f>IFERROR(__xludf.DUMMYFUNCTION("""COMPUTED_VALUE"""),1335752.0)</f>
        <v>1335752</v>
      </c>
      <c r="C4206" t="str">
        <f>IFERROR(__xludf.DUMMYFUNCTION("""COMPUTED_VALUE"""),"はじめてのLinuxサーバー構築運用入門 - Linuxコマンドラインを基礎から学び、自分のウェブサーバまで構築できる")</f>
        <v>はじめてのLinuxサーバー構築運用入門 - Linuxコマンドラインを基礎から学び、自分のウェブサーバまで構築できる</v>
      </c>
    </row>
    <row r="4207">
      <c r="A4207" s="140" t="str">
        <f>IFERROR(__xludf.DUMMYFUNCTION("""COMPUTED_VALUE"""),"ja")</f>
        <v>ja</v>
      </c>
      <c r="B4207">
        <f>IFERROR(__xludf.DUMMYFUNCTION("""COMPUTED_VALUE"""),2394060.0)</f>
        <v>2394060</v>
      </c>
      <c r="C4207" t="str">
        <f>IFERROR(__xludf.DUMMYFUNCTION("""COMPUTED_VALUE"""),"BigQuery で学ぶ非エンジニアのための SQL データ分析入門")</f>
        <v>BigQuery で学ぶ非エンジニアのための SQL データ分析入門</v>
      </c>
    </row>
    <row r="4208">
      <c r="A4208" s="140" t="str">
        <f>IFERROR(__xludf.DUMMYFUNCTION("""COMPUTED_VALUE"""),"es")</f>
        <v>es</v>
      </c>
      <c r="B4208">
        <f>IFERROR(__xludf.DUMMYFUNCTION("""COMPUTED_VALUE"""),3590654.0)</f>
        <v>3590654</v>
      </c>
      <c r="C4208" t="str">
        <f>IFERROR(__xludf.DUMMYFUNCTION("""COMPUTED_VALUE"""),"Curso de Android 11 con Kotlin: Intensivo y práctico 2021")</f>
        <v>Curso de Android 11 con Kotlin: Intensivo y práctico 2021</v>
      </c>
    </row>
    <row r="4209">
      <c r="A4209" s="140" t="str">
        <f>IFERROR(__xludf.DUMMYFUNCTION("""COMPUTED_VALUE"""),"en")</f>
        <v>en</v>
      </c>
      <c r="B4209">
        <f>IFERROR(__xludf.DUMMYFUNCTION("""COMPUTED_VALUE"""),4297616.0)</f>
        <v>4297616</v>
      </c>
      <c r="C4209" t="str">
        <f>IFERROR(__xludf.DUMMYFUNCTION("""COMPUTED_VALUE"""),"Building an Organizational Budget")</f>
        <v>Building an Organizational Budget</v>
      </c>
    </row>
    <row r="4210">
      <c r="A4210" s="140" t="str">
        <f>IFERROR(__xludf.DUMMYFUNCTION("""COMPUTED_VALUE"""),"en")</f>
        <v>en</v>
      </c>
      <c r="B4210">
        <f>IFERROR(__xludf.DUMMYFUNCTION("""COMPUTED_VALUE"""),1859766.0)</f>
        <v>1859766</v>
      </c>
      <c r="C4210" t="str">
        <f>IFERROR(__xludf.DUMMYFUNCTION("""COMPUTED_VALUE"""),"Master Dynamics 365 Tables, Relationships, And Columns.")</f>
        <v>Master Dynamics 365 Tables, Relationships, And Columns.</v>
      </c>
    </row>
    <row r="4211">
      <c r="A4211" s="140" t="str">
        <f>IFERROR(__xludf.DUMMYFUNCTION("""COMPUTED_VALUE"""),"en")</f>
        <v>en</v>
      </c>
      <c r="B4211">
        <f>IFERROR(__xludf.DUMMYFUNCTION("""COMPUTED_VALUE"""),1245422.0)</f>
        <v>1245422</v>
      </c>
      <c r="C4211" t="str">
        <f>IFERROR(__xludf.DUMMYFUNCTION("""COMPUTED_VALUE"""),"Master SQL For Data Science")</f>
        <v>Master SQL For Data Science</v>
      </c>
    </row>
    <row r="4212">
      <c r="A4212" s="140" t="str">
        <f>IFERROR(__xludf.DUMMYFUNCTION("""COMPUTED_VALUE"""),"de")</f>
        <v>de</v>
      </c>
      <c r="B4212">
        <f>IFERROR(__xludf.DUMMYFUNCTION("""COMPUTED_VALUE"""),1431146.0)</f>
        <v>1431146</v>
      </c>
      <c r="C4212" t="str">
        <f>IFERROR(__xludf.DUMMYFUNCTION("""COMPUTED_VALUE"""),"LPIC-1 Linux-Bootcamp - In 30 Tagen zum Linux-Admin")</f>
        <v>LPIC-1 Linux-Bootcamp - In 30 Tagen zum Linux-Admin</v>
      </c>
    </row>
    <row r="4213">
      <c r="A4213" s="140" t="str">
        <f>IFERROR(__xludf.DUMMYFUNCTION("""COMPUTED_VALUE"""),"en")</f>
        <v>en</v>
      </c>
      <c r="B4213">
        <f>IFERROR(__xludf.DUMMYFUNCTION("""COMPUTED_VALUE"""),3362284.0)</f>
        <v>3362284</v>
      </c>
      <c r="C4213" t="str">
        <f>IFERROR(__xludf.DUMMYFUNCTION("""COMPUTED_VALUE"""),"Artificial Intelligence Ethics Certification")</f>
        <v>Artificial Intelligence Ethics Certification</v>
      </c>
    </row>
    <row r="4214">
      <c r="A4214" s="140" t="str">
        <f>IFERROR(__xludf.DUMMYFUNCTION("""COMPUTED_VALUE"""),"en")</f>
        <v>en</v>
      </c>
      <c r="B4214">
        <f>IFERROR(__xludf.DUMMYFUNCTION("""COMPUTED_VALUE"""),1473698.0)</f>
        <v>1473698</v>
      </c>
      <c r="C4214" t="str">
        <f>IFERROR(__xludf.DUMMYFUNCTION("""COMPUTED_VALUE"""),"Grafana Beginner to Advanced (3rd Edition)")</f>
        <v>Grafana Beginner to Advanced (3rd Edition)</v>
      </c>
    </row>
    <row r="4215">
      <c r="A4215" s="140" t="str">
        <f>IFERROR(__xludf.DUMMYFUNCTION("""COMPUTED_VALUE"""),"en")</f>
        <v>en</v>
      </c>
      <c r="B4215">
        <f>IFERROR(__xludf.DUMMYFUNCTION("""COMPUTED_VALUE"""),1715894.0)</f>
        <v>1715894</v>
      </c>
      <c r="C4215" t="str">
        <f>IFERROR(__xludf.DUMMYFUNCTION("""COMPUTED_VALUE"""),"Full-Stack React with GraphQL and Apollo Boost")</f>
        <v>Full-Stack React with GraphQL and Apollo Boost</v>
      </c>
    </row>
    <row r="4216">
      <c r="A4216" s="140" t="str">
        <f>IFERROR(__xludf.DUMMYFUNCTION("""COMPUTED_VALUE"""),"pt")</f>
        <v>pt</v>
      </c>
      <c r="B4216">
        <f>IFERROR(__xludf.DUMMYFUNCTION("""COMPUTED_VALUE"""),1563834.0)</f>
        <v>1563834</v>
      </c>
      <c r="C4216" t="str">
        <f>IFERROR(__xludf.DUMMYFUNCTION("""COMPUTED_VALUE"""),"Automação de Testes com Robot Framework - Básico")</f>
        <v>Automação de Testes com Robot Framework - Básico</v>
      </c>
    </row>
    <row r="4217">
      <c r="A4217" s="140" t="str">
        <f>IFERROR(__xludf.DUMMYFUNCTION("""COMPUTED_VALUE"""),"es")</f>
        <v>es</v>
      </c>
      <c r="B4217">
        <f>IFERROR(__xludf.DUMMYFUNCTION("""COMPUTED_VALUE"""),2264216.0)</f>
        <v>2264216</v>
      </c>
      <c r="C4217" t="str">
        <f>IFERROR(__xludf.DUMMYFUNCTION("""COMPUTED_VALUE"""),"Master en Python: Aprender Python 3, Django, Flask y Tkinter")</f>
        <v>Master en Python: Aprender Python 3, Django, Flask y Tkinter</v>
      </c>
    </row>
    <row r="4218">
      <c r="A4218" s="140" t="str">
        <f>IFERROR(__xludf.DUMMYFUNCTION("""COMPUTED_VALUE"""),"de")</f>
        <v>de</v>
      </c>
      <c r="B4218">
        <f>IFERROR(__xludf.DUMMYFUNCTION("""COMPUTED_VALUE"""),2775928.0)</f>
        <v>2775928</v>
      </c>
      <c r="C4218" t="str">
        <f>IFERROR(__xludf.DUMMYFUNCTION("""COMPUTED_VALUE"""),"Die Schreibwerkstatt")</f>
        <v>Die Schreibwerkstatt</v>
      </c>
    </row>
    <row r="4219">
      <c r="A4219" s="140" t="str">
        <f>IFERROR(__xludf.DUMMYFUNCTION("""COMPUTED_VALUE"""),"en")</f>
        <v>en</v>
      </c>
      <c r="B4219">
        <f>IFERROR(__xludf.DUMMYFUNCTION("""COMPUTED_VALUE"""),324226.0)</f>
        <v>324226</v>
      </c>
      <c r="C4219" t="str">
        <f>IFERROR(__xludf.DUMMYFUNCTION("""COMPUTED_VALUE"""),"Master Flute Playing: Intermediate Instruction Made Simple!")</f>
        <v>Master Flute Playing: Intermediate Instruction Made Simple!</v>
      </c>
    </row>
    <row r="4220">
      <c r="A4220" s="140" t="str">
        <f>IFERROR(__xludf.DUMMYFUNCTION("""COMPUTED_VALUE"""),"en")</f>
        <v>en</v>
      </c>
      <c r="B4220">
        <f>IFERROR(__xludf.DUMMYFUNCTION("""COMPUTED_VALUE"""),1355214.0)</f>
        <v>1355214</v>
      </c>
      <c r="C4220" t="str">
        <f>IFERROR(__xludf.DUMMYFUNCTION("""COMPUTED_VALUE"""),"The Complete Train the Trainer Bootcamp (Part 3): All Levels")</f>
        <v>The Complete Train the Trainer Bootcamp (Part 3): All Levels</v>
      </c>
    </row>
    <row r="4221">
      <c r="A4221" s="140" t="str">
        <f>IFERROR(__xludf.DUMMYFUNCTION("""COMPUTED_VALUE"""),"en")</f>
        <v>en</v>
      </c>
      <c r="B4221">
        <f>IFERROR(__xludf.DUMMYFUNCTION("""COMPUTED_VALUE"""),2167462.0)</f>
        <v>2167462</v>
      </c>
      <c r="C4221" t="str">
        <f>IFERROR(__xludf.DUMMYFUNCTION("""COMPUTED_VALUE"""),"Salesforce Marketing Cloud Email Specialist Practice Tests")</f>
        <v>Salesforce Marketing Cloud Email Specialist Practice Tests</v>
      </c>
    </row>
    <row r="4222">
      <c r="A4222" s="140" t="str">
        <f>IFERROR(__xludf.DUMMYFUNCTION("""COMPUTED_VALUE"""),"en")</f>
        <v>en</v>
      </c>
      <c r="B4222">
        <f>IFERROR(__xludf.DUMMYFUNCTION("""COMPUTED_VALUE"""),1013558.0)</f>
        <v>1013558</v>
      </c>
      <c r="C4222" t="str">
        <f>IFERROR(__xludf.DUMMYFUNCTION("""COMPUTED_VALUE"""),"Pure Pentatonic Power: Rock and Blues Lead Guitar Course")</f>
        <v>Pure Pentatonic Power: Rock and Blues Lead Guitar Course</v>
      </c>
    </row>
    <row r="4223">
      <c r="A4223" s="140" t="str">
        <f>IFERROR(__xludf.DUMMYFUNCTION("""COMPUTED_VALUE"""),"es")</f>
        <v>es</v>
      </c>
      <c r="B4223">
        <f>IFERROR(__xludf.DUMMYFUNCTION("""COMPUTED_VALUE"""),3064002.0)</f>
        <v>3064002</v>
      </c>
      <c r="C4223" t="str">
        <f>IFERROR(__xludf.DUMMYFUNCTION("""COMPUTED_VALUE"""),"¿Cómo vender en Amazon con éxito? + Métricas Digitales")</f>
        <v>¿Cómo vender en Amazon con éxito? + Métricas Digitales</v>
      </c>
    </row>
    <row r="4224">
      <c r="A4224" s="140" t="str">
        <f>IFERROR(__xludf.DUMMYFUNCTION("""COMPUTED_VALUE"""),"en")</f>
        <v>en</v>
      </c>
      <c r="B4224">
        <f>IFERROR(__xludf.DUMMYFUNCTION("""COMPUTED_VALUE"""),1197206.0)</f>
        <v>1197206</v>
      </c>
      <c r="C4224" t="str">
        <f>IFERROR(__xludf.DUMMYFUNCTION("""COMPUTED_VALUE"""),"Illustrator 2022 MasterClass")</f>
        <v>Illustrator 2022 MasterClass</v>
      </c>
    </row>
    <row r="4225">
      <c r="A4225" s="140" t="str">
        <f>IFERROR(__xludf.DUMMYFUNCTION("""COMPUTED_VALUE"""),"es")</f>
        <v>es</v>
      </c>
      <c r="B4225">
        <f>IFERROR(__xludf.DUMMYFUNCTION("""COMPUTED_VALUE"""),2336752.0)</f>
        <v>2336752</v>
      </c>
      <c r="C4225" t="str">
        <f>IFERROR(__xludf.DUMMYFUNCTION("""COMPUTED_VALUE"""),"Súper Memoria: Cómo Desarrollar una Mente Poderosa.")</f>
        <v>Súper Memoria: Cómo Desarrollar una Mente Poderosa.</v>
      </c>
    </row>
    <row r="4226">
      <c r="A4226" s="140" t="str">
        <f>IFERROR(__xludf.DUMMYFUNCTION("""COMPUTED_VALUE"""),"en")</f>
        <v>en</v>
      </c>
      <c r="B4226">
        <f>IFERROR(__xludf.DUMMYFUNCTION("""COMPUTED_VALUE"""),2593518.0)</f>
        <v>2593518</v>
      </c>
      <c r="C4226" t="str">
        <f>IFERROR(__xludf.DUMMYFUNCTION("""COMPUTED_VALUE"""),"Django &amp; Python: complete BUNDLE + Django real project 2020")</f>
        <v>Django &amp; Python: complete BUNDLE + Django real project 2020</v>
      </c>
    </row>
    <row r="4227">
      <c r="A4227" s="140" t="str">
        <f>IFERROR(__xludf.DUMMYFUNCTION("""COMPUTED_VALUE"""),"pt")</f>
        <v>pt</v>
      </c>
      <c r="B4227">
        <f>IFERROR(__xludf.DUMMYFUNCTION("""COMPUTED_VALUE"""),3500552.0)</f>
        <v>3500552</v>
      </c>
      <c r="C4227" t="str">
        <f>IFERROR(__xludf.DUMMYFUNCTION("""COMPUTED_VALUE"""),"SAP - Além do básico (MM,PP,FI,CO)")</f>
        <v>SAP - Além do básico (MM,PP,FI,CO)</v>
      </c>
    </row>
    <row r="4228">
      <c r="A4228" s="140" t="str">
        <f>IFERROR(__xludf.DUMMYFUNCTION("""COMPUTED_VALUE"""),"de")</f>
        <v>de</v>
      </c>
      <c r="B4228">
        <f>IFERROR(__xludf.DUMMYFUNCTION("""COMPUTED_VALUE"""),2109960.0)</f>
        <v>2109960</v>
      </c>
      <c r="C4228" t="str">
        <f>IFERROR(__xludf.DUMMYFUNCTION("""COMPUTED_VALUE"""),"SQL Grundlagen: Lerne Datenbanken (MySQL) schnell &amp; einfach!")</f>
        <v>SQL Grundlagen: Lerne Datenbanken (MySQL) schnell &amp; einfach!</v>
      </c>
    </row>
    <row r="4229">
      <c r="A4229" s="140" t="str">
        <f>IFERROR(__xludf.DUMMYFUNCTION("""COMPUTED_VALUE"""),"pt")</f>
        <v>pt</v>
      </c>
      <c r="B4229">
        <f>IFERROR(__xludf.DUMMYFUNCTION("""COMPUTED_VALUE"""),1366306.0)</f>
        <v>1366306</v>
      </c>
      <c r="C4229" t="str">
        <f>IFERROR(__xludf.DUMMYFUNCTION("""COMPUTED_VALUE"""),"Gerenciamento de Projetos com Project Libre")</f>
        <v>Gerenciamento de Projetos com Project Libre</v>
      </c>
    </row>
    <row r="4230">
      <c r="A4230" s="140" t="str">
        <f>IFERROR(__xludf.DUMMYFUNCTION("""COMPUTED_VALUE"""),"es")</f>
        <v>es</v>
      </c>
      <c r="B4230">
        <f>IFERROR(__xludf.DUMMYFUNCTION("""COMPUTED_VALUE"""),1405360.0)</f>
        <v>1405360</v>
      </c>
      <c r="C4230" t="str">
        <f>IFERROR(__xludf.DUMMYFUNCTION("""COMPUTED_VALUE"""),"Gamificación para Empresas")</f>
        <v>Gamificación para Empresas</v>
      </c>
    </row>
    <row r="4231">
      <c r="A4231" s="140" t="str">
        <f>IFERROR(__xludf.DUMMYFUNCTION("""COMPUTED_VALUE"""),"pt")</f>
        <v>pt</v>
      </c>
      <c r="B4231">
        <f>IFERROR(__xludf.DUMMYFUNCTION("""COMPUTED_VALUE"""),1956908.0)</f>
        <v>1956908</v>
      </c>
      <c r="C4231" t="str">
        <f>IFERROR(__xludf.DUMMYFUNCTION("""COMPUTED_VALUE"""),"Front-End profissional completo HTML5, CSS3, SASS, JS E MAIS")</f>
        <v>Front-End profissional completo HTML5, CSS3, SASS, JS E MAIS</v>
      </c>
    </row>
    <row r="4232">
      <c r="A4232" s="140" t="str">
        <f>IFERROR(__xludf.DUMMYFUNCTION("""COMPUTED_VALUE"""),"tr")</f>
        <v>tr</v>
      </c>
      <c r="B4232">
        <f>IFERROR(__xludf.DUMMYFUNCTION("""COMPUTED_VALUE"""),2832180.0)</f>
        <v>2832180</v>
      </c>
      <c r="C4232" t="str">
        <f>IFERROR(__xludf.DUMMYFUNCTION("""COMPUTED_VALUE"""),"Corona Render Temelleri ve Gerçekçi Render Teknikleri")</f>
        <v>Corona Render Temelleri ve Gerçekçi Render Teknikleri</v>
      </c>
    </row>
    <row r="4233">
      <c r="A4233" s="140" t="str">
        <f>IFERROR(__xludf.DUMMYFUNCTION("""COMPUTED_VALUE"""),"en")</f>
        <v>en</v>
      </c>
      <c r="B4233">
        <f>IFERROR(__xludf.DUMMYFUNCTION("""COMPUTED_VALUE"""),184780.0)</f>
        <v>184780</v>
      </c>
      <c r="C4233" t="str">
        <f>IFERROR(__xludf.DUMMYFUNCTION("""COMPUTED_VALUE"""),"Learn to Play the Trumpet: Beginner to Pro Made the Easy Way")</f>
        <v>Learn to Play the Trumpet: Beginner to Pro Made the Easy Way</v>
      </c>
    </row>
    <row r="4234">
      <c r="A4234" s="140" t="str">
        <f>IFERROR(__xludf.DUMMYFUNCTION("""COMPUTED_VALUE"""),"de")</f>
        <v>de</v>
      </c>
      <c r="B4234">
        <f>IFERROR(__xludf.DUMMYFUNCTION("""COMPUTED_VALUE"""),1307308.0)</f>
        <v>1307308</v>
      </c>
      <c r="C4234" t="str">
        <f>IFERROR(__xludf.DUMMYFUNCTION("""COMPUTED_VALUE"""),"Python Bootcamp: Vom Anfänger zum Profi, inkl. Data Science")</f>
        <v>Python Bootcamp: Vom Anfänger zum Profi, inkl. Data Science</v>
      </c>
    </row>
    <row r="4235">
      <c r="A4235" s="140" t="str">
        <f>IFERROR(__xludf.DUMMYFUNCTION("""COMPUTED_VALUE"""),"en")</f>
        <v>en</v>
      </c>
      <c r="B4235">
        <f>IFERROR(__xludf.DUMMYFUNCTION("""COMPUTED_VALUE"""),1534830.0)</f>
        <v>1534830</v>
      </c>
      <c r="C4235" t="str">
        <f>IFERROR(__xludf.DUMMYFUNCTION("""COMPUTED_VALUE"""),"Learn the basics of ArcGIS for hydrology")</f>
        <v>Learn the basics of ArcGIS for hydrology</v>
      </c>
    </row>
    <row r="4236">
      <c r="A4236" s="140" t="str">
        <f>IFERROR(__xludf.DUMMYFUNCTION("""COMPUTED_VALUE"""),"en")</f>
        <v>en</v>
      </c>
      <c r="B4236">
        <f>IFERROR(__xludf.DUMMYFUNCTION("""COMPUTED_VALUE"""),2458052.0)</f>
        <v>2458052</v>
      </c>
      <c r="C4236" t="str">
        <f>IFERROR(__xludf.DUMMYFUNCTION("""COMPUTED_VALUE"""),"Learn Windows &amp; Linux Command Line")</f>
        <v>Learn Windows &amp; Linux Command Line</v>
      </c>
    </row>
    <row r="4237">
      <c r="A4237" s="140" t="str">
        <f>IFERROR(__xludf.DUMMYFUNCTION("""COMPUTED_VALUE"""),"en")</f>
        <v>en</v>
      </c>
      <c r="B4237">
        <f>IFERROR(__xludf.DUMMYFUNCTION("""COMPUTED_VALUE"""),2113900.0)</f>
        <v>2113900</v>
      </c>
      <c r="C4237" t="str">
        <f>IFERROR(__xludf.DUMMYFUNCTION("""COMPUTED_VALUE"""),"Calculus - Mathematics for Data Science - Machine Learning")</f>
        <v>Calculus - Mathematics for Data Science - Machine Learning</v>
      </c>
    </row>
    <row r="4238">
      <c r="A4238" s="140" t="str">
        <f>IFERROR(__xludf.DUMMYFUNCTION("""COMPUTED_VALUE"""),"fr")</f>
        <v>fr</v>
      </c>
      <c r="B4238">
        <f>IFERROR(__xludf.DUMMYFUNCTION("""COMPUTED_VALUE"""),1847900.0)</f>
        <v>1847900</v>
      </c>
      <c r="C4238" t="str">
        <f>IFERROR(__xludf.DUMMYFUNCTION("""COMPUTED_VALUE"""),"React 16+ Le Guide Complet (+Redux, React Router &amp; Firebase)")</f>
        <v>React 16+ Le Guide Complet (+Redux, React Router &amp; Firebase)</v>
      </c>
    </row>
    <row r="4239">
      <c r="A4239" s="140" t="str">
        <f>IFERROR(__xludf.DUMMYFUNCTION("""COMPUTED_VALUE"""),"fr")</f>
        <v>fr</v>
      </c>
      <c r="B4239">
        <f>IFERROR(__xludf.DUMMYFUNCTION("""COMPUTED_VALUE"""),2771696.0)</f>
        <v>2771696</v>
      </c>
      <c r="C4239" t="str">
        <f>IFERROR(__xludf.DUMMYFUNCTION("""COMPUTED_VALUE"""),"Excel Business Intelligence : Power Query Power Pivot &amp; DAX")</f>
        <v>Excel Business Intelligence : Power Query Power Pivot &amp; DAX</v>
      </c>
    </row>
    <row r="4240">
      <c r="A4240" s="140" t="str">
        <f>IFERROR(__xludf.DUMMYFUNCTION("""COMPUTED_VALUE"""),"es")</f>
        <v>es</v>
      </c>
      <c r="B4240">
        <f>IFERROR(__xludf.DUMMYFUNCTION("""COMPUTED_VALUE"""),1518934.0)</f>
        <v>1518934</v>
      </c>
      <c r="C4240" t="str">
        <f>IFERROR(__xludf.DUMMYFUNCTION("""COMPUTED_VALUE"""),"Amazon AWS: Curso Completo Arquitecto Soluciones Certificado")</f>
        <v>Amazon AWS: Curso Completo Arquitecto Soluciones Certificado</v>
      </c>
    </row>
    <row r="4241">
      <c r="A4241" s="140" t="str">
        <f>IFERROR(__xludf.DUMMYFUNCTION("""COMPUTED_VALUE"""),"en")</f>
        <v>en</v>
      </c>
      <c r="B4241">
        <f>IFERROR(__xludf.DUMMYFUNCTION("""COMPUTED_VALUE"""),2064969.0)</f>
        <v>2064969</v>
      </c>
      <c r="C4241" t="str">
        <f>IFERROR(__xludf.DUMMYFUNCTION("""COMPUTED_VALUE"""),"Become an AWS Certified Cloud Practitioner: 2020 - Updated")</f>
        <v>Become an AWS Certified Cloud Practitioner: 2020 - Updated</v>
      </c>
    </row>
    <row r="4242">
      <c r="A4242" s="140" t="str">
        <f>IFERROR(__xludf.DUMMYFUNCTION("""COMPUTED_VALUE"""),"es")</f>
        <v>es</v>
      </c>
      <c r="B4242">
        <f>IFERROR(__xludf.DUMMYFUNCTION("""COMPUTED_VALUE"""),2075320.0)</f>
        <v>2075320</v>
      </c>
      <c r="C4242" t="str">
        <f>IFERROR(__xludf.DUMMYFUNCTION("""COMPUTED_VALUE"""),"SQL Server Integration Services (SSIS) desde 0 hasta Experto")</f>
        <v>SQL Server Integration Services (SSIS) desde 0 hasta Experto</v>
      </c>
    </row>
    <row r="4243">
      <c r="A4243" s="140" t="str">
        <f>IFERROR(__xludf.DUMMYFUNCTION("""COMPUTED_VALUE"""),"en")</f>
        <v>en</v>
      </c>
      <c r="B4243">
        <f>IFERROR(__xludf.DUMMYFUNCTION("""COMPUTED_VALUE"""),519554.0)</f>
        <v>519554</v>
      </c>
      <c r="C4243" t="str">
        <f>IFERROR(__xludf.DUMMYFUNCTION("""COMPUTED_VALUE"""),"Teach Your Kids to Code: Learn to Program Python at Any Age!")</f>
        <v>Teach Your Kids to Code: Learn to Program Python at Any Age!</v>
      </c>
    </row>
    <row r="4244">
      <c r="A4244" s="140" t="str">
        <f>IFERROR(__xludf.DUMMYFUNCTION("""COMPUTED_VALUE"""),"en")</f>
        <v>en</v>
      </c>
      <c r="B4244">
        <f>IFERROR(__xludf.DUMMYFUNCTION("""COMPUTED_VALUE"""),3255704.0)</f>
        <v>3255704</v>
      </c>
      <c r="C4244" t="str">
        <f>IFERROR(__xludf.DUMMYFUNCTION("""COMPUTED_VALUE"""),"SAP Cloud Platform - Essential Training { 2021 }")</f>
        <v>SAP Cloud Platform - Essential Training { 2021 }</v>
      </c>
    </row>
    <row r="4245">
      <c r="A4245" s="140" t="str">
        <f>IFERROR(__xludf.DUMMYFUNCTION("""COMPUTED_VALUE"""),"en")</f>
        <v>en</v>
      </c>
      <c r="B4245">
        <f>IFERROR(__xludf.DUMMYFUNCTION("""COMPUTED_VALUE"""),1602020.0)</f>
        <v>1602020</v>
      </c>
      <c r="C4245" t="str">
        <f>IFERROR(__xludf.DUMMYFUNCTION("""COMPUTED_VALUE"""),"2D Adventure Game Creation: Art, Music, Programming and More")</f>
        <v>2D Adventure Game Creation: Art, Music, Programming and More</v>
      </c>
    </row>
    <row r="4246">
      <c r="A4246" s="140" t="str">
        <f>IFERROR(__xludf.DUMMYFUNCTION("""COMPUTED_VALUE"""),"tr")</f>
        <v>tr</v>
      </c>
      <c r="B4246">
        <f>IFERROR(__xludf.DUMMYFUNCTION("""COMPUTED_VALUE"""),1850722.0)</f>
        <v>1850722</v>
      </c>
      <c r="C4246" t="str">
        <f>IFERROR(__xludf.DUMMYFUNCTION("""COMPUTED_VALUE"""),"A'dan Z'ye Ağ Güvenliği Eğitimi")</f>
        <v>A'dan Z'ye Ağ Güvenliği Eğitimi</v>
      </c>
    </row>
    <row r="4247">
      <c r="A4247" s="140" t="str">
        <f>IFERROR(__xludf.DUMMYFUNCTION("""COMPUTED_VALUE"""),"en")</f>
        <v>en</v>
      </c>
      <c r="B4247">
        <f>IFERROR(__xludf.DUMMYFUNCTION("""COMPUTED_VALUE"""),4182538.0)</f>
        <v>4182538</v>
      </c>
      <c r="C4247" t="str">
        <f>IFERROR(__xludf.DUMMYFUNCTION("""COMPUTED_VALUE"""),"Azure Databricks &amp; Spark Core For Data Engineers(Python/SQL)")</f>
        <v>Azure Databricks &amp; Spark Core For Data Engineers(Python/SQL)</v>
      </c>
    </row>
    <row r="4248">
      <c r="A4248" s="140" t="str">
        <f>IFERROR(__xludf.DUMMYFUNCTION("""COMPUTED_VALUE"""),"pt")</f>
        <v>pt</v>
      </c>
      <c r="B4248">
        <f>IFERROR(__xludf.DUMMYFUNCTION("""COMPUTED_VALUE"""),2124212.0)</f>
        <v>2124212</v>
      </c>
      <c r="C4248" t="str">
        <f>IFERROR(__xludf.DUMMYFUNCTION("""COMPUTED_VALUE"""),"Vendas por Telefone - 2.0 (Cold Calling)")</f>
        <v>Vendas por Telefone - 2.0 (Cold Calling)</v>
      </c>
    </row>
    <row r="4249">
      <c r="A4249" s="140" t="str">
        <f>IFERROR(__xludf.DUMMYFUNCTION("""COMPUTED_VALUE"""),"en")</f>
        <v>en</v>
      </c>
      <c r="B4249">
        <f>IFERROR(__xludf.DUMMYFUNCTION("""COMPUTED_VALUE"""),631534.0)</f>
        <v>631534</v>
      </c>
      <c r="C4249" t="str">
        <f>IFERROR(__xludf.DUMMYFUNCTION("""COMPUTED_VALUE"""),"The Complete Sales Prospecting Bootcamp Course")</f>
        <v>The Complete Sales Prospecting Bootcamp Course</v>
      </c>
    </row>
    <row r="4250">
      <c r="A4250" s="140" t="str">
        <f>IFERROR(__xludf.DUMMYFUNCTION("""COMPUTED_VALUE"""),"en")</f>
        <v>en</v>
      </c>
      <c r="B4250">
        <f>IFERROR(__xludf.DUMMYFUNCTION("""COMPUTED_VALUE"""),1454806.0)</f>
        <v>1454806</v>
      </c>
      <c r="C4250" t="str">
        <f>IFERROR(__xludf.DUMMYFUNCTION("""COMPUTED_VALUE"""),"Business Presentation in PowerPoint")</f>
        <v>Business Presentation in PowerPoint</v>
      </c>
    </row>
    <row r="4251">
      <c r="A4251" s="140" t="str">
        <f>IFERROR(__xludf.DUMMYFUNCTION("""COMPUTED_VALUE"""),"en")</f>
        <v>en</v>
      </c>
      <c r="B4251">
        <f>IFERROR(__xludf.DUMMYFUNCTION("""COMPUTED_VALUE"""),2144744.0)</f>
        <v>2144744</v>
      </c>
      <c r="C4251" t="str">
        <f>IFERROR(__xludf.DUMMYFUNCTION("""COMPUTED_VALUE"""),"Spring Boot Microservices and Spring Cloud")</f>
        <v>Spring Boot Microservices and Spring Cloud</v>
      </c>
    </row>
    <row r="4252">
      <c r="A4252" s="140" t="str">
        <f>IFERROR(__xludf.DUMMYFUNCTION("""COMPUTED_VALUE"""),"en")</f>
        <v>en</v>
      </c>
      <c r="B4252">
        <f>IFERROR(__xludf.DUMMYFUNCTION("""COMPUTED_VALUE"""),555696.0)</f>
        <v>555696</v>
      </c>
      <c r="C4252" t="str">
        <f>IFERROR(__xludf.DUMMYFUNCTION("""COMPUTED_VALUE"""),"PMP Exam Prep Project Management Professional Certification")</f>
        <v>PMP Exam Prep Project Management Professional Certification</v>
      </c>
    </row>
    <row r="4253">
      <c r="A4253" s="140" t="str">
        <f>IFERROR(__xludf.DUMMYFUNCTION("""COMPUTED_VALUE"""),"es")</f>
        <v>es</v>
      </c>
      <c r="B4253">
        <f>IFERROR(__xludf.DUMMYFUNCTION("""COMPUTED_VALUE"""),3820148.0)</f>
        <v>3820148</v>
      </c>
      <c r="C4253" t="str">
        <f>IFERROR(__xludf.DUMMYFUNCTION("""COMPUTED_VALUE"""),"Crea Sistemas Administrativos con Angular y Firebase")</f>
        <v>Crea Sistemas Administrativos con Angular y Firebase</v>
      </c>
    </row>
    <row r="4254">
      <c r="A4254" s="140" t="str">
        <f>IFERROR(__xludf.DUMMYFUNCTION("""COMPUTED_VALUE"""),"en")</f>
        <v>en</v>
      </c>
      <c r="B4254">
        <f>IFERROR(__xludf.DUMMYFUNCTION("""COMPUTED_VALUE"""),2193468.0)</f>
        <v>2193468</v>
      </c>
      <c r="C4254" t="str">
        <f>IFERROR(__xludf.DUMMYFUNCTION("""COMPUTED_VALUE"""),"Microsoft AZ-303 Certification: Azure Architect Technologies")</f>
        <v>Microsoft AZ-303 Certification: Azure Architect Technologies</v>
      </c>
    </row>
    <row r="4255">
      <c r="A4255" s="140" t="str">
        <f>IFERROR(__xludf.DUMMYFUNCTION("""COMPUTED_VALUE"""),"pt")</f>
        <v>pt</v>
      </c>
      <c r="B4255">
        <f>IFERROR(__xludf.DUMMYFUNCTION("""COMPUTED_VALUE"""),1055074.0)</f>
        <v>1055074</v>
      </c>
      <c r="C4255" t="str">
        <f>IFERROR(__xludf.DUMMYFUNCTION("""COMPUTED_VALUE"""),"Curso Completo Microsoft Project 2016")</f>
        <v>Curso Completo Microsoft Project 2016</v>
      </c>
    </row>
    <row r="4256">
      <c r="A4256" s="140" t="str">
        <f>IFERROR(__xludf.DUMMYFUNCTION("""COMPUTED_VALUE"""),"tr")</f>
        <v>tr</v>
      </c>
      <c r="B4256">
        <f>IFERROR(__xludf.DUMMYFUNCTION("""COMPUTED_VALUE"""),3702828.0)</f>
        <v>3702828</v>
      </c>
      <c r="C4256" t="str">
        <f>IFERROR(__xludf.DUMMYFUNCTION("""COMPUTED_VALUE"""),"Profesyonel Sosyal Medya Görselleri Tasarımcılığı | Canva")</f>
        <v>Profesyonel Sosyal Medya Görselleri Tasarımcılığı | Canva</v>
      </c>
    </row>
    <row r="4257">
      <c r="A4257" s="140" t="str">
        <f>IFERROR(__xludf.DUMMYFUNCTION("""COMPUTED_VALUE"""),"en")</f>
        <v>en</v>
      </c>
      <c r="B4257">
        <f>IFERROR(__xludf.DUMMYFUNCTION("""COMPUTED_VALUE"""),3451330.0)</f>
        <v>3451330</v>
      </c>
      <c r="C4257" t="str">
        <f>IFERROR(__xludf.DUMMYFUNCTION("""COMPUTED_VALUE"""),"Getting Started with Power Portals")</f>
        <v>Getting Started with Power Portals</v>
      </c>
    </row>
    <row r="4258">
      <c r="A4258" s="140" t="str">
        <f>IFERROR(__xludf.DUMMYFUNCTION("""COMPUTED_VALUE"""),"ar")</f>
        <v>ar</v>
      </c>
      <c r="B4258">
        <f>IFERROR(__xludf.DUMMYFUNCTION("""COMPUTED_VALUE"""),353180.0)</f>
        <v>353180</v>
      </c>
      <c r="C4258" t="str">
        <f>IFERROR(__xludf.DUMMYFUNCTION("""COMPUTED_VALUE"""),"PMP Exam Preperation based on PMBOK 6th.")</f>
        <v>PMP Exam Preperation based on PMBOK 6th.</v>
      </c>
    </row>
    <row r="4259">
      <c r="A4259" s="140" t="str">
        <f>IFERROR(__xludf.DUMMYFUNCTION("""COMPUTED_VALUE"""),"es")</f>
        <v>es</v>
      </c>
      <c r="B4259">
        <f>IFERROR(__xludf.DUMMYFUNCTION("""COMPUTED_VALUE"""),1563096.0)</f>
        <v>1563096</v>
      </c>
      <c r="C4259" t="str">
        <f>IFERROR(__xludf.DUMMYFUNCTION("""COMPUTED_VALUE"""),"Planificación y Control de Proyectos con Microsoft Project")</f>
        <v>Planificación y Control de Proyectos con Microsoft Project</v>
      </c>
    </row>
    <row r="4260">
      <c r="A4260" s="140" t="str">
        <f>IFERROR(__xludf.DUMMYFUNCTION("""COMPUTED_VALUE"""),"en")</f>
        <v>en</v>
      </c>
      <c r="B4260">
        <f>IFERROR(__xludf.DUMMYFUNCTION("""COMPUTED_VALUE"""),1351228.0)</f>
        <v>1351228</v>
      </c>
      <c r="C4260" t="str">
        <f>IFERROR(__xludf.DUMMYFUNCTION("""COMPUTED_VALUE"""),"Microsoft Project ADVANCED: Project Management Technics 3PDU")</f>
        <v>Microsoft Project ADVANCED: Project Management Technics 3PDU</v>
      </c>
    </row>
    <row r="4261">
      <c r="A4261" s="140" t="str">
        <f>IFERROR(__xludf.DUMMYFUNCTION("""COMPUTED_VALUE"""),"en")</f>
        <v>en</v>
      </c>
      <c r="B4261">
        <f>IFERROR(__xludf.DUMMYFUNCTION("""COMPUTED_VALUE"""),2856272.0)</f>
        <v>2856272</v>
      </c>
      <c r="C4261" t="str">
        <f>IFERROR(__xludf.DUMMYFUNCTION("""COMPUTED_VALUE"""),"Windows Server 2019 - Go from Zero to Hero (2020)")</f>
        <v>Windows Server 2019 - Go from Zero to Hero (2020)</v>
      </c>
    </row>
    <row r="4262">
      <c r="A4262" s="140" t="str">
        <f>IFERROR(__xludf.DUMMYFUNCTION("""COMPUTED_VALUE"""),"en")</f>
        <v>en</v>
      </c>
      <c r="B4262">
        <f>IFERROR(__xludf.DUMMYFUNCTION("""COMPUTED_VALUE"""),1236626.0)</f>
        <v>1236626</v>
      </c>
      <c r="C4262" t="str">
        <f>IFERROR(__xludf.DUMMYFUNCTION("""COMPUTED_VALUE"""),"AWS Certified Solution Architect - Associate")</f>
        <v>AWS Certified Solution Architect - Associate</v>
      </c>
    </row>
    <row r="4263">
      <c r="A4263" s="140" t="str">
        <f>IFERROR(__xludf.DUMMYFUNCTION("""COMPUTED_VALUE"""),"es")</f>
        <v>es</v>
      </c>
      <c r="B4263">
        <f>IFERROR(__xludf.DUMMYFUNCTION("""COMPUTED_VALUE"""),1822182.0)</f>
        <v>1822182</v>
      </c>
      <c r="C4263" t="str">
        <f>IFERROR(__xludf.DUMMYFUNCTION("""COMPUTED_VALUE"""),"Conviértete en desarrollador Blockchain con Ethereum")</f>
        <v>Conviértete en desarrollador Blockchain con Ethereum</v>
      </c>
    </row>
    <row r="4264">
      <c r="A4264" s="140" t="str">
        <f>IFERROR(__xludf.DUMMYFUNCTION("""COMPUTED_VALUE"""),"en")</f>
        <v>en</v>
      </c>
      <c r="B4264">
        <f>IFERROR(__xludf.DUMMYFUNCTION("""COMPUTED_VALUE"""),1330272.0)</f>
        <v>1330272</v>
      </c>
      <c r="C4264" t="str">
        <f>IFERROR(__xludf.DUMMYFUNCTION("""COMPUTED_VALUE"""),"The Complete Regular Expressions Course with Exercises 2020")</f>
        <v>The Complete Regular Expressions Course with Exercises 2020</v>
      </c>
    </row>
    <row r="4265">
      <c r="A4265" s="140" t="str">
        <f>IFERROR(__xludf.DUMMYFUNCTION("""COMPUTED_VALUE"""),"es")</f>
        <v>es</v>
      </c>
      <c r="B4265">
        <f>IFERROR(__xludf.DUMMYFUNCTION("""COMPUTED_VALUE"""),2278249.0)</f>
        <v>2278249</v>
      </c>
      <c r="C4265" t="str">
        <f>IFERROR(__xludf.DUMMYFUNCTION("""COMPUTED_VALUE"""),"Organización de Espacios - Método KonMari")</f>
        <v>Organización de Espacios - Método KonMari</v>
      </c>
    </row>
    <row r="4266">
      <c r="A4266" s="140" t="str">
        <f>IFERROR(__xludf.DUMMYFUNCTION("""COMPUTED_VALUE"""),"en")</f>
        <v>en</v>
      </c>
      <c r="B4266">
        <f>IFERROR(__xludf.DUMMYFUNCTION("""COMPUTED_VALUE"""),363308.0)</f>
        <v>363308</v>
      </c>
      <c r="C4266" t="str">
        <f>IFERROR(__xludf.DUMMYFUNCTION("""COMPUTED_VALUE"""),"Communication Skills: Use a Teleprompter Effectively")</f>
        <v>Communication Skills: Use a Teleprompter Effectively</v>
      </c>
    </row>
    <row r="4267">
      <c r="A4267" s="140" t="str">
        <f>IFERROR(__xludf.DUMMYFUNCTION("""COMPUTED_VALUE"""),"en")</f>
        <v>en</v>
      </c>
      <c r="B4267">
        <f>IFERROR(__xludf.DUMMYFUNCTION("""COMPUTED_VALUE"""),615696.0)</f>
        <v>615696</v>
      </c>
      <c r="C4267" t="str">
        <f>IFERROR(__xludf.DUMMYFUNCTION("""COMPUTED_VALUE"""),"Instructional Design for ELearning")</f>
        <v>Instructional Design for ELearning</v>
      </c>
    </row>
    <row r="4268">
      <c r="A4268" s="140" t="str">
        <f>IFERROR(__xludf.DUMMYFUNCTION("""COMPUTED_VALUE"""),"ar")</f>
        <v>ar</v>
      </c>
      <c r="B4268">
        <f>IFERROR(__xludf.DUMMYFUNCTION("""COMPUTED_VALUE"""),2694842.0)</f>
        <v>2694842</v>
      </c>
      <c r="C4268" t="str">
        <f>IFERROR(__xludf.DUMMYFUNCTION("""COMPUTED_VALUE"""),"Economics for Business مبادئ الاقتصاد للمديرين ورجال الأعمال")</f>
        <v>Economics for Business مبادئ الاقتصاد للمديرين ورجال الأعمال</v>
      </c>
    </row>
    <row r="4269">
      <c r="A4269" s="140" t="str">
        <f>IFERROR(__xludf.DUMMYFUNCTION("""COMPUTED_VALUE"""),"en")</f>
        <v>en</v>
      </c>
      <c r="B4269">
        <f>IFERROR(__xludf.DUMMYFUNCTION("""COMPUTED_VALUE"""),1023142.0)</f>
        <v>1023142</v>
      </c>
      <c r="C4269" t="str">
        <f>IFERROR(__xludf.DUMMYFUNCTION("""COMPUTED_VALUE"""),"Oracle 11g Dataguard Administration")</f>
        <v>Oracle 11g Dataguard Administration</v>
      </c>
    </row>
    <row r="4270">
      <c r="A4270" s="140" t="str">
        <f>IFERROR(__xludf.DUMMYFUNCTION("""COMPUTED_VALUE"""),"en")</f>
        <v>en</v>
      </c>
      <c r="B4270">
        <f>IFERROR(__xludf.DUMMYFUNCTION("""COMPUTED_VALUE"""),513054.0)</f>
        <v>513054</v>
      </c>
      <c r="C4270" t="str">
        <f>IFERROR(__xludf.DUMMYFUNCTION("""COMPUTED_VALUE"""),"SAP Logistic Execution")</f>
        <v>SAP Logistic Execution</v>
      </c>
    </row>
    <row r="4271">
      <c r="A4271" s="140" t="str">
        <f>IFERROR(__xludf.DUMMYFUNCTION("""COMPUTED_VALUE"""),"de")</f>
        <v>de</v>
      </c>
      <c r="B4271">
        <f>IFERROR(__xludf.DUMMYFUNCTION("""COMPUTED_VALUE"""),748718.0)</f>
        <v>748718</v>
      </c>
      <c r="C4271" t="str">
        <f>IFERROR(__xludf.DUMMYFUNCTION("""COMPUTED_VALUE"""),"Superproduktiv werden! Tipps, Tricks, Tools und Strategien")</f>
        <v>Superproduktiv werden! Tipps, Tricks, Tools und Strategien</v>
      </c>
    </row>
    <row r="4272">
      <c r="A4272" s="140" t="str">
        <f>IFERROR(__xludf.DUMMYFUNCTION("""COMPUTED_VALUE"""),"en")</f>
        <v>en</v>
      </c>
      <c r="B4272">
        <f>IFERROR(__xludf.DUMMYFUNCTION("""COMPUTED_VALUE"""),892160.0)</f>
        <v>892160</v>
      </c>
      <c r="C4272" t="str">
        <f>IFERROR(__xludf.DUMMYFUNCTION("""COMPUTED_VALUE"""),"Aspen Plus - Basic Process Modeling")</f>
        <v>Aspen Plus - Basic Process Modeling</v>
      </c>
    </row>
    <row r="4273">
      <c r="A4273" s="140" t="str">
        <f>IFERROR(__xludf.DUMMYFUNCTION("""COMPUTED_VALUE"""),"en")</f>
        <v>en</v>
      </c>
      <c r="B4273">
        <f>IFERROR(__xludf.DUMMYFUNCTION("""COMPUTED_VALUE"""),354314.0)</f>
        <v>354314</v>
      </c>
      <c r="C4273" t="str">
        <f>IFERROR(__xludf.DUMMYFUNCTION("""COMPUTED_VALUE"""),"Create Fun Games and School Presentations Using Scratch 2.0")</f>
        <v>Create Fun Games and School Presentations Using Scratch 2.0</v>
      </c>
    </row>
    <row r="4274">
      <c r="A4274" s="140" t="str">
        <f>IFERROR(__xludf.DUMMYFUNCTION("""COMPUTED_VALUE"""),"pt")</f>
        <v>pt</v>
      </c>
      <c r="B4274">
        <f>IFERROR(__xludf.DUMMYFUNCTION("""COMPUTED_VALUE"""),1546240.0)</f>
        <v>1546240</v>
      </c>
      <c r="C4274" t="str">
        <f>IFERROR(__xludf.DUMMYFUNCTION("""COMPUTED_VALUE"""),"Teoria da Cor para processo criativo em Design e Publicidade")</f>
        <v>Teoria da Cor para processo criativo em Design e Publicidade</v>
      </c>
    </row>
    <row r="4275">
      <c r="A4275" s="140" t="str">
        <f>IFERROR(__xludf.DUMMYFUNCTION("""COMPUTED_VALUE"""),"es")</f>
        <v>es</v>
      </c>
      <c r="B4275">
        <f>IFERROR(__xludf.DUMMYFUNCTION("""COMPUTED_VALUE"""),1784656.0)</f>
        <v>1784656</v>
      </c>
      <c r="C4275" t="str">
        <f>IFERROR(__xludf.DUMMYFUNCTION("""COMPUTED_VALUE"""),"Adobe InDesign CC Máster: De Básico a Profesional.")</f>
        <v>Adobe InDesign CC Máster: De Básico a Profesional.</v>
      </c>
    </row>
    <row r="4276">
      <c r="A4276" s="140" t="str">
        <f>IFERROR(__xludf.DUMMYFUNCTION("""COMPUTED_VALUE"""),"fr")</f>
        <v>fr</v>
      </c>
      <c r="B4276">
        <f>IFERROR(__xludf.DUMMYFUNCTION("""COMPUTED_VALUE"""),2757190.0)</f>
        <v>2757190</v>
      </c>
      <c r="C4276" t="str">
        <f>IFERROR(__xludf.DUMMYFUNCTION("""COMPUTED_VALUE"""),"Maitrisez le montage vidéo avec Premiere Pro (Débutant)")</f>
        <v>Maitrisez le montage vidéo avec Premiere Pro (Débutant)</v>
      </c>
    </row>
    <row r="4277">
      <c r="A4277" s="140" t="str">
        <f>IFERROR(__xludf.DUMMYFUNCTION("""COMPUTED_VALUE"""),"de")</f>
        <v>de</v>
      </c>
      <c r="B4277">
        <f>IFERROR(__xludf.DUMMYFUNCTION("""COMPUTED_VALUE"""),1974344.0)</f>
        <v>1974344</v>
      </c>
      <c r="C4277" t="str">
        <f>IFERROR(__xludf.DUMMYFUNCTION("""COMPUTED_VALUE"""),"Workout Quickies - Fit in 5 Minuten - 30 Tage Challenge")</f>
        <v>Workout Quickies - Fit in 5 Minuten - 30 Tage Challenge</v>
      </c>
    </row>
    <row r="4278">
      <c r="A4278" s="140" t="str">
        <f>IFERROR(__xludf.DUMMYFUNCTION("""COMPUTED_VALUE"""),"pt")</f>
        <v>pt</v>
      </c>
      <c r="B4278">
        <f>IFERROR(__xludf.DUMMYFUNCTION("""COMPUTED_VALUE"""),3352660.0)</f>
        <v>3352660</v>
      </c>
      <c r="C4278" t="str">
        <f>IFERROR(__xludf.DUMMYFUNCTION("""COMPUTED_VALUE"""),"INTELIGÊNCIA SOCIAL | Como se conectar e convencer pessoas")</f>
        <v>INTELIGÊNCIA SOCIAL | Como se conectar e convencer pessoas</v>
      </c>
    </row>
    <row r="4279">
      <c r="A4279" s="140" t="str">
        <f>IFERROR(__xludf.DUMMYFUNCTION("""COMPUTED_VALUE"""),"es")</f>
        <v>es</v>
      </c>
      <c r="B4279">
        <f>IFERROR(__xludf.DUMMYFUNCTION("""COMPUTED_VALUE"""),2595826.0)</f>
        <v>2595826</v>
      </c>
      <c r="C4279" t="str">
        <f>IFERROR(__xludf.DUMMYFUNCTION("""COMPUTED_VALUE"""),"Estadística inferencial para Machine Learning con R y Python")</f>
        <v>Estadística inferencial para Machine Learning con R y Python</v>
      </c>
    </row>
    <row r="4280">
      <c r="A4280" s="140" t="str">
        <f>IFERROR(__xludf.DUMMYFUNCTION("""COMPUTED_VALUE"""),"de")</f>
        <v>de</v>
      </c>
      <c r="B4280">
        <f>IFERROR(__xludf.DUMMYFUNCTION("""COMPUTED_VALUE"""),3683216.0)</f>
        <v>3683216</v>
      </c>
      <c r="C4280" t="str">
        <f>IFERROR(__xludf.DUMMYFUNCTION("""COMPUTED_VALUE"""),"Schwierige Gespräche führen im Beruf: Konfliktmanagement")</f>
        <v>Schwierige Gespräche führen im Beruf: Konfliktmanagement</v>
      </c>
    </row>
    <row r="4281">
      <c r="A4281" s="140" t="str">
        <f>IFERROR(__xludf.DUMMYFUNCTION("""COMPUTED_VALUE"""),"en")</f>
        <v>en</v>
      </c>
      <c r="B4281">
        <f>IFERROR(__xludf.DUMMYFUNCTION("""COMPUTED_VALUE"""),1769536.0)</f>
        <v>1769536</v>
      </c>
      <c r="C4281" t="str">
        <f>IFERROR(__xludf.DUMMYFUNCTION("""COMPUTED_VALUE"""),"Solid Foundations in Intercultural Communication")</f>
        <v>Solid Foundations in Intercultural Communication</v>
      </c>
    </row>
    <row r="4282">
      <c r="A4282" s="140" t="str">
        <f>IFERROR(__xludf.DUMMYFUNCTION("""COMPUTED_VALUE"""),"en")</f>
        <v>en</v>
      </c>
      <c r="B4282">
        <f>IFERROR(__xludf.DUMMYFUNCTION("""COMPUTED_VALUE"""),648448.0)</f>
        <v>648448</v>
      </c>
      <c r="C4282" t="str">
        <f>IFERROR(__xludf.DUMMYFUNCTION("""COMPUTED_VALUE"""),"API Testing with Python 3 &amp; PyTest, Backend Automation 2021")</f>
        <v>API Testing with Python 3 &amp; PyTest, Backend Automation 2021</v>
      </c>
    </row>
    <row r="4283">
      <c r="A4283" s="140" t="str">
        <f>IFERROR(__xludf.DUMMYFUNCTION("""COMPUTED_VALUE"""),"en")</f>
        <v>en</v>
      </c>
      <c r="B4283">
        <f>IFERROR(__xludf.DUMMYFUNCTION("""COMPUTED_VALUE"""),528460.0)</f>
        <v>528460</v>
      </c>
      <c r="C4283" t="str">
        <f>IFERROR(__xludf.DUMMYFUNCTION("""COMPUTED_VALUE"""),"Artificial Intelligence I: Meta-Heuristics and Games in Java")</f>
        <v>Artificial Intelligence I: Meta-Heuristics and Games in Java</v>
      </c>
    </row>
    <row r="4284">
      <c r="A4284" s="140" t="str">
        <f>IFERROR(__xludf.DUMMYFUNCTION("""COMPUTED_VALUE"""),"en")</f>
        <v>en</v>
      </c>
      <c r="B4284">
        <f>IFERROR(__xludf.DUMMYFUNCTION("""COMPUTED_VALUE"""),52512.0)</f>
        <v>52512</v>
      </c>
      <c r="C4284" t="str">
        <f>IFERROR(__xludf.DUMMYFUNCTION("""COMPUTED_VALUE"""),"Become a UX Designer | Learn the Skills &amp; Get the Job")</f>
        <v>Become a UX Designer | Learn the Skills &amp; Get the Job</v>
      </c>
    </row>
    <row r="4285">
      <c r="A4285" s="140" t="str">
        <f>IFERROR(__xludf.DUMMYFUNCTION("""COMPUTED_VALUE"""),"en")</f>
        <v>en</v>
      </c>
      <c r="B4285">
        <f>IFERROR(__xludf.DUMMYFUNCTION("""COMPUTED_VALUE"""),3611140.0)</f>
        <v>3611140</v>
      </c>
      <c r="C4285" t="str">
        <f>IFERROR(__xludf.DUMMYFUNCTION("""COMPUTED_VALUE"""),"DP-900 Microsoft Azure Data Fundamentals Certification 2021")</f>
        <v>DP-900 Microsoft Azure Data Fundamentals Certification 2021</v>
      </c>
    </row>
    <row r="4286">
      <c r="A4286" s="140" t="str">
        <f>IFERROR(__xludf.DUMMYFUNCTION("""COMPUTED_VALUE"""),"es")</f>
        <v>es</v>
      </c>
      <c r="B4286">
        <f>IFERROR(__xludf.DUMMYFUNCTION("""COMPUTED_VALUE"""),3072474.0)</f>
        <v>3072474</v>
      </c>
      <c r="C4286" t="str">
        <f>IFERROR(__xludf.DUMMYFUNCTION("""COMPUTED_VALUE"""),"Email Marketing y Marketing Automation con ActiveCampaign")</f>
        <v>Email Marketing y Marketing Automation con ActiveCampaign</v>
      </c>
    </row>
    <row r="4287">
      <c r="A4287" s="140" t="str">
        <f>IFERROR(__xludf.DUMMYFUNCTION("""COMPUTED_VALUE"""),"ja")</f>
        <v>ja</v>
      </c>
      <c r="B4287">
        <f>IFERROR(__xludf.DUMMYFUNCTION("""COMPUTED_VALUE"""),625078.0)</f>
        <v>625078</v>
      </c>
      <c r="C4287" t="str">
        <f>IFERROR(__xludf.DUMMYFUNCTION("""COMPUTED_VALUE"""),"【世界で18万人が受講】実践 Python データサイエンス")</f>
        <v>【世界で18万人が受講】実践 Python データサイエンス</v>
      </c>
    </row>
    <row r="4288">
      <c r="A4288" s="140" t="str">
        <f>IFERROR(__xludf.DUMMYFUNCTION("""COMPUTED_VALUE"""),"es")</f>
        <v>es</v>
      </c>
      <c r="B4288">
        <f>IFERROR(__xludf.DUMMYFUNCTION("""COMPUTED_VALUE"""),364034.0)</f>
        <v>364034</v>
      </c>
      <c r="C4288" t="str">
        <f>IFERROR(__xludf.DUMMYFUNCTION("""COMPUTED_VALUE"""),"Finanzas y Análisis Financiero: Manejo Seguro de Negocios")</f>
        <v>Finanzas y Análisis Financiero: Manejo Seguro de Negocios</v>
      </c>
    </row>
    <row r="4289">
      <c r="A4289" s="140" t="str">
        <f>IFERROR(__xludf.DUMMYFUNCTION("""COMPUTED_VALUE"""),"en")</f>
        <v>en</v>
      </c>
      <c r="B4289">
        <f>IFERROR(__xludf.DUMMYFUNCTION("""COMPUTED_VALUE"""),1111068.0)</f>
        <v>1111068</v>
      </c>
      <c r="C4289" t="str">
        <f>IFERROR(__xludf.DUMMYFUNCTION("""COMPUTED_VALUE"""),"SAP S/4HANA Training - in Plain English")</f>
        <v>SAP S/4HANA Training - in Plain English</v>
      </c>
    </row>
    <row r="4290">
      <c r="A4290" s="140" t="str">
        <f>IFERROR(__xludf.DUMMYFUNCTION("""COMPUTED_VALUE"""),"de")</f>
        <v>de</v>
      </c>
      <c r="B4290">
        <f>IFERROR(__xludf.DUMMYFUNCTION("""COMPUTED_VALUE"""),1316528.0)</f>
        <v>1316528</v>
      </c>
      <c r="C4290" t="str">
        <f>IFERROR(__xludf.DUMMYFUNCTION("""COMPUTED_VALUE"""),"Entwickle einen Instagram Klon | Swift  iOS 13 und Firebase")</f>
        <v>Entwickle einen Instagram Klon | Swift  iOS 13 und Firebase</v>
      </c>
    </row>
    <row r="4291">
      <c r="A4291" s="140" t="str">
        <f>IFERROR(__xludf.DUMMYFUNCTION("""COMPUTED_VALUE"""),"en")</f>
        <v>en</v>
      </c>
      <c r="B4291">
        <f>IFERROR(__xludf.DUMMYFUNCTION("""COMPUTED_VALUE"""),1571788.0)</f>
        <v>1571788</v>
      </c>
      <c r="C4291" t="str">
        <f>IFERROR(__xludf.DUMMYFUNCTION("""COMPUTED_VALUE"""),"Financial Accounting – Closing Process")</f>
        <v>Financial Accounting – Closing Process</v>
      </c>
    </row>
    <row r="4292">
      <c r="A4292" s="140" t="str">
        <f>IFERROR(__xludf.DUMMYFUNCTION("""COMPUTED_VALUE"""),"en")</f>
        <v>en</v>
      </c>
      <c r="B4292">
        <f>IFERROR(__xludf.DUMMYFUNCTION("""COMPUTED_VALUE"""),2857972.0)</f>
        <v>2857972</v>
      </c>
      <c r="C4292" t="str">
        <f>IFERROR(__xludf.DUMMYFUNCTION("""COMPUTED_VALUE"""),"SAP Security Administration")</f>
        <v>SAP Security Administration</v>
      </c>
    </row>
    <row r="4293">
      <c r="A4293" s="140" t="str">
        <f>IFERROR(__xludf.DUMMYFUNCTION("""COMPUTED_VALUE"""),"es")</f>
        <v>es</v>
      </c>
      <c r="B4293">
        <f>IFERROR(__xludf.DUMMYFUNCTION("""COMPUTED_VALUE"""),4081894.0)</f>
        <v>4081894</v>
      </c>
      <c r="C4293" t="str">
        <f>IFERROR(__xludf.DUMMYFUNCTION("""COMPUTED_VALUE"""),"Copywriting y Storytelling para Redes Sociales y Paginas web")</f>
        <v>Copywriting y Storytelling para Redes Sociales y Paginas web</v>
      </c>
    </row>
    <row r="4294">
      <c r="A4294" s="140" t="str">
        <f>IFERROR(__xludf.DUMMYFUNCTION("""COMPUTED_VALUE"""),"de")</f>
        <v>de</v>
      </c>
      <c r="B4294">
        <f>IFERROR(__xludf.DUMMYFUNCTION("""COMPUTED_VALUE"""),2367514.0)</f>
        <v>2367514</v>
      </c>
      <c r="C4294" t="str">
        <f>IFERROR(__xludf.DUMMYFUNCTION("""COMPUTED_VALUE"""),"Statistik für Data Science und Business Analytics")</f>
        <v>Statistik für Data Science und Business Analytics</v>
      </c>
    </row>
    <row r="4295">
      <c r="A4295" s="140" t="str">
        <f>IFERROR(__xludf.DUMMYFUNCTION("""COMPUTED_VALUE"""),"en")</f>
        <v>en</v>
      </c>
      <c r="B4295">
        <f>IFERROR(__xludf.DUMMYFUNCTION("""COMPUTED_VALUE"""),2213960.0)</f>
        <v>2213960</v>
      </c>
      <c r="C4295" t="str">
        <f>IFERROR(__xludf.DUMMYFUNCTION("""COMPUTED_VALUE"""),"Informatica PowerCenter - Beginner to Expert Level")</f>
        <v>Informatica PowerCenter - Beginner to Expert Level</v>
      </c>
    </row>
    <row r="4296">
      <c r="A4296" s="140" t="str">
        <f>IFERROR(__xludf.DUMMYFUNCTION("""COMPUTED_VALUE"""),"en")</f>
        <v>en</v>
      </c>
      <c r="B4296">
        <f>IFERROR(__xludf.DUMMYFUNCTION("""COMPUTED_VALUE"""),1266526.0)</f>
        <v>1266526</v>
      </c>
      <c r="C4296" t="str">
        <f>IFERROR(__xludf.DUMMYFUNCTION("""COMPUTED_VALUE"""),"Master your Decision-Making, and Critical Thinking Skills !")</f>
        <v>Master your Decision-Making, and Critical Thinking Skills !</v>
      </c>
    </row>
    <row r="4297">
      <c r="A4297" s="140" t="str">
        <f>IFERROR(__xludf.DUMMYFUNCTION("""COMPUTED_VALUE"""),"pt")</f>
        <v>pt</v>
      </c>
      <c r="B4297">
        <f>IFERROR(__xludf.DUMMYFUNCTION("""COMPUTED_VALUE"""),1011302.0)</f>
        <v>1011302</v>
      </c>
      <c r="C4297" t="str">
        <f>IFERROR(__xludf.DUMMYFUNCTION("""COMPUTED_VALUE"""),"Gerenciamento de Backup com Bacula 7")</f>
        <v>Gerenciamento de Backup com Bacula 7</v>
      </c>
    </row>
    <row r="4298">
      <c r="A4298" s="140" t="str">
        <f>IFERROR(__xludf.DUMMYFUNCTION("""COMPUTED_VALUE"""),"en")</f>
        <v>en</v>
      </c>
      <c r="B4298">
        <f>IFERROR(__xludf.DUMMYFUNCTION("""COMPUTED_VALUE"""),1952866.0)</f>
        <v>1952866</v>
      </c>
      <c r="C4298" t="str">
        <f>IFERROR(__xludf.DUMMYFUNCTION("""COMPUTED_VALUE"""),"Xero Online Accounting - Learn Xero in a Day")</f>
        <v>Xero Online Accounting - Learn Xero in a Day</v>
      </c>
    </row>
    <row r="4299">
      <c r="A4299" s="140" t="str">
        <f>IFERROR(__xludf.DUMMYFUNCTION("""COMPUTED_VALUE"""),"en")</f>
        <v>en</v>
      </c>
      <c r="B4299">
        <f>IFERROR(__xludf.DUMMYFUNCTION("""COMPUTED_VALUE"""),2796454.0)</f>
        <v>2796454</v>
      </c>
      <c r="C4299" t="str">
        <f>IFERROR(__xludf.DUMMYFUNCTION("""COMPUTED_VALUE"""),"Deploy Machine Learning Models on GCP + AWS Lambda (Docker)")</f>
        <v>Deploy Machine Learning Models on GCP + AWS Lambda (Docker)</v>
      </c>
    </row>
    <row r="4300">
      <c r="A4300" s="140" t="str">
        <f>IFERROR(__xludf.DUMMYFUNCTION("""COMPUTED_VALUE"""),"tr")</f>
        <v>tr</v>
      </c>
      <c r="B4300">
        <f>IFERROR(__xludf.DUMMYFUNCTION("""COMPUTED_VALUE"""),2690596.0)</f>
        <v>2690596</v>
      </c>
      <c r="C4300" t="str">
        <f>IFERROR(__xludf.DUMMYFUNCTION("""COMPUTED_VALUE"""),"SQL Kursu : Sıfırdan Sektörün Yükseklerine | 2020")</f>
        <v>SQL Kursu : Sıfırdan Sektörün Yükseklerine | 2020</v>
      </c>
    </row>
    <row r="4301">
      <c r="A4301" s="140" t="str">
        <f>IFERROR(__xludf.DUMMYFUNCTION("""COMPUTED_VALUE"""),"en")</f>
        <v>en</v>
      </c>
      <c r="B4301">
        <f>IFERROR(__xludf.DUMMYFUNCTION("""COMPUTED_VALUE"""),1554504.0)</f>
        <v>1554504</v>
      </c>
      <c r="C4301" t="str">
        <f>IFERROR(__xludf.DUMMYFUNCTION("""COMPUTED_VALUE"""),"Build EU GDPR data protection compliance from scratch (CIPT)")</f>
        <v>Build EU GDPR data protection compliance from scratch (CIPT)</v>
      </c>
    </row>
    <row r="4302">
      <c r="A4302" s="140" t="str">
        <f>IFERROR(__xludf.DUMMYFUNCTION("""COMPUTED_VALUE"""),"fr")</f>
        <v>fr</v>
      </c>
      <c r="B4302">
        <f>IFERROR(__xludf.DUMMYFUNCTION("""COMPUTED_VALUE"""),2783496.0)</f>
        <v>2783496</v>
      </c>
      <c r="C4302" t="str">
        <f>IFERROR(__xludf.DUMMYFUNCTION("""COMPUTED_VALUE"""),"CompTIA A+:Apprenez à Devenir un Technicien Support Certifié")</f>
        <v>CompTIA A+:Apprenez à Devenir un Technicien Support Certifié</v>
      </c>
    </row>
    <row r="4303">
      <c r="A4303" s="140" t="str">
        <f>IFERROR(__xludf.DUMMYFUNCTION("""COMPUTED_VALUE"""),"en")</f>
        <v>en</v>
      </c>
      <c r="B4303">
        <f>IFERROR(__xludf.DUMMYFUNCTION("""COMPUTED_VALUE"""),1065250.0)</f>
        <v>1065250</v>
      </c>
      <c r="C4303" t="str">
        <f>IFERROR(__xludf.DUMMYFUNCTION("""COMPUTED_VALUE"""),"Up and Running with jQuery")</f>
        <v>Up and Running with jQuery</v>
      </c>
    </row>
    <row r="4304">
      <c r="A4304" s="140" t="str">
        <f>IFERROR(__xludf.DUMMYFUNCTION("""COMPUTED_VALUE"""),"zh")</f>
        <v>zh</v>
      </c>
      <c r="B4304">
        <f>IFERROR(__xludf.DUMMYFUNCTION("""COMPUTED_VALUE"""),1878846.0)</f>
        <v>1878846</v>
      </c>
      <c r="C4304" t="str">
        <f>IFERROR(__xludf.DUMMYFUNCTION("""COMPUTED_VALUE"""),"Python 3 编程技巧汇总")</f>
        <v>Python 3 编程技巧汇总</v>
      </c>
    </row>
    <row r="4305">
      <c r="A4305" s="140" t="str">
        <f>IFERROR(__xludf.DUMMYFUNCTION("""COMPUTED_VALUE"""),"en")</f>
        <v>en</v>
      </c>
      <c r="B4305">
        <f>IFERROR(__xludf.DUMMYFUNCTION("""COMPUTED_VALUE"""),765562.0)</f>
        <v>765562</v>
      </c>
      <c r="C4305" t="str">
        <f>IFERROR(__xludf.DUMMYFUNCTION("""COMPUTED_VALUE"""),"Comprehensive Guide to Financial Markets, Investing &amp;Trading")</f>
        <v>Comprehensive Guide to Financial Markets, Investing &amp;Trading</v>
      </c>
    </row>
    <row r="4306">
      <c r="A4306" s="140" t="str">
        <f>IFERROR(__xludf.DUMMYFUNCTION("""COMPUTED_VALUE"""),"en")</f>
        <v>en</v>
      </c>
      <c r="B4306">
        <f>IFERROR(__xludf.DUMMYFUNCTION("""COMPUTED_VALUE"""),1050374.0)</f>
        <v>1050374</v>
      </c>
      <c r="C4306" t="str">
        <f>IFERROR(__xludf.DUMMYFUNCTION("""COMPUTED_VALUE"""),"CAPM® Certification: Ultimate CAPM Exam Prep-23 pdus /c.hrs")</f>
        <v>CAPM® Certification: Ultimate CAPM Exam Prep-23 pdus /c.hrs</v>
      </c>
    </row>
    <row r="4307">
      <c r="A4307" s="140" t="str">
        <f>IFERROR(__xludf.DUMMYFUNCTION("""COMPUTED_VALUE"""),"en")</f>
        <v>en</v>
      </c>
      <c r="B4307">
        <f>IFERROR(__xludf.DUMMYFUNCTION("""COMPUTED_VALUE"""),2537858.0)</f>
        <v>2537858</v>
      </c>
      <c r="C4307" t="str">
        <f>IFERROR(__xludf.DUMMYFUNCTION("""COMPUTED_VALUE"""),"Azure Data Engineer Technologies for Beginners [Bundle]")</f>
        <v>Azure Data Engineer Technologies for Beginners [Bundle]</v>
      </c>
    </row>
    <row r="4308">
      <c r="A4308" s="140" t="str">
        <f>IFERROR(__xludf.DUMMYFUNCTION("""COMPUTED_VALUE"""),"en")</f>
        <v>en</v>
      </c>
      <c r="B4308">
        <f>IFERROR(__xludf.DUMMYFUNCTION("""COMPUTED_VALUE"""),354186.0)</f>
        <v>354186</v>
      </c>
      <c r="C4308" t="str">
        <f>IFERROR(__xludf.DUMMYFUNCTION("""COMPUTED_VALUE"""),"Master Adobe Photoshop Elements 13 the Easy Way - 15 Hours")</f>
        <v>Master Adobe Photoshop Elements 13 the Easy Way - 15 Hours</v>
      </c>
    </row>
    <row r="4309">
      <c r="A4309" s="140" t="str">
        <f>IFERROR(__xludf.DUMMYFUNCTION("""COMPUTED_VALUE"""),"en")</f>
        <v>en</v>
      </c>
      <c r="B4309">
        <f>IFERROR(__xludf.DUMMYFUNCTION("""COMPUTED_VALUE"""),481800.0)</f>
        <v>481800</v>
      </c>
      <c r="C4309" t="str">
        <f>IFERROR(__xludf.DUMMYFUNCTION("""COMPUTED_VALUE"""),"Cisco Networking Fundamentals - CCNA Prep")</f>
        <v>Cisco Networking Fundamentals - CCNA Prep</v>
      </c>
    </row>
    <row r="4310">
      <c r="A4310" s="140" t="str">
        <f>IFERROR(__xludf.DUMMYFUNCTION("""COMPUTED_VALUE"""),"en")</f>
        <v>en</v>
      </c>
      <c r="B4310">
        <f>IFERROR(__xludf.DUMMYFUNCTION("""COMPUTED_VALUE"""),1646736.0)</f>
        <v>1646736</v>
      </c>
      <c r="C4310" t="str">
        <f>IFERROR(__xludf.DUMMYFUNCTION("""COMPUTED_VALUE"""),"Linux Technical Interview Questions and Answers")</f>
        <v>Linux Technical Interview Questions and Answers</v>
      </c>
    </row>
    <row r="4311">
      <c r="A4311" s="140" t="str">
        <f>IFERROR(__xludf.DUMMYFUNCTION("""COMPUTED_VALUE"""),"en")</f>
        <v>en</v>
      </c>
      <c r="B4311">
        <f>IFERROR(__xludf.DUMMYFUNCTION("""COMPUTED_VALUE"""),1531580.0)</f>
        <v>1531580</v>
      </c>
      <c r="C4311" t="str">
        <f>IFERROR(__xludf.DUMMYFUNCTION("""COMPUTED_VALUE"""),"3 Days Linux Administration Course")</f>
        <v>3 Days Linux Administration Course</v>
      </c>
    </row>
    <row r="4312">
      <c r="A4312" s="140" t="str">
        <f>IFERROR(__xludf.DUMMYFUNCTION("""COMPUTED_VALUE"""),"en")</f>
        <v>en</v>
      </c>
      <c r="B4312">
        <f>IFERROR(__xludf.DUMMYFUNCTION("""COMPUTED_VALUE"""),1598064.0)</f>
        <v>1598064</v>
      </c>
      <c r="C4312" t="str">
        <f>IFERROR(__xludf.DUMMYFUNCTION("""COMPUTED_VALUE"""),"Dependency Injection in .NET Core &amp; .NET 5 (Second Edition)")</f>
        <v>Dependency Injection in .NET Core &amp; .NET 5 (Second Edition)</v>
      </c>
    </row>
    <row r="4313">
      <c r="A4313" s="140" t="str">
        <f>IFERROR(__xludf.DUMMYFUNCTION("""COMPUTED_VALUE"""),"en")</f>
        <v>en</v>
      </c>
      <c r="B4313">
        <f>IFERROR(__xludf.DUMMYFUNCTION("""COMPUTED_VALUE"""),2991958.0)</f>
        <v>2991958</v>
      </c>
      <c r="C4313" t="str">
        <f>IFERROR(__xludf.DUMMYFUNCTION("""COMPUTED_VALUE"""),"AWS Certified Data Analytics Specialty Practice Tests")</f>
        <v>AWS Certified Data Analytics Specialty Practice Tests</v>
      </c>
    </row>
    <row r="4314">
      <c r="A4314" s="140" t="str">
        <f>IFERROR(__xludf.DUMMYFUNCTION("""COMPUTED_VALUE"""),"en")</f>
        <v>en</v>
      </c>
      <c r="B4314">
        <f>IFERROR(__xludf.DUMMYFUNCTION("""COMPUTED_VALUE"""),193824.0)</f>
        <v>193824</v>
      </c>
      <c r="C4314" t="str">
        <f>IFERROR(__xludf.DUMMYFUNCTION("""COMPUTED_VALUE"""),"Navigating Office Politics: Get What You Want at Work")</f>
        <v>Navigating Office Politics: Get What You Want at Work</v>
      </c>
    </row>
    <row r="4315">
      <c r="A4315" s="140" t="str">
        <f>IFERROR(__xludf.DUMMYFUNCTION("""COMPUTED_VALUE"""),"en")</f>
        <v>en</v>
      </c>
      <c r="B4315">
        <f>IFERROR(__xludf.DUMMYFUNCTION("""COMPUTED_VALUE"""),308402.0)</f>
        <v>308402</v>
      </c>
      <c r="C4315" t="str">
        <f>IFERROR(__xludf.DUMMYFUNCTION("""COMPUTED_VALUE"""),"15 Minutes x 15 Days Yoga For Stress Relief")</f>
        <v>15 Minutes x 15 Days Yoga For Stress Relief</v>
      </c>
    </row>
    <row r="4316">
      <c r="A4316" s="140" t="str">
        <f>IFERROR(__xludf.DUMMYFUNCTION("""COMPUTED_VALUE"""),"ja")</f>
        <v>ja</v>
      </c>
      <c r="B4316">
        <f>IFERROR(__xludf.DUMMYFUNCTION("""COMPUTED_VALUE"""),2722424.0)</f>
        <v>2722424</v>
      </c>
      <c r="C4316" t="str">
        <f>IFERROR(__xludf.DUMMYFUNCTION("""COMPUTED_VALUE"""),"続【AngularとNode.jsで始める】JavaScript系WEBアプリケーション開発コンプリートガイド②")</f>
        <v>続【AngularとNode.jsで始める】JavaScript系WEBアプリケーション開発コンプリートガイド②</v>
      </c>
    </row>
    <row r="4317">
      <c r="A4317" s="140" t="str">
        <f>IFERROR(__xludf.DUMMYFUNCTION("""COMPUTED_VALUE"""),"fr")</f>
        <v>fr</v>
      </c>
      <c r="B4317">
        <f>IFERROR(__xludf.DUMMYFUNCTION("""COMPUTED_VALUE"""),1630770.0)</f>
        <v>1630770</v>
      </c>
      <c r="C4317" t="str">
        <f>IFERROR(__xludf.DUMMYFUNCTION("""COMPUTED_VALUE"""),"Photoshop CC 2020- Débutant à Intermédiaire + Ateliers créas")</f>
        <v>Photoshop CC 2020- Débutant à Intermédiaire + Ateliers créas</v>
      </c>
    </row>
    <row r="4318">
      <c r="A4318" s="140" t="str">
        <f>IFERROR(__xludf.DUMMYFUNCTION("""COMPUTED_VALUE"""),"en")</f>
        <v>en</v>
      </c>
      <c r="B4318">
        <f>IFERROR(__xludf.DUMMYFUNCTION("""COMPUTED_VALUE"""),4044542.0)</f>
        <v>4044542</v>
      </c>
      <c r="C4318" t="str">
        <f>IFERROR(__xludf.DUMMYFUNCTION("""COMPUTED_VALUE"""),"CCSP-Cloud Security Professional-Important recap before Exam")</f>
        <v>CCSP-Cloud Security Professional-Important recap before Exam</v>
      </c>
    </row>
    <row r="4319">
      <c r="A4319" s="140" t="str">
        <f>IFERROR(__xludf.DUMMYFUNCTION("""COMPUTED_VALUE"""),"en")</f>
        <v>en</v>
      </c>
      <c r="B4319">
        <f>IFERROR(__xludf.DUMMYFUNCTION("""COMPUTED_VALUE"""),179288.0)</f>
        <v>179288</v>
      </c>
      <c r="C4319" t="str">
        <f>IFERROR(__xludf.DUMMYFUNCTION("""COMPUTED_VALUE"""),"The Complete ASP.Net Core 3.1 MVC With EF Core -Formerly 2.0")</f>
        <v>The Complete ASP.Net Core 3.1 MVC With EF Core -Formerly 2.0</v>
      </c>
    </row>
    <row r="4320">
      <c r="A4320" s="140" t="str">
        <f>IFERROR(__xludf.DUMMYFUNCTION("""COMPUTED_VALUE"""),"en")</f>
        <v>en</v>
      </c>
      <c r="B4320">
        <f>IFERROR(__xludf.DUMMYFUNCTION("""COMPUTED_VALUE"""),556348.0)</f>
        <v>556348</v>
      </c>
      <c r="C4320" t="str">
        <f>IFERROR(__xludf.DUMMYFUNCTION("""COMPUTED_VALUE"""),"70-461 Session 4: Querying Microsoft SQL Server (T-SQL)")</f>
        <v>70-461 Session 4: Querying Microsoft SQL Server (T-SQL)</v>
      </c>
    </row>
    <row r="4321">
      <c r="A4321" s="140" t="str">
        <f>IFERROR(__xludf.DUMMYFUNCTION("""COMPUTED_VALUE"""),"en")</f>
        <v>en</v>
      </c>
      <c r="B4321">
        <f>IFERROR(__xludf.DUMMYFUNCTION("""COMPUTED_VALUE"""),1340518.0)</f>
        <v>1340518</v>
      </c>
      <c r="C4321" t="str">
        <f>IFERROR(__xludf.DUMMYFUNCTION("""COMPUTED_VALUE"""),"American English Pronunciation for Beginners")</f>
        <v>American English Pronunciation for Beginners</v>
      </c>
    </row>
    <row r="4322">
      <c r="A4322" s="140" t="str">
        <f>IFERROR(__xludf.DUMMYFUNCTION("""COMPUTED_VALUE"""),"en")</f>
        <v>en</v>
      </c>
      <c r="B4322">
        <f>IFERROR(__xludf.DUMMYFUNCTION("""COMPUTED_VALUE"""),48841.0)</f>
        <v>48841</v>
      </c>
      <c r="C4322" t="str">
        <f>IFERROR(__xludf.DUMMYFUNCTION("""COMPUTED_VALUE"""),"Accounting in 60 Minutes - A Brief Introduction")</f>
        <v>Accounting in 60 Minutes - A Brief Introduction</v>
      </c>
    </row>
    <row r="4323">
      <c r="A4323" s="140" t="str">
        <f>IFERROR(__xludf.DUMMYFUNCTION("""COMPUTED_VALUE"""),"pt")</f>
        <v>pt</v>
      </c>
      <c r="B4323">
        <f>IFERROR(__xludf.DUMMYFUNCTION("""COMPUTED_VALUE"""),1415038.0)</f>
        <v>1415038</v>
      </c>
      <c r="C4323" t="str">
        <f>IFERROR(__xludf.DUMMYFUNCTION("""COMPUTED_VALUE"""),"Design Gráfico - Fechamento de Arquivos em PDF")</f>
        <v>Design Gráfico - Fechamento de Arquivos em PDF</v>
      </c>
    </row>
    <row r="4324">
      <c r="A4324" s="140" t="str">
        <f>IFERROR(__xludf.DUMMYFUNCTION("""COMPUTED_VALUE"""),"tr")</f>
        <v>tr</v>
      </c>
      <c r="B4324">
        <f>IFERROR(__xludf.DUMMYFUNCTION("""COMPUTED_VALUE"""),1486400.0)</f>
        <v>1486400</v>
      </c>
      <c r="C4324" t="str">
        <f>IFERROR(__xludf.DUMMYFUNCTION("""COMPUTED_VALUE"""),"Baştan Sona İngilizce Eğitimi - Sıfırdan Başlayanlar İçin")</f>
        <v>Baştan Sona İngilizce Eğitimi - Sıfırdan Başlayanlar İçin</v>
      </c>
    </row>
    <row r="4325">
      <c r="A4325" s="140" t="str">
        <f>IFERROR(__xludf.DUMMYFUNCTION("""COMPUTED_VALUE"""),"en")</f>
        <v>en</v>
      </c>
      <c r="B4325">
        <f>IFERROR(__xludf.DUMMYFUNCTION("""COMPUTED_VALUE"""),1318732.0)</f>
        <v>1318732</v>
      </c>
      <c r="C4325" t="str">
        <f>IFERROR(__xludf.DUMMYFUNCTION("""COMPUTED_VALUE"""),"Visual Effects for Games in Unity - Beginner To Intermediate")</f>
        <v>Visual Effects for Games in Unity - Beginner To Intermediate</v>
      </c>
    </row>
    <row r="4326">
      <c r="A4326" s="140" t="str">
        <f>IFERROR(__xludf.DUMMYFUNCTION("""COMPUTED_VALUE"""),"de")</f>
        <v>de</v>
      </c>
      <c r="B4326">
        <f>IFERROR(__xludf.DUMMYFUNCTION("""COMPUTED_VALUE"""),486006.0)</f>
        <v>486006</v>
      </c>
      <c r="C4326" t="str">
        <f>IFERROR(__xludf.DUMMYFUNCTION("""COMPUTED_VALUE"""),"Gesunde Smoothies - Inkl. meiner 7 Tage Smoothie Challenge")</f>
        <v>Gesunde Smoothies - Inkl. meiner 7 Tage Smoothie Challenge</v>
      </c>
    </row>
    <row r="4327">
      <c r="A4327" s="140" t="str">
        <f>IFERROR(__xludf.DUMMYFUNCTION("""COMPUTED_VALUE"""),"en")</f>
        <v>en</v>
      </c>
      <c r="B4327">
        <f>IFERROR(__xludf.DUMMYFUNCTION("""COMPUTED_VALUE"""),2551711.0)</f>
        <v>2551711</v>
      </c>
      <c r="C4327" t="str">
        <f>IFERROR(__xludf.DUMMYFUNCTION("""COMPUTED_VALUE"""),"Concept Art Character Design")</f>
        <v>Concept Art Character Design</v>
      </c>
    </row>
    <row r="4328">
      <c r="A4328" s="140" t="str">
        <f>IFERROR(__xludf.DUMMYFUNCTION("""COMPUTED_VALUE"""),"en")</f>
        <v>en</v>
      </c>
      <c r="B4328">
        <f>IFERROR(__xludf.DUMMYFUNCTION("""COMPUTED_VALUE"""),4025834.0)</f>
        <v>4025834</v>
      </c>
      <c r="C4328" t="str">
        <f>IFERROR(__xludf.DUMMYFUNCTION("""COMPUTED_VALUE"""),"MLOps Fundamentals: CI/CD/CT Pipelines of ML with Azure Demo")</f>
        <v>MLOps Fundamentals: CI/CD/CT Pipelines of ML with Azure Demo</v>
      </c>
    </row>
    <row r="4329">
      <c r="A4329" s="140" t="str">
        <f>IFERROR(__xludf.DUMMYFUNCTION("""COMPUTED_VALUE"""),"pt")</f>
        <v>pt</v>
      </c>
      <c r="B4329">
        <f>IFERROR(__xludf.DUMMYFUNCTION("""COMPUTED_VALUE"""),2178262.0)</f>
        <v>2178262</v>
      </c>
      <c r="C4329" t="str">
        <f>IFERROR(__xludf.DUMMYFUNCTION("""COMPUTED_VALUE"""),"REST API's RESTFul do 0 à AWS com Spring Boot 2.x e Docker")</f>
        <v>REST API's RESTFul do 0 à AWS com Spring Boot 2.x e Docker</v>
      </c>
    </row>
    <row r="4330">
      <c r="A4330" s="140" t="str">
        <f>IFERROR(__xludf.DUMMYFUNCTION("""COMPUTED_VALUE"""),"en")</f>
        <v>en</v>
      </c>
      <c r="B4330">
        <f>IFERROR(__xludf.DUMMYFUNCTION("""COMPUTED_VALUE"""),3362934.0)</f>
        <v>3362934</v>
      </c>
      <c r="C4330" t="str">
        <f>IFERROR(__xludf.DUMMYFUNCTION("""COMPUTED_VALUE"""),"HashiCorp Certified: Terraform Associate Practice Exam 2021")</f>
        <v>HashiCorp Certified: Terraform Associate Practice Exam 2021</v>
      </c>
    </row>
    <row r="4331">
      <c r="A4331" s="140" t="str">
        <f>IFERROR(__xludf.DUMMYFUNCTION("""COMPUTED_VALUE"""),"en")</f>
        <v>en</v>
      </c>
      <c r="B4331">
        <f>IFERROR(__xludf.DUMMYFUNCTION("""COMPUTED_VALUE"""),2701028.0)</f>
        <v>2701028</v>
      </c>
      <c r="C4331" t="str">
        <f>IFERROR(__xludf.DUMMYFUNCTION("""COMPUTED_VALUE"""),"Django 3 - Full Stack Websites with Python Web Development")</f>
        <v>Django 3 - Full Stack Websites with Python Web Development</v>
      </c>
    </row>
    <row r="4332">
      <c r="A4332" s="140" t="str">
        <f>IFERROR(__xludf.DUMMYFUNCTION("""COMPUTED_VALUE"""),"en")</f>
        <v>en</v>
      </c>
      <c r="B4332">
        <f>IFERROR(__xludf.DUMMYFUNCTION("""COMPUTED_VALUE"""),2782800.0)</f>
        <v>2782800</v>
      </c>
      <c r="C4332" t="str">
        <f>IFERROR(__xludf.DUMMYFUNCTION("""COMPUTED_VALUE"""),"20 Web Projects With Vanilla JavaScript")</f>
        <v>20 Web Projects With Vanilla JavaScript</v>
      </c>
    </row>
    <row r="4333">
      <c r="A4333" s="140" t="str">
        <f>IFERROR(__xludf.DUMMYFUNCTION("""COMPUTED_VALUE"""),"es")</f>
        <v>es</v>
      </c>
      <c r="B4333">
        <f>IFERROR(__xludf.DUMMYFUNCTION("""COMPUTED_VALUE"""),1540912.0)</f>
        <v>1540912</v>
      </c>
      <c r="C4333" t="str">
        <f>IFERROR(__xludf.DUMMYFUNCTION("""COMPUTED_VALUE"""),"Aprende  Oracle SQL desde cero")</f>
        <v>Aprende  Oracle SQL desde cero</v>
      </c>
    </row>
    <row r="4334">
      <c r="A4334" s="140" t="str">
        <f>IFERROR(__xludf.DUMMYFUNCTION("""COMPUTED_VALUE"""),"de")</f>
        <v>de</v>
      </c>
      <c r="B4334">
        <f>IFERROR(__xludf.DUMMYFUNCTION("""COMPUTED_VALUE"""),1166364.0)</f>
        <v>1166364</v>
      </c>
      <c r="C4334" t="str">
        <f>IFERROR(__xludf.DUMMYFUNCTION("""COMPUTED_VALUE"""),"Excel VBA&amp;Makro Programmierung: Jetzt richtig durchstarten!")</f>
        <v>Excel VBA&amp;Makro Programmierung: Jetzt richtig durchstarten!</v>
      </c>
    </row>
    <row r="4335">
      <c r="A4335" s="140" t="str">
        <f>IFERROR(__xludf.DUMMYFUNCTION("""COMPUTED_VALUE"""),"tr")</f>
        <v>tr</v>
      </c>
      <c r="B4335">
        <f>IFERROR(__xludf.DUMMYFUNCTION("""COMPUTED_VALUE"""),1990056.0)</f>
        <v>1990056</v>
      </c>
      <c r="C4335" t="str">
        <f>IFERROR(__xludf.DUMMYFUNCTION("""COMPUTED_VALUE"""),"90 Günlük Eylem Planı")</f>
        <v>90 Günlük Eylem Planı</v>
      </c>
    </row>
    <row r="4336">
      <c r="A4336" s="140" t="str">
        <f>IFERROR(__xludf.DUMMYFUNCTION("""COMPUTED_VALUE"""),"en")</f>
        <v>en</v>
      </c>
      <c r="B4336">
        <f>IFERROR(__xludf.DUMMYFUNCTION("""COMPUTED_VALUE"""),2425526.0)</f>
        <v>2425526</v>
      </c>
      <c r="C4336" t="str">
        <f>IFERROR(__xludf.DUMMYFUNCTION("""COMPUTED_VALUE"""),"Salesforce Admin Certification (CRT-101) Practice Tests")</f>
        <v>Salesforce Admin Certification (CRT-101) Practice Tests</v>
      </c>
    </row>
    <row r="4337">
      <c r="A4337" s="140" t="str">
        <f>IFERROR(__xludf.DUMMYFUNCTION("""COMPUTED_VALUE"""),"en")</f>
        <v>en</v>
      </c>
      <c r="B4337">
        <f>IFERROR(__xludf.DUMMYFUNCTION("""COMPUTED_VALUE"""),3043984.0)</f>
        <v>3043984</v>
      </c>
      <c r="C4337" t="str">
        <f>IFERROR(__xludf.DUMMYFUNCTION("""COMPUTED_VALUE"""),"The Essential Guide to Stata")</f>
        <v>The Essential Guide to Stata</v>
      </c>
    </row>
    <row r="4338">
      <c r="A4338" s="140" t="str">
        <f>IFERROR(__xludf.DUMMYFUNCTION("""COMPUTED_VALUE"""),"es")</f>
        <v>es</v>
      </c>
      <c r="B4338">
        <f>IFERROR(__xludf.DUMMYFUNCTION("""COMPUTED_VALUE"""),2335998.0)</f>
        <v>2335998</v>
      </c>
      <c r="C4338" t="str">
        <f>IFERROR(__xludf.DUMMYFUNCTION("""COMPUTED_VALUE"""),"Power Query  -Domina la Transformación de datos en Power BI")</f>
        <v>Power Query  -Domina la Transformación de datos en Power BI</v>
      </c>
    </row>
    <row r="4339">
      <c r="A4339" s="140" t="str">
        <f>IFERROR(__xludf.DUMMYFUNCTION("""COMPUTED_VALUE"""),"es")</f>
        <v>es</v>
      </c>
      <c r="B4339">
        <f>IFERROR(__xludf.DUMMYFUNCTION("""COMPUTED_VALUE"""),1906400.0)</f>
        <v>1906400</v>
      </c>
      <c r="C4339" t="str">
        <f>IFERROR(__xludf.DUMMYFUNCTION("""COMPUTED_VALUE"""),"Curso completo de Inteligencia Artificial con Python")</f>
        <v>Curso completo de Inteligencia Artificial con Python</v>
      </c>
    </row>
    <row r="4340">
      <c r="A4340" s="140" t="str">
        <f>IFERROR(__xludf.DUMMYFUNCTION("""COMPUTED_VALUE"""),"en")</f>
        <v>en</v>
      </c>
      <c r="B4340">
        <f>IFERROR(__xludf.DUMMYFUNCTION("""COMPUTED_VALUE"""),370474.0)</f>
        <v>370474</v>
      </c>
      <c r="C4340" t="str">
        <f>IFERROR(__xludf.DUMMYFUNCTION("""COMPUTED_VALUE"""),"Excel Dashboard and Data Analysis Masterclass")</f>
        <v>Excel Dashboard and Data Analysis Masterclass</v>
      </c>
    </row>
    <row r="4341">
      <c r="A4341" s="140" t="str">
        <f>IFERROR(__xludf.DUMMYFUNCTION("""COMPUTED_VALUE"""),"en")</f>
        <v>en</v>
      </c>
      <c r="B4341">
        <f>IFERROR(__xludf.DUMMYFUNCTION("""COMPUTED_VALUE"""),1298438.0)</f>
        <v>1298438</v>
      </c>
      <c r="C4341" t="str">
        <f>IFERROR(__xludf.DUMMYFUNCTION("""COMPUTED_VALUE"""),"Art Fundamentals - Building Blocks of Digital Painting")</f>
        <v>Art Fundamentals - Building Blocks of Digital Painting</v>
      </c>
    </row>
    <row r="4342">
      <c r="A4342" s="140" t="str">
        <f>IFERROR(__xludf.DUMMYFUNCTION("""COMPUTED_VALUE"""),"en")</f>
        <v>en</v>
      </c>
      <c r="B4342">
        <f>IFERROR(__xludf.DUMMYFUNCTION("""COMPUTED_VALUE"""),1323630.0)</f>
        <v>1323630</v>
      </c>
      <c r="C4342" t="str">
        <f>IFERROR(__xludf.DUMMYFUNCTION("""COMPUTED_VALUE"""),"Tableau Expert: Top Visualization Techniques in Tableau 10")</f>
        <v>Tableau Expert: Top Visualization Techniques in Tableau 10</v>
      </c>
    </row>
    <row r="4343">
      <c r="A4343" s="140" t="str">
        <f>IFERROR(__xludf.DUMMYFUNCTION("""COMPUTED_VALUE"""),"en")</f>
        <v>en</v>
      </c>
      <c r="B4343">
        <f>IFERROR(__xludf.DUMMYFUNCTION("""COMPUTED_VALUE"""),1562640.0)</f>
        <v>1562640</v>
      </c>
      <c r="C4343" t="str">
        <f>IFERROR(__xludf.DUMMYFUNCTION("""COMPUTED_VALUE"""),"R Programming for Statistics and Data Science 2021")</f>
        <v>R Programming for Statistics and Data Science 2021</v>
      </c>
    </row>
    <row r="4344">
      <c r="A4344" s="140" t="str">
        <f>IFERROR(__xludf.DUMMYFUNCTION("""COMPUTED_VALUE"""),"en")</f>
        <v>en</v>
      </c>
      <c r="B4344">
        <f>IFERROR(__xludf.DUMMYFUNCTION("""COMPUTED_VALUE"""),1464932.0)</f>
        <v>1464932</v>
      </c>
      <c r="C4344" t="str">
        <f>IFERROR(__xludf.DUMMYFUNCTION("""COMPUTED_VALUE"""),"Full Cryptocurrency Course: Bitcoin, Ethereum &amp; Blockchain")</f>
        <v>Full Cryptocurrency Course: Bitcoin, Ethereum &amp; Blockchain</v>
      </c>
    </row>
    <row r="4345">
      <c r="A4345" s="140" t="str">
        <f>IFERROR(__xludf.DUMMYFUNCTION("""COMPUTED_VALUE"""),"es")</f>
        <v>es</v>
      </c>
      <c r="B4345">
        <f>IFERROR(__xludf.DUMMYFUNCTION("""COMPUTED_VALUE"""),3077748.0)</f>
        <v>3077748</v>
      </c>
      <c r="C4345" t="str">
        <f>IFERROR(__xludf.DUMMYFUNCTION("""COMPUTED_VALUE"""),"CURSO DISEÑO WEB MODERNO DESDE CERO A AVANZADO HTML5 Y CSS3")</f>
        <v>CURSO DISEÑO WEB MODERNO DESDE CERO A AVANZADO HTML5 Y CSS3</v>
      </c>
    </row>
    <row r="4346">
      <c r="A4346" s="140" t="str">
        <f>IFERROR(__xludf.DUMMYFUNCTION("""COMPUTED_VALUE"""),"ja")</f>
        <v>ja</v>
      </c>
      <c r="B4346">
        <f>IFERROR(__xludf.DUMMYFUNCTION("""COMPUTED_VALUE"""),3391810.0)</f>
        <v>3391810</v>
      </c>
      <c r="C4346" t="str">
        <f>IFERROR(__xludf.DUMMYFUNCTION("""COMPUTED_VALUE"""),"創造性をビジネスに活かせる！アート思考×デザイン思考実践セミナー")</f>
        <v>創造性をビジネスに活かせる！アート思考×デザイン思考実践セミナー</v>
      </c>
    </row>
    <row r="4347">
      <c r="A4347" s="140" t="str">
        <f>IFERROR(__xludf.DUMMYFUNCTION("""COMPUTED_VALUE"""),"en")</f>
        <v>en</v>
      </c>
      <c r="B4347">
        <f>IFERROR(__xludf.DUMMYFUNCTION("""COMPUTED_VALUE"""),1612802.0)</f>
        <v>1612802</v>
      </c>
      <c r="C4347" t="str">
        <f>IFERROR(__xludf.DUMMYFUNCTION("""COMPUTED_VALUE"""),"Management &amp; Leadership")</f>
        <v>Management &amp; Leadership</v>
      </c>
    </row>
    <row r="4348">
      <c r="A4348" s="140" t="str">
        <f>IFERROR(__xludf.DUMMYFUNCTION("""COMPUTED_VALUE"""),"en")</f>
        <v>en</v>
      </c>
      <c r="B4348">
        <f>IFERROR(__xludf.DUMMYFUNCTION("""COMPUTED_VALUE"""),933482.0)</f>
        <v>933482</v>
      </c>
      <c r="C4348" t="str">
        <f>IFERROR(__xludf.DUMMYFUNCTION("""COMPUTED_VALUE"""),"Event Management for Beginners")</f>
        <v>Event Management for Beginners</v>
      </c>
    </row>
    <row r="4349">
      <c r="A4349" s="140" t="str">
        <f>IFERROR(__xludf.DUMMYFUNCTION("""COMPUTED_VALUE"""),"en")</f>
        <v>en</v>
      </c>
      <c r="B4349">
        <f>IFERROR(__xludf.DUMMYFUNCTION("""COMPUTED_VALUE"""),1788412.0)</f>
        <v>1788412</v>
      </c>
      <c r="C4349" t="str">
        <f>IFERROR(__xludf.DUMMYFUNCTION("""COMPUTED_VALUE"""),"Office 365 - Exchange Online - Beginner to Professional 2019")</f>
        <v>Office 365 - Exchange Online - Beginner to Professional 2019</v>
      </c>
    </row>
    <row r="4350">
      <c r="A4350" s="140" t="str">
        <f>IFERROR(__xludf.DUMMYFUNCTION("""COMPUTED_VALUE"""),"en")</f>
        <v>en</v>
      </c>
      <c r="B4350">
        <f>IFERROR(__xludf.DUMMYFUNCTION("""COMPUTED_VALUE"""),2314740.0)</f>
        <v>2314740</v>
      </c>
      <c r="C4350" t="str">
        <f>IFERROR(__xludf.DUMMYFUNCTION("""COMPUTED_VALUE"""),"Real Estate Asset Management 101")</f>
        <v>Real Estate Asset Management 101</v>
      </c>
    </row>
    <row r="4351">
      <c r="A4351" s="140" t="str">
        <f>IFERROR(__xludf.DUMMYFUNCTION("""COMPUTED_VALUE"""),"en")</f>
        <v>en</v>
      </c>
      <c r="B4351">
        <f>IFERROR(__xludf.DUMMYFUNCTION("""COMPUTED_VALUE"""),3105804.0)</f>
        <v>3105804</v>
      </c>
      <c r="C4351" t="str">
        <f>IFERROR(__xludf.DUMMYFUNCTION("""COMPUTED_VALUE"""),"Technical Report Writing")</f>
        <v>Technical Report Writing</v>
      </c>
    </row>
    <row r="4352">
      <c r="A4352" s="140" t="str">
        <f>IFERROR(__xludf.DUMMYFUNCTION("""COMPUTED_VALUE"""),"en")</f>
        <v>en</v>
      </c>
      <c r="B4352">
        <f>IFERROR(__xludf.DUMMYFUNCTION("""COMPUTED_VALUE"""),772462.0)</f>
        <v>772462</v>
      </c>
      <c r="C4352" t="str">
        <f>IFERROR(__xludf.DUMMYFUNCTION("""COMPUTED_VALUE"""),"Modern Deep Learning in Python")</f>
        <v>Modern Deep Learning in Python</v>
      </c>
    </row>
    <row r="4353">
      <c r="A4353" s="140" t="str">
        <f>IFERROR(__xludf.DUMMYFUNCTION("""COMPUTED_VALUE"""),"ja")</f>
        <v>ja</v>
      </c>
      <c r="B4353">
        <f>IFERROR(__xludf.DUMMYFUNCTION("""COMPUTED_VALUE"""),1851456.0)</f>
        <v>1851456</v>
      </c>
      <c r="C4353" t="str">
        <f>IFERROR(__xludf.DUMMYFUNCTION("""COMPUTED_VALUE"""),"Raspberry Pi とTensorFlow ではじめるAI・IoTアプリ開発入門")</f>
        <v>Raspberry Pi とTensorFlow ではじめるAI・IoTアプリ開発入門</v>
      </c>
    </row>
    <row r="4354">
      <c r="A4354" s="140" t="str">
        <f>IFERROR(__xludf.DUMMYFUNCTION("""COMPUTED_VALUE"""),"en")</f>
        <v>en</v>
      </c>
      <c r="B4354">
        <f>IFERROR(__xludf.DUMMYFUNCTION("""COMPUTED_VALUE"""),2895550.0)</f>
        <v>2895550</v>
      </c>
      <c r="C4354" t="str">
        <f>IFERROR(__xludf.DUMMYFUNCTION("""COMPUTED_VALUE"""),"Valves : Principles , Operation &amp; Designs")</f>
        <v>Valves : Principles , Operation &amp; Designs</v>
      </c>
    </row>
    <row r="4355">
      <c r="A4355" s="140" t="str">
        <f>IFERROR(__xludf.DUMMYFUNCTION("""COMPUTED_VALUE"""),"en")</f>
        <v>en</v>
      </c>
      <c r="B4355">
        <f>IFERROR(__xludf.DUMMYFUNCTION("""COMPUTED_VALUE"""),3406422.0)</f>
        <v>3406422</v>
      </c>
      <c r="C4355" t="str">
        <f>IFERROR(__xludf.DUMMYFUNCTION("""COMPUTED_VALUE"""),"Achieve Successful HR Technology With The 5 Pillar Framework")</f>
        <v>Achieve Successful HR Technology With The 5 Pillar Framework</v>
      </c>
    </row>
    <row r="4356">
      <c r="A4356" s="140" t="str">
        <f>IFERROR(__xludf.DUMMYFUNCTION("""COMPUTED_VALUE"""),"de")</f>
        <v>de</v>
      </c>
      <c r="B4356">
        <f>IFERROR(__xludf.DUMMYFUNCTION("""COMPUTED_VALUE"""),1506686.0)</f>
        <v>1506686</v>
      </c>
      <c r="C4356" t="str">
        <f>IFERROR(__xludf.DUMMYFUNCTION("""COMPUTED_VALUE"""),"Statistik mit PSPP/PSPPIRE")</f>
        <v>Statistik mit PSPP/PSPPIRE</v>
      </c>
    </row>
    <row r="4357">
      <c r="A4357" s="140" t="str">
        <f>IFERROR(__xludf.DUMMYFUNCTION("""COMPUTED_VALUE"""),"en")</f>
        <v>en</v>
      </c>
      <c r="B4357">
        <f>IFERROR(__xludf.DUMMYFUNCTION("""COMPUTED_VALUE"""),2463220.0)</f>
        <v>2463220</v>
      </c>
      <c r="C4357" t="str">
        <f>IFERROR(__xludf.DUMMYFUNCTION("""COMPUTED_VALUE"""),"5G: Architecture and Key principles")</f>
        <v>5G: Architecture and Key principles</v>
      </c>
    </row>
    <row r="4358">
      <c r="A4358" s="140" t="str">
        <f>IFERROR(__xludf.DUMMYFUNCTION("""COMPUTED_VALUE"""),"en")</f>
        <v>en</v>
      </c>
      <c r="B4358">
        <f>IFERROR(__xludf.DUMMYFUNCTION("""COMPUTED_VALUE"""),960698.0)</f>
        <v>960698</v>
      </c>
      <c r="C4358" t="str">
        <f>IFERROR(__xludf.DUMMYFUNCTION("""COMPUTED_VALUE"""),"Complete Health and Safety Auditor Course. OHSAS 18001.")</f>
        <v>Complete Health and Safety Auditor Course. OHSAS 18001.</v>
      </c>
    </row>
    <row r="4359">
      <c r="A4359" s="140" t="str">
        <f>IFERROR(__xludf.DUMMYFUNCTION("""COMPUTED_VALUE"""),"en")</f>
        <v>en</v>
      </c>
      <c r="B4359">
        <f>IFERROR(__xludf.DUMMYFUNCTION("""COMPUTED_VALUE"""),4050082.0)</f>
        <v>4050082</v>
      </c>
      <c r="C4359" t="str">
        <f>IFERROR(__xludf.DUMMYFUNCTION("""COMPUTED_VALUE"""),"Data Visualization for Management Consultants &amp; Analysts")</f>
        <v>Data Visualization for Management Consultants &amp; Analysts</v>
      </c>
    </row>
    <row r="4360">
      <c r="A4360" s="140" t="str">
        <f>IFERROR(__xludf.DUMMYFUNCTION("""COMPUTED_VALUE"""),"ja")</f>
        <v>ja</v>
      </c>
      <c r="B4360">
        <f>IFERROR(__xludf.DUMMYFUNCTION("""COMPUTED_VALUE"""),2394060.0)</f>
        <v>2394060</v>
      </c>
      <c r="C4360" t="str">
        <f>IFERROR(__xludf.DUMMYFUNCTION("""COMPUTED_VALUE"""),"BigQuery で学ぶ非エンジニアのための SQL データ分析入門")</f>
        <v>BigQuery で学ぶ非エンジニアのための SQL データ分析入門</v>
      </c>
    </row>
    <row r="4361">
      <c r="A4361" s="140" t="str">
        <f>IFERROR(__xludf.DUMMYFUNCTION("""COMPUTED_VALUE"""),"en")</f>
        <v>en</v>
      </c>
      <c r="B4361">
        <f>IFERROR(__xludf.DUMMYFUNCTION("""COMPUTED_VALUE"""),2826675.0)</f>
        <v>2826675</v>
      </c>
      <c r="C4361" t="str">
        <f>IFERROR(__xludf.DUMMYFUNCTION("""COMPUTED_VALUE"""),"Google My Business: Optimize Your Google Maps Listing in2021")</f>
        <v>Google My Business: Optimize Your Google Maps Listing in2021</v>
      </c>
    </row>
    <row r="4362">
      <c r="A4362" s="140" t="str">
        <f>IFERROR(__xludf.DUMMYFUNCTION("""COMPUTED_VALUE"""),"en")</f>
        <v>en</v>
      </c>
      <c r="B4362">
        <f>IFERROR(__xludf.DUMMYFUNCTION("""COMPUTED_VALUE"""),433766.0)</f>
        <v>433766</v>
      </c>
      <c r="C4362" t="str">
        <f>IFERROR(__xludf.DUMMYFUNCTION("""COMPUTED_VALUE"""),"Conversational Swedish")</f>
        <v>Conversational Swedish</v>
      </c>
    </row>
    <row r="4363">
      <c r="A4363" s="140" t="str">
        <f>IFERROR(__xludf.DUMMYFUNCTION("""COMPUTED_VALUE"""),"en")</f>
        <v>en</v>
      </c>
      <c r="B4363">
        <f>IFERROR(__xludf.DUMMYFUNCTION("""COMPUTED_VALUE"""),1145520.0)</f>
        <v>1145520</v>
      </c>
      <c r="C4363" t="str">
        <f>IFERROR(__xludf.DUMMYFUNCTION("""COMPUTED_VALUE"""),"Fusion 360 for 3D Printing - Designing with Components")</f>
        <v>Fusion 360 for 3D Printing - Designing with Components</v>
      </c>
    </row>
    <row r="4364">
      <c r="A4364" s="140" t="str">
        <f>IFERROR(__xludf.DUMMYFUNCTION("""COMPUTED_VALUE"""),"tr")</f>
        <v>tr</v>
      </c>
      <c r="B4364">
        <f>IFERROR(__xludf.DUMMYFUNCTION("""COMPUTED_VALUE"""),3423650.0)</f>
        <v>3423650</v>
      </c>
      <c r="C4364" t="str">
        <f>IFERROR(__xludf.DUMMYFUNCTION("""COMPUTED_VALUE"""),"Postman ile API (Arayüz) Testi ve Test Otomasyonu")</f>
        <v>Postman ile API (Arayüz) Testi ve Test Otomasyonu</v>
      </c>
    </row>
    <row r="4365">
      <c r="A4365" s="140" t="str">
        <f>IFERROR(__xludf.DUMMYFUNCTION("""COMPUTED_VALUE"""),"en")</f>
        <v>en</v>
      </c>
      <c r="B4365">
        <f>IFERROR(__xludf.DUMMYFUNCTION("""COMPUTED_VALUE"""),4231428.0)</f>
        <v>4231428</v>
      </c>
      <c r="C4365" t="str">
        <f>IFERROR(__xludf.DUMMYFUNCTION("""COMPUTED_VALUE"""),"Financial Reporting &amp; Analysis: Complete Preparation 2021")</f>
        <v>Financial Reporting &amp; Analysis: Complete Preparation 2021</v>
      </c>
    </row>
    <row r="4366">
      <c r="A4366" s="140" t="str">
        <f>IFERROR(__xludf.DUMMYFUNCTION("""COMPUTED_VALUE"""),"es")</f>
        <v>es</v>
      </c>
      <c r="B4366">
        <f>IFERROR(__xludf.DUMMYFUNCTION("""COMPUTED_VALUE"""),3675260.0)</f>
        <v>3675260</v>
      </c>
      <c r="C4366" t="str">
        <f>IFERROR(__xludf.DUMMYFUNCTION("""COMPUTED_VALUE"""),"Camtasia en 2021: ¡Comienza a Plasmar en Vídeo!")</f>
        <v>Camtasia en 2021: ¡Comienza a Plasmar en Vídeo!</v>
      </c>
    </row>
    <row r="4367">
      <c r="A4367" s="140" t="str">
        <f>IFERROR(__xludf.DUMMYFUNCTION("""COMPUTED_VALUE"""),"en")</f>
        <v>en</v>
      </c>
      <c r="B4367">
        <f>IFERROR(__xludf.DUMMYFUNCTION("""COMPUTED_VALUE"""),1007674.0)</f>
        <v>1007674</v>
      </c>
      <c r="C4367" t="str">
        <f>IFERROR(__xludf.DUMMYFUNCTION("""COMPUTED_VALUE"""),"How to be Successful: Create A Growth Mindset For Success")</f>
        <v>How to be Successful: Create A Growth Mindset For Success</v>
      </c>
    </row>
    <row r="4368">
      <c r="A4368" s="140" t="str">
        <f>IFERROR(__xludf.DUMMYFUNCTION("""COMPUTED_VALUE"""),"ko")</f>
        <v>ko</v>
      </c>
      <c r="B4368">
        <f>IFERROR(__xludf.DUMMYFUNCTION("""COMPUTED_VALUE"""),3106548.0)</f>
        <v>3106548</v>
      </c>
      <c r="C4368" t="str">
        <f>IFERROR(__xludf.DUMMYFUNCTION("""COMPUTED_VALUE"""),"아빠가 들려주는 [데이터 수집과 정리의 기본]")</f>
        <v>아빠가 들려주는 [데이터 수집과 정리의 기본]</v>
      </c>
    </row>
    <row r="4369">
      <c r="A4369" s="140" t="str">
        <f>IFERROR(__xludf.DUMMYFUNCTION("""COMPUTED_VALUE"""),"de")</f>
        <v>de</v>
      </c>
      <c r="B4369">
        <f>IFERROR(__xludf.DUMMYFUNCTION("""COMPUTED_VALUE"""),1726144.0)</f>
        <v>1726144</v>
      </c>
      <c r="C4369" t="str">
        <f>IFERROR(__xludf.DUMMYFUNCTION("""COMPUTED_VALUE"""),"Überzeuge im Gespräch! Schnell zu Sympathie &amp; Vertrauen")</f>
        <v>Überzeuge im Gespräch! Schnell zu Sympathie &amp; Vertrauen</v>
      </c>
    </row>
    <row r="4370">
      <c r="A4370" s="140" t="str">
        <f>IFERROR(__xludf.DUMMYFUNCTION("""COMPUTED_VALUE"""),"en")</f>
        <v>en</v>
      </c>
      <c r="B4370">
        <f>IFERROR(__xludf.DUMMYFUNCTION("""COMPUTED_VALUE"""),1669670.0)</f>
        <v>1669670</v>
      </c>
      <c r="C4370" t="str">
        <f>IFERROR(__xludf.DUMMYFUNCTION("""COMPUTED_VALUE"""),"Excel Pivot Tables for Management Consultants &amp; Analysts")</f>
        <v>Excel Pivot Tables for Management Consultants &amp; Analysts</v>
      </c>
    </row>
    <row r="4371">
      <c r="A4371" s="140" t="str">
        <f>IFERROR(__xludf.DUMMYFUNCTION("""COMPUTED_VALUE"""),"en")</f>
        <v>en</v>
      </c>
      <c r="B4371">
        <f>IFERROR(__xludf.DUMMYFUNCTION("""COMPUTED_VALUE"""),3303796.0)</f>
        <v>3303796</v>
      </c>
      <c r="C4371" t="str">
        <f>IFERROR(__xludf.DUMMYFUNCTION("""COMPUTED_VALUE"""),"Warehouse Management -Advanced Strategies and Best Practices")</f>
        <v>Warehouse Management -Advanced Strategies and Best Practices</v>
      </c>
    </row>
    <row r="4372">
      <c r="A4372" s="140" t="str">
        <f>IFERROR(__xludf.DUMMYFUNCTION("""COMPUTED_VALUE"""),"en")</f>
        <v>en</v>
      </c>
      <c r="B4372">
        <f>IFERROR(__xludf.DUMMYFUNCTION("""COMPUTED_VALUE"""),3932106.0)</f>
        <v>3932106</v>
      </c>
      <c r="C4372" t="str">
        <f>IFERROR(__xludf.DUMMYFUNCTION("""COMPUTED_VALUE"""),"Burp Suite: In Depth Survival Guide")</f>
        <v>Burp Suite: In Depth Survival Guide</v>
      </c>
    </row>
    <row r="4373">
      <c r="A4373" s="140" t="str">
        <f>IFERROR(__xludf.DUMMYFUNCTION("""COMPUTED_VALUE"""),"en")</f>
        <v>en</v>
      </c>
      <c r="B4373">
        <f>IFERROR(__xludf.DUMMYFUNCTION("""COMPUTED_VALUE"""),2334812.0)</f>
        <v>2334812</v>
      </c>
      <c r="C4373" t="str">
        <f>IFERROR(__xludf.DUMMYFUNCTION("""COMPUTED_VALUE"""),"Microservices: Designing Highly Scalable Systems")</f>
        <v>Microservices: Designing Highly Scalable Systems</v>
      </c>
    </row>
    <row r="4374">
      <c r="A4374" s="140" t="str">
        <f>IFERROR(__xludf.DUMMYFUNCTION("""COMPUTED_VALUE"""),"en")</f>
        <v>en</v>
      </c>
      <c r="B4374">
        <f>IFERROR(__xludf.DUMMYFUNCTION("""COMPUTED_VALUE"""),2668194.0)</f>
        <v>2668194</v>
      </c>
      <c r="C4374" t="str">
        <f>IFERROR(__xludf.DUMMYFUNCTION("""COMPUTED_VALUE"""),"Python for Absolute Beginners | Python Beginner to Pro 2021")</f>
        <v>Python for Absolute Beginners | Python Beginner to Pro 2021</v>
      </c>
    </row>
    <row r="4375">
      <c r="A4375" s="140" t="str">
        <f>IFERROR(__xludf.DUMMYFUNCTION("""COMPUTED_VALUE"""),"ja")</f>
        <v>ja</v>
      </c>
      <c r="B4375">
        <f>IFERROR(__xludf.DUMMYFUNCTION("""COMPUTED_VALUE"""),1885654.0)</f>
        <v>1885654</v>
      </c>
      <c r="C4375" t="str">
        <f>IFERROR(__xludf.DUMMYFUNCTION("""COMPUTED_VALUE"""),"アドバンスド 箇条書き（ブレットポイント）テクニック　―ロジカルシンキングを取り入れた【要約】の書き方―")</f>
        <v>アドバンスド 箇条書き（ブレットポイント）テクニック　―ロジカルシンキングを取り入れた【要約】の書き方―</v>
      </c>
    </row>
    <row r="4376">
      <c r="A4376" s="140" t="str">
        <f>IFERROR(__xludf.DUMMYFUNCTION("""COMPUTED_VALUE"""),"en")</f>
        <v>en</v>
      </c>
      <c r="B4376">
        <f>IFERROR(__xludf.DUMMYFUNCTION("""COMPUTED_VALUE"""),2737816.0)</f>
        <v>2737816</v>
      </c>
      <c r="C4376" t="str">
        <f>IFERROR(__xludf.DUMMYFUNCTION("""COMPUTED_VALUE"""),"MB-200 Course Will Be Replaced By PL-200 Exam Soon")</f>
        <v>MB-200 Course Will Be Replaced By PL-200 Exam Soon</v>
      </c>
    </row>
    <row r="4377">
      <c r="A4377" s="140" t="str">
        <f>IFERROR(__xludf.DUMMYFUNCTION("""COMPUTED_VALUE"""),"es")</f>
        <v>es</v>
      </c>
      <c r="B4377">
        <f>IFERROR(__xludf.DUMMYFUNCTION("""COMPUTED_VALUE"""),146990.0)</f>
        <v>146990</v>
      </c>
      <c r="C4377" t="str">
        <f>IFERROR(__xludf.DUMMYFUNCTION("""COMPUTED_VALUE"""),"Biomimética. Aprende a innovar inspirándote en la Naturaleza")</f>
        <v>Biomimética. Aprende a innovar inspirándote en la Naturaleza</v>
      </c>
    </row>
    <row r="4378">
      <c r="A4378" s="140" t="str">
        <f>IFERROR(__xludf.DUMMYFUNCTION("""COMPUTED_VALUE"""),"en")</f>
        <v>en</v>
      </c>
      <c r="B4378">
        <f>IFERROR(__xludf.DUMMYFUNCTION("""COMPUTED_VALUE"""),692610.0)</f>
        <v>692610</v>
      </c>
      <c r="C4378" t="str">
        <f>IFERROR(__xludf.DUMMYFUNCTION("""COMPUTED_VALUE"""),"Moodle Administration Tutorial: Beginner, Intermediate Guide")</f>
        <v>Moodle Administration Tutorial: Beginner, Intermediate Guide</v>
      </c>
    </row>
    <row r="4379">
      <c r="A4379" s="140" t="str">
        <f>IFERROR(__xludf.DUMMYFUNCTION("""COMPUTED_VALUE"""),"en")</f>
        <v>en</v>
      </c>
      <c r="B4379">
        <f>IFERROR(__xludf.DUMMYFUNCTION("""COMPUTED_VALUE"""),3832968.0)</f>
        <v>3832968</v>
      </c>
      <c r="C4379" t="str">
        <f>IFERROR(__xludf.DUMMYFUNCTION("""COMPUTED_VALUE"""),"Complete Microsoft SQL Server Database Administration Course")</f>
        <v>Complete Microsoft SQL Server Database Administration Course</v>
      </c>
    </row>
    <row r="4380">
      <c r="A4380" s="140" t="str">
        <f>IFERROR(__xludf.DUMMYFUNCTION("""COMPUTED_VALUE"""),"tr")</f>
        <v>tr</v>
      </c>
      <c r="B4380">
        <f>IFERROR(__xludf.DUMMYFUNCTION("""COMPUTED_VALUE"""),3116532.0)</f>
        <v>3116532</v>
      </c>
      <c r="C4380" t="str">
        <f>IFERROR(__xludf.DUMMYFUNCTION("""COMPUTED_VALUE"""),"Arap Dili Konuşma Dersleri (Bütün Düzeyler) GÜNCEL MÜFREDAT")</f>
        <v>Arap Dili Konuşma Dersleri (Bütün Düzeyler) GÜNCEL MÜFREDAT</v>
      </c>
    </row>
    <row r="4381">
      <c r="A4381" s="140" t="str">
        <f>IFERROR(__xludf.DUMMYFUNCTION("""COMPUTED_VALUE"""),"en")</f>
        <v>en</v>
      </c>
      <c r="B4381">
        <f>IFERROR(__xludf.DUMMYFUNCTION("""COMPUTED_VALUE"""),2382715.0)</f>
        <v>2382715</v>
      </c>
      <c r="C4381" t="str">
        <f>IFERROR(__xludf.DUMMYFUNCTION("""COMPUTED_VALUE"""),"The Complete Tableau Bootcamp for Data Visualization")</f>
        <v>The Complete Tableau Bootcamp for Data Visualization</v>
      </c>
    </row>
    <row r="4382">
      <c r="A4382" s="140" t="str">
        <f>IFERROR(__xludf.DUMMYFUNCTION("""COMPUTED_VALUE"""),"en")</f>
        <v>en</v>
      </c>
      <c r="B4382">
        <f>IFERROR(__xludf.DUMMYFUNCTION("""COMPUTED_VALUE"""),1455016.0)</f>
        <v>1455016</v>
      </c>
      <c r="C4382" t="str">
        <f>IFERROR(__xludf.DUMMYFUNCTION("""COMPUTED_VALUE"""),"Build an app with ASPNET Core and Angular from scratch")</f>
        <v>Build an app with ASPNET Core and Angular from scratch</v>
      </c>
    </row>
    <row r="4383">
      <c r="A4383" s="140" t="str">
        <f>IFERROR(__xludf.DUMMYFUNCTION("""COMPUTED_VALUE"""),"es")</f>
        <v>es</v>
      </c>
      <c r="B4383">
        <f>IFERROR(__xludf.DUMMYFUNCTION("""COMPUTED_VALUE"""),1524166.0)</f>
        <v>1524166</v>
      </c>
      <c r="C4383" t="str">
        <f>IFERROR(__xludf.DUMMYFUNCTION("""COMPUTED_VALUE"""),"Desarrollo web en Google Web Toolkit - GWT")</f>
        <v>Desarrollo web en Google Web Toolkit - GWT</v>
      </c>
    </row>
    <row r="4384">
      <c r="A4384" s="140" t="str">
        <f>IFERROR(__xludf.DUMMYFUNCTION("""COMPUTED_VALUE"""),"en")</f>
        <v>en</v>
      </c>
      <c r="B4384">
        <f>IFERROR(__xludf.DUMMYFUNCTION("""COMPUTED_VALUE"""),1498936.0)</f>
        <v>1498936</v>
      </c>
      <c r="C4384" t="str">
        <f>IFERROR(__xludf.DUMMYFUNCTION("""COMPUTED_VALUE"""),"The Complete Microsoft Dynamics NAV 2018 Beginners Course")</f>
        <v>The Complete Microsoft Dynamics NAV 2018 Beginners Course</v>
      </c>
    </row>
    <row r="4385">
      <c r="A4385" s="140" t="str">
        <f>IFERROR(__xludf.DUMMYFUNCTION("""COMPUTED_VALUE"""),"es")</f>
        <v>es</v>
      </c>
      <c r="B4385">
        <f>IFERROR(__xludf.DUMMYFUNCTION("""COMPUTED_VALUE"""),3984346.0)</f>
        <v>3984346</v>
      </c>
      <c r="C4385" t="str">
        <f>IFERROR(__xludf.DUMMYFUNCTION("""COMPUTED_VALUE"""),"Azure Devops de cero a experto")</f>
        <v>Azure Devops de cero a experto</v>
      </c>
    </row>
    <row r="4386">
      <c r="A4386" s="140" t="str">
        <f>IFERROR(__xludf.DUMMYFUNCTION("""COMPUTED_VALUE"""),"ja")</f>
        <v>ja</v>
      </c>
      <c r="B4386">
        <f>IFERROR(__xludf.DUMMYFUNCTION("""COMPUTED_VALUE"""),2414888.0)</f>
        <v>2414888</v>
      </c>
      <c r="C4386" t="str">
        <f>IFERROR(__xludf.DUMMYFUNCTION("""COMPUTED_VALUE"""),"TOEIC L&amp;Rテスト・リスニング絶対攻略！3ヶ月で英語耳を作るタニケイ式シャドーイング")</f>
        <v>TOEIC L&amp;Rテスト・リスニング絶対攻略！3ヶ月で英語耳を作るタニケイ式シャドーイング</v>
      </c>
    </row>
    <row r="4387">
      <c r="A4387" s="140" t="str">
        <f>IFERROR(__xludf.DUMMYFUNCTION("""COMPUTED_VALUE"""),"en")</f>
        <v>en</v>
      </c>
      <c r="B4387">
        <f>IFERROR(__xludf.DUMMYFUNCTION("""COMPUTED_VALUE"""),523138.0)</f>
        <v>523138</v>
      </c>
      <c r="C4387" t="str">
        <f>IFERROR(__xludf.DUMMYFUNCTION("""COMPUTED_VALUE"""),"Practice and Perfect your French - Intermediate Level (HD)")</f>
        <v>Practice and Perfect your French - Intermediate Level (HD)</v>
      </c>
    </row>
    <row r="4388">
      <c r="A4388" s="140" t="str">
        <f>IFERROR(__xludf.DUMMYFUNCTION("""COMPUTED_VALUE"""),"en")</f>
        <v>en</v>
      </c>
      <c r="B4388">
        <f>IFERROR(__xludf.DUMMYFUNCTION("""COMPUTED_VALUE"""),425246.0)</f>
        <v>425246</v>
      </c>
      <c r="C4388" t="str">
        <f>IFERROR(__xludf.DUMMYFUNCTION("""COMPUTED_VALUE"""),"50 English Phrases, Idioms, and Expressions for ESL Students")</f>
        <v>50 English Phrases, Idioms, and Expressions for ESL Students</v>
      </c>
    </row>
    <row r="4389">
      <c r="A4389" s="140" t="str">
        <f>IFERROR(__xludf.DUMMYFUNCTION("""COMPUTED_VALUE"""),"fr")</f>
        <v>fr</v>
      </c>
      <c r="B4389">
        <f>IFERROR(__xludf.DUMMYFUNCTION("""COMPUTED_VALUE"""),1322112.0)</f>
        <v>1322112</v>
      </c>
      <c r="C4389" t="str">
        <f>IFERROR(__xludf.DUMMYFUNCTION("""COMPUTED_VALUE"""),"Photoshop : Guide complet - débutant &amp; intermédiaire")</f>
        <v>Photoshop : Guide complet - débutant &amp; intermédiaire</v>
      </c>
    </row>
    <row r="4390">
      <c r="A4390" s="140" t="str">
        <f>IFERROR(__xludf.DUMMYFUNCTION("""COMPUTED_VALUE"""),"en")</f>
        <v>en</v>
      </c>
      <c r="B4390">
        <f>IFERROR(__xludf.DUMMYFUNCTION("""COMPUTED_VALUE"""),1240964.0)</f>
        <v>1240964</v>
      </c>
      <c r="C4390" t="str">
        <f>IFERROR(__xludf.DUMMYFUNCTION("""COMPUTED_VALUE"""),"Microsoft Dynamics 365 (CRM, NAV, AX) Intro Training Course")</f>
        <v>Microsoft Dynamics 365 (CRM, NAV, AX) Intro Training Course</v>
      </c>
    </row>
    <row r="4391">
      <c r="A4391" s="140" t="str">
        <f>IFERROR(__xludf.DUMMYFUNCTION("""COMPUTED_VALUE"""),"fr")</f>
        <v>fr</v>
      </c>
      <c r="B4391">
        <f>IFERROR(__xludf.DUMMYFUNCTION("""COMPUTED_VALUE"""),4196530.0)</f>
        <v>4196530</v>
      </c>
      <c r="C4391" t="str">
        <f>IFERROR(__xludf.DUMMYFUNCTION("""COMPUTED_VALUE"""),"Facilitation : apprenez à animer un groupe de travail")</f>
        <v>Facilitation : apprenez à animer un groupe de travail</v>
      </c>
    </row>
    <row r="4392">
      <c r="A4392" s="140" t="str">
        <f>IFERROR(__xludf.DUMMYFUNCTION("""COMPUTED_VALUE"""),"ja")</f>
        <v>ja</v>
      </c>
      <c r="B4392">
        <f>IFERROR(__xludf.DUMMYFUNCTION("""COMPUTED_VALUE"""),3109960.0)</f>
        <v>3109960</v>
      </c>
      <c r="C4392" t="str">
        <f>IFERROR(__xludf.DUMMYFUNCTION("""COMPUTED_VALUE"""),"『VideoScribe』で作る伝わる動画コンテンツ。プロによるホワイトボードアニメーション®動画制作実践講座")</f>
        <v>『VideoScribe』で作る伝わる動画コンテンツ。プロによるホワイトボードアニメーション®動画制作実践講座</v>
      </c>
    </row>
    <row r="4393">
      <c r="A4393" s="140" t="str">
        <f>IFERROR(__xludf.DUMMYFUNCTION("""COMPUTED_VALUE"""),"en")</f>
        <v>en</v>
      </c>
      <c r="B4393">
        <f>IFERROR(__xludf.DUMMYFUNCTION("""COMPUTED_VALUE"""),1611532.0)</f>
        <v>1611532</v>
      </c>
      <c r="C4393" t="str">
        <f>IFERROR(__xludf.DUMMYFUNCTION("""COMPUTED_VALUE"""),"Mastering Adobe Acrobat Pro DC Made Easy Training Tutorial")</f>
        <v>Mastering Adobe Acrobat Pro DC Made Easy Training Tutorial</v>
      </c>
    </row>
    <row r="4394">
      <c r="A4394" s="140" t="str">
        <f>IFERROR(__xludf.DUMMYFUNCTION("""COMPUTED_VALUE"""),"en")</f>
        <v>en</v>
      </c>
      <c r="B4394">
        <f>IFERROR(__xludf.DUMMYFUNCTION("""COMPUTED_VALUE"""),2002862.0)</f>
        <v>2002862</v>
      </c>
      <c r="C4394" t="str">
        <f>IFERROR(__xludf.DUMMYFUNCTION("""COMPUTED_VALUE"""),"The Complete Agile Scrum Fundamentals Course + Certification")</f>
        <v>The Complete Agile Scrum Fundamentals Course + Certification</v>
      </c>
    </row>
    <row r="4395">
      <c r="A4395" s="140" t="str">
        <f>IFERROR(__xludf.DUMMYFUNCTION("""COMPUTED_VALUE"""),"en")</f>
        <v>en</v>
      </c>
      <c r="B4395">
        <f>IFERROR(__xludf.DUMMYFUNCTION("""COMPUTED_VALUE"""),35795.0)</f>
        <v>35795</v>
      </c>
      <c r="C4395" t="str">
        <f>IFERROR(__xludf.DUMMYFUNCTION("""COMPUTED_VALUE"""),"Microsoft Windows 8")</f>
        <v>Microsoft Windows 8</v>
      </c>
    </row>
    <row r="4396">
      <c r="A4396" s="140" t="str">
        <f>IFERROR(__xludf.DUMMYFUNCTION("""COMPUTED_VALUE"""),"en")</f>
        <v>en</v>
      </c>
      <c r="B4396">
        <f>IFERROR(__xludf.DUMMYFUNCTION("""COMPUTED_VALUE"""),2622982.0)</f>
        <v>2622982</v>
      </c>
      <c r="C4396" t="str">
        <f>IFERROR(__xludf.DUMMYFUNCTION("""COMPUTED_VALUE"""),"Spark 3 &amp; Big Data Essentials with Scala | Rock the JVM")</f>
        <v>Spark 3 &amp; Big Data Essentials with Scala | Rock the JVM</v>
      </c>
    </row>
    <row r="4397">
      <c r="A4397" s="140" t="str">
        <f>IFERROR(__xludf.DUMMYFUNCTION("""COMPUTED_VALUE"""),"ja")</f>
        <v>ja</v>
      </c>
      <c r="B4397">
        <f>IFERROR(__xludf.DUMMYFUNCTION("""COMPUTED_VALUE"""),2667318.0)</f>
        <v>2667318</v>
      </c>
      <c r="C4397" t="str">
        <f>IFERROR(__xludf.DUMMYFUNCTION("""COMPUTED_VALUE"""),"【自分が変わる！人生が変わる！】人との交渉がうまくなる２０のテクニック講座")</f>
        <v>【自分が変わる！人生が変わる！】人との交渉がうまくなる２０のテクニック講座</v>
      </c>
    </row>
    <row r="4398">
      <c r="A4398" s="140" t="str">
        <f>IFERROR(__xludf.DUMMYFUNCTION("""COMPUTED_VALUE"""),"pt")</f>
        <v>pt</v>
      </c>
      <c r="B4398">
        <f>IFERROR(__xludf.DUMMYFUNCTION("""COMPUTED_VALUE"""),1169182.0)</f>
        <v>1169182</v>
      </c>
      <c r="C4398" t="str">
        <f>IFERROR(__xludf.DUMMYFUNCTION("""COMPUTED_VALUE"""),"Como Resolver Problemas Complexos e Tomar Decisões Efetivas")</f>
        <v>Como Resolver Problemas Complexos e Tomar Decisões Efetivas</v>
      </c>
    </row>
    <row r="4399">
      <c r="A4399" s="140" t="str">
        <f>IFERROR(__xludf.DUMMYFUNCTION("""COMPUTED_VALUE"""),"en")</f>
        <v>en</v>
      </c>
      <c r="B4399">
        <f>IFERROR(__xludf.DUMMYFUNCTION("""COMPUTED_VALUE"""),4162966.0)</f>
        <v>4162966</v>
      </c>
      <c r="C4399" t="str">
        <f>IFERROR(__xludf.DUMMYFUNCTION("""COMPUTED_VALUE"""),"SharePoint Online Beginners Course")</f>
        <v>SharePoint Online Beginners Course</v>
      </c>
    </row>
    <row r="4400">
      <c r="A4400" s="140" t="str">
        <f>IFERROR(__xludf.DUMMYFUNCTION("""COMPUTED_VALUE"""),"en")</f>
        <v>en</v>
      </c>
      <c r="B4400">
        <f>IFERROR(__xludf.DUMMYFUNCTION("""COMPUTED_VALUE"""),572268.0)</f>
        <v>572268</v>
      </c>
      <c r="C4400" t="str">
        <f>IFERROR(__xludf.DUMMYFUNCTION("""COMPUTED_VALUE"""),"AngularJS For .Net Developers From Scratch")</f>
        <v>AngularJS For .Net Developers From Scratch</v>
      </c>
    </row>
    <row r="4401">
      <c r="A4401" s="140" t="str">
        <f>IFERROR(__xludf.DUMMYFUNCTION("""COMPUTED_VALUE"""),"en")</f>
        <v>en</v>
      </c>
      <c r="B4401">
        <f>IFERROR(__xludf.DUMMYFUNCTION("""COMPUTED_VALUE"""),1960508.0)</f>
        <v>1960508</v>
      </c>
      <c r="C4401" t="str">
        <f>IFERROR(__xludf.DUMMYFUNCTION("""COMPUTED_VALUE"""),"Clear and Simple VMware vSAN 6.7 (Virtual SAN)")</f>
        <v>Clear and Simple VMware vSAN 6.7 (Virtual SAN)</v>
      </c>
    </row>
    <row r="4402">
      <c r="A4402" s="140" t="str">
        <f>IFERROR(__xludf.DUMMYFUNCTION("""COMPUTED_VALUE"""),"pt")</f>
        <v>pt</v>
      </c>
      <c r="B4402">
        <f>IFERROR(__xludf.DUMMYFUNCTION("""COMPUTED_VALUE"""),2792326.0)</f>
        <v>2792326</v>
      </c>
      <c r="C4402" t="str">
        <f>IFERROR(__xludf.DUMMYFUNCTION("""COMPUTED_VALUE"""),"Criação de Temas WordPress com WooCommerce: Curso Avançado")</f>
        <v>Criação de Temas WordPress com WooCommerce: Curso Avançado</v>
      </c>
    </row>
    <row r="4403">
      <c r="A4403" s="140" t="str">
        <f>IFERROR(__xludf.DUMMYFUNCTION("""COMPUTED_VALUE"""),"de")</f>
        <v>de</v>
      </c>
      <c r="B4403">
        <f>IFERROR(__xludf.DUMMYFUNCTION("""COMPUTED_VALUE"""),1590552.0)</f>
        <v>1590552</v>
      </c>
      <c r="C4403" t="str">
        <f>IFERROR(__xludf.DUMMYFUNCTION("""COMPUTED_VALUE"""),"SEO &amp; Content Marketing - Mit System zum Ranking-Erfolg")</f>
        <v>SEO &amp; Content Marketing - Mit System zum Ranking-Erfolg</v>
      </c>
    </row>
    <row r="4404">
      <c r="A4404" s="140" t="str">
        <f>IFERROR(__xludf.DUMMYFUNCTION("""COMPUTED_VALUE"""),"en")</f>
        <v>en</v>
      </c>
      <c r="B4404">
        <f>IFERROR(__xludf.DUMMYFUNCTION("""COMPUTED_VALUE"""),4094340.0)</f>
        <v>4094340</v>
      </c>
      <c r="C4404" t="str">
        <f>IFERROR(__xludf.DUMMYFUNCTION("""COMPUTED_VALUE"""),"Data Structures &amp; Algorithms - Python")</f>
        <v>Data Structures &amp; Algorithms - Python</v>
      </c>
    </row>
    <row r="4405">
      <c r="A4405" s="140" t="str">
        <f>IFERROR(__xludf.DUMMYFUNCTION("""COMPUTED_VALUE"""),"en")</f>
        <v>en</v>
      </c>
      <c r="B4405">
        <f>IFERROR(__xludf.DUMMYFUNCTION("""COMPUTED_VALUE"""),76838.0)</f>
        <v>76838</v>
      </c>
      <c r="C4405" t="str">
        <f>IFERROR(__xludf.DUMMYFUNCTION("""COMPUTED_VALUE"""),"Master Computers - From Beginner to Expert in One Week")</f>
        <v>Master Computers - From Beginner to Expert in One Week</v>
      </c>
    </row>
    <row r="4406">
      <c r="A4406" s="140" t="str">
        <f>IFERROR(__xludf.DUMMYFUNCTION("""COMPUTED_VALUE"""),"en")</f>
        <v>en</v>
      </c>
      <c r="B4406">
        <f>IFERROR(__xludf.DUMMYFUNCTION("""COMPUTED_VALUE"""),2095410.0)</f>
        <v>2095410</v>
      </c>
      <c r="C4406" t="str">
        <f>IFERROR(__xludf.DUMMYFUNCTION("""COMPUTED_VALUE"""),"Python + SQL + Tableau: Integrating Python, SQL, and Tableau")</f>
        <v>Python + SQL + Tableau: Integrating Python, SQL, and Tableau</v>
      </c>
    </row>
    <row r="4407">
      <c r="A4407" s="140" t="str">
        <f>IFERROR(__xludf.DUMMYFUNCTION("""COMPUTED_VALUE"""),"fr")</f>
        <v>fr</v>
      </c>
      <c r="B4407">
        <f>IFERROR(__xludf.DUMMYFUNCTION("""COMPUTED_VALUE"""),3787292.0)</f>
        <v>3787292</v>
      </c>
      <c r="C4407" t="str">
        <f>IFERROR(__xludf.DUMMYFUNCTION("""COMPUTED_VALUE"""),"Pratique pour l'examen | MS Azure Fundamentals AZ-900")</f>
        <v>Pratique pour l'examen | MS Azure Fundamentals AZ-900</v>
      </c>
    </row>
    <row r="4408">
      <c r="A4408" s="140" t="str">
        <f>IFERROR(__xludf.DUMMYFUNCTION("""COMPUTED_VALUE"""),"en")</f>
        <v>en</v>
      </c>
      <c r="B4408">
        <f>IFERROR(__xludf.DUMMYFUNCTION("""COMPUTED_VALUE"""),1949600.0)</f>
        <v>1949600</v>
      </c>
      <c r="C4408" t="str">
        <f>IFERROR(__xludf.DUMMYFUNCTION("""COMPUTED_VALUE"""),"Breakthrough BSL")</f>
        <v>Breakthrough BSL</v>
      </c>
    </row>
    <row r="4409">
      <c r="A4409" s="140" t="str">
        <f>IFERROR(__xludf.DUMMYFUNCTION("""COMPUTED_VALUE"""),"en")</f>
        <v>en</v>
      </c>
      <c r="B4409">
        <f>IFERROR(__xludf.DUMMYFUNCTION("""COMPUTED_VALUE"""),1471348.0)</f>
        <v>1471348</v>
      </c>
      <c r="C4409" t="str">
        <f>IFERROR(__xludf.DUMMYFUNCTION("""COMPUTED_VALUE"""),"Learn to Code with Python")</f>
        <v>Learn to Code with Python</v>
      </c>
    </row>
    <row r="4410">
      <c r="A4410" s="140" t="str">
        <f>IFERROR(__xludf.DUMMYFUNCTION("""COMPUTED_VALUE"""),"fr")</f>
        <v>fr</v>
      </c>
      <c r="B4410">
        <f>IFERROR(__xludf.DUMMYFUNCTION("""COMPUTED_VALUE"""),1543124.0)</f>
        <v>1543124</v>
      </c>
      <c r="C4410" t="str">
        <f>IFERROR(__xludf.DUMMYFUNCTION("""COMPUTED_VALUE"""),"Tout savoir des réseaux informatiques en quelques heures.")</f>
        <v>Tout savoir des réseaux informatiques en quelques heures.</v>
      </c>
    </row>
    <row r="4411">
      <c r="A4411" s="140" t="str">
        <f>IFERROR(__xludf.DUMMYFUNCTION("""COMPUTED_VALUE"""),"en")</f>
        <v>en</v>
      </c>
      <c r="B4411">
        <f>IFERROR(__xludf.DUMMYFUNCTION("""COMPUTED_VALUE"""),2444594.0)</f>
        <v>2444594</v>
      </c>
      <c r="C4411" t="str">
        <f>IFERROR(__xludf.DUMMYFUNCTION("""COMPUTED_VALUE"""),"Computational Fluid Dynamics Fundamentals Course")</f>
        <v>Computational Fluid Dynamics Fundamentals Course</v>
      </c>
    </row>
    <row r="4412">
      <c r="A4412" s="140" t="str">
        <f>IFERROR(__xludf.DUMMYFUNCTION("""COMPUTED_VALUE"""),"es")</f>
        <v>es</v>
      </c>
      <c r="B4412">
        <f>IFERROR(__xludf.DUMMYFUNCTION("""COMPUTED_VALUE"""),2122926.0)</f>
        <v>2122926</v>
      </c>
      <c r="C4412" t="str">
        <f>IFERROR(__xludf.DUMMYFUNCTION("""COMPUTED_VALUE"""),"Curso completo de Pro Tools")</f>
        <v>Curso completo de Pro Tools</v>
      </c>
    </row>
    <row r="4413">
      <c r="A4413" s="140" t="str">
        <f>IFERROR(__xludf.DUMMYFUNCTION("""COMPUTED_VALUE"""),"pt")</f>
        <v>pt</v>
      </c>
      <c r="B4413">
        <f>IFERROR(__xludf.DUMMYFUNCTION("""COMPUTED_VALUE"""),3346870.0)</f>
        <v>3346870</v>
      </c>
      <c r="C4413" t="str">
        <f>IFERROR(__xludf.DUMMYFUNCTION("""COMPUTED_VALUE"""),"Microsoft Planner - Gestão de Atividades Corporativas")</f>
        <v>Microsoft Planner - Gestão de Atividades Corporativas</v>
      </c>
    </row>
    <row r="4414">
      <c r="A4414" s="140" t="str">
        <f>IFERROR(__xludf.DUMMYFUNCTION("""COMPUTED_VALUE"""),"es")</f>
        <v>es</v>
      </c>
      <c r="B4414">
        <f>IFERROR(__xludf.DUMMYFUNCTION("""COMPUTED_VALUE"""),2065449.0)</f>
        <v>2065449</v>
      </c>
      <c r="C4414" t="str">
        <f>IFERROR(__xludf.DUMMYFUNCTION("""COMPUTED_VALUE"""),"Adobe Lightroom CC+Classic: Masterclass de Edición de Fotos")</f>
        <v>Adobe Lightroom CC+Classic: Masterclass de Edición de Fotos</v>
      </c>
    </row>
    <row r="4415">
      <c r="A4415" s="140" t="str">
        <f>IFERROR(__xludf.DUMMYFUNCTION("""COMPUTED_VALUE"""),"en")</f>
        <v>en</v>
      </c>
      <c r="B4415">
        <f>IFERROR(__xludf.DUMMYFUNCTION("""COMPUTED_VALUE"""),2901818.0)</f>
        <v>2901818</v>
      </c>
      <c r="C4415" t="str">
        <f>IFERROR(__xludf.DUMMYFUNCTION("""COMPUTED_VALUE"""),"CCNP ENTERPRISE -ENCOR -350-401 PART 2/5")</f>
        <v>CCNP ENTERPRISE -ENCOR -350-401 PART 2/5</v>
      </c>
    </row>
    <row r="4416">
      <c r="A4416" s="140" t="str">
        <f>IFERROR(__xludf.DUMMYFUNCTION("""COMPUTED_VALUE"""),"en")</f>
        <v>en</v>
      </c>
      <c r="B4416">
        <f>IFERROR(__xludf.DUMMYFUNCTION("""COMPUTED_VALUE"""),1978982.0)</f>
        <v>1978982</v>
      </c>
      <c r="C4416" t="str">
        <f>IFERROR(__xludf.DUMMYFUNCTION("""COMPUTED_VALUE"""),"3 Minute German - Course 4 | Language lessons for beginners")</f>
        <v>3 Minute German - Course 4 | Language lessons for beginners</v>
      </c>
    </row>
    <row r="4417">
      <c r="A4417" s="140" t="str">
        <f>IFERROR(__xludf.DUMMYFUNCTION("""COMPUTED_VALUE"""),"ja")</f>
        <v>ja</v>
      </c>
      <c r="B4417">
        <f>IFERROR(__xludf.DUMMYFUNCTION("""COMPUTED_VALUE"""),425352.0)</f>
        <v>425352</v>
      </c>
      <c r="C4417" t="str">
        <f>IFERROR(__xludf.DUMMYFUNCTION("""COMPUTED_VALUE"""),"１度会ったら忘れられない人になる！一流営業マンのコミュニケーション術（日本語字幕版）")</f>
        <v>１度会ったら忘れられない人になる！一流営業マンのコミュニケーション術（日本語字幕版）</v>
      </c>
    </row>
    <row r="4418">
      <c r="A4418" s="140" t="str">
        <f>IFERROR(__xludf.DUMMYFUNCTION("""COMPUTED_VALUE"""),"es")</f>
        <v>es</v>
      </c>
      <c r="B4418">
        <f>IFERROR(__xludf.DUMMYFUNCTION("""COMPUTED_VALUE"""),769366.0)</f>
        <v>769366</v>
      </c>
      <c r="C4418" t="str">
        <f>IFERROR(__xludf.DUMMYFUNCTION("""COMPUTED_VALUE"""),"Programación funcional en Java con Lambdas y Streams")</f>
        <v>Programación funcional en Java con Lambdas y Streams</v>
      </c>
    </row>
    <row r="4419">
      <c r="A4419" s="140" t="str">
        <f>IFERROR(__xludf.DUMMYFUNCTION("""COMPUTED_VALUE"""),"ja")</f>
        <v>ja</v>
      </c>
      <c r="B4419">
        <f>IFERROR(__xludf.DUMMYFUNCTION("""COMPUTED_VALUE"""),3094326.0)</f>
        <v>3094326</v>
      </c>
      <c r="C4419" t="str">
        <f>IFERROR(__xludf.DUMMYFUNCTION("""COMPUTED_VALUE"""),"WEBデザイン講座 Level3《レベルアップ》コース※グリッドレイアウトでレスポンシブ対応のWEBページを作成する")</f>
        <v>WEBデザイン講座 Level3《レベルアップ》コース※グリッドレイアウトでレスポンシブ対応のWEBページを作成する</v>
      </c>
    </row>
    <row r="4420">
      <c r="A4420" s="140" t="str">
        <f>IFERROR(__xludf.DUMMYFUNCTION("""COMPUTED_VALUE"""),"ko")</f>
        <v>ko</v>
      </c>
      <c r="B4420">
        <f>IFERROR(__xludf.DUMMYFUNCTION("""COMPUTED_VALUE"""),4290992.0)</f>
        <v>4290992</v>
      </c>
      <c r="C4420" t="str">
        <f>IFERROR(__xludf.DUMMYFUNCTION("""COMPUTED_VALUE"""),"HRDIST의 교육과정개발 실무교육")</f>
        <v>HRDIST의 교육과정개발 실무교육</v>
      </c>
    </row>
    <row r="4421">
      <c r="A4421" s="140" t="str">
        <f>IFERROR(__xludf.DUMMYFUNCTION("""COMPUTED_VALUE"""),"es")</f>
        <v>es</v>
      </c>
      <c r="B4421">
        <f>IFERROR(__xludf.DUMMYFUNCTION("""COMPUTED_VALUE"""),857774.0)</f>
        <v>857774</v>
      </c>
      <c r="C4421" t="str">
        <f>IFERROR(__xludf.DUMMYFUNCTION("""COMPUTED_VALUE"""),"WordPress Avanzado Bloques Gutenberg Post Types y Taxonomías")</f>
        <v>WordPress Avanzado Bloques Gutenberg Post Types y Taxonomías</v>
      </c>
    </row>
    <row r="4422">
      <c r="A4422" s="140" t="str">
        <f>IFERROR(__xludf.DUMMYFUNCTION("""COMPUTED_VALUE"""),"tr")</f>
        <v>tr</v>
      </c>
      <c r="B4422">
        <f>IFERROR(__xludf.DUMMYFUNCTION("""COMPUTED_VALUE"""),2152318.0)</f>
        <v>2152318</v>
      </c>
      <c r="C4422" t="str">
        <f>IFERROR(__xludf.DUMMYFUNCTION("""COMPUTED_VALUE"""),"C# ve DevExpress ile Gelişmiş Ön Muhasebe Yazılımı (Bölüm-4)")</f>
        <v>C# ve DevExpress ile Gelişmiş Ön Muhasebe Yazılımı (Bölüm-4)</v>
      </c>
    </row>
    <row r="4423">
      <c r="A4423" s="140" t="str">
        <f>IFERROR(__xludf.DUMMYFUNCTION("""COMPUTED_VALUE"""),"en")</f>
        <v>en</v>
      </c>
      <c r="B4423">
        <f>IFERROR(__xludf.DUMMYFUNCTION("""COMPUTED_VALUE"""),1322260.0)</f>
        <v>1322260</v>
      </c>
      <c r="C4423" t="str">
        <f>IFERROR(__xludf.DUMMYFUNCTION("""COMPUTED_VALUE"""),"Master Business Writing and Editing")</f>
        <v>Master Business Writing and Editing</v>
      </c>
    </row>
    <row r="4424">
      <c r="A4424" s="140" t="str">
        <f>IFERROR(__xludf.DUMMYFUNCTION("""COMPUTED_VALUE"""),"en")</f>
        <v>en</v>
      </c>
      <c r="B4424">
        <f>IFERROR(__xludf.DUMMYFUNCTION("""COMPUTED_VALUE"""),2730774.0)</f>
        <v>2730774</v>
      </c>
      <c r="C4424" t="str">
        <f>IFERROR(__xludf.DUMMYFUNCTION("""COMPUTED_VALUE"""),"The Complete Introduction to LAMMPS")</f>
        <v>The Complete Introduction to LAMMPS</v>
      </c>
    </row>
    <row r="4425">
      <c r="A4425" s="140" t="str">
        <f>IFERROR(__xludf.DUMMYFUNCTION("""COMPUTED_VALUE"""),"en")</f>
        <v>en</v>
      </c>
      <c r="B4425">
        <f>IFERROR(__xludf.DUMMYFUNCTION("""COMPUTED_VALUE"""),1665600.0)</f>
        <v>1665600</v>
      </c>
      <c r="C4425" t="str">
        <f>IFERROR(__xludf.DUMMYFUNCTION("""COMPUTED_VALUE"""),"FactorytalkView SE Training Using RSLogix 5000 PLC's.")</f>
        <v>FactorytalkView SE Training Using RSLogix 5000 PLC's.</v>
      </c>
    </row>
    <row r="4426">
      <c r="A4426" s="140" t="str">
        <f>IFERROR(__xludf.DUMMYFUNCTION("""COMPUTED_VALUE"""),"pt")</f>
        <v>pt</v>
      </c>
      <c r="B4426">
        <f>IFERROR(__xludf.DUMMYFUNCTION("""COMPUTED_VALUE"""),2365840.0)</f>
        <v>2365840</v>
      </c>
      <c r="C4426" t="str">
        <f>IFERROR(__xludf.DUMMYFUNCTION("""COMPUTED_VALUE"""),"Curso Excel COMPLETO do Básico ao Avançado")</f>
        <v>Curso Excel COMPLETO do Básico ao Avançado</v>
      </c>
    </row>
    <row r="4427">
      <c r="A4427" s="140" t="str">
        <f>IFERROR(__xludf.DUMMYFUNCTION("""COMPUTED_VALUE"""),"en")</f>
        <v>en</v>
      </c>
      <c r="B4427">
        <f>IFERROR(__xludf.DUMMYFUNCTION("""COMPUTED_VALUE"""),994754.0)</f>
        <v>994754</v>
      </c>
      <c r="C4427" t="str">
        <f>IFERROR(__xludf.DUMMYFUNCTION("""COMPUTED_VALUE"""),"The Microsoft Excel Course: Advanced Excel Training")</f>
        <v>The Microsoft Excel Course: Advanced Excel Training</v>
      </c>
    </row>
    <row r="4428">
      <c r="A4428" s="140" t="str">
        <f>IFERROR(__xludf.DUMMYFUNCTION("""COMPUTED_VALUE"""),"pt")</f>
        <v>pt</v>
      </c>
      <c r="B4428">
        <f>IFERROR(__xludf.DUMMYFUNCTION("""COMPUTED_VALUE"""),1948280.0)</f>
        <v>1948280</v>
      </c>
      <c r="C4428" t="str">
        <f>IFERROR(__xludf.DUMMYFUNCTION("""COMPUTED_VALUE"""),"Marketing de Redes Sociais - Curso COMPLETO (10 cursos em 1)")</f>
        <v>Marketing de Redes Sociais - Curso COMPLETO (10 cursos em 1)</v>
      </c>
    </row>
    <row r="4429">
      <c r="A4429" s="140" t="str">
        <f>IFERROR(__xludf.DUMMYFUNCTION("""COMPUTED_VALUE"""),"en")</f>
        <v>en</v>
      </c>
      <c r="B4429">
        <f>IFERROR(__xludf.DUMMYFUNCTION("""COMPUTED_VALUE"""),173978.0)</f>
        <v>173978</v>
      </c>
      <c r="C4429" t="str">
        <f>IFERROR(__xludf.DUMMYFUNCTION("""COMPUTED_VALUE"""),"English punctuation made easy")</f>
        <v>English punctuation made easy</v>
      </c>
    </row>
    <row r="4430">
      <c r="A4430" s="140" t="str">
        <f>IFERROR(__xludf.DUMMYFUNCTION("""COMPUTED_VALUE"""),"fr")</f>
        <v>fr</v>
      </c>
      <c r="B4430">
        <f>IFERROR(__xludf.DUMMYFUNCTION("""COMPUTED_VALUE"""),4073180.0)</f>
        <v>4073180</v>
      </c>
      <c r="C4430" t="str">
        <f>IFERROR(__xludf.DUMMYFUNCTION("""COMPUTED_VALUE"""),"Vue.js 3 - La formation complète pour débutants")</f>
        <v>Vue.js 3 - La formation complète pour débutants</v>
      </c>
    </row>
    <row r="4431">
      <c r="A4431" s="140" t="str">
        <f>IFERROR(__xludf.DUMMYFUNCTION("""COMPUTED_VALUE"""),"en")</f>
        <v>en</v>
      </c>
      <c r="B4431">
        <f>IFERROR(__xludf.DUMMYFUNCTION("""COMPUTED_VALUE"""),629672.0)</f>
        <v>629672</v>
      </c>
      <c r="C4431" t="str">
        <f>IFERROR(__xludf.DUMMYFUNCTION("""COMPUTED_VALUE"""),"Essentials of Green Smoothies")</f>
        <v>Essentials of Green Smoothies</v>
      </c>
    </row>
    <row r="4432">
      <c r="A4432" s="140" t="str">
        <f>IFERROR(__xludf.DUMMYFUNCTION("""COMPUTED_VALUE"""),"en")</f>
        <v>en</v>
      </c>
      <c r="B4432">
        <f>IFERROR(__xludf.DUMMYFUNCTION("""COMPUTED_VALUE"""),480414.0)</f>
        <v>480414</v>
      </c>
      <c r="C4432" t="str">
        <f>IFERROR(__xludf.DUMMYFUNCTION("""COMPUTED_VALUE"""),"Learn ScreenFlow 9 FAST!")</f>
        <v>Learn ScreenFlow 9 FAST!</v>
      </c>
    </row>
    <row r="4433">
      <c r="A4433" s="140" t="str">
        <f>IFERROR(__xludf.DUMMYFUNCTION("""COMPUTED_VALUE"""),"en")</f>
        <v>en</v>
      </c>
      <c r="B4433">
        <f>IFERROR(__xludf.DUMMYFUNCTION("""COMPUTED_VALUE"""),3571013.0)</f>
        <v>3571013</v>
      </c>
      <c r="C4433" t="str">
        <f>IFERROR(__xludf.DUMMYFUNCTION("""COMPUTED_VALUE"""),"Master Google Analytics (Firebase) for Mobile Applications")</f>
        <v>Master Google Analytics (Firebase) for Mobile Applications</v>
      </c>
    </row>
    <row r="4434">
      <c r="A4434" s="140" t="str">
        <f>IFERROR(__xludf.DUMMYFUNCTION("""COMPUTED_VALUE"""),"ja")</f>
        <v>ja</v>
      </c>
      <c r="B4434">
        <f>IFERROR(__xludf.DUMMYFUNCTION("""COMPUTED_VALUE"""),1678320.0)</f>
        <v>1678320</v>
      </c>
      <c r="C4434" t="str">
        <f>IFERROR(__xludf.DUMMYFUNCTION("""COMPUTED_VALUE"""),"パフォーマンス改善のためのGoogle アナリティクス活用法")</f>
        <v>パフォーマンス改善のためのGoogle アナリティクス活用法</v>
      </c>
    </row>
    <row r="4435">
      <c r="A4435" s="140" t="str">
        <f>IFERROR(__xludf.DUMMYFUNCTION("""COMPUTED_VALUE"""),"ja")</f>
        <v>ja</v>
      </c>
      <c r="B4435">
        <f>IFERROR(__xludf.DUMMYFUNCTION("""COMPUTED_VALUE"""),2101146.0)</f>
        <v>2101146</v>
      </c>
      <c r="C4435" t="str">
        <f>IFERROR(__xludf.DUMMYFUNCTION("""COMPUTED_VALUE"""),"自然言語処理とチャットボット: AIによる文章生成と会話エンジン開発")</f>
        <v>自然言語処理とチャットボット: AIによる文章生成と会話エンジン開発</v>
      </c>
    </row>
    <row r="4436">
      <c r="A4436" s="140" t="str">
        <f>IFERROR(__xludf.DUMMYFUNCTION("""COMPUTED_VALUE"""),"en")</f>
        <v>en</v>
      </c>
      <c r="B4436">
        <f>IFERROR(__xludf.DUMMYFUNCTION("""COMPUTED_VALUE"""),1381042.0)</f>
        <v>1381042</v>
      </c>
      <c r="C4436" t="str">
        <f>IFERROR(__xludf.DUMMYFUNCTION("""COMPUTED_VALUE"""),"The Complete Guide to Partnership Marketing Course")</f>
        <v>The Complete Guide to Partnership Marketing Course</v>
      </c>
    </row>
    <row r="4437">
      <c r="A4437" s="140" t="str">
        <f>IFERROR(__xludf.DUMMYFUNCTION("""COMPUTED_VALUE"""),"pt")</f>
        <v>pt</v>
      </c>
      <c r="B4437">
        <f>IFERROR(__xludf.DUMMYFUNCTION("""COMPUTED_VALUE"""),3739846.0)</f>
        <v>3739846</v>
      </c>
      <c r="C4437" t="str">
        <f>IFERROR(__xludf.DUMMYFUNCTION("""COMPUTED_VALUE"""),"Curso de RH: Recrutamento, Seleção e Integração")</f>
        <v>Curso de RH: Recrutamento, Seleção e Integração</v>
      </c>
    </row>
    <row r="4438">
      <c r="A4438" s="140" t="str">
        <f>IFERROR(__xludf.DUMMYFUNCTION("""COMPUTED_VALUE"""),"en")</f>
        <v>en</v>
      </c>
      <c r="B4438">
        <f>IFERROR(__xludf.DUMMYFUNCTION("""COMPUTED_VALUE"""),1087594.0)</f>
        <v>1087594</v>
      </c>
      <c r="C4438" t="str">
        <f>IFERROR(__xludf.DUMMYFUNCTION("""COMPUTED_VALUE"""),"Crystalline Silica Hazard Awareness")</f>
        <v>Crystalline Silica Hazard Awareness</v>
      </c>
    </row>
    <row r="4439">
      <c r="A4439" s="140" t="str">
        <f>IFERROR(__xludf.DUMMYFUNCTION("""COMPUTED_VALUE"""),"de")</f>
        <v>de</v>
      </c>
      <c r="B4439">
        <f>IFERROR(__xludf.DUMMYFUNCTION("""COMPUTED_VALUE"""),1969484.0)</f>
        <v>1969484</v>
      </c>
      <c r="C4439" t="str">
        <f>IFERROR(__xludf.DUMMYFUNCTION("""COMPUTED_VALUE"""),"Die komplette Web-Entwickler Masterclass")</f>
        <v>Die komplette Web-Entwickler Masterclass</v>
      </c>
    </row>
    <row r="4440">
      <c r="A4440" s="140" t="str">
        <f>IFERROR(__xludf.DUMMYFUNCTION("""COMPUTED_VALUE"""),"en")</f>
        <v>en</v>
      </c>
      <c r="B4440">
        <f>IFERROR(__xludf.DUMMYFUNCTION("""COMPUTED_VALUE"""),620486.0)</f>
        <v>620486</v>
      </c>
      <c r="C4440" t="str">
        <f>IFERROR(__xludf.DUMMYFUNCTION("""COMPUTED_VALUE"""),"Java Puzzles to Eliminate Code Fear")</f>
        <v>Java Puzzles to Eliminate Code Fear</v>
      </c>
    </row>
    <row r="4441">
      <c r="A4441" s="140" t="str">
        <f>IFERROR(__xludf.DUMMYFUNCTION("""COMPUTED_VALUE"""),"ar")</f>
        <v>ar</v>
      </c>
      <c r="B4441">
        <f>IFERROR(__xludf.DUMMYFUNCTION("""COMPUTED_VALUE"""),1818678.0)</f>
        <v>1818678</v>
      </c>
      <c r="C4441" t="str">
        <f>IFERROR(__xludf.DUMMYFUNCTION("""COMPUTED_VALUE"""),"Advanced React Native Topics")</f>
        <v>Advanced React Native Topics</v>
      </c>
    </row>
    <row r="4442">
      <c r="A4442" s="140" t="str">
        <f>IFERROR(__xludf.DUMMYFUNCTION("""COMPUTED_VALUE"""),"en")</f>
        <v>en</v>
      </c>
      <c r="B4442">
        <f>IFERROR(__xludf.DUMMYFUNCTION("""COMPUTED_VALUE"""),2010436.0)</f>
        <v>2010436</v>
      </c>
      <c r="C4442" t="str">
        <f>IFERROR(__xludf.DUMMYFUNCTION("""COMPUTED_VALUE"""),"RF Microwave &amp; Transmission Line Theory - RAHRF200")</f>
        <v>RF Microwave &amp; Transmission Line Theory - RAHRF200</v>
      </c>
    </row>
    <row r="4443">
      <c r="A4443" s="140" t="str">
        <f>IFERROR(__xludf.DUMMYFUNCTION("""COMPUTED_VALUE"""),"ja")</f>
        <v>ja</v>
      </c>
      <c r="B4443">
        <f>IFERROR(__xludf.DUMMYFUNCTION("""COMPUTED_VALUE"""),2234642.0)</f>
        <v>2234642</v>
      </c>
      <c r="C4443" t="str">
        <f>IFERROR(__xludf.DUMMYFUNCTION("""COMPUTED_VALUE"""),"3時間で学ぶ SQL ・データベース 超入門【丁寧な解説+演習問題で SQL データ抽出の基本が身につく】標準 SQL")</f>
        <v>3時間で学ぶ SQL ・データベース 超入門【丁寧な解説+演習問題で SQL データ抽出の基本が身につく】標準 SQL</v>
      </c>
    </row>
    <row r="4444">
      <c r="A4444" s="140" t="str">
        <f>IFERROR(__xludf.DUMMYFUNCTION("""COMPUTED_VALUE"""),"en")</f>
        <v>en</v>
      </c>
      <c r="B4444">
        <f>IFERROR(__xludf.DUMMYFUNCTION("""COMPUTED_VALUE"""),413572.0)</f>
        <v>413572</v>
      </c>
      <c r="C4444" t="str">
        <f>IFERROR(__xludf.DUMMYFUNCTION("""COMPUTED_VALUE"""),"Excel Hacking")</f>
        <v>Excel Hacking</v>
      </c>
    </row>
    <row r="4445">
      <c r="A4445" s="140" t="str">
        <f>IFERROR(__xludf.DUMMYFUNCTION("""COMPUTED_VALUE"""),"en")</f>
        <v>en</v>
      </c>
      <c r="B4445">
        <f>IFERROR(__xludf.DUMMYFUNCTION("""COMPUTED_VALUE"""),3513670.0)</f>
        <v>3513670</v>
      </c>
      <c r="C4445" t="str">
        <f>IFERROR(__xludf.DUMMYFUNCTION("""COMPUTED_VALUE"""),"Primavera &amp; Power BI Integration | Interactive Dashboards")</f>
        <v>Primavera &amp; Power BI Integration | Interactive Dashboards</v>
      </c>
    </row>
    <row r="4446">
      <c r="A4446" s="140" t="str">
        <f>IFERROR(__xludf.DUMMYFUNCTION("""COMPUTED_VALUE"""),"en")</f>
        <v>en</v>
      </c>
      <c r="B4446">
        <f>IFERROR(__xludf.DUMMYFUNCTION("""COMPUTED_VALUE"""),3226045.0)</f>
        <v>3226045</v>
      </c>
      <c r="C4446" t="str">
        <f>IFERROR(__xludf.DUMMYFUNCTION("""COMPUTED_VALUE"""),"Machine Learning for Absolute Beginners - Level 3")</f>
        <v>Machine Learning for Absolute Beginners - Level 3</v>
      </c>
    </row>
    <row r="4447">
      <c r="A4447" s="140" t="str">
        <f>IFERROR(__xludf.DUMMYFUNCTION("""COMPUTED_VALUE"""),"en")</f>
        <v>en</v>
      </c>
      <c r="B4447">
        <f>IFERROR(__xludf.DUMMYFUNCTION("""COMPUTED_VALUE"""),4174560.0)</f>
        <v>4174560</v>
      </c>
      <c r="C4447" t="str">
        <f>IFERROR(__xludf.DUMMYFUNCTION("""COMPUTED_VALUE"""),"Talking to Your Employees About Stress at Work")</f>
        <v>Talking to Your Employees About Stress at Work</v>
      </c>
    </row>
    <row r="4448">
      <c r="A4448" s="140" t="str">
        <f>IFERROR(__xludf.DUMMYFUNCTION("""COMPUTED_VALUE"""),"es")</f>
        <v>es</v>
      </c>
      <c r="B4448">
        <f>IFERROR(__xludf.DUMMYFUNCTION("""COMPUTED_VALUE"""),2060911.0)</f>
        <v>2060911</v>
      </c>
      <c r="C4448" t="str">
        <f>IFERROR(__xludf.DUMMYFUNCTION("""COMPUTED_VALUE"""),"Master en CSS: Responsive, SASS, Flexbox, Grid y Bootstrap")</f>
        <v>Master en CSS: Responsive, SASS, Flexbox, Grid y Bootstrap</v>
      </c>
    </row>
    <row r="4449">
      <c r="A4449" s="140" t="str">
        <f>IFERROR(__xludf.DUMMYFUNCTION("""COMPUTED_VALUE"""),"de")</f>
        <v>de</v>
      </c>
      <c r="B4449">
        <f>IFERROR(__xludf.DUMMYFUNCTION("""COMPUTED_VALUE"""),1449348.0)</f>
        <v>1449348</v>
      </c>
      <c r="C4449" t="str">
        <f>IFERROR(__xludf.DUMMYFUNCTION("""COMPUTED_VALUE"""),"Machine Learning von A-Z: Lerne Python &amp; R für Data Science!")</f>
        <v>Machine Learning von A-Z: Lerne Python &amp; R für Data Science!</v>
      </c>
    </row>
    <row r="4450">
      <c r="A4450" s="140" t="str">
        <f>IFERROR(__xludf.DUMMYFUNCTION("""COMPUTED_VALUE"""),"en")</f>
        <v>en</v>
      </c>
      <c r="B4450">
        <f>IFERROR(__xludf.DUMMYFUNCTION("""COMPUTED_VALUE"""),994426.0)</f>
        <v>994426</v>
      </c>
      <c r="C4450" t="str">
        <f>IFERROR(__xludf.DUMMYFUNCTION("""COMPUTED_VALUE"""),"Networking Growth Hacks: Take Your Career to the Next Level")</f>
        <v>Networking Growth Hacks: Take Your Career to the Next Level</v>
      </c>
    </row>
    <row r="4451">
      <c r="A4451" s="140" t="str">
        <f>IFERROR(__xludf.DUMMYFUNCTION("""COMPUTED_VALUE"""),"en")</f>
        <v>en</v>
      </c>
      <c r="B4451">
        <f>IFERROR(__xludf.DUMMYFUNCTION("""COMPUTED_VALUE"""),1269254.0)</f>
        <v>1269254</v>
      </c>
      <c r="C4451" t="str">
        <f>IFERROR(__xludf.DUMMYFUNCTION("""COMPUTED_VALUE"""),"MBA in a Box: Business Lessons from a CEO")</f>
        <v>MBA in a Box: Business Lessons from a CEO</v>
      </c>
    </row>
    <row r="4452">
      <c r="A4452" s="140" t="str">
        <f>IFERROR(__xludf.DUMMYFUNCTION("""COMPUTED_VALUE"""),"pt")</f>
        <v>pt</v>
      </c>
      <c r="B4452">
        <f>IFERROR(__xludf.DUMMYFUNCTION("""COMPUTED_VALUE"""),1545344.0)</f>
        <v>1545344</v>
      </c>
      <c r="C4452" t="str">
        <f>IFERROR(__xludf.DUMMYFUNCTION("""COMPUTED_VALUE"""),"YouTube SEO - Como criar e crescer o seu canal no YouTube")</f>
        <v>YouTube SEO - Como criar e crescer o seu canal no YouTube</v>
      </c>
    </row>
    <row r="4453">
      <c r="A4453" s="140" t="str">
        <f>IFERROR(__xludf.DUMMYFUNCTION("""COMPUTED_VALUE"""),"en")</f>
        <v>en</v>
      </c>
      <c r="B4453">
        <f>IFERROR(__xludf.DUMMYFUNCTION("""COMPUTED_VALUE"""),3507196.0)</f>
        <v>3507196</v>
      </c>
      <c r="C4453" t="str">
        <f>IFERROR(__xludf.DUMMYFUNCTION("""COMPUTED_VALUE"""),"Google Sheets - The Comprehensive Masterclass")</f>
        <v>Google Sheets - The Comprehensive Masterclass</v>
      </c>
    </row>
    <row r="4454">
      <c r="A4454" s="140" t="str">
        <f>IFERROR(__xludf.DUMMYFUNCTION("""COMPUTED_VALUE"""),"en")</f>
        <v>en</v>
      </c>
      <c r="B4454">
        <f>IFERROR(__xludf.DUMMYFUNCTION("""COMPUTED_VALUE"""),1128250.0)</f>
        <v>1128250</v>
      </c>
      <c r="C4454" t="str">
        <f>IFERROR(__xludf.DUMMYFUNCTION("""COMPUTED_VALUE"""),"A Brief Guide to Business Continuity and Disaster Recovery")</f>
        <v>A Brief Guide to Business Continuity and Disaster Recovery</v>
      </c>
    </row>
    <row r="4455">
      <c r="A4455" s="140" t="str">
        <f>IFERROR(__xludf.DUMMYFUNCTION("""COMPUTED_VALUE"""),"en")</f>
        <v>en</v>
      </c>
      <c r="B4455">
        <f>IFERROR(__xludf.DUMMYFUNCTION("""COMPUTED_VALUE"""),1139966.0)</f>
        <v>1139966</v>
      </c>
      <c r="C4455" t="str">
        <f>IFERROR(__xludf.DUMMYFUNCTION("""COMPUTED_VALUE"""),"ISO/IEC 27001. Information Security Management System.")</f>
        <v>ISO/IEC 27001. Information Security Management System.</v>
      </c>
    </row>
    <row r="4456">
      <c r="A4456" s="140" t="str">
        <f>IFERROR(__xludf.DUMMYFUNCTION("""COMPUTED_VALUE"""),"ar")</f>
        <v>ar</v>
      </c>
      <c r="B4456">
        <f>IFERROR(__xludf.DUMMYFUNCTION("""COMPUTED_VALUE"""),3320802.0)</f>
        <v>3320802</v>
      </c>
      <c r="C4456" t="str">
        <f>IFERROR(__xludf.DUMMYFUNCTION("""COMPUTED_VALUE"""),"Docker Practical Course")</f>
        <v>Docker Practical Course</v>
      </c>
    </row>
    <row r="4457">
      <c r="A4457" s="140" t="str">
        <f>IFERROR(__xludf.DUMMYFUNCTION("""COMPUTED_VALUE"""),"en")</f>
        <v>en</v>
      </c>
      <c r="B4457">
        <f>IFERROR(__xludf.DUMMYFUNCTION("""COMPUTED_VALUE"""),3018868.0)</f>
        <v>3018868</v>
      </c>
      <c r="C4457" t="str">
        <f>IFERROR(__xludf.DUMMYFUNCTION("""COMPUTED_VALUE"""),"Highly Situational 2021 PMP Exams Updated With New Format")</f>
        <v>Highly Situational 2021 PMP Exams Updated With New Format</v>
      </c>
    </row>
    <row r="4458">
      <c r="A4458" s="140" t="str">
        <f>IFERROR(__xludf.DUMMYFUNCTION("""COMPUTED_VALUE"""),"en")</f>
        <v>en</v>
      </c>
      <c r="B4458">
        <f>IFERROR(__xludf.DUMMYFUNCTION("""COMPUTED_VALUE"""),1464836.0)</f>
        <v>1464836</v>
      </c>
      <c r="C4458" t="str">
        <f>IFERROR(__xludf.DUMMYFUNCTION("""COMPUTED_VALUE"""),"UML and Object-Oriented Design Foundations")</f>
        <v>UML and Object-Oriented Design Foundations</v>
      </c>
    </row>
    <row r="4459">
      <c r="A4459" s="140" t="str">
        <f>IFERROR(__xludf.DUMMYFUNCTION("""COMPUTED_VALUE"""),"en")</f>
        <v>en</v>
      </c>
      <c r="B4459">
        <f>IFERROR(__xludf.DUMMYFUNCTION("""COMPUTED_VALUE"""),1035518.0)</f>
        <v>1035518</v>
      </c>
      <c r="C4459" t="str">
        <f>IFERROR(__xludf.DUMMYFUNCTION("""COMPUTED_VALUE"""),"Concurrency, Multithreading and Parallel Computing in Java")</f>
        <v>Concurrency, Multithreading and Parallel Computing in Java</v>
      </c>
    </row>
    <row r="4460">
      <c r="A4460" s="140" t="str">
        <f>IFERROR(__xludf.DUMMYFUNCTION("""COMPUTED_VALUE"""),"en")</f>
        <v>en</v>
      </c>
      <c r="B4460">
        <f>IFERROR(__xludf.DUMMYFUNCTION("""COMPUTED_VALUE"""),4363366.0)</f>
        <v>4363366</v>
      </c>
      <c r="C4460" t="str">
        <f>IFERROR(__xludf.DUMMYFUNCTION("""COMPUTED_VALUE"""),"Economics, Management &amp; Strategy Masterclass")</f>
        <v>Economics, Management &amp; Strategy Masterclass</v>
      </c>
    </row>
    <row r="4461">
      <c r="A4461" s="140" t="str">
        <f>IFERROR(__xludf.DUMMYFUNCTION("""COMPUTED_VALUE"""),"en")</f>
        <v>en</v>
      </c>
      <c r="B4461">
        <f>IFERROR(__xludf.DUMMYFUNCTION("""COMPUTED_VALUE"""),2033174.0)</f>
        <v>2033174</v>
      </c>
      <c r="C4461" t="str">
        <f>IFERROR(__xludf.DUMMYFUNCTION("""COMPUTED_VALUE"""),"Becoming a Cloud Expert - Microsoft Azure IaaS - Level 2")</f>
        <v>Becoming a Cloud Expert - Microsoft Azure IaaS - Level 2</v>
      </c>
    </row>
    <row r="4462">
      <c r="A4462" s="140" t="str">
        <f>IFERROR(__xludf.DUMMYFUNCTION("""COMPUTED_VALUE"""),"en")</f>
        <v>en</v>
      </c>
      <c r="B4462">
        <f>IFERROR(__xludf.DUMMYFUNCTION("""COMPUTED_VALUE"""),1676310.0)</f>
        <v>1676310</v>
      </c>
      <c r="C4462" t="str">
        <f>IFERROR(__xludf.DUMMYFUNCTION("""COMPUTED_VALUE"""),"Tableau Data Analyst/Specialist Desktop Certification")</f>
        <v>Tableau Data Analyst/Specialist Desktop Certification</v>
      </c>
    </row>
    <row r="4463">
      <c r="A4463" s="140" t="str">
        <f>IFERROR(__xludf.DUMMYFUNCTION("""COMPUTED_VALUE"""),"ko")</f>
        <v>ko</v>
      </c>
      <c r="B4463">
        <f>IFERROR(__xludf.DUMMYFUNCTION("""COMPUTED_VALUE"""),4236932.0)</f>
        <v>4236932</v>
      </c>
      <c r="C4463" t="str">
        <f>IFERROR(__xludf.DUMMYFUNCTION("""COMPUTED_VALUE"""),"Microsoft 365 사용자 기본 교육")</f>
        <v>Microsoft 365 사용자 기본 교육</v>
      </c>
    </row>
    <row r="4464">
      <c r="A4464" s="140" t="str">
        <f>IFERROR(__xludf.DUMMYFUNCTION("""COMPUTED_VALUE"""),"es")</f>
        <v>es</v>
      </c>
      <c r="B4464">
        <f>IFERROR(__xludf.DUMMYFUNCTION("""COMPUTED_VALUE"""),1795818.0)</f>
        <v>1795818</v>
      </c>
      <c r="C4464" t="str">
        <f>IFERROR(__xludf.DUMMYFUNCTION("""COMPUTED_VALUE"""),"Aprende Java con 100 ejercicios prácticos (Incluye JavaFX)")</f>
        <v>Aprende Java con 100 ejercicios prácticos (Incluye JavaFX)</v>
      </c>
    </row>
    <row r="4465">
      <c r="A4465" s="140" t="str">
        <f>IFERROR(__xludf.DUMMYFUNCTION("""COMPUTED_VALUE"""),"en")</f>
        <v>en</v>
      </c>
      <c r="B4465">
        <f>IFERROR(__xludf.DUMMYFUNCTION("""COMPUTED_VALUE"""),3898634.0)</f>
        <v>3898634</v>
      </c>
      <c r="C4465" t="str">
        <f>IFERROR(__xludf.DUMMYFUNCTION("""COMPUTED_VALUE"""),"AWS Certified Solutions Architect Professional SAP-C01 2021")</f>
        <v>AWS Certified Solutions Architect Professional SAP-C01 2021</v>
      </c>
    </row>
    <row r="4466">
      <c r="A4466" s="140" t="str">
        <f>IFERROR(__xludf.DUMMYFUNCTION("""COMPUTED_VALUE"""),"en")</f>
        <v>en</v>
      </c>
      <c r="B4466">
        <f>IFERROR(__xludf.DUMMYFUNCTION("""COMPUTED_VALUE"""),714978.0)</f>
        <v>714978</v>
      </c>
      <c r="C4466" t="str">
        <f>IFERROR(__xludf.DUMMYFUNCTION("""COMPUTED_VALUE"""),"Artificial Intelligence II - Hands-On Neural Networks (Java)")</f>
        <v>Artificial Intelligence II - Hands-On Neural Networks (Java)</v>
      </c>
    </row>
    <row r="4467">
      <c r="A4467" s="140" t="str">
        <f>IFERROR(__xludf.DUMMYFUNCTION("""COMPUTED_VALUE"""),"ar")</f>
        <v>ar</v>
      </c>
      <c r="B4467">
        <f>IFERROR(__xludf.DUMMYFUNCTION("""COMPUTED_VALUE"""),1831774.0)</f>
        <v>1831774</v>
      </c>
      <c r="C4467" t="str">
        <f>IFERROR(__xludf.DUMMYFUNCTION("""COMPUTED_VALUE"""),"أساسيات نظم المعلومات الجغرافية")</f>
        <v>أساسيات نظم المعلومات الجغرافية</v>
      </c>
    </row>
    <row r="4468">
      <c r="A4468" s="140" t="str">
        <f>IFERROR(__xludf.DUMMYFUNCTION("""COMPUTED_VALUE"""),"en")</f>
        <v>en</v>
      </c>
      <c r="B4468">
        <f>IFERROR(__xludf.DUMMYFUNCTION("""COMPUTED_VALUE"""),3601650.0)</f>
        <v>3601650</v>
      </c>
      <c r="C4468" t="str">
        <f>IFERROR(__xludf.DUMMYFUNCTION("""COMPUTED_VALUE"""),"Smartsheet Project Management- Intermediate to Advanced")</f>
        <v>Smartsheet Project Management- Intermediate to Advanced</v>
      </c>
    </row>
    <row r="4469">
      <c r="A4469" s="140" t="str">
        <f>IFERROR(__xludf.DUMMYFUNCTION("""COMPUTED_VALUE"""),"en")</f>
        <v>en</v>
      </c>
      <c r="B4469">
        <f>IFERROR(__xludf.DUMMYFUNCTION("""COMPUTED_VALUE"""),1212244.0)</f>
        <v>1212244</v>
      </c>
      <c r="C4469" t="str">
        <f>IFERROR(__xludf.DUMMYFUNCTION("""COMPUTED_VALUE"""),"Android O &amp; Java - The Complete Android Development Bootcamp")</f>
        <v>Android O &amp; Java - The Complete Android Development Bootcamp</v>
      </c>
    </row>
    <row r="4470">
      <c r="A4470" s="140" t="str">
        <f>IFERROR(__xludf.DUMMYFUNCTION("""COMPUTED_VALUE"""),"tr")</f>
        <v>tr</v>
      </c>
      <c r="B4470">
        <f>IFERROR(__xludf.DUMMYFUNCTION("""COMPUTED_VALUE"""),2463492.0)</f>
        <v>2463492</v>
      </c>
      <c r="C4470" t="str">
        <f>IFERROR(__xludf.DUMMYFUNCTION("""COMPUTED_VALUE"""),"(50+ Saat) Python ile Sıfırdan İleri Seviye Programlama")</f>
        <v>(50+ Saat) Python ile Sıfırdan İleri Seviye Programlama</v>
      </c>
    </row>
    <row r="4471">
      <c r="A4471" s="140" t="str">
        <f>IFERROR(__xludf.DUMMYFUNCTION("""COMPUTED_VALUE"""),"ja")</f>
        <v>ja</v>
      </c>
      <c r="B4471">
        <f>IFERROR(__xludf.DUMMYFUNCTION("""COMPUTED_VALUE"""),1158302.0)</f>
        <v>1158302</v>
      </c>
      <c r="C4471" t="str">
        <f>IFERROR(__xludf.DUMMYFUNCTION("""COMPUTED_VALUE"""),"【5日で学ぶ】情報セキュリティマネジメント入門（Python 3/Kali Linux）")</f>
        <v>【5日で学ぶ】情報セキュリティマネジメント入門（Python 3/Kali Linux）</v>
      </c>
    </row>
    <row r="4472">
      <c r="A4472" s="140" t="str">
        <f>IFERROR(__xludf.DUMMYFUNCTION("""COMPUTED_VALUE"""),"en")</f>
        <v>en</v>
      </c>
      <c r="B4472">
        <f>IFERROR(__xludf.DUMMYFUNCTION("""COMPUTED_VALUE"""),1416430.0)</f>
        <v>1416430</v>
      </c>
      <c r="C4472" t="str">
        <f>IFERROR(__xludf.DUMMYFUNCTION("""COMPUTED_VALUE"""),"GDPR – in a nutshell – 2nd edition")</f>
        <v>GDPR – in a nutshell – 2nd edition</v>
      </c>
    </row>
    <row r="4473">
      <c r="A4473" s="140" t="str">
        <f>IFERROR(__xludf.DUMMYFUNCTION("""COMPUTED_VALUE"""),"en")</f>
        <v>en</v>
      </c>
      <c r="B4473">
        <f>IFERROR(__xludf.DUMMYFUNCTION("""COMPUTED_VALUE"""),470406.0)</f>
        <v>470406</v>
      </c>
      <c r="C4473" t="str">
        <f>IFERROR(__xludf.DUMMYFUNCTION("""COMPUTED_VALUE"""),"PL/SQL by Example - Beginner to Advanced PL/SQL")</f>
        <v>PL/SQL by Example - Beginner to Advanced PL/SQL</v>
      </c>
    </row>
    <row r="4474">
      <c r="A4474" s="140" t="str">
        <f>IFERROR(__xludf.DUMMYFUNCTION("""COMPUTED_VALUE"""),"pt")</f>
        <v>pt</v>
      </c>
      <c r="B4474">
        <f>IFERROR(__xludf.DUMMYFUNCTION("""COMPUTED_VALUE"""),2825009.0)</f>
        <v>2825009</v>
      </c>
      <c r="C4474" t="str">
        <f>IFERROR(__xludf.DUMMYFUNCTION("""COMPUTED_VALUE"""),"Pacote Office 2019 - Do Básico ao Avançado com VBA")</f>
        <v>Pacote Office 2019 - Do Básico ao Avançado com VBA</v>
      </c>
    </row>
    <row r="4475">
      <c r="A4475" s="140" t="str">
        <f>IFERROR(__xludf.DUMMYFUNCTION("""COMPUTED_VALUE"""),"en")</f>
        <v>en</v>
      </c>
      <c r="B4475">
        <f>IFERROR(__xludf.DUMMYFUNCTION("""COMPUTED_VALUE"""),2436262.0)</f>
        <v>2436262</v>
      </c>
      <c r="C4475" t="str">
        <f>IFERROR(__xludf.DUMMYFUNCTION("""COMPUTED_VALUE"""),"The Complete Splunk Enterprise Certified Admin Course 2021")</f>
        <v>The Complete Splunk Enterprise Certified Admin Course 2021</v>
      </c>
    </row>
    <row r="4476">
      <c r="A4476" s="140" t="str">
        <f>IFERROR(__xludf.DUMMYFUNCTION("""COMPUTED_VALUE"""),"ja")</f>
        <v>ja</v>
      </c>
      <c r="B4476">
        <f>IFERROR(__xludf.DUMMYFUNCTION("""COMPUTED_VALUE"""),2615260.0)</f>
        <v>2615260</v>
      </c>
      <c r="C4476" t="str">
        <f>IFERROR(__xludf.DUMMYFUNCTION("""COMPUTED_VALUE"""),"Unityインストラクターが教えるシャドウバースのような本格2Dカードゲーム開発コース【スタジオしまづ】")</f>
        <v>Unityインストラクターが教えるシャドウバースのような本格2Dカードゲーム開発コース【スタジオしまづ】</v>
      </c>
    </row>
    <row r="4477">
      <c r="A4477" s="140" t="str">
        <f>IFERROR(__xludf.DUMMYFUNCTION("""COMPUTED_VALUE"""),"en")</f>
        <v>en</v>
      </c>
      <c r="B4477">
        <f>IFERROR(__xludf.DUMMYFUNCTION("""COMPUTED_VALUE"""),3548982.0)</f>
        <v>3548982</v>
      </c>
      <c r="C4477" t="str">
        <f>IFERROR(__xludf.DUMMYFUNCTION("""COMPUTED_VALUE"""),"RxJS 7 and Observables: Introduction")</f>
        <v>RxJS 7 and Observables: Introduction</v>
      </c>
    </row>
    <row r="4478">
      <c r="A4478" s="140" t="str">
        <f>IFERROR(__xludf.DUMMYFUNCTION("""COMPUTED_VALUE"""),"fr")</f>
        <v>fr</v>
      </c>
      <c r="B4478">
        <f>IFERROR(__xludf.DUMMYFUNCTION("""COMPUTED_VALUE"""),903062.0)</f>
        <v>903062</v>
      </c>
      <c r="C4478" t="str">
        <f>IFERROR(__xludf.DUMMYFUNCTION("""COMPUTED_VALUE"""),"WordPress - Le Cours Complet")</f>
        <v>WordPress - Le Cours Complet</v>
      </c>
    </row>
    <row r="4479">
      <c r="A4479" s="140" t="str">
        <f>IFERROR(__xludf.DUMMYFUNCTION("""COMPUTED_VALUE"""),"en")</f>
        <v>en</v>
      </c>
      <c r="B4479">
        <f>IFERROR(__xludf.DUMMYFUNCTION("""COMPUTED_VALUE"""),1513948.0)</f>
        <v>1513948</v>
      </c>
      <c r="C4479" t="str">
        <f>IFERROR(__xludf.DUMMYFUNCTION("""COMPUTED_VALUE"""),"Learn German Language: Complete German Course - Intermediate")</f>
        <v>Learn German Language: Complete German Course - Intermediate</v>
      </c>
    </row>
    <row r="4480">
      <c r="A4480" s="140" t="str">
        <f>IFERROR(__xludf.DUMMYFUNCTION("""COMPUTED_VALUE"""),"es")</f>
        <v>es</v>
      </c>
      <c r="B4480">
        <f>IFERROR(__xludf.DUMMYFUNCTION("""COMPUTED_VALUE"""),1722482.0)</f>
        <v>1722482</v>
      </c>
      <c r="C4480" t="str">
        <f>IFERROR(__xludf.DUMMYFUNCTION("""COMPUTED_VALUE"""),"Pronunciación Fácil del Inglés –  para hispanohablantes")</f>
        <v>Pronunciación Fácil del Inglés –  para hispanohablantes</v>
      </c>
    </row>
    <row r="4481">
      <c r="A4481" s="140" t="str">
        <f>IFERROR(__xludf.DUMMYFUNCTION("""COMPUTED_VALUE"""),"en")</f>
        <v>en</v>
      </c>
      <c r="B4481">
        <f>IFERROR(__xludf.DUMMYFUNCTION("""COMPUTED_VALUE"""),1858526.0)</f>
        <v>1858526</v>
      </c>
      <c r="C4481" t="str">
        <f>IFERROR(__xludf.DUMMYFUNCTION("""COMPUTED_VALUE"""),"GarageBand: The Complete GarageBand Course Music Production")</f>
        <v>GarageBand: The Complete GarageBand Course Music Production</v>
      </c>
    </row>
    <row r="4482">
      <c r="A4482" s="140" t="str">
        <f>IFERROR(__xludf.DUMMYFUNCTION("""COMPUTED_VALUE"""),"es")</f>
        <v>es</v>
      </c>
      <c r="B4482">
        <f>IFERROR(__xludf.DUMMYFUNCTION("""COMPUTED_VALUE"""),858236.0)</f>
        <v>858236</v>
      </c>
      <c r="C4482" t="str">
        <f>IFERROR(__xludf.DUMMYFUNCTION("""COMPUTED_VALUE"""),"Android Completo: Aprende Creando Apps")</f>
        <v>Android Completo: Aprende Creando Apps</v>
      </c>
    </row>
    <row r="4483">
      <c r="A4483" s="140" t="str">
        <f>IFERROR(__xludf.DUMMYFUNCTION("""COMPUTED_VALUE"""),"en")</f>
        <v>en</v>
      </c>
      <c r="B4483">
        <f>IFERROR(__xludf.DUMMYFUNCTION("""COMPUTED_VALUE"""),258306.0)</f>
        <v>258306</v>
      </c>
      <c r="C4483" t="str">
        <f>IFERROR(__xludf.DUMMYFUNCTION("""COMPUTED_VALUE"""),"Bacula 1: the open source backup software")</f>
        <v>Bacula 1: the open source backup software</v>
      </c>
    </row>
    <row r="4484">
      <c r="A4484" s="140" t="str">
        <f>IFERROR(__xludf.DUMMYFUNCTION("""COMPUTED_VALUE"""),"de")</f>
        <v>de</v>
      </c>
      <c r="B4484">
        <f>IFERROR(__xludf.DUMMYFUNCTION("""COMPUTED_VALUE"""),3079508.0)</f>
        <v>3079508</v>
      </c>
      <c r="C4484" t="str">
        <f>IFERROR(__xludf.DUMMYFUNCTION("""COMPUTED_VALUE"""),"Pinterest Marketing im 360°-Blick für B2C (Update 10/2020)")</f>
        <v>Pinterest Marketing im 360°-Blick für B2C (Update 10/2020)</v>
      </c>
    </row>
    <row r="4485">
      <c r="A4485" s="140" t="str">
        <f>IFERROR(__xludf.DUMMYFUNCTION("""COMPUTED_VALUE"""),"en")</f>
        <v>en</v>
      </c>
      <c r="B4485">
        <f>IFERROR(__xludf.DUMMYFUNCTION("""COMPUTED_VALUE"""),1523224.0)</f>
        <v>1523224</v>
      </c>
      <c r="C4485" t="str">
        <f>IFERROR(__xludf.DUMMYFUNCTION("""COMPUTED_VALUE"""),"Nuxt.js - Vue.js on Steroids")</f>
        <v>Nuxt.js - Vue.js on Steroids</v>
      </c>
    </row>
    <row r="4486">
      <c r="A4486" s="140" t="str">
        <f>IFERROR(__xludf.DUMMYFUNCTION("""COMPUTED_VALUE"""),"ja")</f>
        <v>ja</v>
      </c>
      <c r="B4486">
        <f>IFERROR(__xludf.DUMMYFUNCTION("""COMPUTED_VALUE"""),490912.0)</f>
        <v>490912</v>
      </c>
      <c r="C4486" t="str">
        <f>IFERROR(__xludf.DUMMYFUNCTION("""COMPUTED_VALUE"""),"「経営者たちのストーリー」①　星野リゾート代表　星野佳路")</f>
        <v>「経営者たちのストーリー」①　星野リゾート代表　星野佳路</v>
      </c>
    </row>
    <row r="4487">
      <c r="A4487" s="140" t="str">
        <f>IFERROR(__xludf.DUMMYFUNCTION("""COMPUTED_VALUE"""),"ja")</f>
        <v>ja</v>
      </c>
      <c r="B4487">
        <f>IFERROR(__xludf.DUMMYFUNCTION("""COMPUTED_VALUE"""),3857220.0)</f>
        <v>3857220</v>
      </c>
      <c r="C4487" t="str">
        <f>IFERROR(__xludf.DUMMYFUNCTION("""COMPUTED_VALUE"""),"プログラミングを業務で活かす！PythonによるWeb API活用講座")</f>
        <v>プログラミングを業務で活かす！PythonによるWeb API活用講座</v>
      </c>
    </row>
    <row r="4488">
      <c r="A4488" s="140" t="str">
        <f>IFERROR(__xludf.DUMMYFUNCTION("""COMPUTED_VALUE"""),"es")</f>
        <v>es</v>
      </c>
      <c r="B4488">
        <f>IFERROR(__xludf.DUMMYFUNCTION("""COMPUTED_VALUE"""),1752920.0)</f>
        <v>1752920</v>
      </c>
      <c r="C4488" t="str">
        <f>IFERROR(__xludf.DUMMYFUNCTION("""COMPUTED_VALUE"""),"Curso completo de iOS 12: de cero a experto")</f>
        <v>Curso completo de iOS 12: de cero a experto</v>
      </c>
    </row>
    <row r="4489">
      <c r="A4489" s="140" t="str">
        <f>IFERROR(__xludf.DUMMYFUNCTION("""COMPUTED_VALUE"""),"en")</f>
        <v>en</v>
      </c>
      <c r="B4489">
        <f>IFERROR(__xludf.DUMMYFUNCTION("""COMPUTED_VALUE"""),3219379.0)</f>
        <v>3219379</v>
      </c>
      <c r="C4489" t="str">
        <f>IFERROR(__xludf.DUMMYFUNCTION("""COMPUTED_VALUE"""),"IFRS 16 Leases - Beginner to Advance")</f>
        <v>IFRS 16 Leases - Beginner to Advance</v>
      </c>
    </row>
    <row r="4490">
      <c r="A4490" s="140" t="str">
        <f>IFERROR(__xludf.DUMMYFUNCTION("""COMPUTED_VALUE"""),"pt")</f>
        <v>pt</v>
      </c>
      <c r="B4490">
        <f>IFERROR(__xludf.DUMMYFUNCTION("""COMPUTED_VALUE"""),2514206.0)</f>
        <v>2514206</v>
      </c>
      <c r="C4490" t="str">
        <f>IFERROR(__xludf.DUMMYFUNCTION("""COMPUTED_VALUE"""),"AWS Certified Cloud Practitioner - Preparatório AWS CCP 2021")</f>
        <v>AWS Certified Cloud Practitioner - Preparatório AWS CCP 2021</v>
      </c>
    </row>
    <row r="4491">
      <c r="A4491" s="140" t="str">
        <f>IFERROR(__xludf.DUMMYFUNCTION("""COMPUTED_VALUE"""),"en")</f>
        <v>en</v>
      </c>
      <c r="B4491">
        <f>IFERROR(__xludf.DUMMYFUNCTION("""COMPUTED_VALUE"""),4128292.0)</f>
        <v>4128292</v>
      </c>
      <c r="C4491" t="str">
        <f>IFERROR(__xludf.DUMMYFUNCTION("""COMPUTED_VALUE"""),"Set Yourself Up For Success with Salesforce Skills")</f>
        <v>Set Yourself Up For Success with Salesforce Skills</v>
      </c>
    </row>
    <row r="4492">
      <c r="A4492" s="140" t="str">
        <f>IFERROR(__xludf.DUMMYFUNCTION("""COMPUTED_VALUE"""),"en")</f>
        <v>en</v>
      </c>
      <c r="B4492">
        <f>IFERROR(__xludf.DUMMYFUNCTION("""COMPUTED_VALUE"""),72014.0)</f>
        <v>72014</v>
      </c>
      <c r="C4492" t="str">
        <f>IFERROR(__xludf.DUMMYFUNCTION("""COMPUTED_VALUE"""),"Complete CFA Level I - 2016 curriculum")</f>
        <v>Complete CFA Level I - 2016 curriculum</v>
      </c>
    </row>
    <row r="4493">
      <c r="A4493" s="140" t="str">
        <f>IFERROR(__xludf.DUMMYFUNCTION("""COMPUTED_VALUE"""),"en")</f>
        <v>en</v>
      </c>
      <c r="B4493">
        <f>IFERROR(__xludf.DUMMYFUNCTION("""COMPUTED_VALUE"""),2105100.0)</f>
        <v>2105100</v>
      </c>
      <c r="C4493" t="str">
        <f>IFERROR(__xludf.DUMMYFUNCTION("""COMPUTED_VALUE"""),"The Essential Guide to Airtable")</f>
        <v>The Essential Guide to Airtable</v>
      </c>
    </row>
    <row r="4494">
      <c r="A4494" s="140" t="str">
        <f>IFERROR(__xludf.DUMMYFUNCTION("""COMPUTED_VALUE"""),"en")</f>
        <v>en</v>
      </c>
      <c r="B4494">
        <f>IFERROR(__xludf.DUMMYFUNCTION("""COMPUTED_VALUE"""),1864390.0)</f>
        <v>1864390</v>
      </c>
      <c r="C4494" t="str">
        <f>IFERROR(__xludf.DUMMYFUNCTION("""COMPUTED_VALUE"""),"The Complete Graphic Design Theory for Beginners Course")</f>
        <v>The Complete Graphic Design Theory for Beginners Course</v>
      </c>
    </row>
    <row r="4495">
      <c r="A4495" s="140" t="str">
        <f>IFERROR(__xludf.DUMMYFUNCTION("""COMPUTED_VALUE"""),"de")</f>
        <v>de</v>
      </c>
      <c r="B4495">
        <f>IFERROR(__xludf.DUMMYFUNCTION("""COMPUTED_VALUE"""),1889652.0)</f>
        <v>1889652</v>
      </c>
      <c r="C4495" t="str">
        <f>IFERROR(__xludf.DUMMYFUNCTION("""COMPUTED_VALUE"""),"Affinity Publisher - Der Schnelleinstieg")</f>
        <v>Affinity Publisher - Der Schnelleinstieg</v>
      </c>
    </row>
    <row r="4496">
      <c r="A4496" s="140" t="str">
        <f>IFERROR(__xludf.DUMMYFUNCTION("""COMPUTED_VALUE"""),"es")</f>
        <v>es</v>
      </c>
      <c r="B4496">
        <f>IFERROR(__xludf.DUMMYFUNCTION("""COMPUTED_VALUE"""),1609512.0)</f>
        <v>1609512</v>
      </c>
      <c r="C4496" t="str">
        <f>IFERROR(__xludf.DUMMYFUNCTION("""COMPUTED_VALUE"""),"Sistema de venta en PHP 8 POO MVC con MySQL PDO full stack")</f>
        <v>Sistema de venta en PHP 8 POO MVC con MySQL PDO full stack</v>
      </c>
    </row>
    <row r="4497">
      <c r="A4497" s="140" t="str">
        <f>IFERROR(__xludf.DUMMYFUNCTION("""COMPUTED_VALUE"""),"en")</f>
        <v>en</v>
      </c>
      <c r="B4497">
        <f>IFERROR(__xludf.DUMMYFUNCTION("""COMPUTED_VALUE"""),690694.0)</f>
        <v>690694</v>
      </c>
      <c r="C4497" t="str">
        <f>IFERROR(__xludf.DUMMYFUNCTION("""COMPUTED_VALUE"""),"YouTube Marketing 2021: YouTube SEO &amp; YouTube Algorithms")</f>
        <v>YouTube Marketing 2021: YouTube SEO &amp; YouTube Algorithms</v>
      </c>
    </row>
    <row r="4498">
      <c r="A4498" s="140" t="str">
        <f>IFERROR(__xludf.DUMMYFUNCTION("""COMPUTED_VALUE"""),"es")</f>
        <v>es</v>
      </c>
      <c r="B4498">
        <f>IFERROR(__xludf.DUMMYFUNCTION("""COMPUTED_VALUE"""),1072288.0)</f>
        <v>1072288</v>
      </c>
      <c r="C4498" t="str">
        <f>IFERROR(__xludf.DUMMYFUNCTION("""COMPUTED_VALUE"""),"Crea un Embudo de Ventas desde Cero para tu Negocio Digital")</f>
        <v>Crea un Embudo de Ventas desde Cero para tu Negocio Digital</v>
      </c>
    </row>
    <row r="4499">
      <c r="A4499" s="140" t="str">
        <f>IFERROR(__xludf.DUMMYFUNCTION("""COMPUTED_VALUE"""),"de")</f>
        <v>de</v>
      </c>
      <c r="B4499">
        <f>IFERROR(__xludf.DUMMYFUNCTION("""COMPUTED_VALUE"""),3862750.0)</f>
        <v>3862750</v>
      </c>
      <c r="C4499" t="str">
        <f>IFERROR(__xludf.DUMMYFUNCTION("""COMPUTED_VALUE"""),"Stressmanagement - Fundierte Strategien zum Stress abbauen")</f>
        <v>Stressmanagement - Fundierte Strategien zum Stress abbauen</v>
      </c>
    </row>
    <row r="4500">
      <c r="A4500" s="140" t="str">
        <f>IFERROR(__xludf.DUMMYFUNCTION("""COMPUTED_VALUE"""),"es")</f>
        <v>es</v>
      </c>
      <c r="B4500">
        <f>IFERROR(__xludf.DUMMYFUNCTION("""COMPUTED_VALUE"""),3433102.0)</f>
        <v>3433102</v>
      </c>
      <c r="C4500" t="str">
        <f>IFERROR(__xludf.DUMMYFUNCTION("""COMPUTED_VALUE"""),"Implementador Líder ISO 9001:2015+Auditor Interno ISO 19011")</f>
        <v>Implementador Líder ISO 9001:2015+Auditor Interno ISO 19011</v>
      </c>
    </row>
    <row r="4501">
      <c r="A4501" s="140" t="str">
        <f>IFERROR(__xludf.DUMMYFUNCTION("""COMPUTED_VALUE"""),"en")</f>
        <v>en</v>
      </c>
      <c r="B4501">
        <f>IFERROR(__xludf.DUMMYFUNCTION("""COMPUTED_VALUE"""),2006834.0)</f>
        <v>2006834</v>
      </c>
      <c r="C4501" t="str">
        <f>IFERROR(__xludf.DUMMYFUNCTION("""COMPUTED_VALUE"""),"Oracle Solaris 11 Administration and Sun Cluster Practical")</f>
        <v>Oracle Solaris 11 Administration and Sun Cluster Practical</v>
      </c>
    </row>
    <row r="4502">
      <c r="A4502" s="140" t="str">
        <f>IFERROR(__xludf.DUMMYFUNCTION("""COMPUTED_VALUE"""),"en")</f>
        <v>en</v>
      </c>
      <c r="B4502">
        <f>IFERROR(__xludf.DUMMYFUNCTION("""COMPUTED_VALUE"""),1649868.0)</f>
        <v>1649868</v>
      </c>
      <c r="C4502" t="str">
        <f>IFERROR(__xludf.DUMMYFUNCTION("""COMPUTED_VALUE"""),"Business Etiquette and Professionalism")</f>
        <v>Business Etiquette and Professionalism</v>
      </c>
    </row>
    <row r="4503">
      <c r="A4503" s="140" t="str">
        <f>IFERROR(__xludf.DUMMYFUNCTION("""COMPUTED_VALUE"""),"en")</f>
        <v>en</v>
      </c>
      <c r="B4503">
        <f>IFERROR(__xludf.DUMMYFUNCTION("""COMPUTED_VALUE"""),1400762.0)</f>
        <v>1400762</v>
      </c>
      <c r="C4503" t="str">
        <f>IFERROR(__xludf.DUMMYFUNCTION("""COMPUTED_VALUE"""),"Hacking with macOS - Build 18 Desktop Apps with Swift 5")</f>
        <v>Hacking with macOS - Build 18 Desktop Apps with Swift 5</v>
      </c>
    </row>
    <row r="4504">
      <c r="A4504" s="140" t="str">
        <f>IFERROR(__xludf.DUMMYFUNCTION("""COMPUTED_VALUE"""),"ar")</f>
        <v>ar</v>
      </c>
      <c r="B4504">
        <f>IFERROR(__xludf.DUMMYFUNCTION("""COMPUTED_VALUE"""),2778484.0)</f>
        <v>2778484</v>
      </c>
      <c r="C4504" t="str">
        <f>IFERROR(__xludf.DUMMYFUNCTION("""COMPUTED_VALUE"""),"Marketing: consumer behavior سلسلة التسويق: سلوك المستهلك")</f>
        <v>Marketing: consumer behavior سلسلة التسويق: سلوك المستهلك</v>
      </c>
    </row>
    <row r="4505">
      <c r="A4505" s="140" t="str">
        <f>IFERROR(__xludf.DUMMYFUNCTION("""COMPUTED_VALUE"""),"es")</f>
        <v>es</v>
      </c>
      <c r="B4505">
        <f>IFERROR(__xludf.DUMMYFUNCTION("""COMPUTED_VALUE"""),1702422.0)</f>
        <v>1702422</v>
      </c>
      <c r="C4505" t="str">
        <f>IFERROR(__xludf.DUMMYFUNCTION("""COMPUTED_VALUE"""),"GOOGLE ADS (Búsquedas SEM Adwords) Marketing Digital Desde 0")</f>
        <v>GOOGLE ADS (Búsquedas SEM Adwords) Marketing Digital Desde 0</v>
      </c>
    </row>
    <row r="4506">
      <c r="A4506" s="140" t="str">
        <f>IFERROR(__xludf.DUMMYFUNCTION("""COMPUTED_VALUE"""),"en")</f>
        <v>en</v>
      </c>
      <c r="B4506">
        <f>IFERROR(__xludf.DUMMYFUNCTION("""COMPUTED_VALUE"""),909996.0)</f>
        <v>909996</v>
      </c>
      <c r="C4506" t="str">
        <f>IFERROR(__xludf.DUMMYFUNCTION("""COMPUTED_VALUE"""),"Navigate Diversity")</f>
        <v>Navigate Diversity</v>
      </c>
    </row>
    <row r="4507">
      <c r="A4507" s="140" t="str">
        <f>IFERROR(__xludf.DUMMYFUNCTION("""COMPUTED_VALUE"""),"fr")</f>
        <v>fr</v>
      </c>
      <c r="B4507">
        <f>IFERROR(__xludf.DUMMYFUNCTION("""COMPUTED_VALUE"""),2576978.0)</f>
        <v>2576978</v>
      </c>
      <c r="C4507" t="str">
        <f>IFERROR(__xludf.DUMMYFUNCTION("""COMPUTED_VALUE"""),"Excel, maîtrisez les compétences clés pour devenir expert !")</f>
        <v>Excel, maîtrisez les compétences clés pour devenir expert !</v>
      </c>
    </row>
    <row r="4508">
      <c r="A4508" s="140" t="str">
        <f>IFERROR(__xludf.DUMMYFUNCTION("""COMPUTED_VALUE"""),"ja")</f>
        <v>ja</v>
      </c>
      <c r="B4508">
        <f>IFERROR(__xludf.DUMMYFUNCTION("""COMPUTED_VALUE"""),642228.0)</f>
        <v>642228</v>
      </c>
      <c r="C4508" t="str">
        <f>IFERROR(__xludf.DUMMYFUNCTION("""COMPUTED_VALUE"""),"実践Webサイトコーディング講座　｜ HTML5とCSS3を使って、カフェのサイトやWebメディアサイトを作ってみよう")</f>
        <v>実践Webサイトコーディング講座　｜ HTML5とCSS3を使って、カフェのサイトやWebメディアサイトを作ってみよう</v>
      </c>
    </row>
    <row r="4509">
      <c r="A4509" s="140" t="str">
        <f>IFERROR(__xludf.DUMMYFUNCTION("""COMPUTED_VALUE"""),"en")</f>
        <v>en</v>
      </c>
      <c r="B4509">
        <f>IFERROR(__xludf.DUMMYFUNCTION("""COMPUTED_VALUE"""),3869200.0)</f>
        <v>3869200</v>
      </c>
      <c r="C4509" t="str">
        <f>IFERROR(__xludf.DUMMYFUNCTION("""COMPUTED_VALUE"""),"Odoo Certification Practice Test")</f>
        <v>Odoo Certification Practice Test</v>
      </c>
    </row>
    <row r="4510">
      <c r="A4510" s="140" t="str">
        <f>IFERROR(__xludf.DUMMYFUNCTION("""COMPUTED_VALUE"""),"en")</f>
        <v>en</v>
      </c>
      <c r="B4510">
        <f>IFERROR(__xludf.DUMMYFUNCTION("""COMPUTED_VALUE"""),263844.0)</f>
        <v>263844</v>
      </c>
      <c r="C4510" t="str">
        <f>IFERROR(__xludf.DUMMYFUNCTION("""COMPUTED_VALUE"""),"Become A F5 Load Balancer Admininistrator")</f>
        <v>Become A F5 Load Balancer Admininistrator</v>
      </c>
    </row>
    <row r="4511">
      <c r="A4511" s="140" t="str">
        <f>IFERROR(__xludf.DUMMYFUNCTION("""COMPUTED_VALUE"""),"en")</f>
        <v>en</v>
      </c>
      <c r="B4511">
        <f>IFERROR(__xludf.DUMMYFUNCTION("""COMPUTED_VALUE"""),4180114.0)</f>
        <v>4180114</v>
      </c>
      <c r="C4511" t="str">
        <f>IFERROR(__xludf.DUMMYFUNCTION("""COMPUTED_VALUE"""),"3 Minute French - Course 11 | Language lessons for beginners")</f>
        <v>3 Minute French - Course 11 | Language lessons for beginners</v>
      </c>
    </row>
    <row r="4512">
      <c r="A4512" s="140" t="str">
        <f>IFERROR(__xludf.DUMMYFUNCTION("""COMPUTED_VALUE"""),"de")</f>
        <v>de</v>
      </c>
      <c r="B4512">
        <f>IFERROR(__xludf.DUMMYFUNCTION("""COMPUTED_VALUE"""),2658782.0)</f>
        <v>2658782</v>
      </c>
      <c r="C4512" t="str">
        <f>IFERROR(__xludf.DUMMYFUNCTION("""COMPUTED_VALUE"""),"Sketchnotes für Anfänger und Fortgeschrittene")</f>
        <v>Sketchnotes für Anfänger und Fortgeschrittene</v>
      </c>
    </row>
    <row r="4513">
      <c r="A4513" s="140" t="str">
        <f>IFERROR(__xludf.DUMMYFUNCTION("""COMPUTED_VALUE"""),"en")</f>
        <v>en</v>
      </c>
      <c r="B4513">
        <f>IFERROR(__xludf.DUMMYFUNCTION("""COMPUTED_VALUE"""),3509652.0)</f>
        <v>3509652</v>
      </c>
      <c r="C4513" t="str">
        <f>IFERROR(__xludf.DUMMYFUNCTION("""COMPUTED_VALUE"""),"Mule 4: Design API with RAML 1.0")</f>
        <v>Mule 4: Design API with RAML 1.0</v>
      </c>
    </row>
    <row r="4514">
      <c r="A4514" s="140" t="str">
        <f>IFERROR(__xludf.DUMMYFUNCTION("""COMPUTED_VALUE"""),"en")</f>
        <v>en</v>
      </c>
      <c r="B4514">
        <f>IFERROR(__xludf.DUMMYFUNCTION("""COMPUTED_VALUE"""),828042.0)</f>
        <v>828042</v>
      </c>
      <c r="C4514" t="str">
        <f>IFERROR(__xludf.DUMMYFUNCTION("""COMPUTED_VALUE"""),"SAP - Learn SAPUI5 Professional Development")</f>
        <v>SAP - Learn SAPUI5 Professional Development</v>
      </c>
    </row>
    <row r="4515">
      <c r="A4515" s="140" t="str">
        <f>IFERROR(__xludf.DUMMYFUNCTION("""COMPUTED_VALUE"""),"ja")</f>
        <v>ja</v>
      </c>
      <c r="B4515">
        <f>IFERROR(__xludf.DUMMYFUNCTION("""COMPUTED_VALUE"""),3787398.0)</f>
        <v>3787398</v>
      </c>
      <c r="C4515" t="str">
        <f>IFERROR(__xludf.DUMMYFUNCTION("""COMPUTED_VALUE"""),"【世界で1.5万人が受講！】初心者のためのデザイン思考 ～ 革新的なアイディアを生み出そう")</f>
        <v>【世界で1.5万人が受講！】初心者のためのデザイン思考 ～ 革新的なアイディアを生み出そう</v>
      </c>
    </row>
    <row r="4516">
      <c r="A4516" s="140" t="str">
        <f>IFERROR(__xludf.DUMMYFUNCTION("""COMPUTED_VALUE"""),"en")</f>
        <v>en</v>
      </c>
      <c r="B4516">
        <f>IFERROR(__xludf.DUMMYFUNCTION("""COMPUTED_VALUE"""),2010926.0)</f>
        <v>2010926</v>
      </c>
      <c r="C4516" t="str">
        <f>IFERROR(__xludf.DUMMYFUNCTION("""COMPUTED_VALUE"""),"Game Development/Art - Create a 2D Action Game with Unity/C#")</f>
        <v>Game Development/Art - Create a 2D Action Game with Unity/C#</v>
      </c>
    </row>
    <row r="4517">
      <c r="A4517" s="140" t="str">
        <f>IFERROR(__xludf.DUMMYFUNCTION("""COMPUTED_VALUE"""),"en")</f>
        <v>en</v>
      </c>
      <c r="B4517">
        <f>IFERROR(__xludf.DUMMYFUNCTION("""COMPUTED_VALUE"""),3513716.0)</f>
        <v>3513716</v>
      </c>
      <c r="C4517" t="str">
        <f>IFERROR(__xludf.DUMMYFUNCTION("""COMPUTED_VALUE"""),"StackStorm for Beginners to Develop Actions and Workflows")</f>
        <v>StackStorm for Beginners to Develop Actions and Workflows</v>
      </c>
    </row>
    <row r="4518">
      <c r="A4518" s="140" t="str">
        <f>IFERROR(__xludf.DUMMYFUNCTION("""COMPUTED_VALUE"""),"en")</f>
        <v>en</v>
      </c>
      <c r="B4518">
        <f>IFERROR(__xludf.DUMMYFUNCTION("""COMPUTED_VALUE"""),2988404.0)</f>
        <v>2988404</v>
      </c>
      <c r="C4518" t="str">
        <f>IFERROR(__xludf.DUMMYFUNCTION("""COMPUTED_VALUE"""),"Mastering SmartBear TestComplete")</f>
        <v>Mastering SmartBear TestComplete</v>
      </c>
    </row>
    <row r="4519">
      <c r="A4519" s="140" t="str">
        <f>IFERROR(__xludf.DUMMYFUNCTION("""COMPUTED_VALUE"""),"pt")</f>
        <v>pt</v>
      </c>
      <c r="B4519">
        <f>IFERROR(__xludf.DUMMYFUNCTION("""COMPUTED_VALUE"""),1070302.0)</f>
        <v>1070302</v>
      </c>
      <c r="C4519" t="str">
        <f>IFERROR(__xludf.DUMMYFUNCTION("""COMPUTED_VALUE"""),"Estatística I (para leigos): aprenda fácil e rápido!")</f>
        <v>Estatística I (para leigos): aprenda fácil e rápido!</v>
      </c>
    </row>
    <row r="4520">
      <c r="A4520" s="140" t="str">
        <f>IFERROR(__xludf.DUMMYFUNCTION("""COMPUTED_VALUE"""),"es")</f>
        <v>es</v>
      </c>
      <c r="B4520">
        <f>IFERROR(__xludf.DUMMYFUNCTION("""COMPUTED_VALUE"""),1852950.0)</f>
        <v>1852950</v>
      </c>
      <c r="C4520" t="str">
        <f>IFERROR(__xludf.DUMMYFUNCTION("""COMPUTED_VALUE"""),"Gestión de Proyectos | Certificación en Gestión de Proyectos")</f>
        <v>Gestión de Proyectos | Certificación en Gestión de Proyectos</v>
      </c>
    </row>
    <row r="4521">
      <c r="A4521" s="140" t="str">
        <f>IFERROR(__xludf.DUMMYFUNCTION("""COMPUTED_VALUE"""),"es")</f>
        <v>es</v>
      </c>
      <c r="B4521">
        <f>IFERROR(__xludf.DUMMYFUNCTION("""COMPUTED_VALUE"""),3787038.0)</f>
        <v>3787038</v>
      </c>
      <c r="C4521" t="str">
        <f>IFERROR(__xludf.DUMMYFUNCTION("""COMPUTED_VALUE"""),"Typescript: De Cero a Experto 2021")</f>
        <v>Typescript: De Cero a Experto 2021</v>
      </c>
    </row>
    <row r="4522">
      <c r="A4522" s="140" t="str">
        <f>IFERROR(__xludf.DUMMYFUNCTION("""COMPUTED_VALUE"""),"es")</f>
        <v>es</v>
      </c>
      <c r="B4522">
        <f>IFERROR(__xludf.DUMMYFUNCTION("""COMPUTED_VALUE"""),1549446.0)</f>
        <v>1549446</v>
      </c>
      <c r="C4522" t="str">
        <f>IFERROR(__xludf.DUMMYFUNCTION("""COMPUTED_VALUE"""),"Curso de GNU/Linux con CentOS y Debian (II - Servicio SSH)")</f>
        <v>Curso de GNU/Linux con CentOS y Debian (II - Servicio SSH)</v>
      </c>
    </row>
    <row r="4523">
      <c r="A4523" s="140" t="str">
        <f>IFERROR(__xludf.DUMMYFUNCTION("""COMPUTED_VALUE"""),"es")</f>
        <v>es</v>
      </c>
      <c r="B4523">
        <f>IFERROR(__xludf.DUMMYFUNCTION("""COMPUTED_VALUE"""),3350362.0)</f>
        <v>3350362</v>
      </c>
      <c r="C4523" t="str">
        <f>IFERROR(__xludf.DUMMYFUNCTION("""COMPUTED_VALUE"""),"Especialista en ortografía y redacción general")</f>
        <v>Especialista en ortografía y redacción general</v>
      </c>
    </row>
    <row r="4524">
      <c r="A4524" s="140" t="str">
        <f>IFERROR(__xludf.DUMMYFUNCTION("""COMPUTED_VALUE"""),"en")</f>
        <v>en</v>
      </c>
      <c r="B4524">
        <f>IFERROR(__xludf.DUMMYFUNCTION("""COMPUTED_VALUE"""),1423592.0)</f>
        <v>1423592</v>
      </c>
      <c r="C4524" t="str">
        <f>IFERROR(__xludf.DUMMYFUNCTION("""COMPUTED_VALUE"""),"Cook Real Food: How to Make Simple Plant-Based Meals")</f>
        <v>Cook Real Food: How to Make Simple Plant-Based Meals</v>
      </c>
    </row>
    <row r="4525">
      <c r="A4525" s="140" t="str">
        <f>IFERROR(__xludf.DUMMYFUNCTION("""COMPUTED_VALUE"""),"en")</f>
        <v>en</v>
      </c>
      <c r="B4525">
        <f>IFERROR(__xludf.DUMMYFUNCTION("""COMPUTED_VALUE"""),2504994.0)</f>
        <v>2504994</v>
      </c>
      <c r="C4525" t="str">
        <f>IFERROR(__xludf.DUMMYFUNCTION("""COMPUTED_VALUE"""),"Introduction to Contract Management")</f>
        <v>Introduction to Contract Management</v>
      </c>
    </row>
    <row r="4526">
      <c r="A4526" s="140" t="str">
        <f>IFERROR(__xludf.DUMMYFUNCTION("""COMPUTED_VALUE"""),"en")</f>
        <v>en</v>
      </c>
      <c r="B4526">
        <f>IFERROR(__xludf.DUMMYFUNCTION("""COMPUTED_VALUE"""),1626812.0)</f>
        <v>1626812</v>
      </c>
      <c r="C4526" t="str">
        <f>IFERROR(__xludf.DUMMYFUNCTION("""COMPUTED_VALUE"""),"Intermediate iOS - Complex and Advanced iPhone Apps")</f>
        <v>Intermediate iOS - Complex and Advanced iPhone Apps</v>
      </c>
    </row>
    <row r="4527">
      <c r="A4527" s="140" t="str">
        <f>IFERROR(__xludf.DUMMYFUNCTION("""COMPUTED_VALUE"""),"es")</f>
        <v>es</v>
      </c>
      <c r="B4527">
        <f>IFERROR(__xludf.DUMMYFUNCTION("""COMPUTED_VALUE"""),1861116.0)</f>
        <v>1861116</v>
      </c>
      <c r="C4527" t="str">
        <f>IFERROR(__xludf.DUMMYFUNCTION("""COMPUTED_VALUE"""),"Estadística para todos. Análisis de datos y Toma de decisión")</f>
        <v>Estadística para todos. Análisis de datos y Toma de decisión</v>
      </c>
    </row>
    <row r="4528">
      <c r="A4528" s="140" t="str">
        <f>IFERROR(__xludf.DUMMYFUNCTION("""COMPUTED_VALUE"""),"en")</f>
        <v>en</v>
      </c>
      <c r="B4528">
        <f>IFERROR(__xludf.DUMMYFUNCTION("""COMPUTED_VALUE"""),2017348.0)</f>
        <v>2017348</v>
      </c>
      <c r="C4528" t="str">
        <f>IFERROR(__xludf.DUMMYFUNCTION("""COMPUTED_VALUE"""),"System C Project - Write a Garbage Collector from Scratch")</f>
        <v>System C Project - Write a Garbage Collector from Scratch</v>
      </c>
    </row>
    <row r="4529">
      <c r="A4529" s="140" t="str">
        <f>IFERROR(__xludf.DUMMYFUNCTION("""COMPUTED_VALUE"""),"en")</f>
        <v>en</v>
      </c>
      <c r="B4529">
        <f>IFERROR(__xludf.DUMMYFUNCTION("""COMPUTED_VALUE"""),3321604.0)</f>
        <v>3321604</v>
      </c>
      <c r="C4529" t="str">
        <f>IFERROR(__xludf.DUMMYFUNCTION("""COMPUTED_VALUE"""),"The DevOps Essentials -  The Handbook")</f>
        <v>The DevOps Essentials -  The Handbook</v>
      </c>
    </row>
    <row r="4530">
      <c r="A4530" s="140" t="str">
        <f>IFERROR(__xludf.DUMMYFUNCTION("""COMPUTED_VALUE"""),"pt")</f>
        <v>pt</v>
      </c>
      <c r="B4530">
        <f>IFERROR(__xludf.DUMMYFUNCTION("""COMPUTED_VALUE"""),3350650.0)</f>
        <v>3350650</v>
      </c>
      <c r="C4530" t="str">
        <f>IFERROR(__xludf.DUMMYFUNCTION("""COMPUTED_VALUE"""),"PDCA na prática: Aprenda com exemplos focados em resultados")</f>
        <v>PDCA na prática: Aprenda com exemplos focados em resultados</v>
      </c>
    </row>
    <row r="4531">
      <c r="A4531" s="140" t="str">
        <f>IFERROR(__xludf.DUMMYFUNCTION("""COMPUTED_VALUE"""),"pt")</f>
        <v>pt</v>
      </c>
      <c r="B4531">
        <f>IFERROR(__xludf.DUMMYFUNCTION("""COMPUTED_VALUE"""),2440708.0)</f>
        <v>2440708</v>
      </c>
      <c r="C4531" t="str">
        <f>IFERROR(__xludf.DUMMYFUNCTION("""COMPUTED_VALUE"""),"Microsoft Azure: Do Zero a Certificação 2021 + 3 CURSOS")</f>
        <v>Microsoft Azure: Do Zero a Certificação 2021 + 3 CURSOS</v>
      </c>
    </row>
    <row r="4532">
      <c r="A4532" s="140" t="str">
        <f>IFERROR(__xludf.DUMMYFUNCTION("""COMPUTED_VALUE"""),"en")</f>
        <v>en</v>
      </c>
      <c r="B4532">
        <f>IFERROR(__xludf.DUMMYFUNCTION("""COMPUTED_VALUE"""),116226.0)</f>
        <v>116226</v>
      </c>
      <c r="C4532" t="str">
        <f>IFERROR(__xludf.DUMMYFUNCTION("""COMPUTED_VALUE"""),"ESL English: Understand Real English Conversation, Beginning")</f>
        <v>ESL English: Understand Real English Conversation, Beginning</v>
      </c>
    </row>
    <row r="4533">
      <c r="A4533" s="140" t="str">
        <f>IFERROR(__xludf.DUMMYFUNCTION("""COMPUTED_VALUE"""),"de")</f>
        <v>de</v>
      </c>
      <c r="B4533">
        <f>IFERROR(__xludf.DUMMYFUNCTION("""COMPUTED_VALUE"""),1094318.0)</f>
        <v>1094318</v>
      </c>
      <c r="C4533" t="str">
        <f>IFERROR(__xludf.DUMMYFUNCTION("""COMPUTED_VALUE"""),"Excel Makros - Automatisiere Deine Excel Arbeit!")</f>
        <v>Excel Makros - Automatisiere Deine Excel Arbeit!</v>
      </c>
    </row>
    <row r="4534">
      <c r="A4534" s="140" t="str">
        <f>IFERROR(__xludf.DUMMYFUNCTION("""COMPUTED_VALUE"""),"en")</f>
        <v>en</v>
      </c>
      <c r="B4534">
        <f>IFERROR(__xludf.DUMMYFUNCTION("""COMPUTED_VALUE"""),3878780.0)</f>
        <v>3878780</v>
      </c>
      <c r="C4534" t="str">
        <f>IFERROR(__xludf.DUMMYFUNCTION("""COMPUTED_VALUE"""),"Game Theory Algorithms in Competitive Programming (2021)")</f>
        <v>Game Theory Algorithms in Competitive Programming (2021)</v>
      </c>
    </row>
    <row r="4535">
      <c r="A4535" s="140" t="str">
        <f>IFERROR(__xludf.DUMMYFUNCTION("""COMPUTED_VALUE"""),"en")</f>
        <v>en</v>
      </c>
      <c r="B4535">
        <f>IFERROR(__xludf.DUMMYFUNCTION("""COMPUTED_VALUE"""),2558142.0)</f>
        <v>2558142</v>
      </c>
      <c r="C4535" t="str">
        <f>IFERROR(__xludf.DUMMYFUNCTION("""COMPUTED_VALUE"""),"AWS Certified Machine Learning Specialty Full Practice Exam")</f>
        <v>AWS Certified Machine Learning Specialty Full Practice Exam</v>
      </c>
    </row>
    <row r="4536">
      <c r="A4536" s="140" t="str">
        <f>IFERROR(__xludf.DUMMYFUNCTION("""COMPUTED_VALUE"""),"tr")</f>
        <v>tr</v>
      </c>
      <c r="B4536">
        <f>IFERROR(__xludf.DUMMYFUNCTION("""COMPUTED_VALUE"""),2523338.0)</f>
        <v>2523338</v>
      </c>
      <c r="C4536" t="str">
        <f>IFERROR(__xludf.DUMMYFUNCTION("""COMPUTED_VALUE"""),"ADOBE PREMIERE PRO CC TEMEL ARAÇ VE TEKNİKLERİ")</f>
        <v>ADOBE PREMIERE PRO CC TEMEL ARAÇ VE TEKNİKLERİ</v>
      </c>
    </row>
    <row r="4537">
      <c r="A4537" s="140" t="str">
        <f>IFERROR(__xludf.DUMMYFUNCTION("""COMPUTED_VALUE"""),"en")</f>
        <v>en</v>
      </c>
      <c r="B4537">
        <f>IFERROR(__xludf.DUMMYFUNCTION("""COMPUTED_VALUE"""),1107900.0)</f>
        <v>1107900</v>
      </c>
      <c r="C4537" t="str">
        <f>IFERROR(__xludf.DUMMYFUNCTION("""COMPUTED_VALUE"""),"360 useful English phrases for business meetings")</f>
        <v>360 useful English phrases for business meetings</v>
      </c>
    </row>
    <row r="4538">
      <c r="A4538" s="140" t="str">
        <f>IFERROR(__xludf.DUMMYFUNCTION("""COMPUTED_VALUE"""),"pt")</f>
        <v>pt</v>
      </c>
      <c r="B4538">
        <f>IFERROR(__xludf.DUMMYFUNCTION("""COMPUTED_VALUE"""),1277248.0)</f>
        <v>1277248</v>
      </c>
      <c r="C4538" t="str">
        <f>IFERROR(__xludf.DUMMYFUNCTION("""COMPUTED_VALUE"""),"Desenvolvimento Android - Crie 13 apps completos e modernos")</f>
        <v>Desenvolvimento Android - Crie 13 apps completos e modernos</v>
      </c>
    </row>
    <row r="4539">
      <c r="A4539" s="140" t="str">
        <f>IFERROR(__xludf.DUMMYFUNCTION("""COMPUTED_VALUE"""),"es")</f>
        <v>es</v>
      </c>
      <c r="B4539">
        <f>IFERROR(__xludf.DUMMYFUNCTION("""COMPUTED_VALUE"""),2479282.0)</f>
        <v>2479282</v>
      </c>
      <c r="C4539" t="str">
        <f>IFERROR(__xludf.DUMMYFUNCTION("""COMPUTED_VALUE"""),"Programación Reactiva con Spring Boot 2 y Spring WebFlux")</f>
        <v>Programación Reactiva con Spring Boot 2 y Spring WebFlux</v>
      </c>
    </row>
    <row r="4540">
      <c r="A4540" s="140" t="str">
        <f>IFERROR(__xludf.DUMMYFUNCTION("""COMPUTED_VALUE"""),"en")</f>
        <v>en</v>
      </c>
      <c r="B4540">
        <f>IFERROR(__xludf.DUMMYFUNCTION("""COMPUTED_VALUE"""),482754.0)</f>
        <v>482754</v>
      </c>
      <c r="C4540" t="str">
        <f>IFERROR(__xludf.DUMMYFUNCTION("""COMPUTED_VALUE"""),"Python From Scratch &amp; Selenium WebDriver From Scratch 2021")</f>
        <v>Python From Scratch &amp; Selenium WebDriver From Scratch 2021</v>
      </c>
    </row>
    <row r="4541">
      <c r="A4541" s="140" t="str">
        <f>IFERROR(__xludf.DUMMYFUNCTION("""COMPUTED_VALUE"""),"en")</f>
        <v>en</v>
      </c>
      <c r="B4541">
        <f>IFERROR(__xludf.DUMMYFUNCTION("""COMPUTED_VALUE"""),1175526.0)</f>
        <v>1175526</v>
      </c>
      <c r="C4541" t="str">
        <f>IFERROR(__xludf.DUMMYFUNCTION("""COMPUTED_VALUE"""),"Facebook Ads Profit Bootcamp: Covert Ads into Sales!")</f>
        <v>Facebook Ads Profit Bootcamp: Covert Ads into Sales!</v>
      </c>
    </row>
    <row r="4542">
      <c r="A4542" s="140" t="str">
        <f>IFERROR(__xludf.DUMMYFUNCTION("""COMPUTED_VALUE"""),"en")</f>
        <v>en</v>
      </c>
      <c r="B4542">
        <f>IFERROR(__xludf.DUMMYFUNCTION("""COMPUTED_VALUE"""),1771952.0)</f>
        <v>1771952</v>
      </c>
      <c r="C4542" t="str">
        <f>IFERROR(__xludf.DUMMYFUNCTION("""COMPUTED_VALUE"""),"DaVinci Resolve 2021 - The Complete Video Editing Course")</f>
        <v>DaVinci Resolve 2021 - The Complete Video Editing Course</v>
      </c>
    </row>
    <row r="4543">
      <c r="A4543" s="140" t="str">
        <f>IFERROR(__xludf.DUMMYFUNCTION("""COMPUTED_VALUE"""),"ar")</f>
        <v>ar</v>
      </c>
      <c r="B4543">
        <f>IFERROR(__xludf.DUMMYFUNCTION("""COMPUTED_VALUE"""),2610408.0)</f>
        <v>2610408</v>
      </c>
      <c r="C4543" t="str">
        <f>IFERROR(__xludf.DUMMYFUNCTION("""COMPUTED_VALUE"""),"Adobe After Effects CC 2020 : دليلك الكامل من الصفر للإحتراف")</f>
        <v>Adobe After Effects CC 2020 : دليلك الكامل من الصفر للإحتراف</v>
      </c>
    </row>
    <row r="4544">
      <c r="A4544" s="140" t="str">
        <f>IFERROR(__xludf.DUMMYFUNCTION("""COMPUTED_VALUE"""),"en")</f>
        <v>en</v>
      </c>
      <c r="B4544">
        <f>IFERROR(__xludf.DUMMYFUNCTION("""COMPUTED_VALUE"""),2151662.0)</f>
        <v>2151662</v>
      </c>
      <c r="C4544" t="str">
        <f>IFERROR(__xludf.DUMMYFUNCTION("""COMPUTED_VALUE"""),"The Art of the Portrait - Drawing For Beginners")</f>
        <v>The Art of the Portrait - Drawing For Beginners</v>
      </c>
    </row>
    <row r="4545">
      <c r="A4545" s="140" t="str">
        <f>IFERROR(__xludf.DUMMYFUNCTION("""COMPUTED_VALUE"""),"fr")</f>
        <v>fr</v>
      </c>
      <c r="B4545">
        <f>IFERROR(__xludf.DUMMYFUNCTION("""COMPUTED_VALUE"""),527688.0)</f>
        <v>527688</v>
      </c>
      <c r="C4545" t="str">
        <f>IFERROR(__xludf.DUMMYFUNCTION("""COMPUTED_VALUE"""),"Parler en public : jouez votre rôle avec talent")</f>
        <v>Parler en public : jouez votre rôle avec talent</v>
      </c>
    </row>
    <row r="4546">
      <c r="A4546" s="140" t="str">
        <f>IFERROR(__xludf.DUMMYFUNCTION("""COMPUTED_VALUE"""),"en")</f>
        <v>en</v>
      </c>
      <c r="B4546">
        <f>IFERROR(__xludf.DUMMYFUNCTION("""COMPUTED_VALUE"""),1348924.0)</f>
        <v>1348924</v>
      </c>
      <c r="C4546" t="str">
        <f>IFERROR(__xludf.DUMMYFUNCTION("""COMPUTED_VALUE"""),"CISSP Certification: CISSP Domain 1 &amp; 2 Boot Camp UPDATED 22")</f>
        <v>CISSP Certification: CISSP Domain 1 &amp; 2 Boot Camp UPDATED 22</v>
      </c>
    </row>
    <row r="4547">
      <c r="A4547" s="140" t="str">
        <f>IFERROR(__xludf.DUMMYFUNCTION("""COMPUTED_VALUE"""),"en")</f>
        <v>en</v>
      </c>
      <c r="B4547">
        <f>IFERROR(__xludf.DUMMYFUNCTION("""COMPUTED_VALUE"""),2670026.0)</f>
        <v>2670026</v>
      </c>
      <c r="C4547" t="str">
        <f>IFERROR(__xludf.DUMMYFUNCTION("""COMPUTED_VALUE"""),"AZ-301/304 Azure Architect Design Practice Test")</f>
        <v>AZ-301/304 Azure Architect Design Practice Test</v>
      </c>
    </row>
    <row r="4548">
      <c r="A4548" s="140" t="str">
        <f>IFERROR(__xludf.DUMMYFUNCTION("""COMPUTED_VALUE"""),"en")</f>
        <v>en</v>
      </c>
      <c r="B4548">
        <f>IFERROR(__xludf.DUMMYFUNCTION("""COMPUTED_VALUE"""),1693826.0)</f>
        <v>1693826</v>
      </c>
      <c r="C4548" t="str">
        <f>IFERROR(__xludf.DUMMYFUNCTION("""COMPUTED_VALUE"""),"CSS Bootcamp - Master CSS (CSS Grid / CSS Flexbox)")</f>
        <v>CSS Bootcamp - Master CSS (CSS Grid / CSS Flexbox)</v>
      </c>
    </row>
    <row r="4549">
      <c r="A4549" s="140" t="str">
        <f>IFERROR(__xludf.DUMMYFUNCTION("""COMPUTED_VALUE"""),"en")</f>
        <v>en</v>
      </c>
      <c r="B4549">
        <f>IFERROR(__xludf.DUMMYFUNCTION("""COMPUTED_VALUE"""),722190.0)</f>
        <v>722190</v>
      </c>
      <c r="C4549" t="str">
        <f>IFERROR(__xludf.DUMMYFUNCTION("""COMPUTED_VALUE"""),"ESD - An Analog Design Viewpoint")</f>
        <v>ESD - An Analog Design Viewpoint</v>
      </c>
    </row>
    <row r="4550">
      <c r="A4550" s="140" t="str">
        <f>IFERROR(__xludf.DUMMYFUNCTION("""COMPUTED_VALUE"""),"en")</f>
        <v>en</v>
      </c>
      <c r="B4550">
        <f>IFERROR(__xludf.DUMMYFUNCTION("""COMPUTED_VALUE"""),1691532.0)</f>
        <v>1691532</v>
      </c>
      <c r="C4550" t="str">
        <f>IFERROR(__xludf.DUMMYFUNCTION("""COMPUTED_VALUE"""),"AWS Lambda &amp; Serverless Architecture Bootcamp (Build 5 Apps)")</f>
        <v>AWS Lambda &amp; Serverless Architecture Bootcamp (Build 5 Apps)</v>
      </c>
    </row>
    <row r="4551">
      <c r="A4551" s="140" t="str">
        <f>IFERROR(__xludf.DUMMYFUNCTION("""COMPUTED_VALUE"""),"en")</f>
        <v>en</v>
      </c>
      <c r="B4551">
        <f>IFERROR(__xludf.DUMMYFUNCTION("""COMPUTED_VALUE"""),1241098.0)</f>
        <v>1241098</v>
      </c>
      <c r="C4551" t="str">
        <f>IFERROR(__xludf.DUMMYFUNCTION("""COMPUTED_VALUE"""),"AWS Lambda and the Serverless Framework - Hands On Learning!")</f>
        <v>AWS Lambda and the Serverless Framework - Hands On Learning!</v>
      </c>
    </row>
    <row r="4552">
      <c r="A4552" s="140" t="str">
        <f>IFERROR(__xludf.DUMMYFUNCTION("""COMPUTED_VALUE"""),"pt")</f>
        <v>pt</v>
      </c>
      <c r="B4552">
        <f>IFERROR(__xludf.DUMMYFUNCTION("""COMPUTED_VALUE"""),2718700.0)</f>
        <v>2718700</v>
      </c>
      <c r="C4552" t="str">
        <f>IFERROR(__xludf.DUMMYFUNCTION("""COMPUTED_VALUE"""),"Master Database Developer - T-SQL de A à Z")</f>
        <v>Master Database Developer - T-SQL de A à Z</v>
      </c>
    </row>
    <row r="4553">
      <c r="A4553" s="140" t="str">
        <f>IFERROR(__xludf.DUMMYFUNCTION("""COMPUTED_VALUE"""),"fr")</f>
        <v>fr</v>
      </c>
      <c r="B4553">
        <f>IFERROR(__xludf.DUMMYFUNCTION("""COMPUTED_VALUE"""),2587198.0)</f>
        <v>2587198</v>
      </c>
      <c r="C4553" t="str">
        <f>IFERROR(__xludf.DUMMYFUNCTION("""COMPUTED_VALUE"""),"Méditation et mindfulness le guide complet")</f>
        <v>Méditation et mindfulness le guide complet</v>
      </c>
    </row>
    <row r="4554">
      <c r="A4554" s="140" t="str">
        <f>IFERROR(__xludf.DUMMYFUNCTION("""COMPUTED_VALUE"""),"de")</f>
        <v>de</v>
      </c>
      <c r="B4554">
        <f>IFERROR(__xludf.DUMMYFUNCTION("""COMPUTED_VALUE"""),2003574.0)</f>
        <v>2003574</v>
      </c>
      <c r="C4554" t="str">
        <f>IFERROR(__xludf.DUMMYFUNCTION("""COMPUTED_VALUE"""),"SAP Anwenderzertifizierung Finanzwesen Buchhaltung Teil 1")</f>
        <v>SAP Anwenderzertifizierung Finanzwesen Buchhaltung Teil 1</v>
      </c>
    </row>
    <row r="4555">
      <c r="A4555" s="140" t="str">
        <f>IFERROR(__xludf.DUMMYFUNCTION("""COMPUTED_VALUE"""),"de")</f>
        <v>de</v>
      </c>
      <c r="B4555">
        <f>IFERROR(__xludf.DUMMYFUNCTION("""COMPUTED_VALUE"""),1182864.0)</f>
        <v>1182864</v>
      </c>
      <c r="C4555" t="str">
        <f>IFERROR(__xludf.DUMMYFUNCTION("""COMPUTED_VALUE"""),"Instagram Marketing - Die perfekte Werbung auf Instagram")</f>
        <v>Instagram Marketing - Die perfekte Werbung auf Instagram</v>
      </c>
    </row>
    <row r="4556">
      <c r="A4556" s="140" t="str">
        <f>IFERROR(__xludf.DUMMYFUNCTION("""COMPUTED_VALUE"""),"zh")</f>
        <v>zh</v>
      </c>
      <c r="B4556">
        <f>IFERROR(__xludf.DUMMYFUNCTION("""COMPUTED_VALUE"""),2359570.0)</f>
        <v>2359570</v>
      </c>
      <c r="C4556" t="str">
        <f>IFERROR(__xludf.DUMMYFUNCTION("""COMPUTED_VALUE"""),"Deep Learning A-Z™：人工神经网络实践")</f>
        <v>Deep Learning A-Z™：人工神经网络实践</v>
      </c>
    </row>
    <row r="4557">
      <c r="A4557" s="140" t="str">
        <f>IFERROR(__xludf.DUMMYFUNCTION("""COMPUTED_VALUE"""),"en")</f>
        <v>en</v>
      </c>
      <c r="B4557">
        <f>IFERROR(__xludf.DUMMYFUNCTION("""COMPUTED_VALUE"""),2097582.0)</f>
        <v>2097582</v>
      </c>
      <c r="C4557" t="str">
        <f>IFERROR(__xludf.DUMMYFUNCTION("""COMPUTED_VALUE"""),"Qt 5 Core Intermediate with C++")</f>
        <v>Qt 5 Core Intermediate with C++</v>
      </c>
    </row>
    <row r="4558">
      <c r="A4558" s="140" t="str">
        <f>IFERROR(__xludf.DUMMYFUNCTION("""COMPUTED_VALUE"""),"ar")</f>
        <v>ar</v>
      </c>
      <c r="B4558">
        <f>IFERROR(__xludf.DUMMYFUNCTION("""COMPUTED_VALUE"""),2618702.0)</f>
        <v>2618702</v>
      </c>
      <c r="C4558" t="str">
        <f>IFERROR(__xludf.DUMMYFUNCTION("""COMPUTED_VALUE"""),"Promotion Mix كيف تروج لشركتك؟ الترويج والاتصالات التسويقية")</f>
        <v>Promotion Mix كيف تروج لشركتك؟ الترويج والاتصالات التسويقية</v>
      </c>
    </row>
    <row r="4559">
      <c r="A4559" s="140" t="str">
        <f>IFERROR(__xludf.DUMMYFUNCTION("""COMPUTED_VALUE"""),"pt")</f>
        <v>pt</v>
      </c>
      <c r="B4559">
        <f>IFERROR(__xludf.DUMMYFUNCTION("""COMPUTED_VALUE"""),1131438.0)</f>
        <v>1131438</v>
      </c>
      <c r="C4559" t="str">
        <f>IFERROR(__xludf.DUMMYFUNCTION("""COMPUTED_VALUE"""),"Curso de CodeIgniter: Desenvolva para web de forma Ágil")</f>
        <v>Curso de CodeIgniter: Desenvolva para web de forma Ágil</v>
      </c>
    </row>
    <row r="4560">
      <c r="A4560" s="140" t="str">
        <f>IFERROR(__xludf.DUMMYFUNCTION("""COMPUTED_VALUE"""),"en")</f>
        <v>en</v>
      </c>
      <c r="B4560">
        <f>IFERROR(__xludf.DUMMYFUNCTION("""COMPUTED_VALUE"""),2337220.0)</f>
        <v>2337220</v>
      </c>
      <c r="C4560" t="str">
        <f>IFERROR(__xludf.DUMMYFUNCTION("""COMPUTED_VALUE"""),"Learn Complete Python In Simple Way")</f>
        <v>Learn Complete Python In Simple Way</v>
      </c>
    </row>
    <row r="4561">
      <c r="A4561" s="140" t="str">
        <f>IFERROR(__xludf.DUMMYFUNCTION("""COMPUTED_VALUE"""),"tr")</f>
        <v>tr</v>
      </c>
      <c r="B4561">
        <f>IFERROR(__xludf.DUMMYFUNCTION("""COMPUTED_VALUE"""),3043952.0)</f>
        <v>3043952</v>
      </c>
      <c r="C4561" t="str">
        <f>IFERROR(__xludf.DUMMYFUNCTION("""COMPUTED_VALUE"""),"Sıfırdan İleri Seviyeye İngilizce Kursu ve Konuşma Eğitimi")</f>
        <v>Sıfırdan İleri Seviyeye İngilizce Kursu ve Konuşma Eğitimi</v>
      </c>
    </row>
    <row r="4562">
      <c r="A4562" s="140" t="str">
        <f>IFERROR(__xludf.DUMMYFUNCTION("""COMPUTED_VALUE"""),"pt")</f>
        <v>pt</v>
      </c>
      <c r="B4562">
        <f>IFERROR(__xludf.DUMMYFUNCTION("""COMPUTED_VALUE"""),2055651.0)</f>
        <v>2055651</v>
      </c>
      <c r="C4562" t="str">
        <f>IFERROR(__xludf.DUMMYFUNCTION("""COMPUTED_VALUE"""),"Scrum para Grandes Times: Scaled Agile - Escalando o Scrum")</f>
        <v>Scrum para Grandes Times: Scaled Agile - Escalando o Scrum</v>
      </c>
    </row>
    <row r="4563">
      <c r="A4563" s="140" t="str">
        <f>IFERROR(__xludf.DUMMYFUNCTION("""COMPUTED_VALUE"""),"tr")</f>
        <v>tr</v>
      </c>
      <c r="B4563">
        <f>IFERROR(__xludf.DUMMYFUNCTION("""COMPUTED_VALUE"""),3528502.0)</f>
        <v>3528502</v>
      </c>
      <c r="C4563" t="str">
        <f>IFERROR(__xludf.DUMMYFUNCTION("""COMPUTED_VALUE"""),"Raspberry Pİ ile Ethical Hacking Öğrenin")</f>
        <v>Raspberry Pİ ile Ethical Hacking Öğrenin</v>
      </c>
    </row>
    <row r="4564">
      <c r="A4564" s="140" t="str">
        <f>IFERROR(__xludf.DUMMYFUNCTION("""COMPUTED_VALUE"""),"en")</f>
        <v>en</v>
      </c>
      <c r="B4564">
        <f>IFERROR(__xludf.DUMMYFUNCTION("""COMPUTED_VALUE"""),1822080.0)</f>
        <v>1822080</v>
      </c>
      <c r="C4564" t="str">
        <f>IFERROR(__xludf.DUMMYFUNCTION("""COMPUTED_VALUE"""),"SAP Customer Service (CS/SM) - Service Management module")</f>
        <v>SAP Customer Service (CS/SM) - Service Management module</v>
      </c>
    </row>
    <row r="4565">
      <c r="A4565" s="140" t="str">
        <f>IFERROR(__xludf.DUMMYFUNCTION("""COMPUTED_VALUE"""),"en")</f>
        <v>en</v>
      </c>
      <c r="B4565">
        <f>IFERROR(__xludf.DUMMYFUNCTION("""COMPUTED_VALUE"""),802366.0)</f>
        <v>802366</v>
      </c>
      <c r="C4565" t="str">
        <f>IFERROR(__xludf.DUMMYFUNCTION("""COMPUTED_VALUE"""),"REST API Design, Development &amp; Management")</f>
        <v>REST API Design, Development &amp; Management</v>
      </c>
    </row>
    <row r="4566">
      <c r="A4566" s="140" t="str">
        <f>IFERROR(__xludf.DUMMYFUNCTION("""COMPUTED_VALUE"""),"en")</f>
        <v>en</v>
      </c>
      <c r="B4566">
        <f>IFERROR(__xludf.DUMMYFUNCTION("""COMPUTED_VALUE"""),897338.0)</f>
        <v>897338</v>
      </c>
      <c r="C4566" t="str">
        <f>IFERROR(__xludf.DUMMYFUNCTION("""COMPUTED_VALUE"""),"Python for Programmers")</f>
        <v>Python for Programmers</v>
      </c>
    </row>
    <row r="4567">
      <c r="A4567" s="140" t="str">
        <f>IFERROR(__xludf.DUMMYFUNCTION("""COMPUTED_VALUE"""),"en")</f>
        <v>en</v>
      </c>
      <c r="B4567">
        <f>IFERROR(__xludf.DUMMYFUNCTION("""COMPUTED_VALUE"""),427152.0)</f>
        <v>427152</v>
      </c>
      <c r="C4567" t="str">
        <f>IFERROR(__xludf.DUMMYFUNCTION("""COMPUTED_VALUE"""),"Climbing the Ladder: Moving from IT Pro to Manager")</f>
        <v>Climbing the Ladder: Moving from IT Pro to Manager</v>
      </c>
    </row>
    <row r="4568">
      <c r="A4568" s="140" t="str">
        <f>IFERROR(__xludf.DUMMYFUNCTION("""COMPUTED_VALUE"""),"es")</f>
        <v>es</v>
      </c>
      <c r="B4568">
        <f>IFERROR(__xludf.DUMMYFUNCTION("""COMPUTED_VALUE"""),1493048.0)</f>
        <v>1493048</v>
      </c>
      <c r="C4568" t="str">
        <f>IFERROR(__xludf.DUMMYFUNCTION("""COMPUTED_VALUE"""),"Ruso Básico: Ruso Fácil con Liza")</f>
        <v>Ruso Básico: Ruso Fácil con Liza</v>
      </c>
    </row>
    <row r="4569">
      <c r="A4569" s="140" t="str">
        <f>IFERROR(__xludf.DUMMYFUNCTION("""COMPUTED_VALUE"""),"en")</f>
        <v>en</v>
      </c>
      <c r="B4569">
        <f>IFERROR(__xludf.DUMMYFUNCTION("""COMPUTED_VALUE"""),186792.0)</f>
        <v>186792</v>
      </c>
      <c r="C4569" t="str">
        <f>IFERROR(__xludf.DUMMYFUNCTION("""COMPUTED_VALUE"""),"Become an Arabic Calligraphy Artist from Scratch")</f>
        <v>Become an Arabic Calligraphy Artist from Scratch</v>
      </c>
    </row>
    <row r="4570">
      <c r="A4570" s="140" t="str">
        <f>IFERROR(__xludf.DUMMYFUNCTION("""COMPUTED_VALUE"""),"en")</f>
        <v>en</v>
      </c>
      <c r="B4570">
        <f>IFERROR(__xludf.DUMMYFUNCTION("""COMPUTED_VALUE"""),833782.0)</f>
        <v>833782</v>
      </c>
      <c r="C4570" t="str">
        <f>IFERROR(__xludf.DUMMYFUNCTION("""COMPUTED_VALUE"""),"Design Thinking + Entrepreneurship: My 8-Step Launch Program")</f>
        <v>Design Thinking + Entrepreneurship: My 8-Step Launch Program</v>
      </c>
    </row>
    <row r="4571">
      <c r="A4571" s="140" t="str">
        <f>IFERROR(__xludf.DUMMYFUNCTION("""COMPUTED_VALUE"""),"tr")</f>
        <v>tr</v>
      </c>
      <c r="B4571">
        <f>IFERROR(__xludf.DUMMYFUNCTION("""COMPUTED_VALUE"""),2600878.0)</f>
        <v>2600878</v>
      </c>
      <c r="C4571" t="str">
        <f>IFERROR(__xludf.DUMMYFUNCTION("""COMPUTED_VALUE"""),"KALİTE ve OTOMOTİV MÜHENDİSLİĞİ # Sertifika Programı")</f>
        <v>KALİTE ve OTOMOTİV MÜHENDİSLİĞİ # Sertifika Programı</v>
      </c>
    </row>
    <row r="4572">
      <c r="A4572" s="140" t="str">
        <f>IFERROR(__xludf.DUMMYFUNCTION("""COMPUTED_VALUE"""),"en")</f>
        <v>en</v>
      </c>
      <c r="B4572">
        <f>IFERROR(__xludf.DUMMYFUNCTION("""COMPUTED_VALUE"""),2522376.0)</f>
        <v>2522376</v>
      </c>
      <c r="C4572" t="str">
        <f>IFERROR(__xludf.DUMMYFUNCTION("""COMPUTED_VALUE"""),"The Stress Detox: A Stress Management Framework for Leaders")</f>
        <v>The Stress Detox: A Stress Management Framework for Leaders</v>
      </c>
    </row>
    <row r="4573">
      <c r="A4573" s="140" t="str">
        <f>IFERROR(__xludf.DUMMYFUNCTION("""COMPUTED_VALUE"""),"pt")</f>
        <v>pt</v>
      </c>
      <c r="B4573">
        <f>IFERROR(__xludf.DUMMYFUNCTION("""COMPUTED_VALUE"""),2824017.0)</f>
        <v>2824017</v>
      </c>
      <c r="C4573" t="str">
        <f>IFERROR(__xludf.DUMMYFUNCTION("""COMPUTED_VALUE"""),"Curso Master em Negociação e Vendas")</f>
        <v>Curso Master em Negociação e Vendas</v>
      </c>
    </row>
    <row r="4574">
      <c r="A4574" s="140" t="str">
        <f>IFERROR(__xludf.DUMMYFUNCTION("""COMPUTED_VALUE"""),"en")</f>
        <v>en</v>
      </c>
      <c r="B4574">
        <f>IFERROR(__xludf.DUMMYFUNCTION("""COMPUTED_VALUE"""),3120152.0)</f>
        <v>3120152</v>
      </c>
      <c r="C4574" t="str">
        <f>IFERROR(__xludf.DUMMYFUNCTION("""COMPUTED_VALUE"""),"Data Science- Project Management Methodology - CRISP-DM")</f>
        <v>Data Science- Project Management Methodology - CRISP-DM</v>
      </c>
    </row>
    <row r="4575">
      <c r="A4575" s="140" t="str">
        <f>IFERROR(__xludf.DUMMYFUNCTION("""COMPUTED_VALUE"""),"ja")</f>
        <v>ja</v>
      </c>
      <c r="B4575">
        <f>IFERROR(__xludf.DUMMYFUNCTION("""COMPUTED_VALUE"""),2753524.0)</f>
        <v>2753524</v>
      </c>
      <c r="C4575" t="str">
        <f>IFERROR(__xludf.DUMMYFUNCTION("""COMPUTED_VALUE"""),"正規表現入門　作業効率アップに役立つ38個の方法")</f>
        <v>正規表現入門　作業効率アップに役立つ38個の方法</v>
      </c>
    </row>
    <row r="4576">
      <c r="A4576" s="140" t="str">
        <f>IFERROR(__xludf.DUMMYFUNCTION("""COMPUTED_VALUE"""),"en")</f>
        <v>en</v>
      </c>
      <c r="B4576">
        <f>IFERROR(__xludf.DUMMYFUNCTION("""COMPUTED_VALUE"""),541428.0)</f>
        <v>541428</v>
      </c>
      <c r="C4576" t="str">
        <f>IFERROR(__xludf.DUMMYFUNCTION("""COMPUTED_VALUE"""),"The Power of Motivation - Shape and Control Your Destiny")</f>
        <v>The Power of Motivation - Shape and Control Your Destiny</v>
      </c>
    </row>
    <row r="4577">
      <c r="A4577" s="140" t="str">
        <f>IFERROR(__xludf.DUMMYFUNCTION("""COMPUTED_VALUE"""),"de")</f>
        <v>de</v>
      </c>
      <c r="B4577">
        <f>IFERROR(__xludf.DUMMYFUNCTION("""COMPUTED_VALUE"""),1745938.0)</f>
        <v>1745938</v>
      </c>
      <c r="C4577" t="str">
        <f>IFERROR(__xludf.DUMMYFUNCTION("""COMPUTED_VALUE"""),"Zeichnungen, Aquarell und Lettering digitalisieren")</f>
        <v>Zeichnungen, Aquarell und Lettering digitalisieren</v>
      </c>
    </row>
    <row r="4578">
      <c r="A4578" s="140" t="str">
        <f>IFERROR(__xludf.DUMMYFUNCTION("""COMPUTED_VALUE"""),"en")</f>
        <v>en</v>
      </c>
      <c r="B4578">
        <f>IFERROR(__xludf.DUMMYFUNCTION("""COMPUTED_VALUE"""),891848.0)</f>
        <v>891848</v>
      </c>
      <c r="C4578" t="str">
        <f>IFERROR(__xludf.DUMMYFUNCTION("""COMPUTED_VALUE"""),"Apache Spark 2 and 3 using Scala (Formerly CCA 175)")</f>
        <v>Apache Spark 2 and 3 using Scala (Formerly CCA 175)</v>
      </c>
    </row>
    <row r="4579">
      <c r="A4579" s="140" t="str">
        <f>IFERROR(__xludf.DUMMYFUNCTION("""COMPUTED_VALUE"""),"pt")</f>
        <v>pt</v>
      </c>
      <c r="B4579">
        <f>IFERROR(__xludf.DUMMYFUNCTION("""COMPUTED_VALUE"""),2755866.0)</f>
        <v>2755866</v>
      </c>
      <c r="C4579" t="str">
        <f>IFERROR(__xludf.DUMMYFUNCTION("""COMPUTED_VALUE"""),"Curso de Desenho Vetorial no Adobe Ilustrator")</f>
        <v>Curso de Desenho Vetorial no Adobe Ilustrator</v>
      </c>
    </row>
    <row r="4580">
      <c r="A4580" s="140" t="str">
        <f>IFERROR(__xludf.DUMMYFUNCTION("""COMPUTED_VALUE"""),"fr")</f>
        <v>fr</v>
      </c>
      <c r="B4580">
        <f>IFERROR(__xludf.DUMMYFUNCTION("""COMPUTED_VALUE"""),1659502.0)</f>
        <v>1659502</v>
      </c>
      <c r="C4580" t="str">
        <f>IFERROR(__xludf.DUMMYFUNCTION("""COMPUTED_VALUE"""),"Facebook Marketing : le guide complet pour réussir !")</f>
        <v>Facebook Marketing : le guide complet pour réussir !</v>
      </c>
    </row>
    <row r="4581">
      <c r="A4581" s="140" t="str">
        <f>IFERROR(__xludf.DUMMYFUNCTION("""COMPUTED_VALUE"""),"en")</f>
        <v>en</v>
      </c>
      <c r="B4581">
        <f>IFERROR(__xludf.DUMMYFUNCTION("""COMPUTED_VALUE"""),1923998.0)</f>
        <v>1923998</v>
      </c>
      <c r="C4581" t="str">
        <f>IFERROR(__xludf.DUMMYFUNCTION("""COMPUTED_VALUE"""),"Signal processing problems, solved in MATLAB and in Python")</f>
        <v>Signal processing problems, solved in MATLAB and in Python</v>
      </c>
    </row>
    <row r="4582">
      <c r="A4582" s="140" t="str">
        <f>IFERROR(__xludf.DUMMYFUNCTION("""COMPUTED_VALUE"""),"en")</f>
        <v>en</v>
      </c>
      <c r="B4582">
        <f>IFERROR(__xludf.DUMMYFUNCTION("""COMPUTED_VALUE"""),1923998.0)</f>
        <v>1923998</v>
      </c>
      <c r="C4582" t="str">
        <f>IFERROR(__xludf.DUMMYFUNCTION("""COMPUTED_VALUE"""),"Signal processing problems, solved in MATLAB and in Python")</f>
        <v>Signal processing problems, solved in MATLAB and in Python</v>
      </c>
    </row>
    <row r="4583">
      <c r="A4583" s="140" t="str">
        <f>IFERROR(__xludf.DUMMYFUNCTION("""COMPUTED_VALUE"""),"de")</f>
        <v>de</v>
      </c>
      <c r="B4583">
        <f>IFERROR(__xludf.DUMMYFUNCTION("""COMPUTED_VALUE"""),2385066.0)</f>
        <v>2385066</v>
      </c>
      <c r="C4583" t="str">
        <f>IFERROR(__xludf.DUMMYFUNCTION("""COMPUTED_VALUE"""),"Kommunikation - Schwierige Gespräche konstruktiv führen")</f>
        <v>Kommunikation - Schwierige Gespräche konstruktiv führen</v>
      </c>
    </row>
    <row r="4584">
      <c r="A4584" s="140" t="str">
        <f>IFERROR(__xludf.DUMMYFUNCTION("""COMPUTED_VALUE"""),"ja")</f>
        <v>ja</v>
      </c>
      <c r="B4584">
        <f>IFERROR(__xludf.DUMMYFUNCTION("""COMPUTED_VALUE"""),1187504.0)</f>
        <v>1187504</v>
      </c>
      <c r="C4584" t="str">
        <f>IFERROR(__xludf.DUMMYFUNCTION("""COMPUTED_VALUE"""),"Premiere Pro/AfterEffects cc 新機能エッセンシャルグラフィックスの活用方法")</f>
        <v>Premiere Pro/AfterEffects cc 新機能エッセンシャルグラフィックスの活用方法</v>
      </c>
    </row>
    <row r="4585">
      <c r="A4585" s="140" t="str">
        <f>IFERROR(__xludf.DUMMYFUNCTION("""COMPUTED_VALUE"""),"en")</f>
        <v>en</v>
      </c>
      <c r="B4585">
        <f>IFERROR(__xludf.DUMMYFUNCTION("""COMPUTED_VALUE"""),540450.0)</f>
        <v>540450</v>
      </c>
      <c r="C4585" t="str">
        <f>IFERROR(__xludf.DUMMYFUNCTION("""COMPUTED_VALUE"""),"Complete Introduction to Business Data Analysis")</f>
        <v>Complete Introduction to Business Data Analysis</v>
      </c>
    </row>
    <row r="4586">
      <c r="A4586" s="140" t="str">
        <f>IFERROR(__xludf.DUMMYFUNCTION("""COMPUTED_VALUE"""),"en")</f>
        <v>en</v>
      </c>
      <c r="B4586">
        <f>IFERROR(__xludf.DUMMYFUNCTION("""COMPUTED_VALUE"""),1081714.0)</f>
        <v>1081714</v>
      </c>
      <c r="C4586" t="str">
        <f>IFERROR(__xludf.DUMMYFUNCTION("""COMPUTED_VALUE"""),"Drawing and Painting on the iPad with Procreate")</f>
        <v>Drawing and Painting on the iPad with Procreate</v>
      </c>
    </row>
    <row r="4587">
      <c r="A4587" s="140" t="str">
        <f>IFERROR(__xludf.DUMMYFUNCTION("""COMPUTED_VALUE"""),"en")</f>
        <v>en</v>
      </c>
      <c r="B4587">
        <f>IFERROR(__xludf.DUMMYFUNCTION("""COMPUTED_VALUE"""),2155096.0)</f>
        <v>2155096</v>
      </c>
      <c r="C4587" t="str">
        <f>IFERROR(__xludf.DUMMYFUNCTION("""COMPUTED_VALUE"""),"Learning to work with Emacs")</f>
        <v>Learning to work with Emacs</v>
      </c>
    </row>
    <row r="4588">
      <c r="A4588" s="140" t="str">
        <f>IFERROR(__xludf.DUMMYFUNCTION("""COMPUTED_VALUE"""),"en")</f>
        <v>en</v>
      </c>
      <c r="B4588">
        <f>IFERROR(__xludf.DUMMYFUNCTION("""COMPUTED_VALUE"""),1615138.0)</f>
        <v>1615138</v>
      </c>
      <c r="C4588" t="str">
        <f>IFERROR(__xludf.DUMMYFUNCTION("""COMPUTED_VALUE"""),"Hadoop MAPREDUCE in Depth | A Real-Time course on Mapreduce")</f>
        <v>Hadoop MAPREDUCE in Depth | A Real-Time course on Mapreduce</v>
      </c>
    </row>
    <row r="4589">
      <c r="A4589" s="140" t="str">
        <f>IFERROR(__xludf.DUMMYFUNCTION("""COMPUTED_VALUE"""),"fr")</f>
        <v>fr</v>
      </c>
      <c r="B4589">
        <f>IFERROR(__xludf.DUMMYFUNCTION("""COMPUTED_VALUE"""),2398120.0)</f>
        <v>2398120</v>
      </c>
      <c r="C4589" t="str">
        <f>IFERROR(__xludf.DUMMYFUNCTION("""COMPUTED_VALUE"""),"Écoute active – Le guide complet")</f>
        <v>Écoute active – Le guide complet</v>
      </c>
    </row>
    <row r="4590">
      <c r="A4590" s="140" t="str">
        <f>IFERROR(__xludf.DUMMYFUNCTION("""COMPUTED_VALUE"""),"en")</f>
        <v>en</v>
      </c>
      <c r="B4590">
        <f>IFERROR(__xludf.DUMMYFUNCTION("""COMPUTED_VALUE"""),3520350.0)</f>
        <v>3520350</v>
      </c>
      <c r="C4590" t="str">
        <f>IFERROR(__xludf.DUMMYFUNCTION("""COMPUTED_VALUE"""),"MS-101 Microsoft 365 Mobility and Security Course with Sims")</f>
        <v>MS-101 Microsoft 365 Mobility and Security Course with Sims</v>
      </c>
    </row>
    <row r="4591">
      <c r="A4591" s="140" t="str">
        <f>IFERROR(__xludf.DUMMYFUNCTION("""COMPUTED_VALUE"""),"es")</f>
        <v>es</v>
      </c>
      <c r="B4591">
        <f>IFERROR(__xludf.DUMMYFUNCTION("""COMPUTED_VALUE"""),2551297.0)</f>
        <v>2551297</v>
      </c>
      <c r="C4591" t="str">
        <f>IFERROR(__xludf.DUMMYFUNCTION("""COMPUTED_VALUE"""),"React Hooks &amp; Firebase &amp; Material Design : Fullstack Extremo")</f>
        <v>React Hooks &amp; Firebase &amp; Material Design : Fullstack Extremo</v>
      </c>
    </row>
    <row r="4592">
      <c r="A4592" s="140" t="str">
        <f>IFERROR(__xludf.DUMMYFUNCTION("""COMPUTED_VALUE"""),"en")</f>
        <v>en</v>
      </c>
      <c r="B4592">
        <f>IFERROR(__xludf.DUMMYFUNCTION("""COMPUTED_VALUE"""),1026604.0)</f>
        <v>1026604</v>
      </c>
      <c r="C4592" t="str">
        <f>IFERROR(__xludf.DUMMYFUNCTION("""COMPUTED_VALUE"""),"Advanced CSS and Sass: Flexbox, Grid, Animations and More!")</f>
        <v>Advanced CSS and Sass: Flexbox, Grid, Animations and More!</v>
      </c>
    </row>
    <row r="4593">
      <c r="A4593" s="140" t="str">
        <f>IFERROR(__xludf.DUMMYFUNCTION("""COMPUTED_VALUE"""),"en")</f>
        <v>en</v>
      </c>
      <c r="B4593">
        <f>IFERROR(__xludf.DUMMYFUNCTION("""COMPUTED_VALUE"""),2384998.0)</f>
        <v>2384998</v>
      </c>
      <c r="C4593" t="str">
        <f>IFERROR(__xludf.DUMMYFUNCTION("""COMPUTED_VALUE"""),"Sales skills: Be a master closer in 3 days (closing sales)")</f>
        <v>Sales skills: Be a master closer in 3 days (closing sales)</v>
      </c>
    </row>
    <row r="4594">
      <c r="A4594" s="140" t="str">
        <f>IFERROR(__xludf.DUMMYFUNCTION("""COMPUTED_VALUE"""),"de")</f>
        <v>de</v>
      </c>
      <c r="B4594">
        <f>IFERROR(__xludf.DUMMYFUNCTION("""COMPUTED_VALUE"""),2767538.0)</f>
        <v>2767538</v>
      </c>
      <c r="C4594" t="str">
        <f>IFERROR(__xludf.DUMMYFUNCTION("""COMPUTED_VALUE"""),"Python 3 - Einführung in die Programmierung")</f>
        <v>Python 3 - Einführung in die Programmierung</v>
      </c>
    </row>
    <row r="4595">
      <c r="A4595" s="140" t="str">
        <f>IFERROR(__xludf.DUMMYFUNCTION("""COMPUTED_VALUE"""),"tr")</f>
        <v>tr</v>
      </c>
      <c r="B4595">
        <f>IFERROR(__xludf.DUMMYFUNCTION("""COMPUTED_VALUE"""),2969624.0)</f>
        <v>2969624</v>
      </c>
      <c r="C4595" t="str">
        <f>IFERROR(__xludf.DUMMYFUNCTION("""COMPUTED_VALUE"""),"FİNANSAL TABLOLAR VE ANALİZİ (SMMM YETERLİLİK SINAVI HAZ.)")</f>
        <v>FİNANSAL TABLOLAR VE ANALİZİ (SMMM YETERLİLİK SINAVI HAZ.)</v>
      </c>
    </row>
    <row r="4596">
      <c r="A4596" s="140" t="str">
        <f>IFERROR(__xludf.DUMMYFUNCTION("""COMPUTED_VALUE"""),"en")</f>
        <v>en</v>
      </c>
      <c r="B4596">
        <f>IFERROR(__xludf.DUMMYFUNCTION("""COMPUTED_VALUE"""),3563325.0)</f>
        <v>3563325</v>
      </c>
      <c r="C4596" t="str">
        <f>IFERROR(__xludf.DUMMYFUNCTION("""COMPUTED_VALUE"""),"SAP : Supply Chain Logistics &amp; Transportation in S/4 HANA")</f>
        <v>SAP : Supply Chain Logistics &amp; Transportation in S/4 HANA</v>
      </c>
    </row>
    <row r="4597">
      <c r="A4597" s="140" t="str">
        <f>IFERROR(__xludf.DUMMYFUNCTION("""COMPUTED_VALUE"""),"zh")</f>
        <v>zh</v>
      </c>
      <c r="B4597">
        <f>IFERROR(__xludf.DUMMYFUNCTION("""COMPUTED_VALUE"""),1465666.0)</f>
        <v>1465666</v>
      </c>
      <c r="C4597" t="str">
        <f>IFERROR(__xludf.DUMMYFUNCTION("""COMPUTED_VALUE"""),"Git/GitHub/GitLab完全教程2021（包括Git底层原理）")</f>
        <v>Git/GitHub/GitLab完全教程2021（包括Git底层原理）</v>
      </c>
    </row>
    <row r="4598">
      <c r="A4598" s="140" t="str">
        <f>IFERROR(__xludf.DUMMYFUNCTION("""COMPUTED_VALUE"""),"en")</f>
        <v>en</v>
      </c>
      <c r="B4598">
        <f>IFERROR(__xludf.DUMMYFUNCTION("""COMPUTED_VALUE"""),2092642.0)</f>
        <v>2092642</v>
      </c>
      <c r="C4598" t="str">
        <f>IFERROR(__xludf.DUMMYFUNCTION("""COMPUTED_VALUE"""),"The Superboss Playbook for Managers")</f>
        <v>The Superboss Playbook for Managers</v>
      </c>
    </row>
    <row r="4599">
      <c r="A4599" s="140" t="str">
        <f>IFERROR(__xludf.DUMMYFUNCTION("""COMPUTED_VALUE"""),"de")</f>
        <v>de</v>
      </c>
      <c r="B4599">
        <f>IFERROR(__xludf.DUMMYFUNCTION("""COMPUTED_VALUE"""),3960482.0)</f>
        <v>3960482</v>
      </c>
      <c r="C4599" t="str">
        <f>IFERROR(__xludf.DUMMYFUNCTION("""COMPUTED_VALUE"""),"Der Microsoft Excel - Komplettkurs vom Anfänger zum Experten")</f>
        <v>Der Microsoft Excel - Komplettkurs vom Anfänger zum Experten</v>
      </c>
    </row>
    <row r="4600">
      <c r="A4600" s="140" t="str">
        <f>IFERROR(__xludf.DUMMYFUNCTION("""COMPUTED_VALUE"""),"en")</f>
        <v>en</v>
      </c>
      <c r="B4600">
        <f>IFERROR(__xludf.DUMMYFUNCTION("""COMPUTED_VALUE"""),2431044.0)</f>
        <v>2431044</v>
      </c>
      <c r="C4600" t="str">
        <f>IFERROR(__xludf.DUMMYFUNCTION("""COMPUTED_VALUE"""),"MicroPython for the BBC Micro:bit")</f>
        <v>MicroPython for the BBC Micro:bit</v>
      </c>
    </row>
    <row r="4601">
      <c r="A4601" s="140" t="str">
        <f>IFERROR(__xludf.DUMMYFUNCTION("""COMPUTED_VALUE"""),"en")</f>
        <v>en</v>
      </c>
      <c r="B4601">
        <f>IFERROR(__xludf.DUMMYFUNCTION("""COMPUTED_VALUE"""),2084384.0)</f>
        <v>2084384</v>
      </c>
      <c r="C4601" t="str">
        <f>IFERROR(__xludf.DUMMYFUNCTION("""COMPUTED_VALUE"""),"Artificial Intelligence &amp; Machine Learning for Business")</f>
        <v>Artificial Intelligence &amp; Machine Learning for Business</v>
      </c>
    </row>
    <row r="4602">
      <c r="A4602" s="140" t="str">
        <f>IFERROR(__xludf.DUMMYFUNCTION("""COMPUTED_VALUE"""),"en")</f>
        <v>en</v>
      </c>
      <c r="B4602">
        <f>IFERROR(__xludf.DUMMYFUNCTION("""COMPUTED_VALUE"""),2394666.0)</f>
        <v>2394666</v>
      </c>
      <c r="C4602" t="str">
        <f>IFERROR(__xludf.DUMMYFUNCTION("""COMPUTED_VALUE"""),"Getting Started .NET Core Microservices RabbitMQ")</f>
        <v>Getting Started .NET Core Microservices RabbitMQ</v>
      </c>
    </row>
    <row r="4603">
      <c r="A4603" s="140" t="str">
        <f>IFERROR(__xludf.DUMMYFUNCTION("""COMPUTED_VALUE"""),"en")</f>
        <v>en</v>
      </c>
      <c r="B4603">
        <f>IFERROR(__xludf.DUMMYFUNCTION("""COMPUTED_VALUE"""),2838052.0)</f>
        <v>2838052</v>
      </c>
      <c r="C4603" t="str">
        <f>IFERROR(__xludf.DUMMYFUNCTION("""COMPUTED_VALUE"""),"Control Your Day - Microsoft Outlook Email Mastery System")</f>
        <v>Control Your Day - Microsoft Outlook Email Mastery System</v>
      </c>
    </row>
    <row r="4604">
      <c r="A4604" s="140" t="str">
        <f>IFERROR(__xludf.DUMMYFUNCTION("""COMPUTED_VALUE"""),"ja")</f>
        <v>ja</v>
      </c>
      <c r="B4604">
        <f>IFERROR(__xludf.DUMMYFUNCTION("""COMPUTED_VALUE"""),2552299.0)</f>
        <v>2552299</v>
      </c>
      <c r="C4604" t="str">
        <f>IFERROR(__xludf.DUMMYFUNCTION("""COMPUTED_VALUE"""),"[初心者向け]  Blender 2.8でアニメーションを作成して Unity で動かすまでの30分講座")</f>
        <v>[初心者向け]  Blender 2.8でアニメーションを作成して Unity で動かすまでの30分講座</v>
      </c>
    </row>
    <row r="4605">
      <c r="A4605" s="140" t="str">
        <f>IFERROR(__xludf.DUMMYFUNCTION("""COMPUTED_VALUE"""),"ja")</f>
        <v>ja</v>
      </c>
      <c r="B4605">
        <f>IFERROR(__xludf.DUMMYFUNCTION("""COMPUTED_VALUE"""),3300344.0)</f>
        <v>3300344</v>
      </c>
      <c r="C4605" t="str">
        <f>IFERROR(__xludf.DUMMYFUNCTION("""COMPUTED_VALUE"""),"【続】Microsoft Power BI Desktop - 入門講座 ～DAX-TABLE FUNCTION特訓編～")</f>
        <v>【続】Microsoft Power BI Desktop - 入門講座 ～DAX-TABLE FUNCTION特訓編～</v>
      </c>
    </row>
    <row r="4606">
      <c r="A4606" s="140" t="str">
        <f>IFERROR(__xludf.DUMMYFUNCTION("""COMPUTED_VALUE"""),"ja")</f>
        <v>ja</v>
      </c>
      <c r="B4606">
        <f>IFERROR(__xludf.DUMMYFUNCTION("""COMPUTED_VALUE"""),3609176.0)</f>
        <v>3609176</v>
      </c>
      <c r="C4606" t="str">
        <f>IFERROR(__xludf.DUMMYFUNCTION("""COMPUTED_VALUE"""),"聞き手に「伝わる」ためのPowerPoint（パワーポイント）資料作成のファーストステップ【初心者のためのパワポ】")</f>
        <v>聞き手に「伝わる」ためのPowerPoint（パワーポイント）資料作成のファーストステップ【初心者のためのパワポ】</v>
      </c>
    </row>
    <row r="4607">
      <c r="A4607" s="140" t="str">
        <f>IFERROR(__xludf.DUMMYFUNCTION("""COMPUTED_VALUE"""),"en")</f>
        <v>en</v>
      </c>
      <c r="B4607">
        <f>IFERROR(__xludf.DUMMYFUNCTION("""COMPUTED_VALUE"""),436210.0)</f>
        <v>436210</v>
      </c>
      <c r="C4607" t="str">
        <f>IFERROR(__xludf.DUMMYFUNCTION("""COMPUTED_VALUE"""),"Ruby and Ruby on Rails Starter")</f>
        <v>Ruby and Ruby on Rails Starter</v>
      </c>
    </row>
    <row r="4608">
      <c r="A4608" s="140" t="str">
        <f>IFERROR(__xludf.DUMMYFUNCTION("""COMPUTED_VALUE"""),"en")</f>
        <v>en</v>
      </c>
      <c r="B4608">
        <f>IFERROR(__xludf.DUMMYFUNCTION("""COMPUTED_VALUE"""),28295.0)</f>
        <v>28295</v>
      </c>
      <c r="C4608" t="str">
        <f>IFERROR(__xludf.DUMMYFUNCTION("""COMPUTED_VALUE"""),"Learn Web Designing &amp; HTML5/CSS3 Essentials in 4-Hours")</f>
        <v>Learn Web Designing &amp; HTML5/CSS3 Essentials in 4-Hours</v>
      </c>
    </row>
    <row r="4609">
      <c r="A4609" s="140" t="str">
        <f>IFERROR(__xludf.DUMMYFUNCTION("""COMPUTED_VALUE"""),"de")</f>
        <v>de</v>
      </c>
      <c r="B4609">
        <f>IFERROR(__xludf.DUMMYFUNCTION("""COMPUTED_VALUE"""),1160930.0)</f>
        <v>1160930</v>
      </c>
      <c r="C4609" t="str">
        <f>IFERROR(__xludf.DUMMYFUNCTION("""COMPUTED_VALUE"""),"Ethical Hacking - Der umfassende Kurs")</f>
        <v>Ethical Hacking - Der umfassende Kurs</v>
      </c>
    </row>
    <row r="4610">
      <c r="A4610" s="140" t="str">
        <f>IFERROR(__xludf.DUMMYFUNCTION("""COMPUTED_VALUE"""),"es")</f>
        <v>es</v>
      </c>
      <c r="B4610">
        <f>IFERROR(__xludf.DUMMYFUNCTION("""COMPUTED_VALUE"""),2292081.0)</f>
        <v>2292081</v>
      </c>
      <c r="C4610" t="str">
        <f>IFERROR(__xludf.DUMMYFUNCTION("""COMPUTED_VALUE"""),"Alexa Skills Desde Cero | Crea apps de voz con Amazon AWS")</f>
        <v>Alexa Skills Desde Cero | Crea apps de voz con Amazon AWS</v>
      </c>
    </row>
    <row r="4611">
      <c r="A4611" s="140" t="str">
        <f>IFERROR(__xludf.DUMMYFUNCTION("""COMPUTED_VALUE"""),"en")</f>
        <v>en</v>
      </c>
      <c r="B4611">
        <f>IFERROR(__xludf.DUMMYFUNCTION("""COMPUTED_VALUE"""),933482.0)</f>
        <v>933482</v>
      </c>
      <c r="C4611" t="str">
        <f>IFERROR(__xludf.DUMMYFUNCTION("""COMPUTED_VALUE"""),"Event Management for Beginners")</f>
        <v>Event Management for Beginners</v>
      </c>
    </row>
    <row r="4612">
      <c r="A4612" s="140" t="str">
        <f>IFERROR(__xludf.DUMMYFUNCTION("""COMPUTED_VALUE"""),"en")</f>
        <v>en</v>
      </c>
      <c r="B4612">
        <f>IFERROR(__xludf.DUMMYFUNCTION("""COMPUTED_VALUE"""),1198532.0)</f>
        <v>1198532</v>
      </c>
      <c r="C4612" t="str">
        <f>IFERROR(__xludf.DUMMYFUNCTION("""COMPUTED_VALUE"""),"Part 2: AWS Certified Solutions Architect SAA C02")</f>
        <v>Part 2: AWS Certified Solutions Architect SAA C02</v>
      </c>
    </row>
    <row r="4613">
      <c r="A4613" s="140" t="str">
        <f>IFERROR(__xludf.DUMMYFUNCTION("""COMPUTED_VALUE"""),"en")</f>
        <v>en</v>
      </c>
      <c r="B4613">
        <f>IFERROR(__xludf.DUMMYFUNCTION("""COMPUTED_VALUE"""),1623798.0)</f>
        <v>1623798</v>
      </c>
      <c r="C4613" t="str">
        <f>IFERROR(__xludf.DUMMYFUNCTION("""COMPUTED_VALUE"""),"Adobe Illustrator CC – Advanced Training Course")</f>
        <v>Adobe Illustrator CC – Advanced Training Course</v>
      </c>
    </row>
    <row r="4614">
      <c r="A4614" s="140" t="str">
        <f>IFERROR(__xludf.DUMMYFUNCTION("""COMPUTED_VALUE"""),"ko")</f>
        <v>ko</v>
      </c>
      <c r="B4614">
        <f>IFERROR(__xludf.DUMMYFUNCTION("""COMPUTED_VALUE"""),1270198.0)</f>
        <v>1270198</v>
      </c>
      <c r="C4614" t="str">
        <f>IFERROR(__xludf.DUMMYFUNCTION("""COMPUTED_VALUE"""),"Swift4로 배우는 iOS11 프로그래밍 : 인공지능(AI) 아이폰 앱 개발하기")</f>
        <v>Swift4로 배우는 iOS11 프로그래밍 : 인공지능(AI) 아이폰 앱 개발하기</v>
      </c>
    </row>
    <row r="4615">
      <c r="A4615" s="140" t="str">
        <f>IFERROR(__xludf.DUMMYFUNCTION("""COMPUTED_VALUE"""),"en")</f>
        <v>en</v>
      </c>
      <c r="B4615">
        <f>IFERROR(__xludf.DUMMYFUNCTION("""COMPUTED_VALUE"""),2699978.0)</f>
        <v>2699978</v>
      </c>
      <c r="C4615" t="str">
        <f>IFERROR(__xludf.DUMMYFUNCTION("""COMPUTED_VALUE"""),"MO-200 Microsoft Excel 365/2019 Associate Certification")</f>
        <v>MO-200 Microsoft Excel 365/2019 Associate Certification</v>
      </c>
    </row>
    <row r="4616">
      <c r="A4616" s="140" t="str">
        <f>IFERROR(__xludf.DUMMYFUNCTION("""COMPUTED_VALUE"""),"en")</f>
        <v>en</v>
      </c>
      <c r="B4616">
        <f>IFERROR(__xludf.DUMMYFUNCTION("""COMPUTED_VALUE"""),3047192.0)</f>
        <v>3047192</v>
      </c>
      <c r="C4616" t="str">
        <f>IFERROR(__xludf.DUMMYFUNCTION("""COMPUTED_VALUE"""),"Master the Coding Interview: Big Tech (FAANG) Interviews")</f>
        <v>Master the Coding Interview: Big Tech (FAANG) Interviews</v>
      </c>
    </row>
    <row r="4617">
      <c r="A4617" s="140" t="str">
        <f>IFERROR(__xludf.DUMMYFUNCTION("""COMPUTED_VALUE"""),"ja")</f>
        <v>ja</v>
      </c>
      <c r="B4617">
        <f>IFERROR(__xludf.DUMMYFUNCTION("""COMPUTED_VALUE"""),2589018.0)</f>
        <v>2589018</v>
      </c>
      <c r="C4617" t="str">
        <f>IFERROR(__xludf.DUMMYFUNCTION("""COMPUTED_VALUE"""),"ITトレンド丸わかり ～デジタルトランスフォーメーション時代の必須知識～")</f>
        <v>ITトレンド丸わかり ～デジタルトランスフォーメーション時代の必須知識～</v>
      </c>
    </row>
    <row r="4618">
      <c r="A4618" s="140" t="str">
        <f>IFERROR(__xludf.DUMMYFUNCTION("""COMPUTED_VALUE"""),"en")</f>
        <v>en</v>
      </c>
      <c r="B4618">
        <f>IFERROR(__xludf.DUMMYFUNCTION("""COMPUTED_VALUE"""),3380208.0)</f>
        <v>3380208</v>
      </c>
      <c r="C4618" t="str">
        <f>IFERROR(__xludf.DUMMYFUNCTION("""COMPUTED_VALUE"""),"Smart Tips: Innovation")</f>
        <v>Smart Tips: Innovation</v>
      </c>
    </row>
    <row r="4619">
      <c r="A4619" s="140" t="str">
        <f>IFERROR(__xludf.DUMMYFUNCTION("""COMPUTED_VALUE"""),"en")</f>
        <v>en</v>
      </c>
      <c r="B4619">
        <f>IFERROR(__xludf.DUMMYFUNCTION("""COMPUTED_VALUE"""),2514076.0)</f>
        <v>2514076</v>
      </c>
      <c r="C4619" t="str">
        <f>IFERROR(__xludf.DUMMYFUNCTION("""COMPUTED_VALUE"""),"GCP - Professional Cloud Architect - Practice Exams - FREE!")</f>
        <v>GCP - Professional Cloud Architect - Practice Exams - FREE!</v>
      </c>
    </row>
    <row r="4620">
      <c r="A4620" s="140" t="str">
        <f>IFERROR(__xludf.DUMMYFUNCTION("""COMPUTED_VALUE"""),"en")</f>
        <v>en</v>
      </c>
      <c r="B4620">
        <f>IFERROR(__xludf.DUMMYFUNCTION("""COMPUTED_VALUE"""),1047320.0)</f>
        <v>1047320</v>
      </c>
      <c r="C4620" t="str">
        <f>IFERROR(__xludf.DUMMYFUNCTION("""COMPUTED_VALUE"""),"Professional Retouching Course in Photoshop")</f>
        <v>Professional Retouching Course in Photoshop</v>
      </c>
    </row>
    <row r="4621">
      <c r="A4621" s="140" t="str">
        <f>IFERROR(__xludf.DUMMYFUNCTION("""COMPUTED_VALUE"""),"en")</f>
        <v>en</v>
      </c>
      <c r="B4621">
        <f>IFERROR(__xludf.DUMMYFUNCTION("""COMPUTED_VALUE"""),853690.0)</f>
        <v>853690</v>
      </c>
      <c r="C4621" t="str">
        <f>IFERROR(__xludf.DUMMYFUNCTION("""COMPUTED_VALUE"""),"The Foundations of SIP")</f>
        <v>The Foundations of SIP</v>
      </c>
    </row>
    <row r="4622">
      <c r="A4622" s="140" t="str">
        <f>IFERROR(__xludf.DUMMYFUNCTION("""COMPUTED_VALUE"""),"de")</f>
        <v>de</v>
      </c>
      <c r="B4622">
        <f>IFERROR(__xludf.DUMMYFUNCTION("""COMPUTED_VALUE"""),3632692.0)</f>
        <v>3632692</v>
      </c>
      <c r="C4622" t="str">
        <f>IFERROR(__xludf.DUMMYFUNCTION("""COMPUTED_VALUE"""),"SEO: Erfolgreiche und sichtbare Texte schreiben | Marketing")</f>
        <v>SEO: Erfolgreiche und sichtbare Texte schreiben | Marketing</v>
      </c>
    </row>
    <row r="4623">
      <c r="A4623" s="140" t="str">
        <f>IFERROR(__xludf.DUMMYFUNCTION("""COMPUTED_VALUE"""),"es")</f>
        <v>es</v>
      </c>
      <c r="B4623">
        <f>IFERROR(__xludf.DUMMYFUNCTION("""COMPUTED_VALUE"""),1714668.0)</f>
        <v>1714668</v>
      </c>
      <c r="C4623" t="str">
        <f>IFERROR(__xludf.DUMMYFUNCTION("""COMPUTED_VALUE"""),"Curso Completo de Instagram Marketing")</f>
        <v>Curso Completo de Instagram Marketing</v>
      </c>
    </row>
    <row r="4624">
      <c r="A4624" s="140" t="str">
        <f>IFERROR(__xludf.DUMMYFUNCTION("""COMPUTED_VALUE"""),"es")</f>
        <v>es</v>
      </c>
      <c r="B4624">
        <f>IFERROR(__xludf.DUMMYFUNCTION("""COMPUTED_VALUE"""),798076.0)</f>
        <v>798076</v>
      </c>
      <c r="C4624" t="str">
        <f>IFERROR(__xludf.DUMMYFUNCTION("""COMPUTED_VALUE"""),"Introducción a Spring Web MVC 5.0 con Spring Boot")</f>
        <v>Introducción a Spring Web MVC 5.0 con Spring Boot</v>
      </c>
    </row>
    <row r="4625">
      <c r="A4625" s="140" t="str">
        <f>IFERROR(__xludf.DUMMYFUNCTION("""COMPUTED_VALUE"""),"en")</f>
        <v>en</v>
      </c>
      <c r="B4625">
        <f>IFERROR(__xludf.DUMMYFUNCTION("""COMPUTED_VALUE"""),1687616.0)</f>
        <v>1687616</v>
      </c>
      <c r="C4625" t="str">
        <f>IFERROR(__xludf.DUMMYFUNCTION("""COMPUTED_VALUE"""),"Forex Trading Strategy: Complete ALM System + Live Examples")</f>
        <v>Forex Trading Strategy: Complete ALM System + Live Examples</v>
      </c>
    </row>
    <row r="4626">
      <c r="A4626" s="140" t="str">
        <f>IFERROR(__xludf.DUMMYFUNCTION("""COMPUTED_VALUE"""),"en")</f>
        <v>en</v>
      </c>
      <c r="B4626">
        <f>IFERROR(__xludf.DUMMYFUNCTION("""COMPUTED_VALUE"""),109518.0)</f>
        <v>109518</v>
      </c>
      <c r="C4626" t="str">
        <f>IFERROR(__xludf.DUMMYFUNCTION("""COMPUTED_VALUE"""),"The Ultimate Microsoft Office 2010 Training Bundle  48 Hours")</f>
        <v>The Ultimate Microsoft Office 2010 Training Bundle  48 Hours</v>
      </c>
    </row>
    <row r="4627">
      <c r="A4627" s="140" t="str">
        <f>IFERROR(__xludf.DUMMYFUNCTION("""COMPUTED_VALUE"""),"ja")</f>
        <v>ja</v>
      </c>
      <c r="B4627">
        <f>IFERROR(__xludf.DUMMYFUNCTION("""COMPUTED_VALUE"""),1358635.0)</f>
        <v>1358635</v>
      </c>
      <c r="C4627" t="str">
        <f>IFERROR(__xludf.DUMMYFUNCTION("""COMPUTED_VALUE"""),"【2019年7月更新】誰でもかんたんに学べるAdobe XD入門講座｜実戦で使えるXDの基本機能を完全にマスターできる！")</f>
        <v>【2019年7月更新】誰でもかんたんに学べるAdobe XD入門講座｜実戦で使えるXDの基本機能を完全にマスターできる！</v>
      </c>
    </row>
    <row r="4628">
      <c r="A4628" s="140" t="str">
        <f>IFERROR(__xludf.DUMMYFUNCTION("""COMPUTED_VALUE"""),"en")</f>
        <v>en</v>
      </c>
      <c r="B4628">
        <f>IFERROR(__xludf.DUMMYFUNCTION("""COMPUTED_VALUE"""),397936.0)</f>
        <v>397936</v>
      </c>
      <c r="C4628" t="str">
        <f>IFERROR(__xludf.DUMMYFUNCTION("""COMPUTED_VALUE"""),"Pixel art for Video games")</f>
        <v>Pixel art for Video games</v>
      </c>
    </row>
    <row r="4629">
      <c r="A4629" s="140" t="str">
        <f>IFERROR(__xludf.DUMMYFUNCTION("""COMPUTED_VALUE"""),"en")</f>
        <v>en</v>
      </c>
      <c r="B4629">
        <f>IFERROR(__xludf.DUMMYFUNCTION("""COMPUTED_VALUE"""),3672786.0)</f>
        <v>3672786</v>
      </c>
      <c r="C4629" t="str">
        <f>IFERROR(__xludf.DUMMYFUNCTION("""COMPUTED_VALUE"""),"Secure Product Lifecycle 101")</f>
        <v>Secure Product Lifecycle 101</v>
      </c>
    </row>
    <row r="4630">
      <c r="A4630" s="140" t="str">
        <f>IFERROR(__xludf.DUMMYFUNCTION("""COMPUTED_VALUE"""),"en")</f>
        <v>en</v>
      </c>
      <c r="B4630">
        <f>IFERROR(__xludf.DUMMYFUNCTION("""COMPUTED_VALUE"""),721884.0)</f>
        <v>721884</v>
      </c>
      <c r="C4630" t="str">
        <f>IFERROR(__xludf.DUMMYFUNCTION("""COMPUTED_VALUE"""),"MSTest Unit Testing Tutorial for beginners : C# Unit Testing")</f>
        <v>MSTest Unit Testing Tutorial for beginners : C# Unit Testing</v>
      </c>
    </row>
    <row r="4631">
      <c r="A4631" s="140" t="str">
        <f>IFERROR(__xludf.DUMMYFUNCTION("""COMPUTED_VALUE"""),"en")</f>
        <v>en</v>
      </c>
      <c r="B4631">
        <f>IFERROR(__xludf.DUMMYFUNCTION("""COMPUTED_VALUE"""),1315262.0)</f>
        <v>1315262</v>
      </c>
      <c r="C4631" t="str">
        <f>IFERROR(__xludf.DUMMYFUNCTION("""COMPUTED_VALUE"""),"DevOps: CI/CD with Jenkins pipelines, Maven, Gradle")</f>
        <v>DevOps: CI/CD with Jenkins pipelines, Maven, Gradle</v>
      </c>
    </row>
    <row r="4632">
      <c r="A4632" s="140" t="str">
        <f>IFERROR(__xludf.DUMMYFUNCTION("""COMPUTED_VALUE"""),"en")</f>
        <v>en</v>
      </c>
      <c r="B4632">
        <f>IFERROR(__xludf.DUMMYFUNCTION("""COMPUTED_VALUE"""),1032872.0)</f>
        <v>1032872</v>
      </c>
      <c r="C4632" t="str">
        <f>IFERROR(__xludf.DUMMYFUNCTION("""COMPUTED_VALUE"""),"Vim for Ruby Developers")</f>
        <v>Vim for Ruby Developers</v>
      </c>
    </row>
    <row r="4633">
      <c r="A4633" s="140" t="str">
        <f>IFERROR(__xludf.DUMMYFUNCTION("""COMPUTED_VALUE"""),"en")</f>
        <v>en</v>
      </c>
      <c r="B4633">
        <f>IFERROR(__xludf.DUMMYFUNCTION("""COMPUTED_VALUE"""),2488744.0)</f>
        <v>2488744</v>
      </c>
      <c r="C4633" t="str">
        <f>IFERROR(__xludf.DUMMYFUNCTION("""COMPUTED_VALUE"""),"An Introduction to the Ethernet/IP Protocol")</f>
        <v>An Introduction to the Ethernet/IP Protocol</v>
      </c>
    </row>
    <row r="4634">
      <c r="A4634" s="140" t="str">
        <f>IFERROR(__xludf.DUMMYFUNCTION("""COMPUTED_VALUE"""),"fr")</f>
        <v>fr</v>
      </c>
      <c r="B4634">
        <f>IFERROR(__xludf.DUMMYFUNCTION("""COMPUTED_VALUE"""),1961814.0)</f>
        <v>1961814</v>
      </c>
      <c r="C4634" t="str">
        <f>IFERROR(__xludf.DUMMYFUNCTION("""COMPUTED_VALUE"""),"Cours d’Allemand pour Débutants")</f>
        <v>Cours d’Allemand pour Débutants</v>
      </c>
    </row>
    <row r="4635">
      <c r="A4635" s="140" t="str">
        <f>IFERROR(__xludf.DUMMYFUNCTION("""COMPUTED_VALUE"""),"pt")</f>
        <v>pt</v>
      </c>
      <c r="B4635">
        <f>IFERROR(__xludf.DUMMYFUNCTION("""COMPUTED_VALUE"""),3736528.0)</f>
        <v>3736528</v>
      </c>
      <c r="C4635" t="str">
        <f>IFERROR(__xludf.DUMMYFUNCTION("""COMPUTED_VALUE"""),"Data Science no Microsoft Excel")</f>
        <v>Data Science no Microsoft Excel</v>
      </c>
    </row>
    <row r="4636">
      <c r="A4636" s="140" t="str">
        <f>IFERROR(__xludf.DUMMYFUNCTION("""COMPUTED_VALUE"""),"en")</f>
        <v>en</v>
      </c>
      <c r="B4636">
        <f>IFERROR(__xludf.DUMMYFUNCTION("""COMPUTED_VALUE"""),3082988.0)</f>
        <v>3082988</v>
      </c>
      <c r="C4636" t="str">
        <f>IFERROR(__xludf.DUMMYFUNCTION("""COMPUTED_VALUE"""),"Applied Control Systems 1: autonomous cars: Math + PID + MPC")</f>
        <v>Applied Control Systems 1: autonomous cars: Math + PID + MPC</v>
      </c>
    </row>
    <row r="4637">
      <c r="A4637" s="140" t="str">
        <f>IFERROR(__xludf.DUMMYFUNCTION("""COMPUTED_VALUE"""),"es")</f>
        <v>es</v>
      </c>
      <c r="B4637">
        <f>IFERROR(__xludf.DUMMYFUNCTION("""COMPUTED_VALUE"""),2948832.0)</f>
        <v>2948832</v>
      </c>
      <c r="C4637" t="str">
        <f>IFERROR(__xludf.DUMMYFUNCTION("""COMPUTED_VALUE"""),"Aprende Cloud Computing desde Cero")</f>
        <v>Aprende Cloud Computing desde Cero</v>
      </c>
    </row>
    <row r="4638">
      <c r="A4638" s="140" t="str">
        <f>IFERROR(__xludf.DUMMYFUNCTION("""COMPUTED_VALUE"""),"en")</f>
        <v>en</v>
      </c>
      <c r="B4638">
        <f>IFERROR(__xludf.DUMMYFUNCTION("""COMPUTED_VALUE"""),399444.0)</f>
        <v>399444</v>
      </c>
      <c r="C4638" t="str">
        <f>IFERROR(__xludf.DUMMYFUNCTION("""COMPUTED_VALUE"""),"The Essential Guide to Entrepreneurship by Guy Kawasaki")</f>
        <v>The Essential Guide to Entrepreneurship by Guy Kawasaki</v>
      </c>
    </row>
    <row r="4639">
      <c r="A4639" s="140" t="str">
        <f>IFERROR(__xludf.DUMMYFUNCTION("""COMPUTED_VALUE"""),"en")</f>
        <v>en</v>
      </c>
      <c r="B4639">
        <f>IFERROR(__xludf.DUMMYFUNCTION("""COMPUTED_VALUE"""),507078.0)</f>
        <v>507078</v>
      </c>
      <c r="C4639" t="str">
        <f>IFERROR(__xludf.DUMMYFUNCTION("""COMPUTED_VALUE"""),"MDX Training Part 2")</f>
        <v>MDX Training Part 2</v>
      </c>
    </row>
    <row r="4640">
      <c r="A4640" s="140" t="str">
        <f>IFERROR(__xludf.DUMMYFUNCTION("""COMPUTED_VALUE"""),"en")</f>
        <v>en</v>
      </c>
      <c r="B4640">
        <f>IFERROR(__xludf.DUMMYFUNCTION("""COMPUTED_VALUE"""),1632804.0)</f>
        <v>1632804</v>
      </c>
      <c r="C4640" t="str">
        <f>IFERROR(__xludf.DUMMYFUNCTION("""COMPUTED_VALUE"""),"Flutter - Beginners Course")</f>
        <v>Flutter - Beginners Course</v>
      </c>
    </row>
    <row r="4641">
      <c r="A4641" s="140" t="str">
        <f>IFERROR(__xludf.DUMMYFUNCTION("""COMPUTED_VALUE"""),"en")</f>
        <v>en</v>
      </c>
      <c r="B4641">
        <f>IFERROR(__xludf.DUMMYFUNCTION("""COMPUTED_VALUE"""),3349106.0)</f>
        <v>3349106</v>
      </c>
      <c r="C4641" t="str">
        <f>IFERROR(__xludf.DUMMYFUNCTION("""COMPUTED_VALUE"""),"Private Equity and Venture Capital with a Witch")</f>
        <v>Private Equity and Venture Capital with a Witch</v>
      </c>
    </row>
    <row r="4642">
      <c r="A4642" s="140" t="str">
        <f>IFERROR(__xludf.DUMMYFUNCTION("""COMPUTED_VALUE"""),"en")</f>
        <v>en</v>
      </c>
      <c r="B4642">
        <f>IFERROR(__xludf.DUMMYFUNCTION("""COMPUTED_VALUE"""),848496.0)</f>
        <v>848496</v>
      </c>
      <c r="C4642" t="str">
        <f>IFERROR(__xludf.DUMMYFUNCTION("""COMPUTED_VALUE"""),"Deeply Practical Project Management (Earn 16 PDUs)")</f>
        <v>Deeply Practical Project Management (Earn 16 PDUs)</v>
      </c>
    </row>
    <row r="4643">
      <c r="A4643" s="140" t="str">
        <f>IFERROR(__xludf.DUMMYFUNCTION("""COMPUTED_VALUE"""),"es")</f>
        <v>es</v>
      </c>
      <c r="B4643">
        <f>IFERROR(__xludf.DUMMYFUNCTION("""COMPUTED_VALUE"""),1018788.0)</f>
        <v>1018788</v>
      </c>
      <c r="C4643" t="str">
        <f>IFERROR(__xludf.DUMMYFUNCTION("""COMPUTED_VALUE"""),"Maestría en Diseño Web Responsive (para no programadores)")</f>
        <v>Maestría en Diseño Web Responsive (para no programadores)</v>
      </c>
    </row>
    <row r="4644">
      <c r="A4644" s="140" t="str">
        <f>IFERROR(__xludf.DUMMYFUNCTION("""COMPUTED_VALUE"""),"en")</f>
        <v>en</v>
      </c>
      <c r="B4644">
        <f>IFERROR(__xludf.DUMMYFUNCTION("""COMPUTED_VALUE"""),994076.0)</f>
        <v>994076</v>
      </c>
      <c r="C4644" t="str">
        <f>IFERROR(__xludf.DUMMYFUNCTION("""COMPUTED_VALUE"""),"200+ SQL Interview Questions")</f>
        <v>200+ SQL Interview Questions</v>
      </c>
    </row>
    <row r="4645">
      <c r="A4645" s="140" t="str">
        <f>IFERROR(__xludf.DUMMYFUNCTION("""COMPUTED_VALUE"""),"en")</f>
        <v>en</v>
      </c>
      <c r="B4645">
        <f>IFERROR(__xludf.DUMMYFUNCTION("""COMPUTED_VALUE"""),1172526.0)</f>
        <v>1172526</v>
      </c>
      <c r="C4645" t="str">
        <f>IFERROR(__xludf.DUMMYFUNCTION("""COMPUTED_VALUE"""),"Ethereum Blockchain Developer Bootcamp With Solidity (2021)")</f>
        <v>Ethereum Blockchain Developer Bootcamp With Solidity (2021)</v>
      </c>
    </row>
    <row r="4646">
      <c r="A4646" s="140" t="str">
        <f>IFERROR(__xludf.DUMMYFUNCTION("""COMPUTED_VALUE"""),"es")</f>
        <v>es</v>
      </c>
      <c r="B4646">
        <f>IFERROR(__xludf.DUMMYFUNCTION("""COMPUTED_VALUE"""),553084.0)</f>
        <v>553084</v>
      </c>
      <c r="C4646" t="str">
        <f>IFERROR(__xludf.DUMMYFUNCTION("""COMPUTED_VALUE"""),"Fundamentos de programación en Java. Bases de la informática")</f>
        <v>Fundamentos de programación en Java. Bases de la informática</v>
      </c>
    </row>
    <row r="4647">
      <c r="A4647" s="140" t="str">
        <f>IFERROR(__xludf.DUMMYFUNCTION("""COMPUTED_VALUE"""),"en")</f>
        <v>en</v>
      </c>
      <c r="B4647">
        <f>IFERROR(__xludf.DUMMYFUNCTION("""COMPUTED_VALUE"""),3170214.0)</f>
        <v>3170214</v>
      </c>
      <c r="C4647" t="str">
        <f>IFERROR(__xludf.DUMMYFUNCTION("""COMPUTED_VALUE"""),"Complete Contract Management Bootcamp 2021: Zero to Hero")</f>
        <v>Complete Contract Management Bootcamp 2021: Zero to Hero</v>
      </c>
    </row>
    <row r="4648">
      <c r="A4648" s="140" t="str">
        <f>IFERROR(__xludf.DUMMYFUNCTION("""COMPUTED_VALUE"""),"en")</f>
        <v>en</v>
      </c>
      <c r="B4648">
        <f>IFERROR(__xludf.DUMMYFUNCTION("""COMPUTED_VALUE"""),107606.0)</f>
        <v>107606</v>
      </c>
      <c r="C4648" t="str">
        <f>IFERROR(__xludf.DUMMYFUNCTION("""COMPUTED_VALUE"""),"The Ultimate Microsoft Excel 2013 Training Bundle - 19 Hours")</f>
        <v>The Ultimate Microsoft Excel 2013 Training Bundle - 19 Hours</v>
      </c>
    </row>
    <row r="4649">
      <c r="A4649" s="140" t="str">
        <f>IFERROR(__xludf.DUMMYFUNCTION("""COMPUTED_VALUE"""),"tr")</f>
        <v>tr</v>
      </c>
      <c r="B4649">
        <f>IFERROR(__xludf.DUMMYFUNCTION("""COMPUTED_VALUE"""),1778302.0)</f>
        <v>1778302</v>
      </c>
      <c r="C4649" t="str">
        <f>IFERROR(__xludf.DUMMYFUNCTION("""COMPUTED_VALUE"""),"Almanca B2 - C1 (İleri Seviye Gramer)")</f>
        <v>Almanca B2 - C1 (İleri Seviye Gramer)</v>
      </c>
    </row>
    <row r="4650">
      <c r="A4650" s="140" t="str">
        <f>IFERROR(__xludf.DUMMYFUNCTION("""COMPUTED_VALUE"""),"ja")</f>
        <v>ja</v>
      </c>
      <c r="B4650">
        <f>IFERROR(__xludf.DUMMYFUNCTION("""COMPUTED_VALUE"""),3160214.0)</f>
        <v>3160214</v>
      </c>
      <c r="C4650" t="str">
        <f>IFERROR(__xludf.DUMMYFUNCTION("""COMPUTED_VALUE"""),"【2時間でサクッと学ぶ 】Webマーケティングの販促手法とアドテクノロジーの基礎")</f>
        <v>【2時間でサクッと学ぶ 】Webマーケティングの販促手法とアドテクノロジーの基礎</v>
      </c>
    </row>
    <row r="4651">
      <c r="A4651" s="140" t="str">
        <f>IFERROR(__xludf.DUMMYFUNCTION("""COMPUTED_VALUE"""),"es")</f>
        <v>es</v>
      </c>
      <c r="B4651">
        <f>IFERROR(__xludf.DUMMYFUNCTION("""COMPUTED_VALUE"""),2215254.0)</f>
        <v>2215254</v>
      </c>
      <c r="C4651" t="str">
        <f>IFERROR(__xludf.DUMMYFUNCTION("""COMPUTED_VALUE"""),"SketchUp 2021 + VRay Next. Aprende con Proyectos 3D Reales.")</f>
        <v>SketchUp 2021 + VRay Next. Aprende con Proyectos 3D Reales.</v>
      </c>
    </row>
    <row r="4652">
      <c r="A4652" s="140" t="str">
        <f>IFERROR(__xludf.DUMMYFUNCTION("""COMPUTED_VALUE"""),"es")</f>
        <v>es</v>
      </c>
      <c r="B4652">
        <f>IFERROR(__xludf.DUMMYFUNCTION("""COMPUTED_VALUE"""),1577144.0)</f>
        <v>1577144</v>
      </c>
      <c r="C4652" t="str">
        <f>IFERROR(__xludf.DUMMYFUNCTION("""COMPUTED_VALUE"""),"Creando 4 proyectos con React Js")</f>
        <v>Creando 4 proyectos con React Js</v>
      </c>
    </row>
    <row r="4653">
      <c r="A4653" s="140" t="str">
        <f>IFERROR(__xludf.DUMMYFUNCTION("""COMPUTED_VALUE"""),"en")</f>
        <v>en</v>
      </c>
      <c r="B4653">
        <f>IFERROR(__xludf.DUMMYFUNCTION("""COMPUTED_VALUE"""),1211916.0)</f>
        <v>1211916</v>
      </c>
      <c r="C4653" t="str">
        <f>IFERROR(__xludf.DUMMYFUNCTION("""COMPUTED_VALUE"""),"[2022] The Essentials of Feedback &amp; Performance Management")</f>
        <v>[2022] The Essentials of Feedback &amp; Performance Management</v>
      </c>
    </row>
    <row r="4654">
      <c r="A4654" s="140" t="str">
        <f>IFERROR(__xludf.DUMMYFUNCTION("""COMPUTED_VALUE"""),"en")</f>
        <v>en</v>
      </c>
      <c r="B4654">
        <f>IFERROR(__xludf.DUMMYFUNCTION("""COMPUTED_VALUE"""),2577178.0)</f>
        <v>2577178</v>
      </c>
      <c r="C4654" t="str">
        <f>IFERROR(__xludf.DUMMYFUNCTION("""COMPUTED_VALUE"""),"Vision Creation Practitioner Certificate [Accredited]")</f>
        <v>Vision Creation Practitioner Certificate [Accredited]</v>
      </c>
    </row>
    <row r="4655">
      <c r="A4655" s="140" t="str">
        <f>IFERROR(__xludf.DUMMYFUNCTION("""COMPUTED_VALUE"""),"es")</f>
        <v>es</v>
      </c>
      <c r="B4655">
        <f>IFERROR(__xludf.DUMMYFUNCTION("""COMPUTED_VALUE"""),1838274.0)</f>
        <v>1838274</v>
      </c>
      <c r="C4655" t="str">
        <f>IFERROR(__xludf.DUMMYFUNCTION("""COMPUTED_VALUE"""),"Configuración básica de switches Cisco para principiantes")</f>
        <v>Configuración básica de switches Cisco para principiantes</v>
      </c>
    </row>
    <row r="4656">
      <c r="A4656" s="140" t="str">
        <f>IFERROR(__xludf.DUMMYFUNCTION("""COMPUTED_VALUE"""),"pt")</f>
        <v>pt</v>
      </c>
      <c r="B4656">
        <f>IFERROR(__xludf.DUMMYFUNCTION("""COMPUTED_VALUE"""),2965262.0)</f>
        <v>2965262</v>
      </c>
      <c r="C4656" t="str">
        <f>IFERROR(__xludf.DUMMYFUNCTION("""COMPUTED_VALUE"""),"Neuro Marketing | StoryTelling Para Aumentar Vendas")</f>
        <v>Neuro Marketing | StoryTelling Para Aumentar Vendas</v>
      </c>
    </row>
    <row r="4657">
      <c r="A4657" s="140" t="str">
        <f>IFERROR(__xludf.DUMMYFUNCTION("""COMPUTED_VALUE"""),"en")</f>
        <v>en</v>
      </c>
      <c r="B4657">
        <f>IFERROR(__xludf.DUMMYFUNCTION("""COMPUTED_VALUE"""),1312466.0)</f>
        <v>1312466</v>
      </c>
      <c r="C4657" t="str">
        <f>IFERROR(__xludf.DUMMYFUNCTION("""COMPUTED_VALUE"""),"The Complete PL/SQL Bootcamp : ""Beginner to Advanced PL/SQL""")</f>
        <v>The Complete PL/SQL Bootcamp : "Beginner to Advanced PL/SQL"</v>
      </c>
    </row>
    <row r="4658">
      <c r="A4658" s="140" t="str">
        <f>IFERROR(__xludf.DUMMYFUNCTION("""COMPUTED_VALUE"""),"ja")</f>
        <v>ja</v>
      </c>
      <c r="B4658">
        <f>IFERROR(__xludf.DUMMYFUNCTION("""COMPUTED_VALUE"""),2325976.0)</f>
        <v>2325976</v>
      </c>
      <c r="C4658" t="str">
        <f>IFERROR(__xludf.DUMMYFUNCTION("""COMPUTED_VALUE"""),"【SAA-C02版】AWS 認定ソリューションアーキテクト アソシエイト模擬試験問題集（6回分390問）")</f>
        <v>【SAA-C02版】AWS 認定ソリューションアーキテクト アソシエイト模擬試験問題集（6回分390問）</v>
      </c>
    </row>
    <row r="4659">
      <c r="A4659" s="140" t="str">
        <f>IFERROR(__xludf.DUMMYFUNCTION("""COMPUTED_VALUE"""),"de")</f>
        <v>de</v>
      </c>
      <c r="B4659">
        <f>IFERROR(__xludf.DUMMYFUNCTION("""COMPUTED_VALUE"""),782434.0)</f>
        <v>782434</v>
      </c>
      <c r="C4659" t="str">
        <f>IFERROR(__xludf.DUMMYFUNCTION("""COMPUTED_VALUE"""),"Einführung in die Verschlüsselung: Terminologie &amp; Technik")</f>
        <v>Einführung in die Verschlüsselung: Terminologie &amp; Technik</v>
      </c>
    </row>
    <row r="4660">
      <c r="A4660" s="140" t="str">
        <f>IFERROR(__xludf.DUMMYFUNCTION("""COMPUTED_VALUE"""),"pt")</f>
        <v>pt</v>
      </c>
      <c r="B4660">
        <f>IFERROR(__xludf.DUMMYFUNCTION("""COMPUTED_VALUE"""),1929786.0)</f>
        <v>1929786</v>
      </c>
      <c r="C4660" t="str">
        <f>IFERROR(__xludf.DUMMYFUNCTION("""COMPUTED_VALUE"""),"Manual Prático do Deep Learning - Redes Neurais Profundas")</f>
        <v>Manual Prático do Deep Learning - Redes Neurais Profundas</v>
      </c>
    </row>
    <row r="4661">
      <c r="A4661" s="140" t="str">
        <f>IFERROR(__xludf.DUMMYFUNCTION("""COMPUTED_VALUE"""),"en")</f>
        <v>en</v>
      </c>
      <c r="B4661">
        <f>IFERROR(__xludf.DUMMYFUNCTION("""COMPUTED_VALUE"""),1256448.0)</f>
        <v>1256448</v>
      </c>
      <c r="C4661" t="str">
        <f>IFERROR(__xludf.DUMMYFUNCTION("""COMPUTED_VALUE"""),"Adobe InDesign CC Complete Masterclass: Learn Adobe InDesign")</f>
        <v>Adobe InDesign CC Complete Masterclass: Learn Adobe InDesign</v>
      </c>
    </row>
    <row r="4662">
      <c r="A4662" s="140" t="str">
        <f>IFERROR(__xludf.DUMMYFUNCTION("""COMPUTED_VALUE"""),"ja")</f>
        <v>ja</v>
      </c>
      <c r="B4662">
        <f>IFERROR(__xludf.DUMMYFUNCTION("""COMPUTED_VALUE"""),4164260.0)</f>
        <v>4164260</v>
      </c>
      <c r="C4662" t="str">
        <f>IFERROR(__xludf.DUMMYFUNCTION("""COMPUTED_VALUE"""),"【世界で3万人が受講】演習テスト: AWS 認定 ソリューションアーキテクトアソシエイト")</f>
        <v>【世界で3万人が受講】演習テスト: AWS 認定 ソリューションアーキテクトアソシエイト</v>
      </c>
    </row>
    <row r="4663">
      <c r="A4663" s="140" t="str">
        <f>IFERROR(__xludf.DUMMYFUNCTION("""COMPUTED_VALUE"""),"en")</f>
        <v>en</v>
      </c>
      <c r="B4663">
        <f>IFERROR(__xludf.DUMMYFUNCTION("""COMPUTED_VALUE"""),1786976.0)</f>
        <v>1786976</v>
      </c>
      <c r="C4663" t="str">
        <f>IFERROR(__xludf.DUMMYFUNCTION("""COMPUTED_VALUE"""),"A Beginners Guide to Exadata Patching for Oracle DBA's")</f>
        <v>A Beginners Guide to Exadata Patching for Oracle DBA's</v>
      </c>
    </row>
    <row r="4664">
      <c r="A4664" s="140" t="str">
        <f>IFERROR(__xludf.DUMMYFUNCTION("""COMPUTED_VALUE"""),"en")</f>
        <v>en</v>
      </c>
      <c r="B4664">
        <f>IFERROR(__xludf.DUMMYFUNCTION("""COMPUTED_VALUE"""),1470528.0)</f>
        <v>1470528</v>
      </c>
      <c r="C4664" t="str">
        <f>IFERROR(__xludf.DUMMYFUNCTION("""COMPUTED_VALUE"""),"Complete Google Earth Engine for Remote Sensing &amp; GIS")</f>
        <v>Complete Google Earth Engine for Remote Sensing &amp; GIS</v>
      </c>
    </row>
    <row r="4665">
      <c r="A4665" s="140" t="str">
        <f>IFERROR(__xludf.DUMMYFUNCTION("""COMPUTED_VALUE"""),"en")</f>
        <v>en</v>
      </c>
      <c r="B4665">
        <f>IFERROR(__xludf.DUMMYFUNCTION("""COMPUTED_VALUE"""),3808428.0)</f>
        <v>3808428</v>
      </c>
      <c r="C4665" t="str">
        <f>IFERROR(__xludf.DUMMYFUNCTION("""COMPUTED_VALUE"""),"Complete Advance Ethical Hacking Keylogger Practical C|AHKP")</f>
        <v>Complete Advance Ethical Hacking Keylogger Practical C|AHKP</v>
      </c>
    </row>
    <row r="4666">
      <c r="A4666" s="140" t="str">
        <f>IFERROR(__xludf.DUMMYFUNCTION("""COMPUTED_VALUE"""),"en")</f>
        <v>en</v>
      </c>
      <c r="B4666">
        <f>IFERROR(__xludf.DUMMYFUNCTION("""COMPUTED_VALUE"""),1032014.0)</f>
        <v>1032014</v>
      </c>
      <c r="C4666" t="str">
        <f>IFERROR(__xludf.DUMMYFUNCTION("""COMPUTED_VALUE"""),"Learn How to Fix Wi-Fi, Computer, and Networking problems!")</f>
        <v>Learn How to Fix Wi-Fi, Computer, and Networking problems!</v>
      </c>
    </row>
    <row r="4667">
      <c r="A4667" s="140" t="str">
        <f>IFERROR(__xludf.DUMMYFUNCTION("""COMPUTED_VALUE"""),"en")</f>
        <v>en</v>
      </c>
      <c r="B4667">
        <f>IFERROR(__xludf.DUMMYFUNCTION("""COMPUTED_VALUE"""),3533698.0)</f>
        <v>3533698</v>
      </c>
      <c r="C4667" t="str">
        <f>IFERROR(__xludf.DUMMYFUNCTION("""COMPUTED_VALUE"""),"Agile Project Management: Agile, Scrum, Kanban &amp; XP")</f>
        <v>Agile Project Management: Agile, Scrum, Kanban &amp; XP</v>
      </c>
    </row>
    <row r="4668">
      <c r="A4668" s="140" t="str">
        <f>IFERROR(__xludf.DUMMYFUNCTION("""COMPUTED_VALUE"""),"es")</f>
        <v>es</v>
      </c>
      <c r="B4668">
        <f>IFERROR(__xludf.DUMMYFUNCTION("""COMPUTED_VALUE"""),3433032.0)</f>
        <v>3433032</v>
      </c>
      <c r="C4668" t="str">
        <f>IFERROR(__xludf.DUMMYFUNCTION("""COMPUTED_VALUE"""),"Apache Kafka con Java, Spring framework y AWS")</f>
        <v>Apache Kafka con Java, Spring framework y AWS</v>
      </c>
    </row>
    <row r="4669">
      <c r="A4669" s="140" t="str">
        <f>IFERROR(__xludf.DUMMYFUNCTION("""COMPUTED_VALUE"""),"en")</f>
        <v>en</v>
      </c>
      <c r="B4669">
        <f>IFERROR(__xludf.DUMMYFUNCTION("""COMPUTED_VALUE"""),1335572.0)</f>
        <v>1335572</v>
      </c>
      <c r="C4669" t="str">
        <f>IFERROR(__xludf.DUMMYFUNCTION("""COMPUTED_VALUE"""),"Microsoft Windows Server 2016 Certification (70-741)")</f>
        <v>Microsoft Windows Server 2016 Certification (70-741)</v>
      </c>
    </row>
    <row r="4670">
      <c r="A4670" s="140" t="str">
        <f>IFERROR(__xludf.DUMMYFUNCTION("""COMPUTED_VALUE"""),"en")</f>
        <v>en</v>
      </c>
      <c r="B4670">
        <f>IFERROR(__xludf.DUMMYFUNCTION("""COMPUTED_VALUE"""),2770900.0)</f>
        <v>2770900</v>
      </c>
      <c r="C4670" t="str">
        <f>IFERROR(__xludf.DUMMYFUNCTION("""COMPUTED_VALUE"""),"The Complete Mobile Ethical Hacking Course")</f>
        <v>The Complete Mobile Ethical Hacking Course</v>
      </c>
    </row>
    <row r="4671">
      <c r="A4671" s="140" t="str">
        <f>IFERROR(__xludf.DUMMYFUNCTION("""COMPUTED_VALUE"""),"en")</f>
        <v>en</v>
      </c>
      <c r="B4671">
        <f>IFERROR(__xludf.DUMMYFUNCTION("""COMPUTED_VALUE"""),1476132.0)</f>
        <v>1476132</v>
      </c>
      <c r="C4671" t="str">
        <f>IFERROR(__xludf.DUMMYFUNCTION("""COMPUTED_VALUE"""),"Google Tag Manager (GTM) Training Course - From Zero to Hero")</f>
        <v>Google Tag Manager (GTM) Training Course - From Zero to Hero</v>
      </c>
    </row>
    <row r="4672">
      <c r="A4672" s="140" t="str">
        <f>IFERROR(__xludf.DUMMYFUNCTION("""COMPUTED_VALUE"""),"en")</f>
        <v>en</v>
      </c>
      <c r="B4672">
        <f>IFERROR(__xludf.DUMMYFUNCTION("""COMPUTED_VALUE"""),2650398.0)</f>
        <v>2650398</v>
      </c>
      <c r="C4672" t="str">
        <f>IFERROR(__xludf.DUMMYFUNCTION("""COMPUTED_VALUE"""),"Browsers to Buyers: 21 Powerful Website Copywriting Hacks")</f>
        <v>Browsers to Buyers: 21 Powerful Website Copywriting Hacks</v>
      </c>
    </row>
    <row r="4673">
      <c r="A4673" s="140" t="str">
        <f>IFERROR(__xludf.DUMMYFUNCTION("""COMPUTED_VALUE"""),"tr")</f>
        <v>tr</v>
      </c>
      <c r="B4673">
        <f>IFERROR(__xludf.DUMMYFUNCTION("""COMPUTED_VALUE"""),3348952.0)</f>
        <v>3348952</v>
      </c>
      <c r="C4673" t="str">
        <f>IFERROR(__xludf.DUMMYFUNCTION("""COMPUTED_VALUE"""),"Baştan Sona Web Tasarım Eğitimi")</f>
        <v>Baştan Sona Web Tasarım Eğitimi</v>
      </c>
    </row>
    <row r="4674">
      <c r="A4674" s="140" t="str">
        <f>IFERROR(__xludf.DUMMYFUNCTION("""COMPUTED_VALUE"""),"en")</f>
        <v>en</v>
      </c>
      <c r="B4674">
        <f>IFERROR(__xludf.DUMMYFUNCTION("""COMPUTED_VALUE"""),2436382.0)</f>
        <v>2436382</v>
      </c>
      <c r="C4674" t="str">
        <f>IFERROR(__xludf.DUMMYFUNCTION("""COMPUTED_VALUE"""),"Electric Vehicle basics")</f>
        <v>Electric Vehicle basics</v>
      </c>
    </row>
    <row r="4675">
      <c r="A4675" s="140" t="str">
        <f>IFERROR(__xludf.DUMMYFUNCTION("""COMPUTED_VALUE"""),"en")</f>
        <v>en</v>
      </c>
      <c r="B4675">
        <f>IFERROR(__xludf.DUMMYFUNCTION("""COMPUTED_VALUE"""),1039062.0)</f>
        <v>1039062</v>
      </c>
      <c r="C4675" t="str">
        <f>IFERROR(__xludf.DUMMYFUNCTION("""COMPUTED_VALUE"""),"Webpack 2: The Complete Developer's Guide")</f>
        <v>Webpack 2: The Complete Developer's Guide</v>
      </c>
    </row>
    <row r="4676">
      <c r="A4676" s="140" t="str">
        <f>IFERROR(__xludf.DUMMYFUNCTION("""COMPUTED_VALUE"""),"pt")</f>
        <v>pt</v>
      </c>
      <c r="B4676">
        <f>IFERROR(__xludf.DUMMYFUNCTION("""COMPUTED_VALUE"""),1487678.0)</f>
        <v>1487678</v>
      </c>
      <c r="C4676" t="str">
        <f>IFERROR(__xludf.DUMMYFUNCTION("""COMPUTED_VALUE"""),"Curso Completo de Administração do Tempo")</f>
        <v>Curso Completo de Administração do Tempo</v>
      </c>
    </row>
    <row r="4677">
      <c r="A4677" s="140" t="str">
        <f>IFERROR(__xludf.DUMMYFUNCTION("""COMPUTED_VALUE"""),"en")</f>
        <v>en</v>
      </c>
      <c r="B4677">
        <f>IFERROR(__xludf.DUMMYFUNCTION("""COMPUTED_VALUE"""),1001214.0)</f>
        <v>1001214</v>
      </c>
      <c r="C4677" t="str">
        <f>IFERROR(__xludf.DUMMYFUNCTION("""COMPUTED_VALUE"""),"Arduino Bootcamp : Learning Through Projects")</f>
        <v>Arduino Bootcamp : Learning Through Projects</v>
      </c>
    </row>
    <row r="4678">
      <c r="A4678" s="140" t="str">
        <f>IFERROR(__xludf.DUMMYFUNCTION("""COMPUTED_VALUE"""),"en")</f>
        <v>en</v>
      </c>
      <c r="B4678">
        <f>IFERROR(__xludf.DUMMYFUNCTION("""COMPUTED_VALUE"""),2015078.0)</f>
        <v>2015078</v>
      </c>
      <c r="C4678" t="str">
        <f>IFERROR(__xludf.DUMMYFUNCTION("""COMPUTED_VALUE"""),"CompTIA Security+ (SY0-501) Practice Exams with Simulations")</f>
        <v>CompTIA Security+ (SY0-501) Practice Exams with Simulations</v>
      </c>
    </row>
    <row r="4679">
      <c r="A4679" s="140" t="str">
        <f>IFERROR(__xludf.DUMMYFUNCTION("""COMPUTED_VALUE"""),"fr")</f>
        <v>fr</v>
      </c>
      <c r="B4679">
        <f>IFERROR(__xludf.DUMMYFUNCTION("""COMPUTED_VALUE"""),2269932.0)</f>
        <v>2269932</v>
      </c>
      <c r="C4679" t="str">
        <f>IFERROR(__xludf.DUMMYFUNCTION("""COMPUTED_VALUE"""),"Vue.js 2 - Le guide complet pour débutant")</f>
        <v>Vue.js 2 - Le guide complet pour débutant</v>
      </c>
    </row>
    <row r="4680">
      <c r="A4680" s="140" t="str">
        <f>IFERROR(__xludf.DUMMYFUNCTION("""COMPUTED_VALUE"""),"es")</f>
        <v>es</v>
      </c>
      <c r="B4680">
        <f>IFERROR(__xludf.DUMMYFUNCTION("""COMPUTED_VALUE"""),3264424.0)</f>
        <v>3264424</v>
      </c>
      <c r="C4680" t="str">
        <f>IFERROR(__xludf.DUMMYFUNCTION("""COMPUTED_VALUE"""),"Microservicios con ASP.NET Core,Docker y RabbitMQ")</f>
        <v>Microservicios con ASP.NET Core,Docker y RabbitMQ</v>
      </c>
    </row>
    <row r="4681">
      <c r="A4681" s="140" t="str">
        <f>IFERROR(__xludf.DUMMYFUNCTION("""COMPUTED_VALUE"""),"tr")</f>
        <v>tr</v>
      </c>
      <c r="B4681">
        <f>IFERROR(__xludf.DUMMYFUNCTION("""COMPUTED_VALUE"""),2115554.0)</f>
        <v>2115554</v>
      </c>
      <c r="C4681" t="str">
        <f>IFERROR(__xludf.DUMMYFUNCTION("""COMPUTED_VALUE"""),"360° Dijital Pazarlama Eğitimi")</f>
        <v>360° Dijital Pazarlama Eğitimi</v>
      </c>
    </row>
    <row r="4682">
      <c r="A4682" s="140" t="str">
        <f>IFERROR(__xludf.DUMMYFUNCTION("""COMPUTED_VALUE"""),"en")</f>
        <v>en</v>
      </c>
      <c r="B4682">
        <f>IFERROR(__xludf.DUMMYFUNCTION("""COMPUTED_VALUE"""),1098888.0)</f>
        <v>1098888</v>
      </c>
      <c r="C4682" t="str">
        <f>IFERROR(__xludf.DUMMYFUNCTION("""COMPUTED_VALUE"""),"Ultimate Electric Circuits for Electrical Engineering")</f>
        <v>Ultimate Electric Circuits for Electrical Engineering</v>
      </c>
    </row>
    <row r="4683">
      <c r="A4683" s="140" t="str">
        <f>IFERROR(__xludf.DUMMYFUNCTION("""COMPUTED_VALUE"""),"en")</f>
        <v>en</v>
      </c>
      <c r="B4683">
        <f>IFERROR(__xludf.DUMMYFUNCTION("""COMPUTED_VALUE"""),845284.0)</f>
        <v>845284</v>
      </c>
      <c r="C4683" t="str">
        <f>IFERROR(__xludf.DUMMYFUNCTION("""COMPUTED_VALUE"""),"Microsoft Access 2016 Master Class: Beginner to Advanced")</f>
        <v>Microsoft Access 2016 Master Class: Beginner to Advanced</v>
      </c>
    </row>
    <row r="4684">
      <c r="A4684" s="140" t="str">
        <f>IFERROR(__xludf.DUMMYFUNCTION("""COMPUTED_VALUE"""),"en")</f>
        <v>en</v>
      </c>
      <c r="B4684">
        <f>IFERROR(__xludf.DUMMYFUNCTION("""COMPUTED_VALUE"""),737350.0)</f>
        <v>737350</v>
      </c>
      <c r="C4684" t="str">
        <f>IFERROR(__xludf.DUMMYFUNCTION("""COMPUTED_VALUE"""),"The Complete Public Speaking Certification Program (Part 3)")</f>
        <v>The Complete Public Speaking Certification Program (Part 3)</v>
      </c>
    </row>
    <row r="4685">
      <c r="A4685" s="140" t="str">
        <f>IFERROR(__xludf.DUMMYFUNCTION("""COMPUTED_VALUE"""),"ja")</f>
        <v>ja</v>
      </c>
      <c r="B4685">
        <f>IFERROR(__xludf.DUMMYFUNCTION("""COMPUTED_VALUE"""),1683890.0)</f>
        <v>1683890</v>
      </c>
      <c r="C4685" t="str">
        <f>IFERROR(__xludf.DUMMYFUNCTION("""COMPUTED_VALUE"""),"すべてのリーダーがチームを率いるために必要な対話スキルを学ぶ最先端のプログラム『DELICオンライン』")</f>
        <v>すべてのリーダーがチームを率いるために必要な対話スキルを学ぶ最先端のプログラム『DELICオンライン』</v>
      </c>
    </row>
    <row r="4686">
      <c r="A4686" s="140" t="str">
        <f>IFERROR(__xludf.DUMMYFUNCTION("""COMPUTED_VALUE"""),"en")</f>
        <v>en</v>
      </c>
      <c r="B4686">
        <f>IFERROR(__xludf.DUMMYFUNCTION("""COMPUTED_VALUE"""),1510852.0)</f>
        <v>1510852</v>
      </c>
      <c r="C4686" t="str">
        <f>IFERROR(__xludf.DUMMYFUNCTION("""COMPUTED_VALUE"""),"Google Cloud Professional Data Engineer Course [2019 Update]")</f>
        <v>Google Cloud Professional Data Engineer Course [2019 Update]</v>
      </c>
    </row>
    <row r="4687">
      <c r="A4687" s="140" t="str">
        <f>IFERROR(__xludf.DUMMYFUNCTION("""COMPUTED_VALUE"""),"en")</f>
        <v>en</v>
      </c>
      <c r="B4687">
        <f>IFERROR(__xludf.DUMMYFUNCTION("""COMPUTED_VALUE"""),2333344.0)</f>
        <v>2333344</v>
      </c>
      <c r="C4687" t="str">
        <f>IFERROR(__xludf.DUMMYFUNCTION("""COMPUTED_VALUE"""),"Akka Remoting and Clustering with Scala | Rock the JVM")</f>
        <v>Akka Remoting and Clustering with Scala | Rock the JVM</v>
      </c>
    </row>
    <row r="4688">
      <c r="A4688" s="140" t="str">
        <f>IFERROR(__xludf.DUMMYFUNCTION("""COMPUTED_VALUE"""),"en")</f>
        <v>en</v>
      </c>
      <c r="B4688">
        <f>IFERROR(__xludf.DUMMYFUNCTION("""COMPUTED_VALUE"""),1271308.0)</f>
        <v>1271308</v>
      </c>
      <c r="C4688" t="str">
        <f>IFERROR(__xludf.DUMMYFUNCTION("""COMPUTED_VALUE"""),"Building a Facebook Chatbot in Chatfuel")</f>
        <v>Building a Facebook Chatbot in Chatfuel</v>
      </c>
    </row>
    <row r="4689">
      <c r="A4689" s="140" t="str">
        <f>IFERROR(__xludf.DUMMYFUNCTION("""COMPUTED_VALUE"""),"en")</f>
        <v>en</v>
      </c>
      <c r="B4689">
        <f>IFERROR(__xludf.DUMMYFUNCTION("""COMPUTED_VALUE"""),416874.0)</f>
        <v>416874</v>
      </c>
      <c r="C4689" t="str">
        <f>IFERROR(__xludf.DUMMYFUNCTION("""COMPUTED_VALUE"""),"Pinterest Marketing: Using Pinterest for Business Growth")</f>
        <v>Pinterest Marketing: Using Pinterest for Business Growth</v>
      </c>
    </row>
    <row r="4690">
      <c r="A4690" s="140" t="str">
        <f>IFERROR(__xludf.DUMMYFUNCTION("""COMPUTED_VALUE"""),"en")</f>
        <v>en</v>
      </c>
      <c r="B4690">
        <f>IFERROR(__xludf.DUMMYFUNCTION("""COMPUTED_VALUE"""),1245870.0)</f>
        <v>1245870</v>
      </c>
      <c r="C4690" t="str">
        <f>IFERROR(__xludf.DUMMYFUNCTION("""COMPUTED_VALUE"""),"Complete Elasticsearch Masterclass with Logstash and Kibana")</f>
        <v>Complete Elasticsearch Masterclass with Logstash and Kibana</v>
      </c>
    </row>
    <row r="4691">
      <c r="A4691" s="140" t="str">
        <f>IFERROR(__xludf.DUMMYFUNCTION("""COMPUTED_VALUE"""),"en")</f>
        <v>en</v>
      </c>
      <c r="B4691">
        <f>IFERROR(__xludf.DUMMYFUNCTION("""COMPUTED_VALUE"""),1379800.0)</f>
        <v>1379800</v>
      </c>
      <c r="C4691" t="str">
        <f>IFERROR(__xludf.DUMMYFUNCTION("""COMPUTED_VALUE"""),"How to Build your Professional Network")</f>
        <v>How to Build your Professional Network</v>
      </c>
    </row>
    <row r="4692">
      <c r="A4692" s="140" t="str">
        <f>IFERROR(__xludf.DUMMYFUNCTION("""COMPUTED_VALUE"""),"fr")</f>
        <v>fr</v>
      </c>
      <c r="B4692">
        <f>IFERROR(__xludf.DUMMYFUNCTION("""COMPUTED_VALUE"""),1193056.0)</f>
        <v>1193056</v>
      </c>
      <c r="C4692" t="str">
        <f>IFERROR(__xludf.DUMMYFUNCTION("""COMPUTED_VALUE"""),"Trader sur le Forex avec Ichimoku")</f>
        <v>Trader sur le Forex avec Ichimoku</v>
      </c>
    </row>
    <row r="4693">
      <c r="A4693" s="140" t="str">
        <f>IFERROR(__xludf.DUMMYFUNCTION("""COMPUTED_VALUE"""),"en")</f>
        <v>en</v>
      </c>
      <c r="B4693">
        <f>IFERROR(__xludf.DUMMYFUNCTION("""COMPUTED_VALUE"""),1045078.0)</f>
        <v>1045078</v>
      </c>
      <c r="C4693" t="str">
        <f>IFERROR(__xludf.DUMMYFUNCTION("""COMPUTED_VALUE"""),"Microsoft Access VBA, Design and Advanced Methods Workshop 1")</f>
        <v>Microsoft Access VBA, Design and Advanced Methods Workshop 1</v>
      </c>
    </row>
    <row r="4694">
      <c r="A4694" s="140" t="str">
        <f>IFERROR(__xludf.DUMMYFUNCTION("""COMPUTED_VALUE"""),"pt")</f>
        <v>pt</v>
      </c>
      <c r="B4694">
        <f>IFERROR(__xludf.DUMMYFUNCTION("""COMPUTED_VALUE"""),506512.0)</f>
        <v>506512</v>
      </c>
      <c r="C4694" t="str">
        <f>IFERROR(__xludf.DUMMYFUNCTION("""COMPUTED_VALUE"""),"O Curso Completo de Inglês – Do ZERO Ao Intermediário")</f>
        <v>O Curso Completo de Inglês – Do ZERO Ao Intermediário</v>
      </c>
    </row>
    <row r="4695">
      <c r="A4695" s="140" t="str">
        <f>IFERROR(__xludf.DUMMYFUNCTION("""COMPUTED_VALUE"""),"en")</f>
        <v>en</v>
      </c>
      <c r="B4695">
        <f>IFERROR(__xludf.DUMMYFUNCTION("""COMPUTED_VALUE"""),1423634.0)</f>
        <v>1423634</v>
      </c>
      <c r="C4695" t="str">
        <f>IFERROR(__xludf.DUMMYFUNCTION("""COMPUTED_VALUE"""),"Learn RabbitMQ: Asynchronous Messaging with Java and Spring")</f>
        <v>Learn RabbitMQ: Asynchronous Messaging with Java and Spring</v>
      </c>
    </row>
    <row r="4696">
      <c r="A4696" s="140" t="str">
        <f>IFERROR(__xludf.DUMMYFUNCTION("""COMPUTED_VALUE"""),"en")</f>
        <v>en</v>
      </c>
      <c r="B4696">
        <f>IFERROR(__xludf.DUMMYFUNCTION("""COMPUTED_VALUE"""),840388.0)</f>
        <v>840388</v>
      </c>
      <c r="C4696" t="str">
        <f>IFERROR(__xludf.DUMMYFUNCTION("""COMPUTED_VALUE"""),"100% Official Certified CBT Practitioner - IGCBT™ Certified")</f>
        <v>100% Official Certified CBT Practitioner - IGCBT™ Certified</v>
      </c>
    </row>
    <row r="4697">
      <c r="A4697" s="140" t="str">
        <f>IFERROR(__xludf.DUMMYFUNCTION("""COMPUTED_VALUE"""),"en")</f>
        <v>en</v>
      </c>
      <c r="B4697">
        <f>IFERROR(__xludf.DUMMYFUNCTION("""COMPUTED_VALUE"""),2387748.0)</f>
        <v>2387748</v>
      </c>
      <c r="C4697" t="str">
        <f>IFERROR(__xludf.DUMMYFUNCTION("""COMPUTED_VALUE"""),"Machine Learning Regression Masterclass in Python")</f>
        <v>Machine Learning Regression Masterclass in Python</v>
      </c>
    </row>
    <row r="4698">
      <c r="A4698" s="140" t="str">
        <f>IFERROR(__xludf.DUMMYFUNCTION("""COMPUTED_VALUE"""),"ja")</f>
        <v>ja</v>
      </c>
      <c r="B4698">
        <f>IFERROR(__xludf.DUMMYFUNCTION("""COMPUTED_VALUE"""),1931042.0)</f>
        <v>1931042</v>
      </c>
      <c r="C4698" t="str">
        <f>IFERROR(__xludf.DUMMYFUNCTION("""COMPUTED_VALUE"""),"SwiftとXcodeの基本を完全マスター　絶対に挫折しないiPhoneアプリ開発講座 Swift4, Xcode9対応")</f>
        <v>SwiftとXcodeの基本を完全マスター　絶対に挫折しないiPhoneアプリ開発講座 Swift4, Xcode9対応</v>
      </c>
    </row>
    <row r="4699">
      <c r="A4699" s="140" t="str">
        <f>IFERROR(__xludf.DUMMYFUNCTION("""COMPUTED_VALUE"""),"en")</f>
        <v>en</v>
      </c>
      <c r="B4699">
        <f>IFERROR(__xludf.DUMMYFUNCTION("""COMPUTED_VALUE"""),818136.0)</f>
        <v>818136</v>
      </c>
      <c r="C4699" t="str">
        <f>IFERROR(__xludf.DUMMYFUNCTION("""COMPUTED_VALUE"""),"Build Your Own Online Store - No Coding Required!")</f>
        <v>Build Your Own Online Store - No Coding Required!</v>
      </c>
    </row>
    <row r="4700">
      <c r="A4700" s="140" t="str">
        <f>IFERROR(__xludf.DUMMYFUNCTION("""COMPUTED_VALUE"""),"en")</f>
        <v>en</v>
      </c>
      <c r="B4700">
        <f>IFERROR(__xludf.DUMMYFUNCTION("""COMPUTED_VALUE"""),1694256.0)</f>
        <v>1694256</v>
      </c>
      <c r="C4700" t="str">
        <f>IFERROR(__xludf.DUMMYFUNCTION("""COMPUTED_VALUE"""),"The Ultimate OFF-GRID Solar Energy Course. Become a Pro 2021")</f>
        <v>The Ultimate OFF-GRID Solar Energy Course. Become a Pro 2021</v>
      </c>
    </row>
    <row r="4701">
      <c r="A4701" s="140" t="str">
        <f>IFERROR(__xludf.DUMMYFUNCTION("""COMPUTED_VALUE"""),"de")</f>
        <v>de</v>
      </c>
      <c r="B4701">
        <f>IFERROR(__xludf.DUMMYFUNCTION("""COMPUTED_VALUE"""),3573301.0)</f>
        <v>3573301</v>
      </c>
      <c r="C4701" t="str">
        <f>IFERROR(__xludf.DUMMYFUNCTION("""COMPUTED_VALUE"""),"Praktische Lerntechniken")</f>
        <v>Praktische Lerntechniken</v>
      </c>
    </row>
    <row r="4702">
      <c r="A4702" s="140" t="str">
        <f>IFERROR(__xludf.DUMMYFUNCTION("""COMPUTED_VALUE"""),"ja")</f>
        <v>ja</v>
      </c>
      <c r="B4702">
        <f>IFERROR(__xludf.DUMMYFUNCTION("""COMPUTED_VALUE"""),1165632.0)</f>
        <v>1165632</v>
      </c>
      <c r="C4702" t="str">
        <f>IFERROR(__xludf.DUMMYFUNCTION("""COMPUTED_VALUE"""),"【1日で習得】技術者のためのPythonデータ分析")</f>
        <v>【1日で習得】技術者のためのPythonデータ分析</v>
      </c>
    </row>
    <row r="4703">
      <c r="A4703" s="140" t="str">
        <f>IFERROR(__xludf.DUMMYFUNCTION("""COMPUTED_VALUE"""),"ja")</f>
        <v>ja</v>
      </c>
      <c r="B4703">
        <f>IFERROR(__xludf.DUMMYFUNCTION("""COMPUTED_VALUE"""),1346086.0)</f>
        <v>1346086</v>
      </c>
      <c r="C4703" t="str">
        <f>IFERROR(__xludf.DUMMYFUNCTION("""COMPUTED_VALUE"""),"もう悩まない！目標設定の書き方")</f>
        <v>もう悩まない！目標設定の書き方</v>
      </c>
    </row>
    <row r="4704">
      <c r="A4704" s="140" t="str">
        <f>IFERROR(__xludf.DUMMYFUNCTION("""COMPUTED_VALUE"""),"en")</f>
        <v>en</v>
      </c>
      <c r="B4704">
        <f>IFERROR(__xludf.DUMMYFUNCTION("""COMPUTED_VALUE"""),943842.0)</f>
        <v>943842</v>
      </c>
      <c r="C4704" t="str">
        <f>IFERROR(__xludf.DUMMYFUNCTION("""COMPUTED_VALUE"""),"Business Analyst: Software Testing Processes &amp; Techniques")</f>
        <v>Business Analyst: Software Testing Processes &amp; Techniques</v>
      </c>
    </row>
    <row r="4705">
      <c r="A4705" s="140" t="str">
        <f>IFERROR(__xludf.DUMMYFUNCTION("""COMPUTED_VALUE"""),"es")</f>
        <v>es</v>
      </c>
      <c r="B4705">
        <f>IFERROR(__xludf.DUMMYFUNCTION("""COMPUTED_VALUE"""),1284216.0)</f>
        <v>1284216</v>
      </c>
      <c r="C4705" t="str">
        <f>IFERROR(__xludf.DUMMYFUNCTION("""COMPUTED_VALUE"""),"Curso de Laravel desde cero + APIs RESTful y webs Angular")</f>
        <v>Curso de Laravel desde cero + APIs RESTful y webs Angular</v>
      </c>
    </row>
    <row r="4706">
      <c r="A4706" s="140" t="str">
        <f>IFERROR(__xludf.DUMMYFUNCTION("""COMPUTED_VALUE"""),"tr")</f>
        <v>tr</v>
      </c>
      <c r="B4706">
        <f>IFERROR(__xludf.DUMMYFUNCTION("""COMPUTED_VALUE"""),3742216.0)</f>
        <v>3742216</v>
      </c>
      <c r="C4706" t="str">
        <f>IFERROR(__xludf.DUMMYFUNCTION("""COMPUTED_VALUE"""),"Sıfırdan İleri Seviyeye İngilizce (Özel Ders Formatında)")</f>
        <v>Sıfırdan İleri Seviyeye İngilizce (Özel Ders Formatında)</v>
      </c>
    </row>
    <row r="4707">
      <c r="A4707" s="140" t="str">
        <f>IFERROR(__xludf.DUMMYFUNCTION("""COMPUTED_VALUE"""),"es")</f>
        <v>es</v>
      </c>
      <c r="B4707">
        <f>IFERROR(__xludf.DUMMYFUNCTION("""COMPUTED_VALUE"""),2867996.0)</f>
        <v>2867996</v>
      </c>
      <c r="C4707" t="str">
        <f>IFERROR(__xludf.DUMMYFUNCTION("""COMPUTED_VALUE"""),"Domina SAS Programming YA!")</f>
        <v>Domina SAS Programming YA!</v>
      </c>
    </row>
    <row r="4708">
      <c r="A4708" s="140" t="str">
        <f>IFERROR(__xludf.DUMMYFUNCTION("""COMPUTED_VALUE"""),"ja")</f>
        <v>ja</v>
      </c>
      <c r="B4708">
        <f>IFERROR(__xludf.DUMMYFUNCTION("""COMPUTED_VALUE"""),2210174.0)</f>
        <v>2210174</v>
      </c>
      <c r="C4708" t="str">
        <f>IFERROR(__xludf.DUMMYFUNCTION("""COMPUTED_VALUE"""),"Classroom のはじめかた～現役大学生が教えるGoogle を活用した授業管理で基本機能の使い方を体験～")</f>
        <v>Classroom のはじめかた～現役大学生が教えるGoogle を活用した授業管理で基本機能の使い方を体験～</v>
      </c>
    </row>
    <row r="4709">
      <c r="A4709" s="140" t="str">
        <f>IFERROR(__xludf.DUMMYFUNCTION("""COMPUTED_VALUE"""),"pt")</f>
        <v>pt</v>
      </c>
      <c r="B4709">
        <f>IFERROR(__xludf.DUMMYFUNCTION("""COMPUTED_VALUE"""),635974.0)</f>
        <v>635974</v>
      </c>
      <c r="C4709" t="str">
        <f>IFERROR(__xludf.DUMMYFUNCTION("""COMPUTED_VALUE"""),"SketchUp - Ferramentas &amp; Técnicas")</f>
        <v>SketchUp - Ferramentas &amp; Técnicas</v>
      </c>
    </row>
    <row r="4710">
      <c r="A4710" s="140" t="str">
        <f>IFERROR(__xludf.DUMMYFUNCTION("""COMPUTED_VALUE"""),"zh")</f>
        <v>zh</v>
      </c>
      <c r="B4710">
        <f>IFERROR(__xludf.DUMMYFUNCTION("""COMPUTED_VALUE"""),1456612.0)</f>
        <v>1456612</v>
      </c>
      <c r="C4710" t="str">
        <f>IFERROR(__xludf.DUMMYFUNCTION("""COMPUTED_VALUE"""),"Web前端开发 - 玩转HTML&amp;CSS【课程以实战为基础】")</f>
        <v>Web前端开发 - 玩转HTML&amp;CSS【课程以实战为基础】</v>
      </c>
    </row>
    <row r="4711">
      <c r="A4711" s="140" t="str">
        <f>IFERROR(__xludf.DUMMYFUNCTION("""COMPUTED_VALUE"""),"en")</f>
        <v>en</v>
      </c>
      <c r="B4711">
        <f>IFERROR(__xludf.DUMMYFUNCTION("""COMPUTED_VALUE"""),2286399.0)</f>
        <v>2286399</v>
      </c>
      <c r="C4711" t="str">
        <f>IFERROR(__xludf.DUMMYFUNCTION("""COMPUTED_VALUE"""),"SQL Server Administration On Linux Operating System")</f>
        <v>SQL Server Administration On Linux Operating System</v>
      </c>
    </row>
    <row r="4712">
      <c r="A4712" s="140" t="str">
        <f>IFERROR(__xludf.DUMMYFUNCTION("""COMPUTED_VALUE"""),"ja")</f>
        <v>ja</v>
      </c>
      <c r="B4712">
        <f>IFERROR(__xludf.DUMMYFUNCTION("""COMPUTED_VALUE"""),1751564.0)</f>
        <v>1751564</v>
      </c>
      <c r="C4712" t="str">
        <f>IFERROR(__xludf.DUMMYFUNCTION("""COMPUTED_VALUE"""),"今すぐ使えるビジネス英語【メールの書き方】")</f>
        <v>今すぐ使えるビジネス英語【メールの書き方】</v>
      </c>
    </row>
    <row r="4713">
      <c r="A4713" s="140" t="str">
        <f>IFERROR(__xludf.DUMMYFUNCTION("""COMPUTED_VALUE"""),"en")</f>
        <v>en</v>
      </c>
      <c r="B4713">
        <f>IFERROR(__xludf.DUMMYFUNCTION("""COMPUTED_VALUE"""),2279876.0)</f>
        <v>2279876</v>
      </c>
      <c r="C4713" t="str">
        <f>IFERROR(__xludf.DUMMYFUNCTION("""COMPUTED_VALUE"""),"A to Z of Azure security - Covers AZ 500, 300,103 and more")</f>
        <v>A to Z of Azure security - Covers AZ 500, 300,103 and more</v>
      </c>
    </row>
    <row r="4714">
      <c r="A4714" s="140" t="str">
        <f>IFERROR(__xludf.DUMMYFUNCTION("""COMPUTED_VALUE"""),"en")</f>
        <v>en</v>
      </c>
      <c r="B4714">
        <f>IFERROR(__xludf.DUMMYFUNCTION("""COMPUTED_VALUE"""),1088256.0)</f>
        <v>1088256</v>
      </c>
      <c r="C4714" t="str">
        <f>IFERROR(__xludf.DUMMYFUNCTION("""COMPUTED_VALUE"""),"DP-100: A-Z Machine Learning using Azure Machine Learning")</f>
        <v>DP-100: A-Z Machine Learning using Azure Machine Learning</v>
      </c>
    </row>
    <row r="4715">
      <c r="A4715" s="140" t="str">
        <f>IFERROR(__xludf.DUMMYFUNCTION("""COMPUTED_VALUE"""),"pt")</f>
        <v>pt</v>
      </c>
      <c r="B4715">
        <f>IFERROR(__xludf.DUMMYFUNCTION("""COMPUTED_VALUE"""),2500156.0)</f>
        <v>2500156</v>
      </c>
      <c r="C4715" t="str">
        <f>IFERROR(__xludf.DUMMYFUNCTION("""COMPUTED_VALUE"""),"Formação Node.js")</f>
        <v>Formação Node.js</v>
      </c>
    </row>
    <row r="4716">
      <c r="A4716" s="140" t="str">
        <f>IFERROR(__xludf.DUMMYFUNCTION("""COMPUTED_VALUE"""),"en")</f>
        <v>en</v>
      </c>
      <c r="B4716">
        <f>IFERROR(__xludf.DUMMYFUNCTION("""COMPUTED_VALUE"""),622786.0)</f>
        <v>622786</v>
      </c>
      <c r="C4716" t="str">
        <f>IFERROR(__xludf.DUMMYFUNCTION("""COMPUTED_VALUE"""),"Manufacturing Guide for Mechanical Product Development")</f>
        <v>Manufacturing Guide for Mechanical Product Development</v>
      </c>
    </row>
    <row r="4717">
      <c r="A4717" s="140" t="str">
        <f>IFERROR(__xludf.DUMMYFUNCTION("""COMPUTED_VALUE"""),"pt")</f>
        <v>pt</v>
      </c>
      <c r="B4717">
        <f>IFERROR(__xludf.DUMMYFUNCTION("""COMPUTED_VALUE"""),1233870.0)</f>
        <v>1233870</v>
      </c>
      <c r="C4717" t="str">
        <f>IFERROR(__xludf.DUMMYFUNCTION("""COMPUTED_VALUE"""),"Microsoft Azure: [Aprenda do Zero]")</f>
        <v>Microsoft Azure: [Aprenda do Zero]</v>
      </c>
    </row>
    <row r="4718">
      <c r="A4718" s="140" t="str">
        <f>IFERROR(__xludf.DUMMYFUNCTION("""COMPUTED_VALUE"""),"en")</f>
        <v>en</v>
      </c>
      <c r="B4718">
        <f>IFERROR(__xludf.DUMMYFUNCTION("""COMPUTED_VALUE"""),2394982.0)</f>
        <v>2394982</v>
      </c>
      <c r="C4718" t="str">
        <f>IFERROR(__xludf.DUMMYFUNCTION("""COMPUTED_VALUE"""),"AZ-900: Microsoft Azure Fundamentals Exam Prep - OCT 2021")</f>
        <v>AZ-900: Microsoft Azure Fundamentals Exam Prep - OCT 2021</v>
      </c>
    </row>
    <row r="4719">
      <c r="A4719" s="140" t="str">
        <f>IFERROR(__xludf.DUMMYFUNCTION("""COMPUTED_VALUE"""),"en")</f>
        <v>en</v>
      </c>
      <c r="B4719">
        <f>IFERROR(__xludf.DUMMYFUNCTION("""COMPUTED_VALUE"""),1513982.0)</f>
        <v>1513982</v>
      </c>
      <c r="C4719" t="str">
        <f>IFERROR(__xludf.DUMMYFUNCTION("""COMPUTED_VALUE"""),"200-301 Cisco Certified Network Associate - Exam Simulations")</f>
        <v>200-301 Cisco Certified Network Associate - Exam Simulations</v>
      </c>
    </row>
    <row r="4720">
      <c r="A4720" s="140" t="str">
        <f>IFERROR(__xludf.DUMMYFUNCTION("""COMPUTED_VALUE"""),"en")</f>
        <v>en</v>
      </c>
      <c r="B4720">
        <f>IFERROR(__xludf.DUMMYFUNCTION("""COMPUTED_VALUE"""),2543899.0)</f>
        <v>2543899</v>
      </c>
      <c r="C4720" t="str">
        <f>IFERROR(__xludf.DUMMYFUNCTION("""COMPUTED_VALUE"""),"The Complete Focus Mastery Course - Brain Concentration")</f>
        <v>The Complete Focus Mastery Course - Brain Concentration</v>
      </c>
    </row>
    <row r="4721">
      <c r="A4721" s="140" t="str">
        <f>IFERROR(__xludf.DUMMYFUNCTION("""COMPUTED_VALUE"""),"fr")</f>
        <v>fr</v>
      </c>
      <c r="B4721">
        <f>IFERROR(__xludf.DUMMYFUNCTION("""COMPUTED_VALUE"""),3647878.0)</f>
        <v>3647878</v>
      </c>
      <c r="C4721" t="str">
        <f>IFERROR(__xludf.DUMMYFUNCTION("""COMPUTED_VALUE"""),"Le guide de Laravel 8")</f>
        <v>Le guide de Laravel 8</v>
      </c>
    </row>
    <row r="4722">
      <c r="A4722" s="140" t="str">
        <f>IFERROR(__xludf.DUMMYFUNCTION("""COMPUTED_VALUE"""),"en")</f>
        <v>en</v>
      </c>
      <c r="B4722">
        <f>IFERROR(__xludf.DUMMYFUNCTION("""COMPUTED_VALUE"""),2046134.0)</f>
        <v>2046134</v>
      </c>
      <c r="C4722" t="str">
        <f>IFERROR(__xludf.DUMMYFUNCTION("""COMPUTED_VALUE"""),"d3.js - Complete Developer Data Visualization Guide")</f>
        <v>d3.js - Complete Developer Data Visualization Guide</v>
      </c>
    </row>
    <row r="4723">
      <c r="A4723" s="140" t="str">
        <f>IFERROR(__xludf.DUMMYFUNCTION("""COMPUTED_VALUE"""),"en")</f>
        <v>en</v>
      </c>
      <c r="B4723">
        <f>IFERROR(__xludf.DUMMYFUNCTION("""COMPUTED_VALUE"""),1355782.0)</f>
        <v>1355782</v>
      </c>
      <c r="C4723" t="str">
        <f>IFERROR(__xludf.DUMMYFUNCTION("""COMPUTED_VALUE"""),"Advanced Technical Analysis PART 2")</f>
        <v>Advanced Technical Analysis PART 2</v>
      </c>
    </row>
    <row r="4724">
      <c r="A4724" s="140" t="str">
        <f>IFERROR(__xludf.DUMMYFUNCTION("""COMPUTED_VALUE"""),"en")</f>
        <v>en</v>
      </c>
      <c r="B4724">
        <f>IFERROR(__xludf.DUMMYFUNCTION("""COMPUTED_VALUE"""),656736.0)</f>
        <v>656736</v>
      </c>
      <c r="C4724" t="str">
        <f>IFERROR(__xludf.DUMMYFUNCTION("""COMPUTED_VALUE"""),"ACE the AP Statistics Exam and MASTER Elementary Statistics!")</f>
        <v>ACE the AP Statistics Exam and MASTER Elementary Statistics!</v>
      </c>
    </row>
    <row r="4725">
      <c r="A4725" s="140" t="str">
        <f>IFERROR(__xludf.DUMMYFUNCTION("""COMPUTED_VALUE"""),"es")</f>
        <v>es</v>
      </c>
      <c r="B4725">
        <f>IFERROR(__xludf.DUMMYFUNCTION("""COMPUTED_VALUE"""),1243078.0)</f>
        <v>1243078</v>
      </c>
      <c r="C4725" t="str">
        <f>IFERROR(__xludf.DUMMYFUNCTION("""COMPUTED_VALUE"""),"Logic Pro X el Curso completo con los secretos de Producción")</f>
        <v>Logic Pro X el Curso completo con los secretos de Producción</v>
      </c>
    </row>
    <row r="4726">
      <c r="A4726" s="140" t="str">
        <f>IFERROR(__xludf.DUMMYFUNCTION("""COMPUTED_VALUE"""),"en")</f>
        <v>en</v>
      </c>
      <c r="B4726">
        <f>IFERROR(__xludf.DUMMYFUNCTION("""COMPUTED_VALUE"""),2867420.0)</f>
        <v>2867420</v>
      </c>
      <c r="C4726" t="str">
        <f>IFERROR(__xludf.DUMMYFUNCTION("""COMPUTED_VALUE"""),"Agile BM 301 Enterprise-level Agile Business Management")</f>
        <v>Agile BM 301 Enterprise-level Agile Business Management</v>
      </c>
    </row>
    <row r="4727">
      <c r="A4727" s="140" t="str">
        <f>IFERROR(__xludf.DUMMYFUNCTION("""COMPUTED_VALUE"""),"pt")</f>
        <v>pt</v>
      </c>
      <c r="B4727">
        <f>IFERROR(__xludf.DUMMYFUNCTION("""COMPUTED_VALUE"""),1922324.0)</f>
        <v>1922324</v>
      </c>
      <c r="C4727" t="str">
        <f>IFERROR(__xludf.DUMMYFUNCTION("""COMPUTED_VALUE"""),"Curso Completo de Bootstrap 4 + jQuery com 6 Projetos reais")</f>
        <v>Curso Completo de Bootstrap 4 + jQuery com 6 Projetos reais</v>
      </c>
    </row>
    <row r="4728">
      <c r="A4728" s="140" t="str">
        <f>IFERROR(__xludf.DUMMYFUNCTION("""COMPUTED_VALUE"""),"en")</f>
        <v>en</v>
      </c>
      <c r="B4728">
        <f>IFERROR(__xludf.DUMMYFUNCTION("""COMPUTED_VALUE"""),694982.0)</f>
        <v>694982</v>
      </c>
      <c r="C4728" t="str">
        <f>IFERROR(__xludf.DUMMYFUNCTION("""COMPUTED_VALUE"""),"Rest API Testing (Automation) from Scratch-Rest Assured Java")</f>
        <v>Rest API Testing (Automation) from Scratch-Rest Assured Java</v>
      </c>
    </row>
    <row r="4729">
      <c r="A4729" s="140" t="str">
        <f>IFERROR(__xludf.DUMMYFUNCTION("""COMPUTED_VALUE"""),"pt")</f>
        <v>pt</v>
      </c>
      <c r="B4729">
        <f>IFERROR(__xludf.DUMMYFUNCTION("""COMPUTED_VALUE"""),2169120.0)</f>
        <v>2169120</v>
      </c>
      <c r="C4729" t="str">
        <f>IFERROR(__xludf.DUMMYFUNCTION("""COMPUTED_VALUE"""),"SOLIDWORKS | Do básico ao ESPECIALISTA | Produtos e Moldes")</f>
        <v>SOLIDWORKS | Do básico ao ESPECIALISTA | Produtos e Moldes</v>
      </c>
    </row>
    <row r="4730">
      <c r="A4730" s="140" t="str">
        <f>IFERROR(__xludf.DUMMYFUNCTION("""COMPUTED_VALUE"""),"ja")</f>
        <v>ja</v>
      </c>
      <c r="B4730">
        <f>IFERROR(__xludf.DUMMYFUNCTION("""COMPUTED_VALUE"""),1257240.0)</f>
        <v>1257240</v>
      </c>
      <c r="C4730" t="str">
        <f>IFERROR(__xludf.DUMMYFUNCTION("""COMPUTED_VALUE"""),"みんなのiOS講座 ゼロからSwiftで学ぶiPhoneアプリ開発の基礎")</f>
        <v>みんなのiOS講座 ゼロからSwiftで学ぶiPhoneアプリ開発の基礎</v>
      </c>
    </row>
    <row r="4731">
      <c r="A4731" s="140" t="str">
        <f>IFERROR(__xludf.DUMMYFUNCTION("""COMPUTED_VALUE"""),"en")</f>
        <v>en</v>
      </c>
      <c r="B4731">
        <f>IFERROR(__xludf.DUMMYFUNCTION("""COMPUTED_VALUE"""),1323630.0)</f>
        <v>1323630</v>
      </c>
      <c r="C4731" t="str">
        <f>IFERROR(__xludf.DUMMYFUNCTION("""COMPUTED_VALUE"""),"Tableau Expert: Top Visualization Techniques in Tableau 10")</f>
        <v>Tableau Expert: Top Visualization Techniques in Tableau 10</v>
      </c>
    </row>
    <row r="4732">
      <c r="A4732" s="140" t="str">
        <f>IFERROR(__xludf.DUMMYFUNCTION("""COMPUTED_VALUE"""),"en")</f>
        <v>en</v>
      </c>
      <c r="B4732">
        <f>IFERROR(__xludf.DUMMYFUNCTION("""COMPUTED_VALUE"""),1337374.0)</f>
        <v>1337374</v>
      </c>
      <c r="C4732" t="str">
        <f>IFERROR(__xludf.DUMMYFUNCTION("""COMPUTED_VALUE"""),"Complete Python 3 Masterclass Journey")</f>
        <v>Complete Python 3 Masterclass Journey</v>
      </c>
    </row>
    <row r="4733">
      <c r="A4733" s="140" t="str">
        <f>IFERROR(__xludf.DUMMYFUNCTION("""COMPUTED_VALUE"""),"en")</f>
        <v>en</v>
      </c>
      <c r="B4733">
        <f>IFERROR(__xludf.DUMMYFUNCTION("""COMPUTED_VALUE"""),1518950.0)</f>
        <v>1518950</v>
      </c>
      <c r="C4733" t="str">
        <f>IFERROR(__xludf.DUMMYFUNCTION("""COMPUTED_VALUE"""),"Ultimate AngularJS to Angular Migration Guide")</f>
        <v>Ultimate AngularJS to Angular Migration Guide</v>
      </c>
    </row>
    <row r="4734">
      <c r="A4734" s="140" t="str">
        <f>IFERROR(__xludf.DUMMYFUNCTION("""COMPUTED_VALUE"""),"tr")</f>
        <v>tr</v>
      </c>
      <c r="B4734">
        <f>IFERROR(__xludf.DUMMYFUNCTION("""COMPUTED_VALUE"""),2594282.0)</f>
        <v>2594282</v>
      </c>
      <c r="C4734" t="str">
        <f>IFERROR(__xludf.DUMMYFUNCTION("""COMPUTED_VALUE"""),"Siemens NX - Tasarım Mühendisi Yetiştirme Eğitim Programı")</f>
        <v>Siemens NX - Tasarım Mühendisi Yetiştirme Eğitim Programı</v>
      </c>
    </row>
    <row r="4735">
      <c r="A4735" s="140" t="str">
        <f>IFERROR(__xludf.DUMMYFUNCTION("""COMPUTED_VALUE"""),"en")</f>
        <v>en</v>
      </c>
      <c r="B4735">
        <f>IFERROR(__xludf.DUMMYFUNCTION("""COMPUTED_VALUE"""),1076804.0)</f>
        <v>1076804</v>
      </c>
      <c r="C4735" t="str">
        <f>IFERROR(__xludf.DUMMYFUNCTION("""COMPUTED_VALUE"""),"OpenStack Essentials")</f>
        <v>OpenStack Essentials</v>
      </c>
    </row>
    <row r="4736">
      <c r="A4736" s="140" t="str">
        <f>IFERROR(__xludf.DUMMYFUNCTION("""COMPUTED_VALUE"""),"en")</f>
        <v>en</v>
      </c>
      <c r="B4736">
        <f>IFERROR(__xludf.DUMMYFUNCTION("""COMPUTED_VALUE"""),1771964.0)</f>
        <v>1771964</v>
      </c>
      <c r="C4736" t="str">
        <f>IFERROR(__xludf.DUMMYFUNCTION("""COMPUTED_VALUE"""),"Master Ethereum &amp; Solidity Programming From Scratch in 2022")</f>
        <v>Master Ethereum &amp; Solidity Programming From Scratch in 2022</v>
      </c>
    </row>
    <row r="4737">
      <c r="A4737" s="140" t="str">
        <f>IFERROR(__xludf.DUMMYFUNCTION("""COMPUTED_VALUE"""),"es")</f>
        <v>es</v>
      </c>
      <c r="B4737">
        <f>IFERROR(__xludf.DUMMYFUNCTION("""COMPUTED_VALUE"""),1831040.0)</f>
        <v>1831040</v>
      </c>
      <c r="C4737" t="str">
        <f>IFERROR(__xludf.DUMMYFUNCTION("""COMPUTED_VALUE"""),"Ciberseguridad Ofensiva: Hacking y Pentesting con PowerShell")</f>
        <v>Ciberseguridad Ofensiva: Hacking y Pentesting con PowerShell</v>
      </c>
    </row>
    <row r="4738">
      <c r="A4738" s="140" t="str">
        <f>IFERROR(__xludf.DUMMYFUNCTION("""COMPUTED_VALUE"""),"fr")</f>
        <v>fr</v>
      </c>
      <c r="B4738">
        <f>IFERROR(__xludf.DUMMYFUNCTION("""COMPUTED_VALUE"""),3193646.0)</f>
        <v>3193646</v>
      </c>
      <c r="C4738" t="str">
        <f>IFERROR(__xludf.DUMMYFUNCTION("""COMPUTED_VALUE"""),"Godot Engine : Création de jeux 3D avec le moteur libre")</f>
        <v>Godot Engine : Création de jeux 3D avec le moteur libre</v>
      </c>
    </row>
    <row r="4739">
      <c r="A4739" s="140" t="str">
        <f>IFERROR(__xludf.DUMMYFUNCTION("""COMPUTED_VALUE"""),"en")</f>
        <v>en</v>
      </c>
      <c r="B4739">
        <f>IFERROR(__xludf.DUMMYFUNCTION("""COMPUTED_VALUE"""),19332.0)</f>
        <v>19332</v>
      </c>
      <c r="C4739" t="str">
        <f>IFERROR(__xludf.DUMMYFUNCTION("""COMPUTED_VALUE"""),"The Complete 2020 Fullstack Web Developer Course")</f>
        <v>The Complete 2020 Fullstack Web Developer Course</v>
      </c>
    </row>
    <row r="4740">
      <c r="A4740" s="140" t="str">
        <f>IFERROR(__xludf.DUMMYFUNCTION("""COMPUTED_VALUE"""),"de")</f>
        <v>de</v>
      </c>
      <c r="B4740">
        <f>IFERROR(__xludf.DUMMYFUNCTION("""COMPUTED_VALUE"""),495990.0)</f>
        <v>495990</v>
      </c>
      <c r="C4740" t="str">
        <f>IFERROR(__xludf.DUMMYFUNCTION("""COMPUTED_VALUE"""),"JavaFX 8 - Der Einstieg in die Java-GUI Programmierung")</f>
        <v>JavaFX 8 - Der Einstieg in die Java-GUI Programmierung</v>
      </c>
    </row>
    <row r="4741">
      <c r="A4741" s="140" t="str">
        <f>IFERROR(__xludf.DUMMYFUNCTION("""COMPUTED_VALUE"""),"en")</f>
        <v>en</v>
      </c>
      <c r="B4741">
        <f>IFERROR(__xludf.DUMMYFUNCTION("""COMPUTED_VALUE"""),938372.0)</f>
        <v>938372</v>
      </c>
      <c r="C4741" t="str">
        <f>IFERROR(__xludf.DUMMYFUNCTION("""COMPUTED_VALUE"""),"Classical Physics: Journey Through the Laws of the Universe")</f>
        <v>Classical Physics: Journey Through the Laws of the Universe</v>
      </c>
    </row>
    <row r="4742">
      <c r="A4742" s="140" t="str">
        <f>IFERROR(__xludf.DUMMYFUNCTION("""COMPUTED_VALUE"""),"ja")</f>
        <v>ja</v>
      </c>
      <c r="B4742">
        <f>IFERROR(__xludf.DUMMYFUNCTION("""COMPUTED_VALUE"""),2000022.0)</f>
        <v>2000022</v>
      </c>
      <c r="C4742" t="str">
        <f>IFERROR(__xludf.DUMMYFUNCTION("""COMPUTED_VALUE"""),"ディープラーニング : Pythonでゼロから構築し学ぶ人工知能（AI）と深層学習の原理")</f>
        <v>ディープラーニング : Pythonでゼロから構築し学ぶ人工知能（AI）と深層学習の原理</v>
      </c>
    </row>
    <row r="4743">
      <c r="A4743" s="140" t="str">
        <f>IFERROR(__xludf.DUMMYFUNCTION("""COMPUTED_VALUE"""),"es")</f>
        <v>es</v>
      </c>
      <c r="B4743">
        <f>IFERROR(__xludf.DUMMYFUNCTION("""COMPUTED_VALUE"""),1712652.0)</f>
        <v>1712652</v>
      </c>
      <c r="C4743" t="str">
        <f>IFERROR(__xludf.DUMMYFUNCTION("""COMPUTED_VALUE"""),"Master en webs Full Stack: Angular, Node, Laravel, Symfony +")</f>
        <v>Master en webs Full Stack: Angular, Node, Laravel, Symfony +</v>
      </c>
    </row>
    <row r="4744">
      <c r="A4744" s="140" t="str">
        <f>IFERROR(__xludf.DUMMYFUNCTION("""COMPUTED_VALUE"""),"en")</f>
        <v>en</v>
      </c>
      <c r="B4744">
        <f>IFERROR(__xludf.DUMMYFUNCTION("""COMPUTED_VALUE"""),3086258.0)</f>
        <v>3086258</v>
      </c>
      <c r="C4744" t="str">
        <f>IFERROR(__xludf.DUMMYFUNCTION("""COMPUTED_VALUE"""),"CCNP Service Provider SPCOR-350-501")</f>
        <v>CCNP Service Provider SPCOR-350-501</v>
      </c>
    </row>
    <row r="4745">
      <c r="A4745" s="140" t="str">
        <f>IFERROR(__xludf.DUMMYFUNCTION("""COMPUTED_VALUE"""),"en")</f>
        <v>en</v>
      </c>
      <c r="B4745">
        <f>IFERROR(__xludf.DUMMYFUNCTION("""COMPUTED_VALUE"""),3333540.0)</f>
        <v>3333540</v>
      </c>
      <c r="C4745" t="str">
        <f>IFERROR(__xludf.DUMMYFUNCTION("""COMPUTED_VALUE"""),"Ecommerce &amp; Marketing course: Agency, Marketer, Affiliate")</f>
        <v>Ecommerce &amp; Marketing course: Agency, Marketer, Affiliate</v>
      </c>
    </row>
    <row r="4746">
      <c r="A4746" s="140" t="str">
        <f>IFERROR(__xludf.DUMMYFUNCTION("""COMPUTED_VALUE"""),"en")</f>
        <v>en</v>
      </c>
      <c r="B4746">
        <f>IFERROR(__xludf.DUMMYFUNCTION("""COMPUTED_VALUE"""),1688848.0)</f>
        <v>1688848</v>
      </c>
      <c r="C4746" t="str">
        <f>IFERROR(__xludf.DUMMYFUNCTION("""COMPUTED_VALUE"""),"PowerShell for Active Directory Administrators")</f>
        <v>PowerShell for Active Directory Administrators</v>
      </c>
    </row>
    <row r="4747">
      <c r="A4747" s="140" t="str">
        <f>IFERROR(__xludf.DUMMYFUNCTION("""COMPUTED_VALUE"""),"en")</f>
        <v>en</v>
      </c>
      <c r="B4747">
        <f>IFERROR(__xludf.DUMMYFUNCTION("""COMPUTED_VALUE"""),1271308.0)</f>
        <v>1271308</v>
      </c>
      <c r="C4747" t="str">
        <f>IFERROR(__xludf.DUMMYFUNCTION("""COMPUTED_VALUE"""),"Building a Facebook Chatbot in Chatfuel")</f>
        <v>Building a Facebook Chatbot in Chatfuel</v>
      </c>
    </row>
    <row r="4748">
      <c r="A4748" s="140" t="str">
        <f>IFERROR(__xludf.DUMMYFUNCTION("""COMPUTED_VALUE"""),"en")</f>
        <v>en</v>
      </c>
      <c r="B4748">
        <f>IFERROR(__xludf.DUMMYFUNCTION("""COMPUTED_VALUE"""),1298780.0)</f>
        <v>1298780</v>
      </c>
      <c r="C4748" t="str">
        <f>IFERROR(__xludf.DUMMYFUNCTION("""COMPUTED_VALUE"""),"Statistics for Data Science and Business Analysis")</f>
        <v>Statistics for Data Science and Business Analysis</v>
      </c>
    </row>
    <row r="4749">
      <c r="A4749" s="140" t="str">
        <f>IFERROR(__xludf.DUMMYFUNCTION("""COMPUTED_VALUE"""),"en")</f>
        <v>en</v>
      </c>
      <c r="B4749">
        <f>IFERROR(__xludf.DUMMYFUNCTION("""COMPUTED_VALUE"""),505136.0)</f>
        <v>505136</v>
      </c>
      <c r="C4749" t="str">
        <f>IFERROR(__xludf.DUMMYFUNCTION("""COMPUTED_VALUE"""),"Practical Project Management for Managers and First Time PMs")</f>
        <v>Practical Project Management for Managers and First Time PMs</v>
      </c>
    </row>
    <row r="4750">
      <c r="A4750" s="140" t="str">
        <f>IFERROR(__xludf.DUMMYFUNCTION("""COMPUTED_VALUE"""),"en")</f>
        <v>en</v>
      </c>
      <c r="B4750">
        <f>IFERROR(__xludf.DUMMYFUNCTION("""COMPUTED_VALUE"""),1874592.0)</f>
        <v>1874592</v>
      </c>
      <c r="C4750" t="str">
        <f>IFERROR(__xludf.DUMMYFUNCTION("""COMPUTED_VALUE"""),"SSAS Training MultiDimensional Model - Part 3")</f>
        <v>SSAS Training MultiDimensional Model - Part 3</v>
      </c>
    </row>
    <row r="4751">
      <c r="A4751" s="140" t="str">
        <f>IFERROR(__xludf.DUMMYFUNCTION("""COMPUTED_VALUE"""),"en")</f>
        <v>en</v>
      </c>
      <c r="B4751">
        <f>IFERROR(__xludf.DUMMYFUNCTION("""COMPUTED_VALUE"""),77918.0)</f>
        <v>77918</v>
      </c>
      <c r="C4751" t="str">
        <f>IFERROR(__xludf.DUMMYFUNCTION("""COMPUTED_VALUE"""),"Adobe Audition CC Audio Production Course Basics to Expert")</f>
        <v>Adobe Audition CC Audio Production Course Basics to Expert</v>
      </c>
    </row>
    <row r="4752">
      <c r="A4752" s="140" t="str">
        <f>IFERROR(__xludf.DUMMYFUNCTION("""COMPUTED_VALUE"""),"tr")</f>
        <v>tr</v>
      </c>
      <c r="B4752">
        <f>IFERROR(__xludf.DUMMYFUNCTION("""COMPUTED_VALUE"""),3664254.0)</f>
        <v>3664254</v>
      </c>
      <c r="C4752" t="str">
        <f>IFERROR(__xludf.DUMMYFUNCTION("""COMPUTED_VALUE"""),"Key for YDS/ YÖKDİL - Temel 3")</f>
        <v>Key for YDS/ YÖKDİL - Temel 3</v>
      </c>
    </row>
    <row r="4753">
      <c r="A4753" s="140" t="str">
        <f>IFERROR(__xludf.DUMMYFUNCTION("""COMPUTED_VALUE"""),"zh")</f>
        <v>zh</v>
      </c>
      <c r="B4753">
        <f>IFERROR(__xludf.DUMMYFUNCTION("""COMPUTED_VALUE"""),2472864.0)</f>
        <v>2472864</v>
      </c>
      <c r="C4753" t="str">
        <f>IFERROR(__xludf.DUMMYFUNCTION("""COMPUTED_VALUE"""),"人工智能专业课程 (AI Masterclass)")</f>
        <v>人工智能专业课程 (AI Masterclass)</v>
      </c>
    </row>
    <row r="4754">
      <c r="A4754" s="140" t="str">
        <f>IFERROR(__xludf.DUMMYFUNCTION("""COMPUTED_VALUE"""),"en")</f>
        <v>en</v>
      </c>
      <c r="B4754">
        <f>IFERROR(__xludf.DUMMYFUNCTION("""COMPUTED_VALUE"""),1328642.0)</f>
        <v>1328642</v>
      </c>
      <c r="C4754" t="str">
        <f>IFERROR(__xludf.DUMMYFUNCTION("""COMPUTED_VALUE"""),"Apache Spark 2.0 with Java -Learn Spark from a Big Data Guru")</f>
        <v>Apache Spark 2.0 with Java -Learn Spark from a Big Data Guru</v>
      </c>
    </row>
    <row r="4755">
      <c r="A4755" s="140" t="str">
        <f>IFERROR(__xludf.DUMMYFUNCTION("""COMPUTED_VALUE"""),"en")</f>
        <v>en</v>
      </c>
      <c r="B4755">
        <f>IFERROR(__xludf.DUMMYFUNCTION("""COMPUTED_VALUE"""),1953398.0)</f>
        <v>1953398</v>
      </c>
      <c r="C4755" t="str">
        <f>IFERROR(__xludf.DUMMYFUNCTION("""COMPUTED_VALUE"""),"Oracle Database on AWS: Exploring EC2 &amp; RDS from scratch")</f>
        <v>Oracle Database on AWS: Exploring EC2 &amp; RDS from scratch</v>
      </c>
    </row>
    <row r="4756">
      <c r="A4756" s="140" t="str">
        <f>IFERROR(__xludf.DUMMYFUNCTION("""COMPUTED_VALUE"""),"de")</f>
        <v>de</v>
      </c>
      <c r="B4756">
        <f>IFERROR(__xludf.DUMMYFUNCTION("""COMPUTED_VALUE"""),1085478.0)</f>
        <v>1085478</v>
      </c>
      <c r="C4756" t="str">
        <f>IFERROR(__xludf.DUMMYFUNCTION("""COMPUTED_VALUE"""),"Powerpoint - verblüffende Effekte und Animationen")</f>
        <v>Powerpoint - verblüffende Effekte und Animationen</v>
      </c>
    </row>
    <row r="4757">
      <c r="A4757" s="140" t="str">
        <f>IFERROR(__xludf.DUMMYFUNCTION("""COMPUTED_VALUE"""),"en")</f>
        <v>en</v>
      </c>
      <c r="B4757">
        <f>IFERROR(__xludf.DUMMYFUNCTION("""COMPUTED_VALUE"""),144762.0)</f>
        <v>144762</v>
      </c>
      <c r="C4757" t="str">
        <f>IFERROR(__xludf.DUMMYFUNCTION("""COMPUTED_VALUE"""),"Video Compression for Web, Disc and PC/TV/Console Playback")</f>
        <v>Video Compression for Web, Disc and PC/TV/Console Playback</v>
      </c>
    </row>
    <row r="4758">
      <c r="A4758" s="140" t="str">
        <f>IFERROR(__xludf.DUMMYFUNCTION("""COMPUTED_VALUE"""),"en")</f>
        <v>en</v>
      </c>
      <c r="B4758">
        <f>IFERROR(__xludf.DUMMYFUNCTION("""COMPUTED_VALUE"""),1966720.0)</f>
        <v>1966720</v>
      </c>
      <c r="C4758" t="str">
        <f>IFERROR(__xludf.DUMMYFUNCTION("""COMPUTED_VALUE"""),"Test-Driven Development Masterclass with Angular")</f>
        <v>Test-Driven Development Masterclass with Angular</v>
      </c>
    </row>
    <row r="4759">
      <c r="A4759" s="140" t="str">
        <f>IFERROR(__xludf.DUMMYFUNCTION("""COMPUTED_VALUE"""),"fr")</f>
        <v>fr</v>
      </c>
      <c r="B4759">
        <f>IFERROR(__xludf.DUMMYFUNCTION("""COMPUTED_VALUE"""),2276511.0)</f>
        <v>2276511</v>
      </c>
      <c r="C4759" t="str">
        <f>IFERROR(__xludf.DUMMYFUNCTION("""COMPUTED_VALUE"""),"Google Tag Manager : la formation express")</f>
        <v>Google Tag Manager : la formation express</v>
      </c>
    </row>
    <row r="4760">
      <c r="A4760" s="140" t="str">
        <f>IFERROR(__xludf.DUMMYFUNCTION("""COMPUTED_VALUE"""),"en")</f>
        <v>en</v>
      </c>
      <c r="B4760">
        <f>IFERROR(__xludf.DUMMYFUNCTION("""COMPUTED_VALUE"""),784246.0)</f>
        <v>784246</v>
      </c>
      <c r="C4760" t="str">
        <f>IFERROR(__xludf.DUMMYFUNCTION("""COMPUTED_VALUE"""),"Basic Bulgarian Language")</f>
        <v>Basic Bulgarian Language</v>
      </c>
    </row>
    <row r="4761">
      <c r="A4761" s="140" t="str">
        <f>IFERROR(__xludf.DUMMYFUNCTION("""COMPUTED_VALUE"""),"pt")</f>
        <v>pt</v>
      </c>
      <c r="B4761">
        <f>IFERROR(__xludf.DUMMYFUNCTION("""COMPUTED_VALUE"""),2100934.0)</f>
        <v>2100934</v>
      </c>
      <c r="C4761" t="str">
        <f>IFERROR(__xludf.DUMMYFUNCTION("""COMPUTED_VALUE"""),"Oratória: Pare de parecer nervoso falando em público")</f>
        <v>Oratória: Pare de parecer nervoso falando em público</v>
      </c>
    </row>
    <row r="4762">
      <c r="A4762" s="140" t="str">
        <f>IFERROR(__xludf.DUMMYFUNCTION("""COMPUTED_VALUE"""),"ja")</f>
        <v>ja</v>
      </c>
      <c r="B4762">
        <f>IFERROR(__xludf.DUMMYFUNCTION("""COMPUTED_VALUE"""),2306314.0)</f>
        <v>2306314</v>
      </c>
      <c r="C4762" t="str">
        <f>IFERROR(__xludf.DUMMYFUNCTION("""COMPUTED_VALUE"""),"はじめてのデジタルマーケティング")</f>
        <v>はじめてのデジタルマーケティング</v>
      </c>
    </row>
    <row r="4763">
      <c r="A4763" s="140" t="str">
        <f>IFERROR(__xludf.DUMMYFUNCTION("""COMPUTED_VALUE"""),"en")</f>
        <v>en</v>
      </c>
      <c r="B4763">
        <f>IFERROR(__xludf.DUMMYFUNCTION("""COMPUTED_VALUE"""),1614454.0)</f>
        <v>1614454</v>
      </c>
      <c r="C4763" t="str">
        <f>IFERROR(__xludf.DUMMYFUNCTION("""COMPUTED_VALUE"""),"Azure MasterClass: Manage Azure Cloud with ARM Templates")</f>
        <v>Azure MasterClass: Manage Azure Cloud with ARM Templates</v>
      </c>
    </row>
    <row r="4764">
      <c r="A4764" s="140" t="str">
        <f>IFERROR(__xludf.DUMMYFUNCTION("""COMPUTED_VALUE"""),"en")</f>
        <v>en</v>
      </c>
      <c r="B4764">
        <f>IFERROR(__xludf.DUMMYFUNCTION("""COMPUTED_VALUE"""),487450.0)</f>
        <v>487450</v>
      </c>
      <c r="C4764" t="str">
        <f>IFERROR(__xludf.DUMMYFUNCTION("""COMPUTED_VALUE"""),"How to Start and Run a Web Hosting Business from Home")</f>
        <v>How to Start and Run a Web Hosting Business from Home</v>
      </c>
    </row>
    <row r="4765">
      <c r="A4765" s="140" t="str">
        <f>IFERROR(__xludf.DUMMYFUNCTION("""COMPUTED_VALUE"""),"en")</f>
        <v>en</v>
      </c>
      <c r="B4765">
        <f>IFERROR(__xludf.DUMMYFUNCTION("""COMPUTED_VALUE"""),1693808.0)</f>
        <v>1693808</v>
      </c>
      <c r="C4765" t="str">
        <f>IFERROR(__xludf.DUMMYFUNCTION("""COMPUTED_VALUE"""),"Android Unit Testing and Test Driven Development")</f>
        <v>Android Unit Testing and Test Driven Development</v>
      </c>
    </row>
    <row r="4766">
      <c r="A4766" s="140" t="str">
        <f>IFERROR(__xludf.DUMMYFUNCTION("""COMPUTED_VALUE"""),"de")</f>
        <v>de</v>
      </c>
      <c r="B4766">
        <f>IFERROR(__xludf.DUMMYFUNCTION("""COMPUTED_VALUE"""),2540150.0)</f>
        <v>2540150</v>
      </c>
      <c r="C4766" t="str">
        <f>IFERROR(__xludf.DUMMYFUNCTION("""COMPUTED_VALUE"""),"Lerne Adobe Premiere Pro in 150 Minuten!")</f>
        <v>Lerne Adobe Premiere Pro in 150 Minuten!</v>
      </c>
    </row>
    <row r="4767">
      <c r="A4767" s="140" t="str">
        <f>IFERROR(__xludf.DUMMYFUNCTION("""COMPUTED_VALUE"""),"en")</f>
        <v>en</v>
      </c>
      <c r="B4767">
        <f>IFERROR(__xludf.DUMMYFUNCTION("""COMPUTED_VALUE"""),1075954.0)</f>
        <v>1075954</v>
      </c>
      <c r="C4767" t="str">
        <f>IFERROR(__xludf.DUMMYFUNCTION("""COMPUTED_VALUE"""),"Digital Signal Processing (DSP) From Ground Up™ with MATLAB")</f>
        <v>Digital Signal Processing (DSP) From Ground Up™ with MATLAB</v>
      </c>
    </row>
    <row r="4768">
      <c r="A4768" s="140" t="str">
        <f>IFERROR(__xludf.DUMMYFUNCTION("""COMPUTED_VALUE"""),"en")</f>
        <v>en</v>
      </c>
      <c r="B4768">
        <f>IFERROR(__xludf.DUMMYFUNCTION("""COMPUTED_VALUE"""),3926772.0)</f>
        <v>3926772</v>
      </c>
      <c r="C4768" t="str">
        <f>IFERROR(__xludf.DUMMYFUNCTION("""COMPUTED_VALUE"""),"C++ Fundamentals: Game Programming For Beginners")</f>
        <v>C++ Fundamentals: Game Programming For Beginners</v>
      </c>
    </row>
    <row r="4769">
      <c r="A4769" s="140" t="str">
        <f>IFERROR(__xludf.DUMMYFUNCTION("""COMPUTED_VALUE"""),"es")</f>
        <v>es</v>
      </c>
      <c r="B4769">
        <f>IFERROR(__xludf.DUMMYFUNCTION("""COMPUTED_VALUE"""),2479224.0)</f>
        <v>2479224</v>
      </c>
      <c r="C4769" t="str">
        <f>IFERROR(__xludf.DUMMYFUNCTION("""COMPUTED_VALUE"""),"Curso de Liderazgo: Plan líder | Certificación 2021")</f>
        <v>Curso de Liderazgo: Plan líder | Certificación 2021</v>
      </c>
    </row>
    <row r="4770">
      <c r="A4770" s="140" t="str">
        <f>IFERROR(__xludf.DUMMYFUNCTION("""COMPUTED_VALUE"""),"en")</f>
        <v>en</v>
      </c>
      <c r="B4770">
        <f>IFERROR(__xludf.DUMMYFUNCTION("""COMPUTED_VALUE"""),517102.0)</f>
        <v>517102</v>
      </c>
      <c r="C4770" t="str">
        <f>IFERROR(__xludf.DUMMYFUNCTION("""COMPUTED_VALUE"""),"Practical Meditation - Master Meditation Today")</f>
        <v>Practical Meditation - Master Meditation Today</v>
      </c>
    </row>
    <row r="4771">
      <c r="A4771" s="140" t="str">
        <f>IFERROR(__xludf.DUMMYFUNCTION("""COMPUTED_VALUE"""),"es")</f>
        <v>es</v>
      </c>
      <c r="B4771">
        <f>IFERROR(__xludf.DUMMYFUNCTION("""COMPUTED_VALUE"""),25118.0)</f>
        <v>25118</v>
      </c>
      <c r="C4771" t="str">
        <f>IFERROR(__xludf.DUMMYFUNCTION("""COMPUTED_VALUE"""),"Todo PHP7 y MySQL, de básico a experto")</f>
        <v>Todo PHP7 y MySQL, de básico a experto</v>
      </c>
    </row>
    <row r="4772">
      <c r="A4772" s="140" t="str">
        <f>IFERROR(__xludf.DUMMYFUNCTION("""COMPUTED_VALUE"""),"fr")</f>
        <v>fr</v>
      </c>
      <c r="B4772">
        <f>IFERROR(__xludf.DUMMYFUNCTION("""COMPUTED_VALUE"""),3105512.0)</f>
        <v>3105512</v>
      </c>
      <c r="C4772" t="str">
        <f>IFERROR(__xludf.DUMMYFUNCTION("""COMPUTED_VALUE"""),"Manager votre équipe à distance ou en télétravail")</f>
        <v>Manager votre équipe à distance ou en télétravail</v>
      </c>
    </row>
    <row r="4773">
      <c r="A4773" s="140" t="str">
        <f>IFERROR(__xludf.DUMMYFUNCTION("""COMPUTED_VALUE"""),"de")</f>
        <v>de</v>
      </c>
      <c r="B4773">
        <f>IFERROR(__xludf.DUMMYFUNCTION("""COMPUTED_VALUE"""),3604746.0)</f>
        <v>3604746</v>
      </c>
      <c r="C4773" t="str">
        <f>IFERROR(__xludf.DUMMYFUNCTION("""COMPUTED_VALUE"""),"Corporate Design mit Affinity Designer &amp; Affinity Publisher")</f>
        <v>Corporate Design mit Affinity Designer &amp; Affinity Publisher</v>
      </c>
    </row>
    <row r="4774">
      <c r="A4774" s="140" t="str">
        <f>IFERROR(__xludf.DUMMYFUNCTION("""COMPUTED_VALUE"""),"ja")</f>
        <v>ja</v>
      </c>
      <c r="B4774">
        <f>IFERROR(__xludf.DUMMYFUNCTION("""COMPUTED_VALUE"""),2594890.0)</f>
        <v>2594890</v>
      </c>
      <c r="C4774" t="str">
        <f>IFERROR(__xludf.DUMMYFUNCTION("""COMPUTED_VALUE"""),"AWS 認定デベロッパー アソシエイト模擬試験問題集（5回分325問）")</f>
        <v>AWS 認定デベロッパー アソシエイト模擬試験問題集（5回分325問）</v>
      </c>
    </row>
    <row r="4775">
      <c r="A4775" s="140" t="str">
        <f>IFERROR(__xludf.DUMMYFUNCTION("""COMPUTED_VALUE"""),"en")</f>
        <v>en</v>
      </c>
      <c r="B4775">
        <f>IFERROR(__xludf.DUMMYFUNCTION("""COMPUTED_VALUE"""),4009818.0)</f>
        <v>4009818</v>
      </c>
      <c r="C4775" t="str">
        <f>IFERROR(__xludf.DUMMYFUNCTION("""COMPUTED_VALUE"""),"Journaling Mastery: Become Your Best Self")</f>
        <v>Journaling Mastery: Become Your Best Self</v>
      </c>
    </row>
    <row r="4776">
      <c r="A4776" s="140" t="str">
        <f>IFERROR(__xludf.DUMMYFUNCTION("""COMPUTED_VALUE"""),"en")</f>
        <v>en</v>
      </c>
      <c r="B4776">
        <f>IFERROR(__xludf.DUMMYFUNCTION("""COMPUTED_VALUE"""),1338454.0)</f>
        <v>1338454</v>
      </c>
      <c r="C4776" t="str">
        <f>IFERROR(__xludf.DUMMYFUNCTION("""COMPUTED_VALUE"""),"The Complete ARKit Course - Build 11 Augmented Reality Apps")</f>
        <v>The Complete ARKit Course - Build 11 Augmented Reality Apps</v>
      </c>
    </row>
    <row r="4777">
      <c r="A4777" s="140" t="str">
        <f>IFERROR(__xludf.DUMMYFUNCTION("""COMPUTED_VALUE"""),"en")</f>
        <v>en</v>
      </c>
      <c r="B4777">
        <f>IFERROR(__xludf.DUMMYFUNCTION("""COMPUTED_VALUE"""),53670.0)</f>
        <v>53670</v>
      </c>
      <c r="C4777" t="str">
        <f>IFERROR(__xludf.DUMMYFUNCTION("""COMPUTED_VALUE"""),"Selenium WebDriver Training with Java &amp; Many Live Frameworks")</f>
        <v>Selenium WebDriver Training with Java &amp; Many Live Frameworks</v>
      </c>
    </row>
    <row r="4778">
      <c r="A4778" s="140" t="str">
        <f>IFERROR(__xludf.DUMMYFUNCTION("""COMPUTED_VALUE"""),"en")</f>
        <v>en</v>
      </c>
      <c r="B4778">
        <f>IFERROR(__xludf.DUMMYFUNCTION("""COMPUTED_VALUE"""),946654.0)</f>
        <v>946654</v>
      </c>
      <c r="C4778" t="str">
        <f>IFERROR(__xludf.DUMMYFUNCTION("""COMPUTED_VALUE"""),"Write Better Emails: Tactics for Smarter Team Communication")</f>
        <v>Write Better Emails: Tactics for Smarter Team Communication</v>
      </c>
    </row>
    <row r="4779">
      <c r="A4779" s="140" t="str">
        <f>IFERROR(__xludf.DUMMYFUNCTION("""COMPUTED_VALUE"""),"es")</f>
        <v>es</v>
      </c>
      <c r="B4779">
        <f>IFERROR(__xludf.DUMMYFUNCTION("""COMPUTED_VALUE"""),1283316.0)</f>
        <v>1283316</v>
      </c>
      <c r="C4779" t="str">
        <f>IFERROR(__xludf.DUMMYFUNCTION("""COMPUTED_VALUE"""),"Empoderamiento y Delegación - Fundamentos de Liderazgo 4")</f>
        <v>Empoderamiento y Delegación - Fundamentos de Liderazgo 4</v>
      </c>
    </row>
    <row r="4780">
      <c r="A4780" s="140" t="str">
        <f>IFERROR(__xludf.DUMMYFUNCTION("""COMPUTED_VALUE"""),"ja")</f>
        <v>ja</v>
      </c>
      <c r="B4780">
        <f>IFERROR(__xludf.DUMMYFUNCTION("""COMPUTED_VALUE"""),975576.0)</f>
        <v>975576</v>
      </c>
      <c r="C4780" t="str">
        <f>IFERROR(__xludf.DUMMYFUNCTION("""COMPUTED_VALUE"""),"【資格予備校講師が解説】スキマ時間で！ビジュアル簿記２級【商業簿記編】")</f>
        <v>【資格予備校講師が解説】スキマ時間で！ビジュアル簿記２級【商業簿記編】</v>
      </c>
    </row>
    <row r="4781">
      <c r="A4781" s="140" t="str">
        <f>IFERROR(__xludf.DUMMYFUNCTION("""COMPUTED_VALUE"""),"en")</f>
        <v>en</v>
      </c>
      <c r="B4781">
        <f>IFERROR(__xludf.DUMMYFUNCTION("""COMPUTED_VALUE"""),2725888.0)</f>
        <v>2725888</v>
      </c>
      <c r="C4781" t="str">
        <f>IFERROR(__xludf.DUMMYFUNCTION("""COMPUTED_VALUE"""),"Power Management in India")</f>
        <v>Power Management in India</v>
      </c>
    </row>
    <row r="4782">
      <c r="A4782" s="140" t="str">
        <f>IFERROR(__xludf.DUMMYFUNCTION("""COMPUTED_VALUE"""),"es")</f>
        <v>es</v>
      </c>
      <c r="B4782">
        <f>IFERROR(__xludf.DUMMYFUNCTION("""COMPUTED_VALUE"""),2451226.0)</f>
        <v>2451226</v>
      </c>
      <c r="C4782" t="str">
        <f>IFERROR(__xludf.DUMMYFUNCTION("""COMPUTED_VALUE"""),"Aprende Redes desde Cero: Curso Completo")</f>
        <v>Aprende Redes desde Cero: Curso Completo</v>
      </c>
    </row>
    <row r="4783">
      <c r="A4783" s="140" t="str">
        <f>IFERROR(__xludf.DUMMYFUNCTION("""COMPUTED_VALUE"""),"en")</f>
        <v>en</v>
      </c>
      <c r="B4783">
        <f>IFERROR(__xludf.DUMMYFUNCTION("""COMPUTED_VALUE"""),443658.0)</f>
        <v>443658</v>
      </c>
      <c r="C4783" t="str">
        <f>IFERROR(__xludf.DUMMYFUNCTION("""COMPUTED_VALUE"""),"Ruby For Programmers")</f>
        <v>Ruby For Programmers</v>
      </c>
    </row>
    <row r="4784">
      <c r="A4784" s="140" t="str">
        <f>IFERROR(__xludf.DUMMYFUNCTION("""COMPUTED_VALUE"""),"es")</f>
        <v>es</v>
      </c>
      <c r="B4784">
        <f>IFERROR(__xludf.DUMMYFUNCTION("""COMPUTED_VALUE"""),4182204.0)</f>
        <v>4182204</v>
      </c>
      <c r="C4784" t="str">
        <f>IFERROR(__xludf.DUMMYFUNCTION("""COMPUTED_VALUE"""),"Nuxt.js - Framework de Vue.js con Strapi GraphQL")</f>
        <v>Nuxt.js - Framework de Vue.js con Strapi GraphQL</v>
      </c>
    </row>
    <row r="4785">
      <c r="A4785" s="140" t="str">
        <f>IFERROR(__xludf.DUMMYFUNCTION("""COMPUTED_VALUE"""),"ja")</f>
        <v>ja</v>
      </c>
      <c r="B4785">
        <f>IFERROR(__xludf.DUMMYFUNCTION("""COMPUTED_VALUE"""),3999800.0)</f>
        <v>3999800</v>
      </c>
      <c r="C4785" t="str">
        <f>IFERROR(__xludf.DUMMYFUNCTION("""COMPUTED_VALUE"""),"Google Data Portal (Google Data Studio) - 入門講座")</f>
        <v>Google Data Portal (Google Data Studio) - 入門講座</v>
      </c>
    </row>
    <row r="4786">
      <c r="A4786" s="140" t="str">
        <f>IFERROR(__xludf.DUMMYFUNCTION("""COMPUTED_VALUE"""),"pt")</f>
        <v>pt</v>
      </c>
      <c r="B4786">
        <f>IFERROR(__xludf.DUMMYFUNCTION("""COMPUTED_VALUE"""),2235088.0)</f>
        <v>2235088</v>
      </c>
      <c r="C4786" t="str">
        <f>IFERROR(__xludf.DUMMYFUNCTION("""COMPUTED_VALUE"""),"Automação Industrial em Ambiente Virtual")</f>
        <v>Automação Industrial em Ambiente Virtual</v>
      </c>
    </row>
    <row r="4787">
      <c r="A4787" s="140" t="str">
        <f>IFERROR(__xludf.DUMMYFUNCTION("""COMPUTED_VALUE"""),"tr")</f>
        <v>tr</v>
      </c>
      <c r="B4787">
        <f>IFERROR(__xludf.DUMMYFUNCTION("""COMPUTED_VALUE"""),3671702.0)</f>
        <v>3671702</v>
      </c>
      <c r="C4787" t="str">
        <f>IFERROR(__xludf.DUMMYFUNCTION("""COMPUTED_VALUE"""),"Proteus ile Temel Elektrik ve Elektronik Uygulamaları")</f>
        <v>Proteus ile Temel Elektrik ve Elektronik Uygulamaları</v>
      </c>
    </row>
    <row r="4788">
      <c r="A4788" s="140" t="str">
        <f>IFERROR(__xludf.DUMMYFUNCTION("""COMPUTED_VALUE"""),"en")</f>
        <v>en</v>
      </c>
      <c r="B4788">
        <f>IFERROR(__xludf.DUMMYFUNCTION("""COMPUTED_VALUE"""),2004330.0)</f>
        <v>2004330</v>
      </c>
      <c r="C4788" t="str">
        <f>IFERROR(__xludf.DUMMYFUNCTION("""COMPUTED_VALUE"""),"Executive Briefing: Big Data and the Hadoop Ecosystem")</f>
        <v>Executive Briefing: Big Data and the Hadoop Ecosystem</v>
      </c>
    </row>
    <row r="4789">
      <c r="A4789" s="140" t="str">
        <f>IFERROR(__xludf.DUMMYFUNCTION("""COMPUTED_VALUE"""),"en")</f>
        <v>en</v>
      </c>
      <c r="B4789">
        <f>IFERROR(__xludf.DUMMYFUNCTION("""COMPUTED_VALUE"""),3776126.0)</f>
        <v>3776126</v>
      </c>
      <c r="C4789" t="str">
        <f>IFERROR(__xludf.DUMMYFUNCTION("""COMPUTED_VALUE"""),"Red Team Ethical Hacking - Intermediate")</f>
        <v>Red Team Ethical Hacking - Intermediate</v>
      </c>
    </row>
    <row r="4790">
      <c r="A4790" s="140" t="str">
        <f>IFERROR(__xludf.DUMMYFUNCTION("""COMPUTED_VALUE"""),"de")</f>
        <v>de</v>
      </c>
      <c r="B4790">
        <f>IFERROR(__xludf.DUMMYFUNCTION("""COMPUTED_VALUE"""),959418.0)</f>
        <v>959418</v>
      </c>
      <c r="C4790" t="str">
        <f>IFERROR(__xludf.DUMMYFUNCTION("""COMPUTED_VALUE"""),"Netzwerk-Troubleshooting: In 10 Schritten zur Problemlösung")</f>
        <v>Netzwerk-Troubleshooting: In 10 Schritten zur Problemlösung</v>
      </c>
    </row>
    <row r="4791">
      <c r="A4791" s="140" t="str">
        <f>IFERROR(__xludf.DUMMYFUNCTION("""COMPUTED_VALUE"""),"pt")</f>
        <v>pt</v>
      </c>
      <c r="B4791">
        <f>IFERROR(__xludf.DUMMYFUNCTION("""COMPUTED_VALUE"""),1290784.0)</f>
        <v>1290784</v>
      </c>
      <c r="C4791" t="str">
        <f>IFERROR(__xludf.DUMMYFUNCTION("""COMPUTED_VALUE"""),"Curso de português - Aprenda em 3 horas - Método Inovador")</f>
        <v>Curso de português - Aprenda em 3 horas - Método Inovador</v>
      </c>
    </row>
    <row r="4792">
      <c r="A4792" s="140" t="str">
        <f>IFERROR(__xludf.DUMMYFUNCTION("""COMPUTED_VALUE"""),"en")</f>
        <v>en</v>
      </c>
      <c r="B4792">
        <f>IFERROR(__xludf.DUMMYFUNCTION("""COMPUTED_VALUE"""),1664004.0)</f>
        <v>1664004</v>
      </c>
      <c r="C4792" t="str">
        <f>IFERROR(__xludf.DUMMYFUNCTION("""COMPUTED_VALUE"""),"Advanced Tableau - Level of Detail Expressions / LOD")</f>
        <v>Advanced Tableau - Level of Detail Expressions / LOD</v>
      </c>
    </row>
    <row r="4793">
      <c r="A4793" s="140" t="str">
        <f>IFERROR(__xludf.DUMMYFUNCTION("""COMPUTED_VALUE"""),"en")</f>
        <v>en</v>
      </c>
      <c r="B4793">
        <f>IFERROR(__xludf.DUMMYFUNCTION("""COMPUTED_VALUE"""),1294240.0)</f>
        <v>1294240</v>
      </c>
      <c r="C4793" t="str">
        <f>IFERROR(__xludf.DUMMYFUNCTION("""COMPUTED_VALUE"""),"Create a CRUD Application with Ionic 3 and Firebase")</f>
        <v>Create a CRUD Application with Ionic 3 and Firebase</v>
      </c>
    </row>
    <row r="4794">
      <c r="A4794" s="140" t="str">
        <f>IFERROR(__xludf.DUMMYFUNCTION("""COMPUTED_VALUE"""),"ja")</f>
        <v>ja</v>
      </c>
      <c r="B4794">
        <f>IFERROR(__xludf.DUMMYFUNCTION("""COMPUTED_VALUE"""),2445978.0)</f>
        <v>2445978</v>
      </c>
      <c r="C4794" t="str">
        <f>IFERROR(__xludf.DUMMYFUNCTION("""COMPUTED_VALUE"""),"【ここから始める】アクセス基礎コース アクセスの初心者でも安心このコースからAccessを始めよう！")</f>
        <v>【ここから始める】アクセス基礎コース アクセスの初心者でも安心このコースからAccessを始めよう！</v>
      </c>
    </row>
    <row r="4795">
      <c r="A4795" s="140" t="str">
        <f>IFERROR(__xludf.DUMMYFUNCTION("""COMPUTED_VALUE"""),"ja")</f>
        <v>ja</v>
      </c>
      <c r="B4795">
        <f>IFERROR(__xludf.DUMMYFUNCTION("""COMPUTED_VALUE"""),3694666.0)</f>
        <v>3694666</v>
      </c>
      <c r="C4795" t="str">
        <f>IFERROR(__xludf.DUMMYFUNCTION("""COMPUTED_VALUE"""),"TOEIC L&amp;Rテスト・単語力強化で絶対攻略！1ヶ月で1000単語を楽しく暗記するタニケイ式ボキャビル")</f>
        <v>TOEIC L&amp;Rテスト・単語力強化で絶対攻略！1ヶ月で1000単語を楽しく暗記するタニケイ式ボキャビル</v>
      </c>
    </row>
    <row r="4796">
      <c r="A4796" s="140" t="str">
        <f>IFERROR(__xludf.DUMMYFUNCTION("""COMPUTED_VALUE"""),"en")</f>
        <v>en</v>
      </c>
      <c r="B4796">
        <f>IFERROR(__xludf.DUMMYFUNCTION("""COMPUTED_VALUE"""),744606.0)</f>
        <v>744606</v>
      </c>
      <c r="C4796" t="str">
        <f>IFERROR(__xludf.DUMMYFUNCTION("""COMPUTED_VALUE"""),"Vagrant Quick Start: Virtualized Development Environments")</f>
        <v>Vagrant Quick Start: Virtualized Development Environments</v>
      </c>
    </row>
    <row r="4797">
      <c r="A4797" s="140" t="str">
        <f>IFERROR(__xludf.DUMMYFUNCTION("""COMPUTED_VALUE"""),"es")</f>
        <v>es</v>
      </c>
      <c r="B4797">
        <f>IFERROR(__xludf.DUMMYFUNCTION("""COMPUTED_VALUE"""),2823069.0)</f>
        <v>2823069</v>
      </c>
      <c r="C4797" t="str">
        <f>IFERROR(__xludf.DUMMYFUNCTION("""COMPUTED_VALUE"""),"Universidad Spring 2021 - Spring Framework y Spring Boot!")</f>
        <v>Universidad Spring 2021 - Spring Framework y Spring Boot!</v>
      </c>
    </row>
    <row r="4798">
      <c r="A4798" s="140" t="str">
        <f>IFERROR(__xludf.DUMMYFUNCTION("""COMPUTED_VALUE"""),"en")</f>
        <v>en</v>
      </c>
      <c r="B4798">
        <f>IFERROR(__xludf.DUMMYFUNCTION("""COMPUTED_VALUE"""),1392722.0)</f>
        <v>1392722</v>
      </c>
      <c r="C4798" t="str">
        <f>IFERROR(__xludf.DUMMYFUNCTION("""COMPUTED_VALUE"""),"Learn the Basics of Waste Management: Manage &amp; Reduce Waste")</f>
        <v>Learn the Basics of Waste Management: Manage &amp; Reduce Waste</v>
      </c>
    </row>
    <row r="4799">
      <c r="A4799" s="140" t="str">
        <f>IFERROR(__xludf.DUMMYFUNCTION("""COMPUTED_VALUE"""),"ja")</f>
        <v>ja</v>
      </c>
      <c r="B4799">
        <f>IFERROR(__xludf.DUMMYFUNCTION("""COMPUTED_VALUE"""),1853610.0)</f>
        <v>1853610</v>
      </c>
      <c r="C4799" t="str">
        <f>IFERROR(__xludf.DUMMYFUNCTION("""COMPUTED_VALUE"""),"【収益分析に強くなる】エクセルで学ぶマーケティング収益分析＆シミュレーション")</f>
        <v>【収益分析に強くなる】エクセルで学ぶマーケティング収益分析＆シミュレーション</v>
      </c>
    </row>
    <row r="4800">
      <c r="A4800" s="140" t="str">
        <f>IFERROR(__xludf.DUMMYFUNCTION("""COMPUTED_VALUE"""),"es")</f>
        <v>es</v>
      </c>
      <c r="B4800">
        <f>IFERROR(__xludf.DUMMYFUNCTION("""COMPUTED_VALUE"""),713160.0)</f>
        <v>713160</v>
      </c>
      <c r="C4800" t="str">
        <f>IFERROR(__xludf.DUMMYFUNCTION("""COMPUTED_VALUE"""),"Hadoop Big Data desde cero")</f>
        <v>Hadoop Big Data desde cero</v>
      </c>
    </row>
    <row r="4801">
      <c r="A4801" s="140" t="str">
        <f>IFERROR(__xludf.DUMMYFUNCTION("""COMPUTED_VALUE"""),"en")</f>
        <v>en</v>
      </c>
      <c r="B4801">
        <f>IFERROR(__xludf.DUMMYFUNCTION("""COMPUTED_VALUE"""),2660290.0)</f>
        <v>2660290</v>
      </c>
      <c r="C4801" t="str">
        <f>IFERROR(__xludf.DUMMYFUNCTION("""COMPUTED_VALUE"""),"3 Minute Italian - Course 5 | Language lessons for beginners")</f>
        <v>3 Minute Italian - Course 5 | Language lessons for beginners</v>
      </c>
    </row>
    <row r="4802">
      <c r="A4802" s="140" t="str">
        <f>IFERROR(__xludf.DUMMYFUNCTION("""COMPUTED_VALUE"""),"pt")</f>
        <v>pt</v>
      </c>
      <c r="B4802">
        <f>IFERROR(__xludf.DUMMYFUNCTION("""COMPUTED_VALUE"""),1597778.0)</f>
        <v>1597778</v>
      </c>
      <c r="C4802" t="str">
        <f>IFERROR(__xludf.DUMMYFUNCTION("""COMPUTED_VALUE"""),"Modelagem de Dados UML (Análise&amp;Projeto Orientado a Objetos)")</f>
        <v>Modelagem de Dados UML (Análise&amp;Projeto Orientado a Objetos)</v>
      </c>
    </row>
    <row r="4803">
      <c r="A4803" s="140" t="str">
        <f>IFERROR(__xludf.DUMMYFUNCTION("""COMPUTED_VALUE"""),"en")</f>
        <v>en</v>
      </c>
      <c r="B4803">
        <f>IFERROR(__xludf.DUMMYFUNCTION("""COMPUTED_VALUE"""),2532404.0)</f>
        <v>2532404</v>
      </c>
      <c r="C4803" t="str">
        <f>IFERROR(__xludf.DUMMYFUNCTION("""COMPUTED_VALUE"""),"A Complete Content Marketing Course for TikTokers")</f>
        <v>A Complete Content Marketing Course for TikTokers</v>
      </c>
    </row>
    <row r="4804">
      <c r="A4804" s="140" t="str">
        <f>IFERROR(__xludf.DUMMYFUNCTION("""COMPUTED_VALUE"""),"en")</f>
        <v>en</v>
      </c>
      <c r="B4804">
        <f>IFERROR(__xludf.DUMMYFUNCTION("""COMPUTED_VALUE"""),640062.0)</f>
        <v>640062</v>
      </c>
      <c r="C4804" t="str">
        <f>IFERROR(__xludf.DUMMYFUNCTION("""COMPUTED_VALUE"""),"Accounting Made Easy: A Quick Guide to Financial Accounting")</f>
        <v>Accounting Made Easy: A Quick Guide to Financial Accounting</v>
      </c>
    </row>
    <row r="4805">
      <c r="A4805" s="140" t="str">
        <f>IFERROR(__xludf.DUMMYFUNCTION("""COMPUTED_VALUE"""),"de")</f>
        <v>de</v>
      </c>
      <c r="B4805">
        <f>IFERROR(__xludf.DUMMYFUNCTION("""COMPUTED_VALUE"""),1407048.0)</f>
        <v>1407048</v>
      </c>
      <c r="C4805" t="str">
        <f>IFERROR(__xludf.DUMMYFUNCTION("""COMPUTED_VALUE"""),"AWS – Ihr Weg zum zertifizierten Amazon Solutions Architekt")</f>
        <v>AWS – Ihr Weg zum zertifizierten Amazon Solutions Architekt</v>
      </c>
    </row>
    <row r="4806">
      <c r="A4806" s="140" t="str">
        <f>IFERROR(__xludf.DUMMYFUNCTION("""COMPUTED_VALUE"""),"ja")</f>
        <v>ja</v>
      </c>
      <c r="B4806">
        <f>IFERROR(__xludf.DUMMYFUNCTION("""COMPUTED_VALUE"""),3978604.0)</f>
        <v>3978604</v>
      </c>
      <c r="C4806" t="str">
        <f>IFERROR(__xludf.DUMMYFUNCTION("""COMPUTED_VALUE"""),"Flutterアプリ開発基礎入門")</f>
        <v>Flutterアプリ開発基礎入門</v>
      </c>
    </row>
    <row r="4807">
      <c r="A4807" s="140" t="str">
        <f>IFERROR(__xludf.DUMMYFUNCTION("""COMPUTED_VALUE"""),"en")</f>
        <v>en</v>
      </c>
      <c r="B4807">
        <f>IFERROR(__xludf.DUMMYFUNCTION("""COMPUTED_VALUE"""),3885700.0)</f>
        <v>3885700</v>
      </c>
      <c r="C4807" t="str">
        <f>IFERROR(__xludf.DUMMYFUNCTION("""COMPUTED_VALUE"""),"Modern Artificial Intelligence with Zero Coding")</f>
        <v>Modern Artificial Intelligence with Zero Coding</v>
      </c>
    </row>
    <row r="4808">
      <c r="A4808" s="140" t="str">
        <f>IFERROR(__xludf.DUMMYFUNCTION("""COMPUTED_VALUE"""),"en")</f>
        <v>en</v>
      </c>
      <c r="B4808">
        <f>IFERROR(__xludf.DUMMYFUNCTION("""COMPUTED_VALUE"""),1720672.0)</f>
        <v>1720672</v>
      </c>
      <c r="C4808" t="str">
        <f>IFERROR(__xludf.DUMMYFUNCTION("""COMPUTED_VALUE"""),"Learn Advanced Modern C++!")</f>
        <v>Learn Advanced Modern C++!</v>
      </c>
    </row>
    <row r="4809">
      <c r="A4809" s="140" t="str">
        <f>IFERROR(__xludf.DUMMYFUNCTION("""COMPUTED_VALUE"""),"en")</f>
        <v>en</v>
      </c>
      <c r="B4809">
        <f>IFERROR(__xludf.DUMMYFUNCTION("""COMPUTED_VALUE"""),484114.0)</f>
        <v>484114</v>
      </c>
      <c r="C4809" t="str">
        <f>IFERROR(__xludf.DUMMYFUNCTION("""COMPUTED_VALUE"""),"Punctuation Mastery")</f>
        <v>Punctuation Mastery</v>
      </c>
    </row>
    <row r="4810">
      <c r="A4810" s="140" t="str">
        <f>IFERROR(__xludf.DUMMYFUNCTION("""COMPUTED_VALUE"""),"de")</f>
        <v>de</v>
      </c>
      <c r="B4810">
        <f>IFERROR(__xludf.DUMMYFUNCTION("""COMPUTED_VALUE"""),988320.0)</f>
        <v>988320</v>
      </c>
      <c r="C4810" t="str">
        <f>IFERROR(__xludf.DUMMYFUNCTION("""COMPUTED_VALUE"""),"Excel VBA / Makros Programmierung. Automatisierung mit Excel")</f>
        <v>Excel VBA / Makros Programmierung. Automatisierung mit Excel</v>
      </c>
    </row>
    <row r="4811">
      <c r="A4811" s="140" t="str">
        <f>IFERROR(__xludf.DUMMYFUNCTION("""COMPUTED_VALUE"""),"en")</f>
        <v>en</v>
      </c>
      <c r="B4811">
        <f>IFERROR(__xludf.DUMMYFUNCTION("""COMPUTED_VALUE"""),1611824.0)</f>
        <v>1611824</v>
      </c>
      <c r="C4811" t="str">
        <f>IFERROR(__xludf.DUMMYFUNCTION("""COMPUTED_VALUE"""),"The no BS 2 Hour UI Design Course")</f>
        <v>The no BS 2 Hour UI Design Course</v>
      </c>
    </row>
    <row r="4812">
      <c r="A4812" s="140" t="str">
        <f>IFERROR(__xludf.DUMMYFUNCTION("""COMPUTED_VALUE"""),"en")</f>
        <v>en</v>
      </c>
      <c r="B4812">
        <f>IFERROR(__xludf.DUMMYFUNCTION("""COMPUTED_VALUE"""),2200298.0)</f>
        <v>2200298</v>
      </c>
      <c r="C4812" t="str">
        <f>IFERROR(__xludf.DUMMYFUNCTION("""COMPUTED_VALUE"""),"Cisco ISE v2.4 Video Training")</f>
        <v>Cisco ISE v2.4 Video Training</v>
      </c>
    </row>
    <row r="4813">
      <c r="A4813" s="140" t="str">
        <f>IFERROR(__xludf.DUMMYFUNCTION("""COMPUTED_VALUE"""),"de")</f>
        <v>de</v>
      </c>
      <c r="B4813">
        <f>IFERROR(__xludf.DUMMYFUNCTION("""COMPUTED_VALUE"""),3649938.0)</f>
        <v>3649938</v>
      </c>
      <c r="C4813" t="str">
        <f>IFERROR(__xludf.DUMMYFUNCTION("""COMPUTED_VALUE"""),"Souveräne Wirkung als Frau")</f>
        <v>Souveräne Wirkung als Frau</v>
      </c>
    </row>
    <row r="4814">
      <c r="A4814" s="140" t="str">
        <f>IFERROR(__xludf.DUMMYFUNCTION("""COMPUTED_VALUE"""),"ja")</f>
        <v>ja</v>
      </c>
      <c r="B4814">
        <f>IFERROR(__xludf.DUMMYFUNCTION("""COMPUTED_VALUE"""),1555742.0)</f>
        <v>1555742</v>
      </c>
      <c r="C4814" t="str">
        <f>IFERROR(__xludf.DUMMYFUNCTION("""COMPUTED_VALUE"""),"はじめてのPython 少しずつ丁寧に学ぶプログラミング言語Python3のエッセンス")</f>
        <v>はじめてのPython 少しずつ丁寧に学ぶプログラミング言語Python3のエッセンス</v>
      </c>
    </row>
    <row r="4815">
      <c r="A4815" s="140" t="str">
        <f>IFERROR(__xludf.DUMMYFUNCTION("""COMPUTED_VALUE"""),"tr")</f>
        <v>tr</v>
      </c>
      <c r="B4815">
        <f>IFERROR(__xludf.DUMMYFUNCTION("""COMPUTED_VALUE"""),1662526.0)</f>
        <v>1662526</v>
      </c>
      <c r="C4815" t="str">
        <f>IFERROR(__xludf.DUMMYFUNCTION("""COMPUTED_VALUE"""),"Sıfırdan İleri Seviye Modern Javascript Dersleri ES7+")</f>
        <v>Sıfırdan İleri Seviye Modern Javascript Dersleri ES7+</v>
      </c>
    </row>
    <row r="4816">
      <c r="A4816" s="140" t="str">
        <f>IFERROR(__xludf.DUMMYFUNCTION("""COMPUTED_VALUE"""),"zh")</f>
        <v>zh</v>
      </c>
      <c r="B4816">
        <f>IFERROR(__xludf.DUMMYFUNCTION("""COMPUTED_VALUE"""),2931294.0)</f>
        <v>2931294</v>
      </c>
      <c r="C4816" t="str">
        <f>IFERROR(__xludf.DUMMYFUNCTION("""COMPUTED_VALUE"""),"Spring Boot 从入门到精通")</f>
        <v>Spring Boot 从入门到精通</v>
      </c>
    </row>
    <row r="4817">
      <c r="A4817" s="140" t="str">
        <f>IFERROR(__xludf.DUMMYFUNCTION("""COMPUTED_VALUE"""),"es")</f>
        <v>es</v>
      </c>
      <c r="B4817">
        <f>IFERROR(__xludf.DUMMYFUNCTION("""COMPUTED_VALUE"""),84600.0)</f>
        <v>84600</v>
      </c>
      <c r="C4817" t="str">
        <f>IFERROR(__xludf.DUMMYFUNCTION("""COMPUTED_VALUE"""),"Cómo provocar cambios positivos en la organización")</f>
        <v>Cómo provocar cambios positivos en la organización</v>
      </c>
    </row>
    <row r="4818">
      <c r="A4818" s="140" t="str">
        <f>IFERROR(__xludf.DUMMYFUNCTION("""COMPUTED_VALUE"""),"es")</f>
        <v>es</v>
      </c>
      <c r="B4818">
        <f>IFERROR(__xludf.DUMMYFUNCTION("""COMPUTED_VALUE"""),1351182.0)</f>
        <v>1351182</v>
      </c>
      <c r="C4818" t="str">
        <f>IFERROR(__xludf.DUMMYFUNCTION("""COMPUTED_VALUE"""),"Proyecto Java Web  JSP, Servlet con MySQL desde NetBeans IDE")</f>
        <v>Proyecto Java Web  JSP, Servlet con MySQL desde NetBeans IDE</v>
      </c>
    </row>
    <row r="4819">
      <c r="A4819" s="140" t="str">
        <f>IFERROR(__xludf.DUMMYFUNCTION("""COMPUTED_VALUE"""),"en")</f>
        <v>en</v>
      </c>
      <c r="B4819">
        <f>IFERROR(__xludf.DUMMYFUNCTION("""COMPUTED_VALUE"""),1923762.0)</f>
        <v>1923762</v>
      </c>
      <c r="C4819" t="str">
        <f>IFERROR(__xludf.DUMMYFUNCTION("""COMPUTED_VALUE"""),"MATLAB for Power Electronics: Simulation &amp; Analysis")</f>
        <v>MATLAB for Power Electronics: Simulation &amp; Analysis</v>
      </c>
    </row>
    <row r="4820">
      <c r="A4820" s="140" t="str">
        <f>IFERROR(__xludf.DUMMYFUNCTION("""COMPUTED_VALUE"""),"en")</f>
        <v>en</v>
      </c>
      <c r="B4820">
        <f>IFERROR(__xludf.DUMMYFUNCTION("""COMPUTED_VALUE"""),2502872.0)</f>
        <v>2502872</v>
      </c>
      <c r="C4820" t="str">
        <f>IFERROR(__xludf.DUMMYFUNCTION("""COMPUTED_VALUE"""),"Mastering Terraform - Integrating with Jenkins and Ansible")</f>
        <v>Mastering Terraform - Integrating with Jenkins and Ansible</v>
      </c>
    </row>
    <row r="4821">
      <c r="A4821" s="140" t="str">
        <f>IFERROR(__xludf.DUMMYFUNCTION("""COMPUTED_VALUE"""),"en")</f>
        <v>en</v>
      </c>
      <c r="B4821">
        <f>IFERROR(__xludf.DUMMYFUNCTION("""COMPUTED_VALUE"""),1328310.0)</f>
        <v>1328310</v>
      </c>
      <c r="C4821" t="str">
        <f>IFERROR(__xludf.DUMMYFUNCTION("""COMPUTED_VALUE"""),"Siebel CRM EAI,Web Services,Integration &amp;Automation Workflow")</f>
        <v>Siebel CRM EAI,Web Services,Integration &amp;Automation Workflow</v>
      </c>
    </row>
    <row r="4822">
      <c r="A4822" s="140" t="str">
        <f>IFERROR(__xludf.DUMMYFUNCTION("""COMPUTED_VALUE"""),"pt")</f>
        <v>pt</v>
      </c>
      <c r="B4822">
        <f>IFERROR(__xludf.DUMMYFUNCTION("""COMPUTED_VALUE"""),1757034.0)</f>
        <v>1757034</v>
      </c>
      <c r="C4822" t="str">
        <f>IFERROR(__xludf.DUMMYFUNCTION("""COMPUTED_VALUE"""),"DBA SQL Server 2017 no Linux.")</f>
        <v>DBA SQL Server 2017 no Linux.</v>
      </c>
    </row>
    <row r="4823">
      <c r="A4823" s="140" t="str">
        <f>IFERROR(__xludf.DUMMYFUNCTION("""COMPUTED_VALUE"""),"es")</f>
        <v>es</v>
      </c>
      <c r="B4823">
        <f>IFERROR(__xludf.DUMMYFUNCTION("""COMPUTED_VALUE"""),2067063.0)</f>
        <v>2067063</v>
      </c>
      <c r="C4823" t="str">
        <f>IFERROR(__xludf.DUMMYFUNCTION("""COMPUTED_VALUE"""),"Branding y Neuromarketing digital, la ciencia de vender")</f>
        <v>Branding y Neuromarketing digital, la ciencia de vender</v>
      </c>
    </row>
    <row r="4824">
      <c r="A4824" s="140" t="str">
        <f>IFERROR(__xludf.DUMMYFUNCTION("""COMPUTED_VALUE"""),"en")</f>
        <v>en</v>
      </c>
      <c r="B4824">
        <f>IFERROR(__xludf.DUMMYFUNCTION("""COMPUTED_VALUE"""),402230.0)</f>
        <v>402230</v>
      </c>
      <c r="C4824" t="str">
        <f>IFERROR(__xludf.DUMMYFUNCTION("""COMPUTED_VALUE"""),"Configuring Fortigate Unified Threat Management Appliances")</f>
        <v>Configuring Fortigate Unified Threat Management Appliances</v>
      </c>
    </row>
    <row r="4825">
      <c r="A4825" s="140" t="str">
        <f>IFERROR(__xludf.DUMMYFUNCTION("""COMPUTED_VALUE"""),"en")</f>
        <v>en</v>
      </c>
      <c r="B4825">
        <f>IFERROR(__xludf.DUMMYFUNCTION("""COMPUTED_VALUE"""),2623182.0)</f>
        <v>2623182</v>
      </c>
      <c r="C4825" t="str">
        <f>IFERROR(__xludf.DUMMYFUNCTION("""COMPUTED_VALUE"""),"Taming Google Workspace (G Suite) - An Administrator Guide")</f>
        <v>Taming Google Workspace (G Suite) - An Administrator Guide</v>
      </c>
    </row>
    <row r="4826">
      <c r="A4826" s="140" t="str">
        <f>IFERROR(__xludf.DUMMYFUNCTION("""COMPUTED_VALUE"""),"tr")</f>
        <v>tr</v>
      </c>
      <c r="B4826">
        <f>IFERROR(__xludf.DUMMYFUNCTION("""COMPUTED_VALUE"""),3653934.0)</f>
        <v>3653934</v>
      </c>
      <c r="C4826" t="str">
        <f>IFERROR(__xludf.DUMMYFUNCTION("""COMPUTED_VALUE"""),"ASP.NET Core 5 Katmanlı Mimari ile Blog Uygulaması 2 | .NET5")</f>
        <v>ASP.NET Core 5 Katmanlı Mimari ile Blog Uygulaması 2 | .NET5</v>
      </c>
    </row>
    <row r="4827">
      <c r="A4827" s="140" t="str">
        <f>IFERROR(__xludf.DUMMYFUNCTION("""COMPUTED_VALUE"""),"en")</f>
        <v>en</v>
      </c>
      <c r="B4827">
        <f>IFERROR(__xludf.DUMMYFUNCTION("""COMPUTED_VALUE"""),371832.0)</f>
        <v>371832</v>
      </c>
      <c r="C4827" t="str">
        <f>IFERROR(__xludf.DUMMYFUNCTION("""COMPUTED_VALUE"""),"Budgets, Cashflow Forecasting and Management Accounts")</f>
        <v>Budgets, Cashflow Forecasting and Management Accounts</v>
      </c>
    </row>
    <row r="4828">
      <c r="A4828" s="140" t="str">
        <f>IFERROR(__xludf.DUMMYFUNCTION("""COMPUTED_VALUE"""),"en")</f>
        <v>en</v>
      </c>
      <c r="B4828">
        <f>IFERROR(__xludf.DUMMYFUNCTION("""COMPUTED_VALUE"""),533036.0)</f>
        <v>533036</v>
      </c>
      <c r="C4828" t="str">
        <f>IFERROR(__xludf.DUMMYFUNCTION("""COMPUTED_VALUE"""),"Learn to Write Your Own Asterisk VOIP Dialplans and Queues")</f>
        <v>Learn to Write Your Own Asterisk VOIP Dialplans and Queues</v>
      </c>
    </row>
    <row r="4829">
      <c r="A4829" s="140" t="str">
        <f>IFERROR(__xludf.DUMMYFUNCTION("""COMPUTED_VALUE"""),"pt")</f>
        <v>pt</v>
      </c>
      <c r="B4829">
        <f>IFERROR(__xludf.DUMMYFUNCTION("""COMPUTED_VALUE"""),3594608.0)</f>
        <v>3594608</v>
      </c>
      <c r="C4829" t="str">
        <f>IFERROR(__xludf.DUMMYFUNCTION("""COMPUTED_VALUE"""),"Especialista em Departamento Pessoal")</f>
        <v>Especialista em Departamento Pessoal</v>
      </c>
    </row>
    <row r="4830">
      <c r="A4830" s="140" t="str">
        <f>IFERROR(__xludf.DUMMYFUNCTION("""COMPUTED_VALUE"""),"pt")</f>
        <v>pt</v>
      </c>
      <c r="B4830">
        <f>IFERROR(__xludf.DUMMYFUNCTION("""COMPUTED_VALUE"""),1303314.0)</f>
        <v>1303314</v>
      </c>
      <c r="C4830" t="str">
        <f>IFERROR(__xludf.DUMMYFUNCTION("""COMPUTED_VALUE"""),"Xamarin Forms - Avançado")</f>
        <v>Xamarin Forms - Avançado</v>
      </c>
    </row>
    <row r="4831">
      <c r="A4831" s="140" t="str">
        <f>IFERROR(__xludf.DUMMYFUNCTION("""COMPUTED_VALUE"""),"en")</f>
        <v>en</v>
      </c>
      <c r="B4831">
        <f>IFERROR(__xludf.DUMMYFUNCTION("""COMPUTED_VALUE"""),791548.0)</f>
        <v>791548</v>
      </c>
      <c r="C4831" t="str">
        <f>IFERROR(__xludf.DUMMYFUNCTION("""COMPUTED_VALUE"""),"Scala Applied, Part 1")</f>
        <v>Scala Applied, Part 1</v>
      </c>
    </row>
    <row r="4832">
      <c r="A4832" s="140" t="str">
        <f>IFERROR(__xludf.DUMMYFUNCTION("""COMPUTED_VALUE"""),"en")</f>
        <v>en</v>
      </c>
      <c r="B4832">
        <f>IFERROR(__xludf.DUMMYFUNCTION("""COMPUTED_VALUE"""),1662906.0)</f>
        <v>1662906</v>
      </c>
      <c r="C4832" t="str">
        <f>IFERROR(__xludf.DUMMYFUNCTION("""COMPUTED_VALUE"""),"Ubuntu Linux on Windows With VirtualBox For Web Development")</f>
        <v>Ubuntu Linux on Windows With VirtualBox For Web Development</v>
      </c>
    </row>
    <row r="4833">
      <c r="A4833" s="140" t="str">
        <f>IFERROR(__xludf.DUMMYFUNCTION("""COMPUTED_VALUE"""),"en")</f>
        <v>en</v>
      </c>
      <c r="B4833">
        <f>IFERROR(__xludf.DUMMYFUNCTION("""COMPUTED_VALUE"""),1946952.0)</f>
        <v>1946952</v>
      </c>
      <c r="C4833" t="str">
        <f>IFERROR(__xludf.DUMMYFUNCTION("""COMPUTED_VALUE"""),"Windows Server 2019 Training for Beginners")</f>
        <v>Windows Server 2019 Training for Beginners</v>
      </c>
    </row>
    <row r="4834">
      <c r="A4834" s="140" t="str">
        <f>IFERROR(__xludf.DUMMYFUNCTION("""COMPUTED_VALUE"""),"en")</f>
        <v>en</v>
      </c>
      <c r="B4834">
        <f>IFERROR(__xludf.DUMMYFUNCTION("""COMPUTED_VALUE"""),2580536.0)</f>
        <v>2580536</v>
      </c>
      <c r="C4834" t="str">
        <f>IFERROR(__xludf.DUMMYFUNCTION("""COMPUTED_VALUE"""),"Robotic Drives &amp; Physics: Robotics, learn by building III")</f>
        <v>Robotic Drives &amp; Physics: Robotics, learn by building III</v>
      </c>
    </row>
    <row r="4835">
      <c r="A4835" s="140" t="str">
        <f>IFERROR(__xludf.DUMMYFUNCTION("""COMPUTED_VALUE"""),"pt")</f>
        <v>pt</v>
      </c>
      <c r="B4835">
        <f>IFERROR(__xludf.DUMMYFUNCTION("""COMPUTED_VALUE"""),1210800.0)</f>
        <v>1210800</v>
      </c>
      <c r="C4835" t="str">
        <f>IFERROR(__xludf.DUMMYFUNCTION("""COMPUTED_VALUE"""),"Cronoanálise aplicada em BPM e Lean Thinking")</f>
        <v>Cronoanálise aplicada em BPM e Lean Thinking</v>
      </c>
    </row>
    <row r="4836">
      <c r="A4836" s="140" t="str">
        <f>IFERROR(__xludf.DUMMYFUNCTION("""COMPUTED_VALUE"""),"en")</f>
        <v>en</v>
      </c>
      <c r="B4836">
        <f>IFERROR(__xludf.DUMMYFUNCTION("""COMPUTED_VALUE"""),2105094.0)</f>
        <v>2105094</v>
      </c>
      <c r="C4836" t="str">
        <f>IFERROR(__xludf.DUMMYFUNCTION("""COMPUTED_VALUE"""),"Beginner's Guide to Data &amp; Data Analytics, by SF Data School")</f>
        <v>Beginner's Guide to Data &amp; Data Analytics, by SF Data School</v>
      </c>
    </row>
    <row r="4837">
      <c r="A4837" s="140" t="str">
        <f>IFERROR(__xludf.DUMMYFUNCTION("""COMPUTED_VALUE"""),"de")</f>
        <v>de</v>
      </c>
      <c r="B4837">
        <f>IFERROR(__xludf.DUMMYFUNCTION("""COMPUTED_VALUE"""),3506882.0)</f>
        <v>3506882</v>
      </c>
      <c r="C4837" t="str">
        <f>IFERROR(__xludf.DUMMYFUNCTION("""COMPUTED_VALUE"""),"SwiftUI 2.0 Kurs mit iOS 14 und Swift 5")</f>
        <v>SwiftUI 2.0 Kurs mit iOS 14 und Swift 5</v>
      </c>
    </row>
    <row r="4838">
      <c r="A4838" s="140" t="str">
        <f>IFERROR(__xludf.DUMMYFUNCTION("""COMPUTED_VALUE"""),"es")</f>
        <v>es</v>
      </c>
      <c r="B4838">
        <f>IFERROR(__xludf.DUMMYFUNCTION("""COMPUTED_VALUE"""),4301033.0)</f>
        <v>4301033</v>
      </c>
      <c r="C4838" t="str">
        <f>IFERROR(__xludf.DUMMYFUNCTION("""COMPUTED_VALUE"""),"Automatiza tu Marketing Digital. Gana mas Tiempo libre.")</f>
        <v>Automatiza tu Marketing Digital. Gana mas Tiempo libre.</v>
      </c>
    </row>
    <row r="4839">
      <c r="A4839" s="140" t="str">
        <f>IFERROR(__xludf.DUMMYFUNCTION("""COMPUTED_VALUE"""),"en")</f>
        <v>en</v>
      </c>
      <c r="B4839">
        <f>IFERROR(__xludf.DUMMYFUNCTION("""COMPUTED_VALUE"""),164058.0)</f>
        <v>164058</v>
      </c>
      <c r="C4839" t="str">
        <f>IFERROR(__xludf.DUMMYFUNCTION("""COMPUTED_VALUE"""),"The Ultimate Excel Programmer Course")</f>
        <v>The Ultimate Excel Programmer Course</v>
      </c>
    </row>
    <row r="4840">
      <c r="A4840" s="140" t="str">
        <f>IFERROR(__xludf.DUMMYFUNCTION("""COMPUTED_VALUE"""),"en")</f>
        <v>en</v>
      </c>
      <c r="B4840">
        <f>IFERROR(__xludf.DUMMYFUNCTION("""COMPUTED_VALUE"""),3777588.0)</f>
        <v>3777588</v>
      </c>
      <c r="C4840" t="str">
        <f>IFERROR(__xludf.DUMMYFUNCTION("""COMPUTED_VALUE"""),"AI-102 Microsoft Azure AI Solution Complete Exam Prep")</f>
        <v>AI-102 Microsoft Azure AI Solution Complete Exam Prep</v>
      </c>
    </row>
    <row r="4841">
      <c r="A4841" s="140" t="str">
        <f>IFERROR(__xludf.DUMMYFUNCTION("""COMPUTED_VALUE"""),"es")</f>
        <v>es</v>
      </c>
      <c r="B4841">
        <f>IFERROR(__xludf.DUMMYFUNCTION("""COMPUTED_VALUE"""),1864090.0)</f>
        <v>1864090</v>
      </c>
      <c r="C4841" t="str">
        <f>IFERROR(__xludf.DUMMYFUNCTION("""COMPUTED_VALUE"""),"Curso de AndroidX y Firebase con Java Login y crud de datos")</f>
        <v>Curso de AndroidX y Firebase con Java Login y crud de datos</v>
      </c>
    </row>
    <row r="4842">
      <c r="A4842" s="140" t="str">
        <f>IFERROR(__xludf.DUMMYFUNCTION("""COMPUTED_VALUE"""),"en")</f>
        <v>en</v>
      </c>
      <c r="B4842">
        <f>IFERROR(__xludf.DUMMYFUNCTION("""COMPUTED_VALUE"""),1457292.0)</f>
        <v>1457292</v>
      </c>
      <c r="C4842" t="str">
        <f>IFERROR(__xludf.DUMMYFUNCTION("""COMPUTED_VALUE"""),"HP LoadRunner 12.55")</f>
        <v>HP LoadRunner 12.55</v>
      </c>
    </row>
    <row r="4843">
      <c r="A4843" s="140" t="str">
        <f>IFERROR(__xludf.DUMMYFUNCTION("""COMPUTED_VALUE"""),"pt")</f>
        <v>pt</v>
      </c>
      <c r="B4843">
        <f>IFERROR(__xludf.DUMMYFUNCTION("""COMPUTED_VALUE"""),1617166.0)</f>
        <v>1617166</v>
      </c>
      <c r="C4843" t="str">
        <f>IFERROR(__xludf.DUMMYFUNCTION("""COMPUTED_VALUE"""),"Formação Angular 12 - Integração com API Restful Java/Spring")</f>
        <v>Formação Angular 12 - Integração com API Restful Java/Spring</v>
      </c>
    </row>
    <row r="4844">
      <c r="A4844" s="140" t="str">
        <f>IFERROR(__xludf.DUMMYFUNCTION("""COMPUTED_VALUE"""),"es")</f>
        <v>es</v>
      </c>
      <c r="B4844">
        <f>IFERROR(__xludf.DUMMYFUNCTION("""COMPUTED_VALUE"""),1550366.0)</f>
        <v>1550366</v>
      </c>
      <c r="C4844" t="str">
        <f>IFERROR(__xludf.DUMMYFUNCTION("""COMPUTED_VALUE"""),"CRUD ASP.NET MVC")</f>
        <v>CRUD ASP.NET MVC</v>
      </c>
    </row>
    <row r="4845">
      <c r="A4845" s="140" t="str">
        <f>IFERROR(__xludf.DUMMYFUNCTION("""COMPUTED_VALUE"""),"en")</f>
        <v>en</v>
      </c>
      <c r="B4845">
        <f>IFERROR(__xludf.DUMMYFUNCTION("""COMPUTED_VALUE"""),2373814.0)</f>
        <v>2373814</v>
      </c>
      <c r="C4845" t="str">
        <f>IFERROR(__xludf.DUMMYFUNCTION("""COMPUTED_VALUE"""),"PyTorch for Deep Learning with Python Bootcamp")</f>
        <v>PyTorch for Deep Learning with Python Bootcamp</v>
      </c>
    </row>
    <row r="4846">
      <c r="A4846" s="140" t="str">
        <f>IFERROR(__xludf.DUMMYFUNCTION("""COMPUTED_VALUE"""),"zh")</f>
        <v>zh</v>
      </c>
      <c r="B4846">
        <f>IFERROR(__xludf.DUMMYFUNCTION("""COMPUTED_VALUE"""),1404886.0)</f>
        <v>1404886</v>
      </c>
      <c r="C4846" t="str">
        <f>IFERROR(__xludf.DUMMYFUNCTION("""COMPUTED_VALUE"""),"Java 核心基础知识 （为自动化测试准备）")</f>
        <v>Java 核心基础知识 （为自动化测试准备）</v>
      </c>
    </row>
    <row r="4847">
      <c r="A4847" s="140" t="str">
        <f>IFERROR(__xludf.DUMMYFUNCTION("""COMPUTED_VALUE"""),"en")</f>
        <v>en</v>
      </c>
      <c r="B4847">
        <f>IFERROR(__xludf.DUMMYFUNCTION("""COMPUTED_VALUE"""),1289380.0)</f>
        <v>1289380</v>
      </c>
      <c r="C4847" t="str">
        <f>IFERROR(__xludf.DUMMYFUNCTION("""COMPUTED_VALUE"""),"CodeIgniter 4: Build a Complete Web Application from Scratch")</f>
        <v>CodeIgniter 4: Build a Complete Web Application from Scratch</v>
      </c>
    </row>
    <row r="4848">
      <c r="A4848" s="140" t="str">
        <f>IFERROR(__xludf.DUMMYFUNCTION("""COMPUTED_VALUE"""),"ja")</f>
        <v>ja</v>
      </c>
      <c r="B4848">
        <f>IFERROR(__xludf.DUMMYFUNCTION("""COMPUTED_VALUE"""),2496416.0)</f>
        <v>2496416</v>
      </c>
      <c r="C4848" t="str">
        <f>IFERROR(__xludf.DUMMYFUNCTION("""COMPUTED_VALUE"""),"最速で学ぶ - AWS認定ソリューションアーキテクトアソシエイト 入門完全攻略コース")</f>
        <v>最速で学ぶ - AWS認定ソリューションアーキテクトアソシエイト 入門完全攻略コース</v>
      </c>
    </row>
    <row r="4849">
      <c r="A4849" s="140" t="str">
        <f>IFERROR(__xludf.DUMMYFUNCTION("""COMPUTED_VALUE"""),"ja")</f>
        <v>ja</v>
      </c>
      <c r="B4849">
        <f>IFERROR(__xludf.DUMMYFUNCTION("""COMPUTED_VALUE"""),3680198.0)</f>
        <v>3680198</v>
      </c>
      <c r="C4849" t="str">
        <f>IFERROR(__xludf.DUMMYFUNCTION("""COMPUTED_VALUE"""),"【PHP, MYSQL, Apache】ガチで学びたい人のためのWEB開発の基礎(バックエンド編)")</f>
        <v>【PHP, MYSQL, Apache】ガチで学びたい人のためのWEB開発の基礎(バックエンド編)</v>
      </c>
    </row>
    <row r="4850">
      <c r="A4850" s="140" t="str">
        <f>IFERROR(__xludf.DUMMYFUNCTION("""COMPUTED_VALUE"""),"tr")</f>
        <v>tr</v>
      </c>
      <c r="B4850">
        <f>IFERROR(__xludf.DUMMYFUNCTION("""COMPUTED_VALUE"""),2502478.0)</f>
        <v>2502478</v>
      </c>
      <c r="C4850" t="str">
        <f>IFERROR(__xludf.DUMMYFUNCTION("""COMPUTED_VALUE"""),"MS Excel: Temelden Zirveye - Örneklerle Excel | 2022")</f>
        <v>MS Excel: Temelden Zirveye - Örneklerle Excel | 2022</v>
      </c>
    </row>
    <row r="4851">
      <c r="A4851" s="140" t="str">
        <f>IFERROR(__xludf.DUMMYFUNCTION("""COMPUTED_VALUE"""),"ko")</f>
        <v>ko</v>
      </c>
      <c r="B4851">
        <f>IFERROR(__xludf.DUMMYFUNCTION("""COMPUTED_VALUE"""),1122940.0)</f>
        <v>1122940</v>
      </c>
      <c r="C4851" t="str">
        <f>IFERROR(__xludf.DUMMYFUNCTION("""COMPUTED_VALUE"""),"인벤터 실무 동영상 강좌 2편 - 탑다운 어셈블리")</f>
        <v>인벤터 실무 동영상 강좌 2편 - 탑다운 어셈블리</v>
      </c>
    </row>
    <row r="4852">
      <c r="A4852" s="140" t="str">
        <f>IFERROR(__xludf.DUMMYFUNCTION("""COMPUTED_VALUE"""),"en")</f>
        <v>en</v>
      </c>
      <c r="B4852">
        <f>IFERROR(__xludf.DUMMYFUNCTION("""COMPUTED_VALUE"""),3123256.0)</f>
        <v>3123256</v>
      </c>
      <c r="C4852" t="str">
        <f>IFERROR(__xludf.DUMMYFUNCTION("""COMPUTED_VALUE"""),"Advanced DAX for Microsoft Power BI Desktop")</f>
        <v>Advanced DAX for Microsoft Power BI Desktop</v>
      </c>
    </row>
    <row r="4853">
      <c r="A4853" s="140" t="str">
        <f>IFERROR(__xludf.DUMMYFUNCTION("""COMPUTED_VALUE"""),"es")</f>
        <v>es</v>
      </c>
      <c r="B4853">
        <f>IFERROR(__xludf.DUMMYFUNCTION("""COMPUTED_VALUE"""),1481896.0)</f>
        <v>1481896</v>
      </c>
      <c r="C4853" t="str">
        <f>IFERROR(__xludf.DUMMYFUNCTION("""COMPUTED_VALUE"""),"Análisis financiero corporativo")</f>
        <v>Análisis financiero corporativo</v>
      </c>
    </row>
    <row r="4854">
      <c r="A4854" s="140" t="str">
        <f>IFERROR(__xludf.DUMMYFUNCTION("""COMPUTED_VALUE"""),"tr")</f>
        <v>tr</v>
      </c>
      <c r="B4854">
        <f>IFERROR(__xludf.DUMMYFUNCTION("""COMPUTED_VALUE"""),3089832.0)</f>
        <v>3089832</v>
      </c>
      <c r="C4854" t="str">
        <f>IFERROR(__xludf.DUMMYFUNCTION("""COMPUTED_VALUE"""),"A'dan Z'ye SEO | Yeni Başlayanlar İçin | Sertifikalı")</f>
        <v>A'dan Z'ye SEO | Yeni Başlayanlar İçin | Sertifikalı</v>
      </c>
    </row>
    <row r="4855">
      <c r="A4855" s="140" t="str">
        <f>IFERROR(__xludf.DUMMYFUNCTION("""COMPUTED_VALUE"""),"en")</f>
        <v>en</v>
      </c>
      <c r="B4855">
        <f>IFERROR(__xludf.DUMMYFUNCTION("""COMPUTED_VALUE"""),1145430.0)</f>
        <v>1145430</v>
      </c>
      <c r="C4855" t="str">
        <f>IFERROR(__xludf.DUMMYFUNCTION("""COMPUTED_VALUE"""),"Angular Styling &amp; Animations (for Angular 2+)")</f>
        <v>Angular Styling &amp; Animations (for Angular 2+)</v>
      </c>
    </row>
    <row r="4856">
      <c r="A4856" s="140" t="str">
        <f>IFERROR(__xludf.DUMMYFUNCTION("""COMPUTED_VALUE"""),"en")</f>
        <v>en</v>
      </c>
      <c r="B4856">
        <f>IFERROR(__xludf.DUMMYFUNCTION("""COMPUTED_VALUE"""),585072.0)</f>
        <v>585072</v>
      </c>
      <c r="C4856" t="str">
        <f>IFERROR(__xludf.DUMMYFUNCTION("""COMPUTED_VALUE"""),"Culture | How to Make Team Decisions")</f>
        <v>Culture | How to Make Team Decisions</v>
      </c>
    </row>
    <row r="4857">
      <c r="A4857" s="140" t="str">
        <f>IFERROR(__xludf.DUMMYFUNCTION("""COMPUTED_VALUE"""),"en")</f>
        <v>en</v>
      </c>
      <c r="B4857">
        <f>IFERROR(__xludf.DUMMYFUNCTION("""COMPUTED_VALUE"""),846270.0)</f>
        <v>846270</v>
      </c>
      <c r="C4857" t="str">
        <f>IFERROR(__xludf.DUMMYFUNCTION("""COMPUTED_VALUE"""),"JavaScript JSON and AJAX Explained JavaScript Objects")</f>
        <v>JavaScript JSON and AJAX Explained JavaScript Objects</v>
      </c>
    </row>
    <row r="4858">
      <c r="A4858" s="140" t="str">
        <f>IFERROR(__xludf.DUMMYFUNCTION("""COMPUTED_VALUE"""),"en")</f>
        <v>en</v>
      </c>
      <c r="B4858">
        <f>IFERROR(__xludf.DUMMYFUNCTION("""COMPUTED_VALUE"""),679242.0)</f>
        <v>679242</v>
      </c>
      <c r="C4858" t="str">
        <f>IFERROR(__xludf.DUMMYFUNCTION("""COMPUTED_VALUE"""),"Automation framework development with Selenium C# (Advanced)")</f>
        <v>Automation framework development with Selenium C# (Advanced)</v>
      </c>
    </row>
    <row r="4859">
      <c r="A4859" s="140" t="str">
        <f>IFERROR(__xludf.DUMMYFUNCTION("""COMPUTED_VALUE"""),"en")</f>
        <v>en</v>
      </c>
      <c r="B4859">
        <f>IFERROR(__xludf.DUMMYFUNCTION("""COMPUTED_VALUE"""),2917880.0)</f>
        <v>2917880</v>
      </c>
      <c r="C4859" t="str">
        <f>IFERROR(__xludf.DUMMYFUNCTION("""COMPUTED_VALUE"""),"Complete Web Design Course: HTML, CSS, Javascript and jQuery")</f>
        <v>Complete Web Design Course: HTML, CSS, Javascript and jQuery</v>
      </c>
    </row>
    <row r="4860">
      <c r="A4860" s="140" t="str">
        <f>IFERROR(__xludf.DUMMYFUNCTION("""COMPUTED_VALUE"""),"en")</f>
        <v>en</v>
      </c>
      <c r="B4860">
        <f>IFERROR(__xludf.DUMMYFUNCTION("""COMPUTED_VALUE"""),488130.0)</f>
        <v>488130</v>
      </c>
      <c r="C4860" t="str">
        <f>IFERROR(__xludf.DUMMYFUNCTION("""COMPUTED_VALUE"""),"Digital Advertising and Marketing 101: The Complete Guide")</f>
        <v>Digital Advertising and Marketing 101: The Complete Guide</v>
      </c>
    </row>
    <row r="4861">
      <c r="A4861" s="140" t="str">
        <f>IFERROR(__xludf.DUMMYFUNCTION("""COMPUTED_VALUE"""),"en")</f>
        <v>en</v>
      </c>
      <c r="B4861">
        <f>IFERROR(__xludf.DUMMYFUNCTION("""COMPUTED_VALUE"""),3993648.0)</f>
        <v>3993648</v>
      </c>
      <c r="C4861" t="str">
        <f>IFERROR(__xludf.DUMMYFUNCTION("""COMPUTED_VALUE"""),"AZ-900: Microsoft Azure Fundamentals Exam for passing (430Q)")</f>
        <v>AZ-900: Microsoft Azure Fundamentals Exam for passing (430Q)</v>
      </c>
    </row>
    <row r="4862">
      <c r="A4862" s="140" t="str">
        <f>IFERROR(__xludf.DUMMYFUNCTION("""COMPUTED_VALUE"""),"pt")</f>
        <v>pt</v>
      </c>
      <c r="B4862">
        <f>IFERROR(__xludf.DUMMYFUNCTION("""COMPUTED_VALUE"""),3385282.0)</f>
        <v>3385282</v>
      </c>
      <c r="C4862" t="str">
        <f>IFERROR(__xludf.DUMMYFUNCTION("""COMPUTED_VALUE"""),"Curso de Photoshop para Banners de Internet e Mídias Sociais")</f>
        <v>Curso de Photoshop para Banners de Internet e Mídias Sociais</v>
      </c>
    </row>
    <row r="4863">
      <c r="A4863" s="140" t="str">
        <f>IFERROR(__xludf.DUMMYFUNCTION("""COMPUTED_VALUE"""),"en")</f>
        <v>en</v>
      </c>
      <c r="B4863">
        <f>IFERROR(__xludf.DUMMYFUNCTION("""COMPUTED_VALUE"""),1621090.0)</f>
        <v>1621090</v>
      </c>
      <c r="C4863" t="str">
        <f>IFERROR(__xludf.DUMMYFUNCTION("""COMPUTED_VALUE"""),"Oracle Apps R12 Financials Course Online Training")</f>
        <v>Oracle Apps R12 Financials Course Online Training</v>
      </c>
    </row>
    <row r="4864">
      <c r="A4864" s="140" t="str">
        <f>IFERROR(__xludf.DUMMYFUNCTION("""COMPUTED_VALUE"""),"ja")</f>
        <v>ja</v>
      </c>
      <c r="B4864">
        <f>IFERROR(__xludf.DUMMYFUNCTION("""COMPUTED_VALUE"""),1753920.0)</f>
        <v>1753920</v>
      </c>
      <c r="C4864" t="str">
        <f>IFERROR(__xludf.DUMMYFUNCTION("""COMPUTED_VALUE"""),"感情を動かす！社外プレゼンの資料作成術")</f>
        <v>感情を動かす！社外プレゼンの資料作成術</v>
      </c>
    </row>
    <row r="4865">
      <c r="A4865" s="140" t="str">
        <f>IFERROR(__xludf.DUMMYFUNCTION("""COMPUTED_VALUE"""),"ja")</f>
        <v>ja</v>
      </c>
      <c r="B4865">
        <f>IFERROR(__xludf.DUMMYFUNCTION("""COMPUTED_VALUE"""),3140714.0)</f>
        <v>3140714</v>
      </c>
      <c r="C4865" t="str">
        <f>IFERROR(__xludf.DUMMYFUNCTION("""COMPUTED_VALUE"""),"手を動かして考える！DX戦略とビジネスモデル（グランドデザイン編）")</f>
        <v>手を動かして考える！DX戦略とビジネスモデル（グランドデザイン編）</v>
      </c>
    </row>
    <row r="4866">
      <c r="A4866" s="140" t="str">
        <f>IFERROR(__xludf.DUMMYFUNCTION("""COMPUTED_VALUE"""),"tr")</f>
        <v>tr</v>
      </c>
      <c r="B4866">
        <f>IFERROR(__xludf.DUMMYFUNCTION("""COMPUTED_VALUE"""),2615898.0)</f>
        <v>2615898</v>
      </c>
      <c r="C4866" t="str">
        <f>IFERROR(__xludf.DUMMYFUNCTION("""COMPUTED_VALUE"""),"Başlangıç Seviyesinden Profesyonel Seviyeye Java Kursu(2021)")</f>
        <v>Başlangıç Seviyesinden Profesyonel Seviyeye Java Kursu(2021)</v>
      </c>
    </row>
    <row r="4867">
      <c r="A4867" s="140" t="str">
        <f>IFERROR(__xludf.DUMMYFUNCTION("""COMPUTED_VALUE"""),"en")</f>
        <v>en</v>
      </c>
      <c r="B4867">
        <f>IFERROR(__xludf.DUMMYFUNCTION("""COMPUTED_VALUE"""),3446514.0)</f>
        <v>3446514</v>
      </c>
      <c r="C4867" t="str">
        <f>IFERROR(__xludf.DUMMYFUNCTION("""COMPUTED_VALUE"""),"Lean Manufacturing A-Z: Lean Operations Management")</f>
        <v>Lean Manufacturing A-Z: Lean Operations Management</v>
      </c>
    </row>
    <row r="4868">
      <c r="A4868" s="140" t="str">
        <f>IFERROR(__xludf.DUMMYFUNCTION("""COMPUTED_VALUE"""),"es")</f>
        <v>es</v>
      </c>
      <c r="B4868">
        <f>IFERROR(__xludf.DUMMYFUNCTION("""COMPUTED_VALUE"""),1736534.0)</f>
        <v>1736534</v>
      </c>
      <c r="C4868" t="str">
        <f>IFERROR(__xludf.DUMMYFUNCTION("""COMPUTED_VALUE"""),"Google Ads 2021: Crea tu Primera Campaña paso a paso")</f>
        <v>Google Ads 2021: Crea tu Primera Campaña paso a paso</v>
      </c>
    </row>
    <row r="4869">
      <c r="A4869" s="140" t="str">
        <f>IFERROR(__xludf.DUMMYFUNCTION("""COMPUTED_VALUE"""),"en")</f>
        <v>en</v>
      </c>
      <c r="B4869">
        <f>IFERROR(__xludf.DUMMYFUNCTION("""COMPUTED_VALUE"""),101928.0)</f>
        <v>101928</v>
      </c>
      <c r="C4869" t="str">
        <f>IFERROR(__xludf.DUMMYFUNCTION("""COMPUTED_VALUE"""),"Product Management &amp; Marketing: Personas")</f>
        <v>Product Management &amp; Marketing: Personas</v>
      </c>
    </row>
    <row r="4870">
      <c r="A4870" s="140" t="str">
        <f>IFERROR(__xludf.DUMMYFUNCTION("""COMPUTED_VALUE"""),"tr")</f>
        <v>tr</v>
      </c>
      <c r="B4870">
        <f>IFERROR(__xludf.DUMMYFUNCTION("""COMPUTED_VALUE"""),3108844.0)</f>
        <v>3108844</v>
      </c>
      <c r="C4870" t="str">
        <f>IFERROR(__xludf.DUMMYFUNCTION("""COMPUTED_VALUE"""),"ALMANCA B1 (400 SORU+36 VİDEO DERS+KELİME SÖZLÜĞÜ)")</f>
        <v>ALMANCA B1 (400 SORU+36 VİDEO DERS+KELİME SÖZLÜĞÜ)</v>
      </c>
    </row>
    <row r="4871">
      <c r="A4871" s="140" t="str">
        <f>IFERROR(__xludf.DUMMYFUNCTION("""COMPUTED_VALUE"""),"en")</f>
        <v>en</v>
      </c>
      <c r="B4871">
        <f>IFERROR(__xludf.DUMMYFUNCTION("""COMPUTED_VALUE"""),2866626.0)</f>
        <v>2866626</v>
      </c>
      <c r="C4871" t="str">
        <f>IFERROR(__xludf.DUMMYFUNCTION("""COMPUTED_VALUE"""),"Web Scraping and API Fundamentals in Python 2021")</f>
        <v>Web Scraping and API Fundamentals in Python 2021</v>
      </c>
    </row>
    <row r="4872">
      <c r="A4872" s="140" t="str">
        <f>IFERROR(__xludf.DUMMYFUNCTION("""COMPUTED_VALUE"""),"en")</f>
        <v>en</v>
      </c>
      <c r="B4872">
        <f>IFERROR(__xludf.DUMMYFUNCTION("""COMPUTED_VALUE"""),3710446.0)</f>
        <v>3710446</v>
      </c>
      <c r="C4872" t="str">
        <f>IFERROR(__xludf.DUMMYFUNCTION("""COMPUTED_VALUE"""),"CCNP,CCIE Security SCOR (350-701) Training Part-1/2")</f>
        <v>CCNP,CCIE Security SCOR (350-701) Training Part-1/2</v>
      </c>
    </row>
    <row r="4873">
      <c r="A4873" s="140" t="str">
        <f>IFERROR(__xludf.DUMMYFUNCTION("""COMPUTED_VALUE"""),"en")</f>
        <v>en</v>
      </c>
      <c r="B4873">
        <f>IFERROR(__xludf.DUMMYFUNCTION("""COMPUTED_VALUE"""),751432.0)</f>
        <v>751432</v>
      </c>
      <c r="C4873" t="str">
        <f>IFERROR(__xludf.DUMMYFUNCTION("""COMPUTED_VALUE"""),"The Sitting Solutions For The Busy Professional")</f>
        <v>The Sitting Solutions For The Busy Professional</v>
      </c>
    </row>
    <row r="4874">
      <c r="A4874" s="140" t="str">
        <f>IFERROR(__xludf.DUMMYFUNCTION("""COMPUTED_VALUE"""),"en")</f>
        <v>en</v>
      </c>
      <c r="B4874">
        <f>IFERROR(__xludf.DUMMYFUNCTION("""COMPUTED_VALUE"""),1693060.0)</f>
        <v>1693060</v>
      </c>
      <c r="C4874" t="str">
        <f>IFERROR(__xludf.DUMMYFUNCTION("""COMPUTED_VALUE"""),"Use Eco-friendly, Sustainable Design to Improve your Life")</f>
        <v>Use Eco-friendly, Sustainable Design to Improve your Life</v>
      </c>
    </row>
    <row r="4875">
      <c r="A4875" s="140" t="str">
        <f>IFERROR(__xludf.DUMMYFUNCTION("""COMPUTED_VALUE"""),"en")</f>
        <v>en</v>
      </c>
      <c r="B4875">
        <f>IFERROR(__xludf.DUMMYFUNCTION("""COMPUTED_VALUE"""),994402.0)</f>
        <v>994402</v>
      </c>
      <c r="C4875" t="str">
        <f>IFERROR(__xludf.DUMMYFUNCTION("""COMPUTED_VALUE"""),"Dan Rather on Journalism &amp; Finding the Truth in the News")</f>
        <v>Dan Rather on Journalism &amp; Finding the Truth in the News</v>
      </c>
    </row>
    <row r="4876">
      <c r="A4876" s="140" t="str">
        <f>IFERROR(__xludf.DUMMYFUNCTION("""COMPUTED_VALUE"""),"en")</f>
        <v>en</v>
      </c>
      <c r="B4876">
        <f>IFERROR(__xludf.DUMMYFUNCTION("""COMPUTED_VALUE"""),2587190.0)</f>
        <v>2587190</v>
      </c>
      <c r="C4876" t="str">
        <f>IFERROR(__xludf.DUMMYFUNCTION("""COMPUTED_VALUE"""),"Professional in Business Analysis PMI-PBA Exam Simulation 1")</f>
        <v>Professional in Business Analysis PMI-PBA Exam Simulation 1</v>
      </c>
    </row>
    <row r="4877">
      <c r="A4877" s="140" t="str">
        <f>IFERROR(__xludf.DUMMYFUNCTION("""COMPUTED_VALUE"""),"en")</f>
        <v>en</v>
      </c>
      <c r="B4877">
        <f>IFERROR(__xludf.DUMMYFUNCTION("""COMPUTED_VALUE"""),474246.0)</f>
        <v>474246</v>
      </c>
      <c r="C4877" t="str">
        <f>IFERROR(__xludf.DUMMYFUNCTION("""COMPUTED_VALUE"""),"Management - Leadership, Negotiating, Assertiveness, Sales")</f>
        <v>Management - Leadership, Negotiating, Assertiveness, Sales</v>
      </c>
    </row>
    <row r="4878">
      <c r="A4878" s="140" t="str">
        <f>IFERROR(__xludf.DUMMYFUNCTION("""COMPUTED_VALUE"""),"en")</f>
        <v>en</v>
      </c>
      <c r="B4878">
        <f>IFERROR(__xludf.DUMMYFUNCTION("""COMPUTED_VALUE"""),128964.0)</f>
        <v>128964</v>
      </c>
      <c r="C4878" t="str">
        <f>IFERROR(__xludf.DUMMYFUNCTION("""COMPUTED_VALUE"""),"Master KnockoutJS : Knockout JS - JavaScript MVVM")</f>
        <v>Master KnockoutJS : Knockout JS - JavaScript MVVM</v>
      </c>
    </row>
    <row r="4879">
      <c r="A4879" s="140" t="str">
        <f>IFERROR(__xludf.DUMMYFUNCTION("""COMPUTED_VALUE"""),"en")</f>
        <v>en</v>
      </c>
      <c r="B4879">
        <f>IFERROR(__xludf.DUMMYFUNCTION("""COMPUTED_VALUE"""),285934.0)</f>
        <v>285934</v>
      </c>
      <c r="C4879" t="str">
        <f>IFERROR(__xludf.DUMMYFUNCTION("""COMPUTED_VALUE"""),"Ask Better Questions - Build Better Relationships")</f>
        <v>Ask Better Questions - Build Better Relationships</v>
      </c>
    </row>
    <row r="4880">
      <c r="A4880" s="140" t="str">
        <f>IFERROR(__xludf.DUMMYFUNCTION("""COMPUTED_VALUE"""),"de")</f>
        <v>de</v>
      </c>
      <c r="B4880">
        <f>IFERROR(__xludf.DUMMYFUNCTION("""COMPUTED_VALUE"""),2549391.0)</f>
        <v>2549391</v>
      </c>
      <c r="C4880" t="str">
        <f>IFERROR(__xludf.DUMMYFUNCTION("""COMPUTED_VALUE"""),"Excel VBA für Einsteiger - Anschaulich Programmieren lernen")</f>
        <v>Excel VBA für Einsteiger - Anschaulich Programmieren lernen</v>
      </c>
    </row>
    <row r="4881">
      <c r="A4881" s="140" t="str">
        <f>IFERROR(__xludf.DUMMYFUNCTION("""COMPUTED_VALUE"""),"en")</f>
        <v>en</v>
      </c>
      <c r="B4881">
        <f>IFERROR(__xludf.DUMMYFUNCTION("""COMPUTED_VALUE"""),2974358.0)</f>
        <v>2974358</v>
      </c>
      <c r="C4881" t="str">
        <f>IFERROR(__xludf.DUMMYFUNCTION("""COMPUTED_VALUE"""),"Academic Essay Writing for English Language Learners")</f>
        <v>Academic Essay Writing for English Language Learners</v>
      </c>
    </row>
    <row r="4882">
      <c r="A4882" s="140" t="str">
        <f>IFERROR(__xludf.DUMMYFUNCTION("""COMPUTED_VALUE"""),"pt")</f>
        <v>pt</v>
      </c>
      <c r="B4882">
        <f>IFERROR(__xludf.DUMMYFUNCTION("""COMPUTED_VALUE"""),1460942.0)</f>
        <v>1460942</v>
      </c>
      <c r="C4882" t="str">
        <f>IFERROR(__xludf.DUMMYFUNCTION("""COMPUTED_VALUE"""),"Preparatório Mikrotik MTCRE (sem suporte)")</f>
        <v>Preparatório Mikrotik MTCRE (sem suporte)</v>
      </c>
    </row>
    <row r="4883">
      <c r="A4883" s="140" t="str">
        <f>IFERROR(__xludf.DUMMYFUNCTION("""COMPUTED_VALUE"""),"en")</f>
        <v>en</v>
      </c>
      <c r="B4883">
        <f>IFERROR(__xludf.DUMMYFUNCTION("""COMPUTED_VALUE"""),1891354.0)</f>
        <v>1891354</v>
      </c>
      <c r="C4883" t="str">
        <f>IFERROR(__xludf.DUMMYFUNCTION("""COMPUTED_VALUE"""),"Foundation to Oracle Database in Oracle Cloud Infrastructure")</f>
        <v>Foundation to Oracle Database in Oracle Cloud Infrastructure</v>
      </c>
    </row>
    <row r="4884">
      <c r="A4884" s="140" t="str">
        <f>IFERROR(__xludf.DUMMYFUNCTION("""COMPUTED_VALUE"""),"en")</f>
        <v>en</v>
      </c>
      <c r="B4884">
        <f>IFERROR(__xludf.DUMMYFUNCTION("""COMPUTED_VALUE"""),802642.0)</f>
        <v>802642</v>
      </c>
      <c r="C4884" t="str">
        <f>IFERROR(__xludf.DUMMYFUNCTION("""COMPUTED_VALUE"""),"Creating a Meaningful Life &amp; Developing Habits of Happiness")</f>
        <v>Creating a Meaningful Life &amp; Developing Habits of Happiness</v>
      </c>
    </row>
    <row r="4885">
      <c r="A4885" s="140" t="str">
        <f>IFERROR(__xludf.DUMMYFUNCTION("""COMPUTED_VALUE"""),"en")</f>
        <v>en</v>
      </c>
      <c r="B4885">
        <f>IFERROR(__xludf.DUMMYFUNCTION("""COMPUTED_VALUE"""),1092266.0)</f>
        <v>1092266</v>
      </c>
      <c r="C4885" t="str">
        <f>IFERROR(__xludf.DUMMYFUNCTION("""COMPUTED_VALUE"""),"Monitoring and Evaluation")</f>
        <v>Monitoring and Evaluation</v>
      </c>
    </row>
    <row r="4886">
      <c r="A4886" s="140" t="str">
        <f>IFERROR(__xludf.DUMMYFUNCTION("""COMPUTED_VALUE"""),"ja")</f>
        <v>ja</v>
      </c>
      <c r="B4886">
        <f>IFERROR(__xludf.DUMMYFUNCTION("""COMPUTED_VALUE"""),1455424.0)</f>
        <v>1455424</v>
      </c>
      <c r="C4886" t="str">
        <f>IFERROR(__xludf.DUMMYFUNCTION("""COMPUTED_VALUE"""),"MongoDB 入門 ー演習しながら学ぶクエリ操作ー")</f>
        <v>MongoDB 入門 ー演習しながら学ぶクエリ操作ー</v>
      </c>
    </row>
    <row r="4887">
      <c r="A4887" s="140" t="str">
        <f>IFERROR(__xludf.DUMMYFUNCTION("""COMPUTED_VALUE"""),"en")</f>
        <v>en</v>
      </c>
      <c r="B4887">
        <f>IFERROR(__xludf.DUMMYFUNCTION("""COMPUTED_VALUE"""),646680.0)</f>
        <v>646680</v>
      </c>
      <c r="C4887" t="str">
        <f>IFERROR(__xludf.DUMMYFUNCTION("""COMPUTED_VALUE"""),"Salesforce Apex-Triggers,Email Service,Batch Processes")</f>
        <v>Salesforce Apex-Triggers,Email Service,Batch Processes</v>
      </c>
    </row>
    <row r="4888">
      <c r="A4888" s="140" t="str">
        <f>IFERROR(__xludf.DUMMYFUNCTION("""COMPUTED_VALUE"""),"en")</f>
        <v>en</v>
      </c>
      <c r="B4888">
        <f>IFERROR(__xludf.DUMMYFUNCTION("""COMPUTED_VALUE"""),3744574.0)</f>
        <v>3744574</v>
      </c>
      <c r="C4888" t="str">
        <f>IFERROR(__xludf.DUMMYFUNCTION("""COMPUTED_VALUE"""),"ASP.NET CORE WEB API (.NET 5) | The Complete Guide")</f>
        <v>ASP.NET CORE WEB API (.NET 5) | The Complete Guide</v>
      </c>
    </row>
    <row r="4889">
      <c r="A4889" s="140" t="str">
        <f>IFERROR(__xludf.DUMMYFUNCTION("""COMPUTED_VALUE"""),"en")</f>
        <v>en</v>
      </c>
      <c r="B4889">
        <f>IFERROR(__xludf.DUMMYFUNCTION("""COMPUTED_VALUE"""),3582872.0)</f>
        <v>3582872</v>
      </c>
      <c r="C4889" t="str">
        <f>IFERROR(__xludf.DUMMYFUNCTION("""COMPUTED_VALUE"""),"Complete Investing Course (Stocks, ETFs, Index/Mutual Funds)")</f>
        <v>Complete Investing Course (Stocks, ETFs, Index/Mutual Funds)</v>
      </c>
    </row>
    <row r="4890">
      <c r="A4890" s="140" t="str">
        <f>IFERROR(__xludf.DUMMYFUNCTION("""COMPUTED_VALUE"""),"es")</f>
        <v>es</v>
      </c>
      <c r="B4890">
        <f>IFERROR(__xludf.DUMMYFUNCTION("""COMPUTED_VALUE"""),1333912.0)</f>
        <v>1333912</v>
      </c>
      <c r="C4890" t="str">
        <f>IFERROR(__xludf.DUMMYFUNCTION("""COMPUTED_VALUE"""),"Aprender Revit 2018 desde cero con un proyecto")</f>
        <v>Aprender Revit 2018 desde cero con un proyecto</v>
      </c>
    </row>
    <row r="4891">
      <c r="A4891" s="140" t="str">
        <f>IFERROR(__xludf.DUMMYFUNCTION("""COMPUTED_VALUE"""),"en")</f>
        <v>en</v>
      </c>
      <c r="B4891">
        <f>IFERROR(__xludf.DUMMYFUNCTION("""COMPUTED_VALUE"""),2736086.0)</f>
        <v>2736086</v>
      </c>
      <c r="C4891" t="str">
        <f>IFERROR(__xludf.DUMMYFUNCTION("""COMPUTED_VALUE"""),"HashiCorp Certified: Terraform Associate Practice Exam 2021")</f>
        <v>HashiCorp Certified: Terraform Associate Practice Exam 2021</v>
      </c>
    </row>
    <row r="4892">
      <c r="A4892" s="140" t="str">
        <f>IFERROR(__xludf.DUMMYFUNCTION("""COMPUTED_VALUE"""),"en")</f>
        <v>en</v>
      </c>
      <c r="B4892">
        <f>IFERROR(__xludf.DUMMYFUNCTION("""COMPUTED_VALUE"""),2873370.0)</f>
        <v>2873370</v>
      </c>
      <c r="C4892" t="str">
        <f>IFERROR(__xludf.DUMMYFUNCTION("""COMPUTED_VALUE"""),"AZ-104: Microsoft Azure Administrator -  Full Course")</f>
        <v>AZ-104: Microsoft Azure Administrator -  Full Course</v>
      </c>
    </row>
    <row r="4893">
      <c r="A4893" s="140" t="str">
        <f>IFERROR(__xludf.DUMMYFUNCTION("""COMPUTED_VALUE"""),"ja")</f>
        <v>ja</v>
      </c>
      <c r="B4893">
        <f>IFERROR(__xludf.DUMMYFUNCTION("""COMPUTED_VALUE"""),2776508.0)</f>
        <v>2776508</v>
      </c>
      <c r="C4893" t="str">
        <f>IFERROR(__xludf.DUMMYFUNCTION("""COMPUTED_VALUE"""),"Linuxサーバー構築入門（LinuCレベル１, LPI-Japan認定教材）")</f>
        <v>Linuxサーバー構築入門（LinuCレベル１, LPI-Japan認定教材）</v>
      </c>
    </row>
    <row r="4894">
      <c r="A4894" s="140" t="str">
        <f>IFERROR(__xludf.DUMMYFUNCTION("""COMPUTED_VALUE"""),"fr")</f>
        <v>fr</v>
      </c>
      <c r="B4894">
        <f>IFERROR(__xludf.DUMMYFUNCTION("""COMPUTED_VALUE"""),1671684.0)</f>
        <v>1671684</v>
      </c>
      <c r="C4894" t="str">
        <f>IFERROR(__xludf.DUMMYFUNCTION("""COMPUTED_VALUE"""),"Instagram Marketing : le guide complet pour réussir !")</f>
        <v>Instagram Marketing : le guide complet pour réussir !</v>
      </c>
    </row>
    <row r="4895">
      <c r="A4895" s="140" t="str">
        <f>IFERROR(__xludf.DUMMYFUNCTION("""COMPUTED_VALUE"""),"en")</f>
        <v>en</v>
      </c>
      <c r="B4895">
        <f>IFERROR(__xludf.DUMMYFUNCTION("""COMPUTED_VALUE"""),195576.0)</f>
        <v>195576</v>
      </c>
      <c r="C4895" t="str">
        <f>IFERROR(__xludf.DUMMYFUNCTION("""COMPUTED_VALUE"""),"Learn To Play The Drums Without A Drum Kit")</f>
        <v>Learn To Play The Drums Without A Drum Kit</v>
      </c>
    </row>
    <row r="4896">
      <c r="A4896" s="140" t="str">
        <f>IFERROR(__xludf.DUMMYFUNCTION("""COMPUTED_VALUE"""),"en")</f>
        <v>en</v>
      </c>
      <c r="B4896">
        <f>IFERROR(__xludf.DUMMYFUNCTION("""COMPUTED_VALUE"""),341502.0)</f>
        <v>341502</v>
      </c>
      <c r="C4896" t="str">
        <f>IFERROR(__xludf.DUMMYFUNCTION("""COMPUTED_VALUE"""),"SPSS For Research")</f>
        <v>SPSS For Research</v>
      </c>
    </row>
    <row r="4897">
      <c r="A4897" s="140" t="str">
        <f>IFERROR(__xludf.DUMMYFUNCTION("""COMPUTED_VALUE"""),"ja")</f>
        <v>ja</v>
      </c>
      <c r="B4897">
        <f>IFERROR(__xludf.DUMMYFUNCTION("""COMPUTED_VALUE"""),4122254.0)</f>
        <v>4122254</v>
      </c>
      <c r="C4897" t="str">
        <f>IFERROR(__xludf.DUMMYFUNCTION("""COMPUTED_VALUE"""),"【2021年最新】超入門ゼロから始める！初心者のための動画編集基礎講座 DaVinci Resolve 17")</f>
        <v>【2021年最新】超入門ゼロから始める！初心者のための動画編集基礎講座 DaVinci Resolve 17</v>
      </c>
    </row>
    <row r="4898">
      <c r="A4898" s="140" t="str">
        <f>IFERROR(__xludf.DUMMYFUNCTION("""COMPUTED_VALUE"""),"zh")</f>
        <v>zh</v>
      </c>
      <c r="B4898">
        <f>IFERROR(__xludf.DUMMYFUNCTION("""COMPUTED_VALUE"""),2250934.0)</f>
        <v>2250934</v>
      </c>
      <c r="C4898" t="str">
        <f>IFERROR(__xludf.DUMMYFUNCTION("""COMPUTED_VALUE"""),"Postman:从零基础入门到精通- REST API接口自动化测试")</f>
        <v>Postman:从零基础入门到精通- REST API接口自动化测试</v>
      </c>
    </row>
    <row r="4899">
      <c r="A4899" s="140" t="str">
        <f>IFERROR(__xludf.DUMMYFUNCTION("""COMPUTED_VALUE"""),"en")</f>
        <v>en</v>
      </c>
      <c r="B4899">
        <f>IFERROR(__xludf.DUMMYFUNCTION("""COMPUTED_VALUE"""),1132057.0)</f>
        <v>1132057</v>
      </c>
      <c r="C4899" t="str">
        <f>IFERROR(__xludf.DUMMYFUNCTION("""COMPUTED_VALUE"""),"Java Spring Tutorial Masterclass - Learn Spring Framework 5")</f>
        <v>Java Spring Tutorial Masterclass - Learn Spring Framework 5</v>
      </c>
    </row>
    <row r="4900">
      <c r="A4900" s="140" t="str">
        <f>IFERROR(__xludf.DUMMYFUNCTION("""COMPUTED_VALUE"""),"en")</f>
        <v>en</v>
      </c>
      <c r="B4900">
        <f>IFERROR(__xludf.DUMMYFUNCTION("""COMPUTED_VALUE"""),3729132.0)</f>
        <v>3729132</v>
      </c>
      <c r="C4900" t="str">
        <f>IFERROR(__xludf.DUMMYFUNCTION("""COMPUTED_VALUE"""),"Lean-Agile Leadership: The Foundation Of Enterprise Agility")</f>
        <v>Lean-Agile Leadership: The Foundation Of Enterprise Agility</v>
      </c>
    </row>
    <row r="4901">
      <c r="A4901" s="140" t="str">
        <f>IFERROR(__xludf.DUMMYFUNCTION("""COMPUTED_VALUE"""),"ar")</f>
        <v>ar</v>
      </c>
      <c r="B4901">
        <f>IFERROR(__xludf.DUMMYFUNCTION("""COMPUTED_VALUE"""),766364.0)</f>
        <v>766364</v>
      </c>
      <c r="C4901" t="str">
        <f>IFERROR(__xludf.DUMMYFUNCTION("""COMPUTED_VALUE"""),"AUTODESK INFRAWORKS 360")</f>
        <v>AUTODESK INFRAWORKS 360</v>
      </c>
    </row>
    <row r="4902">
      <c r="A4902" s="140" t="str">
        <f>IFERROR(__xludf.DUMMYFUNCTION("""COMPUTED_VALUE"""),"en")</f>
        <v>en</v>
      </c>
      <c r="B4902">
        <f>IFERROR(__xludf.DUMMYFUNCTION("""COMPUTED_VALUE"""),4110752.0)</f>
        <v>4110752</v>
      </c>
      <c r="C4902" t="str">
        <f>IFERROR(__xludf.DUMMYFUNCTION("""COMPUTED_VALUE"""),"HARD CISSP practice questions #3: All CISSP domains - 125Q")</f>
        <v>HARD CISSP practice questions #3: All CISSP domains - 125Q</v>
      </c>
    </row>
    <row r="4903">
      <c r="A4903" s="140" t="str">
        <f>IFERROR(__xludf.DUMMYFUNCTION("""COMPUTED_VALUE"""),"tr")</f>
        <v>tr</v>
      </c>
      <c r="B4903">
        <f>IFERROR(__xludf.DUMMYFUNCTION("""COMPUTED_VALUE"""),2847136.0)</f>
        <v>2847136</v>
      </c>
      <c r="C4903" t="str">
        <f>IFERROR(__xludf.DUMMYFUNCTION("""COMPUTED_VALUE"""),"Unit Test Yazma-Asp.Net Core MVC/API(Sıfırdan)")</f>
        <v>Unit Test Yazma-Asp.Net Core MVC/API(Sıfırdan)</v>
      </c>
    </row>
    <row r="4904">
      <c r="A4904" s="140" t="str">
        <f>IFERROR(__xludf.DUMMYFUNCTION("""COMPUTED_VALUE"""),"es")</f>
        <v>es</v>
      </c>
      <c r="B4904">
        <f>IFERROR(__xludf.DUMMYFUNCTION("""COMPUTED_VALUE"""),1504078.0)</f>
        <v>1504078</v>
      </c>
      <c r="C4904" t="str">
        <f>IFERROR(__xludf.DUMMYFUNCTION("""COMPUTED_VALUE"""),"Master English: Aprende a hablar Inglés de forma Simple")</f>
        <v>Master English: Aprende a hablar Inglés de forma Simple</v>
      </c>
    </row>
    <row r="4905">
      <c r="A4905" s="140" t="str">
        <f>IFERROR(__xludf.DUMMYFUNCTION("""COMPUTED_VALUE"""),"en")</f>
        <v>en</v>
      </c>
      <c r="B4905">
        <f>IFERROR(__xludf.DUMMYFUNCTION("""COMPUTED_VALUE"""),1581552.0)</f>
        <v>1581552</v>
      </c>
      <c r="C4905" t="str">
        <f>IFERROR(__xludf.DUMMYFUNCTION("""COMPUTED_VALUE"""),"Get Clients Now Funnel (Client Acquisition, Lead Gen)")</f>
        <v>Get Clients Now Funnel (Client Acquisition, Lead Gen)</v>
      </c>
    </row>
    <row r="4906">
      <c r="A4906" s="140" t="str">
        <f>IFERROR(__xludf.DUMMYFUNCTION("""COMPUTED_VALUE"""),"pt")</f>
        <v>pt</v>
      </c>
      <c r="B4906">
        <f>IFERROR(__xludf.DUMMYFUNCTION("""COMPUTED_VALUE"""),3675244.0)</f>
        <v>3675244</v>
      </c>
      <c r="C4906" t="str">
        <f>IFERROR(__xludf.DUMMYFUNCTION("""COMPUTED_VALUE"""),"Metodologia Ágil fora da TI")</f>
        <v>Metodologia Ágil fora da TI</v>
      </c>
    </row>
    <row r="4907">
      <c r="A4907" s="140" t="str">
        <f>IFERROR(__xludf.DUMMYFUNCTION("""COMPUTED_VALUE"""),"en")</f>
        <v>en</v>
      </c>
      <c r="B4907">
        <f>IFERROR(__xludf.DUMMYFUNCTION("""COMPUTED_VALUE"""),2527362.0)</f>
        <v>2527362</v>
      </c>
      <c r="C4907" t="str">
        <f>IFERROR(__xludf.DUMMYFUNCTION("""COMPUTED_VALUE"""),"Cloud Security Course: Cloud Compliance, Audits,Legal issues")</f>
        <v>Cloud Security Course: Cloud Compliance, Audits,Legal issues</v>
      </c>
    </row>
    <row r="4908">
      <c r="A4908" s="140" t="str">
        <f>IFERROR(__xludf.DUMMYFUNCTION("""COMPUTED_VALUE"""),"en")</f>
        <v>en</v>
      </c>
      <c r="B4908">
        <f>IFERROR(__xludf.DUMMYFUNCTION("""COMPUTED_VALUE"""),1315130.0)</f>
        <v>1315130</v>
      </c>
      <c r="C4908" t="str">
        <f>IFERROR(__xludf.DUMMYFUNCTION("""COMPUTED_VALUE"""),"4 Resilience Practitioner Certificate Accredited  [4 of 9]")</f>
        <v>4 Resilience Practitioner Certificate Accredited  [4 of 9]</v>
      </c>
    </row>
    <row r="4909">
      <c r="A4909" s="140" t="str">
        <f>IFERROR(__xludf.DUMMYFUNCTION("""COMPUTED_VALUE"""),"en")</f>
        <v>en</v>
      </c>
      <c r="B4909">
        <f>IFERROR(__xludf.DUMMYFUNCTION("""COMPUTED_VALUE"""),919824.0)</f>
        <v>919824</v>
      </c>
      <c r="C4909" t="str">
        <f>IFERROR(__xludf.DUMMYFUNCTION("""COMPUTED_VALUE"""),"SAP BPC Embedded Fundamentals for Planning Applications")</f>
        <v>SAP BPC Embedded Fundamentals for Planning Applications</v>
      </c>
    </row>
    <row r="4910">
      <c r="A4910" s="140" t="str">
        <f>IFERROR(__xludf.DUMMYFUNCTION("""COMPUTED_VALUE"""),"tr")</f>
        <v>tr</v>
      </c>
      <c r="B4910">
        <f>IFERROR(__xludf.DUMMYFUNCTION("""COMPUTED_VALUE"""),2817505.0)</f>
        <v>2817505</v>
      </c>
      <c r="C4910" t="str">
        <f>IFERROR(__xludf.DUMMYFUNCTION("""COMPUTED_VALUE"""),"Angular 9 RxJS Kütüphanesi | Gerçek Dünya Örnekleri")</f>
        <v>Angular 9 RxJS Kütüphanesi | Gerçek Dünya Örnekleri</v>
      </c>
    </row>
    <row r="4911">
      <c r="A4911" s="140" t="str">
        <f>IFERROR(__xludf.DUMMYFUNCTION("""COMPUTED_VALUE"""),"en")</f>
        <v>en</v>
      </c>
      <c r="B4911">
        <f>IFERROR(__xludf.DUMMYFUNCTION("""COMPUTED_VALUE"""),2725112.0)</f>
        <v>2725112</v>
      </c>
      <c r="C4911" t="str">
        <f>IFERROR(__xludf.DUMMYFUNCTION("""COMPUTED_VALUE"""),"React, TypeScript, Redux, StyledComponents: Build Sudoku App")</f>
        <v>React, TypeScript, Redux, StyledComponents: Build Sudoku App</v>
      </c>
    </row>
    <row r="4912">
      <c r="A4912" s="140" t="str">
        <f>IFERROR(__xludf.DUMMYFUNCTION("""COMPUTED_VALUE"""),"pt")</f>
        <v>pt</v>
      </c>
      <c r="B4912">
        <f>IFERROR(__xludf.DUMMYFUNCTION("""COMPUTED_VALUE"""),801218.0)</f>
        <v>801218</v>
      </c>
      <c r="C4912" t="str">
        <f>IFERROR(__xludf.DUMMYFUNCTION("""COMPUTED_VALUE"""),"Design Estratégico e Gestão de Marcas")</f>
        <v>Design Estratégico e Gestão de Marcas</v>
      </c>
    </row>
    <row r="4913">
      <c r="A4913" s="140" t="str">
        <f>IFERROR(__xludf.DUMMYFUNCTION("""COMPUTED_VALUE"""),"tr")</f>
        <v>tr</v>
      </c>
      <c r="B4913">
        <f>IFERROR(__xludf.DUMMYFUNCTION("""COMPUTED_VALUE"""),2598736.0)</f>
        <v>2598736</v>
      </c>
      <c r="C4913" t="str">
        <f>IFERROR(__xludf.DUMMYFUNCTION("""COMPUTED_VALUE"""),"Laravel 6 Uygulamalı Sıfırdan İleri Seviye Eğitimi")</f>
        <v>Laravel 6 Uygulamalı Sıfırdan İleri Seviye Eğitimi</v>
      </c>
    </row>
    <row r="4914">
      <c r="A4914" s="140" t="str">
        <f>IFERROR(__xludf.DUMMYFUNCTION("""COMPUTED_VALUE"""),"pt")</f>
        <v>pt</v>
      </c>
      <c r="B4914">
        <f>IFERROR(__xludf.DUMMYFUNCTION("""COMPUTED_VALUE"""),3909364.0)</f>
        <v>3909364</v>
      </c>
      <c r="C4914" t="str">
        <f>IFERROR(__xludf.DUMMYFUNCTION("""COMPUTED_VALUE"""),"Testes automatizados com Cypress - Avançado")</f>
        <v>Testes automatizados com Cypress - Avançado</v>
      </c>
    </row>
    <row r="4915">
      <c r="A4915" s="140" t="str">
        <f>IFERROR(__xludf.DUMMYFUNCTION("""COMPUTED_VALUE"""),"en")</f>
        <v>en</v>
      </c>
      <c r="B4915">
        <f>IFERROR(__xludf.DUMMYFUNCTION("""COMPUTED_VALUE"""),2319182.0)</f>
        <v>2319182</v>
      </c>
      <c r="C4915" t="str">
        <f>IFERROR(__xludf.DUMMYFUNCTION("""COMPUTED_VALUE"""),"Stock Trading ( Day Trading ) Pivot Point Technical Analysis")</f>
        <v>Stock Trading ( Day Trading ) Pivot Point Technical Analysis</v>
      </c>
    </row>
    <row r="4916">
      <c r="A4916" s="140" t="str">
        <f>IFERROR(__xludf.DUMMYFUNCTION("""COMPUTED_VALUE"""),"en")</f>
        <v>en</v>
      </c>
      <c r="B4916">
        <f>IFERROR(__xludf.DUMMYFUNCTION("""COMPUTED_VALUE"""),2665128.0)</f>
        <v>2665128</v>
      </c>
      <c r="C4916" t="str">
        <f>IFERROR(__xludf.DUMMYFUNCTION("""COMPUTED_VALUE"""),"Getting Started with HashiCorp Vault (Updated for 2021)")</f>
        <v>Getting Started with HashiCorp Vault (Updated for 2021)</v>
      </c>
    </row>
    <row r="4917">
      <c r="A4917" s="140" t="str">
        <f>IFERROR(__xludf.DUMMYFUNCTION("""COMPUTED_VALUE"""),"en")</f>
        <v>en</v>
      </c>
      <c r="B4917">
        <f>IFERROR(__xludf.DUMMYFUNCTION("""COMPUTED_VALUE"""),1793828.0)</f>
        <v>1793828</v>
      </c>
      <c r="C4917" t="str">
        <f>IFERROR(__xludf.DUMMYFUNCTION("""COMPUTED_VALUE"""),"Docker and Kubernetes: The Complete Guide")</f>
        <v>Docker and Kubernetes: The Complete Guide</v>
      </c>
    </row>
    <row r="4918">
      <c r="A4918" s="140" t="str">
        <f>IFERROR(__xludf.DUMMYFUNCTION("""COMPUTED_VALUE"""),"es")</f>
        <v>es</v>
      </c>
      <c r="B4918">
        <f>IFERROR(__xludf.DUMMYFUNCTION("""COMPUTED_VALUE"""),2697582.0)</f>
        <v>2697582</v>
      </c>
      <c r="C4918" t="str">
        <f>IFERROR(__xludf.DUMMYFUNCTION("""COMPUTED_VALUE"""),"Flask con Python 3 + integración con Vue y Bootstrap 4 y 5")</f>
        <v>Flask con Python 3 + integración con Vue y Bootstrap 4 y 5</v>
      </c>
    </row>
    <row r="4919">
      <c r="A4919" s="140" t="str">
        <f>IFERROR(__xludf.DUMMYFUNCTION("""COMPUTED_VALUE"""),"ja")</f>
        <v>ja</v>
      </c>
      <c r="B4919">
        <f>IFERROR(__xludf.DUMMYFUNCTION("""COMPUTED_VALUE"""),3919332.0)</f>
        <v>3919332</v>
      </c>
      <c r="C4919" t="str">
        <f>IFERROR(__xludf.DUMMYFUNCTION("""COMPUTED_VALUE"""),"起業家のリアルな経験から学ぶ！ 新規事業担当者のための 「はじめてのビジネスプランニング」")</f>
        <v>起業家のリアルな経験から学ぶ！ 新規事業担当者のための 「はじめてのビジネスプランニング」</v>
      </c>
    </row>
    <row r="4920">
      <c r="A4920" s="140" t="str">
        <f>IFERROR(__xludf.DUMMYFUNCTION("""COMPUTED_VALUE"""),"en")</f>
        <v>en</v>
      </c>
      <c r="B4920">
        <f>IFERROR(__xludf.DUMMYFUNCTION("""COMPUTED_VALUE"""),3131540.0)</f>
        <v>3131540</v>
      </c>
      <c r="C4920" t="str">
        <f>IFERROR(__xludf.DUMMYFUNCTION("""COMPUTED_VALUE"""),"Electron From Scratch: Build Desktop Apps With JavaScript")</f>
        <v>Electron From Scratch: Build Desktop Apps With JavaScript</v>
      </c>
    </row>
    <row r="4921">
      <c r="A4921" s="140" t="str">
        <f>IFERROR(__xludf.DUMMYFUNCTION("""COMPUTED_VALUE"""),"en")</f>
        <v>en</v>
      </c>
      <c r="B4921">
        <f>IFERROR(__xludf.DUMMYFUNCTION("""COMPUTED_VALUE"""),2311352.0)</f>
        <v>2311352</v>
      </c>
      <c r="C4921" t="str">
        <f>IFERROR(__xludf.DUMMYFUNCTION("""COMPUTED_VALUE"""),"Microsoft AZ-304 Certification: Azure Architect Design")</f>
        <v>Microsoft AZ-304 Certification: Azure Architect Design</v>
      </c>
    </row>
    <row r="4922">
      <c r="A4922" s="140" t="str">
        <f>IFERROR(__xludf.DUMMYFUNCTION("""COMPUTED_VALUE"""),"en")</f>
        <v>en</v>
      </c>
      <c r="B4922">
        <f>IFERROR(__xludf.DUMMYFUNCTION("""COMPUTED_VALUE"""),1259094.0)</f>
        <v>1259094</v>
      </c>
      <c r="C4922" t="str">
        <f>IFERROR(__xludf.DUMMYFUNCTION("""COMPUTED_VALUE"""),"Mastering ARKit for iOS")</f>
        <v>Mastering ARKit for iOS</v>
      </c>
    </row>
    <row r="4923">
      <c r="A4923" s="140" t="str">
        <f>IFERROR(__xludf.DUMMYFUNCTION("""COMPUTED_VALUE"""),"ar")</f>
        <v>ar</v>
      </c>
      <c r="B4923">
        <f>IFERROR(__xludf.DUMMYFUNCTION("""COMPUTED_VALUE"""),2793972.0)</f>
        <v>2793972</v>
      </c>
      <c r="C4923" t="str">
        <f>IFERROR(__xludf.DUMMYFUNCTION("""COMPUTED_VALUE"""),"مقدمه للغه ال c programming")</f>
        <v>مقدمه للغه ال c programming</v>
      </c>
    </row>
    <row r="4924">
      <c r="A4924" s="140" t="str">
        <f>IFERROR(__xludf.DUMMYFUNCTION("""COMPUTED_VALUE"""),"es")</f>
        <v>es</v>
      </c>
      <c r="B4924">
        <f>IFERROR(__xludf.DUMMYFUNCTION("""COMPUTED_VALUE"""),3068258.0)</f>
        <v>3068258</v>
      </c>
      <c r="C4924" t="str">
        <f>IFERROR(__xludf.DUMMYFUNCTION("""COMPUTED_VALUE"""),"Instagram Ads: Curso Completo de Anuncios de Instagram")</f>
        <v>Instagram Ads: Curso Completo de Anuncios de Instagram</v>
      </c>
    </row>
    <row r="4925">
      <c r="A4925" s="140" t="str">
        <f>IFERROR(__xludf.DUMMYFUNCTION("""COMPUTED_VALUE"""),"en")</f>
        <v>en</v>
      </c>
      <c r="B4925">
        <f>IFERROR(__xludf.DUMMYFUNCTION("""COMPUTED_VALUE"""),1839856.0)</f>
        <v>1839856</v>
      </c>
      <c r="C4925" t="str">
        <f>IFERROR(__xludf.DUMMYFUNCTION("""COMPUTED_VALUE"""),"The complete Conversion Rate Optimization course")</f>
        <v>The complete Conversion Rate Optimization course</v>
      </c>
    </row>
    <row r="4926">
      <c r="A4926" s="140" t="str">
        <f>IFERROR(__xludf.DUMMYFUNCTION("""COMPUTED_VALUE"""),"en")</f>
        <v>en</v>
      </c>
      <c r="B4926">
        <f>IFERROR(__xludf.DUMMYFUNCTION("""COMPUTED_VALUE"""),959760.0)</f>
        <v>959760</v>
      </c>
      <c r="C4926" t="str">
        <f>IFERROR(__xludf.DUMMYFUNCTION("""COMPUTED_VALUE"""),"3 Minute Italian - Course 1 | Language lessons for beginners")</f>
        <v>3 Minute Italian - Course 1 | Language lessons for beginners</v>
      </c>
    </row>
    <row r="4927">
      <c r="A4927" s="140" t="str">
        <f>IFERROR(__xludf.DUMMYFUNCTION("""COMPUTED_VALUE"""),"en")</f>
        <v>en</v>
      </c>
      <c r="B4927">
        <f>IFERROR(__xludf.DUMMYFUNCTION("""COMPUTED_VALUE"""),488130.0)</f>
        <v>488130</v>
      </c>
      <c r="C4927" t="str">
        <f>IFERROR(__xludf.DUMMYFUNCTION("""COMPUTED_VALUE"""),"Digital Advertising and Marketing 101: The Complete Guide")</f>
        <v>Digital Advertising and Marketing 101: The Complete Guide</v>
      </c>
    </row>
    <row r="4928">
      <c r="A4928" s="140" t="str">
        <f>IFERROR(__xludf.DUMMYFUNCTION("""COMPUTED_VALUE"""),"en")</f>
        <v>en</v>
      </c>
      <c r="B4928">
        <f>IFERROR(__xludf.DUMMYFUNCTION("""COMPUTED_VALUE"""),2424918.0)</f>
        <v>2424918</v>
      </c>
      <c r="C4928" t="str">
        <f>IFERROR(__xludf.DUMMYFUNCTION("""COMPUTED_VALUE"""),"Spring Cloud Fundamentals")</f>
        <v>Spring Cloud Fundamentals</v>
      </c>
    </row>
    <row r="4929">
      <c r="A4929" s="140" t="str">
        <f>IFERROR(__xludf.DUMMYFUNCTION("""COMPUTED_VALUE"""),"en")</f>
        <v>en</v>
      </c>
      <c r="B4929">
        <f>IFERROR(__xludf.DUMMYFUNCTION("""COMPUTED_VALUE"""),2017128.0)</f>
        <v>2017128</v>
      </c>
      <c r="C4929" t="str">
        <f>IFERROR(__xludf.DUMMYFUNCTION("""COMPUTED_VALUE"""),"Getting Started In Apple Motion 5")</f>
        <v>Getting Started In Apple Motion 5</v>
      </c>
    </row>
    <row r="4930">
      <c r="A4930" s="140" t="str">
        <f>IFERROR(__xludf.DUMMYFUNCTION("""COMPUTED_VALUE"""),"en")</f>
        <v>en</v>
      </c>
      <c r="B4930">
        <f>IFERROR(__xludf.DUMMYFUNCTION("""COMPUTED_VALUE"""),2572282.0)</f>
        <v>2572282</v>
      </c>
      <c r="C4930" t="str">
        <f>IFERROR(__xludf.DUMMYFUNCTION("""COMPUTED_VALUE"""),"Grafana")</f>
        <v>Grafana</v>
      </c>
    </row>
    <row r="4931">
      <c r="A4931" s="140" t="str">
        <f>IFERROR(__xludf.DUMMYFUNCTION("""COMPUTED_VALUE"""),"en")</f>
        <v>en</v>
      </c>
      <c r="B4931">
        <f>IFERROR(__xludf.DUMMYFUNCTION("""COMPUTED_VALUE"""),2355488.0)</f>
        <v>2355488</v>
      </c>
      <c r="C4931" t="str">
        <f>IFERROR(__xludf.DUMMYFUNCTION("""COMPUTED_VALUE"""),"Project Management Fundamentals")</f>
        <v>Project Management Fundamentals</v>
      </c>
    </row>
    <row r="4932">
      <c r="A4932" s="140" t="str">
        <f>IFERROR(__xludf.DUMMYFUNCTION("""COMPUTED_VALUE"""),"pt")</f>
        <v>pt</v>
      </c>
      <c r="B4932">
        <f>IFERROR(__xludf.DUMMYFUNCTION("""COMPUTED_VALUE"""),2556332.0)</f>
        <v>2556332</v>
      </c>
      <c r="C4932" t="str">
        <f>IFERROR(__xludf.DUMMYFUNCTION("""COMPUTED_VALUE"""),"Linux para Desenvolvedores (c/ terminal, Shell, Apache e +)")</f>
        <v>Linux para Desenvolvedores (c/ terminal, Shell, Apache e +)</v>
      </c>
    </row>
    <row r="4933">
      <c r="A4933" s="140" t="str">
        <f>IFERROR(__xludf.DUMMYFUNCTION("""COMPUTED_VALUE"""),"en")</f>
        <v>en</v>
      </c>
      <c r="B4933">
        <f>IFERROR(__xludf.DUMMYFUNCTION("""COMPUTED_VALUE"""),1300254.0)</f>
        <v>1300254</v>
      </c>
      <c r="C4933" t="str">
        <f>IFERROR(__xludf.DUMMYFUNCTION("""COMPUTED_VALUE"""),"Business Fundamentals: Corporate Strategy")</f>
        <v>Business Fundamentals: Corporate Strategy</v>
      </c>
    </row>
    <row r="4934">
      <c r="A4934" s="140" t="str">
        <f>IFERROR(__xludf.DUMMYFUNCTION("""COMPUTED_VALUE"""),"en")</f>
        <v>en</v>
      </c>
      <c r="B4934">
        <f>IFERROR(__xludf.DUMMYFUNCTION("""COMPUTED_VALUE"""),1244764.0)</f>
        <v>1244764</v>
      </c>
      <c r="C4934" t="str">
        <f>IFERROR(__xludf.DUMMYFUNCTION("""COMPUTED_VALUE"""),"Amazon (AWS) QuickSight - Getting Started")</f>
        <v>Amazon (AWS) QuickSight - Getting Started</v>
      </c>
    </row>
    <row r="4935">
      <c r="A4935" s="140" t="str">
        <f>IFERROR(__xludf.DUMMYFUNCTION("""COMPUTED_VALUE"""),"de")</f>
        <v>de</v>
      </c>
      <c r="B4935">
        <f>IFERROR(__xludf.DUMMYFUNCTION("""COMPUTED_VALUE"""),915190.0)</f>
        <v>915190</v>
      </c>
      <c r="C4935" t="str">
        <f>IFERROR(__xludf.DUMMYFUNCTION("""COMPUTED_VALUE"""),"Immobilienwissen Crashkurs")</f>
        <v>Immobilienwissen Crashkurs</v>
      </c>
    </row>
    <row r="4936">
      <c r="A4936" s="140" t="str">
        <f>IFERROR(__xludf.DUMMYFUNCTION("""COMPUTED_VALUE"""),"en")</f>
        <v>en</v>
      </c>
      <c r="B4936">
        <f>IFERROR(__xludf.DUMMYFUNCTION("""COMPUTED_VALUE"""),1697444.0)</f>
        <v>1697444</v>
      </c>
      <c r="C4936" t="str">
        <f>IFERROR(__xludf.DUMMYFUNCTION("""COMPUTED_VALUE"""),"Islamic Finance - A Brief Introduction")</f>
        <v>Islamic Finance - A Brief Introduction</v>
      </c>
    </row>
    <row r="4937">
      <c r="A4937" s="140" t="str">
        <f>IFERROR(__xludf.DUMMYFUNCTION("""COMPUTED_VALUE"""),"en")</f>
        <v>en</v>
      </c>
      <c r="B4937">
        <f>IFERROR(__xludf.DUMMYFUNCTION("""COMPUTED_VALUE"""),1599220.0)</f>
        <v>1599220</v>
      </c>
      <c r="C4937" t="str">
        <f>IFERROR(__xludf.DUMMYFUNCTION("""COMPUTED_VALUE"""),"Dart - Advanced Course")</f>
        <v>Dart - Advanced Course</v>
      </c>
    </row>
    <row r="4938">
      <c r="A4938" s="140" t="str">
        <f>IFERROR(__xludf.DUMMYFUNCTION("""COMPUTED_VALUE"""),"ja")</f>
        <v>ja</v>
      </c>
      <c r="B4938">
        <f>IFERROR(__xludf.DUMMYFUNCTION("""COMPUTED_VALUE"""),3683834.0)</f>
        <v>3683834</v>
      </c>
      <c r="C4938" t="str">
        <f>IFERROR(__xludf.DUMMYFUNCTION("""COMPUTED_VALUE"""),"C#でラムダ式を書く方法Part1【基礎編】")</f>
        <v>C#でラムダ式を書く方法Part1【基礎編】</v>
      </c>
    </row>
    <row r="4939">
      <c r="A4939" s="140" t="str">
        <f>IFERROR(__xludf.DUMMYFUNCTION("""COMPUTED_VALUE"""),"es")</f>
        <v>es</v>
      </c>
      <c r="B4939">
        <f>IFERROR(__xludf.DUMMYFUNCTION("""COMPUTED_VALUE"""),2834730.0)</f>
        <v>2834730</v>
      </c>
      <c r="C4939" t="str">
        <f>IFERROR(__xludf.DUMMYFUNCTION("""COMPUTED_VALUE"""),"Introducción a la norma ISO 9001 2015 en lenguaje sencillo")</f>
        <v>Introducción a la norma ISO 9001 2015 en lenguaje sencillo</v>
      </c>
    </row>
    <row r="4940">
      <c r="A4940" s="140" t="str">
        <f>IFERROR(__xludf.DUMMYFUNCTION("""COMPUTED_VALUE"""),"en")</f>
        <v>en</v>
      </c>
      <c r="B4940">
        <f>IFERROR(__xludf.DUMMYFUNCTION("""COMPUTED_VALUE"""),1530288.0)</f>
        <v>1530288</v>
      </c>
      <c r="C4940" t="str">
        <f>IFERROR(__xludf.DUMMYFUNCTION("""COMPUTED_VALUE"""),"3 Minute French - Course 4 | Language lessons for beginners")</f>
        <v>3 Minute French - Course 4 | Language lessons for beginners</v>
      </c>
    </row>
    <row r="4941">
      <c r="A4941" s="140" t="str">
        <f>IFERROR(__xludf.DUMMYFUNCTION("""COMPUTED_VALUE"""),"en")</f>
        <v>en</v>
      </c>
      <c r="B4941">
        <f>IFERROR(__xludf.DUMMYFUNCTION("""COMPUTED_VALUE"""),1766532.0)</f>
        <v>1766532</v>
      </c>
      <c r="C4941" t="str">
        <f>IFERROR(__xludf.DUMMYFUNCTION("""COMPUTED_VALUE"""),"Fundamentals of Plastics and Polymers")</f>
        <v>Fundamentals of Plastics and Polymers</v>
      </c>
    </row>
    <row r="4942">
      <c r="A4942" s="140" t="str">
        <f>IFERROR(__xludf.DUMMYFUNCTION("""COMPUTED_VALUE"""),"pt")</f>
        <v>pt</v>
      </c>
      <c r="B4942">
        <f>IFERROR(__xludf.DUMMYFUNCTION("""COMPUTED_VALUE"""),1243864.0)</f>
        <v>1243864</v>
      </c>
      <c r="C4942" t="str">
        <f>IFERROR(__xludf.DUMMYFUNCTION("""COMPUTED_VALUE"""),"Testes funcionais com Selenium WebDriver: Do básico ao GRID")</f>
        <v>Testes funcionais com Selenium WebDriver: Do básico ao GRID</v>
      </c>
    </row>
    <row r="4943">
      <c r="A4943" s="140" t="str">
        <f>IFERROR(__xludf.DUMMYFUNCTION("""COMPUTED_VALUE"""),"en")</f>
        <v>en</v>
      </c>
      <c r="B4943">
        <f>IFERROR(__xludf.DUMMYFUNCTION("""COMPUTED_VALUE"""),364426.0)</f>
        <v>364426</v>
      </c>
      <c r="C4943" t="str">
        <f>IFERROR(__xludf.DUMMYFUNCTION("""COMPUTED_VALUE"""),"JavaScript: Understanding the Weird Parts")</f>
        <v>JavaScript: Understanding the Weird Parts</v>
      </c>
    </row>
    <row r="4944">
      <c r="A4944" s="140" t="str">
        <f>IFERROR(__xludf.DUMMYFUNCTION("""COMPUTED_VALUE"""),"en")</f>
        <v>en</v>
      </c>
      <c r="B4944">
        <f>IFERROR(__xludf.DUMMYFUNCTION("""COMPUTED_VALUE"""),3857726.0)</f>
        <v>3857726</v>
      </c>
      <c r="C4944" t="str">
        <f>IFERROR(__xludf.DUMMYFUNCTION("""COMPUTED_VALUE"""),"AWS Certified Solutions Architect Professional Practice Exam")</f>
        <v>AWS Certified Solutions Architect Professional Practice Exam</v>
      </c>
    </row>
    <row r="4945">
      <c r="A4945" s="140" t="str">
        <f>IFERROR(__xludf.DUMMYFUNCTION("""COMPUTED_VALUE"""),"en")</f>
        <v>en</v>
      </c>
      <c r="B4945">
        <f>IFERROR(__xludf.DUMMYFUNCTION("""COMPUTED_VALUE"""),4083584.0)</f>
        <v>4083584</v>
      </c>
      <c r="C4945" t="str">
        <f>IFERROR(__xludf.DUMMYFUNCTION("""COMPUTED_VALUE"""),"The Ultimate Guide to Video Game Optimisation")</f>
        <v>The Ultimate Guide to Video Game Optimisation</v>
      </c>
    </row>
    <row r="4946">
      <c r="A4946" s="140" t="str">
        <f>IFERROR(__xludf.DUMMYFUNCTION("""COMPUTED_VALUE"""),"en")</f>
        <v>en</v>
      </c>
      <c r="B4946">
        <f>IFERROR(__xludf.DUMMYFUNCTION("""COMPUTED_VALUE"""),2450174.0)</f>
        <v>2450174</v>
      </c>
      <c r="C4946" t="str">
        <f>IFERROR(__xludf.DUMMYFUNCTION("""COMPUTED_VALUE"""),"Master XPath and CSS Selectors for Selenium WebDriver")</f>
        <v>Master XPath and CSS Selectors for Selenium WebDriver</v>
      </c>
    </row>
    <row r="4947">
      <c r="A4947" s="140" t="str">
        <f>IFERROR(__xludf.DUMMYFUNCTION("""COMPUTED_VALUE"""),"en")</f>
        <v>en</v>
      </c>
      <c r="B4947">
        <f>IFERROR(__xludf.DUMMYFUNCTION("""COMPUTED_VALUE"""),2294651.0)</f>
        <v>2294651</v>
      </c>
      <c r="C4947" t="str">
        <f>IFERROR(__xludf.DUMMYFUNCTION("""COMPUTED_VALUE"""),"Technical Program Management")</f>
        <v>Technical Program Management</v>
      </c>
    </row>
    <row r="4948">
      <c r="A4948" s="140" t="str">
        <f>IFERROR(__xludf.DUMMYFUNCTION("""COMPUTED_VALUE"""),"en")</f>
        <v>en</v>
      </c>
      <c r="B4948">
        <f>IFERROR(__xludf.DUMMYFUNCTION("""COMPUTED_VALUE"""),848664.0)</f>
        <v>848664</v>
      </c>
      <c r="C4948" t="str">
        <f>IFERROR(__xludf.DUMMYFUNCTION("""COMPUTED_VALUE"""),"Options Trading for Rookies:  Understand Options Completely")</f>
        <v>Options Trading for Rookies:  Understand Options Completely</v>
      </c>
    </row>
    <row r="4949">
      <c r="A4949" s="140" t="str">
        <f>IFERROR(__xludf.DUMMYFUNCTION("""COMPUTED_VALUE"""),"en")</f>
        <v>en</v>
      </c>
      <c r="B4949">
        <f>IFERROR(__xludf.DUMMYFUNCTION("""COMPUTED_VALUE"""),1321382.0)</f>
        <v>1321382</v>
      </c>
      <c r="C4949" t="str">
        <f>IFERROR(__xludf.DUMMYFUNCTION("""COMPUTED_VALUE"""),"Google Workspace (G Suite) Admin - The Complete Course")</f>
        <v>Google Workspace (G Suite) Admin - The Complete Course</v>
      </c>
    </row>
    <row r="4950">
      <c r="A4950" s="140" t="str">
        <f>IFERROR(__xludf.DUMMYFUNCTION("""COMPUTED_VALUE"""),"en")</f>
        <v>en</v>
      </c>
      <c r="B4950">
        <f>IFERROR(__xludf.DUMMYFUNCTION("""COMPUTED_VALUE"""),2571552.0)</f>
        <v>2571552</v>
      </c>
      <c r="C4950" t="str">
        <f>IFERROR(__xludf.DUMMYFUNCTION("""COMPUTED_VALUE"""),"Computer Architecture &amp; Organization Part 2 : Hard Disk")</f>
        <v>Computer Architecture &amp; Organization Part 2 : Hard Disk</v>
      </c>
    </row>
    <row r="4951">
      <c r="A4951" s="140" t="str">
        <f>IFERROR(__xludf.DUMMYFUNCTION("""COMPUTED_VALUE"""),"en")</f>
        <v>en</v>
      </c>
      <c r="B4951">
        <f>IFERROR(__xludf.DUMMYFUNCTION("""COMPUTED_VALUE"""),529842.0)</f>
        <v>529842</v>
      </c>
      <c r="C4951" t="str">
        <f>IFERROR(__xludf.DUMMYFUNCTION("""COMPUTED_VALUE"""),"How to Design a Signature Coaching or Consulting Program")</f>
        <v>How to Design a Signature Coaching or Consulting Program</v>
      </c>
    </row>
    <row r="4952">
      <c r="A4952" s="140" t="str">
        <f>IFERROR(__xludf.DUMMYFUNCTION("""COMPUTED_VALUE"""),"zh")</f>
        <v>zh</v>
      </c>
      <c r="B4952">
        <f>IFERROR(__xludf.DUMMYFUNCTION("""COMPUTED_VALUE"""),2423598.0)</f>
        <v>2423598</v>
      </c>
      <c r="C4952" t="str">
        <f>IFERROR(__xludf.DUMMYFUNCTION("""COMPUTED_VALUE"""),"数据科学和商业分析中的统计学")</f>
        <v>数据科学和商业分析中的统计学</v>
      </c>
    </row>
    <row r="4953">
      <c r="A4953" s="140" t="str">
        <f>IFERROR(__xludf.DUMMYFUNCTION("""COMPUTED_VALUE"""),"en")</f>
        <v>en</v>
      </c>
      <c r="B4953">
        <f>IFERROR(__xludf.DUMMYFUNCTION("""COMPUTED_VALUE"""),56660.0)</f>
        <v>56660</v>
      </c>
      <c r="C4953" t="str">
        <f>IFERROR(__xludf.DUMMYFUNCTION("""COMPUTED_VALUE"""),"Learn Microsoft Excel 2013 - Advanced")</f>
        <v>Learn Microsoft Excel 2013 - Advanced</v>
      </c>
    </row>
    <row r="4954">
      <c r="A4954" s="140" t="str">
        <f>IFERROR(__xludf.DUMMYFUNCTION("""COMPUTED_VALUE"""),"tr")</f>
        <v>tr</v>
      </c>
      <c r="B4954">
        <f>IFERROR(__xludf.DUMMYFUNCTION("""COMPUTED_VALUE"""),3881622.0)</f>
        <v>3881622</v>
      </c>
      <c r="C4954" t="str">
        <f>IFERROR(__xludf.DUMMYFUNCTION("""COMPUTED_VALUE"""),"Stresin Psikolojisi: Stres Yönetimi Artık Çok Kolay!")</f>
        <v>Stresin Psikolojisi: Stres Yönetimi Artık Çok Kolay!</v>
      </c>
    </row>
    <row r="4955">
      <c r="A4955" s="140" t="str">
        <f>IFERROR(__xludf.DUMMYFUNCTION("""COMPUTED_VALUE"""),"en")</f>
        <v>en</v>
      </c>
      <c r="B4955">
        <f>IFERROR(__xludf.DUMMYFUNCTION("""COMPUTED_VALUE"""),238934.0)</f>
        <v>238934</v>
      </c>
      <c r="C4955" t="str">
        <f>IFERROR(__xludf.DUMMYFUNCTION("""COMPUTED_VALUE"""),"Pianoforall - Incredible New Way To Learn Piano &amp; Keyboard")</f>
        <v>Pianoforall - Incredible New Way To Learn Piano &amp; Keyboard</v>
      </c>
    </row>
    <row r="4956">
      <c r="A4956" s="140" t="str">
        <f>IFERROR(__xludf.DUMMYFUNCTION("""COMPUTED_VALUE"""),"en")</f>
        <v>en</v>
      </c>
      <c r="B4956">
        <f>IFERROR(__xludf.DUMMYFUNCTION("""COMPUTED_VALUE"""),1259060.0)</f>
        <v>1259060</v>
      </c>
      <c r="C4956" t="str">
        <f>IFERROR(__xludf.DUMMYFUNCTION("""COMPUTED_VALUE"""),"The Complete QlikView Boot Camp")</f>
        <v>The Complete QlikView Boot Camp</v>
      </c>
    </row>
    <row r="4957">
      <c r="A4957" s="140" t="str">
        <f>IFERROR(__xludf.DUMMYFUNCTION("""COMPUTED_VALUE"""),"de")</f>
        <v>de</v>
      </c>
      <c r="B4957">
        <f>IFERROR(__xludf.DUMMYFUNCTION("""COMPUTED_VALUE"""),1500692.0)</f>
        <v>1500692</v>
      </c>
      <c r="C4957" t="str">
        <f>IFERROR(__xludf.DUMMYFUNCTION("""COMPUTED_VALUE"""),"Angular 5 - Moderne Webseiten erstellen")</f>
        <v>Angular 5 - Moderne Webseiten erstellen</v>
      </c>
    </row>
    <row r="4958">
      <c r="A4958" s="140" t="str">
        <f>IFERROR(__xludf.DUMMYFUNCTION("""COMPUTED_VALUE"""),"fr")</f>
        <v>fr</v>
      </c>
      <c r="B4958">
        <f>IFERROR(__xludf.DUMMYFUNCTION("""COMPUTED_VALUE"""),3490410.0)</f>
        <v>3490410</v>
      </c>
      <c r="C4958" t="str">
        <f>IFERROR(__xludf.DUMMYFUNCTION("""COMPUTED_VALUE"""),"20 Projets en JavaScript")</f>
        <v>20 Projets en JavaScript</v>
      </c>
    </row>
    <row r="4959">
      <c r="A4959" s="140" t="str">
        <f>IFERROR(__xludf.DUMMYFUNCTION("""COMPUTED_VALUE"""),"en")</f>
        <v>en</v>
      </c>
      <c r="B4959">
        <f>IFERROR(__xludf.DUMMYFUNCTION("""COMPUTED_VALUE"""),1297958.0)</f>
        <v>1297958</v>
      </c>
      <c r="C4959" t="str">
        <f>IFERROR(__xludf.DUMMYFUNCTION("""COMPUTED_VALUE"""),"Candlestick Patterns to Master Forex Trading Price Action")</f>
        <v>Candlestick Patterns to Master Forex Trading Price Action</v>
      </c>
    </row>
    <row r="4960">
      <c r="A4960" s="140" t="str">
        <f>IFERROR(__xludf.DUMMYFUNCTION("""COMPUTED_VALUE"""),"en")</f>
        <v>en</v>
      </c>
      <c r="B4960">
        <f>IFERROR(__xludf.DUMMYFUNCTION("""COMPUTED_VALUE"""),3331252.0)</f>
        <v>3331252</v>
      </c>
      <c r="C4960" t="str">
        <f>IFERROR(__xludf.DUMMYFUNCTION("""COMPUTED_VALUE"""),"Train and Deploy Tensorflow models using Google AI Platform")</f>
        <v>Train and Deploy Tensorflow models using Google AI Platform</v>
      </c>
    </row>
    <row r="4961">
      <c r="A4961" s="140" t="str">
        <f>IFERROR(__xludf.DUMMYFUNCTION("""COMPUTED_VALUE"""),"en")</f>
        <v>en</v>
      </c>
      <c r="B4961">
        <f>IFERROR(__xludf.DUMMYFUNCTION("""COMPUTED_VALUE"""),3679134.0)</f>
        <v>3679134</v>
      </c>
      <c r="C4961" t="str">
        <f>IFERROR(__xludf.DUMMYFUNCTION("""COMPUTED_VALUE"""),"Logistics and Ocean Shipping in Supply Chain Management")</f>
        <v>Logistics and Ocean Shipping in Supply Chain Management</v>
      </c>
    </row>
    <row r="4962">
      <c r="A4962" s="140" t="str">
        <f>IFERROR(__xludf.DUMMYFUNCTION("""COMPUTED_VALUE"""),"en")</f>
        <v>en</v>
      </c>
      <c r="B4962">
        <f>IFERROR(__xludf.DUMMYFUNCTION("""COMPUTED_VALUE"""),2606044.0)</f>
        <v>2606044</v>
      </c>
      <c r="C4962" t="str">
        <f>IFERROR(__xludf.DUMMYFUNCTION("""COMPUTED_VALUE"""),"Svelte Tutorial and Projects Course")</f>
        <v>Svelte Tutorial and Projects Course</v>
      </c>
    </row>
    <row r="4963">
      <c r="A4963" s="140" t="str">
        <f>IFERROR(__xludf.DUMMYFUNCTION("""COMPUTED_VALUE"""),"de")</f>
        <v>de</v>
      </c>
      <c r="B4963">
        <f>IFERROR(__xludf.DUMMYFUNCTION("""COMPUTED_VALUE"""),1924746.0)</f>
        <v>1924746</v>
      </c>
      <c r="C4963" t="str">
        <f>IFERROR(__xludf.DUMMYFUNCTION("""COMPUTED_VALUE"""),"Crashkurs: Werde zum Flexbox-Profi in wenigen Stunden!")</f>
        <v>Crashkurs: Werde zum Flexbox-Profi in wenigen Stunden!</v>
      </c>
    </row>
    <row r="4964">
      <c r="A4964" s="140" t="str">
        <f>IFERROR(__xludf.DUMMYFUNCTION("""COMPUTED_VALUE"""),"en")</f>
        <v>en</v>
      </c>
      <c r="B4964">
        <f>IFERROR(__xludf.DUMMYFUNCTION("""COMPUTED_VALUE"""),550332.0)</f>
        <v>550332</v>
      </c>
      <c r="C4964" t="str">
        <f>IFERROR(__xludf.DUMMYFUNCTION("""COMPUTED_VALUE"""),"Getting Started with Solidworks")</f>
        <v>Getting Started with Solidworks</v>
      </c>
    </row>
    <row r="4965">
      <c r="A4965" s="140" t="str">
        <f>IFERROR(__xludf.DUMMYFUNCTION("""COMPUTED_VALUE"""),"ja")</f>
        <v>ja</v>
      </c>
      <c r="B4965">
        <f>IFERROR(__xludf.DUMMYFUNCTION("""COMPUTED_VALUE"""),3626008.0)</f>
        <v>3626008</v>
      </c>
      <c r="C4965" t="str">
        <f>IFERROR(__xludf.DUMMYFUNCTION("""COMPUTED_VALUE"""),"【Unityゲーム開発】初歩から学べる、本格ローグライクゲーム開発講座!!")</f>
        <v>【Unityゲーム開発】初歩から学べる、本格ローグライクゲーム開発講座!!</v>
      </c>
    </row>
    <row r="4966">
      <c r="A4966" s="140" t="str">
        <f>IFERROR(__xludf.DUMMYFUNCTION("""COMPUTED_VALUE"""),"de")</f>
        <v>de</v>
      </c>
      <c r="B4966">
        <f>IFERROR(__xludf.DUMMYFUNCTION("""COMPUTED_VALUE"""),1435626.0)</f>
        <v>1435626</v>
      </c>
      <c r="C4966" t="str">
        <f>IFERROR(__xludf.DUMMYFUNCTION("""COMPUTED_VALUE"""),"Online Business für Anfänger - Von Beginn an richtig")</f>
        <v>Online Business für Anfänger - Von Beginn an richtig</v>
      </c>
    </row>
    <row r="4967">
      <c r="A4967" s="140" t="str">
        <f>IFERROR(__xludf.DUMMYFUNCTION("""COMPUTED_VALUE"""),"en")</f>
        <v>en</v>
      </c>
      <c r="B4967">
        <f>IFERROR(__xludf.DUMMYFUNCTION("""COMPUTED_VALUE"""),2989290.0)</f>
        <v>2989290</v>
      </c>
      <c r="C4967" t="str">
        <f>IFERROR(__xludf.DUMMYFUNCTION("""COMPUTED_VALUE"""),"Microsoft 365 Fundamentals: MS-900 +Practice Questions")</f>
        <v>Microsoft 365 Fundamentals: MS-900 +Practice Questions</v>
      </c>
    </row>
    <row r="4968">
      <c r="A4968" s="140" t="str">
        <f>IFERROR(__xludf.DUMMYFUNCTION("""COMPUTED_VALUE"""),"en")</f>
        <v>en</v>
      </c>
      <c r="B4968">
        <f>IFERROR(__xludf.DUMMYFUNCTION("""COMPUTED_VALUE"""),793148.0)</f>
        <v>793148</v>
      </c>
      <c r="C4968" t="str">
        <f>IFERROR(__xludf.DUMMYFUNCTION("""COMPUTED_VALUE"""),"Work from Home - Work Life Balance and Time Management")</f>
        <v>Work from Home - Work Life Balance and Time Management</v>
      </c>
    </row>
    <row r="4969">
      <c r="A4969" s="140" t="str">
        <f>IFERROR(__xludf.DUMMYFUNCTION("""COMPUTED_VALUE"""),"ja")</f>
        <v>ja</v>
      </c>
      <c r="B4969">
        <f>IFERROR(__xludf.DUMMYFUNCTION("""COMPUTED_VALUE"""),1835418.0)</f>
        <v>1835418</v>
      </c>
      <c r="C4969" t="str">
        <f>IFERROR(__xludf.DUMMYFUNCTION("""COMPUTED_VALUE"""),"プロダクトマネジメント入門講座：作るなら最初から世界を目指せ！シリコンバレー流Product Management")</f>
        <v>プロダクトマネジメント入門講座：作るなら最初から世界を目指せ！シリコンバレー流Product Management</v>
      </c>
    </row>
    <row r="4970">
      <c r="A4970" s="140" t="str">
        <f>IFERROR(__xludf.DUMMYFUNCTION("""COMPUTED_VALUE"""),"pt")</f>
        <v>pt</v>
      </c>
      <c r="B4970">
        <f>IFERROR(__xludf.DUMMYFUNCTION("""COMPUTED_VALUE"""),1099324.0)</f>
        <v>1099324</v>
      </c>
      <c r="C4970" t="str">
        <f>IFERROR(__xludf.DUMMYFUNCTION("""COMPUTED_VALUE"""),"AWS para Iniciantes")</f>
        <v>AWS para Iniciantes</v>
      </c>
    </row>
    <row r="4971">
      <c r="A4971" s="140" t="str">
        <f>IFERROR(__xludf.DUMMYFUNCTION("""COMPUTED_VALUE"""),"en")</f>
        <v>en</v>
      </c>
      <c r="B4971">
        <f>IFERROR(__xludf.DUMMYFUNCTION("""COMPUTED_VALUE"""),2574756.0)</f>
        <v>2574756</v>
      </c>
      <c r="C4971" t="str">
        <f>IFERROR(__xludf.DUMMYFUNCTION("""COMPUTED_VALUE"""),"CSM Practice Exams: Certified Scrum Master, 200 Questions")</f>
        <v>CSM Practice Exams: Certified Scrum Master, 200 Questions</v>
      </c>
    </row>
    <row r="4972">
      <c r="A4972" s="140" t="str">
        <f>IFERROR(__xludf.DUMMYFUNCTION("""COMPUTED_VALUE"""),"es")</f>
        <v>es</v>
      </c>
      <c r="B4972">
        <f>IFERROR(__xludf.DUMMYFUNCTION("""COMPUTED_VALUE"""),634250.0)</f>
        <v>634250</v>
      </c>
      <c r="C4972" t="str">
        <f>IFERROR(__xludf.DUMMYFUNCTION("""COMPUTED_VALUE"""),"Iptables: Teoría y práctica para montar un firewall Linux")</f>
        <v>Iptables: Teoría y práctica para montar un firewall Linux</v>
      </c>
    </row>
    <row r="4973">
      <c r="A4973" s="140" t="str">
        <f>IFERROR(__xludf.DUMMYFUNCTION("""COMPUTED_VALUE"""),"en")</f>
        <v>en</v>
      </c>
      <c r="B4973">
        <f>IFERROR(__xludf.DUMMYFUNCTION("""COMPUTED_VALUE"""),2131882.0)</f>
        <v>2131882</v>
      </c>
      <c r="C4973" t="str">
        <f>IFERROR(__xludf.DUMMYFUNCTION("""COMPUTED_VALUE"""),"Introduction to Artificial Neural Network and Deep Learning")</f>
        <v>Introduction to Artificial Neural Network and Deep Learning</v>
      </c>
    </row>
    <row r="4974">
      <c r="A4974" s="140" t="str">
        <f>IFERROR(__xludf.DUMMYFUNCTION("""COMPUTED_VALUE"""),"ja")</f>
        <v>ja</v>
      </c>
      <c r="B4974">
        <f>IFERROR(__xludf.DUMMYFUNCTION("""COMPUTED_VALUE"""),3222371.0)</f>
        <v>3222371</v>
      </c>
      <c r="C4974" t="str">
        <f>IFERROR(__xludf.DUMMYFUNCTION("""COMPUTED_VALUE"""),"オンラインで学べる「直感と論理をつなぐ思考法」！妄想からインパクトを生みだす【ビジョンのアトリエ講座】")</f>
        <v>オンラインで学べる「直感と論理をつなぐ思考法」！妄想からインパクトを生みだす【ビジョンのアトリエ講座】</v>
      </c>
    </row>
    <row r="4975">
      <c r="A4975" s="140" t="str">
        <f>IFERROR(__xludf.DUMMYFUNCTION("""COMPUTED_VALUE"""),"en")</f>
        <v>en</v>
      </c>
      <c r="B4975">
        <f>IFERROR(__xludf.DUMMYFUNCTION("""COMPUTED_VALUE"""),1309852.0)</f>
        <v>1309852</v>
      </c>
      <c r="C4975" t="str">
        <f>IFERROR(__xludf.DUMMYFUNCTION("""COMPUTED_VALUE"""),"Spring &amp; Spring Boot Interview Guide")</f>
        <v>Spring &amp; Spring Boot Interview Guide</v>
      </c>
    </row>
    <row r="4976">
      <c r="A4976" s="140" t="str">
        <f>IFERROR(__xludf.DUMMYFUNCTION("""COMPUTED_VALUE"""),"en")</f>
        <v>en</v>
      </c>
      <c r="B4976">
        <f>IFERROR(__xludf.DUMMYFUNCTION("""COMPUTED_VALUE"""),3744492.0)</f>
        <v>3744492</v>
      </c>
      <c r="C4976" t="str">
        <f>IFERROR(__xludf.DUMMYFUNCTION("""COMPUTED_VALUE"""),"Azure SQL Server for Beginners part 1 of 2")</f>
        <v>Azure SQL Server for Beginners part 1 of 2</v>
      </c>
    </row>
    <row r="4977">
      <c r="A4977" s="140" t="str">
        <f>IFERROR(__xludf.DUMMYFUNCTION("""COMPUTED_VALUE"""),"en")</f>
        <v>en</v>
      </c>
      <c r="B4977">
        <f>IFERROR(__xludf.DUMMYFUNCTION("""COMPUTED_VALUE"""),3777868.0)</f>
        <v>3777868</v>
      </c>
      <c r="C4977" t="str">
        <f>IFERROR(__xludf.DUMMYFUNCTION("""COMPUTED_VALUE"""),"MB-300: Dynamics 365 Core Finance and Operations (Part 2/2)")</f>
        <v>MB-300: Dynamics 365 Core Finance and Operations (Part 2/2)</v>
      </c>
    </row>
    <row r="4978">
      <c r="A4978" s="140" t="str">
        <f>IFERROR(__xludf.DUMMYFUNCTION("""COMPUTED_VALUE"""),"en")</f>
        <v>en</v>
      </c>
      <c r="B4978">
        <f>IFERROR(__xludf.DUMMYFUNCTION("""COMPUTED_VALUE"""),3871590.0)</f>
        <v>3871590</v>
      </c>
      <c r="C4978" t="str">
        <f>IFERROR(__xludf.DUMMYFUNCTION("""COMPUTED_VALUE"""),"SAP BW4HANA 2.0 SP07 Masterclass | Hands ON Training")</f>
        <v>SAP BW4HANA 2.0 SP07 Masterclass | Hands ON Training</v>
      </c>
    </row>
    <row r="4979">
      <c r="A4979" s="140" t="str">
        <f>IFERROR(__xludf.DUMMYFUNCTION("""COMPUTED_VALUE"""),"en")</f>
        <v>en</v>
      </c>
      <c r="B4979">
        <f>IFERROR(__xludf.DUMMYFUNCTION("""COMPUTED_VALUE"""),3398738.0)</f>
        <v>3398738</v>
      </c>
      <c r="C4979" t="str">
        <f>IFERROR(__xludf.DUMMYFUNCTION("""COMPUTED_VALUE"""),"DevOps: CICD with Git GitLab Jenkins, Docker and Django")</f>
        <v>DevOps: CICD with Git GitLab Jenkins, Docker and Django</v>
      </c>
    </row>
    <row r="4980">
      <c r="A4980" s="140" t="str">
        <f>IFERROR(__xludf.DUMMYFUNCTION("""COMPUTED_VALUE"""),"es")</f>
        <v>es</v>
      </c>
      <c r="B4980">
        <f>IFERROR(__xludf.DUMMYFUNCTION("""COMPUTED_VALUE"""),484388.0)</f>
        <v>484388</v>
      </c>
      <c r="C4980" t="str">
        <f>IFERROR(__xludf.DUMMYFUNCTION("""COMPUTED_VALUE"""),"Aprende Programación en C++ (Básico - Intermedio - Avanzado)")</f>
        <v>Aprende Programación en C++ (Básico - Intermedio - Avanzado)</v>
      </c>
    </row>
    <row r="4981">
      <c r="A4981" s="140" t="str">
        <f>IFERROR(__xludf.DUMMYFUNCTION("""COMPUTED_VALUE"""),"en")</f>
        <v>en</v>
      </c>
      <c r="B4981">
        <f>IFERROR(__xludf.DUMMYFUNCTION("""COMPUTED_VALUE"""),83762.0)</f>
        <v>83762</v>
      </c>
      <c r="C4981" t="str">
        <f>IFERROR(__xludf.DUMMYFUNCTION("""COMPUTED_VALUE"""),"Complete Game Asset Workflow - The Treasure Chest")</f>
        <v>Complete Game Asset Workflow - The Treasure Chest</v>
      </c>
    </row>
    <row r="4982">
      <c r="A4982" s="140" t="str">
        <f>IFERROR(__xludf.DUMMYFUNCTION("""COMPUTED_VALUE"""),"fr")</f>
        <v>fr</v>
      </c>
      <c r="B4982">
        <f>IFERROR(__xludf.DUMMYFUNCTION("""COMPUTED_VALUE"""),2171252.0)</f>
        <v>2171252</v>
      </c>
      <c r="C4982" t="str">
        <f>IFERROR(__xludf.DUMMYFUNCTION("""COMPUTED_VALUE"""),"BOOTSTRAP 4 : la formation ULTIME")</f>
        <v>BOOTSTRAP 4 : la formation ULTIME</v>
      </c>
    </row>
    <row r="4983">
      <c r="A4983" s="140" t="str">
        <f>IFERROR(__xludf.DUMMYFUNCTION("""COMPUTED_VALUE"""),"ja")</f>
        <v>ja</v>
      </c>
      <c r="B4983">
        <f>IFERROR(__xludf.DUMMYFUNCTION("""COMPUTED_VALUE"""),3359158.0)</f>
        <v>3359158</v>
      </c>
      <c r="C4983" t="str">
        <f>IFERROR(__xludf.DUMMYFUNCTION("""COMPUTED_VALUE"""),"文章力・伝達力・解決力が一気に上がる ロジカルシンキング")</f>
        <v>文章力・伝達力・解決力が一気に上がる ロジカルシンキング</v>
      </c>
    </row>
    <row r="4984">
      <c r="A4984" s="140" t="str">
        <f>IFERROR(__xludf.DUMMYFUNCTION("""COMPUTED_VALUE"""),"en")</f>
        <v>en</v>
      </c>
      <c r="B4984">
        <f>IFERROR(__xludf.DUMMYFUNCTION("""COMPUTED_VALUE"""),2302640.0)</f>
        <v>2302640</v>
      </c>
      <c r="C4984" t="str">
        <f>IFERROR(__xludf.DUMMYFUNCTION("""COMPUTED_VALUE"""),"Data Science &amp; Deep Learning for Business™ 20 Case Studies")</f>
        <v>Data Science &amp; Deep Learning for Business™ 20 Case Studies</v>
      </c>
    </row>
    <row r="4985">
      <c r="A4985" s="140" t="str">
        <f>IFERROR(__xludf.DUMMYFUNCTION("""COMPUTED_VALUE"""),"es")</f>
        <v>es</v>
      </c>
      <c r="B4985">
        <f>IFERROR(__xludf.DUMMYFUNCTION("""COMPUTED_VALUE"""),2257056.0)</f>
        <v>2257056</v>
      </c>
      <c r="C4985" t="str">
        <f>IFERROR(__xludf.DUMMYFUNCTION("""COMPUTED_VALUE"""),"CSS Grid: Principiante a Experto Creando Web Responsive")</f>
        <v>CSS Grid: Principiante a Experto Creando Web Responsive</v>
      </c>
    </row>
    <row r="4986">
      <c r="A4986" s="140" t="str">
        <f>IFERROR(__xludf.DUMMYFUNCTION("""COMPUTED_VALUE"""),"en")</f>
        <v>en</v>
      </c>
      <c r="B4986">
        <f>IFERROR(__xludf.DUMMYFUNCTION("""COMPUTED_VALUE"""),1646794.0)</f>
        <v>1646794</v>
      </c>
      <c r="C4986" t="str">
        <f>IFERROR(__xludf.DUMMYFUNCTION("""COMPUTED_VALUE"""),"The Complete MATLAB Mastery - From a Beginner to an Expert")</f>
        <v>The Complete MATLAB Mastery - From a Beginner to an Expert</v>
      </c>
    </row>
    <row r="4987">
      <c r="A4987" s="140" t="str">
        <f>IFERROR(__xludf.DUMMYFUNCTION("""COMPUTED_VALUE"""),"en")</f>
        <v>en</v>
      </c>
      <c r="B4987">
        <f>IFERROR(__xludf.DUMMYFUNCTION("""COMPUTED_VALUE"""),1543984.0)</f>
        <v>1543984</v>
      </c>
      <c r="C4987" t="str">
        <f>IFERROR(__xludf.DUMMYFUNCTION("""COMPUTED_VALUE"""),"The Real Estate Financial Modeling Bootcamp")</f>
        <v>The Real Estate Financial Modeling Bootcamp</v>
      </c>
    </row>
    <row r="4988">
      <c r="A4988" s="140" t="str">
        <f>IFERROR(__xludf.DUMMYFUNCTION("""COMPUTED_VALUE"""),"ar")</f>
        <v>ar</v>
      </c>
      <c r="B4988">
        <f>IFERROR(__xludf.DUMMYFUNCTION("""COMPUTED_VALUE"""),2782656.0)</f>
        <v>2782656</v>
      </c>
      <c r="C4988" t="str">
        <f>IFERROR(__xludf.DUMMYFUNCTION("""COMPUTED_VALUE"""),"Competition analysis التسويق: تحليل المنافسة")</f>
        <v>Competition analysis التسويق: تحليل المنافسة</v>
      </c>
    </row>
    <row r="4989">
      <c r="A4989" s="140" t="str">
        <f>IFERROR(__xludf.DUMMYFUNCTION("""COMPUTED_VALUE"""),"en")</f>
        <v>en</v>
      </c>
      <c r="B4989">
        <f>IFERROR(__xludf.DUMMYFUNCTION("""COMPUTED_VALUE"""),864282.0)</f>
        <v>864282</v>
      </c>
      <c r="C4989" t="str">
        <f>IFERROR(__xludf.DUMMYFUNCTION("""COMPUTED_VALUE"""),"SQL Server Reporting Services Part 1 (SSRS)")</f>
        <v>SQL Server Reporting Services Part 1 (SSRS)</v>
      </c>
    </row>
    <row r="4990">
      <c r="A4990" s="140" t="str">
        <f>IFERROR(__xludf.DUMMYFUNCTION("""COMPUTED_VALUE"""),"en")</f>
        <v>en</v>
      </c>
      <c r="B4990">
        <f>IFERROR(__xludf.DUMMYFUNCTION("""COMPUTED_VALUE"""),385984.0)</f>
        <v>385984</v>
      </c>
      <c r="C4990" t="str">
        <f>IFERROR(__xludf.DUMMYFUNCTION("""COMPUTED_VALUE"""),"Master The English Verb Tenses")</f>
        <v>Master The English Verb Tenses</v>
      </c>
    </row>
    <row r="4991">
      <c r="A4991" s="140" t="str">
        <f>IFERROR(__xludf.DUMMYFUNCTION("""COMPUTED_VALUE"""),"es")</f>
        <v>es</v>
      </c>
      <c r="B4991">
        <f>IFERROR(__xludf.DUMMYFUNCTION("""COMPUTED_VALUE"""),1343610.0)</f>
        <v>1343610</v>
      </c>
      <c r="C4991" t="str">
        <f>IFERROR(__xludf.DUMMYFUNCTION("""COMPUTED_VALUE"""),"Master avanzado de Android: patrones de programación")</f>
        <v>Master avanzado de Android: patrones de programación</v>
      </c>
    </row>
    <row r="4992">
      <c r="A4992" s="140" t="str">
        <f>IFERROR(__xludf.DUMMYFUNCTION("""COMPUTED_VALUE"""),"ja")</f>
        <v>ja</v>
      </c>
      <c r="B4992">
        <f>IFERROR(__xludf.DUMMYFUNCTION("""COMPUTED_VALUE"""),1983274.0)</f>
        <v>1983274</v>
      </c>
      <c r="C4992" t="str">
        <f>IFERROR(__xludf.DUMMYFUNCTION("""COMPUTED_VALUE"""),"PythonによるWebスクレイピング〜入門編〜【業務効率化への第一歩】")</f>
        <v>PythonによるWebスクレイピング〜入門編〜【業務効率化への第一歩】</v>
      </c>
    </row>
    <row r="4993">
      <c r="A4993" s="140" t="str">
        <f>IFERROR(__xludf.DUMMYFUNCTION("""COMPUTED_VALUE"""),"fr")</f>
        <v>fr</v>
      </c>
      <c r="B4993">
        <f>IFERROR(__xludf.DUMMYFUNCTION("""COMPUTED_VALUE"""),2366878.0)</f>
        <v>2366878</v>
      </c>
      <c r="C4993" t="str">
        <f>IFERROR(__xludf.DUMMYFUNCTION("""COMPUTED_VALUE"""),"Cinéma/vidéo : Filmer de façon professionnelle")</f>
        <v>Cinéma/vidéo : Filmer de façon professionnelle</v>
      </c>
    </row>
    <row r="4994">
      <c r="A4994" s="140" t="str">
        <f>IFERROR(__xludf.DUMMYFUNCTION("""COMPUTED_VALUE"""),"en")</f>
        <v>en</v>
      </c>
      <c r="B4994">
        <f>IFERROR(__xludf.DUMMYFUNCTION("""COMPUTED_VALUE"""),253326.0)</f>
        <v>253326</v>
      </c>
      <c r="C4994" t="str">
        <f>IFERROR(__xludf.DUMMYFUNCTION("""COMPUTED_VALUE"""),"15 Minutes x 15 Days Yoga Flexibility Challenge")</f>
        <v>15 Minutes x 15 Days Yoga Flexibility Challenge</v>
      </c>
    </row>
    <row r="4995">
      <c r="A4995" s="140" t="str">
        <f>IFERROR(__xludf.DUMMYFUNCTION("""COMPUTED_VALUE"""),"en")</f>
        <v>en</v>
      </c>
      <c r="B4995">
        <f>IFERROR(__xludf.DUMMYFUNCTION("""COMPUTED_VALUE"""),1686164.0)</f>
        <v>1686164</v>
      </c>
      <c r="C4995" t="str">
        <f>IFERROR(__xludf.DUMMYFUNCTION("""COMPUTED_VALUE"""),"Power BI Master Class-Data Models and DAX Formulas 2021")</f>
        <v>Power BI Master Class-Data Models and DAX Formulas 2021</v>
      </c>
    </row>
    <row r="4996">
      <c r="A4996" s="140" t="str">
        <f>IFERROR(__xludf.DUMMYFUNCTION("""COMPUTED_VALUE"""),"en")</f>
        <v>en</v>
      </c>
      <c r="B4996">
        <f>IFERROR(__xludf.DUMMYFUNCTION("""COMPUTED_VALUE"""),2383216.0)</f>
        <v>2383216</v>
      </c>
      <c r="C4996" t="str">
        <f>IFERROR(__xludf.DUMMYFUNCTION("""COMPUTED_VALUE"""),"QC151 Quantum Physics for Quantum Computing")</f>
        <v>QC151 Quantum Physics for Quantum Computing</v>
      </c>
    </row>
    <row r="4997">
      <c r="A4997" s="140" t="str">
        <f>IFERROR(__xludf.DUMMYFUNCTION("""COMPUTED_VALUE"""),"en")</f>
        <v>en</v>
      </c>
      <c r="B4997">
        <f>IFERROR(__xludf.DUMMYFUNCTION("""COMPUTED_VALUE"""),580876.0)</f>
        <v>580876</v>
      </c>
      <c r="C4997" t="str">
        <f>IFERROR(__xludf.DUMMYFUNCTION("""COMPUTED_VALUE"""),"Introduction to Computer Networks for Non-Techies")</f>
        <v>Introduction to Computer Networks for Non-Techies</v>
      </c>
    </row>
    <row r="4998">
      <c r="A4998" s="140" t="str">
        <f>IFERROR(__xludf.DUMMYFUNCTION("""COMPUTED_VALUE"""),"en")</f>
        <v>en</v>
      </c>
      <c r="B4998">
        <f>IFERROR(__xludf.DUMMYFUNCTION("""COMPUTED_VALUE"""),1456464.0)</f>
        <v>1456464</v>
      </c>
      <c r="C4998" t="str">
        <f>IFERROR(__xludf.DUMMYFUNCTION("""COMPUTED_VALUE"""),"CompTIA CySA+ (CS0-002) Complete Course &amp; Practice Exam")</f>
        <v>CompTIA CySA+ (CS0-002) Complete Course &amp; Practice Exam</v>
      </c>
    </row>
    <row r="4999">
      <c r="A4999" s="140" t="str">
        <f>IFERROR(__xludf.DUMMYFUNCTION("""COMPUTED_VALUE"""),"en")</f>
        <v>en</v>
      </c>
      <c r="B4999">
        <f>IFERROR(__xludf.DUMMYFUNCTION("""COMPUTED_VALUE"""),3794320.0)</f>
        <v>3794320</v>
      </c>
      <c r="C4999" t="str">
        <f>IFERROR(__xludf.DUMMYFUNCTION("""COMPUTED_VALUE"""),"Cisco ACI DCACI - (300-620) Certification Course")</f>
        <v>Cisco ACI DCACI - (300-620) Certification Course</v>
      </c>
    </row>
    <row r="5000">
      <c r="A5000" s="140" t="str">
        <f>IFERROR(__xludf.DUMMYFUNCTION("""COMPUTED_VALUE"""),"pt")</f>
        <v>pt</v>
      </c>
      <c r="B5000">
        <f>IFERROR(__xludf.DUMMYFUNCTION("""COMPUTED_VALUE"""),1286330.0)</f>
        <v>1286330</v>
      </c>
      <c r="C5000" t="str">
        <f>IFERROR(__xludf.DUMMYFUNCTION("""COMPUTED_VALUE"""),"Windows Server 2016")</f>
        <v>Windows Server 2016</v>
      </c>
    </row>
    <row r="5001">
      <c r="A5001" s="140" t="str">
        <f>IFERROR(__xludf.DUMMYFUNCTION("""COMPUTED_VALUE"""),"es")</f>
        <v>es</v>
      </c>
      <c r="B5001">
        <f>IFERROR(__xludf.DUMMYFUNCTION("""COMPUTED_VALUE"""),3748368.0)</f>
        <v>3748368</v>
      </c>
      <c r="C5001" t="str">
        <f>IFERROR(__xludf.DUMMYFUNCTION("""COMPUTED_VALUE"""),"Tableau: análisis de datos y visualizaciones")</f>
        <v>Tableau: análisis de datos y visualizaciones</v>
      </c>
    </row>
    <row r="5002">
      <c r="A5002" s="140" t="str">
        <f>IFERROR(__xludf.DUMMYFUNCTION("""COMPUTED_VALUE"""),"en")</f>
        <v>en</v>
      </c>
      <c r="B5002">
        <f>IFERROR(__xludf.DUMMYFUNCTION("""COMPUTED_VALUE"""),634546.0)</f>
        <v>634546</v>
      </c>
      <c r="C5002" t="str">
        <f>IFERROR(__xludf.DUMMYFUNCTION("""COMPUTED_VALUE"""),"Protractor: End to End testing framework for AngularJS Apps")</f>
        <v>Protractor: End to End testing framework for AngularJS Apps</v>
      </c>
    </row>
    <row r="5003">
      <c r="A5003" s="140" t="str">
        <f>IFERROR(__xludf.DUMMYFUNCTION("""COMPUTED_VALUE"""),"en")</f>
        <v>en</v>
      </c>
      <c r="B5003">
        <f>IFERROR(__xludf.DUMMYFUNCTION("""COMPUTED_VALUE"""),3330728.0)</f>
        <v>3330728</v>
      </c>
      <c r="C5003" t="str">
        <f>IFERROR(__xludf.DUMMYFUNCTION("""COMPUTED_VALUE"""),"The Complete 'No Code' Developer Course: Build 23 Projects")</f>
        <v>The Complete 'No Code' Developer Course: Build 23 Projects</v>
      </c>
    </row>
    <row r="5004">
      <c r="A5004" s="140" t="str">
        <f>IFERROR(__xludf.DUMMYFUNCTION("""COMPUTED_VALUE"""),"en")</f>
        <v>en</v>
      </c>
      <c r="B5004">
        <f>IFERROR(__xludf.DUMMYFUNCTION("""COMPUTED_VALUE"""),4022370.0)</f>
        <v>4022370</v>
      </c>
      <c r="C5004" t="str">
        <f>IFERROR(__xludf.DUMMYFUNCTION("""COMPUTED_VALUE"""),"Human Resources Workplace Investigations for Employee Issues")</f>
        <v>Human Resources Workplace Investigations for Employee Issues</v>
      </c>
    </row>
    <row r="5005">
      <c r="A5005" s="140" t="str">
        <f>IFERROR(__xludf.DUMMYFUNCTION("""COMPUTED_VALUE"""),"en")</f>
        <v>en</v>
      </c>
      <c r="B5005">
        <f>IFERROR(__xludf.DUMMYFUNCTION("""COMPUTED_VALUE"""),2718352.0)</f>
        <v>2718352</v>
      </c>
      <c r="C5005" t="str">
        <f>IFERROR(__xludf.DUMMYFUNCTION("""COMPUTED_VALUE"""),"Databricks Fundamentals &amp; Apache Spark Core")</f>
        <v>Databricks Fundamentals &amp; Apache Spark Core</v>
      </c>
    </row>
    <row r="5006">
      <c r="A5006" s="140" t="str">
        <f>IFERROR(__xludf.DUMMYFUNCTION("""COMPUTED_VALUE"""),"ja")</f>
        <v>ja</v>
      </c>
      <c r="B5006">
        <f>IFERROR(__xludf.DUMMYFUNCTION("""COMPUTED_VALUE"""),2169730.0)</f>
        <v>2169730</v>
      </c>
      <c r="C5006" t="str">
        <f>IFERROR(__xludf.DUMMYFUNCTION("""COMPUTED_VALUE"""),"kintoneで学ぶ、Webデータベース管理入門")</f>
        <v>kintoneで学ぶ、Webデータベース管理入門</v>
      </c>
    </row>
    <row r="5007">
      <c r="A5007" s="140" t="str">
        <f>IFERROR(__xludf.DUMMYFUNCTION("""COMPUTED_VALUE"""),"pt")</f>
        <v>pt</v>
      </c>
      <c r="B5007">
        <f>IFERROR(__xludf.DUMMYFUNCTION("""COMPUTED_VALUE"""),1442204.0)</f>
        <v>1442204</v>
      </c>
      <c r="C5007" t="str">
        <f>IFERROR(__xludf.DUMMYFUNCTION("""COMPUTED_VALUE"""),"Design Gráfico e Visual de Alto Nível  - Segredos e Técnicas")</f>
        <v>Design Gráfico e Visual de Alto Nível  - Segredos e Técnicas</v>
      </c>
    </row>
    <row r="5008">
      <c r="A5008" s="140" t="str">
        <f>IFERROR(__xludf.DUMMYFUNCTION("""COMPUTED_VALUE"""),"en")</f>
        <v>en</v>
      </c>
      <c r="B5008">
        <f>IFERROR(__xludf.DUMMYFUNCTION("""COMPUTED_VALUE"""),3209827.0)</f>
        <v>3209827</v>
      </c>
      <c r="C5008" t="str">
        <f>IFERROR(__xludf.DUMMYFUNCTION("""COMPUTED_VALUE"""),"Web GIS development course")</f>
        <v>Web GIS development course</v>
      </c>
    </row>
    <row r="5009">
      <c r="A5009" s="140" t="str">
        <f>IFERROR(__xludf.DUMMYFUNCTION("""COMPUTED_VALUE"""),"en")</f>
        <v>en</v>
      </c>
      <c r="B5009">
        <f>IFERROR(__xludf.DUMMYFUNCTION("""COMPUTED_VALUE"""),2219428.0)</f>
        <v>2219428</v>
      </c>
      <c r="C5009" t="str">
        <f>IFERROR(__xludf.DUMMYFUNCTION("""COMPUTED_VALUE"""),"Line By Line Resume Writing: Write A Resume &amp; Cover Letter")</f>
        <v>Line By Line Resume Writing: Write A Resume &amp; Cover Letter</v>
      </c>
    </row>
    <row r="5010">
      <c r="A5010" s="140" t="str">
        <f>IFERROR(__xludf.DUMMYFUNCTION("""COMPUTED_VALUE"""),"en")</f>
        <v>en</v>
      </c>
      <c r="B5010">
        <f>IFERROR(__xludf.DUMMYFUNCTION("""COMPUTED_VALUE"""),1689362.0)</f>
        <v>1689362</v>
      </c>
      <c r="C5010" t="str">
        <f>IFERROR(__xludf.DUMMYFUNCTION("""COMPUTED_VALUE"""),"Complete Presentation Skills Masterclass for Every Occasion")</f>
        <v>Complete Presentation Skills Masterclass for Every Occasion</v>
      </c>
    </row>
    <row r="5011">
      <c r="A5011" s="140" t="str">
        <f>IFERROR(__xludf.DUMMYFUNCTION("""COMPUTED_VALUE"""),"en")</f>
        <v>en</v>
      </c>
      <c r="B5011">
        <f>IFERROR(__xludf.DUMMYFUNCTION("""COMPUTED_VALUE"""),1977108.0)</f>
        <v>1977108</v>
      </c>
      <c r="C5011" t="str">
        <f>IFERROR(__xludf.DUMMYFUNCTION("""COMPUTED_VALUE"""),"GraphQL &amp; Apollo with Android - From Novice to Expert")</f>
        <v>GraphQL &amp; Apollo with Android - From Novice to Expert</v>
      </c>
    </row>
    <row r="5012">
      <c r="A5012" s="140" t="str">
        <f>IFERROR(__xludf.DUMMYFUNCTION("""COMPUTED_VALUE"""),"tr")</f>
        <v>tr</v>
      </c>
      <c r="B5012">
        <f>IFERROR(__xludf.DUMMYFUNCTION("""COMPUTED_VALUE"""),2998418.0)</f>
        <v>2998418</v>
      </c>
      <c r="C5012" t="str">
        <f>IFERROR(__xludf.DUMMYFUNCTION("""COMPUTED_VALUE"""),"Başlangıçtan İleri Seviyeye Uygulamalı Kriptoloji Eğitimi")</f>
        <v>Başlangıçtan İleri Seviyeye Uygulamalı Kriptoloji Eğitimi</v>
      </c>
    </row>
    <row r="5013">
      <c r="A5013" s="140" t="str">
        <f>IFERROR(__xludf.DUMMYFUNCTION("""COMPUTED_VALUE"""),"en")</f>
        <v>en</v>
      </c>
      <c r="B5013">
        <f>IFERROR(__xludf.DUMMYFUNCTION("""COMPUTED_VALUE"""),4101836.0)</f>
        <v>4101836</v>
      </c>
      <c r="C5013" t="str">
        <f>IFERROR(__xludf.DUMMYFUNCTION("""COMPUTED_VALUE"""),"Comprehensive Course in Molecular Testing Laboratory")</f>
        <v>Comprehensive Course in Molecular Testing Laboratory</v>
      </c>
    </row>
    <row r="5014">
      <c r="A5014" s="140" t="str">
        <f>IFERROR(__xludf.DUMMYFUNCTION("""COMPUTED_VALUE"""),"tr")</f>
        <v>tr</v>
      </c>
      <c r="B5014">
        <f>IFERROR(__xludf.DUMMYFUNCTION("""COMPUTED_VALUE"""),3613838.0)</f>
        <v>3613838</v>
      </c>
      <c r="C5014" t="str">
        <f>IFERROR(__xludf.DUMMYFUNCTION("""COMPUTED_VALUE"""),"İngilizce Reading: Okuma Parçalarıyla İngilizce Eğitim Seti")</f>
        <v>İngilizce Reading: Okuma Parçalarıyla İngilizce Eğitim Seti</v>
      </c>
    </row>
    <row r="5015">
      <c r="A5015" s="140" t="str">
        <f>IFERROR(__xludf.DUMMYFUNCTION("""COMPUTED_VALUE"""),"pt")</f>
        <v>pt</v>
      </c>
      <c r="B5015">
        <f>IFERROR(__xludf.DUMMYFUNCTION("""COMPUTED_VALUE"""),3326070.0)</f>
        <v>3326070</v>
      </c>
      <c r="C5015" t="str">
        <f>IFERROR(__xludf.DUMMYFUNCTION("""COMPUTED_VALUE"""),"Automação de testes de API com Postman + Projeto de testes")</f>
        <v>Automação de testes de API com Postman + Projeto de testes</v>
      </c>
    </row>
    <row r="5016">
      <c r="A5016" s="140" t="str">
        <f>IFERROR(__xludf.DUMMYFUNCTION("""COMPUTED_VALUE"""),"en")</f>
        <v>en</v>
      </c>
      <c r="B5016">
        <f>IFERROR(__xludf.DUMMYFUNCTION("""COMPUTED_VALUE"""),2031086.0)</f>
        <v>2031086</v>
      </c>
      <c r="C5016" t="str">
        <f>IFERROR(__xludf.DUMMYFUNCTION("""COMPUTED_VALUE"""),"SASS - The Complete SASS Course (CSS Preprocessor)")</f>
        <v>SASS - The Complete SASS Course (CSS Preprocessor)</v>
      </c>
    </row>
    <row r="5017">
      <c r="A5017" s="140" t="str">
        <f>IFERROR(__xludf.DUMMYFUNCTION("""COMPUTED_VALUE"""),"tr")</f>
        <v>tr</v>
      </c>
      <c r="B5017">
        <f>IFERROR(__xludf.DUMMYFUNCTION("""COMPUTED_VALUE"""),3130762.0)</f>
        <v>3130762</v>
      </c>
      <c r="C5017" t="str">
        <f>IFERROR(__xludf.DUMMYFUNCTION("""COMPUTED_VALUE"""),"Gann Izgara Teknik Çizim Aracı Kullanımı ve Strateji")</f>
        <v>Gann Izgara Teknik Çizim Aracı Kullanımı ve Strateji</v>
      </c>
    </row>
    <row r="5018">
      <c r="A5018" s="140" t="str">
        <f>IFERROR(__xludf.DUMMYFUNCTION("""COMPUTED_VALUE"""),"ja")</f>
        <v>ja</v>
      </c>
      <c r="B5018">
        <f>IFERROR(__xludf.DUMMYFUNCTION("""COMPUTED_VALUE"""),1657418.0)</f>
        <v>1657418</v>
      </c>
      <c r="C5018" t="str">
        <f>IFERROR(__xludf.DUMMYFUNCTION("""COMPUTED_VALUE"""),"【ゼロからスタート】初心者向け Excel VBA トレーニング")</f>
        <v>【ゼロからスタート】初心者向け Excel VBA トレーニング</v>
      </c>
    </row>
    <row r="5019">
      <c r="A5019" s="140" t="str">
        <f>IFERROR(__xludf.DUMMYFUNCTION("""COMPUTED_VALUE"""),"en")</f>
        <v>en</v>
      </c>
      <c r="B5019">
        <f>IFERROR(__xludf.DUMMYFUNCTION("""COMPUTED_VALUE"""),4158690.0)</f>
        <v>4158690</v>
      </c>
      <c r="C5019" t="str">
        <f>IFERROR(__xludf.DUMMYFUNCTION("""COMPUTED_VALUE"""),"Async/Await and Actors - Concurrency in Swift")</f>
        <v>Async/Await and Actors - Concurrency in Swift</v>
      </c>
    </row>
    <row r="5020">
      <c r="A5020" s="140" t="str">
        <f>IFERROR(__xludf.DUMMYFUNCTION("""COMPUTED_VALUE"""),"en")</f>
        <v>en</v>
      </c>
      <c r="B5020">
        <f>IFERROR(__xludf.DUMMYFUNCTION("""COMPUTED_VALUE"""),1461614.0)</f>
        <v>1461614</v>
      </c>
      <c r="C5020" t="str">
        <f>IFERROR(__xludf.DUMMYFUNCTION("""COMPUTED_VALUE"""),"The Complete Finance Manager Course 2021")</f>
        <v>The Complete Finance Manager Course 2021</v>
      </c>
    </row>
    <row r="5021">
      <c r="A5021" s="140" t="str">
        <f>IFERROR(__xludf.DUMMYFUNCTION("""COMPUTED_VALUE"""),"en")</f>
        <v>en</v>
      </c>
      <c r="B5021">
        <f>IFERROR(__xludf.DUMMYFUNCTION("""COMPUTED_VALUE"""),2759122.0)</f>
        <v>2759122</v>
      </c>
      <c r="C5021" t="str">
        <f>IFERROR(__xludf.DUMMYFUNCTION("""COMPUTED_VALUE"""),"Salesforce Certified Platform Developer 1 Exam Questions")</f>
        <v>Salesforce Certified Platform Developer 1 Exam Questions</v>
      </c>
    </row>
    <row r="5022">
      <c r="A5022" s="140" t="str">
        <f>IFERROR(__xludf.DUMMYFUNCTION("""COMPUTED_VALUE"""),"en")</f>
        <v>en</v>
      </c>
      <c r="B5022">
        <f>IFERROR(__xludf.DUMMYFUNCTION("""COMPUTED_VALUE"""),3071896.0)</f>
        <v>3071896</v>
      </c>
      <c r="C5022" t="str">
        <f>IFERROR(__xludf.DUMMYFUNCTION("""COMPUTED_VALUE"""),"MicroStrategy Desktop 2020")</f>
        <v>MicroStrategy Desktop 2020</v>
      </c>
    </row>
    <row r="5023">
      <c r="A5023" s="140" t="str">
        <f>IFERROR(__xludf.DUMMYFUNCTION("""COMPUTED_VALUE"""),"en")</f>
        <v>en</v>
      </c>
      <c r="B5023">
        <f>IFERROR(__xludf.DUMMYFUNCTION("""COMPUTED_VALUE"""),1228434.0)</f>
        <v>1228434</v>
      </c>
      <c r="C5023" t="str">
        <f>IFERROR(__xludf.DUMMYFUNCTION("""COMPUTED_VALUE"""),"The Essential Kotlin Programming Course (Android Developers)")</f>
        <v>The Essential Kotlin Programming Course (Android Developers)</v>
      </c>
    </row>
    <row r="5024">
      <c r="A5024" s="140" t="str">
        <f>IFERROR(__xludf.DUMMYFUNCTION("""COMPUTED_VALUE"""),"fr")</f>
        <v>fr</v>
      </c>
      <c r="B5024">
        <f>IFERROR(__xludf.DUMMYFUNCTION("""COMPUTED_VALUE"""),3563625.0)</f>
        <v>3563625</v>
      </c>
      <c r="C5024" t="str">
        <f>IFERROR(__xludf.DUMMYFUNCTION("""COMPUTED_VALUE"""),"Git &amp; GitHub : la formation ULTIME")</f>
        <v>Git &amp; GitHub : la formation ULTIME</v>
      </c>
    </row>
    <row r="5025">
      <c r="A5025" s="140" t="str">
        <f>IFERROR(__xludf.DUMMYFUNCTION("""COMPUTED_VALUE"""),"en")</f>
        <v>en</v>
      </c>
      <c r="B5025">
        <f>IFERROR(__xludf.DUMMYFUNCTION("""COMPUTED_VALUE"""),846186.0)</f>
        <v>846186</v>
      </c>
      <c r="C5025" t="str">
        <f>IFERROR(__xludf.DUMMYFUNCTION("""COMPUTED_VALUE"""),"How to be more productive working from home")</f>
        <v>How to be more productive working from home</v>
      </c>
    </row>
    <row r="5026">
      <c r="A5026" s="140" t="str">
        <f>IFERROR(__xludf.DUMMYFUNCTION("""COMPUTED_VALUE"""),"pt")</f>
        <v>pt</v>
      </c>
      <c r="B5026">
        <f>IFERROR(__xludf.DUMMYFUNCTION("""COMPUTED_VALUE"""),1088438.0)</f>
        <v>1088438</v>
      </c>
      <c r="C5026" t="str">
        <f>IFERROR(__xludf.DUMMYFUNCTION("""COMPUTED_VALUE"""),"Pixel Art para games de forma descomplicada")</f>
        <v>Pixel Art para games de forma descomplicada</v>
      </c>
    </row>
    <row r="5027">
      <c r="A5027" s="140" t="str">
        <f>IFERROR(__xludf.DUMMYFUNCTION("""COMPUTED_VALUE"""),"en")</f>
        <v>en</v>
      </c>
      <c r="B5027">
        <f>IFERROR(__xludf.DUMMYFUNCTION("""COMPUTED_VALUE"""),3040448.0)</f>
        <v>3040448</v>
      </c>
      <c r="C5027" t="str">
        <f>IFERROR(__xludf.DUMMYFUNCTION("""COMPUTED_VALUE"""),"Arista Essentials - Complete Course w/ ACE-A Practice Exams")</f>
        <v>Arista Essentials - Complete Course w/ ACE-A Practice Exams</v>
      </c>
    </row>
    <row r="5028">
      <c r="A5028" s="140" t="str">
        <f>IFERROR(__xludf.DUMMYFUNCTION("""COMPUTED_VALUE"""),"en")</f>
        <v>en</v>
      </c>
      <c r="B5028">
        <f>IFERROR(__xludf.DUMMYFUNCTION("""COMPUTED_VALUE"""),1720782.0)</f>
        <v>1720782</v>
      </c>
      <c r="C5028" t="str">
        <f>IFERROR(__xludf.DUMMYFUNCTION("""COMPUTED_VALUE"""),"Mastering AWS CloudFormation Templates Using JSON")</f>
        <v>Mastering AWS CloudFormation Templates Using JSON</v>
      </c>
    </row>
    <row r="5029">
      <c r="A5029" s="140" t="str">
        <f>IFERROR(__xludf.DUMMYFUNCTION("""COMPUTED_VALUE"""),"en")</f>
        <v>en</v>
      </c>
      <c r="B5029">
        <f>IFERROR(__xludf.DUMMYFUNCTION("""COMPUTED_VALUE"""),619692.0)</f>
        <v>619692</v>
      </c>
      <c r="C5029" t="str">
        <f>IFERROR(__xludf.DUMMYFUNCTION("""COMPUTED_VALUE"""),"Learn to Sell Anything by Grant Cardone")</f>
        <v>Learn to Sell Anything by Grant Cardone</v>
      </c>
    </row>
    <row r="5030">
      <c r="A5030" s="140" t="str">
        <f>IFERROR(__xludf.DUMMYFUNCTION("""COMPUTED_VALUE"""),"en")</f>
        <v>en</v>
      </c>
      <c r="B5030">
        <f>IFERROR(__xludf.DUMMYFUNCTION("""COMPUTED_VALUE"""),1141698.0)</f>
        <v>1141698</v>
      </c>
      <c r="C5030" t="str">
        <f>IFERROR(__xludf.DUMMYFUNCTION("""COMPUTED_VALUE"""),"Apache Kafka Series - Confluent Schema Registry &amp; REST Proxy")</f>
        <v>Apache Kafka Series - Confluent Schema Registry &amp; REST Proxy</v>
      </c>
    </row>
    <row r="5031">
      <c r="A5031" s="140" t="str">
        <f>IFERROR(__xludf.DUMMYFUNCTION("""COMPUTED_VALUE"""),"es")</f>
        <v>es</v>
      </c>
      <c r="B5031">
        <f>IFERROR(__xludf.DUMMYFUNCTION("""COMPUTED_VALUE"""),1641798.0)</f>
        <v>1641798</v>
      </c>
      <c r="C5031" t="str">
        <f>IFERROR(__xludf.DUMMYFUNCTION("""COMPUTED_VALUE"""),"Profesionaliza tu trabajo con Microsoft Word")</f>
        <v>Profesionaliza tu trabajo con Microsoft Word</v>
      </c>
    </row>
    <row r="5032">
      <c r="A5032" s="140" t="str">
        <f>IFERROR(__xludf.DUMMYFUNCTION("""COMPUTED_VALUE"""),"en")</f>
        <v>en</v>
      </c>
      <c r="B5032">
        <f>IFERROR(__xludf.DUMMYFUNCTION("""COMPUTED_VALUE"""),184756.0)</f>
        <v>184756</v>
      </c>
      <c r="C5032" t="str">
        <f>IFERROR(__xludf.DUMMYFUNCTION("""COMPUTED_VALUE"""),"Virtual Assistant: Find, Hire, Train, and Manage")</f>
        <v>Virtual Assistant: Find, Hire, Train, and Manage</v>
      </c>
    </row>
    <row r="5033">
      <c r="A5033" s="140" t="str">
        <f>IFERROR(__xludf.DUMMYFUNCTION("""COMPUTED_VALUE"""),"en")</f>
        <v>en</v>
      </c>
      <c r="B5033">
        <f>IFERROR(__xludf.DUMMYFUNCTION("""COMPUTED_VALUE"""),4134450.0)</f>
        <v>4134450</v>
      </c>
      <c r="C5033" t="str">
        <f>IFERROR(__xludf.DUMMYFUNCTION("""COMPUTED_VALUE"""),"Apache Cassandra : Everything You Need To Know")</f>
        <v>Apache Cassandra : Everything You Need To Know</v>
      </c>
    </row>
    <row r="5034">
      <c r="A5034" s="140" t="str">
        <f>IFERROR(__xludf.DUMMYFUNCTION("""COMPUTED_VALUE"""),"es")</f>
        <v>es</v>
      </c>
      <c r="B5034">
        <f>IFERROR(__xludf.DUMMYFUNCTION("""COMPUTED_VALUE"""),1743488.0)</f>
        <v>1743488</v>
      </c>
      <c r="C5034" t="str">
        <f>IFERROR(__xludf.DUMMYFUNCTION("""COMPUTED_VALUE"""),"SQL - Curso completo de Bases de Datos - de 0 a Avanzado")</f>
        <v>SQL - Curso completo de Bases de Datos - de 0 a Avanzado</v>
      </c>
    </row>
    <row r="5035">
      <c r="A5035" s="140" t="str">
        <f>IFERROR(__xludf.DUMMYFUNCTION("""COMPUTED_VALUE"""),"tr")</f>
        <v>tr</v>
      </c>
      <c r="B5035">
        <f>IFERROR(__xludf.DUMMYFUNCTION("""COMPUTED_VALUE"""),3793010.0)</f>
        <v>3793010</v>
      </c>
      <c r="C5035" t="str">
        <f>IFERROR(__xludf.DUMMYFUNCTION("""COMPUTED_VALUE"""),"Django 3 | Profesyonel Web Programlama")</f>
        <v>Django 3 | Profesyonel Web Programlama</v>
      </c>
    </row>
    <row r="5036">
      <c r="A5036" s="140" t="str">
        <f>IFERROR(__xludf.DUMMYFUNCTION("""COMPUTED_VALUE"""),"en")</f>
        <v>en</v>
      </c>
      <c r="B5036">
        <f>IFERROR(__xludf.DUMMYFUNCTION("""COMPUTED_VALUE"""),963324.0)</f>
        <v>963324</v>
      </c>
      <c r="C5036" t="str">
        <f>IFERROR(__xludf.DUMMYFUNCTION("""COMPUTED_VALUE"""),"Use SAP BRFplus Like a Pro!")</f>
        <v>Use SAP BRFplus Like a Pro!</v>
      </c>
    </row>
    <row r="5037">
      <c r="A5037" s="140" t="str">
        <f>IFERROR(__xludf.DUMMYFUNCTION("""COMPUTED_VALUE"""),"fr")</f>
        <v>fr</v>
      </c>
      <c r="B5037">
        <f>IFERROR(__xludf.DUMMYFUNCTION("""COMPUTED_VALUE"""),3636920.0)</f>
        <v>3636920</v>
      </c>
      <c r="C5037" t="str">
        <f>IFERROR(__xludf.DUMMYFUNCTION("""COMPUTED_VALUE"""),"Optimiser le SEO de son site WordPress de A à Z")</f>
        <v>Optimiser le SEO de son site WordPress de A à Z</v>
      </c>
    </row>
    <row r="5038">
      <c r="A5038" s="140" t="str">
        <f>IFERROR(__xludf.DUMMYFUNCTION("""COMPUTED_VALUE"""),"pt")</f>
        <v>pt</v>
      </c>
      <c r="B5038">
        <f>IFERROR(__xludf.DUMMYFUNCTION("""COMPUTED_VALUE"""),3313750.0)</f>
        <v>3313750</v>
      </c>
      <c r="C5038" t="str">
        <f>IFERROR(__xludf.DUMMYFUNCTION("""COMPUTED_VALUE"""),"Microsoft Azure: Simulado para prova AZ900 - Atualizado 2021")</f>
        <v>Microsoft Azure: Simulado para prova AZ900 - Atualizado 2021</v>
      </c>
    </row>
    <row r="5039">
      <c r="A5039" s="140" t="str">
        <f>IFERROR(__xludf.DUMMYFUNCTION("""COMPUTED_VALUE"""),"en")</f>
        <v>en</v>
      </c>
      <c r="B5039">
        <f>IFERROR(__xludf.DUMMYFUNCTION("""COMPUTED_VALUE"""),735990.0)</f>
        <v>735990</v>
      </c>
      <c r="C5039" t="str">
        <f>IFERROR(__xludf.DUMMYFUNCTION("""COMPUTED_VALUE"""),"Mind map for Beginners. How to make learning fun and fast.")</f>
        <v>Mind map for Beginners. How to make learning fun and fast.</v>
      </c>
    </row>
    <row r="5040">
      <c r="A5040" s="140" t="str">
        <f>IFERROR(__xludf.DUMMYFUNCTION("""COMPUTED_VALUE"""),"tr")</f>
        <v>tr</v>
      </c>
      <c r="B5040">
        <f>IFERROR(__xludf.DUMMYFUNCTION("""COMPUTED_VALUE"""),1968498.0)</f>
        <v>1968498</v>
      </c>
      <c r="C5040" t="str">
        <f>IFERROR(__xludf.DUMMYFUNCTION("""COMPUTED_VALUE"""),"Chatbot Nasıl Yapılır? - Facebook Messenger - Chatfuel")</f>
        <v>Chatbot Nasıl Yapılır? - Facebook Messenger - Chatfuel</v>
      </c>
    </row>
    <row r="5041">
      <c r="A5041" s="140" t="str">
        <f>IFERROR(__xludf.DUMMYFUNCTION("""COMPUTED_VALUE"""),"ja")</f>
        <v>ja</v>
      </c>
      <c r="B5041">
        <f>IFERROR(__xludf.DUMMYFUNCTION("""COMPUTED_VALUE"""),3774334.0)</f>
        <v>3774334</v>
      </c>
      <c r="C5041" t="str">
        <f>IFERROR(__xludf.DUMMYFUNCTION("""COMPUTED_VALUE"""),"作りながら学ぶ boto3 の基本 (AWS SDK for Python)")</f>
        <v>作りながら学ぶ boto3 の基本 (AWS SDK for Python)</v>
      </c>
    </row>
    <row r="5042">
      <c r="A5042" s="140" t="str">
        <f>IFERROR(__xludf.DUMMYFUNCTION("""COMPUTED_VALUE"""),"en")</f>
        <v>en</v>
      </c>
      <c r="B5042">
        <f>IFERROR(__xludf.DUMMYFUNCTION("""COMPUTED_VALUE"""),274770.0)</f>
        <v>274770</v>
      </c>
      <c r="C5042" t="str">
        <f>IFERROR(__xludf.DUMMYFUNCTION("""COMPUTED_VALUE"""),"Moodle: From Novice Teacher to Expert Online Educator")</f>
        <v>Moodle: From Novice Teacher to Expert Online Educator</v>
      </c>
    </row>
    <row r="5043">
      <c r="A5043" s="140" t="str">
        <f>IFERROR(__xludf.DUMMYFUNCTION("""COMPUTED_VALUE"""),"es")</f>
        <v>es</v>
      </c>
      <c r="B5043">
        <f>IFERROR(__xludf.DUMMYFUNCTION("""COMPUTED_VALUE"""),3009440.0)</f>
        <v>3009440</v>
      </c>
      <c r="C5043" t="str">
        <f>IFERROR(__xludf.DUMMYFUNCTION("""COMPUTED_VALUE"""),"Principios de radioenlaces para WISP")</f>
        <v>Principios de radioenlaces para WISP</v>
      </c>
    </row>
    <row r="5044">
      <c r="A5044" s="140" t="str">
        <f>IFERROR(__xludf.DUMMYFUNCTION("""COMPUTED_VALUE"""),"pt")</f>
        <v>pt</v>
      </c>
      <c r="B5044">
        <f>IFERROR(__xludf.DUMMYFUNCTION("""COMPUTED_VALUE"""),2935782.0)</f>
        <v>2935782</v>
      </c>
      <c r="C5044" t="str">
        <f>IFERROR(__xludf.DUMMYFUNCTION("""COMPUTED_VALUE"""),"Desenvolvimento Web com Quarkus")</f>
        <v>Desenvolvimento Web com Quarkus</v>
      </c>
    </row>
    <row r="5045">
      <c r="A5045" s="140" t="str">
        <f>IFERROR(__xludf.DUMMYFUNCTION("""COMPUTED_VALUE"""),"en")</f>
        <v>en</v>
      </c>
      <c r="B5045">
        <f>IFERROR(__xludf.DUMMYFUNCTION("""COMPUTED_VALUE"""),2776760.0)</f>
        <v>2776760</v>
      </c>
      <c r="C5045" t="str">
        <f>IFERROR(__xludf.DUMMYFUNCTION("""COMPUTED_VALUE"""),"100 Days of Code: The Complete Python Pro Bootcamp for 2022")</f>
        <v>100 Days of Code: The Complete Python Pro Bootcamp for 2022</v>
      </c>
    </row>
    <row r="5046">
      <c r="A5046" s="140" t="str">
        <f>IFERROR(__xludf.DUMMYFUNCTION("""COMPUTED_VALUE"""),"en")</f>
        <v>en</v>
      </c>
      <c r="B5046">
        <f>IFERROR(__xludf.DUMMYFUNCTION("""COMPUTED_VALUE"""),2279876.0)</f>
        <v>2279876</v>
      </c>
      <c r="C5046" t="str">
        <f>IFERROR(__xludf.DUMMYFUNCTION("""COMPUTED_VALUE"""),"A to Z of Azure security - Covers AZ 500, 300,103 and more")</f>
        <v>A to Z of Azure security - Covers AZ 500, 300,103 and more</v>
      </c>
    </row>
    <row r="5047">
      <c r="A5047" s="140" t="str">
        <f>IFERROR(__xludf.DUMMYFUNCTION("""COMPUTED_VALUE"""),"es")</f>
        <v>es</v>
      </c>
      <c r="B5047">
        <f>IFERROR(__xludf.DUMMYFUNCTION("""COMPUTED_VALUE"""),2387184.0)</f>
        <v>2387184</v>
      </c>
      <c r="C5047" t="str">
        <f>IFERROR(__xludf.DUMMYFUNCTION("""COMPUTED_VALUE"""),"MACHINE LEARNING 2022 Y REDES NEURONALES CON PYTHON DE CERO.")</f>
        <v>MACHINE LEARNING 2022 Y REDES NEURONALES CON PYTHON DE CERO.</v>
      </c>
    </row>
    <row r="5048">
      <c r="A5048" s="140" t="str">
        <f>IFERROR(__xludf.DUMMYFUNCTION("""COMPUTED_VALUE"""),"en")</f>
        <v>en</v>
      </c>
      <c r="B5048">
        <f>IFERROR(__xludf.DUMMYFUNCTION("""COMPUTED_VALUE"""),187626.0)</f>
        <v>187626</v>
      </c>
      <c r="C5048" t="str">
        <f>IFERROR(__xludf.DUMMYFUNCTION("""COMPUTED_VALUE"""),"Advanced AC Drive- VFD, Servo &amp; Stepper - Powerflex &amp; Delta")</f>
        <v>Advanced AC Drive- VFD, Servo &amp; Stepper - Powerflex &amp; Delta</v>
      </c>
    </row>
    <row r="5049">
      <c r="A5049" s="140" t="str">
        <f>IFERROR(__xludf.DUMMYFUNCTION("""COMPUTED_VALUE"""),"en")</f>
        <v>en</v>
      </c>
      <c r="B5049">
        <f>IFERROR(__xludf.DUMMYFUNCTION("""COMPUTED_VALUE"""),1012424.0)</f>
        <v>1012424</v>
      </c>
      <c r="C5049" t="str">
        <f>IFERROR(__xludf.DUMMYFUNCTION("""COMPUTED_VALUE"""),"The Complete Facebook Ads &amp; Facebook Marketing Masterclass")</f>
        <v>The Complete Facebook Ads &amp; Facebook Marketing Masterclass</v>
      </c>
    </row>
    <row r="5050">
      <c r="A5050" s="140" t="str">
        <f>IFERROR(__xludf.DUMMYFUNCTION("""COMPUTED_VALUE"""),"en")</f>
        <v>en</v>
      </c>
      <c r="B5050">
        <f>IFERROR(__xludf.DUMMYFUNCTION("""COMPUTED_VALUE"""),2235576.0)</f>
        <v>2235576</v>
      </c>
      <c r="C5050" t="str">
        <f>IFERROR(__xludf.DUMMYFUNCTION("""COMPUTED_VALUE"""),"The Comprehensive Android App Development Masterclass")</f>
        <v>The Comprehensive Android App Development Masterclass</v>
      </c>
    </row>
    <row r="5051">
      <c r="A5051" s="140" t="str">
        <f>IFERROR(__xludf.DUMMYFUNCTION("""COMPUTED_VALUE"""),"en")</f>
        <v>en</v>
      </c>
      <c r="B5051">
        <f>IFERROR(__xludf.DUMMYFUNCTION("""COMPUTED_VALUE"""),1010586.0)</f>
        <v>1010586</v>
      </c>
      <c r="C5051" t="str">
        <f>IFERROR(__xludf.DUMMYFUNCTION("""COMPUTED_VALUE"""),"Become a WordPress Developer: Unlocking Power With Code")</f>
        <v>Become a WordPress Developer: Unlocking Power With Code</v>
      </c>
    </row>
    <row r="5052">
      <c r="A5052" s="140" t="str">
        <f>IFERROR(__xludf.DUMMYFUNCTION("""COMPUTED_VALUE"""),"de")</f>
        <v>de</v>
      </c>
      <c r="B5052">
        <f>IFERROR(__xludf.DUMMYFUNCTION("""COMPUTED_VALUE"""),3912738.0)</f>
        <v>3912738</v>
      </c>
      <c r="C5052" t="str">
        <f>IFERROR(__xludf.DUMMYFUNCTION("""COMPUTED_VALUE"""),"ZOOM Masterclass: Grundlagen, Anleitungen und geheime Tricks")</f>
        <v>ZOOM Masterclass: Grundlagen, Anleitungen und geheime Tricks</v>
      </c>
    </row>
    <row r="5053">
      <c r="A5053" s="140" t="str">
        <f>IFERROR(__xludf.DUMMYFUNCTION("""COMPUTED_VALUE"""),"en")</f>
        <v>en</v>
      </c>
      <c r="B5053">
        <f>IFERROR(__xludf.DUMMYFUNCTION("""COMPUTED_VALUE"""),2235384.0)</f>
        <v>2235384</v>
      </c>
      <c r="C5053" t="str">
        <f>IFERROR(__xludf.DUMMYFUNCTION("""COMPUTED_VALUE"""),"Data Engineering on Google Cloud platform")</f>
        <v>Data Engineering on Google Cloud platform</v>
      </c>
    </row>
    <row r="5054">
      <c r="A5054" s="140" t="str">
        <f>IFERROR(__xludf.DUMMYFUNCTION("""COMPUTED_VALUE"""),"en")</f>
        <v>en</v>
      </c>
      <c r="B5054">
        <f>IFERROR(__xludf.DUMMYFUNCTION("""COMPUTED_VALUE"""),1608456.0)</f>
        <v>1608456</v>
      </c>
      <c r="C5054" t="str">
        <f>IFERROR(__xludf.DUMMYFUNCTION("""COMPUTED_VALUE"""),"Certified Information Security Manager (CISM)")</f>
        <v>Certified Information Security Manager (CISM)</v>
      </c>
    </row>
    <row r="5055">
      <c r="A5055" s="140" t="str">
        <f>IFERROR(__xludf.DUMMYFUNCTION("""COMPUTED_VALUE"""),"fr")</f>
        <v>fr</v>
      </c>
      <c r="B5055">
        <f>IFERROR(__xludf.DUMMYFUNCTION("""COMPUTED_VALUE"""),2455590.0)</f>
        <v>2455590</v>
      </c>
      <c r="C5055" t="str">
        <f>IFERROR(__xludf.DUMMYFUNCTION("""COMPUTED_VALUE"""),"Réussir le recrutement et l'intégration des collaborateurs")</f>
        <v>Réussir le recrutement et l'intégration des collaborateurs</v>
      </c>
    </row>
    <row r="5056">
      <c r="A5056" s="140" t="str">
        <f>IFERROR(__xludf.DUMMYFUNCTION("""COMPUTED_VALUE"""),"fr")</f>
        <v>fr</v>
      </c>
      <c r="B5056">
        <f>IFERROR(__xludf.DUMMYFUNCTION("""COMPUTED_VALUE"""),1057258.0)</f>
        <v>1057258</v>
      </c>
      <c r="C5056" t="str">
        <f>IFERROR(__xludf.DUMMYFUNCTION("""COMPUTED_VALUE"""),"Wix : créez votre site web de A à Z sans coder !")</f>
        <v>Wix : créez votre site web de A à Z sans coder !</v>
      </c>
    </row>
    <row r="5057">
      <c r="A5057" s="140" t="str">
        <f>IFERROR(__xludf.DUMMYFUNCTION("""COMPUTED_VALUE"""),"en")</f>
        <v>en</v>
      </c>
      <c r="B5057">
        <f>IFERROR(__xludf.DUMMYFUNCTION("""COMPUTED_VALUE"""),1577518.0)</f>
        <v>1577518</v>
      </c>
      <c r="C5057" t="str">
        <f>IFERROR(__xludf.DUMMYFUNCTION("""COMPUTED_VALUE"""),"Learn ETL Testing With Informatica PowerCenter Today")</f>
        <v>Learn ETL Testing With Informatica PowerCenter Today</v>
      </c>
    </row>
    <row r="5058">
      <c r="A5058" s="140" t="str">
        <f>IFERROR(__xludf.DUMMYFUNCTION("""COMPUTED_VALUE"""),"en")</f>
        <v>en</v>
      </c>
      <c r="B5058">
        <f>IFERROR(__xludf.DUMMYFUNCTION("""COMPUTED_VALUE"""),3193798.0)</f>
        <v>3193798</v>
      </c>
      <c r="C5058" t="str">
        <f>IFERROR(__xludf.DUMMYFUNCTION("""COMPUTED_VALUE"""),"HashiCorp Certified: Terraform Associate Prep Course 2021")</f>
        <v>HashiCorp Certified: Terraform Associate Prep Course 2021</v>
      </c>
    </row>
    <row r="5059">
      <c r="A5059" s="140" t="str">
        <f>IFERROR(__xludf.DUMMYFUNCTION("""COMPUTED_VALUE"""),"en")</f>
        <v>en</v>
      </c>
      <c r="B5059">
        <f>IFERROR(__xludf.DUMMYFUNCTION("""COMPUTED_VALUE"""),2870638.0)</f>
        <v>2870638</v>
      </c>
      <c r="C5059" t="str">
        <f>IFERROR(__xludf.DUMMYFUNCTION("""COMPUTED_VALUE"""),"Google Data Engineer Certification Practice Exams")</f>
        <v>Google Data Engineer Certification Practice Exams</v>
      </c>
    </row>
    <row r="5060">
      <c r="A5060" s="140" t="str">
        <f>IFERROR(__xludf.DUMMYFUNCTION("""COMPUTED_VALUE"""),"pt")</f>
        <v>pt</v>
      </c>
      <c r="B5060">
        <f>IFERROR(__xludf.DUMMYFUNCTION("""COMPUTED_VALUE"""),2336106.0)</f>
        <v>2336106</v>
      </c>
      <c r="C5060" t="str">
        <f>IFERROR(__xludf.DUMMYFUNCTION("""COMPUTED_VALUE"""),"Instagram Marketing e Facebook Ads - O curso mais COMPLETO")</f>
        <v>Instagram Marketing e Facebook Ads - O curso mais COMPLETO</v>
      </c>
    </row>
    <row r="5061">
      <c r="A5061" s="140" t="str">
        <f>IFERROR(__xludf.DUMMYFUNCTION("""COMPUTED_VALUE"""),"es")</f>
        <v>es</v>
      </c>
      <c r="B5061">
        <f>IFERROR(__xludf.DUMMYFUNCTION("""COMPUTED_VALUE"""),1663348.0)</f>
        <v>1663348</v>
      </c>
      <c r="C5061" t="str">
        <f>IFERROR(__xludf.DUMMYFUNCTION("""COMPUTED_VALUE"""),"Analítica Web con Google Analytics")</f>
        <v>Analítica Web con Google Analytics</v>
      </c>
    </row>
    <row r="5062">
      <c r="A5062" s="140" t="str">
        <f>IFERROR(__xludf.DUMMYFUNCTION("""COMPUTED_VALUE"""),"es")</f>
        <v>es</v>
      </c>
      <c r="B5062">
        <f>IFERROR(__xludf.DUMMYFUNCTION("""COMPUTED_VALUE"""),2066697.0)</f>
        <v>2066697</v>
      </c>
      <c r="C5062" t="str">
        <f>IFERROR(__xludf.DUMMYFUNCTION("""COMPUTED_VALUE"""),"Curso completo de Estadística descriptiva - RStudio y Python")</f>
        <v>Curso completo de Estadística descriptiva - RStudio y Python</v>
      </c>
    </row>
    <row r="5063">
      <c r="A5063" s="140" t="str">
        <f>IFERROR(__xludf.DUMMYFUNCTION("""COMPUTED_VALUE"""),"en")</f>
        <v>en</v>
      </c>
      <c r="B5063">
        <f>IFERROR(__xludf.DUMMYFUNCTION("""COMPUTED_VALUE"""),2653684.0)</f>
        <v>2653684</v>
      </c>
      <c r="C5063" t="str">
        <f>IFERROR(__xludf.DUMMYFUNCTION("""COMPUTED_VALUE"""),"Design Patterns in Go")</f>
        <v>Design Patterns in Go</v>
      </c>
    </row>
    <row r="5064">
      <c r="A5064" s="140" t="str">
        <f>IFERROR(__xludf.DUMMYFUNCTION("""COMPUTED_VALUE"""),"en")</f>
        <v>en</v>
      </c>
      <c r="B5064">
        <f>IFERROR(__xludf.DUMMYFUNCTION("""COMPUTED_VALUE"""),2158174.0)</f>
        <v>2158174</v>
      </c>
      <c r="C5064" t="str">
        <f>IFERROR(__xludf.DUMMYFUNCTION("""COMPUTED_VALUE"""),"Master ASP.NET Core 3.1 Razor Pages")</f>
        <v>Master ASP.NET Core 3.1 Razor Pages</v>
      </c>
    </row>
    <row r="5065">
      <c r="A5065" s="140" t="str">
        <f>IFERROR(__xludf.DUMMYFUNCTION("""COMPUTED_VALUE"""),"es")</f>
        <v>es</v>
      </c>
      <c r="B5065">
        <f>IFERROR(__xludf.DUMMYFUNCTION("""COMPUTED_VALUE"""),2799754.0)</f>
        <v>2799754</v>
      </c>
      <c r="C5065" t="str">
        <f>IFERROR(__xludf.DUMMYFUNCTION("""COMPUTED_VALUE"""),"Electron JS y React JS: Creando un Spotify")</f>
        <v>Electron JS y React JS: Creando un Spotify</v>
      </c>
    </row>
    <row r="5066">
      <c r="A5066" s="140" t="str">
        <f>IFERROR(__xludf.DUMMYFUNCTION("""COMPUTED_VALUE"""),"en")</f>
        <v>en</v>
      </c>
      <c r="B5066">
        <f>IFERROR(__xludf.DUMMYFUNCTION("""COMPUTED_VALUE"""),4275028.0)</f>
        <v>4275028</v>
      </c>
      <c r="C5066" t="str">
        <f>IFERROR(__xludf.DUMMYFUNCTION("""COMPUTED_VALUE"""),"Introduction to Agile : Scrum and Kanban")</f>
        <v>Introduction to Agile : Scrum and Kanban</v>
      </c>
    </row>
    <row r="5067">
      <c r="A5067" s="140" t="str">
        <f>IFERROR(__xludf.DUMMYFUNCTION("""COMPUTED_VALUE"""),"pt")</f>
        <v>pt</v>
      </c>
      <c r="B5067">
        <f>IFERROR(__xludf.DUMMYFUNCTION("""COMPUTED_VALUE"""),1927236.0)</f>
        <v>1927236</v>
      </c>
      <c r="C5067" t="str">
        <f>IFERROR(__xludf.DUMMYFUNCTION("""COMPUTED_VALUE"""),"Desenvolvimento avançado de aplicações corporativas c Django")</f>
        <v>Desenvolvimento avançado de aplicações corporativas c Django</v>
      </c>
    </row>
    <row r="5068">
      <c r="A5068" s="140" t="str">
        <f>IFERROR(__xludf.DUMMYFUNCTION("""COMPUTED_VALUE"""),"en")</f>
        <v>en</v>
      </c>
      <c r="B5068">
        <f>IFERROR(__xludf.DUMMYFUNCTION("""COMPUTED_VALUE"""),1309202.0)</f>
        <v>1309202</v>
      </c>
      <c r="C5068" t="str">
        <f>IFERROR(__xludf.DUMMYFUNCTION("""COMPUTED_VALUE"""),"Go: The Complete Developer's Guide (Golang)")</f>
        <v>Go: The Complete Developer's Guide (Golang)</v>
      </c>
    </row>
    <row r="5069">
      <c r="A5069" s="140" t="str">
        <f>IFERROR(__xludf.DUMMYFUNCTION("""COMPUTED_VALUE"""),"en")</f>
        <v>en</v>
      </c>
      <c r="B5069">
        <f>IFERROR(__xludf.DUMMYFUNCTION("""COMPUTED_VALUE"""),498706.0)</f>
        <v>498706</v>
      </c>
      <c r="C5069" t="str">
        <f>IFERROR(__xludf.DUMMYFUNCTION("""COMPUTED_VALUE"""),"Efficient Java Multithreading and Concurrency with Executors")</f>
        <v>Efficient Java Multithreading and Concurrency with Executors</v>
      </c>
    </row>
    <row r="5070">
      <c r="A5070" s="140" t="str">
        <f>IFERROR(__xludf.DUMMYFUNCTION("""COMPUTED_VALUE"""),"en")</f>
        <v>en</v>
      </c>
      <c r="B5070">
        <f>IFERROR(__xludf.DUMMYFUNCTION("""COMPUTED_VALUE"""),2474716.0)</f>
        <v>2474716</v>
      </c>
      <c r="C5070" t="str">
        <f>IFERROR(__xludf.DUMMYFUNCTION("""COMPUTED_VALUE"""),"Credit Risk Modeling in Python 2021")</f>
        <v>Credit Risk Modeling in Python 2021</v>
      </c>
    </row>
    <row r="5071">
      <c r="A5071" s="140" t="str">
        <f>IFERROR(__xludf.DUMMYFUNCTION("""COMPUTED_VALUE"""),"de")</f>
        <v>de</v>
      </c>
      <c r="B5071">
        <f>IFERROR(__xludf.DUMMYFUNCTION("""COMPUTED_VALUE"""),2975316.0)</f>
        <v>2975316</v>
      </c>
      <c r="C5071" t="str">
        <f>IFERROR(__xludf.DUMMYFUNCTION("""COMPUTED_VALUE"""),"Quantum Computing und Programmierung mit Q#: Eine Einführung")</f>
        <v>Quantum Computing und Programmierung mit Q#: Eine Einführung</v>
      </c>
    </row>
    <row r="5072">
      <c r="A5072" s="140" t="str">
        <f>IFERROR(__xludf.DUMMYFUNCTION("""COMPUTED_VALUE"""),"en")</f>
        <v>en</v>
      </c>
      <c r="B5072">
        <f>IFERROR(__xludf.DUMMYFUNCTION("""COMPUTED_VALUE"""),2448144.0)</f>
        <v>2448144</v>
      </c>
      <c r="C5072" t="str">
        <f>IFERROR(__xludf.DUMMYFUNCTION("""COMPUTED_VALUE"""),"Train YOLO for Object Detection with Custom Data")</f>
        <v>Train YOLO for Object Detection with Custom Data</v>
      </c>
    </row>
    <row r="5073">
      <c r="A5073" s="140" t="str">
        <f>IFERROR(__xludf.DUMMYFUNCTION("""COMPUTED_VALUE"""),"en")</f>
        <v>en</v>
      </c>
      <c r="B5073">
        <f>IFERROR(__xludf.DUMMYFUNCTION("""COMPUTED_VALUE"""),2013892.0)</f>
        <v>2013892</v>
      </c>
      <c r="C5073" t="str">
        <f>IFERROR(__xludf.DUMMYFUNCTION("""COMPUTED_VALUE"""),"Agile Fundamentals: Including Scrum and Kanban - 2021")</f>
        <v>Agile Fundamentals: Including Scrum and Kanban - 2021</v>
      </c>
    </row>
    <row r="5074">
      <c r="A5074" s="140" t="str">
        <f>IFERROR(__xludf.DUMMYFUNCTION("""COMPUTED_VALUE"""),"pt")</f>
        <v>pt</v>
      </c>
      <c r="B5074">
        <f>IFERROR(__xludf.DUMMYFUNCTION("""COMPUTED_VALUE"""),1980224.0)</f>
        <v>1980224</v>
      </c>
      <c r="C5074" t="str">
        <f>IFERROR(__xludf.DUMMYFUNCTION("""COMPUTED_VALUE"""),"Finanças Pessoais - Aprenda a Organizar sua Vida Financeira")</f>
        <v>Finanças Pessoais - Aprenda a Organizar sua Vida Financeira</v>
      </c>
    </row>
    <row r="5075">
      <c r="A5075" s="140" t="str">
        <f>IFERROR(__xludf.DUMMYFUNCTION("""COMPUTED_VALUE"""),"en")</f>
        <v>en</v>
      </c>
      <c r="B5075">
        <f>IFERROR(__xludf.DUMMYFUNCTION("""COMPUTED_VALUE"""),1162868.0)</f>
        <v>1162868</v>
      </c>
      <c r="C5075" t="str">
        <f>IFERROR(__xludf.DUMMYFUNCTION("""COMPUTED_VALUE"""),"Build Insightful Dashboards with Google Data Studio")</f>
        <v>Build Insightful Dashboards with Google Data Studio</v>
      </c>
    </row>
    <row r="5076">
      <c r="A5076" s="140" t="str">
        <f>IFERROR(__xludf.DUMMYFUNCTION("""COMPUTED_VALUE"""),"en")</f>
        <v>en</v>
      </c>
      <c r="B5076">
        <f>IFERROR(__xludf.DUMMYFUNCTION("""COMPUTED_VALUE"""),1122362.0)</f>
        <v>1122362</v>
      </c>
      <c r="C5076" t="str">
        <f>IFERROR(__xludf.DUMMYFUNCTION("""COMPUTED_VALUE"""),"Visually Effective Excel Dashboards")</f>
        <v>Visually Effective Excel Dashboards</v>
      </c>
    </row>
    <row r="5077">
      <c r="A5077" s="140" t="str">
        <f>IFERROR(__xludf.DUMMYFUNCTION("""COMPUTED_VALUE"""),"de")</f>
        <v>de</v>
      </c>
      <c r="B5077">
        <f>IFERROR(__xludf.DUMMYFUNCTION("""COMPUTED_VALUE"""),3254466.0)</f>
        <v>3254466</v>
      </c>
      <c r="C5077" t="str">
        <f>IFERROR(__xludf.DUMMYFUNCTION("""COMPUTED_VALUE"""),"Linux als modernes alternatives Betriebssystem")</f>
        <v>Linux als modernes alternatives Betriebssystem</v>
      </c>
    </row>
    <row r="5078">
      <c r="A5078" s="140" t="str">
        <f>IFERROR(__xludf.DUMMYFUNCTION("""COMPUTED_VALUE"""),"fr")</f>
        <v>fr</v>
      </c>
      <c r="B5078">
        <f>IFERROR(__xludf.DUMMYFUNCTION("""COMPUTED_VALUE"""),1692572.0)</f>
        <v>1692572</v>
      </c>
      <c r="C5078" t="str">
        <f>IFERROR(__xludf.DUMMYFUNCTION("""COMPUTED_VALUE"""),"Le scalping - Apprendre le trading court terme")</f>
        <v>Le scalping - Apprendre le trading court terme</v>
      </c>
    </row>
    <row r="5079">
      <c r="A5079" s="140" t="str">
        <f>IFERROR(__xludf.DUMMYFUNCTION("""COMPUTED_VALUE"""),"en")</f>
        <v>en</v>
      </c>
      <c r="B5079">
        <f>IFERROR(__xludf.DUMMYFUNCTION("""COMPUTED_VALUE"""),4266738.0)</f>
        <v>4266738</v>
      </c>
      <c r="C5079" t="str">
        <f>IFERROR(__xludf.DUMMYFUNCTION("""COMPUTED_VALUE"""),"Disrupt Unconscious Bias and Improve Your Workplace Culture")</f>
        <v>Disrupt Unconscious Bias and Improve Your Workplace Culture</v>
      </c>
    </row>
    <row r="5080">
      <c r="A5080" s="140" t="str">
        <f>IFERROR(__xludf.DUMMYFUNCTION("""COMPUTED_VALUE"""),"es")</f>
        <v>es</v>
      </c>
      <c r="B5080">
        <f>IFERROR(__xludf.DUMMYFUNCTION("""COMPUTED_VALUE"""),2498290.0)</f>
        <v>2498290</v>
      </c>
      <c r="C5080" t="str">
        <f>IFERROR(__xludf.DUMMYFUNCTION("""COMPUTED_VALUE"""),"Certificación LPIC-1: Administrador de Linux. EXAMEN 101")</f>
        <v>Certificación LPIC-1: Administrador de Linux. EXAMEN 101</v>
      </c>
    </row>
    <row r="5081">
      <c r="A5081" s="140" t="str">
        <f>IFERROR(__xludf.DUMMYFUNCTION("""COMPUTED_VALUE"""),"en")</f>
        <v>en</v>
      </c>
      <c r="B5081">
        <f>IFERROR(__xludf.DUMMYFUNCTION("""COMPUTED_VALUE"""),482795.0)</f>
        <v>482795</v>
      </c>
      <c r="C5081" t="str">
        <f>IFERROR(__xludf.DUMMYFUNCTION("""COMPUTED_VALUE"""),"Start &amp; Operate Your Own Successful Office Cleaning Business")</f>
        <v>Start &amp; Operate Your Own Successful Office Cleaning Business</v>
      </c>
    </row>
    <row r="5082">
      <c r="A5082" s="140" t="str">
        <f>IFERROR(__xludf.DUMMYFUNCTION("""COMPUTED_VALUE"""),"en")</f>
        <v>en</v>
      </c>
      <c r="B5082">
        <f>IFERROR(__xludf.DUMMYFUNCTION("""COMPUTED_VALUE"""),2005528.0)</f>
        <v>2005528</v>
      </c>
      <c r="C5082" t="str">
        <f>IFERROR(__xludf.DUMMYFUNCTION("""COMPUTED_VALUE"""),"3 Minute Portuguese - Course 3 | Lessons for beginners")</f>
        <v>3 Minute Portuguese - Course 3 | Lessons for beginners</v>
      </c>
    </row>
    <row r="5083">
      <c r="A5083" s="140" t="str">
        <f>IFERROR(__xludf.DUMMYFUNCTION("""COMPUTED_VALUE"""),"es")</f>
        <v>es</v>
      </c>
      <c r="B5083">
        <f>IFERROR(__xludf.DUMMYFUNCTION("""COMPUTED_VALUE"""),1864346.0)</f>
        <v>1864346</v>
      </c>
      <c r="C5083" t="str">
        <f>IFERROR(__xludf.DUMMYFUNCTION("""COMPUTED_VALUE"""),"Curso de Xamarin para Android y Firebase en C# Login y crud")</f>
        <v>Curso de Xamarin para Android y Firebase en C# Login y crud</v>
      </c>
    </row>
    <row r="5084">
      <c r="A5084" s="140" t="str">
        <f>IFERROR(__xludf.DUMMYFUNCTION("""COMPUTED_VALUE"""),"ja")</f>
        <v>ja</v>
      </c>
      <c r="B5084">
        <f>IFERROR(__xludf.DUMMYFUNCTION("""COMPUTED_VALUE"""),1767536.0)</f>
        <v>1767536</v>
      </c>
      <c r="C5084" t="str">
        <f>IFERROR(__xludf.DUMMYFUNCTION("""COMPUTED_VALUE"""),"初心者向け：ブロックチェーンの基礎知識、暗号通貨の仕組み、スマートコントラクトについて、ビジネスへの応用可能性")</f>
        <v>初心者向け：ブロックチェーンの基礎知識、暗号通貨の仕組み、スマートコントラクトについて、ビジネスへの応用可能性</v>
      </c>
    </row>
    <row r="5085">
      <c r="A5085" s="140" t="str">
        <f>IFERROR(__xludf.DUMMYFUNCTION("""COMPUTED_VALUE"""),"pt")</f>
        <v>pt</v>
      </c>
      <c r="B5085">
        <f>IFERROR(__xludf.DUMMYFUNCTION("""COMPUTED_VALUE"""),898696.0)</f>
        <v>898696</v>
      </c>
      <c r="C5085" t="str">
        <f>IFERROR(__xludf.DUMMYFUNCTION("""COMPUTED_VALUE"""),"Administração de Servidores Linux com CentOS 7")</f>
        <v>Administração de Servidores Linux com CentOS 7</v>
      </c>
    </row>
    <row r="5086">
      <c r="A5086" s="140" t="str">
        <f>IFERROR(__xludf.DUMMYFUNCTION("""COMPUTED_VALUE"""),"ja")</f>
        <v>ja</v>
      </c>
      <c r="B5086">
        <f>IFERROR(__xludf.DUMMYFUNCTION("""COMPUTED_VALUE"""),3388878.0)</f>
        <v>3388878</v>
      </c>
      <c r="C5086" t="str">
        <f>IFERROR(__xludf.DUMMYFUNCTION("""COMPUTED_VALUE"""),"9万回視聴！TOEIC940点者によるTOEIC攻略集中ゼミ")</f>
        <v>9万回視聴！TOEIC940点者によるTOEIC攻略集中ゼミ</v>
      </c>
    </row>
    <row r="5087">
      <c r="A5087" s="140" t="str">
        <f>IFERROR(__xludf.DUMMYFUNCTION("""COMPUTED_VALUE"""),"ja")</f>
        <v>ja</v>
      </c>
      <c r="B5087">
        <f>IFERROR(__xludf.DUMMYFUNCTION("""COMPUTED_VALUE"""),3624588.0)</f>
        <v>3624588</v>
      </c>
      <c r="C5087" t="str">
        <f>IFERROR(__xludf.DUMMYFUNCTION("""COMPUTED_VALUE"""),"BERTによる自然言語処理を学ぼう！ -Attention、TransformerからBERTへとつながるNLP技術-")</f>
        <v>BERTによる自然言語処理を学ぼう！ -Attention、TransformerからBERTへとつながるNLP技術-</v>
      </c>
    </row>
    <row r="5088">
      <c r="A5088" s="140" t="str">
        <f>IFERROR(__xludf.DUMMYFUNCTION("""COMPUTED_VALUE"""),"en")</f>
        <v>en</v>
      </c>
      <c r="B5088">
        <f>IFERROR(__xludf.DUMMYFUNCTION("""COMPUTED_VALUE"""),1321172.0)</f>
        <v>1321172</v>
      </c>
      <c r="C5088" t="str">
        <f>IFERROR(__xludf.DUMMYFUNCTION("""COMPUTED_VALUE"""),"Ansible for Network Engineers: Quick Start GNS3 &amp; Ansible")</f>
        <v>Ansible for Network Engineers: Quick Start GNS3 &amp; Ansible</v>
      </c>
    </row>
    <row r="5089">
      <c r="A5089" s="140" t="str">
        <f>IFERROR(__xludf.DUMMYFUNCTION("""COMPUTED_VALUE"""),"en")</f>
        <v>en</v>
      </c>
      <c r="B5089">
        <f>IFERROR(__xludf.DUMMYFUNCTION("""COMPUTED_VALUE"""),2550233.0)</f>
        <v>2550233</v>
      </c>
      <c r="C5089" t="str">
        <f>IFERROR(__xludf.DUMMYFUNCTION("""COMPUTED_VALUE"""),"How to Create Videos using Adobe Premiere Rush")</f>
        <v>How to Create Videos using Adobe Premiere Rush</v>
      </c>
    </row>
    <row r="5090">
      <c r="A5090" s="140" t="str">
        <f>IFERROR(__xludf.DUMMYFUNCTION("""COMPUTED_VALUE"""),"en")</f>
        <v>en</v>
      </c>
      <c r="B5090">
        <f>IFERROR(__xludf.DUMMYFUNCTION("""COMPUTED_VALUE"""),2440910.0)</f>
        <v>2440910</v>
      </c>
      <c r="C5090" t="str">
        <f>IFERROR(__xludf.DUMMYFUNCTION("""COMPUTED_VALUE"""),"Oracle Database Migration Methods :On-Prem to Oracle Cloud")</f>
        <v>Oracle Database Migration Methods :On-Prem to Oracle Cloud</v>
      </c>
    </row>
    <row r="5091">
      <c r="A5091" s="140" t="str">
        <f>IFERROR(__xludf.DUMMYFUNCTION("""COMPUTED_VALUE"""),"de")</f>
        <v>de</v>
      </c>
      <c r="B5091">
        <f>IFERROR(__xludf.DUMMYFUNCTION("""COMPUTED_VALUE"""),715992.0)</f>
        <v>715992</v>
      </c>
      <c r="C5091" t="str">
        <f>IFERROR(__xludf.DUMMYFUNCTION("""COMPUTED_VALUE"""),"AppleTV Apps entwickeln, der umfassende tvOS Kurs")</f>
        <v>AppleTV Apps entwickeln, der umfassende tvOS Kurs</v>
      </c>
    </row>
    <row r="5092">
      <c r="A5092" s="140" t="str">
        <f>IFERROR(__xludf.DUMMYFUNCTION("""COMPUTED_VALUE"""),"en")</f>
        <v>en</v>
      </c>
      <c r="B5092">
        <f>IFERROR(__xludf.DUMMYFUNCTION("""COMPUTED_VALUE"""),1951908.0)</f>
        <v>1951908</v>
      </c>
      <c r="C5092" t="str">
        <f>IFERROR(__xludf.DUMMYFUNCTION("""COMPUTED_VALUE"""),"Beginners guide to drawing cartoon characters in Procreate")</f>
        <v>Beginners guide to drawing cartoon characters in Procreate</v>
      </c>
    </row>
    <row r="5093">
      <c r="A5093" s="140" t="str">
        <f>IFERROR(__xludf.DUMMYFUNCTION("""COMPUTED_VALUE"""),"fr")</f>
        <v>fr</v>
      </c>
      <c r="B5093">
        <f>IFERROR(__xludf.DUMMYFUNCTION("""COMPUTED_VALUE"""),2164654.0)</f>
        <v>2164654</v>
      </c>
      <c r="C5093" t="str">
        <f>IFERROR(__xludf.DUMMYFUNCTION("""COMPUTED_VALUE"""),"Maîtrisez CSS GRID !")</f>
        <v>Maîtrisez CSS GRID !</v>
      </c>
    </row>
    <row r="5094">
      <c r="A5094" s="140" t="str">
        <f>IFERROR(__xludf.DUMMYFUNCTION("""COMPUTED_VALUE"""),"ja")</f>
        <v>ja</v>
      </c>
      <c r="B5094">
        <f>IFERROR(__xludf.DUMMYFUNCTION("""COMPUTED_VALUE"""),1598566.0)</f>
        <v>1598566</v>
      </c>
      <c r="C5094" t="str">
        <f>IFERROR(__xludf.DUMMYFUNCTION("""COMPUTED_VALUE"""),"【Java サーブレット( Servlet )決定版】ゼロから環境構築～設計モデルまで、動画で楽々学ぶ")</f>
        <v>【Java サーブレット( Servlet )決定版】ゼロから環境構築～設計モデルまで、動画で楽々学ぶ</v>
      </c>
    </row>
    <row r="5095">
      <c r="A5095" s="140" t="str">
        <f>IFERROR(__xludf.DUMMYFUNCTION("""COMPUTED_VALUE"""),"en")</f>
        <v>en</v>
      </c>
      <c r="B5095">
        <f>IFERROR(__xludf.DUMMYFUNCTION("""COMPUTED_VALUE"""),1864918.0)</f>
        <v>1864918</v>
      </c>
      <c r="C5095" t="str">
        <f>IFERROR(__xludf.DUMMYFUNCTION("""COMPUTED_VALUE"""),"Autonomous Cars: How Do They Work and Impact Us?")</f>
        <v>Autonomous Cars: How Do They Work and Impact Us?</v>
      </c>
    </row>
    <row r="5096">
      <c r="A5096" s="140" t="str">
        <f>IFERROR(__xludf.DUMMYFUNCTION("""COMPUTED_VALUE"""),"en")</f>
        <v>en</v>
      </c>
      <c r="B5096">
        <f>IFERROR(__xludf.DUMMYFUNCTION("""COMPUTED_VALUE"""),782914.0)</f>
        <v>782914</v>
      </c>
      <c r="C5096" t="str">
        <f>IFERROR(__xludf.DUMMYFUNCTION("""COMPUTED_VALUE"""),"The Complete Starter Guide to Climate Change")</f>
        <v>The Complete Starter Guide to Climate Change</v>
      </c>
    </row>
    <row r="5097">
      <c r="A5097" s="140" t="str">
        <f>IFERROR(__xludf.DUMMYFUNCTION("""COMPUTED_VALUE"""),"en")</f>
        <v>en</v>
      </c>
      <c r="B5097">
        <f>IFERROR(__xludf.DUMMYFUNCTION("""COMPUTED_VALUE"""),1201004.0)</f>
        <v>1201004</v>
      </c>
      <c r="C5097" t="str">
        <f>IFERROR(__xludf.DUMMYFUNCTION("""COMPUTED_VALUE"""),"3 Minute French - Course 3 | Language lessons for beginners")</f>
        <v>3 Minute French - Course 3 | Language lessons for beginners</v>
      </c>
    </row>
    <row r="5098">
      <c r="A5098" s="140" t="str">
        <f>IFERROR(__xludf.DUMMYFUNCTION("""COMPUTED_VALUE"""),"en")</f>
        <v>en</v>
      </c>
      <c r="B5098">
        <f>IFERROR(__xludf.DUMMYFUNCTION("""COMPUTED_VALUE"""),1978132.0)</f>
        <v>1978132</v>
      </c>
      <c r="C5098" t="str">
        <f>IFERROR(__xludf.DUMMYFUNCTION("""COMPUTED_VALUE"""),"The Project Management Course: Beginner to PROject Manager")</f>
        <v>The Project Management Course: Beginner to PROject Manager</v>
      </c>
    </row>
    <row r="5099">
      <c r="A5099" s="140" t="str">
        <f>IFERROR(__xludf.DUMMYFUNCTION("""COMPUTED_VALUE"""),"de")</f>
        <v>de</v>
      </c>
      <c r="B5099">
        <f>IFERROR(__xludf.DUMMYFUNCTION("""COMPUTED_VALUE"""),1528850.0)</f>
        <v>1528850</v>
      </c>
      <c r="C5099" t="str">
        <f>IFERROR(__xludf.DUMMYFUNCTION("""COMPUTED_VALUE"""),"Deep Learning verstehen: Entwickle Neuronale Netze in Python")</f>
        <v>Deep Learning verstehen: Entwickle Neuronale Netze in Python</v>
      </c>
    </row>
    <row r="5100">
      <c r="A5100" s="140" t="str">
        <f>IFERROR(__xludf.DUMMYFUNCTION("""COMPUTED_VALUE"""),"es")</f>
        <v>es</v>
      </c>
      <c r="B5100">
        <f>IFERROR(__xludf.DUMMYFUNCTION("""COMPUTED_VALUE"""),1714684.0)</f>
        <v>1714684</v>
      </c>
      <c r="C5100" t="str">
        <f>IFERROR(__xludf.DUMMYFUNCTION("""COMPUTED_VALUE"""),"10 Maneras de Crecer tu Instagram de forma Orgánica")</f>
        <v>10 Maneras de Crecer tu Instagram de forma Orgánica</v>
      </c>
    </row>
    <row r="5101">
      <c r="A5101" s="140" t="str">
        <f>IFERROR(__xludf.DUMMYFUNCTION("""COMPUTED_VALUE"""),"pt")</f>
        <v>pt</v>
      </c>
      <c r="B5101">
        <f>IFERROR(__xludf.DUMMYFUNCTION("""COMPUTED_VALUE"""),2698234.0)</f>
        <v>2698234</v>
      </c>
      <c r="C5101" t="str">
        <f>IFERROR(__xludf.DUMMYFUNCTION("""COMPUTED_VALUE"""),"Workshop Elasticsearch e a stack Elastic")</f>
        <v>Workshop Elasticsearch e a stack Elastic</v>
      </c>
    </row>
    <row r="5102">
      <c r="A5102" s="140" t="str">
        <f>IFERROR(__xludf.DUMMYFUNCTION("""COMPUTED_VALUE"""),"es")</f>
        <v>es</v>
      </c>
      <c r="B5102">
        <f>IFERROR(__xludf.DUMMYFUNCTION("""COMPUTED_VALUE"""),1725916.0)</f>
        <v>1725916</v>
      </c>
      <c r="C5102" t="str">
        <f>IFERROR(__xludf.DUMMYFUNCTION("""COMPUTED_VALUE"""),"Curso completo de Estadística a nivel universitario")</f>
        <v>Curso completo de Estadística a nivel universitario</v>
      </c>
    </row>
    <row r="5103">
      <c r="A5103" s="140" t="str">
        <f>IFERROR(__xludf.DUMMYFUNCTION("""COMPUTED_VALUE"""),"en")</f>
        <v>en</v>
      </c>
      <c r="B5103">
        <f>IFERROR(__xludf.DUMMYFUNCTION("""COMPUTED_VALUE"""),3653900.0)</f>
        <v>3653900</v>
      </c>
      <c r="C5103" t="str">
        <f>IFERROR(__xludf.DUMMYFUNCTION("""COMPUTED_VALUE"""),"Convolutional Neural Networks with TensorFlow in Python")</f>
        <v>Convolutional Neural Networks with TensorFlow in Python</v>
      </c>
    </row>
    <row r="5104">
      <c r="A5104" s="140" t="str">
        <f>IFERROR(__xludf.DUMMYFUNCTION("""COMPUTED_VALUE"""),"de")</f>
        <v>de</v>
      </c>
      <c r="B5104">
        <f>IFERROR(__xludf.DUMMYFUNCTION("""COMPUTED_VALUE"""),964080.0)</f>
        <v>964080</v>
      </c>
      <c r="C5104" t="str">
        <f>IFERROR(__xludf.DUMMYFUNCTION("""COMPUTED_VALUE"""),"MySQL - vom Anfänger zum Experten")</f>
        <v>MySQL - vom Anfänger zum Experten</v>
      </c>
    </row>
    <row r="5105">
      <c r="A5105" s="140" t="str">
        <f>IFERROR(__xludf.DUMMYFUNCTION("""COMPUTED_VALUE"""),"en")</f>
        <v>en</v>
      </c>
      <c r="B5105">
        <f>IFERROR(__xludf.DUMMYFUNCTION("""COMPUTED_VALUE"""),1489380.0)</f>
        <v>1489380</v>
      </c>
      <c r="C5105" t="str">
        <f>IFERROR(__xludf.DUMMYFUNCTION("""COMPUTED_VALUE"""),"ISO 50001. Energy management system")</f>
        <v>ISO 50001. Energy management system</v>
      </c>
    </row>
    <row r="5106">
      <c r="A5106" s="140" t="str">
        <f>IFERROR(__xludf.DUMMYFUNCTION("""COMPUTED_VALUE"""),"en")</f>
        <v>en</v>
      </c>
      <c r="B5106">
        <f>IFERROR(__xludf.DUMMYFUNCTION("""COMPUTED_VALUE"""),1768672.0)</f>
        <v>1768672</v>
      </c>
      <c r="C5106" t="str">
        <f>IFERROR(__xludf.DUMMYFUNCTION("""COMPUTED_VALUE"""),"Introduction to Windows PowerShell 5.1")</f>
        <v>Introduction to Windows PowerShell 5.1</v>
      </c>
    </row>
    <row r="5107">
      <c r="A5107" s="140" t="str">
        <f>IFERROR(__xludf.DUMMYFUNCTION("""COMPUTED_VALUE"""),"ja")</f>
        <v>ja</v>
      </c>
      <c r="B5107">
        <f>IFERROR(__xludf.DUMMYFUNCTION("""COMPUTED_VALUE"""),1004990.0)</f>
        <v>1004990</v>
      </c>
      <c r="C5107" t="str">
        <f>IFERROR(__xludf.DUMMYFUNCTION("""COMPUTED_VALUE"""),"[初心者]アニメで学ぶ、情報セキュリティとサイバー攻撃の恐怖")</f>
        <v>[初心者]アニメで学ぶ、情報セキュリティとサイバー攻撃の恐怖</v>
      </c>
    </row>
    <row r="5108">
      <c r="A5108" s="140" t="str">
        <f>IFERROR(__xludf.DUMMYFUNCTION("""COMPUTED_VALUE"""),"pt")</f>
        <v>pt</v>
      </c>
      <c r="B5108">
        <f>IFERROR(__xludf.DUMMYFUNCTION("""COMPUTED_VALUE"""),3250050.0)</f>
        <v>3250050</v>
      </c>
      <c r="C5108" t="str">
        <f>IFERROR(__xludf.DUMMYFUNCTION("""COMPUTED_VALUE"""),"Segurança da Informação: conceitos para atuar nessa área")</f>
        <v>Segurança da Informação: conceitos para atuar nessa área</v>
      </c>
    </row>
    <row r="5109">
      <c r="A5109" s="140" t="str">
        <f>IFERROR(__xludf.DUMMYFUNCTION("""COMPUTED_VALUE"""),"en")</f>
        <v>en</v>
      </c>
      <c r="B5109">
        <f>IFERROR(__xludf.DUMMYFUNCTION("""COMPUTED_VALUE"""),3420416.0)</f>
        <v>3420416</v>
      </c>
      <c r="C5109" t="str">
        <f>IFERROR(__xludf.DUMMYFUNCTION("""COMPUTED_VALUE"""),"Data Fusion with Linear Kalman Filter")</f>
        <v>Data Fusion with Linear Kalman Filter</v>
      </c>
    </row>
    <row r="5110">
      <c r="A5110" s="140" t="str">
        <f>IFERROR(__xludf.DUMMYFUNCTION("""COMPUTED_VALUE"""),"en")</f>
        <v>en</v>
      </c>
      <c r="B5110">
        <f>IFERROR(__xludf.DUMMYFUNCTION("""COMPUTED_VALUE"""),1487702.0)</f>
        <v>1487702</v>
      </c>
      <c r="C5110" t="str">
        <f>IFERROR(__xludf.DUMMYFUNCTION("""COMPUTED_VALUE"""),"Talend Data Integration course Basics ,Advanced &amp; ADMIN")</f>
        <v>Talend Data Integration course Basics ,Advanced &amp; ADMIN</v>
      </c>
    </row>
    <row r="5111">
      <c r="A5111" s="140" t="str">
        <f>IFERROR(__xludf.DUMMYFUNCTION("""COMPUTED_VALUE"""),"en")</f>
        <v>en</v>
      </c>
      <c r="B5111">
        <f>IFERROR(__xludf.DUMMYFUNCTION("""COMPUTED_VALUE"""),1202164.0)</f>
        <v>1202164</v>
      </c>
      <c r="C5111" t="str">
        <f>IFERROR(__xludf.DUMMYFUNCTION("""COMPUTED_VALUE"""),"MATLAB Master Class: Go from Beginner to Expert in MATLAB")</f>
        <v>MATLAB Master Class: Go from Beginner to Expert in MATLAB</v>
      </c>
    </row>
    <row r="5112">
      <c r="A5112" s="140" t="str">
        <f>IFERROR(__xludf.DUMMYFUNCTION("""COMPUTED_VALUE"""),"en")</f>
        <v>en</v>
      </c>
      <c r="B5112">
        <f>IFERROR(__xludf.DUMMYFUNCTION("""COMPUTED_VALUE"""),582744.0)</f>
        <v>582744</v>
      </c>
      <c r="C5112" t="str">
        <f>IFERROR(__xludf.DUMMYFUNCTION("""COMPUTED_VALUE"""),"Blogging For Business: 3x Traffic Without Ads")</f>
        <v>Blogging For Business: 3x Traffic Without Ads</v>
      </c>
    </row>
    <row r="5113">
      <c r="A5113" s="140" t="str">
        <f>IFERROR(__xludf.DUMMYFUNCTION("""COMPUTED_VALUE"""),"es")</f>
        <v>es</v>
      </c>
      <c r="B5113">
        <f>IFERROR(__xludf.DUMMYFUNCTION("""COMPUTED_VALUE"""),213072.0)</f>
        <v>213072</v>
      </c>
      <c r="C5113" t="str">
        <f>IFERROR(__xludf.DUMMYFUNCTION("""COMPUTED_VALUE"""),"Aprende las preposiciones en Inglés de una vez por todas")</f>
        <v>Aprende las preposiciones en Inglés de una vez por todas</v>
      </c>
    </row>
    <row r="5114">
      <c r="A5114" s="140" t="str">
        <f>IFERROR(__xludf.DUMMYFUNCTION("""COMPUTED_VALUE"""),"en")</f>
        <v>en</v>
      </c>
      <c r="B5114">
        <f>IFERROR(__xludf.DUMMYFUNCTION("""COMPUTED_VALUE"""),3370362.0)</f>
        <v>3370362</v>
      </c>
      <c r="C5114" t="str">
        <f>IFERROR(__xludf.DUMMYFUNCTION("""COMPUTED_VALUE"""),"[NEW] Exam MS-100 Microsoft 365 Identity and Services - 2021")</f>
        <v>[NEW] Exam MS-100 Microsoft 365 Identity and Services - 2021</v>
      </c>
    </row>
    <row r="5115">
      <c r="A5115" s="140" t="str">
        <f>IFERROR(__xludf.DUMMYFUNCTION("""COMPUTED_VALUE"""),"pt")</f>
        <v>pt</v>
      </c>
      <c r="B5115">
        <f>IFERROR(__xludf.DUMMYFUNCTION("""COMPUTED_VALUE"""),2471240.0)</f>
        <v>2471240</v>
      </c>
      <c r="C5115" t="str">
        <f>IFERROR(__xludf.DUMMYFUNCTION("""COMPUTED_VALUE"""),"Simulado Exame Amazon AWS Solutions Architect SAA C02 - 2021")</f>
        <v>Simulado Exame Amazon AWS Solutions Architect SAA C02 - 2021</v>
      </c>
    </row>
    <row r="5116">
      <c r="A5116" s="140" t="str">
        <f>IFERROR(__xludf.DUMMYFUNCTION("""COMPUTED_VALUE"""),"en")</f>
        <v>en</v>
      </c>
      <c r="B5116">
        <f>IFERROR(__xludf.DUMMYFUNCTION("""COMPUTED_VALUE"""),2623376.0)</f>
        <v>2623376</v>
      </c>
      <c r="C5116" t="str">
        <f>IFERROR(__xludf.DUMMYFUNCTION("""COMPUTED_VALUE"""),"CompTIA A+ (220-1002) Test Prep, Exams and Simulations")</f>
        <v>CompTIA A+ (220-1002) Test Prep, Exams and Simulations</v>
      </c>
    </row>
    <row r="5117">
      <c r="A5117" s="140" t="str">
        <f>IFERROR(__xludf.DUMMYFUNCTION("""COMPUTED_VALUE"""),"en")</f>
        <v>en</v>
      </c>
      <c r="B5117">
        <f>IFERROR(__xludf.DUMMYFUNCTION("""COMPUTED_VALUE"""),280806.0)</f>
        <v>280806</v>
      </c>
      <c r="C5117" t="str">
        <f>IFERROR(__xludf.DUMMYFUNCTION("""COMPUTED_VALUE"""),"Sales Coaching - All you need to be a great sales coach")</f>
        <v>Sales Coaching - All you need to be a great sales coach</v>
      </c>
    </row>
    <row r="5118">
      <c r="A5118" s="140" t="str">
        <f>IFERROR(__xludf.DUMMYFUNCTION("""COMPUTED_VALUE"""),"en")</f>
        <v>en</v>
      </c>
      <c r="B5118">
        <f>IFERROR(__xludf.DUMMYFUNCTION("""COMPUTED_VALUE"""),1550684.0)</f>
        <v>1550684</v>
      </c>
      <c r="C5118" t="str">
        <f>IFERROR(__xludf.DUMMYFUNCTION("""COMPUTED_VALUE"""),"Tableau Certified in 1 hour (Practice Exam Included)")</f>
        <v>Tableau Certified in 1 hour (Practice Exam Included)</v>
      </c>
    </row>
    <row r="5119">
      <c r="A5119" s="140" t="str">
        <f>IFERROR(__xludf.DUMMYFUNCTION("""COMPUTED_VALUE"""),"en")</f>
        <v>en</v>
      </c>
      <c r="B5119">
        <f>IFERROR(__xludf.DUMMYFUNCTION("""COMPUTED_VALUE"""),1306030.0)</f>
        <v>1306030</v>
      </c>
      <c r="C5119" t="str">
        <f>IFERROR(__xludf.DUMMYFUNCTION("""COMPUTED_VALUE"""),"Advanced Particle VFX in Unity and After Effects")</f>
        <v>Advanced Particle VFX in Unity and After Effects</v>
      </c>
    </row>
    <row r="5120">
      <c r="A5120" s="140" t="str">
        <f>IFERROR(__xludf.DUMMYFUNCTION("""COMPUTED_VALUE"""),"pt")</f>
        <v>pt</v>
      </c>
      <c r="B5120">
        <f>IFERROR(__xludf.DUMMYFUNCTION("""COMPUTED_VALUE"""),2075684.0)</f>
        <v>2075684</v>
      </c>
      <c r="C5120" t="str">
        <f>IFERROR(__xludf.DUMMYFUNCTION("""COMPUTED_VALUE"""),"Adobe Photoshop CC 2019 - Fusões Avançadas + 8 projetos")</f>
        <v>Adobe Photoshop CC 2019 - Fusões Avançadas + 8 projetos</v>
      </c>
    </row>
    <row r="5121">
      <c r="A5121" s="140" t="str">
        <f>IFERROR(__xludf.DUMMYFUNCTION("""COMPUTED_VALUE"""),"fr")</f>
        <v>fr</v>
      </c>
      <c r="B5121">
        <f>IFERROR(__xludf.DUMMYFUNCTION("""COMPUTED_VALUE"""),862390.0)</f>
        <v>862390</v>
      </c>
      <c r="C5121" t="str">
        <f>IFERROR(__xludf.DUMMYFUNCTION("""COMPUTED_VALUE"""),"PHP et MySQL - Le Cours Complet")</f>
        <v>PHP et MySQL - Le Cours Complet</v>
      </c>
    </row>
    <row r="5122">
      <c r="A5122" s="140" t="str">
        <f>IFERROR(__xludf.DUMMYFUNCTION("""COMPUTED_VALUE"""),"es")</f>
        <v>es</v>
      </c>
      <c r="B5122">
        <f>IFERROR(__xludf.DUMMYFUNCTION("""COMPUTED_VALUE"""),2594210.0)</f>
        <v>2594210</v>
      </c>
      <c r="C5122" t="str">
        <f>IFERROR(__xludf.DUMMYFUNCTION("""COMPUTED_VALUE"""),"[2021] Scrum Product Owner: Simulador de Examen")</f>
        <v>[2021] Scrum Product Owner: Simulador de Examen</v>
      </c>
    </row>
    <row r="5123">
      <c r="A5123" s="140" t="str">
        <f>IFERROR(__xludf.DUMMYFUNCTION("""COMPUTED_VALUE"""),"ko")</f>
        <v>ko</v>
      </c>
      <c r="B5123">
        <f>IFERROR(__xludf.DUMMYFUNCTION("""COMPUTED_VALUE"""),4204962.0)</f>
        <v>4204962</v>
      </c>
      <c r="C5123" t="str">
        <f>IFERROR(__xludf.DUMMYFUNCTION("""COMPUTED_VALUE"""),"Python 데이터분석 패키지, Numpy와 Pandas 마스터하기")</f>
        <v>Python 데이터분석 패키지, Numpy와 Pandas 마스터하기</v>
      </c>
    </row>
    <row r="5124">
      <c r="A5124" s="140" t="str">
        <f>IFERROR(__xludf.DUMMYFUNCTION("""COMPUTED_VALUE"""),"ja")</f>
        <v>ja</v>
      </c>
      <c r="B5124">
        <f>IFERROR(__xludf.DUMMYFUNCTION("""COMPUTED_VALUE"""),2845708.0)</f>
        <v>2845708</v>
      </c>
      <c r="C5124" t="str">
        <f>IFERROR(__xludf.DUMMYFUNCTION("""COMPUTED_VALUE"""),"このリーダーについていきたいと思われる！「リーダーシップセオリー」入門講座")</f>
        <v>このリーダーについていきたいと思われる！「リーダーシップセオリー」入門講座</v>
      </c>
    </row>
    <row r="5125">
      <c r="A5125" s="140" t="str">
        <f>IFERROR(__xludf.DUMMYFUNCTION("""COMPUTED_VALUE"""),"en")</f>
        <v>en</v>
      </c>
      <c r="B5125">
        <f>IFERROR(__xludf.DUMMYFUNCTION("""COMPUTED_VALUE"""),1536340.0)</f>
        <v>1536340</v>
      </c>
      <c r="C5125" t="str">
        <f>IFERROR(__xludf.DUMMYFUNCTION("""COMPUTED_VALUE"""),"Complete Web Automation with Excel VBA")</f>
        <v>Complete Web Automation with Excel VBA</v>
      </c>
    </row>
    <row r="5126">
      <c r="A5126" s="140" t="str">
        <f>IFERROR(__xludf.DUMMYFUNCTION("""COMPUTED_VALUE"""),"ja")</f>
        <v>ja</v>
      </c>
      <c r="B5126">
        <f>IFERROR(__xludf.DUMMYFUNCTION("""COMPUTED_VALUE"""),1693560.0)</f>
        <v>1693560</v>
      </c>
      <c r="C5126" t="str">
        <f>IFERROR(__xludf.DUMMYFUNCTION("""COMPUTED_VALUE"""),"アナログ回路設計への第一歩")</f>
        <v>アナログ回路設計への第一歩</v>
      </c>
    </row>
    <row r="5127">
      <c r="A5127" s="140" t="str">
        <f>IFERROR(__xludf.DUMMYFUNCTION("""COMPUTED_VALUE"""),"de")</f>
        <v>de</v>
      </c>
      <c r="B5127">
        <f>IFERROR(__xludf.DUMMYFUNCTION("""COMPUTED_VALUE"""),1395194.0)</f>
        <v>1395194</v>
      </c>
      <c r="C5127" t="str">
        <f>IFERROR(__xludf.DUMMYFUNCTION("""COMPUTED_VALUE"""),"Rhetorik für Fortgeschrittene: Professionelle Kommunikation")</f>
        <v>Rhetorik für Fortgeschrittene: Professionelle Kommunikation</v>
      </c>
    </row>
    <row r="5128">
      <c r="A5128" s="140" t="str">
        <f>IFERROR(__xludf.DUMMYFUNCTION("""COMPUTED_VALUE"""),"en")</f>
        <v>en</v>
      </c>
      <c r="B5128">
        <f>IFERROR(__xludf.DUMMYFUNCTION("""COMPUTED_VALUE"""),2394666.0)</f>
        <v>2394666</v>
      </c>
      <c r="C5128" t="str">
        <f>IFERROR(__xludf.DUMMYFUNCTION("""COMPUTED_VALUE"""),"Getting Started .NET Core Microservices RabbitMQ")</f>
        <v>Getting Started .NET Core Microservices RabbitMQ</v>
      </c>
    </row>
    <row r="5129">
      <c r="A5129" s="140" t="str">
        <f>IFERROR(__xludf.DUMMYFUNCTION("""COMPUTED_VALUE"""),"en")</f>
        <v>en</v>
      </c>
      <c r="B5129">
        <f>IFERROR(__xludf.DUMMYFUNCTION("""COMPUTED_VALUE"""),3323866.0)</f>
        <v>3323866</v>
      </c>
      <c r="C5129" t="str">
        <f>IFERROR(__xludf.DUMMYFUNCTION("""COMPUTED_VALUE"""),"Getting started with VMware vRealize Automation 8.1")</f>
        <v>Getting started with VMware vRealize Automation 8.1</v>
      </c>
    </row>
    <row r="5130">
      <c r="A5130" s="140" t="str">
        <f>IFERROR(__xludf.DUMMYFUNCTION("""COMPUTED_VALUE"""),"en")</f>
        <v>en</v>
      </c>
      <c r="B5130">
        <f>IFERROR(__xludf.DUMMYFUNCTION("""COMPUTED_VALUE"""),2145106.0)</f>
        <v>2145106</v>
      </c>
      <c r="C5130" t="str">
        <f>IFERROR(__xludf.DUMMYFUNCTION("""COMPUTED_VALUE"""),"How To Write A White Paper In One Day")</f>
        <v>How To Write A White Paper In One Day</v>
      </c>
    </row>
    <row r="5131">
      <c r="A5131" s="140" t="str">
        <f>IFERROR(__xludf.DUMMYFUNCTION("""COMPUTED_VALUE"""),"en")</f>
        <v>en</v>
      </c>
      <c r="B5131">
        <f>IFERROR(__xludf.DUMMYFUNCTION("""COMPUTED_VALUE"""),3975826.0)</f>
        <v>3975826</v>
      </c>
      <c r="C5131" t="str">
        <f>IFERROR(__xludf.DUMMYFUNCTION("""COMPUTED_VALUE"""),"Optical Fiber Access Networks Using PON/FTTH")</f>
        <v>Optical Fiber Access Networks Using PON/FTTH</v>
      </c>
    </row>
    <row r="5132">
      <c r="A5132" s="140" t="str">
        <f>IFERROR(__xludf.DUMMYFUNCTION("""COMPUTED_VALUE"""),"en")</f>
        <v>en</v>
      </c>
      <c r="B5132">
        <f>IFERROR(__xludf.DUMMYFUNCTION("""COMPUTED_VALUE"""),3161582.0)</f>
        <v>3161582</v>
      </c>
      <c r="C5132" t="str">
        <f>IFERROR(__xludf.DUMMYFUNCTION("""COMPUTED_VALUE"""),"TikTok Marketing 2021: Grow Your Account &amp; Master TikTok Ads")</f>
        <v>TikTok Marketing 2021: Grow Your Account &amp; Master TikTok Ads</v>
      </c>
    </row>
    <row r="5133">
      <c r="A5133" s="140" t="str">
        <f>IFERROR(__xludf.DUMMYFUNCTION("""COMPUTED_VALUE"""),"en")</f>
        <v>en</v>
      </c>
      <c r="B5133">
        <f>IFERROR(__xludf.DUMMYFUNCTION("""COMPUTED_VALUE"""),1400948.0)</f>
        <v>1400948</v>
      </c>
      <c r="C5133" t="str">
        <f>IFERROR(__xludf.DUMMYFUNCTION("""COMPUTED_VALUE"""),"Roadmap to Leadership")</f>
        <v>Roadmap to Leadership</v>
      </c>
    </row>
    <row r="5134">
      <c r="A5134" s="140" t="str">
        <f>IFERROR(__xludf.DUMMYFUNCTION("""COMPUTED_VALUE"""),"en")</f>
        <v>en</v>
      </c>
      <c r="B5134">
        <f>IFERROR(__xludf.DUMMYFUNCTION("""COMPUTED_VALUE"""),1669030.0)</f>
        <v>1669030</v>
      </c>
      <c r="C5134" t="str">
        <f>IFERROR(__xludf.DUMMYFUNCTION("""COMPUTED_VALUE"""),"Microsoft Azure Cloud Security with Check Point Firewall")</f>
        <v>Microsoft Azure Cloud Security with Check Point Firewall</v>
      </c>
    </row>
    <row r="5135">
      <c r="A5135" s="140" t="str">
        <f>IFERROR(__xludf.DUMMYFUNCTION("""COMPUTED_VALUE"""),"en")</f>
        <v>en</v>
      </c>
      <c r="B5135">
        <f>IFERROR(__xludf.DUMMYFUNCTION("""COMPUTED_VALUE"""),861106.0)</f>
        <v>861106</v>
      </c>
      <c r="C5135" t="str">
        <f>IFERROR(__xludf.DUMMYFUNCTION("""COMPUTED_VALUE"""),"Learning Sketchup for Beginners")</f>
        <v>Learning Sketchup for Beginners</v>
      </c>
    </row>
    <row r="5136">
      <c r="A5136" s="140" t="str">
        <f>IFERROR(__xludf.DUMMYFUNCTION("""COMPUTED_VALUE"""),"en")</f>
        <v>en</v>
      </c>
      <c r="B5136">
        <f>IFERROR(__xludf.DUMMYFUNCTION("""COMPUTED_VALUE"""),1881734.0)</f>
        <v>1881734</v>
      </c>
      <c r="C5136" t="str">
        <f>IFERROR(__xludf.DUMMYFUNCTION("""COMPUTED_VALUE"""),"EE1C01 - Electronics Engineering Bootcamp")</f>
        <v>EE1C01 - Electronics Engineering Bootcamp</v>
      </c>
    </row>
    <row r="5137">
      <c r="A5137" s="140" t="str">
        <f>IFERROR(__xludf.DUMMYFUNCTION("""COMPUTED_VALUE"""),"de")</f>
        <v>de</v>
      </c>
      <c r="B5137">
        <f>IFERROR(__xludf.DUMMYFUNCTION("""COMPUTED_VALUE"""),339316.0)</f>
        <v>339316</v>
      </c>
      <c r="C5137" t="str">
        <f>IFERROR(__xludf.DUMMYFUNCTION("""COMPUTED_VALUE"""),"Schlagfertigkeit - sicher und schlagfertig (re)agieren")</f>
        <v>Schlagfertigkeit - sicher und schlagfertig (re)agieren</v>
      </c>
    </row>
    <row r="5138">
      <c r="A5138" s="140" t="str">
        <f>IFERROR(__xludf.DUMMYFUNCTION("""COMPUTED_VALUE"""),"en")</f>
        <v>en</v>
      </c>
      <c r="B5138">
        <f>IFERROR(__xludf.DUMMYFUNCTION("""COMPUTED_VALUE"""),1119698.0)</f>
        <v>1119698</v>
      </c>
      <c r="C5138" t="str">
        <f>IFERROR(__xludf.DUMMYFUNCTION("""COMPUTED_VALUE"""),"Skyrocket Your Creativity and Get Better Ideas: 7 Easy Ways")</f>
        <v>Skyrocket Your Creativity and Get Better Ideas: 7 Easy Ways</v>
      </c>
    </row>
    <row r="5139">
      <c r="A5139" s="140" t="str">
        <f>IFERROR(__xludf.DUMMYFUNCTION("""COMPUTED_VALUE"""),"pt")</f>
        <v>pt</v>
      </c>
      <c r="B5139">
        <f>IFERROR(__xludf.DUMMYFUNCTION("""COMPUTED_VALUE"""),1522202.0)</f>
        <v>1522202</v>
      </c>
      <c r="C5139" t="str">
        <f>IFERROR(__xludf.DUMMYFUNCTION("""COMPUTED_VALUE"""),"Cálculo Integral - aprenda do zero ao avançado")</f>
        <v>Cálculo Integral - aprenda do zero ao avançado</v>
      </c>
    </row>
    <row r="5140">
      <c r="A5140" s="140" t="str">
        <f>IFERROR(__xludf.DUMMYFUNCTION("""COMPUTED_VALUE"""),"en")</f>
        <v>en</v>
      </c>
      <c r="B5140">
        <f>IFERROR(__xludf.DUMMYFUNCTION("""COMPUTED_VALUE"""),765242.0)</f>
        <v>765242</v>
      </c>
      <c r="C5140" t="str">
        <f>IFERROR(__xludf.DUMMYFUNCTION("""COMPUTED_VALUE"""),"R Programming A-Z™: R For Data Science With Real Exercises!")</f>
        <v>R Programming A-Z™: R For Data Science With Real Exercises!</v>
      </c>
    </row>
    <row r="5141">
      <c r="A5141" s="140" t="str">
        <f>IFERROR(__xludf.DUMMYFUNCTION("""COMPUTED_VALUE"""),"en")</f>
        <v>en</v>
      </c>
      <c r="B5141">
        <f>IFERROR(__xludf.DUMMYFUNCTION("""COMPUTED_VALUE"""),2840408.0)</f>
        <v>2840408</v>
      </c>
      <c r="C5141" t="str">
        <f>IFERROR(__xludf.DUMMYFUNCTION("""COMPUTED_VALUE"""),"Executive Briefing: Artificial Intelligence (AI)")</f>
        <v>Executive Briefing: Artificial Intelligence (AI)</v>
      </c>
    </row>
    <row r="5142">
      <c r="A5142" s="140" t="str">
        <f>IFERROR(__xludf.DUMMYFUNCTION("""COMPUTED_VALUE"""),"en")</f>
        <v>en</v>
      </c>
      <c r="B5142">
        <f>IFERROR(__xludf.DUMMYFUNCTION("""COMPUTED_VALUE"""),958496.0)</f>
        <v>958496</v>
      </c>
      <c r="C5142" t="str">
        <f>IFERROR(__xludf.DUMMYFUNCTION("""COMPUTED_VALUE"""),"Introduction to Fleet Management")</f>
        <v>Introduction to Fleet Management</v>
      </c>
    </row>
    <row r="5143">
      <c r="A5143" s="140" t="str">
        <f>IFERROR(__xludf.DUMMYFUNCTION("""COMPUTED_VALUE"""),"ja")</f>
        <v>ja</v>
      </c>
      <c r="B5143">
        <f>IFERROR(__xludf.DUMMYFUNCTION("""COMPUTED_VALUE"""),1952056.0)</f>
        <v>1952056</v>
      </c>
      <c r="C5143" t="str">
        <f>IFERROR(__xludf.DUMMYFUNCTION("""COMPUTED_VALUE"""),"【超入門】初心者からデータ入稿まで Adobe Illustrator でキャラクターを描いてオリジナルグッズを作ろう")</f>
        <v>【超入門】初心者からデータ入稿まで Adobe Illustrator でキャラクターを描いてオリジナルグッズを作ろう</v>
      </c>
    </row>
    <row r="5144">
      <c r="A5144" s="140" t="str">
        <f>IFERROR(__xludf.DUMMYFUNCTION("""COMPUTED_VALUE"""),"en")</f>
        <v>en</v>
      </c>
      <c r="B5144">
        <f>IFERROR(__xludf.DUMMYFUNCTION("""COMPUTED_VALUE"""),3411964.0)</f>
        <v>3411964</v>
      </c>
      <c r="C5144" t="str">
        <f>IFERROR(__xludf.DUMMYFUNCTION("""COMPUTED_VALUE"""),"Agile Project Management Certification Prep+Agile Scrum+Jira")</f>
        <v>Agile Project Management Certification Prep+Agile Scrum+Jira</v>
      </c>
    </row>
    <row r="5145">
      <c r="A5145" s="140" t="str">
        <f>IFERROR(__xludf.DUMMYFUNCTION("""COMPUTED_VALUE"""),"en")</f>
        <v>en</v>
      </c>
      <c r="B5145">
        <f>IFERROR(__xludf.DUMMYFUNCTION("""COMPUTED_VALUE"""),1139180.0)</f>
        <v>1139180</v>
      </c>
      <c r="C5145" t="str">
        <f>IFERROR(__xludf.DUMMYFUNCTION("""COMPUTED_VALUE"""),"Introduction to Algorithms and Data Structures in Swift 5")</f>
        <v>Introduction to Algorithms and Data Structures in Swift 5</v>
      </c>
    </row>
    <row r="5146">
      <c r="A5146" s="140" t="str">
        <f>IFERROR(__xludf.DUMMYFUNCTION("""COMPUTED_VALUE"""),"en")</f>
        <v>en</v>
      </c>
      <c r="B5146">
        <f>IFERROR(__xludf.DUMMYFUNCTION("""COMPUTED_VALUE"""),816662.0)</f>
        <v>816662</v>
      </c>
      <c r="C5146" t="str">
        <f>IFERROR(__xludf.DUMMYFUNCTION("""COMPUTED_VALUE"""),"Intro to Analyzing Rental Income Properties")</f>
        <v>Intro to Analyzing Rental Income Properties</v>
      </c>
    </row>
    <row r="5147">
      <c r="A5147" s="140" t="str">
        <f>IFERROR(__xludf.DUMMYFUNCTION("""COMPUTED_VALUE"""),"en")</f>
        <v>en</v>
      </c>
      <c r="B5147">
        <f>IFERROR(__xludf.DUMMYFUNCTION("""COMPUTED_VALUE"""),3165962.0)</f>
        <v>3165962</v>
      </c>
      <c r="C5147" t="str">
        <f>IFERROR(__xludf.DUMMYFUNCTION("""COMPUTED_VALUE"""),"Lead Generation &amp; Business Development: Lead Generation 2021")</f>
        <v>Lead Generation &amp; Business Development: Lead Generation 2021</v>
      </c>
    </row>
    <row r="5148">
      <c r="A5148" s="140" t="str">
        <f>IFERROR(__xludf.DUMMYFUNCTION("""COMPUTED_VALUE"""),"pt")</f>
        <v>pt</v>
      </c>
      <c r="B5148">
        <f>IFERROR(__xludf.DUMMYFUNCTION("""COMPUTED_VALUE"""),1745296.0)</f>
        <v>1745296</v>
      </c>
      <c r="C5148" t="str">
        <f>IFERROR(__xludf.DUMMYFUNCTION("""COMPUTED_VALUE"""),"Curso Completo de Bancos de Dados Relacionais 2021")</f>
        <v>Curso Completo de Bancos de Dados Relacionais 2021</v>
      </c>
    </row>
    <row r="5149">
      <c r="A5149" s="140" t="str">
        <f>IFERROR(__xludf.DUMMYFUNCTION("""COMPUTED_VALUE"""),"es")</f>
        <v>es</v>
      </c>
      <c r="B5149">
        <f>IFERROR(__xludf.DUMMYFUNCTION("""COMPUTED_VALUE"""),3580213.0)</f>
        <v>3580213</v>
      </c>
      <c r="C5149" t="str">
        <f>IFERROR(__xludf.DUMMYFUNCTION("""COMPUTED_VALUE"""),"Fundamentos de Finanzas Empresariales")</f>
        <v>Fundamentos de Finanzas Empresariales</v>
      </c>
    </row>
    <row r="5150">
      <c r="A5150" s="140" t="str">
        <f>IFERROR(__xludf.DUMMYFUNCTION("""COMPUTED_VALUE"""),"es")</f>
        <v>es</v>
      </c>
      <c r="B5150">
        <f>IFERROR(__xludf.DUMMYFUNCTION("""COMPUTED_VALUE"""),1539258.0)</f>
        <v>1539258</v>
      </c>
      <c r="C5150" t="str">
        <f>IFERROR(__xludf.DUMMYFUNCTION("""COMPUTED_VALUE"""),"Curso MySQL de cero hasta experto Ver 5.7 y 8 Linux Act 2021")</f>
        <v>Curso MySQL de cero hasta experto Ver 5.7 y 8 Linux Act 2021</v>
      </c>
    </row>
    <row r="5151">
      <c r="A5151" s="140" t="str">
        <f>IFERROR(__xludf.DUMMYFUNCTION("""COMPUTED_VALUE"""),"en")</f>
        <v>en</v>
      </c>
      <c r="B5151">
        <f>IFERROR(__xludf.DUMMYFUNCTION("""COMPUTED_VALUE"""),433280.0)</f>
        <v>433280</v>
      </c>
      <c r="C5151" t="str">
        <f>IFERROR(__xludf.DUMMYFUNCTION("""COMPUTED_VALUE"""),"Data Structures in Java - Part I (+INTERVIEW QUESTIONS)")</f>
        <v>Data Structures in Java - Part I (+INTERVIEW QUESTIONS)</v>
      </c>
    </row>
    <row r="5152">
      <c r="A5152" s="140" t="str">
        <f>IFERROR(__xludf.DUMMYFUNCTION("""COMPUTED_VALUE"""),"en")</f>
        <v>en</v>
      </c>
      <c r="B5152">
        <f>IFERROR(__xludf.DUMMYFUNCTION("""COMPUTED_VALUE"""),2976384.0)</f>
        <v>2976384</v>
      </c>
      <c r="C5152" t="str">
        <f>IFERROR(__xludf.DUMMYFUNCTION("""COMPUTED_VALUE"""),"Standard 9.2 - Part 2 Certified Enterprise Architect Course")</f>
        <v>Standard 9.2 - Part 2 Certified Enterprise Architect Course</v>
      </c>
    </row>
    <row r="5153">
      <c r="A5153" s="140" t="str">
        <f>IFERROR(__xludf.DUMMYFUNCTION("""COMPUTED_VALUE"""),"en")</f>
        <v>en</v>
      </c>
      <c r="B5153">
        <f>IFERROR(__xludf.DUMMYFUNCTION("""COMPUTED_VALUE"""),1903722.0)</f>
        <v>1903722</v>
      </c>
      <c r="C5153" t="str">
        <f>IFERROR(__xludf.DUMMYFUNCTION("""COMPUTED_VALUE"""),"SQL For Data Science With Google Big Query")</f>
        <v>SQL For Data Science With Google Big Query</v>
      </c>
    </row>
    <row r="5154">
      <c r="A5154" s="140" t="str">
        <f>IFERROR(__xludf.DUMMYFUNCTION("""COMPUTED_VALUE"""),"en")</f>
        <v>en</v>
      </c>
      <c r="B5154">
        <f>IFERROR(__xludf.DUMMYFUNCTION("""COMPUTED_VALUE"""),2016690.0)</f>
        <v>2016690</v>
      </c>
      <c r="C5154" t="str">
        <f>IFERROR(__xludf.DUMMYFUNCTION("""COMPUTED_VALUE"""),"Complete Data Analysis with Pandas : Hands-on Pandas Python")</f>
        <v>Complete Data Analysis with Pandas : Hands-on Pandas Python</v>
      </c>
    </row>
    <row r="5155">
      <c r="A5155" s="140" t="str">
        <f>IFERROR(__xludf.DUMMYFUNCTION("""COMPUTED_VALUE"""),"ja")</f>
        <v>ja</v>
      </c>
      <c r="B5155">
        <f>IFERROR(__xludf.DUMMYFUNCTION("""COMPUTED_VALUE"""),4187356.0)</f>
        <v>4187356</v>
      </c>
      <c r="C5155" t="str">
        <f>IFERROR(__xludf.DUMMYFUNCTION("""COMPUTED_VALUE"""),"TOEIC(R)L&amp;Rテスト 600点短期集中！問題の解き方を最適化して１週間で100点アップする講座")</f>
        <v>TOEIC(R)L&amp;Rテスト 600点短期集中！問題の解き方を最適化して１週間で100点アップする講座</v>
      </c>
    </row>
    <row r="5156">
      <c r="A5156" s="140" t="str">
        <f>IFERROR(__xludf.DUMMYFUNCTION("""COMPUTED_VALUE"""),"fr")</f>
        <v>fr</v>
      </c>
      <c r="B5156">
        <f>IFERROR(__xludf.DUMMYFUNCTION("""COMPUTED_VALUE"""),1793476.0)</f>
        <v>1793476</v>
      </c>
      <c r="C5156" t="str">
        <f>IFERROR(__xludf.DUMMYFUNCTION("""COMPUTED_VALUE"""),"iOS 12 et Swift 4.2 de zéro à héros: le cours complet")</f>
        <v>iOS 12 et Swift 4.2 de zéro à héros: le cours complet</v>
      </c>
    </row>
    <row r="5157">
      <c r="A5157" s="140" t="str">
        <f>IFERROR(__xludf.DUMMYFUNCTION("""COMPUTED_VALUE"""),"en")</f>
        <v>en</v>
      </c>
      <c r="B5157">
        <f>IFERROR(__xludf.DUMMYFUNCTION("""COMPUTED_VALUE"""),2732092.0)</f>
        <v>2732092</v>
      </c>
      <c r="C5157" t="str">
        <f>IFERROR(__xludf.DUMMYFUNCTION("""COMPUTED_VALUE"""),"What does an actuary actually do?")</f>
        <v>What does an actuary actually do?</v>
      </c>
    </row>
    <row r="5158">
      <c r="A5158" s="140" t="str">
        <f>IFERROR(__xludf.DUMMYFUNCTION("""COMPUTED_VALUE"""),"en")</f>
        <v>en</v>
      </c>
      <c r="B5158">
        <f>IFERROR(__xludf.DUMMYFUNCTION("""COMPUTED_VALUE"""),1227322.0)</f>
        <v>1227322</v>
      </c>
      <c r="C5158" t="str">
        <f>IFERROR(__xludf.DUMMYFUNCTION("""COMPUTED_VALUE"""),"React vs Angular vs Vue.js by Example")</f>
        <v>React vs Angular vs Vue.js by Example</v>
      </c>
    </row>
    <row r="5159">
      <c r="A5159" s="140" t="str">
        <f>IFERROR(__xludf.DUMMYFUNCTION("""COMPUTED_VALUE"""),"en")</f>
        <v>en</v>
      </c>
      <c r="B5159">
        <f>IFERROR(__xludf.DUMMYFUNCTION("""COMPUTED_VALUE"""),918132.0)</f>
        <v>918132</v>
      </c>
      <c r="C5159" t="str">
        <f>IFERROR(__xludf.DUMMYFUNCTION("""COMPUTED_VALUE"""),"SQL Server Reporting Services Part 2 (SSRS)")</f>
        <v>SQL Server Reporting Services Part 2 (SSRS)</v>
      </c>
    </row>
    <row r="5160">
      <c r="A5160" s="140" t="str">
        <f>IFERROR(__xludf.DUMMYFUNCTION("""COMPUTED_VALUE"""),"en")</f>
        <v>en</v>
      </c>
      <c r="B5160">
        <f>IFERROR(__xludf.DUMMYFUNCTION("""COMPUTED_VALUE"""),2082318.0)</f>
        <v>2082318</v>
      </c>
      <c r="C5160" t="str">
        <f>IFERROR(__xludf.DUMMYFUNCTION("""COMPUTED_VALUE"""),"Algorithms (Data Structures) Bootcamp in C++")</f>
        <v>Algorithms (Data Structures) Bootcamp in C++</v>
      </c>
    </row>
    <row r="5161">
      <c r="A5161" s="140" t="str">
        <f>IFERROR(__xludf.DUMMYFUNCTION("""COMPUTED_VALUE"""),"es")</f>
        <v>es</v>
      </c>
      <c r="B5161">
        <f>IFERROR(__xludf.DUMMYFUNCTION("""COMPUTED_VALUE"""),1690994.0)</f>
        <v>1690994</v>
      </c>
      <c r="C5161" t="str">
        <f>IFERROR(__xludf.DUMMYFUNCTION("""COMPUTED_VALUE"""),"VUE JS 2 - Una Introducción a las Web Apps")</f>
        <v>VUE JS 2 - Una Introducción a las Web Apps</v>
      </c>
    </row>
    <row r="5162">
      <c r="A5162" s="140" t="str">
        <f>IFERROR(__xludf.DUMMYFUNCTION("""COMPUTED_VALUE"""),"en")</f>
        <v>en</v>
      </c>
      <c r="B5162">
        <f>IFERROR(__xludf.DUMMYFUNCTION("""COMPUTED_VALUE"""),703232.0)</f>
        <v>703232</v>
      </c>
      <c r="C5162" t="str">
        <f>IFERROR(__xludf.DUMMYFUNCTION("""COMPUTED_VALUE"""),"The Art of API Documentation")</f>
        <v>The Art of API Documentation</v>
      </c>
    </row>
    <row r="5163">
      <c r="A5163" s="140" t="str">
        <f>IFERROR(__xludf.DUMMYFUNCTION("""COMPUTED_VALUE"""),"pt")</f>
        <v>pt</v>
      </c>
      <c r="B5163">
        <f>IFERROR(__xludf.DUMMYFUNCTION("""COMPUTED_VALUE"""),1833904.0)</f>
        <v>1833904</v>
      </c>
      <c r="C5163" t="str">
        <f>IFERROR(__xludf.DUMMYFUNCTION("""COMPUTED_VALUE"""),"Criatividade e Processo Criativo Para Designers")</f>
        <v>Criatividade e Processo Criativo Para Designers</v>
      </c>
    </row>
    <row r="5164">
      <c r="A5164" s="140" t="str">
        <f>IFERROR(__xludf.DUMMYFUNCTION("""COMPUTED_VALUE"""),"en")</f>
        <v>en</v>
      </c>
      <c r="B5164">
        <f>IFERROR(__xludf.DUMMYFUNCTION("""COMPUTED_VALUE"""),3830262.0)</f>
        <v>3830262</v>
      </c>
      <c r="C5164" t="str">
        <f>IFERROR(__xludf.DUMMYFUNCTION("""COMPUTED_VALUE"""),"NodeJS Tutorial and Projects Course")</f>
        <v>NodeJS Tutorial and Projects Course</v>
      </c>
    </row>
    <row r="5165">
      <c r="A5165" s="140" t="str">
        <f>IFERROR(__xludf.DUMMYFUNCTION("""COMPUTED_VALUE"""),"tr")</f>
        <v>tr</v>
      </c>
      <c r="B5165">
        <f>IFERROR(__xludf.DUMMYFUNCTION("""COMPUTED_VALUE"""),1691606.0)</f>
        <v>1691606</v>
      </c>
      <c r="C5165" t="str">
        <f>IFERROR(__xludf.DUMMYFUNCTION("""COMPUTED_VALUE"""),"YDS/YÖKDİL Yüksek Başarı Kursu - Test Teknikleri + Kaynaklar")</f>
        <v>YDS/YÖKDİL Yüksek Başarı Kursu - Test Teknikleri + Kaynaklar</v>
      </c>
    </row>
    <row r="5166">
      <c r="A5166" s="140" t="str">
        <f>IFERROR(__xludf.DUMMYFUNCTION("""COMPUTED_VALUE"""),"en")</f>
        <v>en</v>
      </c>
      <c r="B5166">
        <f>IFERROR(__xludf.DUMMYFUNCTION("""COMPUTED_VALUE"""),3576183.0)</f>
        <v>3576183</v>
      </c>
      <c r="C5166" t="str">
        <f>IFERROR(__xludf.DUMMYFUNCTION("""COMPUTED_VALUE"""),"Smartsheet Project Management- The Complete Beginners Course")</f>
        <v>Smartsheet Project Management- The Complete Beginners Course</v>
      </c>
    </row>
    <row r="5167">
      <c r="A5167" s="140" t="str">
        <f>IFERROR(__xludf.DUMMYFUNCTION("""COMPUTED_VALUE"""),"ja")</f>
        <v>ja</v>
      </c>
      <c r="B5167">
        <f>IFERROR(__xludf.DUMMYFUNCTION("""COMPUTED_VALUE"""),951838.0)</f>
        <v>951838</v>
      </c>
      <c r="C5167" t="str">
        <f>IFERROR(__xludf.DUMMYFUNCTION("""COMPUTED_VALUE"""),"米国MBA教授が教える：起業からIPOまでMBAのすべて")</f>
        <v>米国MBA教授が教える：起業からIPOまでMBAのすべて</v>
      </c>
    </row>
    <row r="5168">
      <c r="A5168" s="140" t="str">
        <f>IFERROR(__xludf.DUMMYFUNCTION("""COMPUTED_VALUE"""),"en")</f>
        <v>en</v>
      </c>
      <c r="B5168">
        <f>IFERROR(__xludf.DUMMYFUNCTION("""COMPUTED_VALUE"""),2827920.0)</f>
        <v>2827920</v>
      </c>
      <c r="C5168" t="str">
        <f>IFERROR(__xludf.DUMMYFUNCTION("""COMPUTED_VALUE"""),"AWS Certified Developer Associate Exam Training 2021 DVA-C01")</f>
        <v>AWS Certified Developer Associate Exam Training 2021 DVA-C01</v>
      </c>
    </row>
    <row r="5169">
      <c r="A5169" s="140" t="str">
        <f>IFERROR(__xludf.DUMMYFUNCTION("""COMPUTED_VALUE"""),"en")</f>
        <v>en</v>
      </c>
      <c r="B5169">
        <f>IFERROR(__xludf.DUMMYFUNCTION("""COMPUTED_VALUE"""),2431646.0)</f>
        <v>2431646</v>
      </c>
      <c r="C5169" t="str">
        <f>IFERROR(__xludf.DUMMYFUNCTION("""COMPUTED_VALUE"""),"Causal Data Science with Directed Acyclic Graphs")</f>
        <v>Causal Data Science with Directed Acyclic Graphs</v>
      </c>
    </row>
    <row r="5170">
      <c r="A5170" s="140" t="str">
        <f>IFERROR(__xludf.DUMMYFUNCTION("""COMPUTED_VALUE"""),"en")</f>
        <v>en</v>
      </c>
      <c r="B5170">
        <f>IFERROR(__xludf.DUMMYFUNCTION("""COMPUTED_VALUE"""),1213560.0)</f>
        <v>1213560</v>
      </c>
      <c r="C5170" t="str">
        <f>IFERROR(__xludf.DUMMYFUNCTION("""COMPUTED_VALUE"""),"Complete Introduction to Google Data Studio 2021 Edition")</f>
        <v>Complete Introduction to Google Data Studio 2021 Edition</v>
      </c>
    </row>
    <row r="5171">
      <c r="A5171" s="140" t="str">
        <f>IFERROR(__xludf.DUMMYFUNCTION("""COMPUTED_VALUE"""),"es")</f>
        <v>es</v>
      </c>
      <c r="B5171">
        <f>IFERROR(__xludf.DUMMYFUNCTION("""COMPUTED_VALUE"""),3662358.0)</f>
        <v>3662358</v>
      </c>
      <c r="C5171" t="str">
        <f>IFERROR(__xludf.DUMMYFUNCTION("""COMPUTED_VALUE"""),"Angular: De cero a experto - ( Edición 2021 )")</f>
        <v>Angular: De cero a experto - ( Edición 2021 )</v>
      </c>
    </row>
    <row r="5172">
      <c r="A5172" s="140" t="str">
        <f>IFERROR(__xludf.DUMMYFUNCTION("""COMPUTED_VALUE"""),"es")</f>
        <v>es</v>
      </c>
      <c r="B5172">
        <f>IFERROR(__xludf.DUMMYFUNCTION("""COMPUTED_VALUE"""),2171016.0)</f>
        <v>2171016</v>
      </c>
      <c r="C5172" t="str">
        <f>IFERROR(__xludf.DUMMYFUNCTION("""COMPUTED_VALUE"""),"Máster en Web Services con C#")</f>
        <v>Máster en Web Services con C#</v>
      </c>
    </row>
    <row r="5173">
      <c r="A5173" s="140" t="str">
        <f>IFERROR(__xludf.DUMMYFUNCTION("""COMPUTED_VALUE"""),"en")</f>
        <v>en</v>
      </c>
      <c r="B5173">
        <f>IFERROR(__xludf.DUMMYFUNCTION("""COMPUTED_VALUE"""),2916558.0)</f>
        <v>2916558</v>
      </c>
      <c r="C5173" t="str">
        <f>IFERROR(__xludf.DUMMYFUNCTION("""COMPUTED_VALUE"""),"Advanced Java Topics: Java Reflection - Master Class")</f>
        <v>Advanced Java Topics: Java Reflection - Master Class</v>
      </c>
    </row>
    <row r="5174">
      <c r="A5174" s="140" t="str">
        <f>IFERROR(__xludf.DUMMYFUNCTION("""COMPUTED_VALUE"""),"en")</f>
        <v>en</v>
      </c>
      <c r="B5174">
        <f>IFERROR(__xludf.DUMMYFUNCTION("""COMPUTED_VALUE"""),3158874.0)</f>
        <v>3158874</v>
      </c>
      <c r="C5174" t="str">
        <f>IFERROR(__xludf.DUMMYFUNCTION("""COMPUTED_VALUE"""),"IFRS - A Complete Course on IFRS")</f>
        <v>IFRS - A Complete Course on IFRS</v>
      </c>
    </row>
    <row r="5175">
      <c r="A5175" s="140" t="str">
        <f>IFERROR(__xludf.DUMMYFUNCTION("""COMPUTED_VALUE"""),"es")</f>
        <v>es</v>
      </c>
      <c r="B5175">
        <f>IFERROR(__xludf.DUMMYFUNCTION("""COMPUTED_VALUE"""),2795000.0)</f>
        <v>2795000</v>
      </c>
      <c r="C5175" t="str">
        <f>IFERROR(__xludf.DUMMYFUNCTION("""COMPUTED_VALUE"""),"Tablas dinámicas, dashboards, macros y más con Google Sheets")</f>
        <v>Tablas dinámicas, dashboards, macros y más con Google Sheets</v>
      </c>
    </row>
    <row r="5176">
      <c r="A5176" s="140" t="str">
        <f>IFERROR(__xludf.DUMMYFUNCTION("""COMPUTED_VALUE"""),"en")</f>
        <v>en</v>
      </c>
      <c r="B5176">
        <f>IFERROR(__xludf.DUMMYFUNCTION("""COMPUTED_VALUE"""),1930180.0)</f>
        <v>1930180</v>
      </c>
      <c r="C5176" t="str">
        <f>IFERROR(__xludf.DUMMYFUNCTION("""COMPUTED_VALUE"""),"Deep Learning Computer Vision™ CNN, OpenCV, YOLO, SSD &amp; GANs")</f>
        <v>Deep Learning Computer Vision™ CNN, OpenCV, YOLO, SSD &amp; GANs</v>
      </c>
    </row>
    <row r="5177">
      <c r="A5177" s="140" t="str">
        <f>IFERROR(__xludf.DUMMYFUNCTION("""COMPUTED_VALUE"""),"es")</f>
        <v>es</v>
      </c>
      <c r="B5177">
        <f>IFERROR(__xludf.DUMMYFUNCTION("""COMPUTED_VALUE"""),241844.0)</f>
        <v>241844</v>
      </c>
      <c r="C5177" t="str">
        <f>IFERROR(__xludf.DUMMYFUNCTION("""COMPUTED_VALUE"""),"iOS 9 y Swift 2 | Curso Completo y Desde Cero")</f>
        <v>iOS 9 y Swift 2 | Curso Completo y Desde Cero</v>
      </c>
    </row>
    <row r="5178">
      <c r="A5178" s="140" t="str">
        <f>IFERROR(__xludf.DUMMYFUNCTION("""COMPUTED_VALUE"""),"de")</f>
        <v>de</v>
      </c>
      <c r="B5178">
        <f>IFERROR(__xludf.DUMMYFUNCTION("""COMPUTED_VALUE"""),2516776.0)</f>
        <v>2516776</v>
      </c>
      <c r="C5178" t="str">
        <f>IFERROR(__xludf.DUMMYFUNCTION("""COMPUTED_VALUE"""),"Agile &amp; Scrum - ein praxisnaher Einstieg für Anfänger")</f>
        <v>Agile &amp; Scrum - ein praxisnaher Einstieg für Anfänger</v>
      </c>
    </row>
    <row r="5179">
      <c r="A5179" s="140" t="str">
        <f>IFERROR(__xludf.DUMMYFUNCTION("""COMPUTED_VALUE"""),"en")</f>
        <v>en</v>
      </c>
      <c r="B5179">
        <f>IFERROR(__xludf.DUMMYFUNCTION("""COMPUTED_VALUE"""),1619376.0)</f>
        <v>1619376</v>
      </c>
      <c r="C5179" t="str">
        <f>IFERROR(__xludf.DUMMYFUNCTION("""COMPUTED_VALUE"""),"SAP Smart Forms for beginners")</f>
        <v>SAP Smart Forms for beginners</v>
      </c>
    </row>
    <row r="5180">
      <c r="A5180" s="140" t="str">
        <f>IFERROR(__xludf.DUMMYFUNCTION("""COMPUTED_VALUE"""),"en")</f>
        <v>en</v>
      </c>
      <c r="B5180">
        <f>IFERROR(__xludf.DUMMYFUNCTION("""COMPUTED_VALUE"""),2276171.0)</f>
        <v>2276171</v>
      </c>
      <c r="C5180" t="str">
        <f>IFERROR(__xludf.DUMMYFUNCTION("""COMPUTED_VALUE"""),"CFA® Level 1 (2021/2022) - Complete Equity Investments")</f>
        <v>CFA® Level 1 (2021/2022) - Complete Equity Investments</v>
      </c>
    </row>
    <row r="5181">
      <c r="A5181" s="140" t="str">
        <f>IFERROR(__xludf.DUMMYFUNCTION("""COMPUTED_VALUE"""),"en")</f>
        <v>en</v>
      </c>
      <c r="B5181">
        <f>IFERROR(__xludf.DUMMYFUNCTION("""COMPUTED_VALUE"""),1170144.0)</f>
        <v>1170144</v>
      </c>
      <c r="C5181" t="str">
        <f>IFERROR(__xludf.DUMMYFUNCTION("""COMPUTED_VALUE"""),"Sketching for UX Designers - Boost UX work with pen &amp; paper!")</f>
        <v>Sketching for UX Designers - Boost UX work with pen &amp; paper!</v>
      </c>
    </row>
    <row r="5182">
      <c r="A5182" s="140" t="str">
        <f>IFERROR(__xludf.DUMMYFUNCTION("""COMPUTED_VALUE"""),"ja")</f>
        <v>ja</v>
      </c>
      <c r="B5182">
        <f>IFERROR(__xludf.DUMMYFUNCTION("""COMPUTED_VALUE"""),3576919.0)</f>
        <v>3576919</v>
      </c>
      <c r="C5182" t="str">
        <f>IFERROR(__xludf.DUMMYFUNCTION("""COMPUTED_VALUE"""),"Firebase + React Hooks(TypeScript)によるWebアプリ開発")</f>
        <v>Firebase + React Hooks(TypeScript)によるWebアプリ開発</v>
      </c>
    </row>
    <row r="5183">
      <c r="A5183" s="140" t="str">
        <f>IFERROR(__xludf.DUMMYFUNCTION("""COMPUTED_VALUE"""),"pt")</f>
        <v>pt</v>
      </c>
      <c r="B5183">
        <f>IFERROR(__xludf.DUMMYFUNCTION("""COMPUTED_VALUE"""),2610618.0)</f>
        <v>2610618</v>
      </c>
      <c r="C5183" t="str">
        <f>IFERROR(__xludf.DUMMYFUNCTION("""COMPUTED_VALUE"""),"Pipeline Completo Arte 3D para Games")</f>
        <v>Pipeline Completo Arte 3D para Games</v>
      </c>
    </row>
    <row r="5184">
      <c r="A5184" s="140" t="str">
        <f>IFERROR(__xludf.DUMMYFUNCTION("""COMPUTED_VALUE"""),"ko")</f>
        <v>ko</v>
      </c>
      <c r="B5184">
        <f>IFERROR(__xludf.DUMMYFUNCTION("""COMPUTED_VALUE"""),4281836.0)</f>
        <v>4281836</v>
      </c>
      <c r="C5184" t="str">
        <f>IFERROR(__xludf.DUMMYFUNCTION("""COMPUTED_VALUE"""),"진짜 미국식 영어 표현")</f>
        <v>진짜 미국식 영어 표현</v>
      </c>
    </row>
    <row r="5185">
      <c r="A5185" s="140" t="str">
        <f>IFERROR(__xludf.DUMMYFUNCTION("""COMPUTED_VALUE"""),"en")</f>
        <v>en</v>
      </c>
      <c r="B5185">
        <f>IFERROR(__xludf.DUMMYFUNCTION("""COMPUTED_VALUE"""),405282.0)</f>
        <v>405282</v>
      </c>
      <c r="C5185" t="str">
        <f>IFERROR(__xludf.DUMMYFUNCTION("""COMPUTED_VALUE"""),"PHP for Beginners - Become a PHP Master - CMS Project")</f>
        <v>PHP for Beginners - Become a PHP Master - CMS Project</v>
      </c>
    </row>
    <row r="5186">
      <c r="A5186" s="140" t="str">
        <f>IFERROR(__xludf.DUMMYFUNCTION("""COMPUTED_VALUE"""),"pt")</f>
        <v>pt</v>
      </c>
      <c r="B5186">
        <f>IFERROR(__xludf.DUMMYFUNCTION("""COMPUTED_VALUE"""),3669874.0)</f>
        <v>3669874</v>
      </c>
      <c r="C5186" t="str">
        <f>IFERROR(__xludf.DUMMYFUNCTION("""COMPUTED_VALUE"""),"API Restful Javascript com Node.js, Typescript, TypeORM etc")</f>
        <v>API Restful Javascript com Node.js, Typescript, TypeORM etc</v>
      </c>
    </row>
    <row r="5187">
      <c r="A5187" s="140" t="str">
        <f>IFERROR(__xludf.DUMMYFUNCTION("""COMPUTED_VALUE"""),"es")</f>
        <v>es</v>
      </c>
      <c r="B5187">
        <f>IFERROR(__xludf.DUMMYFUNCTION("""COMPUTED_VALUE"""),1493392.0)</f>
        <v>1493392</v>
      </c>
      <c r="C5187" t="str">
        <f>IFERROR(__xludf.DUMMYFUNCTION("""COMPUTED_VALUE"""),"Xamarin Forms: Crea Apps Android, iOS y Windows con C#!")</f>
        <v>Xamarin Forms: Crea Apps Android, iOS y Windows con C#!</v>
      </c>
    </row>
    <row r="5188">
      <c r="A5188" s="140" t="str">
        <f>IFERROR(__xludf.DUMMYFUNCTION("""COMPUTED_VALUE"""),"tr")</f>
        <v>tr</v>
      </c>
      <c r="B5188">
        <f>IFERROR(__xludf.DUMMYFUNCTION("""COMPUTED_VALUE"""),1204160.0)</f>
        <v>1204160</v>
      </c>
      <c r="C5188" t="str">
        <f>IFERROR(__xludf.DUMMYFUNCTION("""COMPUTED_VALUE"""),"Sıfırdan Wordpress Tema Yapımı")</f>
        <v>Sıfırdan Wordpress Tema Yapımı</v>
      </c>
    </row>
    <row r="5189">
      <c r="A5189" s="140" t="str">
        <f>IFERROR(__xludf.DUMMYFUNCTION("""COMPUTED_VALUE"""),"es")</f>
        <v>es</v>
      </c>
      <c r="B5189">
        <f>IFERROR(__xludf.DUMMYFUNCTION("""COMPUTED_VALUE"""),841480.0)</f>
        <v>841480</v>
      </c>
      <c r="C5189" t="str">
        <f>IFERROR(__xludf.DUMMYFUNCTION("""COMPUTED_VALUE"""),"MBA Completo en 1 Curso: Profesor de Negocios Premiado")</f>
        <v>MBA Completo en 1 Curso: Profesor de Negocios Premiado</v>
      </c>
    </row>
    <row r="5190">
      <c r="A5190" s="140" t="str">
        <f>IFERROR(__xludf.DUMMYFUNCTION("""COMPUTED_VALUE"""),"ar")</f>
        <v>ar</v>
      </c>
      <c r="B5190">
        <f>IFERROR(__xludf.DUMMYFUNCTION("""COMPUTED_VALUE"""),3652328.0)</f>
        <v>3652328</v>
      </c>
      <c r="C5190" t="str">
        <f>IFERROR(__xludf.DUMMYFUNCTION("""COMPUTED_VALUE"""),"UI / UX Design - Adobe Xd (Arabic)")</f>
        <v>UI / UX Design - Adobe Xd (Arabic)</v>
      </c>
    </row>
    <row r="5191">
      <c r="A5191" s="140" t="str">
        <f>IFERROR(__xludf.DUMMYFUNCTION("""COMPUTED_VALUE"""),"en")</f>
        <v>en</v>
      </c>
      <c r="B5191">
        <f>IFERROR(__xludf.DUMMYFUNCTION("""COMPUTED_VALUE"""),926234.0)</f>
        <v>926234</v>
      </c>
      <c r="C5191" t="str">
        <f>IFERROR(__xludf.DUMMYFUNCTION("""COMPUTED_VALUE"""),"Adobe Lightroom Classic CC &amp; CC: Photo Editing Masterclass")</f>
        <v>Adobe Lightroom Classic CC &amp; CC: Photo Editing Masterclass</v>
      </c>
    </row>
    <row r="5192">
      <c r="A5192" s="140" t="str">
        <f>IFERROR(__xludf.DUMMYFUNCTION("""COMPUTED_VALUE"""),"de")</f>
        <v>de</v>
      </c>
      <c r="B5192">
        <f>IFERROR(__xludf.DUMMYFUNCTION("""COMPUTED_VALUE"""),1390832.0)</f>
        <v>1390832</v>
      </c>
      <c r="C5192" t="str">
        <f>IFERROR(__xludf.DUMMYFUNCTION("""COMPUTED_VALUE"""),"Ziele erreichen: Die ultimative Step-by-Step Anleitung")</f>
        <v>Ziele erreichen: Die ultimative Step-by-Step Anleitung</v>
      </c>
    </row>
    <row r="5193">
      <c r="A5193" s="140" t="str">
        <f>IFERROR(__xludf.DUMMYFUNCTION("""COMPUTED_VALUE"""),"en")</f>
        <v>en</v>
      </c>
      <c r="B5193">
        <f>IFERROR(__xludf.DUMMYFUNCTION("""COMPUTED_VALUE"""),847264.0)</f>
        <v>847264</v>
      </c>
      <c r="C5193" t="str">
        <f>IFERROR(__xludf.DUMMYFUNCTION("""COMPUTED_VALUE"""),"Cisco ASA AnyConnect VPN")</f>
        <v>Cisco ASA AnyConnect VPN</v>
      </c>
    </row>
    <row r="5194">
      <c r="A5194" s="140" t="str">
        <f>IFERROR(__xludf.DUMMYFUNCTION("""COMPUTED_VALUE"""),"en")</f>
        <v>en</v>
      </c>
      <c r="B5194">
        <f>IFERROR(__xludf.DUMMYFUNCTION("""COMPUTED_VALUE"""),3701664.0)</f>
        <v>3701664</v>
      </c>
      <c r="C5194" t="str">
        <f>IFERROR(__xludf.DUMMYFUNCTION("""COMPUTED_VALUE"""),"Salesforce Experience Cloud Consultant Certificate Bootcamp")</f>
        <v>Salesforce Experience Cloud Consultant Certificate Bootcamp</v>
      </c>
    </row>
    <row r="5195">
      <c r="A5195" s="140" t="str">
        <f>IFERROR(__xludf.DUMMYFUNCTION("""COMPUTED_VALUE"""),"es")</f>
        <v>es</v>
      </c>
      <c r="B5195">
        <f>IFERROR(__xludf.DUMMYFUNCTION("""COMPUTED_VALUE"""),2833634.0)</f>
        <v>2833634</v>
      </c>
      <c r="C5195" t="str">
        <f>IFERROR(__xludf.DUMMYFUNCTION("""COMPUTED_VALUE"""),"Reglas de ortografía y redacción que debes saber")</f>
        <v>Reglas de ortografía y redacción que debes saber</v>
      </c>
    </row>
    <row r="5196">
      <c r="A5196" s="140" t="str">
        <f>IFERROR(__xludf.DUMMYFUNCTION("""COMPUTED_VALUE"""),"en")</f>
        <v>en</v>
      </c>
      <c r="B5196">
        <f>IFERROR(__xludf.DUMMYFUNCTION("""COMPUTED_VALUE"""),176878.0)</f>
        <v>176878</v>
      </c>
      <c r="C5196" t="str">
        <f>IFERROR(__xludf.DUMMYFUNCTION("""COMPUTED_VALUE"""),"Teach Anybody Anything: Reach Any Learner Anywhere")</f>
        <v>Teach Anybody Anything: Reach Any Learner Anywhere</v>
      </c>
    </row>
    <row r="5197">
      <c r="A5197" s="140" t="str">
        <f>IFERROR(__xludf.DUMMYFUNCTION("""COMPUTED_VALUE"""),"es")</f>
        <v>es</v>
      </c>
      <c r="B5197">
        <f>IFERROR(__xludf.DUMMYFUNCTION("""COMPUTED_VALUE"""),2801382.0)</f>
        <v>2801382</v>
      </c>
      <c r="C5197" t="str">
        <f>IFERROR(__xludf.DUMMYFUNCTION("""COMPUTED_VALUE"""),"Programación en C#")</f>
        <v>Programación en C#</v>
      </c>
    </row>
    <row r="5198">
      <c r="A5198" s="140" t="str">
        <f>IFERROR(__xludf.DUMMYFUNCTION("""COMPUTED_VALUE"""),"pt")</f>
        <v>pt</v>
      </c>
      <c r="B5198">
        <f>IFERROR(__xludf.DUMMYFUNCTION("""COMPUTED_VALUE"""),2701414.0)</f>
        <v>2701414</v>
      </c>
      <c r="C5198" t="str">
        <f>IFERROR(__xludf.DUMMYFUNCTION("""COMPUTED_VALUE"""),"Feedback - A arte de dar e receber feedbacks mais efetivos")</f>
        <v>Feedback - A arte de dar e receber feedbacks mais efetivos</v>
      </c>
    </row>
    <row r="5199">
      <c r="A5199" s="140" t="str">
        <f>IFERROR(__xludf.DUMMYFUNCTION("""COMPUTED_VALUE"""),"pt")</f>
        <v>pt</v>
      </c>
      <c r="B5199">
        <f>IFERROR(__xludf.DUMMYFUNCTION("""COMPUTED_VALUE"""),2829082.0)</f>
        <v>2829082</v>
      </c>
      <c r="C5199" t="str">
        <f>IFERROR(__xludf.DUMMYFUNCTION("""COMPUTED_VALUE"""),"Zoom Expert - Reuniões online profissionais")</f>
        <v>Zoom Expert - Reuniões online profissionais</v>
      </c>
    </row>
    <row r="5200">
      <c r="A5200" s="140" t="str">
        <f>IFERROR(__xludf.DUMMYFUNCTION("""COMPUTED_VALUE"""),"en")</f>
        <v>en</v>
      </c>
      <c r="B5200">
        <f>IFERROR(__xludf.DUMMYFUNCTION("""COMPUTED_VALUE"""),669984.0)</f>
        <v>669984</v>
      </c>
      <c r="C5200" t="str">
        <f>IFERROR(__xludf.DUMMYFUNCTION("""COMPUTED_VALUE"""),"Keynote for UI Animations - Easily animate your app designs")</f>
        <v>Keynote for UI Animations - Easily animate your app designs</v>
      </c>
    </row>
    <row r="5201">
      <c r="A5201" s="140" t="str">
        <f>IFERROR(__xludf.DUMMYFUNCTION("""COMPUTED_VALUE"""),"fr")</f>
        <v>fr</v>
      </c>
      <c r="B5201">
        <f>IFERROR(__xludf.DUMMYFUNCTION("""COMPUTED_VALUE"""),2506866.0)</f>
        <v>2506866</v>
      </c>
      <c r="C5201" t="str">
        <f>IFERROR(__xludf.DUMMYFUNCTION("""COMPUTED_VALUE"""),"CCNA5: Sécurité - Architecture - Automatisation")</f>
        <v>CCNA5: Sécurité - Architecture - Automatisation</v>
      </c>
    </row>
    <row r="5202">
      <c r="A5202" s="140" t="str">
        <f>IFERROR(__xludf.DUMMYFUNCTION("""COMPUTED_VALUE"""),"en")</f>
        <v>en</v>
      </c>
      <c r="B5202">
        <f>IFERROR(__xludf.DUMMYFUNCTION("""COMPUTED_VALUE"""),328808.0)</f>
        <v>328808</v>
      </c>
      <c r="C5202" t="str">
        <f>IFERROR(__xludf.DUMMYFUNCTION("""COMPUTED_VALUE"""),"SUPERHUMAN Productivity 10X: The Secret Skill Of Performance")</f>
        <v>SUPERHUMAN Productivity 10X: The Secret Skill Of Performance</v>
      </c>
    </row>
    <row r="5203">
      <c r="A5203" s="140" t="str">
        <f>IFERROR(__xludf.DUMMYFUNCTION("""COMPUTED_VALUE"""),"en")</f>
        <v>en</v>
      </c>
      <c r="B5203">
        <f>IFERROR(__xludf.DUMMYFUNCTION("""COMPUTED_VALUE"""),4101304.0)</f>
        <v>4101304</v>
      </c>
      <c r="C5203" t="str">
        <f>IFERROR(__xludf.DUMMYFUNCTION("""COMPUTED_VALUE"""),"No-Code Machine Learning: Practical Guide to Modern ML Tools")</f>
        <v>No-Code Machine Learning: Practical Guide to Modern ML Tools</v>
      </c>
    </row>
    <row r="5204">
      <c r="A5204" s="140" t="str">
        <f>IFERROR(__xludf.DUMMYFUNCTION("""COMPUTED_VALUE"""),"en")</f>
        <v>en</v>
      </c>
      <c r="B5204">
        <f>IFERROR(__xludf.DUMMYFUNCTION("""COMPUTED_VALUE"""),2807653.0)</f>
        <v>2807653</v>
      </c>
      <c r="C5204" t="str">
        <f>IFERROR(__xludf.DUMMYFUNCTION("""COMPUTED_VALUE"""),"SAP Lumira Discovery 2.3 from Beginner to Professional")</f>
        <v>SAP Lumira Discovery 2.3 from Beginner to Professional</v>
      </c>
    </row>
    <row r="5205">
      <c r="A5205" s="140" t="str">
        <f>IFERROR(__xludf.DUMMYFUNCTION("""COMPUTED_VALUE"""),"tr")</f>
        <v>tr</v>
      </c>
      <c r="B5205">
        <f>IFERROR(__xludf.DUMMYFUNCTION("""COMPUTED_VALUE"""),3686324.0)</f>
        <v>3686324</v>
      </c>
      <c r="C5205" t="str">
        <f>IFERROR(__xludf.DUMMYFUNCTION("""COMPUTED_VALUE"""),"WordPress Eğitim Seti - Sıfırdan Zirveye")</f>
        <v>WordPress Eğitim Seti - Sıfırdan Zirveye</v>
      </c>
    </row>
    <row r="5206">
      <c r="A5206" s="140" t="str">
        <f>IFERROR(__xludf.DUMMYFUNCTION("""COMPUTED_VALUE"""),"en")</f>
        <v>en</v>
      </c>
      <c r="B5206">
        <f>IFERROR(__xludf.DUMMYFUNCTION("""COMPUTED_VALUE"""),3219295.0)</f>
        <v>3219295</v>
      </c>
      <c r="C5206" t="str">
        <f>IFERROR(__xludf.DUMMYFUNCTION("""COMPUTED_VALUE"""),"OAuth 2.0 in Spring Boot Applications")</f>
        <v>OAuth 2.0 in Spring Boot Applications</v>
      </c>
    </row>
    <row r="5207">
      <c r="A5207" s="140" t="str">
        <f>IFERROR(__xludf.DUMMYFUNCTION("""COMPUTED_VALUE"""),"de")</f>
        <v>de</v>
      </c>
      <c r="B5207">
        <f>IFERROR(__xludf.DUMMYFUNCTION("""COMPUTED_VALUE"""),2434546.0)</f>
        <v>2434546</v>
      </c>
      <c r="C5207" t="str">
        <f>IFERROR(__xludf.DUMMYFUNCTION("""COMPUTED_VALUE"""),"App-Entwicklung mit Swift 5 für iOS 15 - inkl. SwiftUI 2")</f>
        <v>App-Entwicklung mit Swift 5 für iOS 15 - inkl. SwiftUI 2</v>
      </c>
    </row>
    <row r="5208">
      <c r="A5208" s="140" t="str">
        <f>IFERROR(__xludf.DUMMYFUNCTION("""COMPUTED_VALUE"""),"en")</f>
        <v>en</v>
      </c>
      <c r="B5208">
        <f>IFERROR(__xludf.DUMMYFUNCTION("""COMPUTED_VALUE"""),2608314.0)</f>
        <v>2608314</v>
      </c>
      <c r="C5208" t="str">
        <f>IFERROR(__xludf.DUMMYFUNCTION("""COMPUTED_VALUE"""),"Java Debugging With IntelliJ IDEA")</f>
        <v>Java Debugging With IntelliJ IDEA</v>
      </c>
    </row>
    <row r="5209">
      <c r="A5209" s="140" t="str">
        <f>IFERROR(__xludf.DUMMYFUNCTION("""COMPUTED_VALUE"""),"en")</f>
        <v>en</v>
      </c>
      <c r="B5209">
        <f>IFERROR(__xludf.DUMMYFUNCTION("""COMPUTED_VALUE"""),1148430.0)</f>
        <v>1148430</v>
      </c>
      <c r="C5209" t="str">
        <f>IFERROR(__xludf.DUMMYFUNCTION("""COMPUTED_VALUE"""),"Music Theory Comprehensive Complete: Part 4, 5, &amp; 6")</f>
        <v>Music Theory Comprehensive Complete: Part 4, 5, &amp; 6</v>
      </c>
    </row>
    <row r="5210">
      <c r="A5210" s="140" t="str">
        <f>IFERROR(__xludf.DUMMYFUNCTION("""COMPUTED_VALUE"""),"en")</f>
        <v>en</v>
      </c>
      <c r="B5210">
        <f>IFERROR(__xludf.DUMMYFUNCTION("""COMPUTED_VALUE"""),989196.0)</f>
        <v>989196</v>
      </c>
      <c r="C5210" t="str">
        <f>IFERROR(__xludf.DUMMYFUNCTION("""COMPUTED_VALUE"""),"SELF-CONFIDENCE: 40-minute Confidence &amp; Self Esteem Guide")</f>
        <v>SELF-CONFIDENCE: 40-minute Confidence &amp; Self Esteem Guide</v>
      </c>
    </row>
    <row r="5211">
      <c r="A5211" s="140" t="str">
        <f>IFERROR(__xludf.DUMMYFUNCTION("""COMPUTED_VALUE"""),"de")</f>
        <v>de</v>
      </c>
      <c r="B5211">
        <f>IFERROR(__xludf.DUMMYFUNCTION("""COMPUTED_VALUE"""),2368168.0)</f>
        <v>2368168</v>
      </c>
      <c r="C5211" t="str">
        <f>IFERROR(__xludf.DUMMYFUNCTION("""COMPUTED_VALUE"""),"Lerne Französisch auf Französisch 2: 100 häufigsten Wörter")</f>
        <v>Lerne Französisch auf Französisch 2: 100 häufigsten Wörter</v>
      </c>
    </row>
    <row r="5212">
      <c r="A5212" s="140" t="str">
        <f>IFERROR(__xludf.DUMMYFUNCTION("""COMPUTED_VALUE"""),"en")</f>
        <v>en</v>
      </c>
      <c r="B5212">
        <f>IFERROR(__xludf.DUMMYFUNCTION("""COMPUTED_VALUE"""),2967048.0)</f>
        <v>2967048</v>
      </c>
      <c r="C5212" t="str">
        <f>IFERROR(__xludf.DUMMYFUNCTION("""COMPUTED_VALUE"""),"MySQL Database Administration: Beginner SQL Database Design")</f>
        <v>MySQL Database Administration: Beginner SQL Database Design</v>
      </c>
    </row>
    <row r="5213">
      <c r="A5213" s="140" t="str">
        <f>IFERROR(__xludf.DUMMYFUNCTION("""COMPUTED_VALUE"""),"en")</f>
        <v>en</v>
      </c>
      <c r="B5213">
        <f>IFERROR(__xludf.DUMMYFUNCTION("""COMPUTED_VALUE"""),1787334.0)</f>
        <v>1787334</v>
      </c>
      <c r="C5213" t="str">
        <f>IFERROR(__xludf.DUMMYFUNCTION("""COMPUTED_VALUE"""),"ROS for Beginners: Basics, Motion, and OpenCV")</f>
        <v>ROS for Beginners: Basics, Motion, and OpenCV</v>
      </c>
    </row>
    <row r="5214">
      <c r="A5214" s="140" t="str">
        <f>IFERROR(__xludf.DUMMYFUNCTION("""COMPUTED_VALUE"""),"en")</f>
        <v>en</v>
      </c>
      <c r="B5214">
        <f>IFERROR(__xludf.DUMMYFUNCTION("""COMPUTED_VALUE"""),1334218.0)</f>
        <v>1334218</v>
      </c>
      <c r="C5214" t="str">
        <f>IFERROR(__xludf.DUMMYFUNCTION("""COMPUTED_VALUE"""),"The Extensive WebGL Series ! - Part1 : Low Level Graphics")</f>
        <v>The Extensive WebGL Series ! - Part1 : Low Level Graphics</v>
      </c>
    </row>
    <row r="5215">
      <c r="A5215" s="140" t="str">
        <f>IFERROR(__xludf.DUMMYFUNCTION("""COMPUTED_VALUE"""),"fr")</f>
        <v>fr</v>
      </c>
      <c r="B5215">
        <f>IFERROR(__xludf.DUMMYFUNCTION("""COMPUTED_VALUE"""),2134138.0)</f>
        <v>2134138</v>
      </c>
      <c r="C5215" t="str">
        <f>IFERROR(__xludf.DUMMYFUNCTION("""COMPUTED_VALUE"""),"Déchiffrez le bilan comptable comme un as de la comptabilité")</f>
        <v>Déchiffrez le bilan comptable comme un as de la comptabilité</v>
      </c>
    </row>
    <row r="5216">
      <c r="A5216" s="140" t="str">
        <f>IFERROR(__xludf.DUMMYFUNCTION("""COMPUTED_VALUE"""),"de")</f>
        <v>de</v>
      </c>
      <c r="B5216">
        <f>IFERROR(__xludf.DUMMYFUNCTION("""COMPUTED_VALUE"""),833356.0)</f>
        <v>833356</v>
      </c>
      <c r="C5216" t="str">
        <f>IFERROR(__xludf.DUMMYFUNCTION("""COMPUTED_VALUE"""),"SAP ABAP für Anfänger 2: komplexe Datenarten und Debugging")</f>
        <v>SAP ABAP für Anfänger 2: komplexe Datenarten und Debugging</v>
      </c>
    </row>
    <row r="5217">
      <c r="A5217" s="140" t="str">
        <f>IFERROR(__xludf.DUMMYFUNCTION("""COMPUTED_VALUE"""),"en")</f>
        <v>en</v>
      </c>
      <c r="B5217">
        <f>IFERROR(__xludf.DUMMYFUNCTION("""COMPUTED_VALUE"""),558166.0)</f>
        <v>558166</v>
      </c>
      <c r="C5217" t="str">
        <f>IFERROR(__xludf.DUMMYFUNCTION("""COMPUTED_VALUE"""),"Build Your Own Super Computer with Raspberry Pis")</f>
        <v>Build Your Own Super Computer with Raspberry Pis</v>
      </c>
    </row>
    <row r="5218">
      <c r="A5218" s="140" t="str">
        <f>IFERROR(__xludf.DUMMYFUNCTION("""COMPUTED_VALUE"""),"en")</f>
        <v>en</v>
      </c>
      <c r="B5218">
        <f>IFERROR(__xludf.DUMMYFUNCTION("""COMPUTED_VALUE"""),1732480.0)</f>
        <v>1732480</v>
      </c>
      <c r="C5218" t="str">
        <f>IFERROR(__xludf.DUMMYFUNCTION("""COMPUTED_VALUE"""),"3 Minute Spanish - Course 4 | Language lessons for beginners")</f>
        <v>3 Minute Spanish - Course 4 | Language lessons for beginners</v>
      </c>
    </row>
    <row r="5219">
      <c r="A5219" s="140" t="str">
        <f>IFERROR(__xludf.DUMMYFUNCTION("""COMPUTED_VALUE"""),"pt")</f>
        <v>pt</v>
      </c>
      <c r="B5219">
        <f>IFERROR(__xludf.DUMMYFUNCTION("""COMPUTED_VALUE"""),3017486.0)</f>
        <v>3017486</v>
      </c>
      <c r="C5219" t="str">
        <f>IFERROR(__xludf.DUMMYFUNCTION("""COMPUTED_VALUE"""),"Customer Success na prática: Principais processos de CS")</f>
        <v>Customer Success na prática: Principais processos de CS</v>
      </c>
    </row>
    <row r="5220">
      <c r="A5220" s="140" t="str">
        <f>IFERROR(__xludf.DUMMYFUNCTION("""COMPUTED_VALUE"""),"es")</f>
        <v>es</v>
      </c>
      <c r="B5220">
        <f>IFERROR(__xludf.DUMMYFUNCTION("""COMPUTED_VALUE"""),3582569.0)</f>
        <v>3582569</v>
      </c>
      <c r="C5220" t="str">
        <f>IFERROR(__xludf.DUMMYFUNCTION("""COMPUTED_VALUE"""),"Microservicios con ASP.NET 5, Angular, MongoDB, Docker")</f>
        <v>Microservicios con ASP.NET 5, Angular, MongoDB, Docker</v>
      </c>
    </row>
    <row r="5221">
      <c r="A5221" s="140" t="str">
        <f>IFERROR(__xludf.DUMMYFUNCTION("""COMPUTED_VALUE"""),"ja")</f>
        <v>ja</v>
      </c>
      <c r="B5221">
        <f>IFERROR(__xludf.DUMMYFUNCTION("""COMPUTED_VALUE"""),3005864.0)</f>
        <v>3005864</v>
      </c>
      <c r="C5221" t="str">
        <f>IFERROR(__xludf.DUMMYFUNCTION("""COMPUTED_VALUE"""),"最短・最速で学ぶ GraphQL Fullstack 実践入門 - Node &amp; React編")</f>
        <v>最短・最速で学ぶ GraphQL Fullstack 実践入門 - Node &amp; React編</v>
      </c>
    </row>
    <row r="5222">
      <c r="A5222" s="140" t="str">
        <f>IFERROR(__xludf.DUMMYFUNCTION("""COMPUTED_VALUE"""),"en")</f>
        <v>en</v>
      </c>
      <c r="B5222">
        <f>IFERROR(__xludf.DUMMYFUNCTION("""COMPUTED_VALUE"""),120872.0)</f>
        <v>120872</v>
      </c>
      <c r="C5222" t="str">
        <f>IFERROR(__xludf.DUMMYFUNCTION("""COMPUTED_VALUE"""),"Customer Success | How to Understand Your Customers")</f>
        <v>Customer Success | How to Understand Your Customers</v>
      </c>
    </row>
    <row r="5223">
      <c r="A5223" s="140" t="str">
        <f>IFERROR(__xludf.DUMMYFUNCTION("""COMPUTED_VALUE"""),"ja")</f>
        <v>ja</v>
      </c>
      <c r="B5223">
        <f>IFERROR(__xludf.DUMMYFUNCTION("""COMPUTED_VALUE"""),3632428.0)</f>
        <v>3632428</v>
      </c>
      <c r="C5223" t="str">
        <f>IFERROR(__xludf.DUMMYFUNCTION("""COMPUTED_VALUE"""),"Sympyで学ぶ 数学入門：微分・積分・線形代数からコード生成まで")</f>
        <v>Sympyで学ぶ 数学入門：微分・積分・線形代数からコード生成まで</v>
      </c>
    </row>
    <row r="5224">
      <c r="A5224" s="140" t="str">
        <f>IFERROR(__xludf.DUMMYFUNCTION("""COMPUTED_VALUE"""),"ja")</f>
        <v>ja</v>
      </c>
      <c r="B5224">
        <f>IFERROR(__xludf.DUMMYFUNCTION("""COMPUTED_VALUE"""),1352982.0)</f>
        <v>1352982</v>
      </c>
      <c r="C5224" t="str">
        <f>IFERROR(__xludf.DUMMYFUNCTION("""COMPUTED_VALUE"""),"データサイエンティストを目指す人のための『ゼロからの Tableau 入門』")</f>
        <v>データサイエンティストを目指す人のための『ゼロからの Tableau 入門』</v>
      </c>
    </row>
    <row r="5225">
      <c r="A5225" s="140" t="str">
        <f>IFERROR(__xludf.DUMMYFUNCTION("""COMPUTED_VALUE"""),"tr")</f>
        <v>tr</v>
      </c>
      <c r="B5225">
        <f>IFERROR(__xludf.DUMMYFUNCTION("""COMPUTED_VALUE"""),1738582.0)</f>
        <v>1738582</v>
      </c>
      <c r="C5225" t="str">
        <f>IFERROR(__xludf.DUMMYFUNCTION("""COMPUTED_VALUE"""),"Python Programlama Eğitimi A-Z™ - 2020 (58.000+ Öğrenci)")</f>
        <v>Python Programlama Eğitimi A-Z™ - 2020 (58.000+ Öğrenci)</v>
      </c>
    </row>
    <row r="5226">
      <c r="A5226" s="140" t="str">
        <f>IFERROR(__xludf.DUMMYFUNCTION("""COMPUTED_VALUE"""),"en")</f>
        <v>en</v>
      </c>
      <c r="B5226">
        <f>IFERROR(__xludf.DUMMYFUNCTION("""COMPUTED_VALUE"""),170840.0)</f>
        <v>170840</v>
      </c>
      <c r="C5226" t="str">
        <f>IFERROR(__xludf.DUMMYFUNCTION("""COMPUTED_VALUE"""),"How to Write the Ultimate 1 Page Strategic Business Plan")</f>
        <v>How to Write the Ultimate 1 Page Strategic Business Plan</v>
      </c>
    </row>
    <row r="5227">
      <c r="A5227" s="140" t="str">
        <f>IFERROR(__xludf.DUMMYFUNCTION("""COMPUTED_VALUE"""),"en")</f>
        <v>en</v>
      </c>
      <c r="B5227">
        <f>IFERROR(__xludf.DUMMYFUNCTION("""COMPUTED_VALUE"""),3053168.0)</f>
        <v>3053168</v>
      </c>
      <c r="C5227" t="str">
        <f>IFERROR(__xludf.DUMMYFUNCTION("""COMPUTED_VALUE"""),"OWASP Top 10 2017: Exploit and Mitigation")</f>
        <v>OWASP Top 10 2017: Exploit and Mitigation</v>
      </c>
    </row>
    <row r="5228">
      <c r="A5228" s="140" t="str">
        <f>IFERROR(__xludf.DUMMYFUNCTION("""COMPUTED_VALUE"""),"en")</f>
        <v>en</v>
      </c>
      <c r="B5228">
        <f>IFERROR(__xludf.DUMMYFUNCTION("""COMPUTED_VALUE"""),1273074.0)</f>
        <v>1273074</v>
      </c>
      <c r="C5228" t="str">
        <f>IFERROR(__xludf.DUMMYFUNCTION("""COMPUTED_VALUE"""),"Learn Japanese for Beginners: The Ultimate 100-Lesson Course")</f>
        <v>Learn Japanese for Beginners: The Ultimate 100-Lesson Course</v>
      </c>
    </row>
    <row r="5229">
      <c r="A5229" s="140" t="str">
        <f>IFERROR(__xludf.DUMMYFUNCTION("""COMPUTED_VALUE"""),"tr")</f>
        <v>tr</v>
      </c>
      <c r="B5229">
        <f>IFERROR(__xludf.DUMMYFUNCTION("""COMPUTED_VALUE"""),3944486.0)</f>
        <v>3944486</v>
      </c>
      <c r="C5229" t="str">
        <f>IFERROR(__xludf.DUMMYFUNCTION("""COMPUTED_VALUE"""),"Excel'de Finansal Modelleme ve Proforma Finansal Tablolar")</f>
        <v>Excel'de Finansal Modelleme ve Proforma Finansal Tablolar</v>
      </c>
    </row>
    <row r="5230">
      <c r="A5230" s="140" t="str">
        <f>IFERROR(__xludf.DUMMYFUNCTION("""COMPUTED_VALUE"""),"en")</f>
        <v>en</v>
      </c>
      <c r="B5230">
        <f>IFERROR(__xludf.DUMMYFUNCTION("""COMPUTED_VALUE"""),572124.0)</f>
        <v>572124</v>
      </c>
      <c r="C5230" t="str">
        <f>IFERROR(__xludf.DUMMYFUNCTION("""COMPUTED_VALUE"""),"Create hand drawn character animations using Photoshop")</f>
        <v>Create hand drawn character animations using Photoshop</v>
      </c>
    </row>
    <row r="5231">
      <c r="A5231" s="140" t="str">
        <f>IFERROR(__xludf.DUMMYFUNCTION("""COMPUTED_VALUE"""),"es")</f>
        <v>es</v>
      </c>
      <c r="B5231">
        <f>IFERROR(__xludf.DUMMYFUNCTION("""COMPUTED_VALUE"""),2332740.0)</f>
        <v>2332740</v>
      </c>
      <c r="C5231" t="str">
        <f>IFERROR(__xludf.DUMMYFUNCTION("""COMPUTED_VALUE"""),"Ingeniería Social y ataques sin tecnología")</f>
        <v>Ingeniería Social y ataques sin tecnología</v>
      </c>
    </row>
    <row r="5232">
      <c r="A5232" s="140" t="str">
        <f>IFERROR(__xludf.DUMMYFUNCTION("""COMPUTED_VALUE"""),"en")</f>
        <v>en</v>
      </c>
      <c r="B5232">
        <f>IFERROR(__xludf.DUMMYFUNCTION("""COMPUTED_VALUE"""),2165246.0)</f>
        <v>2165246</v>
      </c>
      <c r="C5232" t="str">
        <f>IFERROR(__xludf.DUMMYFUNCTION("""COMPUTED_VALUE"""),"Data Structures A-Z : Data Structures + Algorithms Bootcamp")</f>
        <v>Data Structures A-Z : Data Structures + Algorithms Bootcamp</v>
      </c>
    </row>
    <row r="5233">
      <c r="A5233" s="140" t="str">
        <f>IFERROR(__xludf.DUMMYFUNCTION("""COMPUTED_VALUE"""),"fr")</f>
        <v>fr</v>
      </c>
      <c r="B5233">
        <f>IFERROR(__xludf.DUMMYFUNCTION("""COMPUTED_VALUE"""),3015386.0)</f>
        <v>3015386</v>
      </c>
      <c r="C5233" t="str">
        <f>IFERROR(__xludf.DUMMYFUNCTION("""COMPUTED_VALUE"""),"Guide ULTIME | investir en Bitcoin et cryptomonnaies [2021]")</f>
        <v>Guide ULTIME | investir en Bitcoin et cryptomonnaies [2021]</v>
      </c>
    </row>
    <row r="5234">
      <c r="A5234" s="140" t="str">
        <f>IFERROR(__xludf.DUMMYFUNCTION("""COMPUTED_VALUE"""),"en")</f>
        <v>en</v>
      </c>
      <c r="B5234">
        <f>IFERROR(__xludf.DUMMYFUNCTION("""COMPUTED_VALUE"""),2690676.0)</f>
        <v>2690676</v>
      </c>
      <c r="C5234" t="str">
        <f>IFERROR(__xludf.DUMMYFUNCTION("""COMPUTED_VALUE"""),"PMP® Certification: PMP Exam Recap - Get your PMP! / 18 PDUs")</f>
        <v>PMP® Certification: PMP Exam Recap - Get your PMP! / 18 PDUs</v>
      </c>
    </row>
    <row r="5235">
      <c r="A5235" s="140" t="str">
        <f>IFERROR(__xludf.DUMMYFUNCTION("""COMPUTED_VALUE"""),"fr")</f>
        <v>fr</v>
      </c>
      <c r="B5235">
        <f>IFERROR(__xludf.DUMMYFUNCTION("""COMPUTED_VALUE"""),1713092.0)</f>
        <v>1713092</v>
      </c>
      <c r="C5235" t="str">
        <f>IFERROR(__xludf.DUMMYFUNCTION("""COMPUTED_VALUE"""),"Snapchat, maîtrise la publicité pour vendre avec ta boutique")</f>
        <v>Snapchat, maîtrise la publicité pour vendre avec ta boutique</v>
      </c>
    </row>
    <row r="5236">
      <c r="A5236" s="140" t="str">
        <f>IFERROR(__xludf.DUMMYFUNCTION("""COMPUTED_VALUE"""),"ar")</f>
        <v>ar</v>
      </c>
      <c r="B5236">
        <f>IFERROR(__xludf.DUMMYFUNCTION("""COMPUTED_VALUE"""),2785668.0)</f>
        <v>2785668</v>
      </c>
      <c r="C5236" t="str">
        <f>IFERROR(__xludf.DUMMYFUNCTION("""COMPUTED_VALUE"""),"عندك مشكلة في تعلم اللغة الانجليزية هنا الحل")</f>
        <v>عندك مشكلة في تعلم اللغة الانجليزية هنا الحل</v>
      </c>
    </row>
    <row r="5237">
      <c r="A5237" s="140" t="str">
        <f>IFERROR(__xludf.DUMMYFUNCTION("""COMPUTED_VALUE"""),"en")</f>
        <v>en</v>
      </c>
      <c r="B5237">
        <f>IFERROR(__xludf.DUMMYFUNCTION("""COMPUTED_VALUE"""),2233168.0)</f>
        <v>2233168</v>
      </c>
      <c r="C5237" t="str">
        <f>IFERROR(__xludf.DUMMYFUNCTION("""COMPUTED_VALUE"""),"Overview of Informatica Data Director  (IDD)")</f>
        <v>Overview of Informatica Data Director  (IDD)</v>
      </c>
    </row>
    <row r="5238">
      <c r="A5238" s="140" t="str">
        <f>IFERROR(__xludf.DUMMYFUNCTION("""COMPUTED_VALUE"""),"tr")</f>
        <v>tr</v>
      </c>
      <c r="B5238">
        <f>IFERROR(__xludf.DUMMYFUNCTION("""COMPUTED_VALUE"""),3502682.0)</f>
        <v>3502682</v>
      </c>
      <c r="C5238" t="str">
        <f>IFERROR(__xludf.DUMMYFUNCTION("""COMPUTED_VALUE"""),"Bootstrap 4 Projelerle Front-End Responsive Web Tasarım")</f>
        <v>Bootstrap 4 Projelerle Front-End Responsive Web Tasarım</v>
      </c>
    </row>
    <row r="5239">
      <c r="A5239" s="140" t="str">
        <f>IFERROR(__xludf.DUMMYFUNCTION("""COMPUTED_VALUE"""),"en")</f>
        <v>en</v>
      </c>
      <c r="B5239">
        <f>IFERROR(__xludf.DUMMYFUNCTION("""COMPUTED_VALUE"""),1241868.0)</f>
        <v>1241868</v>
      </c>
      <c r="C5239" t="str">
        <f>IFERROR(__xludf.DUMMYFUNCTION("""COMPUTED_VALUE"""),"Dialectical Behaviour Therapy (DBT) - ACCREDITED CERTIFICATE")</f>
        <v>Dialectical Behaviour Therapy (DBT) - ACCREDITED CERTIFICATE</v>
      </c>
    </row>
    <row r="5240">
      <c r="A5240" s="140" t="str">
        <f>IFERROR(__xludf.DUMMYFUNCTION("""COMPUTED_VALUE"""),"pt")</f>
        <v>pt</v>
      </c>
      <c r="B5240">
        <f>IFERROR(__xludf.DUMMYFUNCTION("""COMPUTED_VALUE"""),2426412.0)</f>
        <v>2426412</v>
      </c>
      <c r="C5240" t="str">
        <f>IFERROR(__xludf.DUMMYFUNCTION("""COMPUTED_VALUE"""),"Firebase para Android - Módulo IV - Agenda de Serviços")</f>
        <v>Firebase para Android - Módulo IV - Agenda de Serviços</v>
      </c>
    </row>
    <row r="5241">
      <c r="A5241" s="140" t="str">
        <f>IFERROR(__xludf.DUMMYFUNCTION("""COMPUTED_VALUE"""),"ja")</f>
        <v>ja</v>
      </c>
      <c r="B5241">
        <f>IFERROR(__xludf.DUMMYFUNCTION("""COMPUTED_VALUE"""),829182.0)</f>
        <v>829182</v>
      </c>
      <c r="C5241" t="str">
        <f>IFERROR(__xludf.DUMMYFUNCTION("""COMPUTED_VALUE"""),"【個人事業主向け】青色申告の記帳を自力で行うための複式簿記の基本")</f>
        <v>【個人事業主向け】青色申告の記帳を自力で行うための複式簿記の基本</v>
      </c>
    </row>
    <row r="5242">
      <c r="A5242" s="140" t="str">
        <f>IFERROR(__xludf.DUMMYFUNCTION("""COMPUTED_VALUE"""),"fr")</f>
        <v>fr</v>
      </c>
      <c r="B5242">
        <f>IFERROR(__xludf.DUMMYFUNCTION("""COMPUTED_VALUE"""),2393094.0)</f>
        <v>2393094</v>
      </c>
      <c r="C5242" t="str">
        <f>IFERROR(__xludf.DUMMYFUNCTION("""COMPUTED_VALUE"""),"UX &amp; Web Design : les fondamentaux")</f>
        <v>UX &amp; Web Design : les fondamentaux</v>
      </c>
    </row>
    <row r="5243">
      <c r="A5243" s="140" t="str">
        <f>IFERROR(__xludf.DUMMYFUNCTION("""COMPUTED_VALUE"""),"de")</f>
        <v>de</v>
      </c>
      <c r="B5243">
        <f>IFERROR(__xludf.DUMMYFUNCTION("""COMPUTED_VALUE"""),2830496.0)</f>
        <v>2830496</v>
      </c>
      <c r="C5243" t="str">
        <f>IFERROR(__xludf.DUMMYFUNCTION("""COMPUTED_VALUE"""),"Masterclass Vertrieb &amp; Verkaufen vom Einsteiger zum Champion")</f>
        <v>Masterclass Vertrieb &amp; Verkaufen vom Einsteiger zum Champion</v>
      </c>
    </row>
    <row r="5244">
      <c r="A5244" s="140" t="str">
        <f>IFERROR(__xludf.DUMMYFUNCTION("""COMPUTED_VALUE"""),"en")</f>
        <v>en</v>
      </c>
      <c r="B5244">
        <f>IFERROR(__xludf.DUMMYFUNCTION("""COMPUTED_VALUE"""),1067762.0)</f>
        <v>1067762</v>
      </c>
      <c r="C5244" t="str">
        <f>IFERROR(__xludf.DUMMYFUNCTION("""COMPUTED_VALUE"""),"Create a web application with python + Django + PostgreSQL")</f>
        <v>Create a web application with python + Django + PostgreSQL</v>
      </c>
    </row>
    <row r="5245">
      <c r="A5245" s="140" t="str">
        <f>IFERROR(__xludf.DUMMYFUNCTION("""COMPUTED_VALUE"""),"en")</f>
        <v>en</v>
      </c>
      <c r="B5245">
        <f>IFERROR(__xludf.DUMMYFUNCTION("""COMPUTED_VALUE"""),283222.0)</f>
        <v>283222</v>
      </c>
      <c r="C5245" t="str">
        <f>IFERROR(__xludf.DUMMYFUNCTION("""COMPUTED_VALUE"""),"Surviving Digital Forensics: Resolving Attached USBs")</f>
        <v>Surviving Digital Forensics: Resolving Attached USBs</v>
      </c>
    </row>
    <row r="5246">
      <c r="A5246" s="140" t="str">
        <f>IFERROR(__xludf.DUMMYFUNCTION("""COMPUTED_VALUE"""),"pt")</f>
        <v>pt</v>
      </c>
      <c r="B5246">
        <f>IFERROR(__xludf.DUMMYFUNCTION("""COMPUTED_VALUE"""),1536282.0)</f>
        <v>1536282</v>
      </c>
      <c r="C5246" t="str">
        <f>IFERROR(__xludf.DUMMYFUNCTION("""COMPUTED_VALUE"""),"Curso desenvolvimento web 2.0 completo 2018 Python e Django")</f>
        <v>Curso desenvolvimento web 2.0 completo 2018 Python e Django</v>
      </c>
    </row>
    <row r="5247">
      <c r="A5247" s="140" t="str">
        <f>IFERROR(__xludf.DUMMYFUNCTION("""COMPUTED_VALUE"""),"en")</f>
        <v>en</v>
      </c>
      <c r="B5247">
        <f>IFERROR(__xludf.DUMMYFUNCTION("""COMPUTED_VALUE"""),3427676.0)</f>
        <v>3427676</v>
      </c>
      <c r="C5247" t="str">
        <f>IFERROR(__xludf.DUMMYFUNCTION("""COMPUTED_VALUE"""),"AWS Certified SysOps Administrator Associate 2021 (SOA-C02)")</f>
        <v>AWS Certified SysOps Administrator Associate 2021 (SOA-C02)</v>
      </c>
    </row>
    <row r="5248">
      <c r="A5248" s="140" t="str">
        <f>IFERROR(__xludf.DUMMYFUNCTION("""COMPUTED_VALUE"""),"en")</f>
        <v>en</v>
      </c>
      <c r="B5248">
        <f>IFERROR(__xludf.DUMMYFUNCTION("""COMPUTED_VALUE"""),1225172.0)</f>
        <v>1225172</v>
      </c>
      <c r="C5248" t="str">
        <f>IFERROR(__xludf.DUMMYFUNCTION("""COMPUTED_VALUE"""),"Clear and Simple VMware Certified Associate (RetiredVCA-DBT)")</f>
        <v>Clear and Simple VMware Certified Associate (RetiredVCA-DBT)</v>
      </c>
    </row>
    <row r="5249">
      <c r="A5249" s="140" t="str">
        <f>IFERROR(__xludf.DUMMYFUNCTION("""COMPUTED_VALUE"""),"es")</f>
        <v>es</v>
      </c>
      <c r="B5249">
        <f>IFERROR(__xludf.DUMMYFUNCTION("""COMPUTED_VALUE"""),1803524.0)</f>
        <v>1803524</v>
      </c>
      <c r="C5249" t="str">
        <f>IFERROR(__xludf.DUMMYFUNCTION("""COMPUTED_VALUE"""),"Aprende a escribir fácilmente: 30 ejercicios de creatividad")</f>
        <v>Aprende a escribir fácilmente: 30 ejercicios de creatividad</v>
      </c>
    </row>
    <row r="5250">
      <c r="A5250" s="140" t="str">
        <f>IFERROR(__xludf.DUMMYFUNCTION("""COMPUTED_VALUE"""),"pt")</f>
        <v>pt</v>
      </c>
      <c r="B5250">
        <f>IFERROR(__xludf.DUMMYFUNCTION("""COMPUTED_VALUE"""),2482596.0)</f>
        <v>2482596</v>
      </c>
      <c r="C5250" t="str">
        <f>IFERROR(__xludf.DUMMYFUNCTION("""COMPUTED_VALUE"""),"AWS: Cloud-Native com Terraform &amp; Serverless Framework")</f>
        <v>AWS: Cloud-Native com Terraform &amp; Serverless Framework</v>
      </c>
    </row>
    <row r="5251">
      <c r="A5251" s="140" t="str">
        <f>IFERROR(__xludf.DUMMYFUNCTION("""COMPUTED_VALUE"""),"en")</f>
        <v>en</v>
      </c>
      <c r="B5251">
        <f>IFERROR(__xludf.DUMMYFUNCTION("""COMPUTED_VALUE"""),3622040.0)</f>
        <v>3622040</v>
      </c>
      <c r="C5251" t="str">
        <f>IFERROR(__xludf.DUMMYFUNCTION("""COMPUTED_VALUE"""),"TigerGraph Bootcamp")</f>
        <v>TigerGraph Bootcamp</v>
      </c>
    </row>
    <row r="5252">
      <c r="A5252" s="140" t="str">
        <f>IFERROR(__xludf.DUMMYFUNCTION("""COMPUTED_VALUE"""),"en")</f>
        <v>en</v>
      </c>
      <c r="B5252">
        <f>IFERROR(__xludf.DUMMYFUNCTION("""COMPUTED_VALUE"""),2669708.0)</f>
        <v>2669708</v>
      </c>
      <c r="C5252" t="str">
        <f>IFERROR(__xludf.DUMMYFUNCTION("""COMPUTED_VALUE"""),"WCAG 2.1 / 2.2 Simplified With Examples")</f>
        <v>WCAG 2.1 / 2.2 Simplified With Examples</v>
      </c>
    </row>
    <row r="5253">
      <c r="A5253" s="140" t="str">
        <f>IFERROR(__xludf.DUMMYFUNCTION("""COMPUTED_VALUE"""),"en")</f>
        <v>en</v>
      </c>
      <c r="B5253">
        <f>IFERROR(__xludf.DUMMYFUNCTION("""COMPUTED_VALUE"""),2207270.0)</f>
        <v>2207270</v>
      </c>
      <c r="C5253" t="str">
        <f>IFERROR(__xludf.DUMMYFUNCTION("""COMPUTED_VALUE"""),"Be a Great Mentor: A Practical Guide to Mentorship")</f>
        <v>Be a Great Mentor: A Practical Guide to Mentorship</v>
      </c>
    </row>
    <row r="5254">
      <c r="A5254" s="140" t="str">
        <f>IFERROR(__xludf.DUMMYFUNCTION("""COMPUTED_VALUE"""),"en")</f>
        <v>en</v>
      </c>
      <c r="B5254">
        <f>IFERROR(__xludf.DUMMYFUNCTION("""COMPUTED_VALUE"""),82778.0)</f>
        <v>82778</v>
      </c>
      <c r="C5254" t="str">
        <f>IFERROR(__xludf.DUMMYFUNCTION("""COMPUTED_VALUE"""),"All about NodeJS")</f>
        <v>All about NodeJS</v>
      </c>
    </row>
    <row r="5255">
      <c r="A5255" s="140" t="str">
        <f>IFERROR(__xludf.DUMMYFUNCTION("""COMPUTED_VALUE"""),"es")</f>
        <v>es</v>
      </c>
      <c r="B5255">
        <f>IFERROR(__xludf.DUMMYFUNCTION("""COMPUTED_VALUE"""),1185096.0)</f>
        <v>1185096</v>
      </c>
      <c r="C5255" t="str">
        <f>IFERROR(__xludf.DUMMYFUNCTION("""COMPUTED_VALUE"""),"Desarrollo Web Spring Framework 4.3 &amp; Hibernate")</f>
        <v>Desarrollo Web Spring Framework 4.3 &amp; Hibernate</v>
      </c>
    </row>
    <row r="5256">
      <c r="A5256" s="140" t="str">
        <f>IFERROR(__xludf.DUMMYFUNCTION("""COMPUTED_VALUE"""),"fr")</f>
        <v>fr</v>
      </c>
      <c r="B5256">
        <f>IFERROR(__xludf.DUMMYFUNCTION("""COMPUTED_VALUE"""),3678948.0)</f>
        <v>3678948</v>
      </c>
      <c r="C5256" t="str">
        <f>IFERROR(__xludf.DUMMYFUNCTION("""COMPUTED_VALUE"""),"Apprendre le C# (C-Sharp) de débutant à Expert.")</f>
        <v>Apprendre le C# (C-Sharp) de débutant à Expert.</v>
      </c>
    </row>
    <row r="5257">
      <c r="A5257" s="140" t="str">
        <f>IFERROR(__xludf.DUMMYFUNCTION("""COMPUTED_VALUE"""),"en")</f>
        <v>en</v>
      </c>
      <c r="B5257">
        <f>IFERROR(__xludf.DUMMYFUNCTION("""COMPUTED_VALUE"""),446134.0)</f>
        <v>446134</v>
      </c>
      <c r="C5257" t="str">
        <f>IFERROR(__xludf.DUMMYFUNCTION("""COMPUTED_VALUE"""),"Ultimate Web Designer &amp; Web Developer Course for 2021")</f>
        <v>Ultimate Web Designer &amp; Web Developer Course for 2021</v>
      </c>
    </row>
    <row r="5258">
      <c r="A5258" s="140" t="str">
        <f>IFERROR(__xludf.DUMMYFUNCTION("""COMPUTED_VALUE"""),"en")</f>
        <v>en</v>
      </c>
      <c r="B5258">
        <f>IFERROR(__xludf.DUMMYFUNCTION("""COMPUTED_VALUE"""),2006330.0)</f>
        <v>2006330</v>
      </c>
      <c r="C5258" t="str">
        <f>IFERROR(__xludf.DUMMYFUNCTION("""COMPUTED_VALUE"""),"Testing Ruby with RSpec: The Complete Guide")</f>
        <v>Testing Ruby with RSpec: The Complete Guide</v>
      </c>
    </row>
    <row r="5259">
      <c r="A5259" s="140" t="str">
        <f>IFERROR(__xludf.DUMMYFUNCTION("""COMPUTED_VALUE"""),"en")</f>
        <v>en</v>
      </c>
      <c r="B5259">
        <f>IFERROR(__xludf.DUMMYFUNCTION("""COMPUTED_VALUE"""),924958.0)</f>
        <v>924958</v>
      </c>
      <c r="C5259" t="str">
        <f>IFERROR(__xludf.DUMMYFUNCTION("""COMPUTED_VALUE"""),"SAP Lumira - Building Data Visualizations from Scratch")</f>
        <v>SAP Lumira - Building Data Visualizations from Scratch</v>
      </c>
    </row>
    <row r="5260">
      <c r="A5260" s="140" t="str">
        <f>IFERROR(__xludf.DUMMYFUNCTION("""COMPUTED_VALUE"""),"ja")</f>
        <v>ja</v>
      </c>
      <c r="B5260">
        <f>IFERROR(__xludf.DUMMYFUNCTION("""COMPUTED_VALUE"""),52106.0)</f>
        <v>52106</v>
      </c>
      <c r="C5260" t="str">
        <f>IFERROR(__xludf.DUMMYFUNCTION("""COMPUTED_VALUE"""),"ベイズ推定とグラフィカルモデル：コンピュータビジョン基礎1")</f>
        <v>ベイズ推定とグラフィカルモデル：コンピュータビジョン基礎1</v>
      </c>
    </row>
    <row r="5261">
      <c r="A5261" s="140" t="str">
        <f>IFERROR(__xludf.DUMMYFUNCTION("""COMPUTED_VALUE"""),"en")</f>
        <v>en</v>
      </c>
      <c r="B5261">
        <f>IFERROR(__xludf.DUMMYFUNCTION("""COMPUTED_VALUE"""),3548782.0)</f>
        <v>3548782</v>
      </c>
      <c r="C5261" t="str">
        <f>IFERROR(__xludf.DUMMYFUNCTION("""COMPUTED_VALUE"""),"Advanced Tableau for Business Intelligence &amp; Data Analysis")</f>
        <v>Advanced Tableau for Business Intelligence &amp; Data Analysis</v>
      </c>
    </row>
    <row r="5262">
      <c r="A5262" s="140" t="str">
        <f>IFERROR(__xludf.DUMMYFUNCTION("""COMPUTED_VALUE"""),"es")</f>
        <v>es</v>
      </c>
      <c r="B5262">
        <f>IFERROR(__xludf.DUMMYFUNCTION("""COMPUTED_VALUE"""),3607728.0)</f>
        <v>3607728</v>
      </c>
      <c r="C5262" t="str">
        <f>IFERROR(__xludf.DUMMYFUNCTION("""COMPUTED_VALUE"""),"Ciberseguridad. Protege tu información de Cibercriminales.")</f>
        <v>Ciberseguridad. Protege tu información de Cibercriminales.</v>
      </c>
    </row>
    <row r="5263">
      <c r="A5263" s="140" t="str">
        <f>IFERROR(__xludf.DUMMYFUNCTION("""COMPUTED_VALUE"""),"pt")</f>
        <v>pt</v>
      </c>
      <c r="B5263">
        <f>IFERROR(__xludf.DUMMYFUNCTION("""COMPUTED_VALUE"""),2362690.0)</f>
        <v>2362690</v>
      </c>
      <c r="C5263" t="str">
        <f>IFERROR(__xludf.DUMMYFUNCTION("""COMPUTED_VALUE"""),"Google Tag Manager para Leigos")</f>
        <v>Google Tag Manager para Leigos</v>
      </c>
    </row>
    <row r="5264">
      <c r="A5264" s="140" t="str">
        <f>IFERROR(__xludf.DUMMYFUNCTION("""COMPUTED_VALUE"""),"en")</f>
        <v>en</v>
      </c>
      <c r="B5264">
        <f>IFERROR(__xludf.DUMMYFUNCTION("""COMPUTED_VALUE"""),2151006.0)</f>
        <v>2151006</v>
      </c>
      <c r="C5264" t="str">
        <f>IFERROR(__xludf.DUMMYFUNCTION("""COMPUTED_VALUE"""),"Customer Experience Management (CX): MASTERCLASS 2021")</f>
        <v>Customer Experience Management (CX): MASTERCLASS 2021</v>
      </c>
    </row>
    <row r="5265">
      <c r="A5265" s="140" t="str">
        <f>IFERROR(__xludf.DUMMYFUNCTION("""COMPUTED_VALUE"""),"en")</f>
        <v>en</v>
      </c>
      <c r="B5265">
        <f>IFERROR(__xludf.DUMMYFUNCTION("""COMPUTED_VALUE"""),2752048.0)</f>
        <v>2752048</v>
      </c>
      <c r="C5265" t="str">
        <f>IFERROR(__xludf.DUMMYFUNCTION("""COMPUTED_VALUE"""),"Data Warehouse Fundamentals for Beginners")</f>
        <v>Data Warehouse Fundamentals for Beginners</v>
      </c>
    </row>
    <row r="5266">
      <c r="A5266" s="140" t="str">
        <f>IFERROR(__xludf.DUMMYFUNCTION("""COMPUTED_VALUE"""),"pt")</f>
        <v>pt</v>
      </c>
      <c r="B5266">
        <f>IFERROR(__xludf.DUMMYFUNCTION("""COMPUTED_VALUE"""),2300438.0)</f>
        <v>2300438</v>
      </c>
      <c r="C5266" t="str">
        <f>IFERROR(__xludf.DUMMYFUNCTION("""COMPUTED_VALUE"""),"PHP 7 Completo - Curso do Desenvolvedor Web 2021 + Projetos")</f>
        <v>PHP 7 Completo - Curso do Desenvolvedor Web 2021 + Projetos</v>
      </c>
    </row>
    <row r="5267">
      <c r="A5267" s="140" t="str">
        <f>IFERROR(__xludf.DUMMYFUNCTION("""COMPUTED_VALUE"""),"ja")</f>
        <v>ja</v>
      </c>
      <c r="B5267">
        <f>IFERROR(__xludf.DUMMYFUNCTION("""COMPUTED_VALUE"""),1860100.0)</f>
        <v>1860100</v>
      </c>
      <c r="C5267" t="str">
        <f>IFERROR(__xludf.DUMMYFUNCTION("""COMPUTED_VALUE"""),"Amazon Web Service マスターコース VPC編")</f>
        <v>Amazon Web Service マスターコース VPC編</v>
      </c>
    </row>
    <row r="5268">
      <c r="A5268" s="140" t="str">
        <f>IFERROR(__xludf.DUMMYFUNCTION("""COMPUTED_VALUE"""),"pt")</f>
        <v>pt</v>
      </c>
      <c r="B5268">
        <f>IFERROR(__xludf.DUMMYFUNCTION("""COMPUTED_VALUE"""),3114406.0)</f>
        <v>3114406</v>
      </c>
      <c r="C5268" t="str">
        <f>IFERROR(__xludf.DUMMYFUNCTION("""COMPUTED_VALUE"""),"Curso Completo de WhatsApp Marketing e vendas no WhatsApp")</f>
        <v>Curso Completo de WhatsApp Marketing e vendas no WhatsApp</v>
      </c>
    </row>
    <row r="5269">
      <c r="A5269" s="140" t="str">
        <f>IFERROR(__xludf.DUMMYFUNCTION("""COMPUTED_VALUE"""),"en")</f>
        <v>en</v>
      </c>
      <c r="B5269">
        <f>IFERROR(__xludf.DUMMYFUNCTION("""COMPUTED_VALUE"""),1713332.0)</f>
        <v>1713332</v>
      </c>
      <c r="C5269" t="str">
        <f>IFERROR(__xludf.DUMMYFUNCTION("""COMPUTED_VALUE"""),"Mathematics for Computer Games Development using Unity")</f>
        <v>Mathematics for Computer Games Development using Unity</v>
      </c>
    </row>
    <row r="5270">
      <c r="A5270" s="140" t="str">
        <f>IFERROR(__xludf.DUMMYFUNCTION("""COMPUTED_VALUE"""),"en")</f>
        <v>en</v>
      </c>
      <c r="B5270">
        <f>IFERROR(__xludf.DUMMYFUNCTION("""COMPUTED_VALUE"""),3354090.0)</f>
        <v>3354090</v>
      </c>
      <c r="C5270" t="str">
        <f>IFERROR(__xludf.DUMMYFUNCTION("""COMPUTED_VALUE"""),"Learn C# and make a videogame with Unity 2020")</f>
        <v>Learn C# and make a videogame with Unity 2020</v>
      </c>
    </row>
    <row r="5271">
      <c r="A5271" s="140" t="str">
        <f>IFERROR(__xludf.DUMMYFUNCTION("""COMPUTED_VALUE"""),"pt")</f>
        <v>pt</v>
      </c>
      <c r="B5271">
        <f>IFERROR(__xludf.DUMMYFUNCTION("""COMPUTED_VALUE"""),1822014.0)</f>
        <v>1822014</v>
      </c>
      <c r="C5271" t="str">
        <f>IFERROR(__xludf.DUMMYFUNCTION("""COMPUTED_VALUE"""),"Microsoft Word - Trabalhando com Formulários")</f>
        <v>Microsoft Word - Trabalhando com Formulários</v>
      </c>
    </row>
    <row r="5272">
      <c r="A5272" s="140" t="str">
        <f>IFERROR(__xludf.DUMMYFUNCTION("""COMPUTED_VALUE"""),"en")</f>
        <v>en</v>
      </c>
      <c r="B5272">
        <f>IFERROR(__xludf.DUMMYFUNCTION("""COMPUTED_VALUE"""),30732.0)</f>
        <v>30732</v>
      </c>
      <c r="C5272" t="str">
        <f>IFERROR(__xludf.DUMMYFUNCTION("""COMPUTED_VALUE"""),"Adobe CS6 New Features")</f>
        <v>Adobe CS6 New Features</v>
      </c>
    </row>
    <row r="5273">
      <c r="A5273" s="140" t="str">
        <f>IFERROR(__xludf.DUMMYFUNCTION("""COMPUTED_VALUE"""),"tr")</f>
        <v>tr</v>
      </c>
      <c r="B5273">
        <f>IFERROR(__xludf.DUMMYFUNCTION("""COMPUTED_VALUE"""),2850620.0)</f>
        <v>2850620</v>
      </c>
      <c r="C5273" t="str">
        <f>IFERROR(__xludf.DUMMYFUNCTION("""COMPUTED_VALUE"""),"KVKK - Kişisel Verilerin Korunması Kanunu ve Uygulaması")</f>
        <v>KVKK - Kişisel Verilerin Korunması Kanunu ve Uygulaması</v>
      </c>
    </row>
    <row r="5274">
      <c r="A5274" s="140" t="str">
        <f>IFERROR(__xludf.DUMMYFUNCTION("""COMPUTED_VALUE"""),"fr")</f>
        <v>fr</v>
      </c>
      <c r="B5274">
        <f>IFERROR(__xludf.DUMMYFUNCTION("""COMPUTED_VALUE"""),1290486.0)</f>
        <v>1290486</v>
      </c>
      <c r="C5274" t="str">
        <f>IFERROR(__xludf.DUMMYFUNCTION("""COMPUTED_VALUE"""),"Découverte de l'Inbound Marketing")</f>
        <v>Découverte de l'Inbound Marketing</v>
      </c>
    </row>
    <row r="5275">
      <c r="A5275" s="140" t="str">
        <f>IFERROR(__xludf.DUMMYFUNCTION("""COMPUTED_VALUE"""),"en")</f>
        <v>en</v>
      </c>
      <c r="B5275">
        <f>IFERROR(__xludf.DUMMYFUNCTION("""COMPUTED_VALUE"""),775472.0)</f>
        <v>775472</v>
      </c>
      <c r="C5275" t="str">
        <f>IFERROR(__xludf.DUMMYFUNCTION("""COMPUTED_VALUE"""),"Cloud Computing Sales")</f>
        <v>Cloud Computing Sales</v>
      </c>
    </row>
    <row r="5276">
      <c r="A5276" s="140" t="str">
        <f>IFERROR(__xludf.DUMMYFUNCTION("""COMPUTED_VALUE"""),"es")</f>
        <v>es</v>
      </c>
      <c r="B5276">
        <f>IFERROR(__xludf.DUMMYFUNCTION("""COMPUTED_VALUE"""),1641336.0)</f>
        <v>1641336</v>
      </c>
      <c r="C5276" t="str">
        <f>IFERROR(__xludf.DUMMYFUNCTION("""COMPUTED_VALUE"""),"Blockchain. Entendiendo la cadena de bloques y su evolución")</f>
        <v>Blockchain. Entendiendo la cadena de bloques y su evolución</v>
      </c>
    </row>
    <row r="5277">
      <c r="A5277" s="140" t="str">
        <f>IFERROR(__xludf.DUMMYFUNCTION("""COMPUTED_VALUE"""),"pt")</f>
        <v>pt</v>
      </c>
      <c r="B5277">
        <f>IFERROR(__xludf.DUMMYFUNCTION("""COMPUTED_VALUE"""),3538312.0)</f>
        <v>3538312</v>
      </c>
      <c r="C5277" t="str">
        <f>IFERROR(__xludf.DUMMYFUNCTION("""COMPUTED_VALUE"""),"Fast MBA - Deal | Negociação e Persuasão")</f>
        <v>Fast MBA - Deal | Negociação e Persuasão</v>
      </c>
    </row>
    <row r="5278">
      <c r="A5278" s="140" t="str">
        <f>IFERROR(__xludf.DUMMYFUNCTION("""COMPUTED_VALUE"""),"es")</f>
        <v>es</v>
      </c>
      <c r="B5278">
        <f>IFERROR(__xludf.DUMMYFUNCTION("""COMPUTED_VALUE"""),2088520.0)</f>
        <v>2088520</v>
      </c>
      <c r="C5278" t="str">
        <f>IFERROR(__xludf.DUMMYFUNCTION("""COMPUTED_VALUE"""),"ionic 6+: Crear aplicaciones IOS, Android y PWAs con Angular")</f>
        <v>ionic 6+: Crear aplicaciones IOS, Android y PWAs con Angular</v>
      </c>
    </row>
    <row r="5279">
      <c r="A5279" s="140" t="str">
        <f>IFERROR(__xludf.DUMMYFUNCTION("""COMPUTED_VALUE"""),"es")</f>
        <v>es</v>
      </c>
      <c r="B5279">
        <f>IFERROR(__xludf.DUMMYFUNCTION("""COMPUTED_VALUE"""),2889360.0)</f>
        <v>2889360</v>
      </c>
      <c r="C5279" t="str">
        <f>IFERROR(__xludf.DUMMYFUNCTION("""COMPUTED_VALUE"""),"Aprende a programar en C# en 6 horas: C# para principiantes")</f>
        <v>Aprende a programar en C# en 6 horas: C# para principiantes</v>
      </c>
    </row>
    <row r="5280">
      <c r="A5280" s="140" t="str">
        <f>IFERROR(__xludf.DUMMYFUNCTION("""COMPUTED_VALUE"""),"en")</f>
        <v>en</v>
      </c>
      <c r="B5280">
        <f>IFERROR(__xludf.DUMMYFUNCTION("""COMPUTED_VALUE"""),2299870.0)</f>
        <v>2299870</v>
      </c>
      <c r="C5280" t="str">
        <f>IFERROR(__xludf.DUMMYFUNCTION("""COMPUTED_VALUE"""),"Apache Kafka - Real-time Stream Processing (Master Class)")</f>
        <v>Apache Kafka - Real-time Stream Processing (Master Class)</v>
      </c>
    </row>
    <row r="5281">
      <c r="A5281" s="140" t="str">
        <f>IFERROR(__xludf.DUMMYFUNCTION("""COMPUTED_VALUE"""),"en")</f>
        <v>en</v>
      </c>
      <c r="B5281">
        <f>IFERROR(__xludf.DUMMYFUNCTION("""COMPUTED_VALUE"""),889424.0)</f>
        <v>889424</v>
      </c>
      <c r="C5281" t="str">
        <f>IFERROR(__xludf.DUMMYFUNCTION("""COMPUTED_VALUE"""),"Practice Your First Penetration Test: Kali &amp; Metasploit Lab")</f>
        <v>Practice Your First Penetration Test: Kali &amp; Metasploit Lab</v>
      </c>
    </row>
    <row r="5282">
      <c r="A5282" s="140" t="str">
        <f>IFERROR(__xludf.DUMMYFUNCTION("""COMPUTED_VALUE"""),"en")</f>
        <v>en</v>
      </c>
      <c r="B5282">
        <f>IFERROR(__xludf.DUMMYFUNCTION("""COMPUTED_VALUE"""),617930.0)</f>
        <v>617930</v>
      </c>
      <c r="C5282" t="str">
        <f>IFERROR(__xludf.DUMMYFUNCTION("""COMPUTED_VALUE"""),"[2021] Machine Learning and Deep Learning Bootcamp in Python")</f>
        <v>[2021] Machine Learning and Deep Learning Bootcamp in Python</v>
      </c>
    </row>
    <row r="5283">
      <c r="A5283" s="140" t="str">
        <f>IFERROR(__xludf.DUMMYFUNCTION("""COMPUTED_VALUE"""),"pt")</f>
        <v>pt</v>
      </c>
      <c r="B5283">
        <f>IFERROR(__xludf.DUMMYFUNCTION("""COMPUTED_VALUE"""),1775708.0)</f>
        <v>1775708</v>
      </c>
      <c r="C5283" t="str">
        <f>IFERROR(__xludf.DUMMYFUNCTION("""COMPUTED_VALUE"""),"Teoria de Bancos de Dados: Do Zero a Graduação!")</f>
        <v>Teoria de Bancos de Dados: Do Zero a Graduação!</v>
      </c>
    </row>
    <row r="5284">
      <c r="A5284" s="140" t="str">
        <f>IFERROR(__xludf.DUMMYFUNCTION("""COMPUTED_VALUE"""),"fr")</f>
        <v>fr</v>
      </c>
      <c r="B5284">
        <f>IFERROR(__xludf.DUMMYFUNCTION("""COMPUTED_VALUE"""),1302260.0)</f>
        <v>1302260</v>
      </c>
      <c r="C5284" t="str">
        <f>IFERROR(__xludf.DUMMYFUNCTION("""COMPUTED_VALUE"""),"Web Scraping avec Python pour la Data Science")</f>
        <v>Web Scraping avec Python pour la Data Science</v>
      </c>
    </row>
    <row r="5285">
      <c r="A5285" s="140" t="str">
        <f>IFERROR(__xludf.DUMMYFUNCTION("""COMPUTED_VALUE"""),"ja")</f>
        <v>ja</v>
      </c>
      <c r="B5285">
        <f>IFERROR(__xludf.DUMMYFUNCTION("""COMPUTED_VALUE"""),3194122.0)</f>
        <v>3194122</v>
      </c>
      <c r="C5285" t="str">
        <f>IFERROR(__xludf.DUMMYFUNCTION("""COMPUTED_VALUE"""),"DaVinci Resolve 17 使い方 エディットページ基礎マスターコース")</f>
        <v>DaVinci Resolve 17 使い方 エディットページ基礎マスターコース</v>
      </c>
    </row>
    <row r="5286">
      <c r="A5286" s="140" t="str">
        <f>IFERROR(__xludf.DUMMYFUNCTION("""COMPUTED_VALUE"""),"es")</f>
        <v>es</v>
      </c>
      <c r="B5286">
        <f>IFERROR(__xludf.DUMMYFUNCTION("""COMPUTED_VALUE"""),1915568.0)</f>
        <v>1915568</v>
      </c>
      <c r="C5286" t="str">
        <f>IFERROR(__xludf.DUMMYFUNCTION("""COMPUTED_VALUE"""),"Diseño UX + HTML5 y CSS3 ¡Fácil y práctico!")</f>
        <v>Diseño UX + HTML5 y CSS3 ¡Fácil y práctico!</v>
      </c>
    </row>
    <row r="5287">
      <c r="A5287" s="140" t="str">
        <f>IFERROR(__xludf.DUMMYFUNCTION("""COMPUTED_VALUE"""),"ja")</f>
        <v>ja</v>
      </c>
      <c r="B5287">
        <f>IFERROR(__xludf.DUMMYFUNCTION("""COMPUTED_VALUE"""),1401708.0)</f>
        <v>1401708</v>
      </c>
      <c r="C5287" t="str">
        <f>IFERROR(__xludf.DUMMYFUNCTION("""COMPUTED_VALUE"""),"【入門者向け】ASP.NET MVCでWebアプリ開発のノウハウを学ぼう！")</f>
        <v>【入門者向け】ASP.NET MVCでWebアプリ開発のノウハウを学ぼう！</v>
      </c>
    </row>
    <row r="5288">
      <c r="A5288" s="140" t="str">
        <f>IFERROR(__xludf.DUMMYFUNCTION("""COMPUTED_VALUE"""),"en")</f>
        <v>en</v>
      </c>
      <c r="B5288">
        <f>IFERROR(__xludf.DUMMYFUNCTION("""COMPUTED_VALUE"""),275132.0)</f>
        <v>275132</v>
      </c>
      <c r="C5288" t="str">
        <f>IFERROR(__xludf.DUMMYFUNCTION("""COMPUTED_VALUE"""),"VoIP PBX &amp; Call Center on Asterisk 16 Issabel [Master Class]")</f>
        <v>VoIP PBX &amp; Call Center on Asterisk 16 Issabel [Master Class]</v>
      </c>
    </row>
    <row r="5289">
      <c r="A5289" s="140" t="str">
        <f>IFERROR(__xludf.DUMMYFUNCTION("""COMPUTED_VALUE"""),"en")</f>
        <v>en</v>
      </c>
      <c r="B5289">
        <f>IFERROR(__xludf.DUMMYFUNCTION("""COMPUTED_VALUE"""),2392662.0)</f>
        <v>2392662</v>
      </c>
      <c r="C5289" t="str">
        <f>IFERROR(__xludf.DUMMYFUNCTION("""COMPUTED_VALUE"""),"All about KPIs")</f>
        <v>All about KPIs</v>
      </c>
    </row>
    <row r="5290">
      <c r="A5290" s="140" t="str">
        <f>IFERROR(__xludf.DUMMYFUNCTION("""COMPUTED_VALUE"""),"en")</f>
        <v>en</v>
      </c>
      <c r="B5290">
        <f>IFERROR(__xludf.DUMMYFUNCTION("""COMPUTED_VALUE"""),1921420.0)</f>
        <v>1921420</v>
      </c>
      <c r="C5290" t="str">
        <f>IFERROR(__xludf.DUMMYFUNCTION("""COMPUTED_VALUE"""),"Ultimate AWS Certified Developer Associate 2021 - NEW!")</f>
        <v>Ultimate AWS Certified Developer Associate 2021 - NEW!</v>
      </c>
    </row>
    <row r="5291">
      <c r="A5291" s="140" t="str">
        <f>IFERROR(__xludf.DUMMYFUNCTION("""COMPUTED_VALUE"""),"en")</f>
        <v>en</v>
      </c>
      <c r="B5291">
        <f>IFERROR(__xludf.DUMMYFUNCTION("""COMPUTED_VALUE"""),715444.0)</f>
        <v>715444</v>
      </c>
      <c r="C5291" t="str">
        <f>IFERROR(__xludf.DUMMYFUNCTION("""COMPUTED_VALUE"""),"2D Composition in Photoshop &amp; Animation in After Effects")</f>
        <v>2D Composition in Photoshop &amp; Animation in After Effects</v>
      </c>
    </row>
    <row r="5292">
      <c r="A5292" s="140" t="str">
        <f>IFERROR(__xludf.DUMMYFUNCTION("""COMPUTED_VALUE"""),"ja")</f>
        <v>ja</v>
      </c>
      <c r="B5292">
        <f>IFERROR(__xludf.DUMMYFUNCTION("""COMPUTED_VALUE"""),1315204.0)</f>
        <v>1315204</v>
      </c>
      <c r="C5292" t="str">
        <f>IFERROR(__xludf.DUMMYFUNCTION("""COMPUTED_VALUE"""),"作って覚えるアンリアルエンジン【Unreal Engine 4】～ダンジョンゲーム編～")</f>
        <v>作って覚えるアンリアルエンジン【Unreal Engine 4】～ダンジョンゲーム編～</v>
      </c>
    </row>
    <row r="5293">
      <c r="A5293" s="140" t="str">
        <f>IFERROR(__xludf.DUMMYFUNCTION("""COMPUTED_VALUE"""),"en")</f>
        <v>en</v>
      </c>
      <c r="B5293">
        <f>IFERROR(__xludf.DUMMYFUNCTION("""COMPUTED_VALUE"""),3597496.0)</f>
        <v>3597496</v>
      </c>
      <c r="C5293" t="str">
        <f>IFERROR(__xludf.DUMMYFUNCTION("""COMPUTED_VALUE"""),"More than Certified in Terraform")</f>
        <v>More than Certified in Terraform</v>
      </c>
    </row>
    <row r="5294">
      <c r="A5294" s="140" t="str">
        <f>IFERROR(__xludf.DUMMYFUNCTION("""COMPUTED_VALUE"""),"en")</f>
        <v>en</v>
      </c>
      <c r="B5294">
        <f>IFERROR(__xludf.DUMMYFUNCTION("""COMPUTED_VALUE"""),1105822.0)</f>
        <v>1105822</v>
      </c>
      <c r="C5294" t="str">
        <f>IFERROR(__xludf.DUMMYFUNCTION("""COMPUTED_VALUE"""),"The Full JavaScript &amp; ES6 Tutorial - (including ES7 &amp; React)")</f>
        <v>The Full JavaScript &amp; ES6 Tutorial - (including ES7 &amp; React)</v>
      </c>
    </row>
    <row r="5295">
      <c r="A5295" s="140" t="str">
        <f>IFERROR(__xludf.DUMMYFUNCTION("""COMPUTED_VALUE"""),"pt")</f>
        <v>pt</v>
      </c>
      <c r="B5295">
        <f>IFERROR(__xludf.DUMMYFUNCTION("""COMPUTED_VALUE"""),1835854.0)</f>
        <v>1835854</v>
      </c>
      <c r="C5295" t="str">
        <f>IFERROR(__xludf.DUMMYFUNCTION("""COMPUTED_VALUE"""),"After Effects para Motion designers: Do zero ao mercado")</f>
        <v>After Effects para Motion designers: Do zero ao mercado</v>
      </c>
    </row>
    <row r="5296">
      <c r="A5296" s="140" t="str">
        <f>IFERROR(__xludf.DUMMYFUNCTION("""COMPUTED_VALUE"""),"ja")</f>
        <v>ja</v>
      </c>
      <c r="B5296">
        <f>IFERROR(__xludf.DUMMYFUNCTION("""COMPUTED_VALUE"""),2697244.0)</f>
        <v>2697244</v>
      </c>
      <c r="C5296" t="str">
        <f>IFERROR(__xludf.DUMMYFUNCTION("""COMPUTED_VALUE"""),"【初級〜中級】Illustrator(イラストレーター)でグラフィックデザインをしよう!!ロゴ・印刷物・WEB用素材")</f>
        <v>【初級〜中級】Illustrator(イラストレーター)でグラフィックデザインをしよう!!ロゴ・印刷物・WEB用素材</v>
      </c>
    </row>
    <row r="5297">
      <c r="A5297" s="140" t="str">
        <f>IFERROR(__xludf.DUMMYFUNCTION("""COMPUTED_VALUE"""),"es")</f>
        <v>es</v>
      </c>
      <c r="B5297">
        <f>IFERROR(__xludf.DUMMYFUNCTION("""COMPUTED_VALUE"""),3600428.0)</f>
        <v>3600428</v>
      </c>
      <c r="C5297" t="str">
        <f>IFERROR(__xludf.DUMMYFUNCTION("""COMPUTED_VALUE"""),"Clone de UBER utilizando Android Studio y Firebase (Parte 2)")</f>
        <v>Clone de UBER utilizando Android Studio y Firebase (Parte 2)</v>
      </c>
    </row>
    <row r="5298">
      <c r="A5298" s="140" t="str">
        <f>IFERROR(__xludf.DUMMYFUNCTION("""COMPUTED_VALUE"""),"de")</f>
        <v>de</v>
      </c>
      <c r="B5298">
        <f>IFERROR(__xludf.DUMMYFUNCTION("""COMPUTED_VALUE"""),3087914.0)</f>
        <v>3087914</v>
      </c>
      <c r="C5298" t="str">
        <f>IFERROR(__xludf.DUMMYFUNCTION("""COMPUTED_VALUE"""),"Git Komplettkurs: Vom Anfänger zum Profi (inkl. GitHub)")</f>
        <v>Git Komplettkurs: Vom Anfänger zum Profi (inkl. GitHub)</v>
      </c>
    </row>
    <row r="5299">
      <c r="A5299" s="140" t="str">
        <f>IFERROR(__xludf.DUMMYFUNCTION("""COMPUTED_VALUE"""),"en")</f>
        <v>en</v>
      </c>
      <c r="B5299">
        <f>IFERROR(__xludf.DUMMYFUNCTION("""COMPUTED_VALUE"""),1570972.0)</f>
        <v>1570972</v>
      </c>
      <c r="C5299" t="str">
        <f>IFERROR(__xludf.DUMMYFUNCTION("""COMPUTED_VALUE"""),"Continuous Deployments using Spinnaker on AWS and Kubernetes")</f>
        <v>Continuous Deployments using Spinnaker on AWS and Kubernetes</v>
      </c>
    </row>
    <row r="5300">
      <c r="A5300" s="140" t="str">
        <f>IFERROR(__xludf.DUMMYFUNCTION("""COMPUTED_VALUE"""),"en")</f>
        <v>en</v>
      </c>
      <c r="B5300">
        <f>IFERROR(__xludf.DUMMYFUNCTION("""COMPUTED_VALUE"""),1776912.0)</f>
        <v>1776912</v>
      </c>
      <c r="C5300" t="str">
        <f>IFERROR(__xludf.DUMMYFUNCTION("""COMPUTED_VALUE"""),"Tensorflow Deep Learning - Data Science in Python")</f>
        <v>Tensorflow Deep Learning - Data Science in Python</v>
      </c>
    </row>
    <row r="5301">
      <c r="A5301" s="140" t="str">
        <f>IFERROR(__xludf.DUMMYFUNCTION("""COMPUTED_VALUE"""),"en")</f>
        <v>en</v>
      </c>
      <c r="B5301">
        <f>IFERROR(__xludf.DUMMYFUNCTION("""COMPUTED_VALUE"""),647660.0)</f>
        <v>647660</v>
      </c>
      <c r="C5301" t="str">
        <f>IFERROR(__xludf.DUMMYFUNCTION("""COMPUTED_VALUE"""),"Recursion, Backtracking and Dynamic Programming in Java")</f>
        <v>Recursion, Backtracking and Dynamic Programming in Java</v>
      </c>
    </row>
    <row r="5302">
      <c r="A5302" s="140" t="str">
        <f>IFERROR(__xludf.DUMMYFUNCTION("""COMPUTED_VALUE"""),"en")</f>
        <v>en</v>
      </c>
      <c r="B5302">
        <f>IFERROR(__xludf.DUMMYFUNCTION("""COMPUTED_VALUE"""),1212032.0)</f>
        <v>1212032</v>
      </c>
      <c r="C5302" t="str">
        <f>IFERROR(__xludf.DUMMYFUNCTION("""COMPUTED_VALUE"""),"Python for Financial Analysis and Algorithmic Trading")</f>
        <v>Python for Financial Analysis and Algorithmic Trading</v>
      </c>
    </row>
    <row r="5303">
      <c r="A5303" s="140" t="str">
        <f>IFERROR(__xludf.DUMMYFUNCTION("""COMPUTED_VALUE"""),"en")</f>
        <v>en</v>
      </c>
      <c r="B5303">
        <f>IFERROR(__xludf.DUMMYFUNCTION("""COMPUTED_VALUE"""),468698.0)</f>
        <v>468698</v>
      </c>
      <c r="C5303" t="str">
        <f>IFERROR(__xludf.DUMMYFUNCTION("""COMPUTED_VALUE"""),"Project Management: Simple Software Project Management")</f>
        <v>Project Management: Simple Software Project Management</v>
      </c>
    </row>
    <row r="5304">
      <c r="A5304" s="140" t="str">
        <f>IFERROR(__xludf.DUMMYFUNCTION("""COMPUTED_VALUE"""),"en")</f>
        <v>en</v>
      </c>
      <c r="B5304">
        <f>IFERROR(__xludf.DUMMYFUNCTION("""COMPUTED_VALUE"""),2030050.0)</f>
        <v>2030050</v>
      </c>
      <c r="C5304" t="str">
        <f>IFERROR(__xludf.DUMMYFUNCTION("""COMPUTED_VALUE"""),"Lean Management | Certified Lean Expert (Accredited)")</f>
        <v>Lean Management | Certified Lean Expert (Accredited)</v>
      </c>
    </row>
    <row r="5305">
      <c r="A5305" s="140" t="str">
        <f>IFERROR(__xludf.DUMMYFUNCTION("""COMPUTED_VALUE"""),"en")</f>
        <v>en</v>
      </c>
      <c r="B5305">
        <f>IFERROR(__xludf.DUMMYFUNCTION("""COMPUTED_VALUE"""),2619542.0)</f>
        <v>2619542</v>
      </c>
      <c r="C5305" t="str">
        <f>IFERROR(__xludf.DUMMYFUNCTION("""COMPUTED_VALUE"""),"HVAC Fundamentals and BMS Controls")</f>
        <v>HVAC Fundamentals and BMS Controls</v>
      </c>
    </row>
    <row r="5306">
      <c r="A5306" s="140" t="str">
        <f>IFERROR(__xludf.DUMMYFUNCTION("""COMPUTED_VALUE"""),"en")</f>
        <v>en</v>
      </c>
      <c r="B5306">
        <f>IFERROR(__xludf.DUMMYFUNCTION("""COMPUTED_VALUE"""),983494.0)</f>
        <v>983494</v>
      </c>
      <c r="C5306" t="str">
        <f>IFERROR(__xludf.DUMMYFUNCTION("""COMPUTED_VALUE"""),"Group Life Coaching Certification (Accredited)")</f>
        <v>Group Life Coaching Certification (Accredited)</v>
      </c>
    </row>
    <row r="5307">
      <c r="A5307" s="140" t="str">
        <f>IFERROR(__xludf.DUMMYFUNCTION("""COMPUTED_VALUE"""),"en")</f>
        <v>en</v>
      </c>
      <c r="B5307">
        <f>IFERROR(__xludf.DUMMYFUNCTION("""COMPUTED_VALUE"""),1174554.0)</f>
        <v>1174554</v>
      </c>
      <c r="C5307" t="str">
        <f>IFERROR(__xludf.DUMMYFUNCTION("""COMPUTED_VALUE"""),"3 Minute German - Course 2 | Language lessons for beginners")</f>
        <v>3 Minute German - Course 2 | Language lessons for beginners</v>
      </c>
    </row>
    <row r="5308">
      <c r="A5308" s="140" t="str">
        <f>IFERROR(__xludf.DUMMYFUNCTION("""COMPUTED_VALUE"""),"ko")</f>
        <v>ko</v>
      </c>
      <c r="B5308">
        <f>IFERROR(__xludf.DUMMYFUNCTION("""COMPUTED_VALUE"""),3107026.0)</f>
        <v>3107026</v>
      </c>
      <c r="C5308" t="str">
        <f>IFERROR(__xludf.DUMMYFUNCTION("""COMPUTED_VALUE"""),"Swift 언어로 만드는 Tetris Game")</f>
        <v>Swift 언어로 만드는 Tetris Game</v>
      </c>
    </row>
    <row r="5309">
      <c r="A5309" s="140" t="str">
        <f>IFERROR(__xludf.DUMMYFUNCTION("""COMPUTED_VALUE"""),"pt")</f>
        <v>pt</v>
      </c>
      <c r="B5309">
        <f>IFERROR(__xludf.DUMMYFUNCTION("""COMPUTED_VALUE"""),2855586.0)</f>
        <v>2855586</v>
      </c>
      <c r="C5309" t="str">
        <f>IFERROR(__xludf.DUMMYFUNCTION("""COMPUTED_VALUE"""),"Formação Engenheiro de Machine Learning: O Curso Completo!")</f>
        <v>Formação Engenheiro de Machine Learning: O Curso Completo!</v>
      </c>
    </row>
    <row r="5310">
      <c r="A5310" s="140" t="str">
        <f>IFERROR(__xludf.DUMMYFUNCTION("""COMPUTED_VALUE"""),"pt")</f>
        <v>pt</v>
      </c>
      <c r="B5310">
        <f>IFERROR(__xludf.DUMMYFUNCTION("""COMPUTED_VALUE"""),1893688.0)</f>
        <v>1893688</v>
      </c>
      <c r="C5310" t="str">
        <f>IFERROR(__xludf.DUMMYFUNCTION("""COMPUTED_VALUE"""),"Java primeiros passos: Lógica de Programação e Algoritmos")</f>
        <v>Java primeiros passos: Lógica de Programação e Algoritmos</v>
      </c>
    </row>
    <row r="5311">
      <c r="A5311" s="140" t="str">
        <f>IFERROR(__xludf.DUMMYFUNCTION("""COMPUTED_VALUE"""),"en")</f>
        <v>en</v>
      </c>
      <c r="B5311">
        <f>IFERROR(__xludf.DUMMYFUNCTION("""COMPUTED_VALUE"""),363248.0)</f>
        <v>363248</v>
      </c>
      <c r="C5311" t="str">
        <f>IFERROR(__xludf.DUMMYFUNCTION("""COMPUTED_VALUE"""),"Public Speaking for Engineers: Never Get Lost in Tech Detail")</f>
        <v>Public Speaking for Engineers: Never Get Lost in Tech Detail</v>
      </c>
    </row>
    <row r="5312">
      <c r="A5312" s="140" t="str">
        <f>IFERROR(__xludf.DUMMYFUNCTION("""COMPUTED_VALUE"""),"de")</f>
        <v>de</v>
      </c>
      <c r="B5312">
        <f>IFERROR(__xludf.DUMMYFUNCTION("""COMPUTED_VALUE"""),2753438.0)</f>
        <v>2753438</v>
      </c>
      <c r="C5312" t="str">
        <f>IFERROR(__xludf.DUMMYFUNCTION("""COMPUTED_VALUE"""),"Profitables E-Mail Marketing mit Quentn in 5 Stunden lernen")</f>
        <v>Profitables E-Mail Marketing mit Quentn in 5 Stunden lernen</v>
      </c>
    </row>
    <row r="5313">
      <c r="A5313" s="140" t="str">
        <f>IFERROR(__xludf.DUMMYFUNCTION("""COMPUTED_VALUE"""),"tr")</f>
        <v>tr</v>
      </c>
      <c r="B5313">
        <f>IFERROR(__xludf.DUMMYFUNCTION("""COMPUTED_VALUE"""),1644226.0)</f>
        <v>1644226</v>
      </c>
      <c r="C5313" t="str">
        <f>IFERROR(__xludf.DUMMYFUNCTION("""COMPUTED_VALUE"""),"Codeigniter ile Sıfırdan CMS Yapımı")</f>
        <v>Codeigniter ile Sıfırdan CMS Yapımı</v>
      </c>
    </row>
    <row r="5314">
      <c r="A5314" s="140" t="str">
        <f>IFERROR(__xludf.DUMMYFUNCTION("""COMPUTED_VALUE"""),"en")</f>
        <v>en</v>
      </c>
      <c r="B5314">
        <f>IFERROR(__xludf.DUMMYFUNCTION("""COMPUTED_VALUE"""),2514550.0)</f>
        <v>2514550</v>
      </c>
      <c r="C5314" t="str">
        <f>IFERROR(__xludf.DUMMYFUNCTION("""COMPUTED_VALUE"""),"SAP S/4HANA - Learn ABAP Programming model for SAP S/4 HANA")</f>
        <v>SAP S/4HANA - Learn ABAP Programming model for SAP S/4 HANA</v>
      </c>
    </row>
    <row r="5315">
      <c r="A5315" s="140" t="str">
        <f>IFERROR(__xludf.DUMMYFUNCTION("""COMPUTED_VALUE"""),"es")</f>
        <v>es</v>
      </c>
      <c r="B5315">
        <f>IFERROR(__xludf.DUMMYFUNCTION("""COMPUTED_VALUE"""),1111290.0)</f>
        <v>1111290</v>
      </c>
      <c r="C5315" t="str">
        <f>IFERROR(__xludf.DUMMYFUNCTION("""COMPUTED_VALUE"""),"Curso de VueJS 2 en Español - Crea webapps modernas")</f>
        <v>Curso de VueJS 2 en Español - Crea webapps modernas</v>
      </c>
    </row>
    <row r="5316">
      <c r="A5316" s="140" t="str">
        <f>IFERROR(__xludf.DUMMYFUNCTION("""COMPUTED_VALUE"""),"pt")</f>
        <v>pt</v>
      </c>
      <c r="B5316">
        <f>IFERROR(__xludf.DUMMYFUNCTION("""COMPUTED_VALUE"""),2464076.0)</f>
        <v>2464076</v>
      </c>
      <c r="C5316" t="str">
        <f>IFERROR(__xludf.DUMMYFUNCTION("""COMPUTED_VALUE"""),"BPM, BPMN e Modelagem de Processos com Bizagi")</f>
        <v>BPM, BPMN e Modelagem de Processos com Bizagi</v>
      </c>
    </row>
    <row r="5317">
      <c r="A5317" s="140" t="str">
        <f>IFERROR(__xludf.DUMMYFUNCTION("""COMPUTED_VALUE"""),"en")</f>
        <v>en</v>
      </c>
      <c r="B5317">
        <f>IFERROR(__xludf.DUMMYFUNCTION("""COMPUTED_VALUE"""),2023774.0)</f>
        <v>2023774</v>
      </c>
      <c r="C5317" t="str">
        <f>IFERROR(__xludf.DUMMYFUNCTION("""COMPUTED_VALUE"""),"x86 Assembly Language Programming From Ground Up™")</f>
        <v>x86 Assembly Language Programming From Ground Up™</v>
      </c>
    </row>
    <row r="5318">
      <c r="A5318" s="140" t="str">
        <f>IFERROR(__xludf.DUMMYFUNCTION("""COMPUTED_VALUE"""),"en")</f>
        <v>en</v>
      </c>
      <c r="B5318">
        <f>IFERROR(__xludf.DUMMYFUNCTION("""COMPUTED_VALUE"""),999200.0)</f>
        <v>999200</v>
      </c>
      <c r="C5318" t="str">
        <f>IFERROR(__xludf.DUMMYFUNCTION("""COMPUTED_VALUE"""),"Introduction to TypeScript Development")</f>
        <v>Introduction to TypeScript Development</v>
      </c>
    </row>
    <row r="5319">
      <c r="A5319" s="140" t="str">
        <f>IFERROR(__xludf.DUMMYFUNCTION("""COMPUTED_VALUE"""),"tr")</f>
        <v>tr</v>
      </c>
      <c r="B5319">
        <f>IFERROR(__xludf.DUMMYFUNCTION("""COMPUTED_VALUE"""),2734880.0)</f>
        <v>2734880</v>
      </c>
      <c r="C5319" t="str">
        <f>IFERROR(__xludf.DUMMYFUNCTION("""COMPUTED_VALUE"""),"Python 3: Sıfırdan Programcılık Mesleğine")</f>
        <v>Python 3: Sıfırdan Programcılık Mesleğine</v>
      </c>
    </row>
    <row r="5320">
      <c r="A5320" s="140" t="str">
        <f>IFERROR(__xludf.DUMMYFUNCTION("""COMPUTED_VALUE"""),"pt")</f>
        <v>pt</v>
      </c>
      <c r="B5320">
        <f>IFERROR(__xludf.DUMMYFUNCTION("""COMPUTED_VALUE"""),1758626.0)</f>
        <v>1758626</v>
      </c>
      <c r="C5320" t="str">
        <f>IFERROR(__xludf.DUMMYFUNCTION("""COMPUTED_VALUE"""),"INTELIGÊNCIA EMOCIONAL : Fundamentos e como Desenvolver")</f>
        <v>INTELIGÊNCIA EMOCIONAL : Fundamentos e como Desenvolver</v>
      </c>
    </row>
    <row r="5321">
      <c r="A5321" s="140" t="str">
        <f>IFERROR(__xludf.DUMMYFUNCTION("""COMPUTED_VALUE"""),"en")</f>
        <v>en</v>
      </c>
      <c r="B5321">
        <f>IFERROR(__xludf.DUMMYFUNCTION("""COMPUTED_VALUE"""),1423870.0)</f>
        <v>1423870</v>
      </c>
      <c r="C5321" t="str">
        <f>IFERROR(__xludf.DUMMYFUNCTION("""COMPUTED_VALUE"""),"Data Science Career Guide - Interview Preparation")</f>
        <v>Data Science Career Guide - Interview Preparation</v>
      </c>
    </row>
    <row r="5322">
      <c r="A5322" s="140" t="str">
        <f>IFERROR(__xludf.DUMMYFUNCTION("""COMPUTED_VALUE"""),"pt")</f>
        <v>pt</v>
      </c>
      <c r="B5322">
        <f>IFERROR(__xludf.DUMMYFUNCTION("""COMPUTED_VALUE"""),1020142.0)</f>
        <v>1020142</v>
      </c>
      <c r="C5322" t="str">
        <f>IFERROR(__xludf.DUMMYFUNCTION("""COMPUTED_VALUE"""),"Modelagem do Banco de Dados MySQL e linguagem SQL do ZERO")</f>
        <v>Modelagem do Banco de Dados MySQL e linguagem SQL do ZERO</v>
      </c>
    </row>
    <row r="5323">
      <c r="A5323" s="140" t="str">
        <f>IFERROR(__xludf.DUMMYFUNCTION("""COMPUTED_VALUE"""),"en")</f>
        <v>en</v>
      </c>
      <c r="B5323">
        <f>IFERROR(__xludf.DUMMYFUNCTION("""COMPUTED_VALUE"""),655208.0)</f>
        <v>655208</v>
      </c>
      <c r="C5323" t="str">
        <f>IFERROR(__xludf.DUMMYFUNCTION("""COMPUTED_VALUE"""),"The Ultimate 2D Game Character Design &amp; Animation Course")</f>
        <v>The Ultimate 2D Game Character Design &amp; Animation Course</v>
      </c>
    </row>
    <row r="5324">
      <c r="A5324" s="140" t="str">
        <f>IFERROR(__xludf.DUMMYFUNCTION("""COMPUTED_VALUE"""),"en")</f>
        <v>en</v>
      </c>
      <c r="B5324">
        <f>IFERROR(__xludf.DUMMYFUNCTION("""COMPUTED_VALUE"""),2862626.0)</f>
        <v>2862626</v>
      </c>
      <c r="C5324" t="str">
        <f>IFERROR(__xludf.DUMMYFUNCTION("""COMPUTED_VALUE"""),"QML for Beginners with Qt 5")</f>
        <v>QML for Beginners with Qt 5</v>
      </c>
    </row>
    <row r="5325">
      <c r="A5325" s="140" t="str">
        <f>IFERROR(__xludf.DUMMYFUNCTION("""COMPUTED_VALUE"""),"en")</f>
        <v>en</v>
      </c>
      <c r="B5325">
        <f>IFERROR(__xludf.DUMMYFUNCTION("""COMPUTED_VALUE"""),424864.0)</f>
        <v>424864</v>
      </c>
      <c r="C5325" t="str">
        <f>IFERROR(__xludf.DUMMYFUNCTION("""COMPUTED_VALUE"""),"Write PHP Like a Pro: Build a PHP MVC Framework From Scratch")</f>
        <v>Write PHP Like a Pro: Build a PHP MVC Framework From Scratch</v>
      </c>
    </row>
    <row r="5326">
      <c r="A5326" s="140" t="str">
        <f>IFERROR(__xludf.DUMMYFUNCTION("""COMPUTED_VALUE"""),"en")</f>
        <v>en</v>
      </c>
      <c r="B5326">
        <f>IFERROR(__xludf.DUMMYFUNCTION("""COMPUTED_VALUE"""),3843706.0)</f>
        <v>3843706</v>
      </c>
      <c r="C5326" t="str">
        <f>IFERROR(__xludf.DUMMYFUNCTION("""COMPUTED_VALUE"""),"Transport logistics - Introduction to transport modes")</f>
        <v>Transport logistics - Introduction to transport modes</v>
      </c>
    </row>
    <row r="5327">
      <c r="A5327" s="140" t="str">
        <f>IFERROR(__xludf.DUMMYFUNCTION("""COMPUTED_VALUE"""),"en")</f>
        <v>en</v>
      </c>
      <c r="B5327">
        <f>IFERROR(__xludf.DUMMYFUNCTION("""COMPUTED_VALUE"""),522094.0)</f>
        <v>522094</v>
      </c>
      <c r="C5327" t="str">
        <f>IFERROR(__xludf.DUMMYFUNCTION("""COMPUTED_VALUE"""),"Agile PM 401 - Advanced Agile Project Management")</f>
        <v>Agile PM 401 - Advanced Agile Project Management</v>
      </c>
    </row>
    <row r="5328">
      <c r="A5328" s="140" t="str">
        <f>IFERROR(__xludf.DUMMYFUNCTION("""COMPUTED_VALUE"""),"en")</f>
        <v>en</v>
      </c>
      <c r="B5328">
        <f>IFERROR(__xludf.DUMMYFUNCTION("""COMPUTED_VALUE"""),1839496.0)</f>
        <v>1839496</v>
      </c>
      <c r="C5328" t="str">
        <f>IFERROR(__xludf.DUMMYFUNCTION("""COMPUTED_VALUE"""),"ISTQB Foundation Level chapter-wise exams [2021 updated]")</f>
        <v>ISTQB Foundation Level chapter-wise exams [2021 updated]</v>
      </c>
    </row>
    <row r="5329">
      <c r="A5329" s="140" t="str">
        <f>IFERROR(__xludf.DUMMYFUNCTION("""COMPUTED_VALUE"""),"en")</f>
        <v>en</v>
      </c>
      <c r="B5329">
        <f>IFERROR(__xludf.DUMMYFUNCTION("""COMPUTED_VALUE"""),802268.0)</f>
        <v>802268</v>
      </c>
      <c r="C5329" t="str">
        <f>IFERROR(__xludf.DUMMYFUNCTION("""COMPUTED_VALUE"""),"Intro to Git")</f>
        <v>Intro to Git</v>
      </c>
    </row>
    <row r="5330">
      <c r="A5330" s="140" t="str">
        <f>IFERROR(__xludf.DUMMYFUNCTION("""COMPUTED_VALUE"""),"ja")</f>
        <v>ja</v>
      </c>
      <c r="B5330">
        <f>IFERROR(__xludf.DUMMYFUNCTION("""COMPUTED_VALUE"""),3513048.0)</f>
        <v>3513048</v>
      </c>
      <c r="C5330" t="str">
        <f>IFERROR(__xludf.DUMMYFUNCTION("""COMPUTED_VALUE"""),"C#のWindowsフォームでMVVMをする方法：一緒に作るWindowフォームのMVVMフレームワーク")</f>
        <v>C#のWindowsフォームでMVVMをする方法：一緒に作るWindowフォームのMVVMフレームワーク</v>
      </c>
    </row>
    <row r="5331">
      <c r="A5331" s="140" t="str">
        <f>IFERROR(__xludf.DUMMYFUNCTION("""COMPUTED_VALUE"""),"pt")</f>
        <v>pt</v>
      </c>
      <c r="B5331">
        <f>IFERROR(__xludf.DUMMYFUNCTION("""COMPUTED_VALUE"""),2797158.0)</f>
        <v>2797158</v>
      </c>
      <c r="C5331" t="str">
        <f>IFERROR(__xludf.DUMMYFUNCTION("""COMPUTED_VALUE"""),"Comunicação e Cultura em Negócios Internacionais")</f>
        <v>Comunicação e Cultura em Negócios Internacionais</v>
      </c>
    </row>
    <row r="5332">
      <c r="A5332" s="140" t="str">
        <f>IFERROR(__xludf.DUMMYFUNCTION("""COMPUTED_VALUE"""),"ja")</f>
        <v>ja</v>
      </c>
      <c r="B5332">
        <f>IFERROR(__xludf.DUMMYFUNCTION("""COMPUTED_VALUE"""),4203308.0)</f>
        <v>4203308</v>
      </c>
      <c r="C5332" t="str">
        <f>IFERROR(__xludf.DUMMYFUNCTION("""COMPUTED_VALUE"""),"機械学習エンジニア/データサイエンティストの目指し方 -人工知能（AI）を仕事にしよう！-")</f>
        <v>機械学習エンジニア/データサイエンティストの目指し方 -人工知能（AI）を仕事にしよう！-</v>
      </c>
    </row>
    <row r="5333">
      <c r="A5333" s="140" t="str">
        <f>IFERROR(__xludf.DUMMYFUNCTION("""COMPUTED_VALUE"""),"es")</f>
        <v>es</v>
      </c>
      <c r="B5333">
        <f>IFERROR(__xludf.DUMMYFUNCTION("""COMPUTED_VALUE"""),3823082.0)</f>
        <v>3823082</v>
      </c>
      <c r="C5333" t="str">
        <f>IFERROR(__xludf.DUMMYFUNCTION("""COMPUTED_VALUE"""),"Curso de Lectura Activa y Comprensiva")</f>
        <v>Curso de Lectura Activa y Comprensiva</v>
      </c>
    </row>
    <row r="5334">
      <c r="A5334" s="140" t="str">
        <f>IFERROR(__xludf.DUMMYFUNCTION("""COMPUTED_VALUE"""),"ja")</f>
        <v>ja</v>
      </c>
      <c r="B5334">
        <f>IFERROR(__xludf.DUMMYFUNCTION("""COMPUTED_VALUE"""),3412518.0)</f>
        <v>3412518</v>
      </c>
      <c r="C5334" t="str">
        <f>IFERROR(__xludf.DUMMYFUNCTION("""COMPUTED_VALUE"""),"【Vue.js2&amp;Vue.js3対応】基礎から【Vuetify】を使った応用まで！ 超初心者から最短距離でレベルアップ")</f>
        <v>【Vue.js2&amp;Vue.js3対応】基礎から【Vuetify】を使った応用まで！ 超初心者から最短距離でレベルアップ</v>
      </c>
    </row>
    <row r="5335">
      <c r="A5335" s="140" t="str">
        <f>IFERROR(__xludf.DUMMYFUNCTION("""COMPUTED_VALUE"""),"en")</f>
        <v>en</v>
      </c>
      <c r="B5335">
        <f>IFERROR(__xludf.DUMMYFUNCTION("""COMPUTED_VALUE"""),1132342.0)</f>
        <v>1132342</v>
      </c>
      <c r="C5335" t="str">
        <f>IFERROR(__xludf.DUMMYFUNCTION("""COMPUTED_VALUE"""),"Ultimate Beginner Guitar Masterclass (2021 Update)")</f>
        <v>Ultimate Beginner Guitar Masterclass (2021 Update)</v>
      </c>
    </row>
    <row r="5336">
      <c r="A5336" s="140" t="str">
        <f>IFERROR(__xludf.DUMMYFUNCTION("""COMPUTED_VALUE"""),"ar")</f>
        <v>ar</v>
      </c>
      <c r="B5336">
        <f>IFERROR(__xludf.DUMMYFUNCTION("""COMPUTED_VALUE"""),3613344.0)</f>
        <v>3613344</v>
      </c>
      <c r="C5336" t="str">
        <f>IFERROR(__xludf.DUMMYFUNCTION("""COMPUTED_VALUE"""),"PMP Revision Course 6th Edition كورس مراجعه للاختبار")</f>
        <v>PMP Revision Course 6th Edition كورس مراجعه للاختبار</v>
      </c>
    </row>
    <row r="5337">
      <c r="A5337" s="140" t="str">
        <f>IFERROR(__xludf.DUMMYFUNCTION("""COMPUTED_VALUE"""),"en")</f>
        <v>en</v>
      </c>
      <c r="B5337">
        <f>IFERROR(__xludf.DUMMYFUNCTION("""COMPUTED_VALUE"""),3728402.0)</f>
        <v>3728402</v>
      </c>
      <c r="C5337" t="str">
        <f>IFERROR(__xludf.DUMMYFUNCTION("""COMPUTED_VALUE"""),"Informatica Master Data Management ( Informatica MDM )")</f>
        <v>Informatica Master Data Management ( Informatica MDM )</v>
      </c>
    </row>
    <row r="5338">
      <c r="A5338" s="140" t="str">
        <f>IFERROR(__xludf.DUMMYFUNCTION("""COMPUTED_VALUE"""),"es")</f>
        <v>es</v>
      </c>
      <c r="B5338">
        <f>IFERROR(__xludf.DUMMYFUNCTION("""COMPUTED_VALUE"""),2521460.0)</f>
        <v>2521460</v>
      </c>
      <c r="C5338" t="str">
        <f>IFERROR(__xludf.DUMMYFUNCTION("""COMPUTED_VALUE"""),"Probabilidad para Machine Learning y Big Data con R y Python")</f>
        <v>Probabilidad para Machine Learning y Big Data con R y Python</v>
      </c>
    </row>
    <row r="5339">
      <c r="A5339" s="140" t="str">
        <f>IFERROR(__xludf.DUMMYFUNCTION("""COMPUTED_VALUE"""),"en")</f>
        <v>en</v>
      </c>
      <c r="B5339">
        <f>IFERROR(__xludf.DUMMYFUNCTION("""COMPUTED_VALUE"""),1511848.0)</f>
        <v>1511848</v>
      </c>
      <c r="C5339" t="str">
        <f>IFERROR(__xludf.DUMMYFUNCTION("""COMPUTED_VALUE"""),"Scala Advanced, Part 1 - The Scala Type System")</f>
        <v>Scala Advanced, Part 1 - The Scala Type System</v>
      </c>
    </row>
    <row r="5340">
      <c r="A5340" s="140" t="str">
        <f>IFERROR(__xludf.DUMMYFUNCTION("""COMPUTED_VALUE"""),"en")</f>
        <v>en</v>
      </c>
      <c r="B5340">
        <f>IFERROR(__xludf.DUMMYFUNCTION("""COMPUTED_VALUE"""),3742090.0)</f>
        <v>3742090</v>
      </c>
      <c r="C5340" t="str">
        <f>IFERROR(__xludf.DUMMYFUNCTION("""COMPUTED_VALUE"""),"Advanced Driver Assistance Systems (ADAS)")</f>
        <v>Advanced Driver Assistance Systems (ADAS)</v>
      </c>
    </row>
    <row r="5341">
      <c r="A5341" s="140" t="str">
        <f>IFERROR(__xludf.DUMMYFUNCTION("""COMPUTED_VALUE"""),"pt")</f>
        <v>pt</v>
      </c>
      <c r="B5341">
        <f>IFERROR(__xludf.DUMMYFUNCTION("""COMPUTED_VALUE"""),1412620.0)</f>
        <v>1412620</v>
      </c>
      <c r="C5341" t="str">
        <f>IFERROR(__xludf.DUMMYFUNCTION("""COMPUTED_VALUE"""),"Fast MBA - Projects | Gerenciamento de Projetos")</f>
        <v>Fast MBA - Projects | Gerenciamento de Projetos</v>
      </c>
    </row>
    <row r="5342">
      <c r="A5342" s="140" t="str">
        <f>IFERROR(__xludf.DUMMYFUNCTION("""COMPUTED_VALUE"""),"pt")</f>
        <v>pt</v>
      </c>
      <c r="B5342">
        <f>IFERROR(__xludf.DUMMYFUNCTION("""COMPUTED_VALUE"""),2067457.0)</f>
        <v>2067457</v>
      </c>
      <c r="C5342" t="str">
        <f>IFERROR(__xludf.DUMMYFUNCTION("""COMPUTED_VALUE"""),"Desenvolvedor 2021 : Criando Servidor cPanel WHM Iniciante")</f>
        <v>Desenvolvedor 2021 : Criando Servidor cPanel WHM Iniciante</v>
      </c>
    </row>
    <row r="5343">
      <c r="A5343" s="140" t="str">
        <f>IFERROR(__xludf.DUMMYFUNCTION("""COMPUTED_VALUE"""),"zh")</f>
        <v>zh</v>
      </c>
      <c r="B5343">
        <f>IFERROR(__xludf.DUMMYFUNCTION("""COMPUTED_VALUE"""),1545984.0)</f>
        <v>1545984</v>
      </c>
      <c r="C5343" t="str">
        <f>IFERROR(__xludf.DUMMYFUNCTION("""COMPUTED_VALUE"""),"Web前端开发 - 玩转JavaScript  【以实战为基础】")</f>
        <v>Web前端开发 - 玩转JavaScript  【以实战为基础】</v>
      </c>
    </row>
    <row r="5344">
      <c r="A5344" s="140" t="str">
        <f>IFERROR(__xludf.DUMMYFUNCTION("""COMPUTED_VALUE"""),"tr")</f>
        <v>tr</v>
      </c>
      <c r="B5344">
        <f>IFERROR(__xludf.DUMMYFUNCTION("""COMPUTED_VALUE"""),2659494.0)</f>
        <v>2659494</v>
      </c>
      <c r="C5344" t="str">
        <f>IFERROR(__xludf.DUMMYFUNCTION("""COMPUTED_VALUE"""),"Programlama Giriş Seviye |Akış Şeması&amp;Python İle|250+ Örnek|")</f>
        <v>Programlama Giriş Seviye |Akış Şeması&amp;Python İle|250+ Örnek|</v>
      </c>
    </row>
    <row r="5345">
      <c r="A5345" s="140" t="str">
        <f>IFERROR(__xludf.DUMMYFUNCTION("""COMPUTED_VALUE"""),"en")</f>
        <v>en</v>
      </c>
      <c r="B5345">
        <f>IFERROR(__xludf.DUMMYFUNCTION("""COMPUTED_VALUE"""),2299970.0)</f>
        <v>2299970</v>
      </c>
      <c r="C5345" t="str">
        <f>IFERROR(__xludf.DUMMYFUNCTION("""COMPUTED_VALUE"""),"Automated Software Testing with Cypress")</f>
        <v>Automated Software Testing with Cypress</v>
      </c>
    </row>
    <row r="5346">
      <c r="A5346" s="140" t="str">
        <f>IFERROR(__xludf.DUMMYFUNCTION("""COMPUTED_VALUE"""),"en")</f>
        <v>en</v>
      </c>
      <c r="B5346">
        <f>IFERROR(__xludf.DUMMYFUNCTION("""COMPUTED_VALUE"""),959128.0)</f>
        <v>959128</v>
      </c>
      <c r="C5346" t="str">
        <f>IFERROR(__xludf.DUMMYFUNCTION("""COMPUTED_VALUE"""),"Social Media Marketing - Content Marketing Masterclass 2021")</f>
        <v>Social Media Marketing - Content Marketing Masterclass 2021</v>
      </c>
    </row>
    <row r="5347">
      <c r="A5347" s="140" t="str">
        <f>IFERROR(__xludf.DUMMYFUNCTION("""COMPUTED_VALUE"""),"ja")</f>
        <v>ja</v>
      </c>
      <c r="B5347">
        <f>IFERROR(__xludf.DUMMYFUNCTION("""COMPUTED_VALUE"""),2454030.0)</f>
        <v>2454030</v>
      </c>
      <c r="C5347" t="str">
        <f>IFERROR(__xludf.DUMMYFUNCTION("""COMPUTED_VALUE"""),"Spine の使い方。インポートからアニメーションまで一貫したワークフローの解説")</f>
        <v>Spine の使い方。インポートからアニメーションまで一貫したワークフローの解説</v>
      </c>
    </row>
    <row r="5348">
      <c r="A5348" s="140" t="str">
        <f>IFERROR(__xludf.DUMMYFUNCTION("""COMPUTED_VALUE"""),"en")</f>
        <v>en</v>
      </c>
      <c r="B5348">
        <f>IFERROR(__xludf.DUMMYFUNCTION("""COMPUTED_VALUE"""),3164370.0)</f>
        <v>3164370</v>
      </c>
      <c r="C5348" t="str">
        <f>IFERROR(__xludf.DUMMYFUNCTION("""COMPUTED_VALUE"""),"The essential guide to Firebase with React.")</f>
        <v>The essential guide to Firebase with React.</v>
      </c>
    </row>
    <row r="5349">
      <c r="A5349" s="140" t="str">
        <f>IFERROR(__xludf.DUMMYFUNCTION("""COMPUTED_VALUE"""),"pt")</f>
        <v>pt</v>
      </c>
      <c r="B5349">
        <f>IFERROR(__xludf.DUMMYFUNCTION("""COMPUTED_VALUE"""),2202518.0)</f>
        <v>2202518</v>
      </c>
      <c r="C5349" t="str">
        <f>IFERROR(__xludf.DUMMYFUNCTION("""COMPUTED_VALUE"""),"Microsoft Azure Infraestrutura - Curso Completo")</f>
        <v>Microsoft Azure Infraestrutura - Curso Completo</v>
      </c>
    </row>
    <row r="5350">
      <c r="A5350" s="140" t="str">
        <f>IFERROR(__xludf.DUMMYFUNCTION("""COMPUTED_VALUE"""),"en")</f>
        <v>en</v>
      </c>
      <c r="B5350">
        <f>IFERROR(__xludf.DUMMYFUNCTION("""COMPUTED_VALUE"""),881810.0)</f>
        <v>881810</v>
      </c>
      <c r="C5350" t="str">
        <f>IFERROR(__xludf.DUMMYFUNCTION("""COMPUTED_VALUE"""),"Model and Texture a Stylized Dungeon for Games")</f>
        <v>Model and Texture a Stylized Dungeon for Games</v>
      </c>
    </row>
    <row r="5351">
      <c r="A5351" s="140" t="str">
        <f>IFERROR(__xludf.DUMMYFUNCTION("""COMPUTED_VALUE"""),"de")</f>
        <v>de</v>
      </c>
      <c r="B5351">
        <f>IFERROR(__xludf.DUMMYFUNCTION("""COMPUTED_VALUE"""),3764248.0)</f>
        <v>3764248</v>
      </c>
      <c r="C5351" t="str">
        <f>IFERROR(__xludf.DUMMYFUNCTION("""COMPUTED_VALUE"""),"7 Führungsstile und die 5 Rollen einer Führungskraft")</f>
        <v>7 Führungsstile und die 5 Rollen einer Führungskraft</v>
      </c>
    </row>
    <row r="5352">
      <c r="A5352" s="140" t="str">
        <f>IFERROR(__xludf.DUMMYFUNCTION("""COMPUTED_VALUE"""),"en")</f>
        <v>en</v>
      </c>
      <c r="B5352">
        <f>IFERROR(__xludf.DUMMYFUNCTION("""COMPUTED_VALUE"""),919934.0)</f>
        <v>919934</v>
      </c>
      <c r="C5352" t="str">
        <f>IFERROR(__xludf.DUMMYFUNCTION("""COMPUTED_VALUE"""),"Learn Microsoft Word 2016 For Beginners - Basics to Advanced")</f>
        <v>Learn Microsoft Word 2016 For Beginners - Basics to Advanced</v>
      </c>
    </row>
    <row r="5353">
      <c r="A5353" s="140" t="str">
        <f>IFERROR(__xludf.DUMMYFUNCTION("""COMPUTED_VALUE"""),"tr")</f>
        <v>tr</v>
      </c>
      <c r="B5353">
        <f>IFERROR(__xludf.DUMMYFUNCTION("""COMPUTED_VALUE"""),1498402.0)</f>
        <v>1498402</v>
      </c>
      <c r="C5353" t="str">
        <f>IFERROR(__xludf.DUMMYFUNCTION("""COMPUTED_VALUE"""),"MS Project ile Proje Planlama, İzleme ve Kontrol")</f>
        <v>MS Project ile Proje Planlama, İzleme ve Kontrol</v>
      </c>
    </row>
    <row r="5354">
      <c r="A5354" s="140" t="str">
        <f>IFERROR(__xludf.DUMMYFUNCTION("""COMPUTED_VALUE"""),"en")</f>
        <v>en</v>
      </c>
      <c r="B5354">
        <f>IFERROR(__xludf.DUMMYFUNCTION("""COMPUTED_VALUE"""),852028.0)</f>
        <v>852028</v>
      </c>
      <c r="C5354" t="str">
        <f>IFERROR(__xludf.DUMMYFUNCTION("""COMPUTED_VALUE"""),"Gamification &amp; Behavioral Design: The Octalysis Framework")</f>
        <v>Gamification &amp; Behavioral Design: The Octalysis Framework</v>
      </c>
    </row>
    <row r="5355">
      <c r="A5355" s="140" t="str">
        <f>IFERROR(__xludf.DUMMYFUNCTION("""COMPUTED_VALUE"""),"en")</f>
        <v>en</v>
      </c>
      <c r="B5355">
        <f>IFERROR(__xludf.DUMMYFUNCTION("""COMPUTED_VALUE"""),31592.0)</f>
        <v>31592</v>
      </c>
      <c r="C5355" t="str">
        <f>IFERROR(__xludf.DUMMYFUNCTION("""COMPUTED_VALUE"""),"SQL Server Essentials, from Scratch")</f>
        <v>SQL Server Essentials, from Scratch</v>
      </c>
    </row>
    <row r="5356">
      <c r="A5356" s="140" t="str">
        <f>IFERROR(__xludf.DUMMYFUNCTION("""COMPUTED_VALUE"""),"ar")</f>
        <v>ar</v>
      </c>
      <c r="B5356">
        <f>IFERROR(__xludf.DUMMYFUNCTION("""COMPUTED_VALUE"""),1208346.0)</f>
        <v>1208346</v>
      </c>
      <c r="C5356" t="str">
        <f>IFERROR(__xludf.DUMMYFUNCTION("""COMPUTED_VALUE"""),"Electrical Engineering تعريف بتخصص الهندسة الكهربائية")</f>
        <v>Electrical Engineering تعريف بتخصص الهندسة الكهربائية</v>
      </c>
    </row>
    <row r="5357">
      <c r="A5357" s="140" t="str">
        <f>IFERROR(__xludf.DUMMYFUNCTION("""COMPUTED_VALUE"""),"ja")</f>
        <v>ja</v>
      </c>
      <c r="B5357">
        <f>IFERROR(__xludf.DUMMYFUNCTION("""COMPUTED_VALUE"""),1187046.0)</f>
        <v>1187046</v>
      </c>
      <c r="C5357" t="str">
        <f>IFERROR(__xludf.DUMMYFUNCTION("""COMPUTED_VALUE"""),"【NumPy・Python3で】ゼロから作るニューラルネットワーク")</f>
        <v>【NumPy・Python3で】ゼロから作るニューラルネットワーク</v>
      </c>
    </row>
    <row r="5358">
      <c r="A5358" s="140" t="str">
        <f>IFERROR(__xludf.DUMMYFUNCTION("""COMPUTED_VALUE"""),"en")</f>
        <v>en</v>
      </c>
      <c r="B5358">
        <f>IFERROR(__xludf.DUMMYFUNCTION("""COMPUTED_VALUE"""),1211596.0)</f>
        <v>1211596</v>
      </c>
      <c r="C5358" t="str">
        <f>IFERROR(__xludf.DUMMYFUNCTION("""COMPUTED_VALUE"""),"Testing Angular 4 (previously Angular 2) Apps with Jasmine")</f>
        <v>Testing Angular 4 (previously Angular 2) Apps with Jasmine</v>
      </c>
    </row>
    <row r="5359">
      <c r="A5359" s="140" t="str">
        <f>IFERROR(__xludf.DUMMYFUNCTION("""COMPUTED_VALUE"""),"en")</f>
        <v>en</v>
      </c>
      <c r="B5359">
        <f>IFERROR(__xludf.DUMMYFUNCTION("""COMPUTED_VALUE"""),2595736.0)</f>
        <v>2595736</v>
      </c>
      <c r="C5359" t="str">
        <f>IFERROR(__xludf.DUMMYFUNCTION("""COMPUTED_VALUE"""),"Socket.IO Chat App in React Native for iOS/Android")</f>
        <v>Socket.IO Chat App in React Native for iOS/Android</v>
      </c>
    </row>
    <row r="5360">
      <c r="A5360" s="140" t="str">
        <f>IFERROR(__xludf.DUMMYFUNCTION("""COMPUTED_VALUE"""),"en")</f>
        <v>en</v>
      </c>
      <c r="B5360">
        <f>IFERROR(__xludf.DUMMYFUNCTION("""COMPUTED_VALUE"""),684890.0)</f>
        <v>684890</v>
      </c>
      <c r="C5360" t="str">
        <f>IFERROR(__xludf.DUMMYFUNCTION("""COMPUTED_VALUE"""),"Decision Making: Solve Problems with Emotional Intelligence")</f>
        <v>Decision Making: Solve Problems with Emotional Intelligence</v>
      </c>
    </row>
    <row r="5361">
      <c r="A5361" s="140" t="str">
        <f>IFERROR(__xludf.DUMMYFUNCTION("""COMPUTED_VALUE"""),"fr")</f>
        <v>fr</v>
      </c>
      <c r="B5361">
        <f>IFERROR(__xludf.DUMMYFUNCTION("""COMPUTED_VALUE"""),2377420.0)</f>
        <v>2377420</v>
      </c>
      <c r="C5361" t="str">
        <f>IFERROR(__xludf.DUMMYFUNCTION("""COMPUTED_VALUE"""),"Définissez des objectifs en entreprise - Le guide complet")</f>
        <v>Définissez des objectifs en entreprise - Le guide complet</v>
      </c>
    </row>
    <row r="5362">
      <c r="A5362" s="140" t="str">
        <f>IFERROR(__xludf.DUMMYFUNCTION("""COMPUTED_VALUE"""),"en")</f>
        <v>en</v>
      </c>
      <c r="B5362">
        <f>IFERROR(__xludf.DUMMYFUNCTION("""COMPUTED_VALUE"""),2015076.0)</f>
        <v>2015076</v>
      </c>
      <c r="C5362" t="str">
        <f>IFERROR(__xludf.DUMMYFUNCTION("""COMPUTED_VALUE"""),"CompTIA Security+ (SY0-601) Complete Course &amp; Exam")</f>
        <v>CompTIA Security+ (SY0-601) Complete Course &amp; Exam</v>
      </c>
    </row>
    <row r="5363">
      <c r="A5363" s="140" t="str">
        <f>IFERROR(__xludf.DUMMYFUNCTION("""COMPUTED_VALUE"""),"en")</f>
        <v>en</v>
      </c>
      <c r="B5363">
        <f>IFERROR(__xludf.DUMMYFUNCTION("""COMPUTED_VALUE"""),739390.0)</f>
        <v>739390</v>
      </c>
      <c r="C5363" t="str">
        <f>IFERROR(__xludf.DUMMYFUNCTION("""COMPUTED_VALUE"""),"Financial Planning &amp; Analysis: Building a Company's Budget")</f>
        <v>Financial Planning &amp; Analysis: Building a Company's Budget</v>
      </c>
    </row>
    <row r="5364">
      <c r="A5364" s="140" t="str">
        <f>IFERROR(__xludf.DUMMYFUNCTION("""COMPUTED_VALUE"""),"ar")</f>
        <v>ar</v>
      </c>
      <c r="B5364">
        <f>IFERROR(__xludf.DUMMYFUNCTION("""COMPUTED_VALUE"""),1691722.0)</f>
        <v>1691722</v>
      </c>
      <c r="C5364" t="str">
        <f>IFERROR(__xludf.DUMMYFUNCTION("""COMPUTED_VALUE"""),"Excel Functions and Formulas دورة احتراف معادلات و دوال اكسل")</f>
        <v>Excel Functions and Formulas دورة احتراف معادلات و دوال اكسل</v>
      </c>
    </row>
    <row r="5365">
      <c r="A5365" s="140" t="str">
        <f>IFERROR(__xludf.DUMMYFUNCTION("""COMPUTED_VALUE"""),"de")</f>
        <v>de</v>
      </c>
      <c r="B5365">
        <f>IFERROR(__xludf.DUMMYFUNCTION("""COMPUTED_VALUE"""),857368.0)</f>
        <v>857368</v>
      </c>
      <c r="C5365" t="str">
        <f>IFERROR(__xludf.DUMMYFUNCTION("""COMPUTED_VALUE"""),"Dein bestes Jahr 2021! Ziele erreichen, erfolgreich leben")</f>
        <v>Dein bestes Jahr 2021! Ziele erreichen, erfolgreich leben</v>
      </c>
    </row>
    <row r="5366">
      <c r="A5366" s="140" t="str">
        <f>IFERROR(__xludf.DUMMYFUNCTION("""COMPUTED_VALUE"""),"pt")</f>
        <v>pt</v>
      </c>
      <c r="B5366">
        <f>IFERROR(__xludf.DUMMYFUNCTION("""COMPUTED_VALUE"""),1324456.0)</f>
        <v>1324456</v>
      </c>
      <c r="C5366" t="str">
        <f>IFERROR(__xludf.DUMMYFUNCTION("""COMPUTED_VALUE"""),"Mineração de Regras de Associação com Weka, Apriori e Java")</f>
        <v>Mineração de Regras de Associação com Weka, Apriori e Java</v>
      </c>
    </row>
    <row r="5367">
      <c r="A5367" s="140" t="str">
        <f>IFERROR(__xludf.DUMMYFUNCTION("""COMPUTED_VALUE"""),"pt")</f>
        <v>pt</v>
      </c>
      <c r="B5367">
        <f>IFERROR(__xludf.DUMMYFUNCTION("""COMPUTED_VALUE"""),2330858.0)</f>
        <v>2330858</v>
      </c>
      <c r="C5367" t="str">
        <f>IFERROR(__xludf.DUMMYFUNCTION("""COMPUTED_VALUE"""),"API RESTful com SpringBoot")</f>
        <v>API RESTful com SpringBoot</v>
      </c>
    </row>
    <row r="5368">
      <c r="A5368" s="140" t="str">
        <f>IFERROR(__xludf.DUMMYFUNCTION("""COMPUTED_VALUE"""),"en")</f>
        <v>en</v>
      </c>
      <c r="B5368">
        <f>IFERROR(__xludf.DUMMYFUNCTION("""COMPUTED_VALUE"""),1293032.0)</f>
        <v>1293032</v>
      </c>
      <c r="C5368" t="str">
        <f>IFERROR(__xludf.DUMMYFUNCTION("""COMPUTED_VALUE"""),"Hortonworks Hadoop Cluster Installation in different ways.")</f>
        <v>Hortonworks Hadoop Cluster Installation in different ways.</v>
      </c>
    </row>
    <row r="5369">
      <c r="A5369" s="140" t="str">
        <f>IFERROR(__xludf.DUMMYFUNCTION("""COMPUTED_VALUE"""),"pt")</f>
        <v>pt</v>
      </c>
      <c r="B5369">
        <f>IFERROR(__xludf.DUMMYFUNCTION("""COMPUTED_VALUE"""),1107112.0)</f>
        <v>1107112</v>
      </c>
      <c r="C5369" t="str">
        <f>IFERROR(__xludf.DUMMYFUNCTION("""COMPUTED_VALUE"""),"Adobe Premiere Pro CC em 90 Minutos")</f>
        <v>Adobe Premiere Pro CC em 90 Minutos</v>
      </c>
    </row>
    <row r="5370">
      <c r="A5370" s="140" t="str">
        <f>IFERROR(__xludf.DUMMYFUNCTION("""COMPUTED_VALUE"""),"es")</f>
        <v>es</v>
      </c>
      <c r="B5370">
        <f>IFERROR(__xludf.DUMMYFUNCTION("""COMPUTED_VALUE"""),68618.0)</f>
        <v>68618</v>
      </c>
      <c r="C5370" t="str">
        <f>IFERROR(__xludf.DUMMYFUNCTION("""COMPUTED_VALUE"""),"Adobe Photoshop Lightroom")</f>
        <v>Adobe Photoshop Lightroom</v>
      </c>
    </row>
    <row r="5371">
      <c r="A5371" s="140" t="str">
        <f>IFERROR(__xludf.DUMMYFUNCTION("""COMPUTED_VALUE"""),"en")</f>
        <v>en</v>
      </c>
      <c r="B5371">
        <f>IFERROR(__xludf.DUMMYFUNCTION("""COMPUTED_VALUE"""),1905522.0)</f>
        <v>1905522</v>
      </c>
      <c r="C5371" t="str">
        <f>IFERROR(__xludf.DUMMYFUNCTION("""COMPUTED_VALUE"""),"Learn Dutch... in Dutch 2: the Dutch language for beginners")</f>
        <v>Learn Dutch... in Dutch 2: the Dutch language for beginners</v>
      </c>
    </row>
    <row r="5372">
      <c r="A5372" s="140" t="str">
        <f>IFERROR(__xludf.DUMMYFUNCTION("""COMPUTED_VALUE"""),"es")</f>
        <v>es</v>
      </c>
      <c r="B5372">
        <f>IFERROR(__xludf.DUMMYFUNCTION("""COMPUTED_VALUE"""),687118.0)</f>
        <v>687118</v>
      </c>
      <c r="C5372" t="str">
        <f>IFERROR(__xludf.DUMMYFUNCTION("""COMPUTED_VALUE"""),"PL/SQL de ORACLE en Español")</f>
        <v>PL/SQL de ORACLE en Español</v>
      </c>
    </row>
    <row r="5373">
      <c r="A5373" s="140" t="str">
        <f>IFERROR(__xludf.DUMMYFUNCTION("""COMPUTED_VALUE"""),"en")</f>
        <v>en</v>
      </c>
      <c r="B5373">
        <f>IFERROR(__xludf.DUMMYFUNCTION("""COMPUTED_VALUE"""),1040962.0)</f>
        <v>1040962</v>
      </c>
      <c r="C5373" t="str">
        <f>IFERROR(__xludf.DUMMYFUNCTION("""COMPUTED_VALUE"""),"Migrating from Microsoft Exchange to O365")</f>
        <v>Migrating from Microsoft Exchange to O365</v>
      </c>
    </row>
    <row r="5374">
      <c r="A5374" s="140" t="str">
        <f>IFERROR(__xludf.DUMMYFUNCTION("""COMPUTED_VALUE"""),"en")</f>
        <v>en</v>
      </c>
      <c r="B5374">
        <f>IFERROR(__xludf.DUMMYFUNCTION("""COMPUTED_VALUE"""),2083600.0)</f>
        <v>2083600</v>
      </c>
      <c r="C5374" t="str">
        <f>IFERROR(__xludf.DUMMYFUNCTION("""COMPUTED_VALUE"""),"Mastering Hyperledger Chaincode Development using GoLang")</f>
        <v>Mastering Hyperledger Chaincode Development using GoLang</v>
      </c>
    </row>
    <row r="5375">
      <c r="A5375" s="140" t="str">
        <f>IFERROR(__xludf.DUMMYFUNCTION("""COMPUTED_VALUE"""),"en")</f>
        <v>en</v>
      </c>
      <c r="B5375">
        <f>IFERROR(__xludf.DUMMYFUNCTION("""COMPUTED_VALUE"""),3503560.0)</f>
        <v>3503560</v>
      </c>
      <c r="C5375" t="str">
        <f>IFERROR(__xludf.DUMMYFUNCTION("""COMPUTED_VALUE"""),"Learn Microsoft Exchange Server and Hybrid, Office 365 &amp; DAG")</f>
        <v>Learn Microsoft Exchange Server and Hybrid, Office 365 &amp; DAG</v>
      </c>
    </row>
    <row r="5376">
      <c r="A5376" s="140" t="str">
        <f>IFERROR(__xludf.DUMMYFUNCTION("""COMPUTED_VALUE"""),"en")</f>
        <v>en</v>
      </c>
      <c r="B5376">
        <f>IFERROR(__xludf.DUMMYFUNCTION("""COMPUTED_VALUE"""),1334930.0)</f>
        <v>1334930</v>
      </c>
      <c r="C5376" t="str">
        <f>IFERROR(__xludf.DUMMYFUNCTION("""COMPUTED_VALUE"""),"CISSP EASY/MID questions #4 - ALL CISSP domains 250 Q - 2022")</f>
        <v>CISSP EASY/MID questions #4 - ALL CISSP domains 250 Q - 2022</v>
      </c>
    </row>
    <row r="5377">
      <c r="A5377" s="140" t="str">
        <f>IFERROR(__xludf.DUMMYFUNCTION("""COMPUTED_VALUE"""),"en")</f>
        <v>en</v>
      </c>
      <c r="B5377">
        <f>IFERROR(__xludf.DUMMYFUNCTION("""COMPUTED_VALUE"""),3763584.0)</f>
        <v>3763584</v>
      </c>
      <c r="C5377" t="str">
        <f>IFERROR(__xludf.DUMMYFUNCTION("""COMPUTED_VALUE"""),"Value-Based Healthcare: An Introduction (Premium Edition)")</f>
        <v>Value-Based Healthcare: An Introduction (Premium Edition)</v>
      </c>
    </row>
    <row r="5378">
      <c r="A5378" s="140" t="str">
        <f>IFERROR(__xludf.DUMMYFUNCTION("""COMPUTED_VALUE"""),"ja")</f>
        <v>ja</v>
      </c>
      <c r="B5378">
        <f>IFERROR(__xludf.DUMMYFUNCTION("""COMPUTED_VALUE"""),2723450.0)</f>
        <v>2723450</v>
      </c>
      <c r="C5378" t="str">
        <f>IFERROR(__xludf.DUMMYFUNCTION("""COMPUTED_VALUE"""),"はじめてのNode.js入門。Expressフレームワークを用いた本格Webサーバー構築やJSONなどを学ぼう！")</f>
        <v>はじめてのNode.js入門。Expressフレームワークを用いた本格Webサーバー構築やJSONなどを学ぼう！</v>
      </c>
    </row>
    <row r="5379">
      <c r="A5379" s="140" t="str">
        <f>IFERROR(__xludf.DUMMYFUNCTION("""COMPUTED_VALUE"""),"en")</f>
        <v>en</v>
      </c>
      <c r="B5379">
        <f>IFERROR(__xludf.DUMMYFUNCTION("""COMPUTED_VALUE"""),1238324.0)</f>
        <v>1238324</v>
      </c>
      <c r="C5379" t="str">
        <f>IFERROR(__xludf.DUMMYFUNCTION("""COMPUTED_VALUE"""),"Step by Step Rest API Testing using Python + Pytest +Allure")</f>
        <v>Step by Step Rest API Testing using Python + Pytest +Allure</v>
      </c>
    </row>
    <row r="5380">
      <c r="A5380" s="140" t="str">
        <f>IFERROR(__xludf.DUMMYFUNCTION("""COMPUTED_VALUE"""),"en")</f>
        <v>en</v>
      </c>
      <c r="B5380">
        <f>IFERROR(__xludf.DUMMYFUNCTION("""COMPUTED_VALUE"""),2248932.0)</f>
        <v>2248932</v>
      </c>
      <c r="C5380" t="str">
        <f>IFERROR(__xludf.DUMMYFUNCTION("""COMPUTED_VALUE"""),"German Exam Preparation - B1 Telc, Goethe, ÖSD")</f>
        <v>German Exam Preparation - B1 Telc, Goethe, ÖSD</v>
      </c>
    </row>
    <row r="5381">
      <c r="A5381" s="140" t="str">
        <f>IFERROR(__xludf.DUMMYFUNCTION("""COMPUTED_VALUE"""),"de")</f>
        <v>de</v>
      </c>
      <c r="B5381">
        <f>IFERROR(__xludf.DUMMYFUNCTION("""COMPUTED_VALUE"""),3241374.0)</f>
        <v>3241374</v>
      </c>
      <c r="C5381" t="str">
        <f>IFERROR(__xludf.DUMMYFUNCTION("""COMPUTED_VALUE"""),"Scrum Product Owner: Agile Projekte besser steuern (PSPO 1)")</f>
        <v>Scrum Product Owner: Agile Projekte besser steuern (PSPO 1)</v>
      </c>
    </row>
    <row r="5382">
      <c r="A5382" s="140" t="str">
        <f>IFERROR(__xludf.DUMMYFUNCTION("""COMPUTED_VALUE"""),"en")</f>
        <v>en</v>
      </c>
      <c r="B5382">
        <f>IFERROR(__xludf.DUMMYFUNCTION("""COMPUTED_VALUE"""),3389138.0)</f>
        <v>3389138</v>
      </c>
      <c r="C5382" t="str">
        <f>IFERROR(__xludf.DUMMYFUNCTION("""COMPUTED_VALUE"""),"Complete Introduction to AWS QuickSight [2021 Edition]")</f>
        <v>Complete Introduction to AWS QuickSight [2021 Edition]</v>
      </c>
    </row>
    <row r="5383">
      <c r="A5383" s="140" t="str">
        <f>IFERROR(__xludf.DUMMYFUNCTION("""COMPUTED_VALUE"""),"en")</f>
        <v>en</v>
      </c>
      <c r="B5383">
        <f>IFERROR(__xludf.DUMMYFUNCTION("""COMPUTED_VALUE"""),975956.0)</f>
        <v>975956</v>
      </c>
      <c r="C5383" t="str">
        <f>IFERROR(__xludf.DUMMYFUNCTION("""COMPUTED_VALUE"""),"DevOps: CI/CD using AWS CodePipeline &amp; Elastic Beanstalk")</f>
        <v>DevOps: CI/CD using AWS CodePipeline &amp; Elastic Beanstalk</v>
      </c>
    </row>
    <row r="5384">
      <c r="A5384" s="140" t="str">
        <f>IFERROR(__xludf.DUMMYFUNCTION("""COMPUTED_VALUE"""),"pt")</f>
        <v>pt</v>
      </c>
      <c r="B5384">
        <f>IFERROR(__xludf.DUMMYFUNCTION("""COMPUTED_VALUE"""),3193088.0)</f>
        <v>3193088</v>
      </c>
      <c r="C5384" t="str">
        <f>IFERROR(__xludf.DUMMYFUNCTION("""COMPUTED_VALUE"""),"Ciência de Dados para Empresas e Negócios")</f>
        <v>Ciência de Dados para Empresas e Negócios</v>
      </c>
    </row>
    <row r="5385">
      <c r="A5385" s="140" t="str">
        <f>IFERROR(__xludf.DUMMYFUNCTION("""COMPUTED_VALUE"""),"en")</f>
        <v>en</v>
      </c>
      <c r="B5385">
        <f>IFERROR(__xludf.DUMMYFUNCTION("""COMPUTED_VALUE"""),1904448.0)</f>
        <v>1904448</v>
      </c>
      <c r="C5385" t="str">
        <f>IFERROR(__xludf.DUMMYFUNCTION("""COMPUTED_VALUE"""),"The Gradle Masterclass")</f>
        <v>The Gradle Masterclass</v>
      </c>
    </row>
    <row r="5386">
      <c r="A5386" s="140" t="str">
        <f>IFERROR(__xludf.DUMMYFUNCTION("""COMPUTED_VALUE"""),"fr")</f>
        <v>fr</v>
      </c>
      <c r="B5386">
        <f>IFERROR(__xludf.DUMMYFUNCTION("""COMPUTED_VALUE"""),3516640.0)</f>
        <v>3516640</v>
      </c>
      <c r="C5386" t="str">
        <f>IFERROR(__xludf.DUMMYFUNCTION("""COMPUTED_VALUE"""),"LA RECETTE pour réussir vos entretiens d'embauche (2021)")</f>
        <v>LA RECETTE pour réussir vos entretiens d'embauche (2021)</v>
      </c>
    </row>
    <row r="5387">
      <c r="A5387" s="140" t="str">
        <f>IFERROR(__xludf.DUMMYFUNCTION("""COMPUTED_VALUE"""),"en")</f>
        <v>en</v>
      </c>
      <c r="B5387">
        <f>IFERROR(__xludf.DUMMYFUNCTION("""COMPUTED_VALUE"""),3259666.0)</f>
        <v>3259666</v>
      </c>
      <c r="C5387" t="str">
        <f>IFERROR(__xludf.DUMMYFUNCTION("""COMPUTED_VALUE"""),"[NEW] Amazon ECS &amp; Fargate Master Class - Docker on AWS")</f>
        <v>[NEW] Amazon ECS &amp; Fargate Master Class - Docker on AWS</v>
      </c>
    </row>
    <row r="5388">
      <c r="A5388" s="140" t="str">
        <f>IFERROR(__xludf.DUMMYFUNCTION("""COMPUTED_VALUE"""),"es")</f>
        <v>es</v>
      </c>
      <c r="B5388">
        <f>IFERROR(__xludf.DUMMYFUNCTION("""COMPUTED_VALUE"""),1784656.0)</f>
        <v>1784656</v>
      </c>
      <c r="C5388" t="str">
        <f>IFERROR(__xludf.DUMMYFUNCTION("""COMPUTED_VALUE"""),"Adobe InDesign CC Máster: De Básico a Profesional.")</f>
        <v>Adobe InDesign CC Máster: De Básico a Profesional.</v>
      </c>
    </row>
    <row r="5389">
      <c r="A5389" s="140" t="str">
        <f>IFERROR(__xludf.DUMMYFUNCTION("""COMPUTED_VALUE"""),"en")</f>
        <v>en</v>
      </c>
      <c r="B5389">
        <f>IFERROR(__xludf.DUMMYFUNCTION("""COMPUTED_VALUE"""),274550.0)</f>
        <v>274550</v>
      </c>
      <c r="C5389" t="str">
        <f>IFERROR(__xludf.DUMMYFUNCTION("""COMPUTED_VALUE"""),"Supercharged Prospecting")</f>
        <v>Supercharged Prospecting</v>
      </c>
    </row>
    <row r="5390">
      <c r="A5390" s="140" t="str">
        <f>IFERROR(__xludf.DUMMYFUNCTION("""COMPUTED_VALUE"""),"en")</f>
        <v>en</v>
      </c>
      <c r="B5390">
        <f>IFERROR(__xludf.DUMMYFUNCTION("""COMPUTED_VALUE"""),1007240.0)</f>
        <v>1007240</v>
      </c>
      <c r="C5390" t="str">
        <f>IFERROR(__xludf.DUMMYFUNCTION("""COMPUTED_VALUE"""),"Power BI A-Z: Hands-On Power BI Training For Data Science!")</f>
        <v>Power BI A-Z: Hands-On Power BI Training For Data Science!</v>
      </c>
    </row>
    <row r="5391">
      <c r="A5391" s="140" t="str">
        <f>IFERROR(__xludf.DUMMYFUNCTION("""COMPUTED_VALUE"""),"en")</f>
        <v>en</v>
      </c>
      <c r="B5391">
        <f>IFERROR(__xludf.DUMMYFUNCTION("""COMPUTED_VALUE"""),1266662.0)</f>
        <v>1266662</v>
      </c>
      <c r="C5391" t="str">
        <f>IFERROR(__xludf.DUMMYFUNCTION("""COMPUTED_VALUE"""),"Axure RP 8 - Comprehensive training for UX Design")</f>
        <v>Axure RP 8 - Comprehensive training for UX Design</v>
      </c>
    </row>
    <row r="5392">
      <c r="A5392" s="140" t="str">
        <f>IFERROR(__xludf.DUMMYFUNCTION("""COMPUTED_VALUE"""),"ja")</f>
        <v>ja</v>
      </c>
      <c r="B5392">
        <f>IFERROR(__xludf.DUMMYFUNCTION("""COMPUTED_VALUE"""),625078.0)</f>
        <v>625078</v>
      </c>
      <c r="C5392" t="str">
        <f>IFERROR(__xludf.DUMMYFUNCTION("""COMPUTED_VALUE"""),"【世界で18万人が受講】実践 Python データサイエンス")</f>
        <v>【世界で18万人が受講】実践 Python データサイエンス</v>
      </c>
    </row>
    <row r="5393">
      <c r="A5393" s="140" t="str">
        <f>IFERROR(__xludf.DUMMYFUNCTION("""COMPUTED_VALUE"""),"en")</f>
        <v>en</v>
      </c>
      <c r="B5393">
        <f>IFERROR(__xludf.DUMMYFUNCTION("""COMPUTED_VALUE"""),1121334.0)</f>
        <v>1121334</v>
      </c>
      <c r="C5393" t="str">
        <f>IFERROR(__xludf.DUMMYFUNCTION("""COMPUTED_VALUE"""),"HTML5 Mastery—Build Superior Websites &amp; Mobile Apps NEW 2021")</f>
        <v>HTML5 Mastery—Build Superior Websites &amp; Mobile Apps NEW 2021</v>
      </c>
    </row>
    <row r="5394">
      <c r="A5394" s="140" t="str">
        <f>IFERROR(__xludf.DUMMYFUNCTION("""COMPUTED_VALUE"""),"en")</f>
        <v>en</v>
      </c>
      <c r="B5394">
        <f>IFERROR(__xludf.DUMMYFUNCTION("""COMPUTED_VALUE"""),321810.0)</f>
        <v>321810</v>
      </c>
      <c r="C5394" t="str">
        <f>IFERROR(__xludf.DUMMYFUNCTION("""COMPUTED_VALUE"""),"Teach Online: How To Create In-Demand Online Courses")</f>
        <v>Teach Online: How To Create In-Demand Online Courses</v>
      </c>
    </row>
    <row r="5395">
      <c r="A5395" s="140" t="str">
        <f>IFERROR(__xludf.DUMMYFUNCTION("""COMPUTED_VALUE"""),"pt")</f>
        <v>pt</v>
      </c>
      <c r="B5395">
        <f>IFERROR(__xludf.DUMMYFUNCTION("""COMPUTED_VALUE"""),1048978.0)</f>
        <v>1048978</v>
      </c>
      <c r="C5395" t="str">
        <f>IFERROR(__xludf.DUMMYFUNCTION("""COMPUTED_VALUE"""),"Linguagem de programação C# - Básico")</f>
        <v>Linguagem de programação C# - Básico</v>
      </c>
    </row>
    <row r="5396">
      <c r="A5396" s="140" t="str">
        <f>IFERROR(__xludf.DUMMYFUNCTION("""COMPUTED_VALUE"""),"en")</f>
        <v>en</v>
      </c>
      <c r="B5396">
        <f>IFERROR(__xludf.DUMMYFUNCTION("""COMPUTED_VALUE"""),2487058.0)</f>
        <v>2487058</v>
      </c>
      <c r="C5396" t="str">
        <f>IFERROR(__xludf.DUMMYFUNCTION("""COMPUTED_VALUE"""),"The Ultimate Food and Restaurant Business Course")</f>
        <v>The Ultimate Food and Restaurant Business Course</v>
      </c>
    </row>
    <row r="5397">
      <c r="A5397" s="140" t="str">
        <f>IFERROR(__xludf.DUMMYFUNCTION("""COMPUTED_VALUE"""),"en")</f>
        <v>en</v>
      </c>
      <c r="B5397">
        <f>IFERROR(__xludf.DUMMYFUNCTION("""COMPUTED_VALUE"""),2996062.0)</f>
        <v>2996062</v>
      </c>
      <c r="C5397" t="str">
        <f>IFERROR(__xludf.DUMMYFUNCTION("""COMPUTED_VALUE"""),"CBAP Certification Course. Full Course.")</f>
        <v>CBAP Certification Course. Full Course.</v>
      </c>
    </row>
    <row r="5398">
      <c r="A5398" s="140" t="str">
        <f>IFERROR(__xludf.DUMMYFUNCTION("""COMPUTED_VALUE"""),"en")</f>
        <v>en</v>
      </c>
      <c r="B5398">
        <f>IFERROR(__xludf.DUMMYFUNCTION("""COMPUTED_VALUE"""),4152006.0)</f>
        <v>4152006</v>
      </c>
      <c r="C5398" t="str">
        <f>IFERROR(__xludf.DUMMYFUNCTION("""COMPUTED_VALUE"""),"Python Django 2021 - Complete Course")</f>
        <v>Python Django 2021 - Complete Course</v>
      </c>
    </row>
    <row r="5399">
      <c r="A5399" s="140" t="str">
        <f>IFERROR(__xludf.DUMMYFUNCTION("""COMPUTED_VALUE"""),"tr")</f>
        <v>tr</v>
      </c>
      <c r="B5399">
        <f>IFERROR(__xludf.DUMMYFUNCTION("""COMPUTED_VALUE"""),2891332.0)</f>
        <v>2891332</v>
      </c>
      <c r="C5399" t="str">
        <f>IFERROR(__xludf.DUMMYFUNCTION("""COMPUTED_VALUE"""),"Flutter &amp; Dart: Sıfırdan Mobil App Geliştiriciliğine")</f>
        <v>Flutter &amp; Dart: Sıfırdan Mobil App Geliştiriciliğine</v>
      </c>
    </row>
    <row r="5400">
      <c r="A5400" s="140" t="str">
        <f>IFERROR(__xludf.DUMMYFUNCTION("""COMPUTED_VALUE"""),"en")</f>
        <v>en</v>
      </c>
      <c r="B5400">
        <f>IFERROR(__xludf.DUMMYFUNCTION("""COMPUTED_VALUE"""),1320968.0)</f>
        <v>1320968</v>
      </c>
      <c r="C5400" t="str">
        <f>IFERROR(__xludf.DUMMYFUNCTION("""COMPUTED_VALUE"""),"ACCA: FA (F3) Financial Accounting")</f>
        <v>ACCA: FA (F3) Financial Accounting</v>
      </c>
    </row>
    <row r="5401">
      <c r="A5401" s="140" t="str">
        <f>IFERROR(__xludf.DUMMYFUNCTION("""COMPUTED_VALUE"""),"en")</f>
        <v>en</v>
      </c>
      <c r="B5401">
        <f>IFERROR(__xludf.DUMMYFUNCTION("""COMPUTED_VALUE"""),1755468.0)</f>
        <v>1755468</v>
      </c>
      <c r="C5401" t="str">
        <f>IFERROR(__xludf.DUMMYFUNCTION("""COMPUTED_VALUE"""),"Learn Hindi in 3 Weeks- Bestseller Language Course")</f>
        <v>Learn Hindi in 3 Weeks- Bestseller Language Course</v>
      </c>
    </row>
    <row r="5402">
      <c r="A5402" s="140" t="str">
        <f>IFERROR(__xludf.DUMMYFUNCTION("""COMPUTED_VALUE"""),"fr")</f>
        <v>fr</v>
      </c>
      <c r="B5402">
        <f>IFERROR(__xludf.DUMMYFUNCTION("""COMPUTED_VALUE"""),3248258.0)</f>
        <v>3248258</v>
      </c>
      <c r="C5402" t="str">
        <f>IFERROR(__xludf.DUMMYFUNCTION("""COMPUTED_VALUE"""),"10 Nouveaux Ateliers Pratiques sur Adobe After Effects CC")</f>
        <v>10 Nouveaux Ateliers Pratiques sur Adobe After Effects CC</v>
      </c>
    </row>
    <row r="5403">
      <c r="A5403" s="140" t="str">
        <f>IFERROR(__xludf.DUMMYFUNCTION("""COMPUTED_VALUE"""),"en")</f>
        <v>en</v>
      </c>
      <c r="B5403">
        <f>IFERROR(__xludf.DUMMYFUNCTION("""COMPUTED_VALUE"""),695724.0)</f>
        <v>695724</v>
      </c>
      <c r="C5403" t="str">
        <f>IFERROR(__xludf.DUMMYFUNCTION("""COMPUTED_VALUE"""),"The complete AutoCAD 2016 course")</f>
        <v>The complete AutoCAD 2016 course</v>
      </c>
    </row>
    <row r="5404">
      <c r="A5404" s="140" t="str">
        <f>IFERROR(__xludf.DUMMYFUNCTION("""COMPUTED_VALUE"""),"pt")</f>
        <v>pt</v>
      </c>
      <c r="B5404">
        <f>IFERROR(__xludf.DUMMYFUNCTION("""COMPUTED_VALUE"""),1415700.0)</f>
        <v>1415700</v>
      </c>
      <c r="C5404" t="str">
        <f>IFERROR(__xludf.DUMMYFUNCTION("""COMPUTED_VALUE"""),"Growth Hacking na Prática: Cases e Hacks")</f>
        <v>Growth Hacking na Prática: Cases e Hacks</v>
      </c>
    </row>
    <row r="5405">
      <c r="A5405" s="140" t="str">
        <f>IFERROR(__xludf.DUMMYFUNCTION("""COMPUTED_VALUE"""),"en")</f>
        <v>en</v>
      </c>
      <c r="B5405">
        <f>IFERROR(__xludf.DUMMYFUNCTION("""COMPUTED_VALUE"""),1589126.0)</f>
        <v>1589126</v>
      </c>
      <c r="C5405" t="str">
        <f>IFERROR(__xludf.DUMMYFUNCTION("""COMPUTED_VALUE"""),"Azure Site Recovery")</f>
        <v>Azure Site Recovery</v>
      </c>
    </row>
    <row r="5406">
      <c r="A5406" s="140" t="str">
        <f>IFERROR(__xludf.DUMMYFUNCTION("""COMPUTED_VALUE"""),"en")</f>
        <v>en</v>
      </c>
      <c r="B5406">
        <f>IFERROR(__xludf.DUMMYFUNCTION("""COMPUTED_VALUE"""),1612050.0)</f>
        <v>1612050</v>
      </c>
      <c r="C5406" t="str">
        <f>IFERROR(__xludf.DUMMYFUNCTION("""COMPUTED_VALUE"""),"AMERICAN ENGLISH PRONUNCIATION: Accent Reduction Made Easy")</f>
        <v>AMERICAN ENGLISH PRONUNCIATION: Accent Reduction Made Easy</v>
      </c>
    </row>
    <row r="5407">
      <c r="A5407" s="140" t="str">
        <f>IFERROR(__xludf.DUMMYFUNCTION("""COMPUTED_VALUE"""),"ja")</f>
        <v>ja</v>
      </c>
      <c r="B5407">
        <f>IFERROR(__xludf.DUMMYFUNCTION("""COMPUTED_VALUE"""),4061124.0)</f>
        <v>4061124</v>
      </c>
      <c r="C5407" t="str">
        <f>IFERROR(__xludf.DUMMYFUNCTION("""COMPUTED_VALUE"""),"＜UB確認テスト＞Microsoft Power BI - Power BI Desktop入門講座")</f>
        <v>＜UB確認テスト＞Microsoft Power BI - Power BI Desktop入門講座</v>
      </c>
    </row>
    <row r="5408">
      <c r="A5408" s="140" t="str">
        <f>IFERROR(__xludf.DUMMYFUNCTION("""COMPUTED_VALUE"""),"ja")</f>
        <v>ja</v>
      </c>
      <c r="B5408">
        <f>IFERROR(__xludf.DUMMYFUNCTION("""COMPUTED_VALUE"""),2184182.0)</f>
        <v>2184182</v>
      </c>
      <c r="C5408" t="str">
        <f>IFERROR(__xludf.DUMMYFUNCTION("""COMPUTED_VALUE"""),"C#初心者が最初に身に着けるべき30の文法")</f>
        <v>C#初心者が最初に身に着けるべき30の文法</v>
      </c>
    </row>
    <row r="5409">
      <c r="A5409" s="140" t="str">
        <f>IFERROR(__xludf.DUMMYFUNCTION("""COMPUTED_VALUE"""),"en")</f>
        <v>en</v>
      </c>
      <c r="B5409">
        <f>IFERROR(__xludf.DUMMYFUNCTION("""COMPUTED_VALUE"""),979650.0)</f>
        <v>979650</v>
      </c>
      <c r="C5409" t="str">
        <f>IFERROR(__xludf.DUMMYFUNCTION("""COMPUTED_VALUE"""),"Beyond Arduino, Part 2: Analog Input Output")</f>
        <v>Beyond Arduino, Part 2: Analog Input Output</v>
      </c>
    </row>
    <row r="5410">
      <c r="A5410" s="140" t="str">
        <f>IFERROR(__xludf.DUMMYFUNCTION("""COMPUTED_VALUE"""),"en")</f>
        <v>en</v>
      </c>
      <c r="B5410">
        <f>IFERROR(__xludf.DUMMYFUNCTION("""COMPUTED_VALUE"""),633084.0)</f>
        <v>633084</v>
      </c>
      <c r="C5410" t="str">
        <f>IFERROR(__xludf.DUMMYFUNCTION("""COMPUTED_VALUE"""),"Building Confidence Through Drawing: Art for Beginners")</f>
        <v>Building Confidence Through Drawing: Art for Beginners</v>
      </c>
    </row>
    <row r="5411">
      <c r="A5411" s="140" t="str">
        <f>IFERROR(__xludf.DUMMYFUNCTION("""COMPUTED_VALUE"""),"en")</f>
        <v>en</v>
      </c>
      <c r="B5411">
        <f>IFERROR(__xludf.DUMMYFUNCTION("""COMPUTED_VALUE"""),4100698.0)</f>
        <v>4100698</v>
      </c>
      <c r="C5411" t="str">
        <f>IFERROR(__xludf.DUMMYFUNCTION("""COMPUTED_VALUE"""),"The Complete Angular &amp; NestJS Course")</f>
        <v>The Complete Angular &amp; NestJS Course</v>
      </c>
    </row>
    <row r="5412">
      <c r="A5412" s="140" t="str">
        <f>IFERROR(__xludf.DUMMYFUNCTION("""COMPUTED_VALUE"""),"es")</f>
        <v>es</v>
      </c>
      <c r="B5412">
        <f>IFERROR(__xludf.DUMMYFUNCTION("""COMPUTED_VALUE"""),851918.0)</f>
        <v>851918</v>
      </c>
      <c r="C5412" t="str">
        <f>IFERROR(__xludf.DUMMYFUNCTION("""COMPUTED_VALUE"""),"After Effects: De zero a Master")</f>
        <v>After Effects: De zero a Master</v>
      </c>
    </row>
    <row r="5413">
      <c r="A5413" s="140" t="str">
        <f>IFERROR(__xludf.DUMMYFUNCTION("""COMPUTED_VALUE"""),"en")</f>
        <v>en</v>
      </c>
      <c r="B5413">
        <f>IFERROR(__xludf.DUMMYFUNCTION("""COMPUTED_VALUE"""),2668106.0)</f>
        <v>2668106</v>
      </c>
      <c r="C5413" t="str">
        <f>IFERROR(__xludf.DUMMYFUNCTION("""COMPUTED_VALUE"""),"Blender 2.81 - Substance painter - Sci fi asset creation")</f>
        <v>Blender 2.81 - Substance painter - Sci fi asset creation</v>
      </c>
    </row>
    <row r="5414">
      <c r="A5414" s="140" t="str">
        <f>IFERROR(__xludf.DUMMYFUNCTION("""COMPUTED_VALUE"""),"pt")</f>
        <v>pt</v>
      </c>
      <c r="B5414">
        <f>IFERROR(__xludf.DUMMYFUNCTION("""COMPUTED_VALUE"""),2229824.0)</f>
        <v>2229824</v>
      </c>
      <c r="C5414" t="str">
        <f>IFERROR(__xludf.DUMMYFUNCTION("""COMPUTED_VALUE"""),"Microsoft Word (Office 365)")</f>
        <v>Microsoft Word (Office 365)</v>
      </c>
    </row>
    <row r="5415">
      <c r="A5415" s="140" t="str">
        <f>IFERROR(__xludf.DUMMYFUNCTION("""COMPUTED_VALUE"""),"en")</f>
        <v>en</v>
      </c>
      <c r="B5415">
        <f>IFERROR(__xludf.DUMMYFUNCTION("""COMPUTED_VALUE"""),1246254.0)</f>
        <v>1246254</v>
      </c>
      <c r="C5415" t="str">
        <f>IFERROR(__xludf.DUMMYFUNCTION("""COMPUTED_VALUE"""),"Embedded Linux Step by Step Using Beaglebone Black")</f>
        <v>Embedded Linux Step by Step Using Beaglebone Black</v>
      </c>
    </row>
    <row r="5416">
      <c r="A5416" s="140" t="str">
        <f>IFERROR(__xludf.DUMMYFUNCTION("""COMPUTED_VALUE"""),"en")</f>
        <v>en</v>
      </c>
      <c r="B5416">
        <f>IFERROR(__xludf.DUMMYFUNCTION("""COMPUTED_VALUE"""),1984452.0)</f>
        <v>1984452</v>
      </c>
      <c r="C5416" t="str">
        <f>IFERROR(__xludf.DUMMYFUNCTION("""COMPUTED_VALUE"""),"Perforce (Helix Core): A Full Step By Step Guide - Hands On!")</f>
        <v>Perforce (Helix Core): A Full Step By Step Guide - Hands On!</v>
      </c>
    </row>
    <row r="5417">
      <c r="A5417" s="140" t="str">
        <f>IFERROR(__xludf.DUMMYFUNCTION("""COMPUTED_VALUE"""),"en")</f>
        <v>en</v>
      </c>
      <c r="B5417">
        <f>IFERROR(__xludf.DUMMYFUNCTION("""COMPUTED_VALUE"""),1596054.0)</f>
        <v>1596054</v>
      </c>
      <c r="C5417" t="str">
        <f>IFERROR(__xludf.DUMMYFUNCTION("""COMPUTED_VALUE"""),"PMI-ACP Exam Prep Success")</f>
        <v>PMI-ACP Exam Prep Success</v>
      </c>
    </row>
    <row r="5418">
      <c r="A5418" s="140" t="str">
        <f>IFERROR(__xludf.DUMMYFUNCTION("""COMPUTED_VALUE"""),"pt")</f>
        <v>pt</v>
      </c>
      <c r="B5418">
        <f>IFERROR(__xludf.DUMMYFUNCTION("""COMPUTED_VALUE"""),2993836.0)</f>
        <v>2993836</v>
      </c>
      <c r="C5418" t="str">
        <f>IFERROR(__xludf.DUMMYFUNCTION("""COMPUTED_VALUE"""),"Licitação - Curso de Pregão Eletrônico - Novo Decreto")</f>
        <v>Licitação - Curso de Pregão Eletrônico - Novo Decreto</v>
      </c>
    </row>
    <row r="5419">
      <c r="A5419" s="140" t="str">
        <f>IFERROR(__xludf.DUMMYFUNCTION("""COMPUTED_VALUE"""),"en")</f>
        <v>en</v>
      </c>
      <c r="B5419">
        <f>IFERROR(__xludf.DUMMYFUNCTION("""COMPUTED_VALUE"""),2245416.0)</f>
        <v>2245416</v>
      </c>
      <c r="C5419" t="str">
        <f>IFERROR(__xludf.DUMMYFUNCTION("""COMPUTED_VALUE"""),"Performance Testing Using Gatling")</f>
        <v>Performance Testing Using Gatling</v>
      </c>
    </row>
    <row r="5420">
      <c r="A5420" s="140" t="str">
        <f>IFERROR(__xludf.DUMMYFUNCTION("""COMPUTED_VALUE"""),"en")</f>
        <v>en</v>
      </c>
      <c r="B5420">
        <f>IFERROR(__xludf.DUMMYFUNCTION("""COMPUTED_VALUE"""),1306808.0)</f>
        <v>1306808</v>
      </c>
      <c r="C5420" t="str">
        <f>IFERROR(__xludf.DUMMYFUNCTION("""COMPUTED_VALUE"""),"Zoho CRM and Zoho Creator Masterclass")</f>
        <v>Zoho CRM and Zoho Creator Masterclass</v>
      </c>
    </row>
    <row r="5421">
      <c r="A5421" s="140" t="str">
        <f>IFERROR(__xludf.DUMMYFUNCTION("""COMPUTED_VALUE"""),"ar")</f>
        <v>ar</v>
      </c>
      <c r="B5421">
        <f>IFERROR(__xludf.DUMMYFUNCTION("""COMPUTED_VALUE"""),2980606.0)</f>
        <v>2980606</v>
      </c>
      <c r="C5421" t="str">
        <f>IFERROR(__xludf.DUMMYFUNCTION("""COMPUTED_VALUE"""),"Introduction to Ansys Fluent | CFD Simulation (Arabic)")</f>
        <v>Introduction to Ansys Fluent | CFD Simulation (Arabic)</v>
      </c>
    </row>
    <row r="5422">
      <c r="A5422" s="140" t="str">
        <f>IFERROR(__xludf.DUMMYFUNCTION("""COMPUTED_VALUE"""),"en")</f>
        <v>en</v>
      </c>
      <c r="B5422">
        <f>IFERROR(__xludf.DUMMYFUNCTION("""COMPUTED_VALUE"""),2829444.0)</f>
        <v>2829444</v>
      </c>
      <c r="C5422" t="str">
        <f>IFERROR(__xludf.DUMMYFUNCTION("""COMPUTED_VALUE"""),"Methods of 3D VFX Compositing Nuke Masterclass - NK202")</f>
        <v>Methods of 3D VFX Compositing Nuke Masterclass - NK202</v>
      </c>
    </row>
    <row r="5423">
      <c r="A5423" s="140" t="str">
        <f>IFERROR(__xludf.DUMMYFUNCTION("""COMPUTED_VALUE"""),"pt")</f>
        <v>pt</v>
      </c>
      <c r="B5423">
        <f>IFERROR(__xludf.DUMMYFUNCTION("""COMPUTED_VALUE"""),1876670.0)</f>
        <v>1876670</v>
      </c>
      <c r="C5423" t="str">
        <f>IFERROR(__xludf.DUMMYFUNCTION("""COMPUTED_VALUE"""),"Desenvolva sua Liderança com o Programa TOOL")</f>
        <v>Desenvolva sua Liderança com o Programa TOOL</v>
      </c>
    </row>
    <row r="5424">
      <c r="A5424" s="140" t="str">
        <f>IFERROR(__xludf.DUMMYFUNCTION("""COMPUTED_VALUE"""),"fr")</f>
        <v>fr</v>
      </c>
      <c r="B5424">
        <f>IFERROR(__xludf.DUMMYFUNCTION("""COMPUTED_VALUE"""),1544514.0)</f>
        <v>1544514</v>
      </c>
      <c r="C5424" t="str">
        <f>IFERROR(__xludf.DUMMYFUNCTION("""COMPUTED_VALUE"""),"20 Ateliers Pratiques sur Adobe After Effects CC")</f>
        <v>20 Ateliers Pratiques sur Adobe After Effects CC</v>
      </c>
    </row>
    <row r="5425">
      <c r="A5425" s="140" t="str">
        <f>IFERROR(__xludf.DUMMYFUNCTION("""COMPUTED_VALUE"""),"en")</f>
        <v>en</v>
      </c>
      <c r="B5425">
        <f>IFERROR(__xludf.DUMMYFUNCTION("""COMPUTED_VALUE"""),1417554.0)</f>
        <v>1417554</v>
      </c>
      <c r="C5425" t="str">
        <f>IFERROR(__xludf.DUMMYFUNCTION("""COMPUTED_VALUE"""),"Essential Business English")</f>
        <v>Essential Business English</v>
      </c>
    </row>
    <row r="5426">
      <c r="A5426" s="140" t="str">
        <f>IFERROR(__xludf.DUMMYFUNCTION("""COMPUTED_VALUE"""),"tr")</f>
        <v>tr</v>
      </c>
      <c r="B5426">
        <f>IFERROR(__xludf.DUMMYFUNCTION("""COMPUTED_VALUE"""),3166270.0)</f>
        <v>3166270</v>
      </c>
      <c r="C5426" t="str">
        <f>IFERROR(__xludf.DUMMYFUNCTION("""COMPUTED_VALUE"""),"MALİYET MUHASEBESİ (SMMM YETERLİLİK SINAVINA HAZIRLIK)")</f>
        <v>MALİYET MUHASEBESİ (SMMM YETERLİLİK SINAVINA HAZIRLIK)</v>
      </c>
    </row>
    <row r="5427">
      <c r="A5427" s="140" t="str">
        <f>IFERROR(__xludf.DUMMYFUNCTION("""COMPUTED_VALUE"""),"en")</f>
        <v>en</v>
      </c>
      <c r="B5427">
        <f>IFERROR(__xludf.DUMMYFUNCTION("""COMPUTED_VALUE"""),674982.0)</f>
        <v>674982</v>
      </c>
      <c r="C5427" t="str">
        <f>IFERROR(__xludf.DUMMYFUNCTION("""COMPUTED_VALUE"""),"Supply Chain: Inventory Control &amp; Safety Stock Calculation")</f>
        <v>Supply Chain: Inventory Control &amp; Safety Stock Calculation</v>
      </c>
    </row>
    <row r="5428">
      <c r="A5428" s="140" t="str">
        <f>IFERROR(__xludf.DUMMYFUNCTION("""COMPUTED_VALUE"""),"en")</f>
        <v>en</v>
      </c>
      <c r="B5428">
        <f>IFERROR(__xludf.DUMMYFUNCTION("""COMPUTED_VALUE"""),2134786.0)</f>
        <v>2134786</v>
      </c>
      <c r="C5428" t="str">
        <f>IFERROR(__xludf.DUMMYFUNCTION("""COMPUTED_VALUE"""),"7 GIMP Web Design Projects - Learn GIMP Web Design By Doing")</f>
        <v>7 GIMP Web Design Projects - Learn GIMP Web Design By Doing</v>
      </c>
    </row>
    <row r="5429">
      <c r="A5429" s="140" t="str">
        <f>IFERROR(__xludf.DUMMYFUNCTION("""COMPUTED_VALUE"""),"en")</f>
        <v>en</v>
      </c>
      <c r="B5429">
        <f>IFERROR(__xludf.DUMMYFUNCTION("""COMPUTED_VALUE"""),2789748.0)</f>
        <v>2789748</v>
      </c>
      <c r="C5429" t="str">
        <f>IFERROR(__xludf.DUMMYFUNCTION("""COMPUTED_VALUE"""),"Basic AWS Architecture Best Practices - 1 Hour Crash Course")</f>
        <v>Basic AWS Architecture Best Practices - 1 Hour Crash Course</v>
      </c>
    </row>
    <row r="5430">
      <c r="A5430" s="140" t="str">
        <f>IFERROR(__xludf.DUMMYFUNCTION("""COMPUTED_VALUE"""),"en")</f>
        <v>en</v>
      </c>
      <c r="B5430">
        <f>IFERROR(__xludf.DUMMYFUNCTION("""COMPUTED_VALUE"""),2652106.0)</f>
        <v>2652106</v>
      </c>
      <c r="C5430" t="str">
        <f>IFERROR(__xludf.DUMMYFUNCTION("""COMPUTED_VALUE"""),"AWS Machine Learning Certification Exam | Complete Guide")</f>
        <v>AWS Machine Learning Certification Exam | Complete Guide</v>
      </c>
    </row>
    <row r="5431">
      <c r="A5431" s="140" t="str">
        <f>IFERROR(__xludf.DUMMYFUNCTION("""COMPUTED_VALUE"""),"es")</f>
        <v>es</v>
      </c>
      <c r="B5431">
        <f>IFERROR(__xludf.DUMMYFUNCTION("""COMPUTED_VALUE"""),1461866.0)</f>
        <v>1461866</v>
      </c>
      <c r="C5431" t="str">
        <f>IFERROR(__xludf.DUMMYFUNCTION("""COMPUTED_VALUE"""),"Diseña en Canva Gráficos Profesionales con Proyectos Reales")</f>
        <v>Diseña en Canva Gráficos Profesionales con Proyectos Reales</v>
      </c>
    </row>
    <row r="5432">
      <c r="A5432" s="140" t="str">
        <f>IFERROR(__xludf.DUMMYFUNCTION("""COMPUTED_VALUE"""),"en")</f>
        <v>en</v>
      </c>
      <c r="B5432">
        <f>IFERROR(__xludf.DUMMYFUNCTION("""COMPUTED_VALUE"""),2105388.0)</f>
        <v>2105388</v>
      </c>
      <c r="C5432" t="str">
        <f>IFERROR(__xludf.DUMMYFUNCTION("""COMPUTED_VALUE"""),"Easily Identify Spam &amp; Phishing E-mails")</f>
        <v>Easily Identify Spam &amp; Phishing E-mails</v>
      </c>
    </row>
    <row r="5433">
      <c r="A5433" s="140" t="str">
        <f>IFERROR(__xludf.DUMMYFUNCTION("""COMPUTED_VALUE"""),"en")</f>
        <v>en</v>
      </c>
      <c r="B5433">
        <f>IFERROR(__xludf.DUMMYFUNCTION("""COMPUTED_VALUE"""),357216.0)</f>
        <v>357216</v>
      </c>
      <c r="C5433" t="str">
        <f>IFERROR(__xludf.DUMMYFUNCTION("""COMPUTED_VALUE"""),"Communication in the Workplace: Using Humor at Work")</f>
        <v>Communication in the Workplace: Using Humor at Work</v>
      </c>
    </row>
    <row r="5434">
      <c r="A5434" s="140" t="str">
        <f>IFERROR(__xludf.DUMMYFUNCTION("""COMPUTED_VALUE"""),"ar")</f>
        <v>ar</v>
      </c>
      <c r="B5434">
        <f>IFERROR(__xludf.DUMMYFUNCTION("""COMPUTED_VALUE"""),3395326.0)</f>
        <v>3395326</v>
      </c>
      <c r="C5434" t="str">
        <f>IFERROR(__xludf.DUMMYFUNCTION("""COMPUTED_VALUE"""),"تعلم Logstash مع أمثلة عملية")</f>
        <v>تعلم Logstash مع أمثلة عملية</v>
      </c>
    </row>
    <row r="5435">
      <c r="A5435" s="140" t="str">
        <f>IFERROR(__xludf.DUMMYFUNCTION("""COMPUTED_VALUE"""),"en")</f>
        <v>en</v>
      </c>
      <c r="B5435">
        <f>IFERROR(__xludf.DUMMYFUNCTION("""COMPUTED_VALUE"""),3313604.0)</f>
        <v>3313604</v>
      </c>
      <c r="C5435" t="str">
        <f>IFERROR(__xludf.DUMMYFUNCTION("""COMPUTED_VALUE"""),"AI-102 Microsoft Azure AI Solution Complete Real Exam Prep")</f>
        <v>AI-102 Microsoft Azure AI Solution Complete Real Exam Prep</v>
      </c>
    </row>
    <row r="5436">
      <c r="A5436" s="140" t="str">
        <f>IFERROR(__xludf.DUMMYFUNCTION("""COMPUTED_VALUE"""),"pt")</f>
        <v>pt</v>
      </c>
      <c r="B5436">
        <f>IFERROR(__xludf.DUMMYFUNCTION("""COMPUTED_VALUE"""),1982934.0)</f>
        <v>1982934</v>
      </c>
      <c r="C5436" t="str">
        <f>IFERROR(__xludf.DUMMYFUNCTION("""COMPUTED_VALUE"""),"Maya - Animação 3D do básico ao avançado com o Homem-Aranha")</f>
        <v>Maya - Animação 3D do básico ao avançado com o Homem-Aranha</v>
      </c>
    </row>
    <row r="5437">
      <c r="A5437" s="140" t="str">
        <f>IFERROR(__xludf.DUMMYFUNCTION("""COMPUTED_VALUE"""),"en")</f>
        <v>en</v>
      </c>
      <c r="B5437">
        <f>IFERROR(__xludf.DUMMYFUNCTION("""COMPUTED_VALUE"""),3718730.0)</f>
        <v>3718730</v>
      </c>
      <c r="C5437" t="str">
        <f>IFERROR(__xludf.DUMMYFUNCTION("""COMPUTED_VALUE"""),"Jetpack Compose Crash course for Android with Kotlin")</f>
        <v>Jetpack Compose Crash course for Android with Kotlin</v>
      </c>
    </row>
    <row r="5438">
      <c r="A5438" s="140" t="str">
        <f>IFERROR(__xludf.DUMMYFUNCTION("""COMPUTED_VALUE"""),"en")</f>
        <v>en</v>
      </c>
      <c r="B5438">
        <f>IFERROR(__xludf.DUMMYFUNCTION("""COMPUTED_VALUE"""),1722796.0)</f>
        <v>1722796</v>
      </c>
      <c r="C5438" t="str">
        <f>IFERROR(__xludf.DUMMYFUNCTION("""COMPUTED_VALUE"""),"Organic chemistry demystified : 12H course + solved problems")</f>
        <v>Organic chemistry demystified : 12H course + solved problems</v>
      </c>
    </row>
    <row r="5439">
      <c r="A5439" s="140" t="str">
        <f>IFERROR(__xludf.DUMMYFUNCTION("""COMPUTED_VALUE"""),"de")</f>
        <v>de</v>
      </c>
      <c r="B5439">
        <f>IFERROR(__xludf.DUMMYFUNCTION("""COMPUTED_VALUE"""),1565094.0)</f>
        <v>1565094</v>
      </c>
      <c r="C5439" t="str">
        <f>IFERROR(__xludf.DUMMYFUNCTION("""COMPUTED_VALUE"""),"Wordpress Einfach &amp; Komplett: Erstelle deine eigene Website")</f>
        <v>Wordpress Einfach &amp; Komplett: Erstelle deine eigene Website</v>
      </c>
    </row>
    <row r="5440">
      <c r="A5440" s="140" t="str">
        <f>IFERROR(__xludf.DUMMYFUNCTION("""COMPUTED_VALUE"""),"pt")</f>
        <v>pt</v>
      </c>
      <c r="B5440">
        <f>IFERROR(__xludf.DUMMYFUNCTION("""COMPUTED_VALUE"""),2959042.0)</f>
        <v>2959042</v>
      </c>
      <c r="C5440" t="str">
        <f>IFERROR(__xludf.DUMMYFUNCTION("""COMPUTED_VALUE"""),"Testes automatizados com Cypress (básico)")</f>
        <v>Testes automatizados com Cypress (básico)</v>
      </c>
    </row>
    <row r="5441">
      <c r="A5441" s="140" t="str">
        <f>IFERROR(__xludf.DUMMYFUNCTION("""COMPUTED_VALUE"""),"ja")</f>
        <v>ja</v>
      </c>
      <c r="B5441">
        <f>IFERROR(__xludf.DUMMYFUNCTION("""COMPUTED_VALUE"""),2230314.0)</f>
        <v>2230314</v>
      </c>
      <c r="C5441" t="str">
        <f>IFERROR(__xludf.DUMMYFUNCTION("""COMPUTED_VALUE"""),"現役シリコンバレーエンジニアが教える未経験者のためのPythonドローンプログラミング")</f>
        <v>現役シリコンバレーエンジニアが教える未経験者のためのPythonドローンプログラミング</v>
      </c>
    </row>
    <row r="5442">
      <c r="A5442" s="140" t="str">
        <f>IFERROR(__xludf.DUMMYFUNCTION("""COMPUTED_VALUE"""),"en")</f>
        <v>en</v>
      </c>
      <c r="B5442">
        <f>IFERROR(__xludf.DUMMYFUNCTION("""COMPUTED_VALUE"""),110240.0)</f>
        <v>110240</v>
      </c>
      <c r="C5442" t="str">
        <f>IFERROR(__xludf.DUMMYFUNCTION("""COMPUTED_VALUE"""),"How to Manage &amp; Influence Your Virtual Team")</f>
        <v>How to Manage &amp; Influence Your Virtual Team</v>
      </c>
    </row>
    <row r="5443">
      <c r="A5443" s="140" t="str">
        <f>IFERROR(__xludf.DUMMYFUNCTION("""COMPUTED_VALUE"""),"es")</f>
        <v>es</v>
      </c>
      <c r="B5443">
        <f>IFERROR(__xludf.DUMMYFUNCTION("""COMPUTED_VALUE"""),3448390.0)</f>
        <v>3448390</v>
      </c>
      <c r="C5443" t="str">
        <f>IFERROR(__xludf.DUMMYFUNCTION("""COMPUTED_VALUE"""),"Protocolo COVID-19 para Trabajo Seguro.")</f>
        <v>Protocolo COVID-19 para Trabajo Seguro.</v>
      </c>
    </row>
    <row r="5444">
      <c r="A5444" s="140" t="str">
        <f>IFERROR(__xludf.DUMMYFUNCTION("""COMPUTED_VALUE"""),"en")</f>
        <v>en</v>
      </c>
      <c r="B5444">
        <f>IFERROR(__xludf.DUMMYFUNCTION("""COMPUTED_VALUE"""),33002.0)</f>
        <v>33002</v>
      </c>
      <c r="C5444" t="str">
        <f>IFERROR(__xludf.DUMMYFUNCTION("""COMPUTED_VALUE"""),"SAP SD Training - in Plain English")</f>
        <v>SAP SD Training - in Plain English</v>
      </c>
    </row>
    <row r="5445">
      <c r="A5445" s="140" t="str">
        <f>IFERROR(__xludf.DUMMYFUNCTION("""COMPUTED_VALUE"""),"en")</f>
        <v>en</v>
      </c>
      <c r="B5445">
        <f>IFERROR(__xludf.DUMMYFUNCTION("""COMPUTED_VALUE"""),2028414.0)</f>
        <v>2028414</v>
      </c>
      <c r="C5445" t="str">
        <f>IFERROR(__xludf.DUMMYFUNCTION("""COMPUTED_VALUE"""),"Git and GitHub for Writers")</f>
        <v>Git and GitHub for Writers</v>
      </c>
    </row>
    <row r="5446">
      <c r="A5446" s="140" t="str">
        <f>IFERROR(__xludf.DUMMYFUNCTION("""COMPUTED_VALUE"""),"es")</f>
        <v>es</v>
      </c>
      <c r="B5446">
        <f>IFERROR(__xludf.DUMMYFUNCTION("""COMPUTED_VALUE"""),2847536.0)</f>
        <v>2847536</v>
      </c>
      <c r="C5446" t="str">
        <f>IFERROR(__xludf.DUMMYFUNCTION("""COMPUTED_VALUE"""),"Curso de Reparación de Laptops")</f>
        <v>Curso de Reparación de Laptops</v>
      </c>
    </row>
    <row r="5447">
      <c r="A5447" s="140" t="str">
        <f>IFERROR(__xludf.DUMMYFUNCTION("""COMPUTED_VALUE"""),"en")</f>
        <v>en</v>
      </c>
      <c r="B5447">
        <f>IFERROR(__xludf.DUMMYFUNCTION("""COMPUTED_VALUE"""),957506.0)</f>
        <v>957506</v>
      </c>
      <c r="C5447" t="str">
        <f>IFERROR(__xludf.DUMMYFUNCTION("""COMPUTED_VALUE"""),"The Complete Introduction To Music Theory Course")</f>
        <v>The Complete Introduction To Music Theory Course</v>
      </c>
    </row>
    <row r="5448">
      <c r="A5448" s="140" t="str">
        <f>IFERROR(__xludf.DUMMYFUNCTION("""COMPUTED_VALUE"""),"zh")</f>
        <v>zh</v>
      </c>
      <c r="B5448">
        <f>IFERROR(__xludf.DUMMYFUNCTION("""COMPUTED_VALUE"""),3482600.0)</f>
        <v>3482600</v>
      </c>
      <c r="C5448" t="str">
        <f>IFERROR(__xludf.DUMMYFUNCTION("""COMPUTED_VALUE"""),"C# .Net 5 电商API实战: 掌握极致RESTful风格")</f>
        <v>C# .Net 5 电商API实战: 掌握极致RESTful风格</v>
      </c>
    </row>
    <row r="5449">
      <c r="A5449" s="140" t="str">
        <f>IFERROR(__xludf.DUMMYFUNCTION("""COMPUTED_VALUE"""),"en")</f>
        <v>en</v>
      </c>
      <c r="B5449">
        <f>IFERROR(__xludf.DUMMYFUNCTION("""COMPUTED_VALUE"""),673574.0)</f>
        <v>673574</v>
      </c>
      <c r="C5449" t="str">
        <f>IFERROR(__xludf.DUMMYFUNCTION("""COMPUTED_VALUE"""),"Conscious Business: Building Collaborative &amp; Engaged Teams")</f>
        <v>Conscious Business: Building Collaborative &amp; Engaged Teams</v>
      </c>
    </row>
    <row r="5450">
      <c r="A5450" s="140" t="str">
        <f>IFERROR(__xludf.DUMMYFUNCTION("""COMPUTED_VALUE"""),"en")</f>
        <v>en</v>
      </c>
      <c r="B5450">
        <f>IFERROR(__xludf.DUMMYFUNCTION("""COMPUTED_VALUE"""),341472.0)</f>
        <v>341472</v>
      </c>
      <c r="C5450" t="str">
        <f>IFERROR(__xludf.DUMMYFUNCTION("""COMPUTED_VALUE"""),"Motivation: You Can Become a Motivational Speaker")</f>
        <v>Motivation: You Can Become a Motivational Speaker</v>
      </c>
    </row>
    <row r="5451">
      <c r="A5451" s="140" t="str">
        <f>IFERROR(__xludf.DUMMYFUNCTION("""COMPUTED_VALUE"""),"en")</f>
        <v>en</v>
      </c>
      <c r="B5451">
        <f>IFERROR(__xludf.DUMMYFUNCTION("""COMPUTED_VALUE"""),2512030.0)</f>
        <v>2512030</v>
      </c>
      <c r="C5451" t="str">
        <f>IFERROR(__xludf.DUMMYFUNCTION("""COMPUTED_VALUE"""),"Audit - Financial Statement")</f>
        <v>Audit - Financial Statement</v>
      </c>
    </row>
    <row r="5452">
      <c r="A5452" s="140" t="str">
        <f>IFERROR(__xludf.DUMMYFUNCTION("""COMPUTED_VALUE"""),"en")</f>
        <v>en</v>
      </c>
      <c r="B5452">
        <f>IFERROR(__xludf.DUMMYFUNCTION("""COMPUTED_VALUE"""),2622934.0)</f>
        <v>2622934</v>
      </c>
      <c r="C5452" t="str">
        <f>IFERROR(__xludf.DUMMYFUNCTION("""COMPUTED_VALUE"""),"Istio Hands-On for Kubernetes")</f>
        <v>Istio Hands-On for Kubernetes</v>
      </c>
    </row>
    <row r="5453">
      <c r="A5453" s="140" t="str">
        <f>IFERROR(__xludf.DUMMYFUNCTION("""COMPUTED_VALUE"""),"es")</f>
        <v>es</v>
      </c>
      <c r="B5453">
        <f>IFERROR(__xludf.DUMMYFUNCTION("""COMPUTED_VALUE"""),1175864.0)</f>
        <v>1175864</v>
      </c>
      <c r="C5453" t="str">
        <f>IFERROR(__xludf.DUMMYFUNCTION("""COMPUTED_VALUE"""),"Curso de Vue JS 2 en Español")</f>
        <v>Curso de Vue JS 2 en Español</v>
      </c>
    </row>
    <row r="5454">
      <c r="A5454" s="140" t="str">
        <f>IFERROR(__xludf.DUMMYFUNCTION("""COMPUTED_VALUE"""),"en")</f>
        <v>en</v>
      </c>
      <c r="B5454">
        <f>IFERROR(__xludf.DUMMYFUNCTION("""COMPUTED_VALUE"""),1236580.0)</f>
        <v>1236580</v>
      </c>
      <c r="C5454" t="str">
        <f>IFERROR(__xludf.DUMMYFUNCTION("""COMPUTED_VALUE"""),"Application security on AWS with Amazon Cognito (June 2017)")</f>
        <v>Application security on AWS with Amazon Cognito (June 2017)</v>
      </c>
    </row>
    <row r="5455">
      <c r="A5455" s="140" t="str">
        <f>IFERROR(__xludf.DUMMYFUNCTION("""COMPUTED_VALUE"""),"tr")</f>
        <v>tr</v>
      </c>
      <c r="B5455">
        <f>IFERROR(__xludf.DUMMYFUNCTION("""COMPUTED_VALUE"""),2773808.0)</f>
        <v>2773808</v>
      </c>
      <c r="C5455" t="str">
        <f>IFERROR(__xludf.DUMMYFUNCTION("""COMPUTED_VALUE"""),"Sıfırdan uzmanlığa Python eğitimi! | Python ilacı!")</f>
        <v>Sıfırdan uzmanlığa Python eğitimi! | Python ilacı!</v>
      </c>
    </row>
    <row r="5456">
      <c r="A5456" s="140" t="str">
        <f>IFERROR(__xludf.DUMMYFUNCTION("""COMPUTED_VALUE"""),"en")</f>
        <v>en</v>
      </c>
      <c r="B5456">
        <f>IFERROR(__xludf.DUMMYFUNCTION("""COMPUTED_VALUE"""),1112092.0)</f>
        <v>1112092</v>
      </c>
      <c r="C5456" t="str">
        <f>IFERROR(__xludf.DUMMYFUNCTION("""COMPUTED_VALUE"""),"IT Security Gumbo: Cloud Security Fundamentals")</f>
        <v>IT Security Gumbo: Cloud Security Fundamentals</v>
      </c>
    </row>
    <row r="5457">
      <c r="A5457" s="140" t="str">
        <f>IFERROR(__xludf.DUMMYFUNCTION("""COMPUTED_VALUE"""),"ko")</f>
        <v>ko</v>
      </c>
      <c r="B5457">
        <f>IFERROR(__xludf.DUMMYFUNCTION("""COMPUTED_VALUE"""),1101806.0)</f>
        <v>1101806</v>
      </c>
      <c r="C5457" t="str">
        <f>IFERROR(__xludf.DUMMYFUNCTION("""COMPUTED_VALUE"""),"캔바(Canva)로 SNS 콘텐츠 만들기")</f>
        <v>캔바(Canva)로 SNS 콘텐츠 만들기</v>
      </c>
    </row>
    <row r="5458">
      <c r="A5458" s="140" t="str">
        <f>IFERROR(__xludf.DUMMYFUNCTION("""COMPUTED_VALUE"""),"en")</f>
        <v>en</v>
      </c>
      <c r="B5458">
        <f>IFERROR(__xludf.DUMMYFUNCTION("""COMPUTED_VALUE"""),3435126.0)</f>
        <v>3435126</v>
      </c>
      <c r="C5458" t="str">
        <f>IFERROR(__xludf.DUMMYFUNCTION("""COMPUTED_VALUE"""),"Oracle Visual Builder Cloud Service (VBCS)")</f>
        <v>Oracle Visual Builder Cloud Service (VBCS)</v>
      </c>
    </row>
    <row r="5459">
      <c r="A5459" s="140" t="str">
        <f>IFERROR(__xludf.DUMMYFUNCTION("""COMPUTED_VALUE"""),"en")</f>
        <v>en</v>
      </c>
      <c r="B5459">
        <f>IFERROR(__xludf.DUMMYFUNCTION("""COMPUTED_VALUE"""),419262.0)</f>
        <v>419262</v>
      </c>
      <c r="C5459" t="str">
        <f>IFERROR(__xludf.DUMMYFUNCTION("""COMPUTED_VALUE"""),"Photography - The Ultimate Guide to Using Off-Camera Flash")</f>
        <v>Photography - The Ultimate Guide to Using Off-Camera Flash</v>
      </c>
    </row>
    <row r="5460">
      <c r="A5460" s="140" t="str">
        <f>IFERROR(__xludf.DUMMYFUNCTION("""COMPUTED_VALUE"""),"en")</f>
        <v>en</v>
      </c>
      <c r="B5460">
        <f>IFERROR(__xludf.DUMMYFUNCTION("""COMPUTED_VALUE"""),1459058.0)</f>
        <v>1459058</v>
      </c>
      <c r="C5460" t="str">
        <f>IFERROR(__xludf.DUMMYFUNCTION("""COMPUTED_VALUE"""),"Promotion of WSH Culture Development")</f>
        <v>Promotion of WSH Culture Development</v>
      </c>
    </row>
    <row r="5461">
      <c r="A5461" s="140" t="str">
        <f>IFERROR(__xludf.DUMMYFUNCTION("""COMPUTED_VALUE"""),"en")</f>
        <v>en</v>
      </c>
      <c r="B5461">
        <f>IFERROR(__xludf.DUMMYFUNCTION("""COMPUTED_VALUE"""),83654.0)</f>
        <v>83654</v>
      </c>
      <c r="C5461" t="str">
        <f>IFERROR(__xludf.DUMMYFUNCTION("""COMPUTED_VALUE"""),"Learn the 12 Principles of Animation for Games in Maya")</f>
        <v>Learn the 12 Principles of Animation for Games in Maya</v>
      </c>
    </row>
    <row r="5462">
      <c r="A5462" s="140" t="str">
        <f>IFERROR(__xludf.DUMMYFUNCTION("""COMPUTED_VALUE"""),"fr")</f>
        <v>fr</v>
      </c>
      <c r="B5462">
        <f>IFERROR(__xludf.DUMMYFUNCTION("""COMPUTED_VALUE"""),2530002.0)</f>
        <v>2530002</v>
      </c>
      <c r="C5462" t="str">
        <f>IFERROR(__xludf.DUMMYFUNCTION("""COMPUTED_VALUE"""),"Devenir manager coach")</f>
        <v>Devenir manager coach</v>
      </c>
    </row>
    <row r="5463">
      <c r="A5463" s="140" t="str">
        <f>IFERROR(__xludf.DUMMYFUNCTION("""COMPUTED_VALUE"""),"en")</f>
        <v>en</v>
      </c>
      <c r="B5463">
        <f>IFERROR(__xludf.DUMMYFUNCTION("""COMPUTED_VALUE"""),3800048.0)</f>
        <v>3800048</v>
      </c>
      <c r="C5463" t="str">
        <f>IFERROR(__xludf.DUMMYFUNCTION("""COMPUTED_VALUE"""),"APIGEE API Management: Beginner to Paid Professional (2021)")</f>
        <v>APIGEE API Management: Beginner to Paid Professional (2021)</v>
      </c>
    </row>
    <row r="5464">
      <c r="A5464" s="140" t="str">
        <f>IFERROR(__xludf.DUMMYFUNCTION("""COMPUTED_VALUE"""),"pt")</f>
        <v>pt</v>
      </c>
      <c r="B5464">
        <f>IFERROR(__xludf.DUMMYFUNCTION("""COMPUTED_VALUE"""),1661868.0)</f>
        <v>1661868</v>
      </c>
      <c r="C5464" t="str">
        <f>IFERROR(__xludf.DUMMYFUNCTION("""COMPUTED_VALUE"""),"Formação em Redes de Computadores Módulo 2")</f>
        <v>Formação em Redes de Computadores Módulo 2</v>
      </c>
    </row>
    <row r="5465">
      <c r="A5465" s="140" t="str">
        <f>IFERROR(__xludf.DUMMYFUNCTION("""COMPUTED_VALUE"""),"en")</f>
        <v>en</v>
      </c>
      <c r="B5465">
        <f>IFERROR(__xludf.DUMMYFUNCTION("""COMPUTED_VALUE"""),1417610.0)</f>
        <v>1417610</v>
      </c>
      <c r="C5465" t="str">
        <f>IFERROR(__xludf.DUMMYFUNCTION("""COMPUTED_VALUE"""),"Unit Testing and Test Driven Development in Python")</f>
        <v>Unit Testing and Test Driven Development in Python</v>
      </c>
    </row>
    <row r="5466">
      <c r="A5466" s="140" t="str">
        <f>IFERROR(__xludf.DUMMYFUNCTION("""COMPUTED_VALUE"""),"en")</f>
        <v>en</v>
      </c>
      <c r="B5466">
        <f>IFERROR(__xludf.DUMMYFUNCTION("""COMPUTED_VALUE"""),2614534.0)</f>
        <v>2614534</v>
      </c>
      <c r="C5466" t="str">
        <f>IFERROR(__xludf.DUMMYFUNCTION("""COMPUTED_VALUE"""),"Angular 10 hands on for Java Developers")</f>
        <v>Angular 10 hands on for Java Developers</v>
      </c>
    </row>
    <row r="5467">
      <c r="A5467" s="140" t="str">
        <f>IFERROR(__xludf.DUMMYFUNCTION("""COMPUTED_VALUE"""),"en")</f>
        <v>en</v>
      </c>
      <c r="B5467">
        <f>IFERROR(__xludf.DUMMYFUNCTION("""COMPUTED_VALUE"""),2682820.0)</f>
        <v>2682820</v>
      </c>
      <c r="C5467" t="str">
        <f>IFERROR(__xludf.DUMMYFUNCTION("""COMPUTED_VALUE"""),"Learn Micronaut - cloud native microservices with Java")</f>
        <v>Learn Micronaut - cloud native microservices with Java</v>
      </c>
    </row>
    <row r="5468">
      <c r="A5468" s="140" t="str">
        <f>IFERROR(__xludf.DUMMYFUNCTION("""COMPUTED_VALUE"""),"es")</f>
        <v>es</v>
      </c>
      <c r="B5468">
        <f>IFERROR(__xludf.DUMMYFUNCTION("""COMPUTED_VALUE"""),1798680.0)</f>
        <v>1798680</v>
      </c>
      <c r="C5468" t="str">
        <f>IFERROR(__xludf.DUMMYFUNCTION("""COMPUTED_VALUE"""),"Especialización en Gestión de Proyectos [2021]")</f>
        <v>Especialización en Gestión de Proyectos [2021]</v>
      </c>
    </row>
    <row r="5469">
      <c r="A5469" s="140" t="str">
        <f>IFERROR(__xludf.DUMMYFUNCTION("""COMPUTED_VALUE"""),"en")</f>
        <v>en</v>
      </c>
      <c r="B5469">
        <f>IFERROR(__xludf.DUMMYFUNCTION("""COMPUTED_VALUE"""),433944.0)</f>
        <v>433944</v>
      </c>
      <c r="C5469" t="str">
        <f>IFERROR(__xludf.DUMMYFUNCTION("""COMPUTED_VALUE"""),"CCIE Routing &amp; Switching Version 5.0 - BGP")</f>
        <v>CCIE Routing &amp; Switching Version 5.0 - BGP</v>
      </c>
    </row>
    <row r="5470">
      <c r="A5470" s="140" t="str">
        <f>IFERROR(__xludf.DUMMYFUNCTION("""COMPUTED_VALUE"""),"en")</f>
        <v>en</v>
      </c>
      <c r="B5470">
        <f>IFERROR(__xludf.DUMMYFUNCTION("""COMPUTED_VALUE"""),3370718.0)</f>
        <v>3370718</v>
      </c>
      <c r="C5470" t="str">
        <f>IFERROR(__xludf.DUMMYFUNCTION("""COMPUTED_VALUE"""),"Klaviyo Automation and Segmentation Masterclass")</f>
        <v>Klaviyo Automation and Segmentation Masterclass</v>
      </c>
    </row>
    <row r="5471">
      <c r="A5471" s="140" t="str">
        <f>IFERROR(__xludf.DUMMYFUNCTION("""COMPUTED_VALUE"""),"es")</f>
        <v>es</v>
      </c>
      <c r="B5471">
        <f>IFERROR(__xludf.DUMMYFUNCTION("""COMPUTED_VALUE"""),2137076.0)</f>
        <v>2137076</v>
      </c>
      <c r="C5471" t="str">
        <f>IFERROR(__xludf.DUMMYFUNCTION("""COMPUTED_VALUE"""),"SQL. Curso completo de SQL. Aprende desde cero. Comandos SQL")</f>
        <v>SQL. Curso completo de SQL. Aprende desde cero. Comandos SQL</v>
      </c>
    </row>
    <row r="5472">
      <c r="A5472" s="140" t="str">
        <f>IFERROR(__xludf.DUMMYFUNCTION("""COMPUTED_VALUE"""),"es")</f>
        <v>es</v>
      </c>
      <c r="B5472">
        <f>IFERROR(__xludf.DUMMYFUNCTION("""COMPUTED_VALUE"""),2306150.0)</f>
        <v>2306150</v>
      </c>
      <c r="C5472" t="str">
        <f>IFERROR(__xludf.DUMMYFUNCTION("""COMPUTED_VALUE"""),"Curso Google Sites 2021: Cómo Crear Páginas Web Desde Cero")</f>
        <v>Curso Google Sites 2021: Cómo Crear Páginas Web Desde Cero</v>
      </c>
    </row>
    <row r="5473">
      <c r="A5473" s="140" t="str">
        <f>IFERROR(__xludf.DUMMYFUNCTION("""COMPUTED_VALUE"""),"pt")</f>
        <v>pt</v>
      </c>
      <c r="B5473">
        <f>IFERROR(__xludf.DUMMYFUNCTION("""COMPUTED_VALUE"""),2083768.0)</f>
        <v>2083768</v>
      </c>
      <c r="C5473" t="str">
        <f>IFERROR(__xludf.DUMMYFUNCTION("""COMPUTED_VALUE"""),"API REST em Node.JS aplicando testes (TDD) desde o princípio")</f>
        <v>API REST em Node.JS aplicando testes (TDD) desde o princípio</v>
      </c>
    </row>
    <row r="5474">
      <c r="A5474" s="140" t="str">
        <f>IFERROR(__xludf.DUMMYFUNCTION("""COMPUTED_VALUE"""),"en")</f>
        <v>en</v>
      </c>
      <c r="B5474">
        <f>IFERROR(__xludf.DUMMYFUNCTION("""COMPUTED_VALUE"""),3936930.0)</f>
        <v>3936930</v>
      </c>
      <c r="C5474" t="str">
        <f>IFERROR(__xludf.DUMMYFUNCTION("""COMPUTED_VALUE"""),"Spring RSocket")</f>
        <v>Spring RSocket</v>
      </c>
    </row>
    <row r="5475">
      <c r="A5475" s="140" t="str">
        <f>IFERROR(__xludf.DUMMYFUNCTION("""COMPUTED_VALUE"""),"en")</f>
        <v>en</v>
      </c>
      <c r="B5475">
        <f>IFERROR(__xludf.DUMMYFUNCTION("""COMPUTED_VALUE"""),1093370.0)</f>
        <v>1093370</v>
      </c>
      <c r="C5475" t="str">
        <f>IFERROR(__xludf.DUMMYFUNCTION("""COMPUTED_VALUE"""),"Dark Web Foundation: A Guide to the Deep/Dark Web 2019")</f>
        <v>Dark Web Foundation: A Guide to the Deep/Dark Web 2019</v>
      </c>
    </row>
    <row r="5476">
      <c r="A5476" s="140" t="str">
        <f>IFERROR(__xludf.DUMMYFUNCTION("""COMPUTED_VALUE"""),"ja")</f>
        <v>ja</v>
      </c>
      <c r="B5476">
        <f>IFERROR(__xludf.DUMMYFUNCTION("""COMPUTED_VALUE"""),2444572.0)</f>
        <v>2444572</v>
      </c>
      <c r="C5476" t="str">
        <f>IFERROR(__xludf.DUMMYFUNCTION("""COMPUTED_VALUE"""),"いますぐはじめる観光のデジタル化")</f>
        <v>いますぐはじめる観光のデジタル化</v>
      </c>
    </row>
    <row r="5477">
      <c r="A5477" s="140" t="str">
        <f>IFERROR(__xludf.DUMMYFUNCTION("""COMPUTED_VALUE"""),"en")</f>
        <v>en</v>
      </c>
      <c r="B5477">
        <f>IFERROR(__xludf.DUMMYFUNCTION("""COMPUTED_VALUE"""),740726.0)</f>
        <v>740726</v>
      </c>
      <c r="C5477" t="str">
        <f>IFERROR(__xludf.DUMMYFUNCTION("""COMPUTED_VALUE"""),"Java EE Made Easy - Patterns, Architecture and Frameworks")</f>
        <v>Java EE Made Easy - Patterns, Architecture and Frameworks</v>
      </c>
    </row>
    <row r="5478">
      <c r="A5478" s="140" t="str">
        <f>IFERROR(__xludf.DUMMYFUNCTION("""COMPUTED_VALUE"""),"en")</f>
        <v>en</v>
      </c>
      <c r="B5478">
        <f>IFERROR(__xludf.DUMMYFUNCTION("""COMPUTED_VALUE"""),1302770.0)</f>
        <v>1302770</v>
      </c>
      <c r="C5478" t="str">
        <f>IFERROR(__xludf.DUMMYFUNCTION("""COMPUTED_VALUE"""),"Angular Security Masterclass (with FREE E-Book)")</f>
        <v>Angular Security Masterclass (with FREE E-Book)</v>
      </c>
    </row>
    <row r="5479">
      <c r="A5479" s="140" t="str">
        <f>IFERROR(__xludf.DUMMYFUNCTION("""COMPUTED_VALUE"""),"en")</f>
        <v>en</v>
      </c>
      <c r="B5479">
        <f>IFERROR(__xludf.DUMMYFUNCTION("""COMPUTED_VALUE"""),26100.0)</f>
        <v>26100</v>
      </c>
      <c r="C5479" t="str">
        <f>IFERROR(__xludf.DUMMYFUNCTION("""COMPUTED_VALUE"""),"MS Office - Advanced - Efficiency Training")</f>
        <v>MS Office - Advanced - Efficiency Training</v>
      </c>
    </row>
    <row r="5480">
      <c r="A5480" s="140" t="str">
        <f>IFERROR(__xludf.DUMMYFUNCTION("""COMPUTED_VALUE"""),"en")</f>
        <v>en</v>
      </c>
      <c r="B5480">
        <f>IFERROR(__xludf.DUMMYFUNCTION("""COMPUTED_VALUE"""),947098.0)</f>
        <v>947098</v>
      </c>
      <c r="C5480" t="str">
        <f>IFERROR(__xludf.DUMMYFUNCTION("""COMPUTED_VALUE"""),"Understanding TypeScript - 2022 Edition")</f>
        <v>Understanding TypeScript - 2022 Edition</v>
      </c>
    </row>
    <row r="5481">
      <c r="A5481" s="140" t="str">
        <f>IFERROR(__xludf.DUMMYFUNCTION("""COMPUTED_VALUE"""),"es")</f>
        <v>es</v>
      </c>
      <c r="B5481">
        <f>IFERROR(__xludf.DUMMYFUNCTION("""COMPUTED_VALUE"""),1876348.0)</f>
        <v>1876348</v>
      </c>
      <c r="C5481" t="str">
        <f>IFERROR(__xludf.DUMMYFUNCTION("""COMPUTED_VALUE"""),"MASTER EN ARDUINO ¡INCLUYE IoT! INTERNET OF THINGS!")</f>
        <v>MASTER EN ARDUINO ¡INCLUYE IoT! INTERNET OF THINGS!</v>
      </c>
    </row>
    <row r="5482">
      <c r="A5482" s="140" t="str">
        <f>IFERROR(__xludf.DUMMYFUNCTION("""COMPUTED_VALUE"""),"en")</f>
        <v>en</v>
      </c>
      <c r="B5482">
        <f>IFERROR(__xludf.DUMMYFUNCTION("""COMPUTED_VALUE"""),1922984.0)</f>
        <v>1922984</v>
      </c>
      <c r="C5482" t="str">
        <f>IFERROR(__xludf.DUMMYFUNCTION("""COMPUTED_VALUE"""),".NET 5 &amp; .NET Core 3.1 Web API &amp; Entity Framework Jumpstart")</f>
        <v>.NET 5 &amp; .NET Core 3.1 Web API &amp; Entity Framework Jumpstart</v>
      </c>
    </row>
    <row r="5483">
      <c r="A5483" s="140" t="str">
        <f>IFERROR(__xludf.DUMMYFUNCTION("""COMPUTED_VALUE"""),"en")</f>
        <v>en</v>
      </c>
      <c r="B5483">
        <f>IFERROR(__xludf.DUMMYFUNCTION("""COMPUTED_VALUE"""),2970812.0)</f>
        <v>2970812</v>
      </c>
      <c r="C5483" t="str">
        <f>IFERROR(__xludf.DUMMYFUNCTION("""COMPUTED_VALUE"""),"Algorithmic Trading on KiteConnect Platform")</f>
        <v>Algorithmic Trading on KiteConnect Platform</v>
      </c>
    </row>
    <row r="5484">
      <c r="A5484" s="140" t="str">
        <f>IFERROR(__xludf.DUMMYFUNCTION("""COMPUTED_VALUE"""),"en")</f>
        <v>en</v>
      </c>
      <c r="B5484">
        <f>IFERROR(__xludf.DUMMYFUNCTION("""COMPUTED_VALUE"""),1271196.0)</f>
        <v>1271196</v>
      </c>
      <c r="C5484" t="str">
        <f>IFERROR(__xludf.DUMMYFUNCTION("""COMPUTED_VALUE"""),"The complete AutoCAD 2018-21 course")</f>
        <v>The complete AutoCAD 2018-21 course</v>
      </c>
    </row>
    <row r="5485">
      <c r="A5485" s="140" t="str">
        <f>IFERROR(__xludf.DUMMYFUNCTION("""COMPUTED_VALUE"""),"fr")</f>
        <v>fr</v>
      </c>
      <c r="B5485">
        <f>IFERROR(__xludf.DUMMYFUNCTION("""COMPUTED_VALUE"""),994420.0)</f>
        <v>994420</v>
      </c>
      <c r="C5485" t="str">
        <f>IFERROR(__xludf.DUMMYFUNCTION("""COMPUTED_VALUE"""),"Sketch 3 de A à Z")</f>
        <v>Sketch 3 de A à Z</v>
      </c>
    </row>
    <row r="5486">
      <c r="A5486" s="140" t="str">
        <f>IFERROR(__xludf.DUMMYFUNCTION("""COMPUTED_VALUE"""),"en")</f>
        <v>en</v>
      </c>
      <c r="B5486">
        <f>IFERROR(__xludf.DUMMYFUNCTION("""COMPUTED_VALUE"""),3159798.0)</f>
        <v>3159798</v>
      </c>
      <c r="C5486" t="str">
        <f>IFERROR(__xludf.DUMMYFUNCTION("""COMPUTED_VALUE"""),"Multiplayer Virtual Reality (VR) Development With Unity")</f>
        <v>Multiplayer Virtual Reality (VR) Development With Unity</v>
      </c>
    </row>
    <row r="5487">
      <c r="A5487" s="140" t="str">
        <f>IFERROR(__xludf.DUMMYFUNCTION("""COMPUTED_VALUE"""),"en")</f>
        <v>en</v>
      </c>
      <c r="B5487">
        <f>IFERROR(__xludf.DUMMYFUNCTION("""COMPUTED_VALUE"""),1600118.0)</f>
        <v>1600118</v>
      </c>
      <c r="C5487" t="str">
        <f>IFERROR(__xludf.DUMMYFUNCTION("""COMPUTED_VALUE"""),"Ionic Basics")</f>
        <v>Ionic Basics</v>
      </c>
    </row>
    <row r="5488">
      <c r="A5488" s="140" t="str">
        <f>IFERROR(__xludf.DUMMYFUNCTION("""COMPUTED_VALUE"""),"en")</f>
        <v>en</v>
      </c>
      <c r="B5488">
        <f>IFERROR(__xludf.DUMMYFUNCTION("""COMPUTED_VALUE"""),1042110.0)</f>
        <v>1042110</v>
      </c>
      <c r="C5488" t="str">
        <f>IFERROR(__xludf.DUMMYFUNCTION("""COMPUTED_VALUE"""),"Beginner Full Stack Web Development: HTML, CSS, React &amp; Node")</f>
        <v>Beginner Full Stack Web Development: HTML, CSS, React &amp; Node</v>
      </c>
    </row>
    <row r="5489">
      <c r="A5489" s="140" t="str">
        <f>IFERROR(__xludf.DUMMYFUNCTION("""COMPUTED_VALUE"""),"en")</f>
        <v>en</v>
      </c>
      <c r="B5489">
        <f>IFERROR(__xludf.DUMMYFUNCTION("""COMPUTED_VALUE"""),2841868.0)</f>
        <v>2841868</v>
      </c>
      <c r="C5489" t="str">
        <f>IFERROR(__xludf.DUMMYFUNCTION("""COMPUTED_VALUE"""),"PHP with Laravel  - Create a Restaurant  Management System")</f>
        <v>PHP with Laravel  - Create a Restaurant  Management System</v>
      </c>
    </row>
    <row r="5490">
      <c r="A5490" s="140" t="str">
        <f>IFERROR(__xludf.DUMMYFUNCTION("""COMPUTED_VALUE"""),"es")</f>
        <v>es</v>
      </c>
      <c r="B5490">
        <f>IFERROR(__xludf.DUMMYFUNCTION("""COMPUTED_VALUE"""),775264.0)</f>
        <v>775264</v>
      </c>
      <c r="C5490" t="str">
        <f>IFERROR(__xludf.DUMMYFUNCTION("""COMPUTED_VALUE"""),"Creando Restful services PHP-MYSQL (Codeigniter 3)")</f>
        <v>Creando Restful services PHP-MYSQL (Codeigniter 3)</v>
      </c>
    </row>
    <row r="5491">
      <c r="A5491" s="140" t="str">
        <f>IFERROR(__xludf.DUMMYFUNCTION("""COMPUTED_VALUE"""),"pt")</f>
        <v>pt</v>
      </c>
      <c r="B5491">
        <f>IFERROR(__xludf.DUMMYFUNCTION("""COMPUTED_VALUE"""),4116508.0)</f>
        <v>4116508</v>
      </c>
      <c r="C5491" t="str">
        <f>IFERROR(__xludf.DUMMYFUNCTION("""COMPUTED_VALUE"""),"O Guia Completo da Comunicação")</f>
        <v>O Guia Completo da Comunicação</v>
      </c>
    </row>
    <row r="5492">
      <c r="A5492" s="140" t="str">
        <f>IFERROR(__xludf.DUMMYFUNCTION("""COMPUTED_VALUE"""),"en")</f>
        <v>en</v>
      </c>
      <c r="B5492">
        <f>IFERROR(__xludf.DUMMYFUNCTION("""COMPUTED_VALUE"""),1280746.0)</f>
        <v>1280746</v>
      </c>
      <c r="C5492" t="str">
        <f>IFERROR(__xludf.DUMMYFUNCTION("""COMPUTED_VALUE"""),"Learn Italian Language:  Italian Course For Intermediate")</f>
        <v>Learn Italian Language:  Italian Course For Intermediate</v>
      </c>
    </row>
    <row r="5493">
      <c r="A5493" s="140" t="str">
        <f>IFERROR(__xludf.DUMMYFUNCTION("""COMPUTED_VALUE"""),"ja")</f>
        <v>ja</v>
      </c>
      <c r="B5493">
        <f>IFERROR(__xludf.DUMMYFUNCTION("""COMPUTED_VALUE"""),3898262.0)</f>
        <v>3898262</v>
      </c>
      <c r="C5493" t="str">
        <f>IFERROR(__xludf.DUMMYFUNCTION("""COMPUTED_VALUE"""),"【unity 3d】ゾンビ系FPSを作って3Dゲーム開発を初めてみよう")</f>
        <v>【unity 3d】ゾンビ系FPSを作って3Dゲーム開発を初めてみよう</v>
      </c>
    </row>
    <row r="5494">
      <c r="A5494" s="140" t="str">
        <f>IFERROR(__xludf.DUMMYFUNCTION("""COMPUTED_VALUE"""),"fr")</f>
        <v>fr</v>
      </c>
      <c r="B5494">
        <f>IFERROR(__xludf.DUMMYFUNCTION("""COMPUTED_VALUE"""),2809065.0)</f>
        <v>2809065</v>
      </c>
      <c r="C5494" t="str">
        <f>IFERROR(__xludf.DUMMYFUNCTION("""COMPUTED_VALUE"""),"Le CSS de A à Z")</f>
        <v>Le CSS de A à Z</v>
      </c>
    </row>
    <row r="5495">
      <c r="A5495" s="140" t="str">
        <f>IFERROR(__xludf.DUMMYFUNCTION("""COMPUTED_VALUE"""),"en")</f>
        <v>en</v>
      </c>
      <c r="B5495">
        <f>IFERROR(__xludf.DUMMYFUNCTION("""COMPUTED_VALUE"""),3306868.0)</f>
        <v>3306868</v>
      </c>
      <c r="C5495" t="str">
        <f>IFERROR(__xludf.DUMMYFUNCTION("""COMPUTED_VALUE"""),"VMware NSX-T 3.0 Fundamentals Part One (2021)")</f>
        <v>VMware NSX-T 3.0 Fundamentals Part One (2021)</v>
      </c>
    </row>
    <row r="5496">
      <c r="A5496" s="140" t="str">
        <f>IFERROR(__xludf.DUMMYFUNCTION("""COMPUTED_VALUE"""),"pt")</f>
        <v>pt</v>
      </c>
      <c r="B5496">
        <f>IFERROR(__xludf.DUMMYFUNCTION("""COMPUTED_VALUE"""),1306760.0)</f>
        <v>1306760</v>
      </c>
      <c r="C5496" t="str">
        <f>IFERROR(__xludf.DUMMYFUNCTION("""COMPUTED_VALUE"""),"Curso de Inglês - Domine Tempos Verbais e Fale Melhor Agora!")</f>
        <v>Curso de Inglês - Domine Tempos Verbais e Fale Melhor Agora!</v>
      </c>
    </row>
    <row r="5497">
      <c r="A5497" s="140" t="str">
        <f>IFERROR(__xludf.DUMMYFUNCTION("""COMPUTED_VALUE"""),"en")</f>
        <v>en</v>
      </c>
      <c r="B5497">
        <f>IFERROR(__xludf.DUMMYFUNCTION("""COMPUTED_VALUE"""),3599404.0)</f>
        <v>3599404</v>
      </c>
      <c r="C5497" t="str">
        <f>IFERROR(__xludf.DUMMYFUNCTION("""COMPUTED_VALUE"""),"Event-Driven Microservices: Spring Boot, Kafka and Elastic")</f>
        <v>Event-Driven Microservices: Spring Boot, Kafka and Elastic</v>
      </c>
    </row>
    <row r="5498">
      <c r="A5498" s="140" t="str">
        <f>IFERROR(__xludf.DUMMYFUNCTION("""COMPUTED_VALUE"""),"en")</f>
        <v>en</v>
      </c>
      <c r="B5498">
        <f>IFERROR(__xludf.DUMMYFUNCTION("""COMPUTED_VALUE"""),1419174.0)</f>
        <v>1419174</v>
      </c>
      <c r="C5498" t="str">
        <f>IFERROR(__xludf.DUMMYFUNCTION("""COMPUTED_VALUE"""),"Learn To Write 2D Games with C# and Unity")</f>
        <v>Learn To Write 2D Games with C# and Unity</v>
      </c>
    </row>
    <row r="5499">
      <c r="A5499" s="140" t="str">
        <f>IFERROR(__xludf.DUMMYFUNCTION("""COMPUTED_VALUE"""),"en")</f>
        <v>en</v>
      </c>
      <c r="B5499">
        <f>IFERROR(__xludf.DUMMYFUNCTION("""COMPUTED_VALUE"""),2698386.0)</f>
        <v>2698386</v>
      </c>
      <c r="C5499" t="str">
        <f>IFERROR(__xludf.DUMMYFUNCTION("""COMPUTED_VALUE"""),"Axure RP 9 Fundamentals and Mobile prototyping for UX Design")</f>
        <v>Axure RP 9 Fundamentals and Mobile prototyping for UX Design</v>
      </c>
    </row>
    <row r="5500">
      <c r="A5500" s="140" t="str">
        <f>IFERROR(__xludf.DUMMYFUNCTION("""COMPUTED_VALUE"""),"en")</f>
        <v>en</v>
      </c>
      <c r="B5500">
        <f>IFERROR(__xludf.DUMMYFUNCTION("""COMPUTED_VALUE"""),2445140.0)</f>
        <v>2445140</v>
      </c>
      <c r="C5500" t="str">
        <f>IFERROR(__xludf.DUMMYFUNCTION("""COMPUTED_VALUE"""),"SAP ABAP for HANA certification preparation test")</f>
        <v>SAP ABAP for HANA certification preparation test</v>
      </c>
    </row>
    <row r="5501">
      <c r="A5501" s="140" t="str">
        <f>IFERROR(__xludf.DUMMYFUNCTION("""COMPUTED_VALUE"""),"es")</f>
        <v>es</v>
      </c>
      <c r="B5501">
        <f>IFERROR(__xludf.DUMMYFUNCTION("""COMPUTED_VALUE"""),1798226.0)</f>
        <v>1798226</v>
      </c>
      <c r="C5501" t="str">
        <f>IFERROR(__xludf.DUMMYFUNCTION("""COMPUTED_VALUE"""),"VPS Seguro en Ubuntu 18.04 con Letsencrypt Nginx PHP y MySQL")</f>
        <v>VPS Seguro en Ubuntu 18.04 con Letsencrypt Nginx PHP y MySQL</v>
      </c>
    </row>
    <row r="5502">
      <c r="A5502" s="140" t="str">
        <f>IFERROR(__xludf.DUMMYFUNCTION("""COMPUTED_VALUE"""),"en")</f>
        <v>en</v>
      </c>
      <c r="B5502">
        <f>IFERROR(__xludf.DUMMYFUNCTION("""COMPUTED_VALUE"""),3613050.0)</f>
        <v>3613050</v>
      </c>
      <c r="C5502" t="str">
        <f>IFERROR(__xludf.DUMMYFUNCTION("""COMPUTED_VALUE"""),"Android Developer Interview Preparation Guide")</f>
        <v>Android Developer Interview Preparation Guide</v>
      </c>
    </row>
    <row r="5503">
      <c r="A5503" s="140" t="str">
        <f>IFERROR(__xludf.DUMMYFUNCTION("""COMPUTED_VALUE"""),"en")</f>
        <v>en</v>
      </c>
      <c r="B5503">
        <f>IFERROR(__xludf.DUMMYFUNCTION("""COMPUTED_VALUE"""),102132.0)</f>
        <v>102132</v>
      </c>
      <c r="C5503" t="str">
        <f>IFERROR(__xludf.DUMMYFUNCTION("""COMPUTED_VALUE"""),"ASP.Net Web Forms Live Project")</f>
        <v>ASP.Net Web Forms Live Project</v>
      </c>
    </row>
    <row r="5504">
      <c r="A5504" s="140" t="str">
        <f>IFERROR(__xludf.DUMMYFUNCTION("""COMPUTED_VALUE"""),"en")</f>
        <v>en</v>
      </c>
      <c r="B5504">
        <f>IFERROR(__xludf.DUMMYFUNCTION("""COMPUTED_VALUE"""),1871636.0)</f>
        <v>1871636</v>
      </c>
      <c r="C5504" t="str">
        <f>IFERROR(__xludf.DUMMYFUNCTION("""COMPUTED_VALUE"""),"Complete Python Programming Masterclass Beginner to Advanced")</f>
        <v>Complete Python Programming Masterclass Beginner to Advanced</v>
      </c>
    </row>
    <row r="5505">
      <c r="A5505" s="140" t="str">
        <f>IFERROR(__xludf.DUMMYFUNCTION("""COMPUTED_VALUE"""),"en")</f>
        <v>en</v>
      </c>
      <c r="B5505">
        <f>IFERROR(__xludf.DUMMYFUNCTION("""COMPUTED_VALUE"""),650794.0)</f>
        <v>650794</v>
      </c>
      <c r="C5505" t="str">
        <f>IFERROR(__xludf.DUMMYFUNCTION("""COMPUTED_VALUE"""),"Master Persuasion Psychology")</f>
        <v>Master Persuasion Psychology</v>
      </c>
    </row>
    <row r="5506">
      <c r="A5506" s="140" t="str">
        <f>IFERROR(__xludf.DUMMYFUNCTION("""COMPUTED_VALUE"""),"es")</f>
        <v>es</v>
      </c>
      <c r="B5506">
        <f>IFERROR(__xludf.DUMMYFUNCTION("""COMPUTED_VALUE"""),3245302.0)</f>
        <v>3245302</v>
      </c>
      <c r="C5506" t="str">
        <f>IFERROR(__xludf.DUMMYFUNCTION("""COMPUTED_VALUE"""),"MÁSTER Diseño Gráfico, Editorial, Web, Vídeo, Foto y 3D")</f>
        <v>MÁSTER Diseño Gráfico, Editorial, Web, Vídeo, Foto y 3D</v>
      </c>
    </row>
    <row r="5507">
      <c r="A5507" s="140" t="str">
        <f>IFERROR(__xludf.DUMMYFUNCTION("""COMPUTED_VALUE"""),"en")</f>
        <v>en</v>
      </c>
      <c r="B5507">
        <f>IFERROR(__xludf.DUMMYFUNCTION("""COMPUTED_VALUE"""),917432.0)</f>
        <v>917432</v>
      </c>
      <c r="C5507" t="str">
        <f>IFERROR(__xludf.DUMMYFUNCTION("""COMPUTED_VALUE"""),"The Professional Bass Masterclass - Bass 1, Bass 2, Bass 3")</f>
        <v>The Professional Bass Masterclass - Bass 1, Bass 2, Bass 3</v>
      </c>
    </row>
    <row r="5508">
      <c r="A5508" s="140" t="str">
        <f>IFERROR(__xludf.DUMMYFUNCTION("""COMPUTED_VALUE"""),"en")</f>
        <v>en</v>
      </c>
      <c r="B5508">
        <f>IFERROR(__xludf.DUMMYFUNCTION("""COMPUTED_VALUE"""),1326708.0)</f>
        <v>1326708</v>
      </c>
      <c r="C5508" t="str">
        <f>IFERROR(__xludf.DUMMYFUNCTION("""COMPUTED_VALUE"""),"MBA ASAP Corporate Finance Fundamentals for Career Success")</f>
        <v>MBA ASAP Corporate Finance Fundamentals for Career Success</v>
      </c>
    </row>
    <row r="5509">
      <c r="A5509" s="140" t="str">
        <f>IFERROR(__xludf.DUMMYFUNCTION("""COMPUTED_VALUE"""),"pt")</f>
        <v>pt</v>
      </c>
      <c r="B5509">
        <f>IFERROR(__xludf.DUMMYFUNCTION("""COMPUTED_VALUE"""),2697560.0)</f>
        <v>2697560</v>
      </c>
      <c r="C5509" t="str">
        <f>IFERROR(__xludf.DUMMYFUNCTION("""COMPUTED_VALUE"""),"SOLID - Os 5 Princípios para as Boas Práticas da POO")</f>
        <v>SOLID - Os 5 Princípios para as Boas Práticas da POO</v>
      </c>
    </row>
    <row r="5510">
      <c r="A5510" s="140" t="str">
        <f>IFERROR(__xludf.DUMMYFUNCTION("""COMPUTED_VALUE"""),"en")</f>
        <v>en</v>
      </c>
      <c r="B5510">
        <f>IFERROR(__xludf.DUMMYFUNCTION("""COMPUTED_VALUE"""),942002.0)</f>
        <v>942002</v>
      </c>
      <c r="C5510" t="str">
        <f>IFERROR(__xludf.DUMMYFUNCTION("""COMPUTED_VALUE"""),"Make a Match-Three Puzzle Game in Unity")</f>
        <v>Make a Match-Three Puzzle Game in Unity</v>
      </c>
    </row>
    <row r="5511">
      <c r="A5511" s="140" t="str">
        <f>IFERROR(__xludf.DUMMYFUNCTION("""COMPUTED_VALUE"""),"es")</f>
        <v>es</v>
      </c>
      <c r="B5511">
        <f>IFERROR(__xludf.DUMMYFUNCTION("""COMPUTED_VALUE"""),2578138.0)</f>
        <v>2578138</v>
      </c>
      <c r="C5511" t="str">
        <f>IFERROR(__xludf.DUMMYFUNCTION("""COMPUTED_VALUE"""),"Ingeniería de variables para machine learning")</f>
        <v>Ingeniería de variables para machine learning</v>
      </c>
    </row>
    <row r="5512">
      <c r="A5512" s="140" t="str">
        <f>IFERROR(__xludf.DUMMYFUNCTION("""COMPUTED_VALUE"""),"en")</f>
        <v>en</v>
      </c>
      <c r="B5512">
        <f>IFERROR(__xludf.DUMMYFUNCTION("""COMPUTED_VALUE"""),1312438.0)</f>
        <v>1312438</v>
      </c>
      <c r="C5512" t="str">
        <f>IFERROR(__xludf.DUMMYFUNCTION("""COMPUTED_VALUE"""),"Programming Numerical Methods in Python")</f>
        <v>Programming Numerical Methods in Python</v>
      </c>
    </row>
    <row r="5513">
      <c r="A5513" s="140" t="str">
        <f>IFERROR(__xludf.DUMMYFUNCTION("""COMPUTED_VALUE"""),"ja")</f>
        <v>ja</v>
      </c>
      <c r="B5513">
        <f>IFERROR(__xludf.DUMMYFUNCTION("""COMPUTED_VALUE"""),3919608.0)</f>
        <v>3919608</v>
      </c>
      <c r="C5513" t="str">
        <f>IFERROR(__xludf.DUMMYFUNCTION("""COMPUTED_VALUE"""),"APIを基礎からしっかりと学び、Django Rest Frameworkで天気情報を取得するアプリを作ろう！")</f>
        <v>APIを基礎からしっかりと学び、Django Rest Frameworkで天気情報を取得するアプリを作ろう！</v>
      </c>
    </row>
    <row r="5514">
      <c r="A5514" s="140" t="str">
        <f>IFERROR(__xludf.DUMMYFUNCTION("""COMPUTED_VALUE"""),"en")</f>
        <v>en</v>
      </c>
      <c r="B5514">
        <f>IFERROR(__xludf.DUMMYFUNCTION("""COMPUTED_VALUE"""),632782.0)</f>
        <v>632782</v>
      </c>
      <c r="C5514" t="str">
        <f>IFERROR(__xludf.DUMMYFUNCTION("""COMPUTED_VALUE"""),"Best Practices in Document Management")</f>
        <v>Best Practices in Document Management</v>
      </c>
    </row>
    <row r="5515">
      <c r="A5515" s="140" t="str">
        <f>IFERROR(__xludf.DUMMYFUNCTION("""COMPUTED_VALUE"""),"en")</f>
        <v>en</v>
      </c>
      <c r="B5515">
        <f>IFERROR(__xludf.DUMMYFUNCTION("""COMPUTED_VALUE"""),1590708.0)</f>
        <v>1590708</v>
      </c>
      <c r="C5515" t="str">
        <f>IFERROR(__xludf.DUMMYFUNCTION("""COMPUTED_VALUE"""),"Apache Kylin : Implementing OLAP on the Hadoop platform")</f>
        <v>Apache Kylin : Implementing OLAP on the Hadoop platform</v>
      </c>
    </row>
    <row r="5516">
      <c r="A5516" s="140" t="str">
        <f>IFERROR(__xludf.DUMMYFUNCTION("""COMPUTED_VALUE"""),"en")</f>
        <v>en</v>
      </c>
      <c r="B5516">
        <f>IFERROR(__xludf.DUMMYFUNCTION("""COMPUTED_VALUE"""),1645294.0)</f>
        <v>1645294</v>
      </c>
      <c r="C5516" t="str">
        <f>IFERROR(__xludf.DUMMYFUNCTION("""COMPUTED_VALUE"""),"POSTMAN API Testing - Step by Step for Beginners")</f>
        <v>POSTMAN API Testing - Step by Step for Beginners</v>
      </c>
    </row>
    <row r="5517">
      <c r="A5517" s="140" t="str">
        <f>IFERROR(__xludf.DUMMYFUNCTION("""COMPUTED_VALUE"""),"tr")</f>
        <v>tr</v>
      </c>
      <c r="B5517">
        <f>IFERROR(__xludf.DUMMYFUNCTION("""COMPUTED_VALUE"""),3402768.0)</f>
        <v>3402768</v>
      </c>
      <c r="C5517" t="str">
        <f>IFERROR(__xludf.DUMMYFUNCTION("""COMPUTED_VALUE"""),"Doğru Planlama ile Zamanını Yönet")</f>
        <v>Doğru Planlama ile Zamanını Yönet</v>
      </c>
    </row>
    <row r="5518">
      <c r="A5518" s="140" t="str">
        <f>IFERROR(__xludf.DUMMYFUNCTION("""COMPUTED_VALUE"""),"pt")</f>
        <v>pt</v>
      </c>
      <c r="B5518">
        <f>IFERROR(__xludf.DUMMYFUNCTION("""COMPUTED_VALUE"""),1605576.0)</f>
        <v>1605576</v>
      </c>
      <c r="C5518" t="str">
        <f>IFERROR(__xludf.DUMMYFUNCTION("""COMPUTED_VALUE"""),"Preparatório para Certificação PMP®/CAPM® - PMBOK® v6")</f>
        <v>Preparatório para Certificação PMP®/CAPM® - PMBOK® v6</v>
      </c>
    </row>
    <row r="5519">
      <c r="A5519" s="140" t="str">
        <f>IFERROR(__xludf.DUMMYFUNCTION("""COMPUTED_VALUE"""),"en")</f>
        <v>en</v>
      </c>
      <c r="B5519">
        <f>IFERROR(__xludf.DUMMYFUNCTION("""COMPUTED_VALUE"""),3925798.0)</f>
        <v>3925798</v>
      </c>
      <c r="C5519" t="str">
        <f>IFERROR(__xludf.DUMMYFUNCTION("""COMPUTED_VALUE"""),"Practice Exams | Microsoft Azure DP-203 Data Engineering")</f>
        <v>Practice Exams | Microsoft Azure DP-203 Data Engineering</v>
      </c>
    </row>
    <row r="5520">
      <c r="A5520" s="140" t="str">
        <f>IFERROR(__xludf.DUMMYFUNCTION("""COMPUTED_VALUE"""),"en")</f>
        <v>en</v>
      </c>
      <c r="B5520">
        <f>IFERROR(__xludf.DUMMYFUNCTION("""COMPUTED_VALUE"""),2294657.0)</f>
        <v>2294657</v>
      </c>
      <c r="C5520" t="str">
        <f>IFERROR(__xludf.DUMMYFUNCTION("""COMPUTED_VALUE"""),"Preventing and Surviving an Active Shooter Incident")</f>
        <v>Preventing and Surviving an Active Shooter Incident</v>
      </c>
    </row>
    <row r="5521">
      <c r="A5521" s="140" t="str">
        <f>IFERROR(__xludf.DUMMYFUNCTION("""COMPUTED_VALUE"""),"fr")</f>
        <v>fr</v>
      </c>
      <c r="B5521">
        <f>IFERROR(__xludf.DUMMYFUNCTION("""COMPUTED_VALUE"""),498982.0)</f>
        <v>498982</v>
      </c>
      <c r="C5521" t="str">
        <f>IFERROR(__xludf.DUMMYFUNCTION("""COMPUTED_VALUE"""),"PowerPoint efficace : soyez visuel pour être impactant")</f>
        <v>PowerPoint efficace : soyez visuel pour être impactant</v>
      </c>
    </row>
    <row r="5522">
      <c r="A5522" s="140" t="str">
        <f>IFERROR(__xludf.DUMMYFUNCTION("""COMPUTED_VALUE"""),"en")</f>
        <v>en</v>
      </c>
      <c r="B5522">
        <f>IFERROR(__xludf.DUMMYFUNCTION("""COMPUTED_VALUE"""),923290.0)</f>
        <v>923290</v>
      </c>
      <c r="C5522" t="str">
        <f>IFERROR(__xludf.DUMMYFUNCTION("""COMPUTED_VALUE"""),"Learn AWS The Hard Way")</f>
        <v>Learn AWS The Hard Way</v>
      </c>
    </row>
    <row r="5523">
      <c r="A5523" s="140" t="str">
        <f>IFERROR(__xludf.DUMMYFUNCTION("""COMPUTED_VALUE"""),"en")</f>
        <v>en</v>
      </c>
      <c r="B5523">
        <f>IFERROR(__xludf.DUMMYFUNCTION("""COMPUTED_VALUE"""),688870.0)</f>
        <v>688870</v>
      </c>
      <c r="C5523" t="str">
        <f>IFERROR(__xludf.DUMMYFUNCTION("""COMPUTED_VALUE"""),"Software Development: Better Requirements Gathering Skills")</f>
        <v>Software Development: Better Requirements Gathering Skills</v>
      </c>
    </row>
    <row r="5524">
      <c r="A5524" s="140" t="str">
        <f>IFERROR(__xludf.DUMMYFUNCTION("""COMPUTED_VALUE"""),"en")</f>
        <v>en</v>
      </c>
      <c r="B5524">
        <f>IFERROR(__xludf.DUMMYFUNCTION("""COMPUTED_VALUE"""),3830982.0)</f>
        <v>3830982</v>
      </c>
      <c r="C5524" t="str">
        <f>IFERROR(__xludf.DUMMYFUNCTION("""COMPUTED_VALUE"""),"SaaS Metrics Fundamentals for Managers, Founders &amp; Investors")</f>
        <v>SaaS Metrics Fundamentals for Managers, Founders &amp; Investors</v>
      </c>
    </row>
    <row r="5525">
      <c r="A5525" s="140" t="str">
        <f>IFERROR(__xludf.DUMMYFUNCTION("""COMPUTED_VALUE"""),"ko")</f>
        <v>ko</v>
      </c>
      <c r="B5525">
        <f>IFERROR(__xludf.DUMMYFUNCTION("""COMPUTED_VALUE"""),4219238.0)</f>
        <v>4219238</v>
      </c>
      <c r="C5525" t="str">
        <f>IFERROR(__xludf.DUMMYFUNCTION("""COMPUTED_VALUE"""),"Excel 2019, 기초부터 VBA까지 한 번에 마스터")</f>
        <v>Excel 2019, 기초부터 VBA까지 한 번에 마스터</v>
      </c>
    </row>
    <row r="5526">
      <c r="A5526" s="140" t="str">
        <f>IFERROR(__xludf.DUMMYFUNCTION("""COMPUTED_VALUE"""),"en")</f>
        <v>en</v>
      </c>
      <c r="B5526">
        <f>IFERROR(__xludf.DUMMYFUNCTION("""COMPUTED_VALUE"""),567828.0)</f>
        <v>567828</v>
      </c>
      <c r="C5526" t="str">
        <f>IFERROR(__xludf.DUMMYFUNCTION("""COMPUTED_VALUE"""),"2022 Complete Python Bootcamp From Zero to Hero in Python")</f>
        <v>2022 Complete Python Bootcamp From Zero to Hero in Python</v>
      </c>
    </row>
    <row r="5527">
      <c r="A5527" s="140" t="str">
        <f>IFERROR(__xludf.DUMMYFUNCTION("""COMPUTED_VALUE"""),"en")</f>
        <v>en</v>
      </c>
      <c r="B5527">
        <f>IFERROR(__xludf.DUMMYFUNCTION("""COMPUTED_VALUE"""),788980.0)</f>
        <v>788980</v>
      </c>
      <c r="C5527" t="str">
        <f>IFERROR(__xludf.DUMMYFUNCTION("""COMPUTED_VALUE"""),"Interview Questions: Interview Like a Professional HRM")</f>
        <v>Interview Questions: Interview Like a Professional HRM</v>
      </c>
    </row>
    <row r="5528">
      <c r="A5528" s="140" t="str">
        <f>IFERROR(__xludf.DUMMYFUNCTION("""COMPUTED_VALUE"""),"en")</f>
        <v>en</v>
      </c>
      <c r="B5528">
        <f>IFERROR(__xludf.DUMMYFUNCTION("""COMPUTED_VALUE"""),24823.0)</f>
        <v>24823</v>
      </c>
      <c r="C5528" t="str">
        <f>IFERROR(__xludf.DUMMYFUNCTION("""COMPUTED_VALUE"""),"Java Tutorial for Complete Beginners")</f>
        <v>Java Tutorial for Complete Beginners</v>
      </c>
    </row>
    <row r="5529">
      <c r="A5529" s="140" t="str">
        <f>IFERROR(__xludf.DUMMYFUNCTION("""COMPUTED_VALUE"""),"ar")</f>
        <v>ar</v>
      </c>
      <c r="B5529">
        <f>IFERROR(__xludf.DUMMYFUNCTION("""COMPUTED_VALUE"""),3719660.0)</f>
        <v>3719660</v>
      </c>
      <c r="C5529" t="str">
        <f>IFERROR(__xludf.DUMMYFUNCTION("""COMPUTED_VALUE"""),"python web scraping by arabic")</f>
        <v>python web scraping by arabic</v>
      </c>
    </row>
    <row r="5530">
      <c r="A5530" s="140" t="str">
        <f>IFERROR(__xludf.DUMMYFUNCTION("""COMPUTED_VALUE"""),"pt")</f>
        <v>pt</v>
      </c>
      <c r="B5530">
        <f>IFERROR(__xludf.DUMMYFUNCTION("""COMPUTED_VALUE"""),679952.0)</f>
        <v>679952</v>
      </c>
      <c r="C5530" t="str">
        <f>IFERROR(__xludf.DUMMYFUNCTION("""COMPUTED_VALUE"""),"Modelo de Negócios Canvas: Transformando Ideias em Negócios")</f>
        <v>Modelo de Negócios Canvas: Transformando Ideias em Negócios</v>
      </c>
    </row>
    <row r="5531">
      <c r="A5531" s="140" t="str">
        <f>IFERROR(__xludf.DUMMYFUNCTION("""COMPUTED_VALUE"""),"fr")</f>
        <v>fr</v>
      </c>
      <c r="B5531">
        <f>IFERROR(__xludf.DUMMYFUNCTION("""COMPUTED_VALUE"""),1599840.0)</f>
        <v>1599840</v>
      </c>
      <c r="C5531" t="str">
        <f>IFERROR(__xludf.DUMMYFUNCTION("""COMPUTED_VALUE"""),"Planifier correctement un projet avec Microsoft Project")</f>
        <v>Planifier correctement un projet avec Microsoft Project</v>
      </c>
    </row>
    <row r="5532">
      <c r="A5532" s="140" t="str">
        <f>IFERROR(__xludf.DUMMYFUNCTION("""COMPUTED_VALUE"""),"ko")</f>
        <v>ko</v>
      </c>
      <c r="B5532">
        <f>IFERROR(__xludf.DUMMYFUNCTION("""COMPUTED_VALUE"""),3067240.0)</f>
        <v>3067240</v>
      </c>
      <c r="C5532" t="str">
        <f>IFERROR(__xludf.DUMMYFUNCTION("""COMPUTED_VALUE"""),"아빠가 들려주는 [시간 절약 파워포인트]")</f>
        <v>아빠가 들려주는 [시간 절약 파워포인트]</v>
      </c>
    </row>
    <row r="5533">
      <c r="A5533" s="140" t="str">
        <f>IFERROR(__xludf.DUMMYFUNCTION("""COMPUTED_VALUE"""),"es")</f>
        <v>es</v>
      </c>
      <c r="B5533">
        <f>IFERROR(__xludf.DUMMYFUNCTION("""COMPUTED_VALUE"""),1323478.0)</f>
        <v>1323478</v>
      </c>
      <c r="C5533" t="str">
        <f>IFERROR(__xludf.DUMMYFUNCTION("""COMPUTED_VALUE"""),"Power BI: Dando Vida a tus Datos con Informes Empresariales")</f>
        <v>Power BI: Dando Vida a tus Datos con Informes Empresariales</v>
      </c>
    </row>
    <row r="5534">
      <c r="A5534" s="140" t="str">
        <f>IFERROR(__xludf.DUMMYFUNCTION("""COMPUTED_VALUE"""),"ja")</f>
        <v>ja</v>
      </c>
      <c r="B5534">
        <f>IFERROR(__xludf.DUMMYFUNCTION("""COMPUTED_VALUE"""),2389206.0)</f>
        <v>2389206</v>
      </c>
      <c r="C5534" t="str">
        <f>IFERROR(__xludf.DUMMYFUNCTION("""COMPUTED_VALUE"""),"【アジャイル開発】スクラム基礎講座")</f>
        <v>【アジャイル開発】スクラム基礎講座</v>
      </c>
    </row>
    <row r="5535">
      <c r="A5535" s="140" t="str">
        <f>IFERROR(__xludf.DUMMYFUNCTION("""COMPUTED_VALUE"""),"en")</f>
        <v>en</v>
      </c>
      <c r="B5535">
        <f>IFERROR(__xludf.DUMMYFUNCTION("""COMPUTED_VALUE"""),3279690.0)</f>
        <v>3279690</v>
      </c>
      <c r="C5535" t="str">
        <f>IFERROR(__xludf.DUMMYFUNCTION("""COMPUTED_VALUE"""),"DP-900 Azure Data Fundamentals Exam Prep In One Day")</f>
        <v>DP-900 Azure Data Fundamentals Exam Prep In One Day</v>
      </c>
    </row>
    <row r="5536">
      <c r="A5536" s="140" t="str">
        <f>IFERROR(__xludf.DUMMYFUNCTION("""COMPUTED_VALUE"""),"en")</f>
        <v>en</v>
      </c>
      <c r="B5536">
        <f>IFERROR(__xludf.DUMMYFUNCTION("""COMPUTED_VALUE"""),1473256.0)</f>
        <v>1473256</v>
      </c>
      <c r="C5536" t="str">
        <f>IFERROR(__xludf.DUMMYFUNCTION("""COMPUTED_VALUE"""),"CISSP Easy/Mid practice questions: Domain 1 &amp; 2 - 2022")</f>
        <v>CISSP Easy/Mid practice questions: Domain 1 &amp; 2 - 2022</v>
      </c>
    </row>
    <row r="5537">
      <c r="A5537" s="140" t="str">
        <f>IFERROR(__xludf.DUMMYFUNCTION("""COMPUTED_VALUE"""),"en")</f>
        <v>en</v>
      </c>
      <c r="B5537">
        <f>IFERROR(__xludf.DUMMYFUNCTION("""COMPUTED_VALUE"""),3495246.0)</f>
        <v>3495246</v>
      </c>
      <c r="C5537" t="str">
        <f>IFERROR(__xludf.DUMMYFUNCTION("""COMPUTED_VALUE"""),"CompTIA Security+ (SY0-601) Practice Exams &amp; Simulated PBQs")</f>
        <v>CompTIA Security+ (SY0-601) Practice Exams &amp; Simulated PBQs</v>
      </c>
    </row>
    <row r="5538">
      <c r="A5538" s="140" t="str">
        <f>IFERROR(__xludf.DUMMYFUNCTION("""COMPUTED_VALUE"""),"en")</f>
        <v>en</v>
      </c>
      <c r="B5538">
        <f>IFERROR(__xludf.DUMMYFUNCTION("""COMPUTED_VALUE"""),2551711.0)</f>
        <v>2551711</v>
      </c>
      <c r="C5538" t="str">
        <f>IFERROR(__xludf.DUMMYFUNCTION("""COMPUTED_VALUE"""),"Concept Art Character Design")</f>
        <v>Concept Art Character Design</v>
      </c>
    </row>
    <row r="5539">
      <c r="A5539" s="140" t="str">
        <f>IFERROR(__xludf.DUMMYFUNCTION("""COMPUTED_VALUE"""),"en")</f>
        <v>en</v>
      </c>
      <c r="B5539">
        <f>IFERROR(__xludf.DUMMYFUNCTION("""COMPUTED_VALUE"""),1476132.0)</f>
        <v>1476132</v>
      </c>
      <c r="C5539" t="str">
        <f>IFERROR(__xludf.DUMMYFUNCTION("""COMPUTED_VALUE"""),"Google Tag Manager (GTM) Training Course - From Zero to Hero")</f>
        <v>Google Tag Manager (GTM) Training Course - From Zero to Hero</v>
      </c>
    </row>
    <row r="5540">
      <c r="A5540" s="140" t="str">
        <f>IFERROR(__xludf.DUMMYFUNCTION("""COMPUTED_VALUE"""),"en")</f>
        <v>en</v>
      </c>
      <c r="B5540">
        <f>IFERROR(__xludf.DUMMYFUNCTION("""COMPUTED_VALUE"""),554518.0)</f>
        <v>554518</v>
      </c>
      <c r="C5540" t="str">
        <f>IFERROR(__xludf.DUMMYFUNCTION("""COMPUTED_VALUE"""),"Understanding Strategic Marketing")</f>
        <v>Understanding Strategic Marketing</v>
      </c>
    </row>
    <row r="5541">
      <c r="A5541" s="140" t="str">
        <f>IFERROR(__xludf.DUMMYFUNCTION("""COMPUTED_VALUE"""),"ja")</f>
        <v>ja</v>
      </c>
      <c r="B5541">
        <f>IFERROR(__xludf.DUMMYFUNCTION("""COMPUTED_VALUE"""),1049854.0)</f>
        <v>1049854</v>
      </c>
      <c r="C5541" t="str">
        <f>IFERROR(__xludf.DUMMYFUNCTION("""COMPUTED_VALUE"""),"【4日で体験！】 TensorFlow, Keras, Python 3 で学ぶディープラーニング体験講座")</f>
        <v>【4日で体験！】 TensorFlow, Keras, Python 3 で学ぶディープラーニング体験講座</v>
      </c>
    </row>
    <row r="5542">
      <c r="A5542" s="140" t="str">
        <f>IFERROR(__xludf.DUMMYFUNCTION("""COMPUTED_VALUE"""),"es")</f>
        <v>es</v>
      </c>
      <c r="B5542">
        <f>IFERROR(__xludf.DUMMYFUNCTION("""COMPUTED_VALUE"""),1454454.0)</f>
        <v>1454454</v>
      </c>
      <c r="C5542" t="str">
        <f>IFERROR(__xludf.DUMMYFUNCTION("""COMPUTED_VALUE"""),"Curso intensivo de Laravel y Android usando JWT y Kotlin")</f>
        <v>Curso intensivo de Laravel y Android usando JWT y Kotlin</v>
      </c>
    </row>
    <row r="5543">
      <c r="A5543" s="140" t="str">
        <f>IFERROR(__xludf.DUMMYFUNCTION("""COMPUTED_VALUE"""),"en")</f>
        <v>en</v>
      </c>
      <c r="B5543">
        <f>IFERROR(__xludf.DUMMYFUNCTION("""COMPUTED_VALUE"""),980248.0)</f>
        <v>980248</v>
      </c>
      <c r="C5543" t="str">
        <f>IFERROR(__xludf.DUMMYFUNCTION("""COMPUTED_VALUE"""),"DAX Power Pivot - 10 Easy Steps for Beginners")</f>
        <v>DAX Power Pivot - 10 Easy Steps for Beginners</v>
      </c>
    </row>
    <row r="5544">
      <c r="A5544" s="140" t="str">
        <f>IFERROR(__xludf.DUMMYFUNCTION("""COMPUTED_VALUE"""),"en")</f>
        <v>en</v>
      </c>
      <c r="B5544">
        <f>IFERROR(__xludf.DUMMYFUNCTION("""COMPUTED_VALUE"""),2522376.0)</f>
        <v>2522376</v>
      </c>
      <c r="C5544" t="str">
        <f>IFERROR(__xludf.DUMMYFUNCTION("""COMPUTED_VALUE"""),"The Stress Detox: A Stress Management Framework for Leaders")</f>
        <v>The Stress Detox: A Stress Management Framework for Leaders</v>
      </c>
    </row>
    <row r="5545">
      <c r="A5545" s="140" t="str">
        <f>IFERROR(__xludf.DUMMYFUNCTION("""COMPUTED_VALUE"""),"de")</f>
        <v>de</v>
      </c>
      <c r="B5545">
        <f>IFERROR(__xludf.DUMMYFUNCTION("""COMPUTED_VALUE"""),1344722.0)</f>
        <v>1344722</v>
      </c>
      <c r="C5545" t="str">
        <f>IFERROR(__xludf.DUMMYFUNCTION("""COMPUTED_VALUE"""),"Russisch lernen für Anfänger")</f>
        <v>Russisch lernen für Anfänger</v>
      </c>
    </row>
    <row r="5546">
      <c r="A5546" s="140" t="str">
        <f>IFERROR(__xludf.DUMMYFUNCTION("""COMPUTED_VALUE"""),"en")</f>
        <v>en</v>
      </c>
      <c r="B5546">
        <f>IFERROR(__xludf.DUMMYFUNCTION("""COMPUTED_VALUE"""),2350762.0)</f>
        <v>2350762</v>
      </c>
      <c r="C5546" t="str">
        <f>IFERROR(__xludf.DUMMYFUNCTION("""COMPUTED_VALUE"""),"Snowflake Decoded - Fundamentals and hands on Training")</f>
        <v>Snowflake Decoded - Fundamentals and hands on Training</v>
      </c>
    </row>
    <row r="5547">
      <c r="A5547" s="140" t="str">
        <f>IFERROR(__xludf.DUMMYFUNCTION("""COMPUTED_VALUE"""),"en")</f>
        <v>en</v>
      </c>
      <c r="B5547">
        <f>IFERROR(__xludf.DUMMYFUNCTION("""COMPUTED_VALUE"""),50358.0)</f>
        <v>50358</v>
      </c>
      <c r="C5547" t="str">
        <f>IFERROR(__xludf.DUMMYFUNCTION("""COMPUTED_VALUE"""),"Smart and effective notes using OneNote 2010")</f>
        <v>Smart and effective notes using OneNote 2010</v>
      </c>
    </row>
    <row r="5548">
      <c r="A5548" s="140" t="str">
        <f>IFERROR(__xludf.DUMMYFUNCTION("""COMPUTED_VALUE"""),"en")</f>
        <v>en</v>
      </c>
      <c r="B5548">
        <f>IFERROR(__xludf.DUMMYFUNCTION("""COMPUTED_VALUE"""),566378.0)</f>
        <v>566378</v>
      </c>
      <c r="C5548" t="str">
        <f>IFERROR(__xludf.DUMMYFUNCTION("""COMPUTED_VALUE"""),"The Neuroscience of Shopping (Marketing and Manipulation)")</f>
        <v>The Neuroscience of Shopping (Marketing and Manipulation)</v>
      </c>
    </row>
    <row r="5549">
      <c r="A5549" s="140" t="str">
        <f>IFERROR(__xludf.DUMMYFUNCTION("""COMPUTED_VALUE"""),"es")</f>
        <v>es</v>
      </c>
      <c r="B5549">
        <f>IFERROR(__xludf.DUMMYFUNCTION("""COMPUTED_VALUE"""),1852884.0)</f>
        <v>1852884</v>
      </c>
      <c r="C5549" t="str">
        <f>IFERROR(__xludf.DUMMYFUNCTION("""COMPUTED_VALUE"""),"Zabbix - De Principiante a Experto")</f>
        <v>Zabbix - De Principiante a Experto</v>
      </c>
    </row>
    <row r="5550">
      <c r="A5550" s="140" t="str">
        <f>IFERROR(__xludf.DUMMYFUNCTION("""COMPUTED_VALUE"""),"pt")</f>
        <v>pt</v>
      </c>
      <c r="B5550">
        <f>IFERROR(__xludf.DUMMYFUNCTION("""COMPUTED_VALUE"""),1178926.0)</f>
        <v>1178926</v>
      </c>
      <c r="C5550" t="str">
        <f>IFERROR(__xludf.DUMMYFUNCTION("""COMPUTED_VALUE"""),"Criando um Projeto Prático com o Moodle")</f>
        <v>Criando um Projeto Prático com o Moodle</v>
      </c>
    </row>
    <row r="5551">
      <c r="A5551" s="140" t="str">
        <f>IFERROR(__xludf.DUMMYFUNCTION("""COMPUTED_VALUE"""),"en")</f>
        <v>en</v>
      </c>
      <c r="B5551">
        <f>IFERROR(__xludf.DUMMYFUNCTION("""COMPUTED_VALUE"""),2427460.0)</f>
        <v>2427460</v>
      </c>
      <c r="C5551" t="str">
        <f>IFERROR(__xludf.DUMMYFUNCTION("""COMPUTED_VALUE"""),"Blender 2.8 The complete guide from beginner to pro")</f>
        <v>Blender 2.8 The complete guide from beginner to pro</v>
      </c>
    </row>
    <row r="5552">
      <c r="A5552" s="140" t="str">
        <f>IFERROR(__xludf.DUMMYFUNCTION("""COMPUTED_VALUE"""),"es")</f>
        <v>es</v>
      </c>
      <c r="B5552">
        <f>IFERROR(__xludf.DUMMYFUNCTION("""COMPUTED_VALUE"""),3131962.0)</f>
        <v>3131962</v>
      </c>
      <c r="C5552" t="str">
        <f>IFERROR(__xludf.DUMMYFUNCTION("""COMPUTED_VALUE"""),"Manejo de situaciones difíciles en el servicio al cliente")</f>
        <v>Manejo de situaciones difíciles en el servicio al cliente</v>
      </c>
    </row>
    <row r="5553">
      <c r="A5553" s="140" t="str">
        <f>IFERROR(__xludf.DUMMYFUNCTION("""COMPUTED_VALUE"""),"ar")</f>
        <v>ar</v>
      </c>
      <c r="B5553">
        <f>IFERROR(__xludf.DUMMYFUNCTION("""COMPUTED_VALUE"""),2426532.0)</f>
        <v>2426532</v>
      </c>
      <c r="C5553" t="str">
        <f>IFERROR(__xludf.DUMMYFUNCTION("""COMPUTED_VALUE"""),"The Python and Django Learning Guide")</f>
        <v>The Python and Django Learning Guide</v>
      </c>
    </row>
    <row r="5554">
      <c r="A5554" s="140" t="str">
        <f>IFERROR(__xludf.DUMMYFUNCTION("""COMPUTED_VALUE"""),"pt")</f>
        <v>pt</v>
      </c>
      <c r="B5554">
        <f>IFERROR(__xludf.DUMMYFUNCTION("""COMPUTED_VALUE"""),1545584.0)</f>
        <v>1545584</v>
      </c>
      <c r="C5554" t="str">
        <f>IFERROR(__xludf.DUMMYFUNCTION("""COMPUTED_VALUE"""),"Adobe Lightroom CC Classic 2021 - fácil e descomplicado")</f>
        <v>Adobe Lightroom CC Classic 2021 - fácil e descomplicado</v>
      </c>
    </row>
    <row r="5555">
      <c r="A5555" s="140" t="str">
        <f>IFERROR(__xludf.DUMMYFUNCTION("""COMPUTED_VALUE"""),"fr")</f>
        <v>fr</v>
      </c>
      <c r="B5555">
        <f>IFERROR(__xludf.DUMMYFUNCTION("""COMPUTED_VALUE"""),4161284.0)</f>
        <v>4161284</v>
      </c>
      <c r="C5555" t="str">
        <f>IFERROR(__xludf.DUMMYFUNCTION("""COMPUTED_VALUE"""),"Microsoft Office (5 in 1):Word-Excel-PowerPt-Outlook-OneNote")</f>
        <v>Microsoft Office (5 in 1):Word-Excel-PowerPt-Outlook-OneNote</v>
      </c>
    </row>
    <row r="5556">
      <c r="A5556" s="140" t="str">
        <f>IFERROR(__xludf.DUMMYFUNCTION("""COMPUTED_VALUE"""),"ar")</f>
        <v>ar</v>
      </c>
      <c r="B5556">
        <f>IFERROR(__xludf.DUMMYFUNCTION("""COMPUTED_VALUE"""),3577733.0)</f>
        <v>3577733</v>
      </c>
      <c r="C5556" t="str">
        <f>IFERROR(__xludf.DUMMYFUNCTION("""COMPUTED_VALUE"""),"Adobe After Effects CC - Motion Graphics Design - بالعربي")</f>
        <v>Adobe After Effects CC - Motion Graphics Design - بالعربي</v>
      </c>
    </row>
    <row r="5557">
      <c r="A5557" s="140" t="str">
        <f>IFERROR(__xludf.DUMMYFUNCTION("""COMPUTED_VALUE"""),"es")</f>
        <v>es</v>
      </c>
      <c r="B5557">
        <f>IFERROR(__xludf.DUMMYFUNCTION("""COMPUTED_VALUE"""),2545003.0)</f>
        <v>2545003</v>
      </c>
      <c r="C5557" t="str">
        <f>IFERROR(__xludf.DUMMYFUNCTION("""COMPUTED_VALUE"""),"Gestiona tu nutrición")</f>
        <v>Gestiona tu nutrición</v>
      </c>
    </row>
    <row r="5558">
      <c r="A5558" s="140" t="str">
        <f>IFERROR(__xludf.DUMMYFUNCTION("""COMPUTED_VALUE"""),"en")</f>
        <v>en</v>
      </c>
      <c r="B5558">
        <f>IFERROR(__xludf.DUMMYFUNCTION("""COMPUTED_VALUE"""),2425526.0)</f>
        <v>2425526</v>
      </c>
      <c r="C5558" t="str">
        <f>IFERROR(__xludf.DUMMYFUNCTION("""COMPUTED_VALUE"""),"Salesforce Admin Certification (CRT-101) Practice Tests")</f>
        <v>Salesforce Admin Certification (CRT-101) Practice Tests</v>
      </c>
    </row>
    <row r="5559">
      <c r="A5559" s="140" t="str">
        <f>IFERROR(__xludf.DUMMYFUNCTION("""COMPUTED_VALUE"""),"en")</f>
        <v>en</v>
      </c>
      <c r="B5559">
        <f>IFERROR(__xludf.DUMMYFUNCTION("""COMPUTED_VALUE"""),1222864.0)</f>
        <v>1222864</v>
      </c>
      <c r="C5559" t="str">
        <f>IFERROR(__xludf.DUMMYFUNCTION("""COMPUTED_VALUE"""),"Ultimate CSS Grid Course: From Beginner to Advanced")</f>
        <v>Ultimate CSS Grid Course: From Beginner to Advanced</v>
      </c>
    </row>
    <row r="5560">
      <c r="A5560" s="140" t="str">
        <f>IFERROR(__xludf.DUMMYFUNCTION("""COMPUTED_VALUE"""),"es")</f>
        <v>es</v>
      </c>
      <c r="B5560">
        <f>IFERROR(__xludf.DUMMYFUNCTION("""COMPUTED_VALUE"""),1187500.0)</f>
        <v>1187500</v>
      </c>
      <c r="C5560" t="str">
        <f>IFERROR(__xludf.DUMMYFUNCTION("""COMPUTED_VALUE"""),"Java EE 7 &amp; Frameworks - JSF2, Spring 4, Struts 2 y EJB3")</f>
        <v>Java EE 7 &amp; Frameworks - JSF2, Spring 4, Struts 2 y EJB3</v>
      </c>
    </row>
    <row r="5561">
      <c r="A5561" s="140" t="str">
        <f>IFERROR(__xludf.DUMMYFUNCTION("""COMPUTED_VALUE"""),"fr")</f>
        <v>fr</v>
      </c>
      <c r="B5561">
        <f>IFERROR(__xludf.DUMMYFUNCTION("""COMPUTED_VALUE"""),2714540.0)</f>
        <v>2714540</v>
      </c>
      <c r="C5561" t="str">
        <f>IFERROR(__xludf.DUMMYFUNCTION("""COMPUTED_VALUE"""),"Blender 2.81 - Création d'insectes et araignées")</f>
        <v>Blender 2.81 - Création d'insectes et araignées</v>
      </c>
    </row>
    <row r="5562">
      <c r="A5562" s="140" t="str">
        <f>IFERROR(__xludf.DUMMYFUNCTION("""COMPUTED_VALUE"""),"en")</f>
        <v>en</v>
      </c>
      <c r="B5562">
        <f>IFERROR(__xludf.DUMMYFUNCTION("""COMPUTED_VALUE"""),632826.0)</f>
        <v>632826</v>
      </c>
      <c r="C5562" t="str">
        <f>IFERROR(__xludf.DUMMYFUNCTION("""COMPUTED_VALUE"""),"2021 Complete SEO Guide to Ranking Local Business Websites")</f>
        <v>2021 Complete SEO Guide to Ranking Local Business Websites</v>
      </c>
    </row>
    <row r="5563">
      <c r="A5563" s="140" t="str">
        <f>IFERROR(__xludf.DUMMYFUNCTION("""COMPUTED_VALUE"""),"en")</f>
        <v>en</v>
      </c>
      <c r="B5563">
        <f>IFERROR(__xludf.DUMMYFUNCTION("""COMPUTED_VALUE"""),620486.0)</f>
        <v>620486</v>
      </c>
      <c r="C5563" t="str">
        <f>IFERROR(__xludf.DUMMYFUNCTION("""COMPUTED_VALUE"""),"Java Puzzles to Eliminate Code Fear")</f>
        <v>Java Puzzles to Eliminate Code Fear</v>
      </c>
    </row>
    <row r="5564">
      <c r="A5564" s="140" t="str">
        <f>IFERROR(__xludf.DUMMYFUNCTION("""COMPUTED_VALUE"""),"de")</f>
        <v>de</v>
      </c>
      <c r="B5564">
        <f>IFERROR(__xludf.DUMMYFUNCTION("""COMPUTED_VALUE"""),1126772.0)</f>
        <v>1126772</v>
      </c>
      <c r="C5564" t="str">
        <f>IFERROR(__xludf.DUMMYFUNCTION("""COMPUTED_VALUE"""),"Einstieg in die iOS Spieleentwicklung mit SpriteKit &amp; Swift")</f>
        <v>Einstieg in die iOS Spieleentwicklung mit SpriteKit &amp; Swift</v>
      </c>
    </row>
    <row r="5565">
      <c r="A5565" s="140" t="str">
        <f>IFERROR(__xludf.DUMMYFUNCTION("""COMPUTED_VALUE"""),"en")</f>
        <v>en</v>
      </c>
      <c r="B5565">
        <f>IFERROR(__xludf.DUMMYFUNCTION("""COMPUTED_VALUE"""),354176.0)</f>
        <v>354176</v>
      </c>
      <c r="C5565" t="str">
        <f>IFERROR(__xludf.DUMMYFUNCTION("""COMPUTED_VALUE"""),"Selenium WebDriver with Java -Basics to Advanced+Frameworks")</f>
        <v>Selenium WebDriver with Java -Basics to Advanced+Frameworks</v>
      </c>
    </row>
    <row r="5566">
      <c r="A5566" s="140" t="str">
        <f>IFERROR(__xludf.DUMMYFUNCTION("""COMPUTED_VALUE"""),"en")</f>
        <v>en</v>
      </c>
      <c r="B5566">
        <f>IFERROR(__xludf.DUMMYFUNCTION("""COMPUTED_VALUE"""),975906.0)</f>
        <v>975906</v>
      </c>
      <c r="C5566" t="str">
        <f>IFERROR(__xludf.DUMMYFUNCTION("""COMPUTED_VALUE"""),"The Sass Course! Learn Sass for Real-World Websites")</f>
        <v>The Sass Course! Learn Sass for Real-World Websites</v>
      </c>
    </row>
    <row r="5567">
      <c r="A5567" s="140" t="str">
        <f>IFERROR(__xludf.DUMMYFUNCTION("""COMPUTED_VALUE"""),"en")</f>
        <v>en</v>
      </c>
      <c r="B5567">
        <f>IFERROR(__xludf.DUMMYFUNCTION("""COMPUTED_VALUE"""),1350272.0)</f>
        <v>1350272</v>
      </c>
      <c r="C5567" t="str">
        <f>IFERROR(__xludf.DUMMYFUNCTION("""COMPUTED_VALUE"""),"Goal Setting Mastery Course")</f>
        <v>Goal Setting Mastery Course</v>
      </c>
    </row>
    <row r="5568">
      <c r="A5568" s="140" t="str">
        <f>IFERROR(__xludf.DUMMYFUNCTION("""COMPUTED_VALUE"""),"ja")</f>
        <v>ja</v>
      </c>
      <c r="B5568">
        <f>IFERROR(__xludf.DUMMYFUNCTION("""COMPUTED_VALUE"""),3669866.0)</f>
        <v>3669866</v>
      </c>
      <c r="C5568" t="str">
        <f>IFERROR(__xludf.DUMMYFUNCTION("""COMPUTED_VALUE"""),"【初心者から上級者まで】１日で学べるパワーポイントの教科書マスターコース")</f>
        <v>【初心者から上級者まで】１日で学べるパワーポイントの教科書マスターコース</v>
      </c>
    </row>
    <row r="5569">
      <c r="A5569" s="140" t="str">
        <f>IFERROR(__xludf.DUMMYFUNCTION("""COMPUTED_VALUE"""),"es")</f>
        <v>es</v>
      </c>
      <c r="B5569">
        <f>IFERROR(__xludf.DUMMYFUNCTION("""COMPUTED_VALUE"""),1609358.0)</f>
        <v>1609358</v>
      </c>
      <c r="C5569" t="str">
        <f>IFERROR(__xludf.DUMMYFUNCTION("""COMPUTED_VALUE"""),"Inteligencia Emocional para la Atención al Cliente")</f>
        <v>Inteligencia Emocional para la Atención al Cliente</v>
      </c>
    </row>
    <row r="5570">
      <c r="A5570" s="140" t="str">
        <f>IFERROR(__xludf.DUMMYFUNCTION("""COMPUTED_VALUE"""),"en")</f>
        <v>en</v>
      </c>
      <c r="B5570">
        <f>IFERROR(__xludf.DUMMYFUNCTION("""COMPUTED_VALUE"""),1127462.0)</f>
        <v>1127462</v>
      </c>
      <c r="C5570" t="str">
        <f>IFERROR(__xludf.DUMMYFUNCTION("""COMPUTED_VALUE"""),"Microsoft Power Pivot (Excel) and SSAS (Tabular DAX model)")</f>
        <v>Microsoft Power Pivot (Excel) and SSAS (Tabular DAX model)</v>
      </c>
    </row>
    <row r="5571">
      <c r="A5571" s="140" t="str">
        <f>IFERROR(__xludf.DUMMYFUNCTION("""COMPUTED_VALUE"""),"en")</f>
        <v>en</v>
      </c>
      <c r="B5571">
        <f>IFERROR(__xludf.DUMMYFUNCTION("""COMPUTED_VALUE"""),2593180.0)</f>
        <v>2593180</v>
      </c>
      <c r="C5571" t="str">
        <f>IFERROR(__xludf.DUMMYFUNCTION("""COMPUTED_VALUE"""),"The Complete SharePoint 2019 Advanced Technical Course")</f>
        <v>The Complete SharePoint 2019 Advanced Technical Course</v>
      </c>
    </row>
    <row r="5572">
      <c r="A5572" s="140" t="str">
        <f>IFERROR(__xludf.DUMMYFUNCTION("""COMPUTED_VALUE"""),"en")</f>
        <v>en</v>
      </c>
      <c r="B5572">
        <f>IFERROR(__xludf.DUMMYFUNCTION("""COMPUTED_VALUE"""),3574151.0)</f>
        <v>3574151</v>
      </c>
      <c r="C5572" t="str">
        <f>IFERROR(__xludf.DUMMYFUNCTION("""COMPUTED_VALUE"""),"React Node MERN Marketplace - Build A Hotel Booking App")</f>
        <v>React Node MERN Marketplace - Build A Hotel Booking App</v>
      </c>
    </row>
    <row r="5573">
      <c r="A5573" s="140" t="str">
        <f>IFERROR(__xludf.DUMMYFUNCTION("""COMPUTED_VALUE"""),"en")</f>
        <v>en</v>
      </c>
      <c r="B5573">
        <f>IFERROR(__xludf.DUMMYFUNCTION("""COMPUTED_VALUE"""),3927586.0)</f>
        <v>3927586</v>
      </c>
      <c r="C5573" t="str">
        <f>IFERROR(__xludf.DUMMYFUNCTION("""COMPUTED_VALUE"""),"Uncle Rat's Bug Bounty Guide")</f>
        <v>Uncle Rat's Bug Bounty Guide</v>
      </c>
    </row>
    <row r="5574">
      <c r="A5574" s="140" t="str">
        <f>IFERROR(__xludf.DUMMYFUNCTION("""COMPUTED_VALUE"""),"tr")</f>
        <v>tr</v>
      </c>
      <c r="B5574">
        <f>IFERROR(__xludf.DUMMYFUNCTION("""COMPUTED_VALUE"""),1916348.0)</f>
        <v>1916348</v>
      </c>
      <c r="C5574" t="str">
        <f>IFERROR(__xludf.DUMMYFUNCTION("""COMPUTED_VALUE"""),"Doğal Dil İşleme A-Z™: (NLP)")</f>
        <v>Doğal Dil İşleme A-Z™: (NLP)</v>
      </c>
    </row>
    <row r="5575">
      <c r="A5575" s="140" t="str">
        <f>IFERROR(__xludf.DUMMYFUNCTION("""COMPUTED_VALUE"""),"ja")</f>
        <v>ja</v>
      </c>
      <c r="B5575">
        <f>IFERROR(__xludf.DUMMYFUNCTION("""COMPUTED_VALUE"""),3116906.0)</f>
        <v>3116906</v>
      </c>
      <c r="C5575" t="str">
        <f>IFERROR(__xludf.DUMMYFUNCTION("""COMPUTED_VALUE"""),"Kotlin プログラミング入門講座【Java 知識不要の初心者コースで基礎知識を学ぼう！】")</f>
        <v>Kotlin プログラミング入門講座【Java 知識不要の初心者コースで基礎知識を学ぼう！】</v>
      </c>
    </row>
    <row r="5576">
      <c r="A5576" s="140" t="str">
        <f>IFERROR(__xludf.DUMMYFUNCTION("""COMPUTED_VALUE"""),"zh")</f>
        <v>zh</v>
      </c>
      <c r="B5576">
        <f>IFERROR(__xludf.DUMMYFUNCTION("""COMPUTED_VALUE"""),2423228.0)</f>
        <v>2423228</v>
      </c>
      <c r="C5576" t="str">
        <f>IFERROR(__xludf.DUMMYFUNCTION("""COMPUTED_VALUE"""),"商业人工智能 (Artificial Intelligence for Business)")</f>
        <v>商业人工智能 (Artificial Intelligence for Business)</v>
      </c>
    </row>
    <row r="5577">
      <c r="A5577" s="140" t="str">
        <f>IFERROR(__xludf.DUMMYFUNCTION("""COMPUTED_VALUE"""),"en")</f>
        <v>en</v>
      </c>
      <c r="B5577">
        <f>IFERROR(__xludf.DUMMYFUNCTION("""COMPUTED_VALUE"""),444228.0)</f>
        <v>444228</v>
      </c>
      <c r="C5577" t="str">
        <f>IFERROR(__xludf.DUMMYFUNCTION("""COMPUTED_VALUE"""),"GA4 Mastery + Pass Google Analytics Certification Exam")</f>
        <v>GA4 Mastery + Pass Google Analytics Certification Exam</v>
      </c>
    </row>
    <row r="5578">
      <c r="A5578" s="140" t="str">
        <f>IFERROR(__xludf.DUMMYFUNCTION("""COMPUTED_VALUE"""),"en")</f>
        <v>en</v>
      </c>
      <c r="B5578">
        <f>IFERROR(__xludf.DUMMYFUNCTION("""COMPUTED_VALUE"""),3782122.0)</f>
        <v>3782122</v>
      </c>
      <c r="C5578" t="str">
        <f>IFERROR(__xludf.DUMMYFUNCTION("""COMPUTED_VALUE"""),"End to End React with Prisma 2")</f>
        <v>End to End React with Prisma 2</v>
      </c>
    </row>
    <row r="5579">
      <c r="A5579" s="140" t="str">
        <f>IFERROR(__xludf.DUMMYFUNCTION("""COMPUTED_VALUE"""),"en")</f>
        <v>en</v>
      </c>
      <c r="B5579">
        <f>IFERROR(__xludf.DUMMYFUNCTION("""COMPUTED_VALUE"""),958924.0)</f>
        <v>958924</v>
      </c>
      <c r="C5579" t="str">
        <f>IFERROR(__xludf.DUMMYFUNCTION("""COMPUTED_VALUE"""),"Spring Data JPA Using Hibernate")</f>
        <v>Spring Data JPA Using Hibernate</v>
      </c>
    </row>
    <row r="5580">
      <c r="A5580" s="140" t="str">
        <f>IFERROR(__xludf.DUMMYFUNCTION("""COMPUTED_VALUE"""),"en")</f>
        <v>en</v>
      </c>
      <c r="B5580">
        <f>IFERROR(__xludf.DUMMYFUNCTION("""COMPUTED_VALUE"""),3358744.0)</f>
        <v>3358744</v>
      </c>
      <c r="C5580" t="str">
        <f>IFERROR(__xludf.DUMMYFUNCTION("""COMPUTED_VALUE"""),"Clear and Simple NSX-T 2.4 (VCP-NV 2020)")</f>
        <v>Clear and Simple NSX-T 2.4 (VCP-NV 2020)</v>
      </c>
    </row>
    <row r="5581">
      <c r="A5581" s="140" t="str">
        <f>IFERROR(__xludf.DUMMYFUNCTION("""COMPUTED_VALUE"""),"en")</f>
        <v>en</v>
      </c>
      <c r="B5581">
        <f>IFERROR(__xludf.DUMMYFUNCTION("""COMPUTED_VALUE"""),400366.0)</f>
        <v>400366</v>
      </c>
      <c r="C5581" t="str">
        <f>IFERROR(__xludf.DUMMYFUNCTION("""COMPUTED_VALUE"""),"EveryDay Dining Etiquette")</f>
        <v>EveryDay Dining Etiquette</v>
      </c>
    </row>
    <row r="5582">
      <c r="A5582" s="140" t="str">
        <f>IFERROR(__xludf.DUMMYFUNCTION("""COMPUTED_VALUE"""),"en")</f>
        <v>en</v>
      </c>
      <c r="B5582">
        <f>IFERROR(__xludf.DUMMYFUNCTION("""COMPUTED_VALUE"""),123570.0)</f>
        <v>123570</v>
      </c>
      <c r="C5582" t="str">
        <f>IFERROR(__xludf.DUMMYFUNCTION("""COMPUTED_VALUE"""),"Customer Success | How to Listen to Today's Customers")</f>
        <v>Customer Success | How to Listen to Today's Customers</v>
      </c>
    </row>
    <row r="5583">
      <c r="A5583" s="140" t="str">
        <f>IFERROR(__xludf.DUMMYFUNCTION("""COMPUTED_VALUE"""),"fr")</f>
        <v>fr</v>
      </c>
      <c r="B5583">
        <f>IFERROR(__xludf.DUMMYFUNCTION("""COMPUTED_VALUE"""),2216764.0)</f>
        <v>2216764</v>
      </c>
      <c r="C5583" t="str">
        <f>IFERROR(__xludf.DUMMYFUNCTION("""COMPUTED_VALUE"""),"Formation Cinema 4D R20 Les fondamentaux")</f>
        <v>Formation Cinema 4D R20 Les fondamentaux</v>
      </c>
    </row>
    <row r="5584">
      <c r="A5584" s="140" t="str">
        <f>IFERROR(__xludf.DUMMYFUNCTION("""COMPUTED_VALUE"""),"es")</f>
        <v>es</v>
      </c>
      <c r="B5584">
        <f>IFERROR(__xludf.DUMMYFUNCTION("""COMPUTED_VALUE"""),2635738.0)</f>
        <v>2635738</v>
      </c>
      <c r="C5584" t="str">
        <f>IFERROR(__xludf.DUMMYFUNCTION("""COMPUTED_VALUE"""),"Redacción Profesional de Artículos SEO")</f>
        <v>Redacción Profesional de Artículos SEO</v>
      </c>
    </row>
    <row r="5585">
      <c r="A5585" s="140" t="str">
        <f>IFERROR(__xludf.DUMMYFUNCTION("""COMPUTED_VALUE"""),"en")</f>
        <v>en</v>
      </c>
      <c r="B5585">
        <f>IFERROR(__xludf.DUMMYFUNCTION("""COMPUTED_VALUE"""),2169820.0)</f>
        <v>2169820</v>
      </c>
      <c r="C5585" t="str">
        <f>IFERROR(__xludf.DUMMYFUNCTION("""COMPUTED_VALUE"""),"Alteryx Essentials")</f>
        <v>Alteryx Essentials</v>
      </c>
    </row>
    <row r="5586">
      <c r="A5586" s="140" t="str">
        <f>IFERROR(__xludf.DUMMYFUNCTION("""COMPUTED_VALUE"""),"en")</f>
        <v>en</v>
      </c>
      <c r="B5586">
        <f>IFERROR(__xludf.DUMMYFUNCTION("""COMPUTED_VALUE"""),41089.0)</f>
        <v>41089</v>
      </c>
      <c r="C5586" t="str">
        <f>IFERROR(__xludf.DUMMYFUNCTION("""COMPUTED_VALUE"""),"PowerPoint Animation Deep Dive: Office Ninja Training")</f>
        <v>PowerPoint Animation Deep Dive: Office Ninja Training</v>
      </c>
    </row>
    <row r="5587">
      <c r="A5587" s="140" t="str">
        <f>IFERROR(__xludf.DUMMYFUNCTION("""COMPUTED_VALUE"""),"en")</f>
        <v>en</v>
      </c>
      <c r="B5587">
        <f>IFERROR(__xludf.DUMMYFUNCTION("""COMPUTED_VALUE"""),3749424.0)</f>
        <v>3749424</v>
      </c>
      <c r="C5587" t="str">
        <f>IFERROR(__xludf.DUMMYFUNCTION("""COMPUTED_VALUE"""),"3ds Max + V-Ray: Complete 3D Photorealistic Rendering Course")</f>
        <v>3ds Max + V-Ray: Complete 3D Photorealistic Rendering Course</v>
      </c>
    </row>
    <row r="5588">
      <c r="A5588" s="140" t="str">
        <f>IFERROR(__xludf.DUMMYFUNCTION("""COMPUTED_VALUE"""),"pt")</f>
        <v>pt</v>
      </c>
      <c r="B5588">
        <f>IFERROR(__xludf.DUMMYFUNCTION("""COMPUTED_VALUE"""),1755282.0)</f>
        <v>1755282</v>
      </c>
      <c r="C5588" t="str">
        <f>IFERROR(__xludf.DUMMYFUNCTION("""COMPUTED_VALUE"""),"Laravel 5.8 Completo - O mais poderoso Framework PHP")</f>
        <v>Laravel 5.8 Completo - O mais poderoso Framework PHP</v>
      </c>
    </row>
    <row r="5589">
      <c r="A5589" s="140" t="str">
        <f>IFERROR(__xludf.DUMMYFUNCTION("""COMPUTED_VALUE"""),"ja")</f>
        <v>ja</v>
      </c>
      <c r="B5589">
        <f>IFERROR(__xludf.DUMMYFUNCTION("""COMPUTED_VALUE"""),4040230.0)</f>
        <v>4040230</v>
      </c>
      <c r="C5589" t="str">
        <f>IFERROR(__xludf.DUMMYFUNCTION("""COMPUTED_VALUE"""),"【世界で2万人が受講】演習テスト: AWS 認定 クラウドプラクティショナー")</f>
        <v>【世界で2万人が受講】演習テスト: AWS 認定 クラウドプラクティショナー</v>
      </c>
    </row>
    <row r="5590">
      <c r="A5590" s="140" t="str">
        <f>IFERROR(__xludf.DUMMYFUNCTION("""COMPUTED_VALUE"""),"en")</f>
        <v>en</v>
      </c>
      <c r="B5590">
        <f>IFERROR(__xludf.DUMMYFUNCTION("""COMPUTED_VALUE"""),3020368.0)</f>
        <v>3020368</v>
      </c>
      <c r="C5590" t="str">
        <f>IFERROR(__xludf.DUMMYFUNCTION("""COMPUTED_VALUE"""),"Practical Regulatory Affairs 2020 - US FDA Medical Devices")</f>
        <v>Practical Regulatory Affairs 2020 - US FDA Medical Devices</v>
      </c>
    </row>
    <row r="5591">
      <c r="A5591" s="140" t="str">
        <f>IFERROR(__xludf.DUMMYFUNCTION("""COMPUTED_VALUE"""),"es")</f>
        <v>es</v>
      </c>
      <c r="B5591">
        <f>IFERROR(__xludf.DUMMYFUNCTION("""COMPUTED_VALUE"""),2343392.0)</f>
        <v>2343392</v>
      </c>
      <c r="C5591" t="str">
        <f>IFERROR(__xludf.DUMMYFUNCTION("""COMPUTED_VALUE"""),"Seguridad informática para Empresas. Protege tus Datos. 2021")</f>
        <v>Seguridad informática para Empresas. Protege tus Datos. 2021</v>
      </c>
    </row>
    <row r="5592">
      <c r="A5592" s="140" t="str">
        <f>IFERROR(__xludf.DUMMYFUNCTION("""COMPUTED_VALUE"""),"en")</f>
        <v>en</v>
      </c>
      <c r="B5592">
        <f>IFERROR(__xludf.DUMMYFUNCTION("""COMPUTED_VALUE"""),1647046.0)</f>
        <v>1647046</v>
      </c>
      <c r="C5592" t="str">
        <f>IFERROR(__xludf.DUMMYFUNCTION("""COMPUTED_VALUE"""),"Strategy for Management Consultants &amp; Business Analysts")</f>
        <v>Strategy for Management Consultants &amp; Business Analysts</v>
      </c>
    </row>
    <row r="5593">
      <c r="A5593" s="140" t="str">
        <f>IFERROR(__xludf.DUMMYFUNCTION("""COMPUTED_VALUE"""),"en")</f>
        <v>en</v>
      </c>
      <c r="B5593">
        <f>IFERROR(__xludf.DUMMYFUNCTION("""COMPUTED_VALUE"""),1458304.0)</f>
        <v>1458304</v>
      </c>
      <c r="C5593" t="str">
        <f>IFERROR(__xludf.DUMMYFUNCTION("""COMPUTED_VALUE"""),"The Digital Painting MEGA Course: Beginner to Advanced")</f>
        <v>The Digital Painting MEGA Course: Beginner to Advanced</v>
      </c>
    </row>
    <row r="5594">
      <c r="A5594" s="140" t="str">
        <f>IFERROR(__xludf.DUMMYFUNCTION("""COMPUTED_VALUE"""),"zh")</f>
        <v>zh</v>
      </c>
      <c r="B5594">
        <f>IFERROR(__xludf.DUMMYFUNCTION("""COMPUTED_VALUE"""),1804944.0)</f>
        <v>1804944</v>
      </c>
      <c r="C5594" t="str">
        <f>IFERROR(__xludf.DUMMYFUNCTION("""COMPUTED_VALUE"""),"Vue.JS ：从初学者到专业人士")</f>
        <v>Vue.JS ：从初学者到专业人士</v>
      </c>
    </row>
    <row r="5595">
      <c r="A5595" s="140" t="str">
        <f>IFERROR(__xludf.DUMMYFUNCTION("""COMPUTED_VALUE"""),"es")</f>
        <v>es</v>
      </c>
      <c r="B5595">
        <f>IFERROR(__xludf.DUMMYFUNCTION("""COMPUTED_VALUE"""),1207800.0)</f>
        <v>1207800</v>
      </c>
      <c r="C5595" t="str">
        <f>IFERROR(__xludf.DUMMYFUNCTION("""COMPUTED_VALUE"""),"Curso de MongoDB - Aprende bases de datos NoSQL + API NodeJS")</f>
        <v>Curso de MongoDB - Aprende bases de datos NoSQL + API NodeJS</v>
      </c>
    </row>
    <row r="5596">
      <c r="A5596" s="140" t="str">
        <f>IFERROR(__xludf.DUMMYFUNCTION("""COMPUTED_VALUE"""),"ja")</f>
        <v>ja</v>
      </c>
      <c r="B5596">
        <f>IFERROR(__xludf.DUMMYFUNCTION("""COMPUTED_VALUE"""),4242354.0)</f>
        <v>4242354</v>
      </c>
      <c r="C5596" t="str">
        <f>IFERROR(__xludf.DUMMYFUNCTION("""COMPUTED_VALUE"""),"オブジェクト指向の原則２：リスコフの置換原則と継承以外の解決方法")</f>
        <v>オブジェクト指向の原則２：リスコフの置換原則と継承以外の解決方法</v>
      </c>
    </row>
    <row r="5597">
      <c r="A5597" s="140" t="str">
        <f>IFERROR(__xludf.DUMMYFUNCTION("""COMPUTED_VALUE"""),"en")</f>
        <v>en</v>
      </c>
      <c r="B5597">
        <f>IFERROR(__xludf.DUMMYFUNCTION("""COMPUTED_VALUE"""),2441694.0)</f>
        <v>2441694</v>
      </c>
      <c r="C5597" t="str">
        <f>IFERROR(__xludf.DUMMYFUNCTION("""COMPUTED_VALUE"""),"Linux Redhat System Administration I – SA1 (RHEL8)")</f>
        <v>Linux Redhat System Administration I – SA1 (RHEL8)</v>
      </c>
    </row>
    <row r="5598">
      <c r="A5598" s="140" t="str">
        <f>IFERROR(__xludf.DUMMYFUNCTION("""COMPUTED_VALUE"""),"es")</f>
        <v>es</v>
      </c>
      <c r="B5598">
        <f>IFERROR(__xludf.DUMMYFUNCTION("""COMPUTED_VALUE"""),740200.0)</f>
        <v>740200</v>
      </c>
      <c r="C5598" t="str">
        <f>IFERROR(__xludf.DUMMYFUNCTION("""COMPUTED_VALUE"""),"Facebook Ads™: Domina el Marketing en Facebook")</f>
        <v>Facebook Ads™: Domina el Marketing en Facebook</v>
      </c>
    </row>
    <row r="5599">
      <c r="A5599" s="140" t="str">
        <f>IFERROR(__xludf.DUMMYFUNCTION("""COMPUTED_VALUE"""),"en")</f>
        <v>en</v>
      </c>
      <c r="B5599">
        <f>IFERROR(__xludf.DUMMYFUNCTION("""COMPUTED_VALUE"""),3683388.0)</f>
        <v>3683388</v>
      </c>
      <c r="C5599" t="str">
        <f>IFERROR(__xludf.DUMMYFUNCTION("""COMPUTED_VALUE"""),"LS DYNA - A Simulation Training with Practical Applications")</f>
        <v>LS DYNA - A Simulation Training with Practical Applications</v>
      </c>
    </row>
    <row r="5600">
      <c r="A5600" s="140" t="str">
        <f>IFERROR(__xludf.DUMMYFUNCTION("""COMPUTED_VALUE"""),"en")</f>
        <v>en</v>
      </c>
      <c r="B5600">
        <f>IFERROR(__xludf.DUMMYFUNCTION("""COMPUTED_VALUE"""),4223524.0)</f>
        <v>4223524</v>
      </c>
      <c r="C5600" t="str">
        <f>IFERROR(__xludf.DUMMYFUNCTION("""COMPUTED_VALUE"""),"CompTIA Network+ (N10-008) 6 Practice Exams and Simulations")</f>
        <v>CompTIA Network+ (N10-008) 6 Practice Exams and Simulations</v>
      </c>
    </row>
    <row r="5601">
      <c r="A5601" s="140" t="str">
        <f>IFERROR(__xludf.DUMMYFUNCTION("""COMPUTED_VALUE"""),"ko")</f>
        <v>ko</v>
      </c>
      <c r="B5601">
        <f>IFERROR(__xludf.DUMMYFUNCTION("""COMPUTED_VALUE"""),1308958.0)</f>
        <v>1308958</v>
      </c>
      <c r="C5601" t="str">
        <f>IFERROR(__xludf.DUMMYFUNCTION("""COMPUTED_VALUE"""),"[응용] 다양한 환경을 앤서블(Ansible)로 관리하기 with 베이그런트(Vagrant)")</f>
        <v>[응용] 다양한 환경을 앤서블(Ansible)로 관리하기 with 베이그런트(Vagrant)</v>
      </c>
    </row>
    <row r="5602">
      <c r="A5602" s="140" t="str">
        <f>IFERROR(__xludf.DUMMYFUNCTION("""COMPUTED_VALUE"""),"en")</f>
        <v>en</v>
      </c>
      <c r="B5602">
        <f>IFERROR(__xludf.DUMMYFUNCTION("""COMPUTED_VALUE"""),637932.0)</f>
        <v>637932</v>
      </c>
      <c r="C5602" t="str">
        <f>IFERROR(__xludf.DUMMYFUNCTION("""COMPUTED_VALUE"""),"101 Crucial Lessons They Don't Teach You In Business School")</f>
        <v>101 Crucial Lessons They Don't Teach You In Business School</v>
      </c>
    </row>
    <row r="5603">
      <c r="A5603" s="140" t="str">
        <f>IFERROR(__xludf.DUMMYFUNCTION("""COMPUTED_VALUE"""),"en")</f>
        <v>en</v>
      </c>
      <c r="B5603">
        <f>IFERROR(__xludf.DUMMYFUNCTION("""COMPUTED_VALUE"""),2690172.0)</f>
        <v>2690172</v>
      </c>
      <c r="C5603" t="str">
        <f>IFERROR(__xludf.DUMMYFUNCTION("""COMPUTED_VALUE"""),"The Complete Guide to Advanced React Component Patterns")</f>
        <v>The Complete Guide to Advanced React Component Patterns</v>
      </c>
    </row>
    <row r="5604">
      <c r="A5604" s="140" t="str">
        <f>IFERROR(__xludf.DUMMYFUNCTION("""COMPUTED_VALUE"""),"tr")</f>
        <v>tr</v>
      </c>
      <c r="B5604">
        <f>IFERROR(__xludf.DUMMYFUNCTION("""COMPUTED_VALUE"""),3191722.0)</f>
        <v>3191722</v>
      </c>
      <c r="C5604" t="str">
        <f>IFERROR(__xludf.DUMMYFUNCTION("""COMPUTED_VALUE"""),"ADOBE XD TEMEL ARAÇ VE TEKNİKLERİ")</f>
        <v>ADOBE XD TEMEL ARAÇ VE TEKNİKLERİ</v>
      </c>
    </row>
    <row r="5605">
      <c r="A5605" s="140" t="str">
        <f>IFERROR(__xludf.DUMMYFUNCTION("""COMPUTED_VALUE"""),"es")</f>
        <v>es</v>
      </c>
      <c r="B5605">
        <f>IFERROR(__xludf.DUMMYFUNCTION("""COMPUTED_VALUE"""),1308626.0)</f>
        <v>1308626</v>
      </c>
      <c r="C5605" t="str">
        <f>IFERROR(__xludf.DUMMYFUNCTION("""COMPUTED_VALUE"""),"Hacking Corporativo - Curso Completo - De cero a cien")</f>
        <v>Hacking Corporativo - Curso Completo - De cero a cien</v>
      </c>
    </row>
    <row r="5606">
      <c r="A5606" s="140" t="str">
        <f>IFERROR(__xludf.DUMMYFUNCTION("""COMPUTED_VALUE"""),"en")</f>
        <v>en</v>
      </c>
      <c r="B5606">
        <f>IFERROR(__xludf.DUMMYFUNCTION("""COMPUTED_VALUE"""),360214.0)</f>
        <v>360214</v>
      </c>
      <c r="C5606" t="str">
        <f>IFERROR(__xludf.DUMMYFUNCTION("""COMPUTED_VALUE"""),"Photoshop CC Retouching and Effects Masterclass")</f>
        <v>Photoshop CC Retouching and Effects Masterclass</v>
      </c>
    </row>
    <row r="5607">
      <c r="A5607" s="140" t="str">
        <f>IFERROR(__xludf.DUMMYFUNCTION("""COMPUTED_VALUE"""),"es")</f>
        <v>es</v>
      </c>
      <c r="B5607">
        <f>IFERROR(__xludf.DUMMYFUNCTION("""COMPUTED_VALUE"""),1603752.0)</f>
        <v>1603752</v>
      </c>
      <c r="C5607" t="str">
        <f>IFERROR(__xludf.DUMMYFUNCTION("""COMPUTED_VALUE"""),"Cómo construir y medir tus KPI's de RRHH en tu Organización")</f>
        <v>Cómo construir y medir tus KPI's de RRHH en tu Organización</v>
      </c>
    </row>
    <row r="5608">
      <c r="A5608" s="140" t="str">
        <f>IFERROR(__xludf.DUMMYFUNCTION("""COMPUTED_VALUE"""),"en")</f>
        <v>en</v>
      </c>
      <c r="B5608">
        <f>IFERROR(__xludf.DUMMYFUNCTION("""COMPUTED_VALUE"""),1306426.0)</f>
        <v>1306426</v>
      </c>
      <c r="C5608" t="str">
        <f>IFERROR(__xludf.DUMMYFUNCTION("""COMPUTED_VALUE"""),"A to Z of Azure Network services - Covers AZ 300, 103 &amp; more")</f>
        <v>A to Z of Azure Network services - Covers AZ 300, 103 &amp; more</v>
      </c>
    </row>
    <row r="5609">
      <c r="A5609" s="140" t="str">
        <f>IFERROR(__xludf.DUMMYFUNCTION("""COMPUTED_VALUE"""),"en")</f>
        <v>en</v>
      </c>
      <c r="B5609">
        <f>IFERROR(__xludf.DUMMYFUNCTION("""COMPUTED_VALUE"""),3331252.0)</f>
        <v>3331252</v>
      </c>
      <c r="C5609" t="str">
        <f>IFERROR(__xludf.DUMMYFUNCTION("""COMPUTED_VALUE"""),"Train and Deploy Tensorflow models using Google AI Platform")</f>
        <v>Train and Deploy Tensorflow models using Google AI Platform</v>
      </c>
    </row>
    <row r="5610">
      <c r="A5610" s="140" t="str">
        <f>IFERROR(__xludf.DUMMYFUNCTION("""COMPUTED_VALUE"""),"es")</f>
        <v>es</v>
      </c>
      <c r="B5610">
        <f>IFERROR(__xludf.DUMMYFUNCTION("""COMPUTED_VALUE"""),4314704.0)</f>
        <v>4314704</v>
      </c>
      <c r="C5610" t="str">
        <f>IFERROR(__xludf.DUMMYFUNCTION("""COMPUTED_VALUE"""),"Curso Completo de Bases de datos MongoDB y NoSQL.")</f>
        <v>Curso Completo de Bases de datos MongoDB y NoSQL.</v>
      </c>
    </row>
    <row r="5611">
      <c r="A5611" s="140" t="str">
        <f>IFERROR(__xludf.DUMMYFUNCTION("""COMPUTED_VALUE"""),"tr")</f>
        <v>tr</v>
      </c>
      <c r="B5611">
        <f>IFERROR(__xludf.DUMMYFUNCTION("""COMPUTED_VALUE"""),2462614.0)</f>
        <v>2462614</v>
      </c>
      <c r="C5611" t="str">
        <f>IFERROR(__xludf.DUMMYFUNCTION("""COMPUTED_VALUE"""),"MERN Stack Geliştirme Kursu")</f>
        <v>MERN Stack Geliştirme Kursu</v>
      </c>
    </row>
    <row r="5612">
      <c r="A5612" s="140" t="str">
        <f>IFERROR(__xludf.DUMMYFUNCTION("""COMPUTED_VALUE"""),"en")</f>
        <v>en</v>
      </c>
      <c r="B5612">
        <f>IFERROR(__xludf.DUMMYFUNCTION("""COMPUTED_VALUE"""),814366.0)</f>
        <v>814366</v>
      </c>
      <c r="C5612" t="str">
        <f>IFERROR(__xludf.DUMMYFUNCTION("""COMPUTED_VALUE"""),"Introduction to SAN and NAS Storage")</f>
        <v>Introduction to SAN and NAS Storage</v>
      </c>
    </row>
    <row r="5613">
      <c r="A5613" s="140" t="str">
        <f>IFERROR(__xludf.DUMMYFUNCTION("""COMPUTED_VALUE"""),"en")</f>
        <v>en</v>
      </c>
      <c r="B5613">
        <f>IFERROR(__xludf.DUMMYFUNCTION("""COMPUTED_VALUE"""),3693982.0)</f>
        <v>3693982</v>
      </c>
      <c r="C5613" t="str">
        <f>IFERROR(__xludf.DUMMYFUNCTION("""COMPUTED_VALUE"""),"Start with TALL: Use Tailwind, Alpine, Laravel &amp; Livewire")</f>
        <v>Start with TALL: Use Tailwind, Alpine, Laravel &amp; Livewire</v>
      </c>
    </row>
    <row r="5614">
      <c r="A5614" s="140" t="str">
        <f>IFERROR(__xludf.DUMMYFUNCTION("""COMPUTED_VALUE"""),"pt")</f>
        <v>pt</v>
      </c>
      <c r="B5614">
        <f>IFERROR(__xludf.DUMMYFUNCTION("""COMPUTED_VALUE"""),1611794.0)</f>
        <v>1611794</v>
      </c>
      <c r="C5614" t="str">
        <f>IFERROR(__xludf.DUMMYFUNCTION("""COMPUTED_VALUE"""),"TESTES DE SOFTWARE NA PRÁTICA E AUTOMAÇÃO - CURSO COMPLETO")</f>
        <v>TESTES DE SOFTWARE NA PRÁTICA E AUTOMAÇÃO - CURSO COMPLETO</v>
      </c>
    </row>
    <row r="5615">
      <c r="A5615" s="140" t="str">
        <f>IFERROR(__xludf.DUMMYFUNCTION("""COMPUTED_VALUE"""),"en")</f>
        <v>en</v>
      </c>
      <c r="B5615">
        <f>IFERROR(__xludf.DUMMYFUNCTION("""COMPUTED_VALUE"""),2648040.0)</f>
        <v>2648040</v>
      </c>
      <c r="C5615" t="str">
        <f>IFERROR(__xludf.DUMMYFUNCTION("""COMPUTED_VALUE"""),"The Complete Data Structures and Algorithms Course in Python")</f>
        <v>The Complete Data Structures and Algorithms Course in Python</v>
      </c>
    </row>
    <row r="5616">
      <c r="A5616" s="140" t="str">
        <f>IFERROR(__xludf.DUMMYFUNCTION("""COMPUTED_VALUE"""),"en")</f>
        <v>en</v>
      </c>
      <c r="B5616">
        <f>IFERROR(__xludf.DUMMYFUNCTION("""COMPUTED_VALUE"""),2869570.0)</f>
        <v>2869570</v>
      </c>
      <c r="C5616" t="str">
        <f>IFERROR(__xludf.DUMMYFUNCTION("""COMPUTED_VALUE"""),"Salesforce Lightning Flow Builder with real time scenario")</f>
        <v>Salesforce Lightning Flow Builder with real time scenario</v>
      </c>
    </row>
    <row r="5617">
      <c r="A5617" s="140" t="str">
        <f>IFERROR(__xludf.DUMMYFUNCTION("""COMPUTED_VALUE"""),"ar")</f>
        <v>ar</v>
      </c>
      <c r="B5617">
        <f>IFERROR(__xludf.DUMMYFUNCTION("""COMPUTED_VALUE"""),3225659.0)</f>
        <v>3225659</v>
      </c>
      <c r="C5617" t="str">
        <f>IFERROR(__xludf.DUMMYFUNCTION("""COMPUTED_VALUE"""),"motion graphic course كورس موشن جرافيك انتاج فيديو فتيل")</f>
        <v>motion graphic course كورس موشن جرافيك انتاج فيديو فتيل</v>
      </c>
    </row>
    <row r="5618">
      <c r="A5618" s="140" t="str">
        <f>IFERROR(__xludf.DUMMYFUNCTION("""COMPUTED_VALUE"""),"en")</f>
        <v>en</v>
      </c>
      <c r="B5618">
        <f>IFERROR(__xludf.DUMMYFUNCTION("""COMPUTED_VALUE"""),1162658.0)</f>
        <v>1162658</v>
      </c>
      <c r="C5618" t="str">
        <f>IFERROR(__xludf.DUMMYFUNCTION("""COMPUTED_VALUE"""),"SAS programing on Reports and Tables generating")</f>
        <v>SAS programing on Reports and Tables generating</v>
      </c>
    </row>
    <row r="5619">
      <c r="A5619" s="140" t="str">
        <f>IFERROR(__xludf.DUMMYFUNCTION("""COMPUTED_VALUE"""),"en")</f>
        <v>en</v>
      </c>
      <c r="B5619">
        <f>IFERROR(__xludf.DUMMYFUNCTION("""COMPUTED_VALUE"""),3325392.0)</f>
        <v>3325392</v>
      </c>
      <c r="C5619" t="str">
        <f>IFERROR(__xludf.DUMMYFUNCTION("""COMPUTED_VALUE"""),"AZ-900 - Microsoft Azure Fundamentals Practice Tests 2021")</f>
        <v>AZ-900 - Microsoft Azure Fundamentals Practice Tests 2021</v>
      </c>
    </row>
    <row r="5620">
      <c r="A5620" s="140" t="str">
        <f>IFERROR(__xludf.DUMMYFUNCTION("""COMPUTED_VALUE"""),"en")</f>
        <v>en</v>
      </c>
      <c r="B5620">
        <f>IFERROR(__xludf.DUMMYFUNCTION("""COMPUTED_VALUE"""),1149892.0)</f>
        <v>1149892</v>
      </c>
      <c r="C5620" t="str">
        <f>IFERROR(__xludf.DUMMYFUNCTION("""COMPUTED_VALUE"""),"ElasticSearch, LogStash, Kibana ELK #2 - Learn LogStash")</f>
        <v>ElasticSearch, LogStash, Kibana ELK #2 - Learn LogStash</v>
      </c>
    </row>
    <row r="5621">
      <c r="A5621" s="140" t="str">
        <f>IFERROR(__xludf.DUMMYFUNCTION("""COMPUTED_VALUE"""),"en")</f>
        <v>en</v>
      </c>
      <c r="B5621">
        <f>IFERROR(__xludf.DUMMYFUNCTION("""COMPUTED_VALUE"""),587146.0)</f>
        <v>587146</v>
      </c>
      <c r="C5621" t="str">
        <f>IFERROR(__xludf.DUMMYFUNCTION("""COMPUTED_VALUE"""),"Boost Your C# With Structural And Creational Design Patterns")</f>
        <v>Boost Your C# With Structural And Creational Design Patterns</v>
      </c>
    </row>
    <row r="5622">
      <c r="A5622" s="140" t="str">
        <f>IFERROR(__xludf.DUMMYFUNCTION("""COMPUTED_VALUE"""),"en")</f>
        <v>en</v>
      </c>
      <c r="B5622">
        <f>IFERROR(__xludf.DUMMYFUNCTION("""COMPUTED_VALUE"""),3240810.0)</f>
        <v>3240810</v>
      </c>
      <c r="C5622" t="str">
        <f>IFERROR(__xludf.DUMMYFUNCTION("""COMPUTED_VALUE"""),"Quasar V1: PWA (with Vue JS 2, Firebase, NodeJS &amp; Express)")</f>
        <v>Quasar V1: PWA (with Vue JS 2, Firebase, NodeJS &amp; Express)</v>
      </c>
    </row>
    <row r="5623">
      <c r="A5623" s="140" t="str">
        <f>IFERROR(__xludf.DUMMYFUNCTION("""COMPUTED_VALUE"""),"en")</f>
        <v>en</v>
      </c>
      <c r="B5623">
        <f>IFERROR(__xludf.DUMMYFUNCTION("""COMPUTED_VALUE"""),2715524.0)</f>
        <v>2715524</v>
      </c>
      <c r="C5623" t="str">
        <f>IFERROR(__xludf.DUMMYFUNCTION("""COMPUTED_VALUE"""),"Clean architecture &amp; SOLID principles for Android in Kotlin")</f>
        <v>Clean architecture &amp; SOLID principles for Android in Kotlin</v>
      </c>
    </row>
    <row r="5624">
      <c r="A5624" s="140" t="str">
        <f>IFERROR(__xludf.DUMMYFUNCTION("""COMPUTED_VALUE"""),"en")</f>
        <v>en</v>
      </c>
      <c r="B5624">
        <f>IFERROR(__xludf.DUMMYFUNCTION("""COMPUTED_VALUE"""),1466432.0)</f>
        <v>1466432</v>
      </c>
      <c r="C5624" t="str">
        <f>IFERROR(__xludf.DUMMYFUNCTION("""COMPUTED_VALUE"""),"Modern Copywriting: Writing copy that sells in 2021")</f>
        <v>Modern Copywriting: Writing copy that sells in 2021</v>
      </c>
    </row>
    <row r="5625">
      <c r="A5625" s="140" t="str">
        <f>IFERROR(__xludf.DUMMYFUNCTION("""COMPUTED_VALUE"""),"es")</f>
        <v>es</v>
      </c>
      <c r="B5625">
        <f>IFERROR(__xludf.DUMMYFUNCTION("""COMPUTED_VALUE"""),150082.0)</f>
        <v>150082</v>
      </c>
      <c r="C5625" t="str">
        <f>IFERROR(__xludf.DUMMYFUNCTION("""COMPUTED_VALUE"""),"Aprende MySQL sin dolor")</f>
        <v>Aprende MySQL sin dolor</v>
      </c>
    </row>
    <row r="5626">
      <c r="A5626" s="140" t="str">
        <f>IFERROR(__xludf.DUMMYFUNCTION("""COMPUTED_VALUE"""),"ko")</f>
        <v>ko</v>
      </c>
      <c r="B5626">
        <f>IFERROR(__xludf.DUMMYFUNCTION("""COMPUTED_VALUE"""),1404782.0)</f>
        <v>1404782</v>
      </c>
      <c r="C5626" t="str">
        <f>IFERROR(__xludf.DUMMYFUNCTION("""COMPUTED_VALUE"""),"쏜살같이 배우는 CSS")</f>
        <v>쏜살같이 배우는 CSS</v>
      </c>
    </row>
    <row r="5627">
      <c r="A5627" s="140" t="str">
        <f>IFERROR(__xludf.DUMMYFUNCTION("""COMPUTED_VALUE"""),"pt")</f>
        <v>pt</v>
      </c>
      <c r="B5627">
        <f>IFERROR(__xludf.DUMMYFUNCTION("""COMPUTED_VALUE"""),2641582.0)</f>
        <v>2641582</v>
      </c>
      <c r="C5627" t="str">
        <f>IFERROR(__xludf.DUMMYFUNCTION("""COMPUTED_VALUE"""),"Aplicação web completa integrando Django e Angular Framework")</f>
        <v>Aplicação web completa integrando Django e Angular Framework</v>
      </c>
    </row>
    <row r="5628">
      <c r="A5628" s="140" t="str">
        <f>IFERROR(__xludf.DUMMYFUNCTION("""COMPUTED_VALUE"""),"ja")</f>
        <v>ja</v>
      </c>
      <c r="B5628">
        <f>IFERROR(__xludf.DUMMYFUNCTION("""COMPUTED_VALUE"""),2776260.0)</f>
        <v>2776260</v>
      </c>
      <c r="C5628" t="str">
        <f>IFERROR(__xludf.DUMMYFUNCTION("""COMPUTED_VALUE"""),"【はじめての統計学】 エクセルで学ぶマーケティング統計分析＆戦略")</f>
        <v>【はじめての統計学】 エクセルで学ぶマーケティング統計分析＆戦略</v>
      </c>
    </row>
    <row r="5629">
      <c r="A5629" s="140" t="str">
        <f>IFERROR(__xludf.DUMMYFUNCTION("""COMPUTED_VALUE"""),"en")</f>
        <v>en</v>
      </c>
      <c r="B5629">
        <f>IFERROR(__xludf.DUMMYFUNCTION("""COMPUTED_VALUE"""),3204806.0)</f>
        <v>3204806</v>
      </c>
      <c r="C5629" t="str">
        <f>IFERROR(__xludf.DUMMYFUNCTION("""COMPUTED_VALUE"""),"Digital Transformation - Masterclass")</f>
        <v>Digital Transformation - Masterclass</v>
      </c>
    </row>
    <row r="5630">
      <c r="A5630" s="140" t="str">
        <f>IFERROR(__xludf.DUMMYFUNCTION("""COMPUTED_VALUE"""),"tr")</f>
        <v>tr</v>
      </c>
      <c r="B5630">
        <f>IFERROR(__xludf.DUMMYFUNCTION("""COMPUTED_VALUE"""),2791156.0)</f>
        <v>2791156</v>
      </c>
      <c r="C5630" t="str">
        <f>IFERROR(__xludf.DUMMYFUNCTION("""COMPUTED_VALUE"""),"Sıfırdan Windows Server İle Group Policy-2020")</f>
        <v>Sıfırdan Windows Server İle Group Policy-2020</v>
      </c>
    </row>
    <row r="5631">
      <c r="A5631" s="140" t="str">
        <f>IFERROR(__xludf.DUMMYFUNCTION("""COMPUTED_VALUE"""),"en")</f>
        <v>en</v>
      </c>
      <c r="B5631">
        <f>IFERROR(__xludf.DUMMYFUNCTION("""COMPUTED_VALUE"""),3579383.0)</f>
        <v>3579383</v>
      </c>
      <c r="C5631" t="str">
        <f>IFERROR(__xludf.DUMMYFUNCTION("""COMPUTED_VALUE"""),"Building Modern Web Applications with Go (Golang)")</f>
        <v>Building Modern Web Applications with Go (Golang)</v>
      </c>
    </row>
    <row r="5632">
      <c r="A5632" s="140" t="str">
        <f>IFERROR(__xludf.DUMMYFUNCTION("""COMPUTED_VALUE"""),"tr")</f>
        <v>tr</v>
      </c>
      <c r="B5632">
        <f>IFERROR(__xludf.DUMMYFUNCTION("""COMPUTED_VALUE"""),2267550.0)</f>
        <v>2267550</v>
      </c>
      <c r="C5632" t="str">
        <f>IFERROR(__xludf.DUMMYFUNCTION("""COMPUTED_VALUE"""),"DEĞER ODAKLI SATIŞ")</f>
        <v>DEĞER ODAKLI SATIŞ</v>
      </c>
    </row>
    <row r="5633">
      <c r="A5633" s="140" t="str">
        <f>IFERROR(__xludf.DUMMYFUNCTION("""COMPUTED_VALUE"""),"es")</f>
        <v>es</v>
      </c>
      <c r="B5633">
        <f>IFERROR(__xludf.DUMMYFUNCTION("""COMPUTED_VALUE"""),2567990.0)</f>
        <v>2567990</v>
      </c>
      <c r="C5633" t="str">
        <f>IFERROR(__xludf.DUMMYFUNCTION("""COMPUTED_VALUE"""),"Master SQL: De cero a experto en Bases de Datos")</f>
        <v>Master SQL: De cero a experto en Bases de Datos</v>
      </c>
    </row>
    <row r="5634">
      <c r="A5634" s="140" t="str">
        <f>IFERROR(__xludf.DUMMYFUNCTION("""COMPUTED_VALUE"""),"en")</f>
        <v>en</v>
      </c>
      <c r="B5634">
        <f>IFERROR(__xludf.DUMMYFUNCTION("""COMPUTED_VALUE"""),2087700.0)</f>
        <v>2087700</v>
      </c>
      <c r="C5634" t="str">
        <f>IFERROR(__xludf.DUMMYFUNCTION("""COMPUTED_VALUE"""),"UX Design College Class taught by a University UX Instructor")</f>
        <v>UX Design College Class taught by a University UX Instructor</v>
      </c>
    </row>
    <row r="5635">
      <c r="A5635" s="140" t="str">
        <f>IFERROR(__xludf.DUMMYFUNCTION("""COMPUTED_VALUE"""),"fr")</f>
        <v>fr</v>
      </c>
      <c r="B5635">
        <f>IFERROR(__xludf.DUMMYFUNCTION("""COMPUTED_VALUE"""),288840.0)</f>
        <v>288840</v>
      </c>
      <c r="C5635" t="str">
        <f>IFERROR(__xludf.DUMMYFUNCTION("""COMPUTED_VALUE"""),"Apprendre à coudre pour vos enfants : c'est facile !")</f>
        <v>Apprendre à coudre pour vos enfants : c'est facile !</v>
      </c>
    </row>
    <row r="5636">
      <c r="A5636" s="140" t="str">
        <f>IFERROR(__xludf.DUMMYFUNCTION("""COMPUTED_VALUE"""),"en")</f>
        <v>en</v>
      </c>
      <c r="B5636">
        <f>IFERROR(__xludf.DUMMYFUNCTION("""COMPUTED_VALUE"""),619260.0)</f>
        <v>619260</v>
      </c>
      <c r="C5636" t="str">
        <f>IFERROR(__xludf.DUMMYFUNCTION("""COMPUTED_VALUE"""),"Goals: The Lifelong Project - 8 PDUs")</f>
        <v>Goals: The Lifelong Project - 8 PDUs</v>
      </c>
    </row>
    <row r="5637">
      <c r="A5637" s="140" t="str">
        <f>IFERROR(__xludf.DUMMYFUNCTION("""COMPUTED_VALUE"""),"es")</f>
        <v>es</v>
      </c>
      <c r="B5637">
        <f>IFERROR(__xludf.DUMMYFUNCTION("""COMPUTED_VALUE"""),1183964.0)</f>
        <v>1183964</v>
      </c>
      <c r="C5637" t="str">
        <f>IFERROR(__xludf.DUMMYFUNCTION("""COMPUTED_VALUE"""),"Análisis y Visualización de Datos con Power BI")</f>
        <v>Análisis y Visualización de Datos con Power BI</v>
      </c>
    </row>
    <row r="5638">
      <c r="A5638" s="140" t="str">
        <f>IFERROR(__xludf.DUMMYFUNCTION("""COMPUTED_VALUE"""),"de")</f>
        <v>de</v>
      </c>
      <c r="B5638">
        <f>IFERROR(__xludf.DUMMYFUNCTION("""COMPUTED_VALUE"""),3842320.0)</f>
        <v>3842320</v>
      </c>
      <c r="C5638" t="str">
        <f>IFERROR(__xludf.DUMMYFUNCTION("""COMPUTED_VALUE"""),"Virtuelle Workshops | Methodenkoffer, Design &amp; Durchführung")</f>
        <v>Virtuelle Workshops | Methodenkoffer, Design &amp; Durchführung</v>
      </c>
    </row>
    <row r="5639">
      <c r="A5639" s="140" t="str">
        <f>IFERROR(__xludf.DUMMYFUNCTION("""COMPUTED_VALUE"""),"en")</f>
        <v>en</v>
      </c>
      <c r="B5639">
        <f>IFERROR(__xludf.DUMMYFUNCTION("""COMPUTED_VALUE"""),1575278.0)</f>
        <v>1575278</v>
      </c>
      <c r="C5639" t="str">
        <f>IFERROR(__xludf.DUMMYFUNCTION("""COMPUTED_VALUE"""),"Flutter &amp; Dart - The Complete Flutter App Development Course")</f>
        <v>Flutter &amp; Dart - The Complete Flutter App Development Course</v>
      </c>
    </row>
    <row r="5640">
      <c r="A5640" s="140" t="str">
        <f>IFERROR(__xludf.DUMMYFUNCTION("""COMPUTED_VALUE"""),"en")</f>
        <v>en</v>
      </c>
      <c r="B5640">
        <f>IFERROR(__xludf.DUMMYFUNCTION("""COMPUTED_VALUE"""),2712534.0)</f>
        <v>2712534</v>
      </c>
      <c r="C5640" t="str">
        <f>IFERROR(__xludf.DUMMYFUNCTION("""COMPUTED_VALUE"""),"Ultimate Terraform course for DevOps : Beginner to advanced")</f>
        <v>Ultimate Terraform course for DevOps : Beginner to advanced</v>
      </c>
    </row>
    <row r="5641">
      <c r="A5641" s="140" t="str">
        <f>IFERROR(__xludf.DUMMYFUNCTION("""COMPUTED_VALUE"""),"es")</f>
        <v>es</v>
      </c>
      <c r="B5641">
        <f>IFERROR(__xludf.DUMMYFUNCTION("""COMPUTED_VALUE"""),860984.0)</f>
        <v>860984</v>
      </c>
      <c r="C5641" t="str">
        <f>IFERROR(__xludf.DUMMYFUNCTION("""COMPUTED_VALUE"""),"Blender 2.9X: Modelado y texturizado enfocado a videojuegos")</f>
        <v>Blender 2.9X: Modelado y texturizado enfocado a videojuegos</v>
      </c>
    </row>
    <row r="5642">
      <c r="A5642" s="140" t="str">
        <f>IFERROR(__xludf.DUMMYFUNCTION("""COMPUTED_VALUE"""),"en")</f>
        <v>en</v>
      </c>
      <c r="B5642">
        <f>IFERROR(__xludf.DUMMYFUNCTION("""COMPUTED_VALUE"""),3930500.0)</f>
        <v>3930500</v>
      </c>
      <c r="C5642" t="str">
        <f>IFERROR(__xludf.DUMMYFUNCTION("""COMPUTED_VALUE"""),"SC-900: Microsoft Security, Compliance,Identity Fundamentals")</f>
        <v>SC-900: Microsoft Security, Compliance,Identity Fundamentals</v>
      </c>
    </row>
    <row r="5643">
      <c r="A5643" s="140" t="str">
        <f>IFERROR(__xludf.DUMMYFUNCTION("""COMPUTED_VALUE"""),"tr")</f>
        <v>tr</v>
      </c>
      <c r="B5643">
        <f>IFERROR(__xludf.DUMMYFUNCTION("""COMPUTED_VALUE"""),3281300.0)</f>
        <v>3281300</v>
      </c>
      <c r="C5643" t="str">
        <f>IFERROR(__xludf.DUMMYFUNCTION("""COMPUTED_VALUE"""),"IELTS Speaking 7 Puan ve Üzeri Eğitimi")</f>
        <v>IELTS Speaking 7 Puan ve Üzeri Eğitimi</v>
      </c>
    </row>
    <row r="5644">
      <c r="A5644" s="140" t="str">
        <f>IFERROR(__xludf.DUMMYFUNCTION("""COMPUTED_VALUE"""),"en")</f>
        <v>en</v>
      </c>
      <c r="B5644">
        <f>IFERROR(__xludf.DUMMYFUNCTION("""COMPUTED_VALUE"""),1013900.0)</f>
        <v>1013900</v>
      </c>
      <c r="C5644" t="str">
        <f>IFERROR(__xludf.DUMMYFUNCTION("""COMPUTED_VALUE"""),"End Game: The Ultimate Accelerated Learning System")</f>
        <v>End Game: The Ultimate Accelerated Learning System</v>
      </c>
    </row>
    <row r="5645">
      <c r="A5645" s="140" t="str">
        <f>IFERROR(__xludf.DUMMYFUNCTION("""COMPUTED_VALUE"""),"de")</f>
        <v>de</v>
      </c>
      <c r="B5645">
        <f>IFERROR(__xludf.DUMMYFUNCTION("""COMPUTED_VALUE"""),788298.0)</f>
        <v>788298</v>
      </c>
      <c r="C5645" t="str">
        <f>IFERROR(__xludf.DUMMYFUNCTION("""COMPUTED_VALUE"""),"SAP ABAP für Anfänger 1: Programmieren lernen im SAP")</f>
        <v>SAP ABAP für Anfänger 1: Programmieren lernen im SAP</v>
      </c>
    </row>
    <row r="5646">
      <c r="A5646" s="140" t="str">
        <f>IFERROR(__xludf.DUMMYFUNCTION("""COMPUTED_VALUE"""),"en")</f>
        <v>en</v>
      </c>
      <c r="B5646">
        <f>IFERROR(__xludf.DUMMYFUNCTION("""COMPUTED_VALUE"""),1592962.0)</f>
        <v>1592962</v>
      </c>
      <c r="C5646" t="str">
        <f>IFERROR(__xludf.DUMMYFUNCTION("""COMPUTED_VALUE"""),"Ultimate Ableton Live 10 COMPLETE: Parts 1, 2, and 3")</f>
        <v>Ultimate Ableton Live 10 COMPLETE: Parts 1, 2, and 3</v>
      </c>
    </row>
    <row r="5647">
      <c r="A5647" s="140" t="str">
        <f>IFERROR(__xludf.DUMMYFUNCTION("""COMPUTED_VALUE"""),"en")</f>
        <v>en</v>
      </c>
      <c r="B5647">
        <f>IFERROR(__xludf.DUMMYFUNCTION("""COMPUTED_VALUE"""),689522.0)</f>
        <v>689522</v>
      </c>
      <c r="C5647" t="str">
        <f>IFERROR(__xludf.DUMMYFUNCTION("""COMPUTED_VALUE"""),"Data Visualization with MATLAB - Projects and Examples")</f>
        <v>Data Visualization with MATLAB - Projects and Examples</v>
      </c>
    </row>
    <row r="5648">
      <c r="A5648" s="140" t="str">
        <f>IFERROR(__xludf.DUMMYFUNCTION("""COMPUTED_VALUE"""),"es")</f>
        <v>es</v>
      </c>
      <c r="B5648">
        <f>IFERROR(__xludf.DUMMYFUNCTION("""COMPUTED_VALUE"""),1898236.0)</f>
        <v>1898236</v>
      </c>
      <c r="C5648" t="str">
        <f>IFERROR(__xludf.DUMMYFUNCTION("""COMPUTED_VALUE"""),"Business Intelligence Power BI - Toma Decisiones Inteligente")</f>
        <v>Business Intelligence Power BI - Toma Decisiones Inteligente</v>
      </c>
    </row>
    <row r="5649">
      <c r="A5649" s="140" t="str">
        <f>IFERROR(__xludf.DUMMYFUNCTION("""COMPUTED_VALUE"""),"en")</f>
        <v>en</v>
      </c>
      <c r="B5649">
        <f>IFERROR(__xludf.DUMMYFUNCTION("""COMPUTED_VALUE"""),2692962.0)</f>
        <v>2692962</v>
      </c>
      <c r="C5649" t="str">
        <f>IFERROR(__xludf.DUMMYFUNCTION("""COMPUTED_VALUE"""),"Fostering Psychological Safety &amp; Belonging on Teams")</f>
        <v>Fostering Psychological Safety &amp; Belonging on Teams</v>
      </c>
    </row>
    <row r="5650">
      <c r="A5650" s="140" t="str">
        <f>IFERROR(__xludf.DUMMYFUNCTION("""COMPUTED_VALUE"""),"es")</f>
        <v>es</v>
      </c>
      <c r="B5650">
        <f>IFERROR(__xludf.DUMMYFUNCTION("""COMPUTED_VALUE"""),1685330.0)</f>
        <v>1685330</v>
      </c>
      <c r="C5650" t="str">
        <f>IFERROR(__xludf.DUMMYFUNCTION("""COMPUTED_VALUE"""),"Marketing Digital Completo: Desde Cero a Experto en el 2022")</f>
        <v>Marketing Digital Completo: Desde Cero a Experto en el 2022</v>
      </c>
    </row>
    <row r="5651">
      <c r="A5651" s="140" t="str">
        <f>IFERROR(__xludf.DUMMYFUNCTION("""COMPUTED_VALUE"""),"pt")</f>
        <v>pt</v>
      </c>
      <c r="B5651">
        <f>IFERROR(__xludf.DUMMYFUNCTION("""COMPUTED_VALUE"""),2368808.0)</f>
        <v>2368808</v>
      </c>
      <c r="C5651" t="str">
        <f>IFERROR(__xludf.DUMMYFUNCTION("""COMPUTED_VALUE"""),"Growth Hacking com Marketing Digital")</f>
        <v>Growth Hacking com Marketing Digital</v>
      </c>
    </row>
    <row r="5652">
      <c r="A5652" s="140" t="str">
        <f>IFERROR(__xludf.DUMMYFUNCTION("""COMPUTED_VALUE"""),"fr")</f>
        <v>fr</v>
      </c>
      <c r="B5652">
        <f>IFERROR(__xludf.DUMMYFUNCTION("""COMPUTED_VALUE"""),1697894.0)</f>
        <v>1697894</v>
      </c>
      <c r="C5652" t="str">
        <f>IFERROR(__xludf.DUMMYFUNCTION("""COMPUTED_VALUE"""),"HTML5 et CSS3 : la formation ULTIME")</f>
        <v>HTML5 et CSS3 : la formation ULTIME</v>
      </c>
    </row>
    <row r="5653">
      <c r="A5653" s="140" t="str">
        <f>IFERROR(__xludf.DUMMYFUNCTION("""COMPUTED_VALUE"""),"en")</f>
        <v>en</v>
      </c>
      <c r="B5653">
        <f>IFERROR(__xludf.DUMMYFUNCTION("""COMPUTED_VALUE"""),3749022.0)</f>
        <v>3749022</v>
      </c>
      <c r="C5653" t="str">
        <f>IFERROR(__xludf.DUMMYFUNCTION("""COMPUTED_VALUE"""),"Smart Math | Vedic Math | Speed Math | Mental Math")</f>
        <v>Smart Math | Vedic Math | Speed Math | Mental Math</v>
      </c>
    </row>
    <row r="5654">
      <c r="A5654" s="140" t="str">
        <f>IFERROR(__xludf.DUMMYFUNCTION("""COMPUTED_VALUE"""),"es")</f>
        <v>es</v>
      </c>
      <c r="B5654">
        <f>IFERROR(__xludf.DUMMYFUNCTION("""COMPUTED_VALUE"""),1762614.0)</f>
        <v>1762614</v>
      </c>
      <c r="C5654" t="str">
        <f>IFERROR(__xludf.DUMMYFUNCTION("""COMPUTED_VALUE"""),"Productividad Personal: Eficiencia y Alto Rendimiento")</f>
        <v>Productividad Personal: Eficiencia y Alto Rendimiento</v>
      </c>
    </row>
    <row r="5655">
      <c r="A5655" s="140" t="str">
        <f>IFERROR(__xludf.DUMMYFUNCTION("""COMPUTED_VALUE"""),"es")</f>
        <v>es</v>
      </c>
      <c r="B5655">
        <f>IFERROR(__xludf.DUMMYFUNCTION("""COMPUTED_VALUE"""),1840052.0)</f>
        <v>1840052</v>
      </c>
      <c r="C5655" t="str">
        <f>IFERROR(__xludf.DUMMYFUNCTION("""COMPUTED_VALUE"""),"Excel Contable - Curso Profesional")</f>
        <v>Excel Contable - Curso Profesional</v>
      </c>
    </row>
    <row r="5656">
      <c r="A5656" s="140" t="str">
        <f>IFERROR(__xludf.DUMMYFUNCTION("""COMPUTED_VALUE"""),"pt")</f>
        <v>pt</v>
      </c>
      <c r="B5656">
        <f>IFERROR(__xludf.DUMMYFUNCTION("""COMPUTED_VALUE"""),2739146.0)</f>
        <v>2739146</v>
      </c>
      <c r="C5656" t="str">
        <f>IFERROR(__xludf.DUMMYFUNCTION("""COMPUTED_VALUE"""),"Copywriting: As 7 fórmulas atemporais para cartas de vendas.")</f>
        <v>Copywriting: As 7 fórmulas atemporais para cartas de vendas.</v>
      </c>
    </row>
    <row r="5657">
      <c r="A5657" s="140" t="str">
        <f>IFERROR(__xludf.DUMMYFUNCTION("""COMPUTED_VALUE"""),"en")</f>
        <v>en</v>
      </c>
      <c r="B5657">
        <f>IFERROR(__xludf.DUMMYFUNCTION("""COMPUTED_VALUE"""),956038.0)</f>
        <v>956038</v>
      </c>
      <c r="C5657" t="str">
        <f>IFERROR(__xludf.DUMMYFUNCTION("""COMPUTED_VALUE"""),"Cumulus Linux Fundamentals, plus Ansible automation")</f>
        <v>Cumulus Linux Fundamentals, plus Ansible automation</v>
      </c>
    </row>
    <row r="5658">
      <c r="A5658" s="140" t="str">
        <f>IFERROR(__xludf.DUMMYFUNCTION("""COMPUTED_VALUE"""),"es")</f>
        <v>es</v>
      </c>
      <c r="B5658">
        <f>IFERROR(__xludf.DUMMYFUNCTION("""COMPUTED_VALUE"""),2108718.0)</f>
        <v>2108718</v>
      </c>
      <c r="C5658" t="str">
        <f>IFERROR(__xludf.DUMMYFUNCTION("""COMPUTED_VALUE"""),"El Camino de la Transformación Digital | Abraza el cambio")</f>
        <v>El Camino de la Transformación Digital | Abraza el cambio</v>
      </c>
    </row>
    <row r="5659">
      <c r="A5659" s="140" t="str">
        <f>IFERROR(__xludf.DUMMYFUNCTION("""COMPUTED_VALUE"""),"en")</f>
        <v>en</v>
      </c>
      <c r="B5659">
        <f>IFERROR(__xludf.DUMMYFUNCTION("""COMPUTED_VALUE"""),2722012.0)</f>
        <v>2722012</v>
      </c>
      <c r="C5659" t="str">
        <f>IFERROR(__xludf.DUMMYFUNCTION("""COMPUTED_VALUE"""),"Signals and Systems : From Basics to Advance")</f>
        <v>Signals and Systems : From Basics to Advance</v>
      </c>
    </row>
    <row r="5660">
      <c r="A5660" s="140" t="str">
        <f>IFERROR(__xludf.DUMMYFUNCTION("""COMPUTED_VALUE"""),"en")</f>
        <v>en</v>
      </c>
      <c r="B5660">
        <f>IFERROR(__xludf.DUMMYFUNCTION("""COMPUTED_VALUE"""),63511.0)</f>
        <v>63511</v>
      </c>
      <c r="C5660" t="str">
        <f>IFERROR(__xludf.DUMMYFUNCTION("""COMPUTED_VALUE"""),"Learn Microsoft Publisher 2013 Training")</f>
        <v>Learn Microsoft Publisher 2013 Training</v>
      </c>
    </row>
    <row r="5661">
      <c r="A5661" s="140" t="str">
        <f>IFERROR(__xludf.DUMMYFUNCTION("""COMPUTED_VALUE"""),"en")</f>
        <v>en</v>
      </c>
      <c r="B5661">
        <f>IFERROR(__xludf.DUMMYFUNCTION("""COMPUTED_VALUE"""),1610900.0)</f>
        <v>1610900</v>
      </c>
      <c r="C5661" t="str">
        <f>IFERROR(__xludf.DUMMYFUNCTION("""COMPUTED_VALUE"""),"Communication &amp; Social Skills")</f>
        <v>Communication &amp; Social Skills</v>
      </c>
    </row>
    <row r="5662">
      <c r="A5662" s="140" t="str">
        <f>IFERROR(__xludf.DUMMYFUNCTION("""COMPUTED_VALUE"""),"en")</f>
        <v>en</v>
      </c>
      <c r="B5662">
        <f>IFERROR(__xludf.DUMMYFUNCTION("""COMPUTED_VALUE"""),493288.0)</f>
        <v>493288</v>
      </c>
      <c r="C5662" t="str">
        <f>IFERROR(__xludf.DUMMYFUNCTION("""COMPUTED_VALUE"""),"NoSQL: Neo4j and Cypher (Part: 1-Beginners)")</f>
        <v>NoSQL: Neo4j and Cypher (Part: 1-Beginners)</v>
      </c>
    </row>
    <row r="5663">
      <c r="A5663" s="140" t="str">
        <f>IFERROR(__xludf.DUMMYFUNCTION("""COMPUTED_VALUE"""),"en")</f>
        <v>en</v>
      </c>
      <c r="B5663">
        <f>IFERROR(__xludf.DUMMYFUNCTION("""COMPUTED_VALUE"""),509114.0)</f>
        <v>509114</v>
      </c>
      <c r="C5663" t="str">
        <f>IFERROR(__xludf.DUMMYFUNCTION("""COMPUTED_VALUE"""),"EXCEL at Work - Complete MS Excel Mastery Beginner to Pro")</f>
        <v>EXCEL at Work - Complete MS Excel Mastery Beginner to Pro</v>
      </c>
    </row>
    <row r="5664">
      <c r="A5664" s="140" t="str">
        <f>IFERROR(__xludf.DUMMYFUNCTION("""COMPUTED_VALUE"""),"en")</f>
        <v>en</v>
      </c>
      <c r="B5664">
        <f>IFERROR(__xludf.DUMMYFUNCTION("""COMPUTED_VALUE"""),2413388.0)</f>
        <v>2413388</v>
      </c>
      <c r="C5664" t="str">
        <f>IFERROR(__xludf.DUMMYFUNCTION("""COMPUTED_VALUE"""),"Management Consulting Approach to Problem Solving")</f>
        <v>Management Consulting Approach to Problem Solving</v>
      </c>
    </row>
    <row r="5665">
      <c r="A5665" s="140" t="str">
        <f>IFERROR(__xludf.DUMMYFUNCTION("""COMPUTED_VALUE"""),"es")</f>
        <v>es</v>
      </c>
      <c r="B5665">
        <f>IFERROR(__xludf.DUMMYFUNCTION("""COMPUTED_VALUE"""),108324.0)</f>
        <v>108324</v>
      </c>
      <c r="C5665" t="str">
        <f>IFERROR(__xludf.DUMMYFUNCTION("""COMPUTED_VALUE"""),"SEO para WordPress - Curso Práctico de SEO usando WordPress")</f>
        <v>SEO para WordPress - Curso Práctico de SEO usando WordPress</v>
      </c>
    </row>
    <row r="5666">
      <c r="A5666" s="140" t="str">
        <f>IFERROR(__xludf.DUMMYFUNCTION("""COMPUTED_VALUE"""),"en")</f>
        <v>en</v>
      </c>
      <c r="B5666">
        <f>IFERROR(__xludf.DUMMYFUNCTION("""COMPUTED_VALUE"""),3489966.0)</f>
        <v>3489966</v>
      </c>
      <c r="C5666" t="str">
        <f>IFERROR(__xludf.DUMMYFUNCTION("""COMPUTED_VALUE"""),"ASP.NET Core Identity - Authentication &amp; Authorization")</f>
        <v>ASP.NET Core Identity - Authentication &amp; Authorization</v>
      </c>
    </row>
    <row r="5667">
      <c r="A5667" s="140" t="str">
        <f>IFERROR(__xludf.DUMMYFUNCTION("""COMPUTED_VALUE"""),"pt")</f>
        <v>pt</v>
      </c>
      <c r="B5667">
        <f>IFERROR(__xludf.DUMMYFUNCTION("""COMPUTED_VALUE"""),1308722.0)</f>
        <v>1308722</v>
      </c>
      <c r="C5667" t="str">
        <f>IFERROR(__xludf.DUMMYFUNCTION("""COMPUTED_VALUE"""),"Fundamentos de Programação Moderna com Kotlin - Android")</f>
        <v>Fundamentos de Programação Moderna com Kotlin - Android</v>
      </c>
    </row>
    <row r="5668">
      <c r="A5668" s="140" t="str">
        <f>IFERROR(__xludf.DUMMYFUNCTION("""COMPUTED_VALUE"""),"ar")</f>
        <v>ar</v>
      </c>
      <c r="B5668">
        <f>IFERROR(__xludf.DUMMYFUNCTION("""COMPUTED_VALUE"""),3360442.0)</f>
        <v>3360442</v>
      </c>
      <c r="C5668" t="str">
        <f>IFERROR(__xludf.DUMMYFUNCTION("""COMPUTED_VALUE"""),"كورس الفيس بوك البروفشنال- بثلاثة مستويات متكاملة بالعراقي")</f>
        <v>كورس الفيس بوك البروفشنال- بثلاثة مستويات متكاملة بالعراقي</v>
      </c>
    </row>
    <row r="5669">
      <c r="A5669" s="140" t="str">
        <f>IFERROR(__xludf.DUMMYFUNCTION("""COMPUTED_VALUE"""),"es")</f>
        <v>es</v>
      </c>
      <c r="B5669">
        <f>IFERROR(__xludf.DUMMYFUNCTION("""COMPUTED_VALUE"""),2705676.0)</f>
        <v>2705676</v>
      </c>
      <c r="C5669" t="str">
        <f>IFERROR(__xludf.DUMMYFUNCTION("""COMPUTED_VALUE"""),"Microsoft® AZ-900 Azure Fundamentals-Real Questions Jul 2021")</f>
        <v>Microsoft® AZ-900 Azure Fundamentals-Real Questions Jul 2021</v>
      </c>
    </row>
    <row r="5670">
      <c r="A5670" s="140" t="str">
        <f>IFERROR(__xludf.DUMMYFUNCTION("""COMPUTED_VALUE"""),"es")</f>
        <v>es</v>
      </c>
      <c r="B5670">
        <f>IFERROR(__xludf.DUMMYFUNCTION("""COMPUTED_VALUE"""),1979536.0)</f>
        <v>1979536</v>
      </c>
      <c r="C5670" t="str">
        <f>IFERROR(__xludf.DUMMYFUNCTION("""COMPUTED_VALUE"""),"Curso de Italiano para Principiantes")</f>
        <v>Curso de Italiano para Principiantes</v>
      </c>
    </row>
    <row r="5671">
      <c r="A5671" s="140" t="str">
        <f>IFERROR(__xludf.DUMMYFUNCTION("""COMPUTED_VALUE"""),"en")</f>
        <v>en</v>
      </c>
      <c r="B5671">
        <f>IFERROR(__xludf.DUMMYFUNCTION("""COMPUTED_VALUE"""),1426934.0)</f>
        <v>1426934</v>
      </c>
      <c r="C5671" t="str">
        <f>IFERROR(__xludf.DUMMYFUNCTION("""COMPUTED_VALUE"""),"Mastering Collaboration: Work together for the best results")</f>
        <v>Mastering Collaboration: Work together for the best results</v>
      </c>
    </row>
    <row r="5672">
      <c r="A5672" s="140" t="str">
        <f>IFERROR(__xludf.DUMMYFUNCTION("""COMPUTED_VALUE"""),"en")</f>
        <v>en</v>
      </c>
      <c r="B5672">
        <f>IFERROR(__xludf.DUMMYFUNCTION("""COMPUTED_VALUE"""),1182936.0)</f>
        <v>1182936</v>
      </c>
      <c r="C5672" t="str">
        <f>IFERROR(__xludf.DUMMYFUNCTION("""COMPUTED_VALUE"""),"WebGL w/ Unity: The Ultimate Guide to Games in the Browser")</f>
        <v>WebGL w/ Unity: The Ultimate Guide to Games in the Browser</v>
      </c>
    </row>
    <row r="5673">
      <c r="A5673" s="140" t="str">
        <f>IFERROR(__xludf.DUMMYFUNCTION("""COMPUTED_VALUE"""),"pt")</f>
        <v>pt</v>
      </c>
      <c r="B5673">
        <f>IFERROR(__xludf.DUMMYFUNCTION("""COMPUTED_VALUE"""),3942058.0)</f>
        <v>3942058</v>
      </c>
      <c r="C5673" t="str">
        <f>IFERROR(__xludf.DUMMYFUNCTION("""COMPUTED_VALUE"""),"Curso de Edição de Videos com Kdenlive")</f>
        <v>Curso de Edição de Videos com Kdenlive</v>
      </c>
    </row>
    <row r="5674">
      <c r="A5674" s="140" t="str">
        <f>IFERROR(__xludf.DUMMYFUNCTION("""COMPUTED_VALUE"""),"en")</f>
        <v>en</v>
      </c>
      <c r="B5674">
        <f>IFERROR(__xludf.DUMMYFUNCTION("""COMPUTED_VALUE"""),4049210.0)</f>
        <v>4049210</v>
      </c>
      <c r="C5674" t="str">
        <f>IFERROR(__xludf.DUMMYFUNCTION("""COMPUTED_VALUE"""),"PL-100: Microsoft Power Platform Apps Maker")</f>
        <v>PL-100: Microsoft Power Platform Apps Maker</v>
      </c>
    </row>
    <row r="5675">
      <c r="A5675" s="140" t="str">
        <f>IFERROR(__xludf.DUMMYFUNCTION("""COMPUTED_VALUE"""),"en")</f>
        <v>en</v>
      </c>
      <c r="B5675">
        <f>IFERROR(__xludf.DUMMYFUNCTION("""COMPUTED_VALUE"""),3774922.0)</f>
        <v>3774922</v>
      </c>
      <c r="C5675" t="str">
        <f>IFERROR(__xludf.DUMMYFUNCTION("""COMPUTED_VALUE"""),"Stock Market Trading: The Complete Technical Analysis Course")</f>
        <v>Stock Market Trading: The Complete Technical Analysis Course</v>
      </c>
    </row>
    <row r="5676">
      <c r="A5676" s="140" t="str">
        <f>IFERROR(__xludf.DUMMYFUNCTION("""COMPUTED_VALUE"""),"en")</f>
        <v>en</v>
      </c>
      <c r="B5676">
        <f>IFERROR(__xludf.DUMMYFUNCTION("""COMPUTED_VALUE"""),3257648.0)</f>
        <v>3257648</v>
      </c>
      <c r="C5676" t="str">
        <f>IFERROR(__xludf.DUMMYFUNCTION("""COMPUTED_VALUE"""),"2021 Natural Language Processing in Python for Beginners")</f>
        <v>2021 Natural Language Processing in Python for Beginners</v>
      </c>
    </row>
    <row r="5677">
      <c r="A5677" s="140" t="str">
        <f>IFERROR(__xludf.DUMMYFUNCTION("""COMPUTED_VALUE"""),"es")</f>
        <v>es</v>
      </c>
      <c r="B5677">
        <f>IFERROR(__xludf.DUMMYFUNCTION("""COMPUTED_VALUE"""),2235696.0)</f>
        <v>2235696</v>
      </c>
      <c r="C5677" t="str">
        <f>IFERROR(__xludf.DUMMYFUNCTION("""COMPUTED_VALUE"""),"MVC Net Core 3 y 2.2. La Guía Inicial")</f>
        <v>MVC Net Core 3 y 2.2. La Guía Inicial</v>
      </c>
    </row>
    <row r="5678">
      <c r="A5678" s="140" t="str">
        <f>IFERROR(__xludf.DUMMYFUNCTION("""COMPUTED_VALUE"""),"tr")</f>
        <v>tr</v>
      </c>
      <c r="B5678">
        <f>IFERROR(__xludf.DUMMYFUNCTION("""COMPUTED_VALUE"""),2639876.0)</f>
        <v>2639876</v>
      </c>
      <c r="C5678" t="str">
        <f>IFERROR(__xludf.DUMMYFUNCTION("""COMPUTED_VALUE"""),"A'dan Z'ye Uygulamalı Microsoft Office Programları Eğitimi")</f>
        <v>A'dan Z'ye Uygulamalı Microsoft Office Programları Eğitimi</v>
      </c>
    </row>
    <row r="5679">
      <c r="A5679" s="140" t="str">
        <f>IFERROR(__xludf.DUMMYFUNCTION("""COMPUTED_VALUE"""),"en")</f>
        <v>en</v>
      </c>
      <c r="B5679">
        <f>IFERROR(__xludf.DUMMYFUNCTION("""COMPUTED_VALUE"""),1593654.0)</f>
        <v>1593654</v>
      </c>
      <c r="C5679" t="str">
        <f>IFERROR(__xludf.DUMMYFUNCTION("""COMPUTED_VALUE"""),"The Beginner's Guide to Rigging in 3ds Max")</f>
        <v>The Beginner's Guide to Rigging in 3ds Max</v>
      </c>
    </row>
    <row r="5680">
      <c r="A5680" s="140" t="str">
        <f>IFERROR(__xludf.DUMMYFUNCTION("""COMPUTED_VALUE"""),"en")</f>
        <v>en</v>
      </c>
      <c r="B5680">
        <f>IFERROR(__xludf.DUMMYFUNCTION("""COMPUTED_VALUE"""),2464932.0)</f>
        <v>2464932</v>
      </c>
      <c r="C5680" t="str">
        <f>IFERROR(__xludf.DUMMYFUNCTION("""COMPUTED_VALUE"""),"Cisco ASA Firewall in 12 days")</f>
        <v>Cisco ASA Firewall in 12 days</v>
      </c>
    </row>
    <row r="5681">
      <c r="A5681" s="140" t="str">
        <f>IFERROR(__xludf.DUMMYFUNCTION("""COMPUTED_VALUE"""),"en")</f>
        <v>en</v>
      </c>
      <c r="B5681">
        <f>IFERROR(__xludf.DUMMYFUNCTION("""COMPUTED_VALUE"""),185304.0)</f>
        <v>185304</v>
      </c>
      <c r="C5681" t="str">
        <f>IFERROR(__xludf.DUMMYFUNCTION("""COMPUTED_VALUE"""),"Learn to build  OVM &amp; UVM  Testbenches from scratch")</f>
        <v>Learn to build  OVM &amp; UVM  Testbenches from scratch</v>
      </c>
    </row>
    <row r="5682">
      <c r="A5682" s="140" t="str">
        <f>IFERROR(__xludf.DUMMYFUNCTION("""COMPUTED_VALUE"""),"en")</f>
        <v>en</v>
      </c>
      <c r="B5682">
        <f>IFERROR(__xludf.DUMMYFUNCTION("""COMPUTED_VALUE"""),371074.0)</f>
        <v>371074</v>
      </c>
      <c r="C5682" t="str">
        <f>IFERROR(__xludf.DUMMYFUNCTION("""COMPUTED_VALUE"""),"Sketch from A to Z (2021): Become an app designer")</f>
        <v>Sketch from A to Z (2021): Become an app designer</v>
      </c>
    </row>
    <row r="5683">
      <c r="A5683" s="140" t="str">
        <f>IFERROR(__xludf.DUMMYFUNCTION("""COMPUTED_VALUE"""),"en")</f>
        <v>en</v>
      </c>
      <c r="B5683">
        <f>IFERROR(__xludf.DUMMYFUNCTION("""COMPUTED_VALUE"""),2447420.0)</f>
        <v>2447420</v>
      </c>
      <c r="C5683" t="str">
        <f>IFERROR(__xludf.DUMMYFUNCTION("""COMPUTED_VALUE"""),"Oracle Cloud ERP(SaaS) Technical- ICS/VBCS, Dell Boomi Bonus")</f>
        <v>Oracle Cloud ERP(SaaS) Technical- ICS/VBCS, Dell Boomi Bonus</v>
      </c>
    </row>
    <row r="5684">
      <c r="A5684" s="140" t="str">
        <f>IFERROR(__xludf.DUMMYFUNCTION("""COMPUTED_VALUE"""),"en")</f>
        <v>en</v>
      </c>
      <c r="B5684">
        <f>IFERROR(__xludf.DUMMYFUNCTION("""COMPUTED_VALUE"""),1561606.0)</f>
        <v>1561606</v>
      </c>
      <c r="C5684" t="str">
        <f>IFERROR(__xludf.DUMMYFUNCTION("""COMPUTED_VALUE"""),"Working Remotely: How To Succeed In The New Workplace")</f>
        <v>Working Remotely: How To Succeed In The New Workplace</v>
      </c>
    </row>
    <row r="5685">
      <c r="A5685" s="140" t="str">
        <f>IFERROR(__xludf.DUMMYFUNCTION("""COMPUTED_VALUE"""),"en")</f>
        <v>en</v>
      </c>
      <c r="B5685">
        <f>IFERROR(__xludf.DUMMYFUNCTION("""COMPUTED_VALUE"""),927870.0)</f>
        <v>927870</v>
      </c>
      <c r="C5685" t="str">
        <f>IFERROR(__xludf.DUMMYFUNCTION("""COMPUTED_VALUE"""),"Learning Axure RP 8 - UX Design Fundamentals")</f>
        <v>Learning Axure RP 8 - UX Design Fundamentals</v>
      </c>
    </row>
    <row r="5686">
      <c r="A5686" s="140" t="str">
        <f>IFERROR(__xludf.DUMMYFUNCTION("""COMPUTED_VALUE"""),"ko")</f>
        <v>ko</v>
      </c>
      <c r="B5686">
        <f>IFERROR(__xludf.DUMMYFUNCTION("""COMPUTED_VALUE"""),1213364.0)</f>
        <v>1213364</v>
      </c>
      <c r="C5686" t="str">
        <f>IFERROR(__xludf.DUMMYFUNCTION("""COMPUTED_VALUE"""),"Power Prep for Korean language exam 한국어능력시험 TOPIK Ⅱ Reading")</f>
        <v>Power Prep for Korean language exam 한국어능력시험 TOPIK Ⅱ Reading</v>
      </c>
    </row>
    <row r="5687">
      <c r="A5687" s="140" t="str">
        <f>IFERROR(__xludf.DUMMYFUNCTION("""COMPUTED_VALUE"""),"tr")</f>
        <v>tr</v>
      </c>
      <c r="B5687">
        <f>IFERROR(__xludf.DUMMYFUNCTION("""COMPUTED_VALUE"""),2103686.0)</f>
        <v>2103686</v>
      </c>
      <c r="C5687" t="str">
        <f>IFERROR(__xludf.DUMMYFUNCTION("""COMPUTED_VALUE"""),"Veri Yapıları Eğitim Serisi")</f>
        <v>Veri Yapıları Eğitim Serisi</v>
      </c>
    </row>
    <row r="5688">
      <c r="A5688" s="140" t="str">
        <f>IFERROR(__xludf.DUMMYFUNCTION("""COMPUTED_VALUE"""),"es")</f>
        <v>es</v>
      </c>
      <c r="B5688">
        <f>IFERROR(__xludf.DUMMYFUNCTION("""COMPUTED_VALUE"""),1635870.0)</f>
        <v>1635870</v>
      </c>
      <c r="C5688" t="str">
        <f>IFERROR(__xludf.DUMMYFUNCTION("""COMPUTED_VALUE"""),"Cómo usar BIM en tus proyectos")</f>
        <v>Cómo usar BIM en tus proyectos</v>
      </c>
    </row>
    <row r="5689">
      <c r="A5689" s="140" t="str">
        <f>IFERROR(__xludf.DUMMYFUNCTION("""COMPUTED_VALUE"""),"en")</f>
        <v>en</v>
      </c>
      <c r="B5689">
        <f>IFERROR(__xludf.DUMMYFUNCTION("""COMPUTED_VALUE"""),1788930.0)</f>
        <v>1788930</v>
      </c>
      <c r="C5689" t="str">
        <f>IFERROR(__xludf.DUMMYFUNCTION("""COMPUTED_VALUE"""),"Make Epic Videos for the Internet!")</f>
        <v>Make Epic Videos for the Internet!</v>
      </c>
    </row>
    <row r="5690">
      <c r="A5690" s="140" t="str">
        <f>IFERROR(__xludf.DUMMYFUNCTION("""COMPUTED_VALUE"""),"es")</f>
        <v>es</v>
      </c>
      <c r="B5690">
        <f>IFERROR(__xludf.DUMMYFUNCTION("""COMPUTED_VALUE"""),2720210.0)</f>
        <v>2720210</v>
      </c>
      <c r="C5690" t="str">
        <f>IFERROR(__xludf.DUMMYFUNCTION("""COMPUTED_VALUE"""),"Copywriting Pro - Genera más clicks y más ventas")</f>
        <v>Copywriting Pro - Genera más clicks y más ventas</v>
      </c>
    </row>
    <row r="5691">
      <c r="A5691" s="140" t="str">
        <f>IFERROR(__xludf.DUMMYFUNCTION("""COMPUTED_VALUE"""),"en")</f>
        <v>en</v>
      </c>
      <c r="B5691">
        <f>IFERROR(__xludf.DUMMYFUNCTION("""COMPUTED_VALUE"""),1843232.0)</f>
        <v>1843232</v>
      </c>
      <c r="C5691" t="str">
        <f>IFERROR(__xludf.DUMMYFUNCTION("""COMPUTED_VALUE"""),"Learn Business English (Professional Language)")</f>
        <v>Learn Business English (Professional Language)</v>
      </c>
    </row>
    <row r="5692">
      <c r="A5692" s="140" t="str">
        <f>IFERROR(__xludf.DUMMYFUNCTION("""COMPUTED_VALUE"""),"en")</f>
        <v>en</v>
      </c>
      <c r="B5692">
        <f>IFERROR(__xludf.DUMMYFUNCTION("""COMPUTED_VALUE"""),1010296.0)</f>
        <v>1010296</v>
      </c>
      <c r="C5692" t="str">
        <f>IFERROR(__xludf.DUMMYFUNCTION("""COMPUTED_VALUE"""),"Rhetoric of Story : Learn the 7 foundations of storytelling.")</f>
        <v>Rhetoric of Story : Learn the 7 foundations of storytelling.</v>
      </c>
    </row>
    <row r="5693">
      <c r="A5693" s="140" t="str">
        <f>IFERROR(__xludf.DUMMYFUNCTION("""COMPUTED_VALUE"""),"en")</f>
        <v>en</v>
      </c>
      <c r="B5693">
        <f>IFERROR(__xludf.DUMMYFUNCTION("""COMPUTED_VALUE"""),2598616.0)</f>
        <v>2598616</v>
      </c>
      <c r="C5693" t="str">
        <f>IFERROR(__xludf.DUMMYFUNCTION("""COMPUTED_VALUE"""),"Linux Redhat System Administration II – SA2 (RHEL8)")</f>
        <v>Linux Redhat System Administration II – SA2 (RHEL8)</v>
      </c>
    </row>
    <row r="5694">
      <c r="A5694" s="140" t="str">
        <f>IFERROR(__xludf.DUMMYFUNCTION("""COMPUTED_VALUE"""),"ja")</f>
        <v>ja</v>
      </c>
      <c r="B5694">
        <f>IFERROR(__xludf.DUMMYFUNCTION("""COMPUTED_VALUE"""),1227488.0)</f>
        <v>1227488</v>
      </c>
      <c r="C5694" t="str">
        <f>IFERROR(__xludf.DUMMYFUNCTION("""COMPUTED_VALUE"""),"【 初心者から財務プロまで 】エクセルで学ぶビジネス・シミュレーション講座 マスターコース")</f>
        <v>【 初心者から財務プロまで 】エクセルで学ぶビジネス・シミュレーション講座 マスターコース</v>
      </c>
    </row>
    <row r="5695">
      <c r="A5695" s="140" t="str">
        <f>IFERROR(__xludf.DUMMYFUNCTION("""COMPUTED_VALUE"""),"en")</f>
        <v>en</v>
      </c>
      <c r="B5695">
        <f>IFERROR(__xludf.DUMMYFUNCTION("""COMPUTED_VALUE"""),587486.0)</f>
        <v>587486</v>
      </c>
      <c r="C5695" t="str">
        <f>IFERROR(__xludf.DUMMYFUNCTION("""COMPUTED_VALUE"""),"#1 Sourdough Bread Baking 101")</f>
        <v>#1 Sourdough Bread Baking 101</v>
      </c>
    </row>
    <row r="5696">
      <c r="A5696" s="140" t="str">
        <f>IFERROR(__xludf.DUMMYFUNCTION("""COMPUTED_VALUE"""),"en")</f>
        <v>en</v>
      </c>
      <c r="B5696">
        <f>IFERROR(__xludf.DUMMYFUNCTION("""COMPUTED_VALUE"""),260490.0)</f>
        <v>260490</v>
      </c>
      <c r="C5696" t="str">
        <f>IFERROR(__xludf.DUMMYFUNCTION("""COMPUTED_VALUE"""),"Arabic language | The comprehensive course - Learn modern")</f>
        <v>Arabic language | The comprehensive course - Learn modern</v>
      </c>
    </row>
    <row r="5697">
      <c r="A5697" s="140" t="str">
        <f>IFERROR(__xludf.DUMMYFUNCTION("""COMPUTED_VALUE"""),"zh")</f>
        <v>zh</v>
      </c>
      <c r="B5697">
        <f>IFERROR(__xludf.DUMMYFUNCTION("""COMPUTED_VALUE"""),2377990.0)</f>
        <v>2377990</v>
      </c>
      <c r="C5697" t="str">
        <f>IFERROR(__xludf.DUMMYFUNCTION("""COMPUTED_VALUE"""),"机器学习-数据挖掘竞赛优胜解决方案实战")</f>
        <v>机器学习-数据挖掘竞赛优胜解决方案实战</v>
      </c>
    </row>
    <row r="5698">
      <c r="A5698" s="140" t="str">
        <f>IFERROR(__xludf.DUMMYFUNCTION("""COMPUTED_VALUE"""),"de")</f>
        <v>de</v>
      </c>
      <c r="B5698">
        <f>IFERROR(__xludf.DUMMYFUNCTION("""COMPUTED_VALUE"""),1743258.0)</f>
        <v>1743258</v>
      </c>
      <c r="C5698" t="str">
        <f>IFERROR(__xludf.DUMMYFUNCTION("""COMPUTED_VALUE"""),"HTML lernen für Anfänger")</f>
        <v>HTML lernen für Anfänger</v>
      </c>
    </row>
    <row r="5699">
      <c r="A5699" s="140" t="str">
        <f>IFERROR(__xludf.DUMMYFUNCTION("""COMPUTED_VALUE"""),"de")</f>
        <v>de</v>
      </c>
      <c r="B5699">
        <f>IFERROR(__xludf.DUMMYFUNCTION("""COMPUTED_VALUE"""),3199446.0)</f>
        <v>3199446</v>
      </c>
      <c r="C5699" t="str">
        <f>IFERROR(__xludf.DUMMYFUNCTION("""COMPUTED_VALUE"""),"Der C# Intensivkurs - OOP, WPF, SQL, Windows Forms und Git!")</f>
        <v>Der C# Intensivkurs - OOP, WPF, SQL, Windows Forms und Git!</v>
      </c>
    </row>
    <row r="5700">
      <c r="A5700" s="140" t="str">
        <f>IFERROR(__xludf.DUMMYFUNCTION("""COMPUTED_VALUE"""),"en")</f>
        <v>en</v>
      </c>
      <c r="B5700">
        <f>IFERROR(__xludf.DUMMYFUNCTION("""COMPUTED_VALUE"""),3382642.0)</f>
        <v>3382642</v>
      </c>
      <c r="C5700" t="str">
        <f>IFERROR(__xludf.DUMMYFUNCTION("""COMPUTED_VALUE"""),"Taking the Work Out of Networking")</f>
        <v>Taking the Work Out of Networking</v>
      </c>
    </row>
    <row r="5701">
      <c r="A5701" s="140" t="str">
        <f>IFERROR(__xludf.DUMMYFUNCTION("""COMPUTED_VALUE"""),"en")</f>
        <v>en</v>
      </c>
      <c r="B5701">
        <f>IFERROR(__xludf.DUMMYFUNCTION("""COMPUTED_VALUE"""),2561004.0)</f>
        <v>2561004</v>
      </c>
      <c r="C5701" t="str">
        <f>IFERROR(__xludf.DUMMYFUNCTION("""COMPUTED_VALUE"""),"Agile Project Management: Requirements,Planning and Tracking")</f>
        <v>Agile Project Management: Requirements,Planning and Tracking</v>
      </c>
    </row>
    <row r="5702">
      <c r="A5702" s="140" t="str">
        <f>IFERROR(__xludf.DUMMYFUNCTION("""COMPUTED_VALUE"""),"en")</f>
        <v>en</v>
      </c>
      <c r="B5702">
        <f>IFERROR(__xludf.DUMMYFUNCTION("""COMPUTED_VALUE"""),1032950.0)</f>
        <v>1032950</v>
      </c>
      <c r="C5702" t="str">
        <f>IFERROR(__xludf.DUMMYFUNCTION("""COMPUTED_VALUE"""),"After Effects for Entrepreneurs: 9 Practical Video Projects")</f>
        <v>After Effects for Entrepreneurs: 9 Practical Video Projects</v>
      </c>
    </row>
    <row r="5703">
      <c r="A5703" s="140" t="str">
        <f>IFERROR(__xludf.DUMMYFUNCTION("""COMPUTED_VALUE"""),"ja")</f>
        <v>ja</v>
      </c>
      <c r="B5703">
        <f>IFERROR(__xludf.DUMMYFUNCTION("""COMPUTED_VALUE"""),2306248.0)</f>
        <v>2306248</v>
      </c>
      <c r="C5703" t="str">
        <f>IFERROR(__xludf.DUMMYFUNCTION("""COMPUTED_VALUE"""),"はじめての AI")</f>
        <v>はじめての AI</v>
      </c>
    </row>
    <row r="5704">
      <c r="A5704" s="140" t="str">
        <f>IFERROR(__xludf.DUMMYFUNCTION("""COMPUTED_VALUE"""),"en")</f>
        <v>en</v>
      </c>
      <c r="B5704">
        <f>IFERROR(__xludf.DUMMYFUNCTION("""COMPUTED_VALUE"""),1304562.0)</f>
        <v>1304562</v>
      </c>
      <c r="C5704" t="str">
        <f>IFERROR(__xludf.DUMMYFUNCTION("""COMPUTED_VALUE"""),"Industrial Robotics")</f>
        <v>Industrial Robotics</v>
      </c>
    </row>
    <row r="5705">
      <c r="A5705" s="140" t="str">
        <f>IFERROR(__xludf.DUMMYFUNCTION("""COMPUTED_VALUE"""),"en")</f>
        <v>en</v>
      </c>
      <c r="B5705">
        <f>IFERROR(__xludf.DUMMYFUNCTION("""COMPUTED_VALUE"""),2537290.0)</f>
        <v>2537290</v>
      </c>
      <c r="C5705" t="str">
        <f>IFERROR(__xludf.DUMMYFUNCTION("""COMPUTED_VALUE"""),"The Art &amp; Science of Figure Drawing: SHADING")</f>
        <v>The Art &amp; Science of Figure Drawing: SHADING</v>
      </c>
    </row>
    <row r="5706">
      <c r="A5706" s="140" t="str">
        <f>IFERROR(__xludf.DUMMYFUNCTION("""COMPUTED_VALUE"""),"pt")</f>
        <v>pt</v>
      </c>
      <c r="B5706">
        <f>IFERROR(__xludf.DUMMYFUNCTION("""COMPUTED_VALUE"""),2295997.0)</f>
        <v>2295997</v>
      </c>
      <c r="C5706" t="str">
        <f>IFERROR(__xludf.DUMMYFUNCTION("""COMPUTED_VALUE"""),"Curso Completo de MS Project - Do básico ao Avançado")</f>
        <v>Curso Completo de MS Project - Do básico ao Avançado</v>
      </c>
    </row>
    <row r="5707">
      <c r="A5707" s="140" t="str">
        <f>IFERROR(__xludf.DUMMYFUNCTION("""COMPUTED_VALUE"""),"es")</f>
        <v>es</v>
      </c>
      <c r="B5707">
        <f>IFERROR(__xludf.DUMMYFUNCTION("""COMPUTED_VALUE"""),2557972.0)</f>
        <v>2557972</v>
      </c>
      <c r="C5707" t="str">
        <f>IFERROR(__xludf.DUMMYFUNCTION("""COMPUTED_VALUE"""),"Excel - Tablas Dinámicas y PowerPivot")</f>
        <v>Excel - Tablas Dinámicas y PowerPivot</v>
      </c>
    </row>
    <row r="5708">
      <c r="A5708" s="140" t="str">
        <f>IFERROR(__xludf.DUMMYFUNCTION("""COMPUTED_VALUE"""),"en")</f>
        <v>en</v>
      </c>
      <c r="B5708">
        <f>IFERROR(__xludf.DUMMYFUNCTION("""COMPUTED_VALUE"""),1979916.0)</f>
        <v>1979916</v>
      </c>
      <c r="C5708" t="str">
        <f>IFERROR(__xludf.DUMMYFUNCTION("""COMPUTED_VALUE"""),"Spanish for Beginners. The Complete Method. Level 4.")</f>
        <v>Spanish for Beginners. The Complete Method. Level 4.</v>
      </c>
    </row>
    <row r="5709">
      <c r="A5709" s="140" t="str">
        <f>IFERROR(__xludf.DUMMYFUNCTION("""COMPUTED_VALUE"""),"en")</f>
        <v>en</v>
      </c>
      <c r="B5709">
        <f>IFERROR(__xludf.DUMMYFUNCTION("""COMPUTED_VALUE"""),2065631.0)</f>
        <v>2065631</v>
      </c>
      <c r="C5709" t="str">
        <f>IFERROR(__xludf.DUMMYFUNCTION("""COMPUTED_VALUE"""),"The Ultimate Unofficial Udemy Online Course Creation Guide")</f>
        <v>The Ultimate Unofficial Udemy Online Course Creation Guide</v>
      </c>
    </row>
    <row r="5710">
      <c r="A5710" s="140" t="str">
        <f>IFERROR(__xludf.DUMMYFUNCTION("""COMPUTED_VALUE"""),"en")</f>
        <v>en</v>
      </c>
      <c r="B5710">
        <f>IFERROR(__xludf.DUMMYFUNCTION("""COMPUTED_VALUE"""),950614.0)</f>
        <v>950614</v>
      </c>
      <c r="C5710" t="str">
        <f>IFERROR(__xludf.DUMMYFUNCTION("""COMPUTED_VALUE"""),"Master Computer Vision™ OpenCV4 in Python with Deep Learning")</f>
        <v>Master Computer Vision™ OpenCV4 in Python with Deep Learning</v>
      </c>
    </row>
    <row r="5711">
      <c r="A5711" s="140" t="str">
        <f>IFERROR(__xludf.DUMMYFUNCTION("""COMPUTED_VALUE"""),"en")</f>
        <v>en</v>
      </c>
      <c r="B5711">
        <f>IFERROR(__xludf.DUMMYFUNCTION("""COMPUTED_VALUE"""),2283598.0)</f>
        <v>2283598</v>
      </c>
      <c r="C5711" t="str">
        <f>IFERROR(__xludf.DUMMYFUNCTION("""COMPUTED_VALUE"""),"Machine Learning 101 with Scikit-learn and StatsModels")</f>
        <v>Machine Learning 101 with Scikit-learn and StatsModels</v>
      </c>
    </row>
    <row r="5712">
      <c r="A5712" s="140" t="str">
        <f>IFERROR(__xludf.DUMMYFUNCTION("""COMPUTED_VALUE"""),"es")</f>
        <v>es</v>
      </c>
      <c r="B5712">
        <f>IFERROR(__xludf.DUMMYFUNCTION("""COMPUTED_VALUE"""),1041858.0)</f>
        <v>1041858</v>
      </c>
      <c r="C5712" t="str">
        <f>IFERROR(__xludf.DUMMYFUNCTION("""COMPUTED_VALUE"""),"Minería de Datos con Weka I (Data Mining with Weka)")</f>
        <v>Minería de Datos con Weka I (Data Mining with Weka)</v>
      </c>
    </row>
    <row r="5713">
      <c r="A5713" s="140" t="str">
        <f>IFERROR(__xludf.DUMMYFUNCTION("""COMPUTED_VALUE"""),"en")</f>
        <v>en</v>
      </c>
      <c r="B5713">
        <f>IFERROR(__xludf.DUMMYFUNCTION("""COMPUTED_VALUE"""),1489540.0)</f>
        <v>1489540</v>
      </c>
      <c r="C5713" t="str">
        <f>IFERROR(__xludf.DUMMYFUNCTION("""COMPUTED_VALUE"""),"SOLIDWORKS: Become a Certified Professional Today (CSWP)")</f>
        <v>SOLIDWORKS: Become a Certified Professional Today (CSWP)</v>
      </c>
    </row>
    <row r="5714">
      <c r="A5714" s="140" t="str">
        <f>IFERROR(__xludf.DUMMYFUNCTION("""COMPUTED_VALUE"""),"en")</f>
        <v>en</v>
      </c>
      <c r="B5714">
        <f>IFERROR(__xludf.DUMMYFUNCTION("""COMPUTED_VALUE"""),1354128.0)</f>
        <v>1354128</v>
      </c>
      <c r="C5714" t="str">
        <f>IFERROR(__xludf.DUMMYFUNCTION("""COMPUTED_VALUE"""),"The Complete Train the Trainer Bootcamp (Part 2): All Levels")</f>
        <v>The Complete Train the Trainer Bootcamp (Part 2): All Levels</v>
      </c>
    </row>
    <row r="5715">
      <c r="A5715" s="140" t="str">
        <f>IFERROR(__xludf.DUMMYFUNCTION("""COMPUTED_VALUE"""),"pt")</f>
        <v>pt</v>
      </c>
      <c r="B5715">
        <f>IFERROR(__xludf.DUMMYFUNCTION("""COMPUTED_VALUE"""),1692608.0)</f>
        <v>1692608</v>
      </c>
      <c r="C5715" t="str">
        <f>IFERROR(__xludf.DUMMYFUNCTION("""COMPUTED_VALUE"""),"Programação CLP e IHM Siemens Atualizado 2020")</f>
        <v>Programação CLP e IHM Siemens Atualizado 2020</v>
      </c>
    </row>
    <row r="5716">
      <c r="A5716" s="140" t="str">
        <f>IFERROR(__xludf.DUMMYFUNCTION("""COMPUTED_VALUE"""),"de")</f>
        <v>de</v>
      </c>
      <c r="B5716">
        <f>IFERROR(__xludf.DUMMYFUNCTION("""COMPUTED_VALUE"""),3616940.0)</f>
        <v>3616940</v>
      </c>
      <c r="C5716" t="str">
        <f>IFERROR(__xludf.DUMMYFUNCTION("""COMPUTED_VALUE"""),"Gehaltsverhandlung -Das Gehalt mit Profitechniken verhandeln")</f>
        <v>Gehaltsverhandlung -Das Gehalt mit Profitechniken verhandeln</v>
      </c>
    </row>
    <row r="5717">
      <c r="A5717" s="140" t="str">
        <f>IFERROR(__xludf.DUMMYFUNCTION("""COMPUTED_VALUE"""),"en")</f>
        <v>en</v>
      </c>
      <c r="B5717">
        <f>IFERROR(__xludf.DUMMYFUNCTION("""COMPUTED_VALUE"""),3914962.0)</f>
        <v>3914962</v>
      </c>
      <c r="C5717" t="str">
        <f>IFERROR(__xludf.DUMMYFUNCTION("""COMPUTED_VALUE"""),"Tableau Certification: Desktop Specialist + Data Analyst")</f>
        <v>Tableau Certification: Desktop Specialist + Data Analyst</v>
      </c>
    </row>
    <row r="5718">
      <c r="A5718" s="140" t="str">
        <f>IFERROR(__xludf.DUMMYFUNCTION("""COMPUTED_VALUE"""),"pt")</f>
        <v>pt</v>
      </c>
      <c r="B5718">
        <f>IFERROR(__xludf.DUMMYFUNCTION("""COMPUTED_VALUE"""),2838102.0)</f>
        <v>2838102</v>
      </c>
      <c r="C5718" t="str">
        <f>IFERROR(__xludf.DUMMYFUNCTION("""COMPUTED_VALUE"""),"Aprenda o novo React com Hooks criando 8 projetos práticos")</f>
        <v>Aprenda o novo React com Hooks criando 8 projetos práticos</v>
      </c>
    </row>
    <row r="5719">
      <c r="A5719" s="140" t="str">
        <f>IFERROR(__xludf.DUMMYFUNCTION("""COMPUTED_VALUE"""),"tr")</f>
        <v>tr</v>
      </c>
      <c r="B5719">
        <f>IFERROR(__xludf.DUMMYFUNCTION("""COMPUTED_VALUE"""),2128108.0)</f>
        <v>2128108</v>
      </c>
      <c r="C5719" t="str">
        <f>IFERROR(__xludf.DUMMYFUNCTION("""COMPUTED_VALUE"""),"Oracle PL/SQL, Veritabanı Programlama-Sıfırdan İleri Düzeye")</f>
        <v>Oracle PL/SQL, Veritabanı Programlama-Sıfırdan İleri Düzeye</v>
      </c>
    </row>
    <row r="5720">
      <c r="A5720" s="140" t="str">
        <f>IFERROR(__xludf.DUMMYFUNCTION("""COMPUTED_VALUE"""),"es")</f>
        <v>es</v>
      </c>
      <c r="B5720">
        <f>IFERROR(__xludf.DUMMYFUNCTION("""COMPUTED_VALUE"""),3904498.0)</f>
        <v>3904498</v>
      </c>
      <c r="C5720" t="str">
        <f>IFERROR(__xludf.DUMMYFUNCTION("""COMPUTED_VALUE"""),"Conviértete en un SpeedDemon: Trucos de productividad")</f>
        <v>Conviértete en un SpeedDemon: Trucos de productividad</v>
      </c>
    </row>
    <row r="5721">
      <c r="A5721" s="140" t="str">
        <f>IFERROR(__xludf.DUMMYFUNCTION("""COMPUTED_VALUE"""),"en")</f>
        <v>en</v>
      </c>
      <c r="B5721">
        <f>IFERROR(__xludf.DUMMYFUNCTION("""COMPUTED_VALUE"""),3598684.0)</f>
        <v>3598684</v>
      </c>
      <c r="C5721" t="str">
        <f>IFERROR(__xludf.DUMMYFUNCTION("""COMPUTED_VALUE"""),"10 Mega Responsive Websites with HTML, CSS, and JavaScript")</f>
        <v>10 Mega Responsive Websites with HTML, CSS, and JavaScript</v>
      </c>
    </row>
    <row r="5722">
      <c r="A5722" s="140" t="str">
        <f>IFERROR(__xludf.DUMMYFUNCTION("""COMPUTED_VALUE"""),"fr")</f>
        <v>fr</v>
      </c>
      <c r="B5722">
        <f>IFERROR(__xludf.DUMMYFUNCTION("""COMPUTED_VALUE"""),3050586.0)</f>
        <v>3050586</v>
      </c>
      <c r="C5722" t="str">
        <f>IFERROR(__xludf.DUMMYFUNCTION("""COMPUTED_VALUE"""),"AFFINITY Designer | Initiation - Outils + Ateliers Créatifs")</f>
        <v>AFFINITY Designer | Initiation - Outils + Ateliers Créatifs</v>
      </c>
    </row>
    <row r="5723">
      <c r="A5723" s="140" t="str">
        <f>IFERROR(__xludf.DUMMYFUNCTION("""COMPUTED_VALUE"""),"es")</f>
        <v>es</v>
      </c>
      <c r="B5723">
        <f>IFERROR(__xludf.DUMMYFUNCTION("""COMPUTED_VALUE"""),1066626.0)</f>
        <v>1066626</v>
      </c>
      <c r="C5723" t="str">
        <f>IFERROR(__xludf.DUMMYFUNCTION("""COMPUTED_VALUE"""),"Contabilidad Financiera para todos - 1")</f>
        <v>Contabilidad Financiera para todos - 1</v>
      </c>
    </row>
    <row r="5724">
      <c r="A5724" s="140" t="str">
        <f>IFERROR(__xludf.DUMMYFUNCTION("""COMPUTED_VALUE"""),"en")</f>
        <v>en</v>
      </c>
      <c r="B5724">
        <f>IFERROR(__xludf.DUMMYFUNCTION("""COMPUTED_VALUE"""),362548.0)</f>
        <v>362548</v>
      </c>
      <c r="C5724" t="str">
        <f>IFERROR(__xludf.DUMMYFUNCTION("""COMPUTED_VALUE"""),"Leadership: You Can Speak Like a Leader")</f>
        <v>Leadership: You Can Speak Like a Leader</v>
      </c>
    </row>
    <row r="5725">
      <c r="A5725" s="140" t="str">
        <f>IFERROR(__xludf.DUMMYFUNCTION("""COMPUTED_VALUE"""),"en")</f>
        <v>en</v>
      </c>
      <c r="B5725">
        <f>IFERROR(__xludf.DUMMYFUNCTION("""COMPUTED_VALUE"""),1968490.0)</f>
        <v>1968490</v>
      </c>
      <c r="C5725" t="str">
        <f>IFERROR(__xludf.DUMMYFUNCTION("""COMPUTED_VALUE"""),"TOTAL: CompTIA PenTest+ (Ethical Hacking) + 2 FREE Tests.")</f>
        <v>TOTAL: CompTIA PenTest+ (Ethical Hacking) + 2 FREE Tests.</v>
      </c>
    </row>
    <row r="5726">
      <c r="A5726" s="140" t="str">
        <f>IFERROR(__xludf.DUMMYFUNCTION("""COMPUTED_VALUE"""),"pt")</f>
        <v>pt</v>
      </c>
      <c r="B5726">
        <f>IFERROR(__xludf.DUMMYFUNCTION("""COMPUTED_VALUE"""),2278705.0)</f>
        <v>2278705</v>
      </c>
      <c r="C5726" t="str">
        <f>IFERROR(__xludf.DUMMYFUNCTION("""COMPUTED_VALUE"""),"Windows 2019 - Aprendizado Definitivo")</f>
        <v>Windows 2019 - Aprendizado Definitivo</v>
      </c>
    </row>
    <row r="5727">
      <c r="A5727" s="140" t="str">
        <f>IFERROR(__xludf.DUMMYFUNCTION("""COMPUTED_VALUE"""),"ja")</f>
        <v>ja</v>
      </c>
      <c r="B5727">
        <f>IFERROR(__xludf.DUMMYFUNCTION("""COMPUTED_VALUE"""),1678320.0)</f>
        <v>1678320</v>
      </c>
      <c r="C5727" t="str">
        <f>IFERROR(__xludf.DUMMYFUNCTION("""COMPUTED_VALUE"""),"パフォーマンス改善のためのGoogle アナリティクス活用法")</f>
        <v>パフォーマンス改善のためのGoogle アナリティクス活用法</v>
      </c>
    </row>
    <row r="5728">
      <c r="A5728" s="140" t="str">
        <f>IFERROR(__xludf.DUMMYFUNCTION("""COMPUTED_VALUE"""),"de")</f>
        <v>de</v>
      </c>
      <c r="B5728">
        <f>IFERROR(__xludf.DUMMYFUNCTION("""COMPUTED_VALUE"""),1657806.0)</f>
        <v>1657806</v>
      </c>
      <c r="C5728" t="str">
        <f>IFERROR(__xludf.DUMMYFUNCTION("""COMPUTED_VALUE"""),"DSGVO - Zusammenfassung und Tipps für die Umsetzung")</f>
        <v>DSGVO - Zusammenfassung und Tipps für die Umsetzung</v>
      </c>
    </row>
    <row r="5729">
      <c r="A5729" s="140" t="str">
        <f>IFERROR(__xludf.DUMMYFUNCTION("""COMPUTED_VALUE"""),"en")</f>
        <v>en</v>
      </c>
      <c r="B5729">
        <f>IFERROR(__xludf.DUMMYFUNCTION("""COMPUTED_VALUE"""),1619356.0)</f>
        <v>1619356</v>
      </c>
      <c r="C5729" t="str">
        <f>IFERROR(__xludf.DUMMYFUNCTION("""COMPUTED_VALUE"""),"React in easy steps with Node and Java Backend")</f>
        <v>React in easy steps with Node and Java Backend</v>
      </c>
    </row>
    <row r="5730">
      <c r="A5730" s="140" t="str">
        <f>IFERROR(__xludf.DUMMYFUNCTION("""COMPUTED_VALUE"""),"en")</f>
        <v>en</v>
      </c>
      <c r="B5730">
        <f>IFERROR(__xludf.DUMMYFUNCTION("""COMPUTED_VALUE"""),2269982.0)</f>
        <v>2269982</v>
      </c>
      <c r="C5730" t="str">
        <f>IFERROR(__xludf.DUMMYFUNCTION("""COMPUTED_VALUE"""),"The Complete WordPress Website &amp; SEO Training Masterclass")</f>
        <v>The Complete WordPress Website &amp; SEO Training Masterclass</v>
      </c>
    </row>
    <row r="5731">
      <c r="A5731" s="140" t="str">
        <f>IFERROR(__xludf.DUMMYFUNCTION("""COMPUTED_VALUE"""),"en")</f>
        <v>en</v>
      </c>
      <c r="B5731">
        <f>IFERROR(__xludf.DUMMYFUNCTION("""COMPUTED_VALUE"""),383708.0)</f>
        <v>383708</v>
      </c>
      <c r="C5731" t="str">
        <f>IFERROR(__xludf.DUMMYFUNCTION("""COMPUTED_VALUE"""),"Mastering ISO 9001:2015 Quality Management System")</f>
        <v>Mastering ISO 9001:2015 Quality Management System</v>
      </c>
    </row>
    <row r="5732">
      <c r="A5732" s="140" t="str">
        <f>IFERROR(__xludf.DUMMYFUNCTION("""COMPUTED_VALUE"""),"de")</f>
        <v>de</v>
      </c>
      <c r="B5732">
        <f>IFERROR(__xludf.DUMMYFUNCTION("""COMPUTED_VALUE"""),947230.0)</f>
        <v>947230</v>
      </c>
      <c r="C5732" t="str">
        <f>IFERROR(__xludf.DUMMYFUNCTION("""COMPUTED_VALUE"""),"SpriteKit Einführung - Spieleentwicklung für iOS mit Swift 3")</f>
        <v>SpriteKit Einführung - Spieleentwicklung für iOS mit Swift 3</v>
      </c>
    </row>
    <row r="5733">
      <c r="A5733" s="140" t="str">
        <f>IFERROR(__xludf.DUMMYFUNCTION("""COMPUTED_VALUE"""),"en")</f>
        <v>en</v>
      </c>
      <c r="B5733">
        <f>IFERROR(__xludf.DUMMYFUNCTION("""COMPUTED_VALUE"""),1406994.0)</f>
        <v>1406994</v>
      </c>
      <c r="C5733" t="str">
        <f>IFERROR(__xludf.DUMMYFUNCTION("""COMPUTED_VALUE"""),"The Mac Terminal Course for Beginners")</f>
        <v>The Mac Terminal Course for Beginners</v>
      </c>
    </row>
    <row r="5734">
      <c r="A5734" s="140" t="str">
        <f>IFERROR(__xludf.DUMMYFUNCTION("""COMPUTED_VALUE"""),"en")</f>
        <v>en</v>
      </c>
      <c r="B5734">
        <f>IFERROR(__xludf.DUMMYFUNCTION("""COMPUTED_VALUE"""),1254420.0)</f>
        <v>1254420</v>
      </c>
      <c r="C5734" t="str">
        <f>IFERROR(__xludf.DUMMYFUNCTION("""COMPUTED_VALUE"""),"Node with React: Fullstack Web Development")</f>
        <v>Node with React: Fullstack Web Development</v>
      </c>
    </row>
    <row r="5735">
      <c r="A5735" s="140" t="str">
        <f>IFERROR(__xludf.DUMMYFUNCTION("""COMPUTED_VALUE"""),"en")</f>
        <v>en</v>
      </c>
      <c r="B5735">
        <f>IFERROR(__xludf.DUMMYFUNCTION("""COMPUTED_VALUE"""),1362218.0)</f>
        <v>1362218</v>
      </c>
      <c r="C5735" t="str">
        <f>IFERROR(__xludf.DUMMYFUNCTION("""COMPUTED_VALUE"""),"Leadership: How to Influence, Inspire and Impact as a Leader")</f>
        <v>Leadership: How to Influence, Inspire and Impact as a Leader</v>
      </c>
    </row>
    <row r="5736">
      <c r="A5736" s="140" t="str">
        <f>IFERROR(__xludf.DUMMYFUNCTION("""COMPUTED_VALUE"""),"en")</f>
        <v>en</v>
      </c>
      <c r="B5736">
        <f>IFERROR(__xludf.DUMMYFUNCTION("""COMPUTED_VALUE"""),1406474.0)</f>
        <v>1406474</v>
      </c>
      <c r="C5736" t="str">
        <f>IFERROR(__xludf.DUMMYFUNCTION("""COMPUTED_VALUE"""),"PowerPoint Masterclass - Presentation Design &amp; Animation")</f>
        <v>PowerPoint Masterclass - Presentation Design &amp; Animation</v>
      </c>
    </row>
    <row r="5737">
      <c r="A5737" s="140" t="str">
        <f>IFERROR(__xludf.DUMMYFUNCTION("""COMPUTED_VALUE"""),"en")</f>
        <v>en</v>
      </c>
      <c r="B5737">
        <f>IFERROR(__xludf.DUMMYFUNCTION("""COMPUTED_VALUE"""),1892254.0)</f>
        <v>1892254</v>
      </c>
      <c r="C5737" t="str">
        <f>IFERROR(__xludf.DUMMYFUNCTION("""COMPUTED_VALUE"""),"ACCA Financial Management (FM): Business Valuations")</f>
        <v>ACCA Financial Management (FM): Business Valuations</v>
      </c>
    </row>
    <row r="5738">
      <c r="A5738" s="140" t="str">
        <f>IFERROR(__xludf.DUMMYFUNCTION("""COMPUTED_VALUE"""),"es")</f>
        <v>es</v>
      </c>
      <c r="B5738">
        <f>IFERROR(__xludf.DUMMYFUNCTION("""COMPUTED_VALUE"""),3357298.0)</f>
        <v>3357298</v>
      </c>
      <c r="C5738" t="str">
        <f>IFERROR(__xludf.DUMMYFUNCTION("""COMPUTED_VALUE"""),"Lean Manufacturing 14 Principios básicos")</f>
        <v>Lean Manufacturing 14 Principios básicos</v>
      </c>
    </row>
    <row r="5739">
      <c r="A5739" s="140" t="str">
        <f>IFERROR(__xludf.DUMMYFUNCTION("""COMPUTED_VALUE"""),"en")</f>
        <v>en</v>
      </c>
      <c r="B5739">
        <f>IFERROR(__xludf.DUMMYFUNCTION("""COMPUTED_VALUE"""),178304.0)</f>
        <v>178304</v>
      </c>
      <c r="C5739" t="str">
        <f>IFERROR(__xludf.DUMMYFUNCTION("""COMPUTED_VALUE"""),"MPLS Layer 3 VPN")</f>
        <v>MPLS Layer 3 VPN</v>
      </c>
    </row>
    <row r="5740">
      <c r="A5740" s="140" t="str">
        <f>IFERROR(__xludf.DUMMYFUNCTION("""COMPUTED_VALUE"""),"pt")</f>
        <v>pt</v>
      </c>
      <c r="B5740">
        <f>IFERROR(__xludf.DUMMYFUNCTION("""COMPUTED_VALUE"""),1648892.0)</f>
        <v>1648892</v>
      </c>
      <c r="C5740" t="str">
        <f>IFERROR(__xludf.DUMMYFUNCTION("""COMPUTED_VALUE"""),"5 Ferramentas Poderosas para Diminuir a Ansiedade")</f>
        <v>5 Ferramentas Poderosas para Diminuir a Ansiedade</v>
      </c>
    </row>
    <row r="5741">
      <c r="A5741" s="140" t="str">
        <f>IFERROR(__xludf.DUMMYFUNCTION("""COMPUTED_VALUE"""),"ar")</f>
        <v>ar</v>
      </c>
      <c r="B5741">
        <f>IFERROR(__xludf.DUMMYFUNCTION("""COMPUTED_VALUE"""),1442582.0)</f>
        <v>1442582</v>
      </c>
      <c r="C5741" t="str">
        <f>IFERROR(__xludf.DUMMYFUNCTION("""COMPUTED_VALUE"""),"Statistics for Engineers (in Arabic) مباديء الاحصاء لهندسة")</f>
        <v>Statistics for Engineers (in Arabic) مباديء الاحصاء لهندسة</v>
      </c>
    </row>
    <row r="5742">
      <c r="A5742" s="140" t="str">
        <f>IFERROR(__xludf.DUMMYFUNCTION("""COMPUTED_VALUE"""),"ja")</f>
        <v>ja</v>
      </c>
      <c r="B5742">
        <f>IFERROR(__xludf.DUMMYFUNCTION("""COMPUTED_VALUE"""),2346150.0)</f>
        <v>2346150</v>
      </c>
      <c r="C5742" t="str">
        <f>IFERROR(__xludf.DUMMYFUNCTION("""COMPUTED_VALUE"""),"必要性から学ぶ、Git・GitHub入門講座")</f>
        <v>必要性から学ぶ、Git・GitHub入門講座</v>
      </c>
    </row>
    <row r="5743">
      <c r="A5743" s="140" t="str">
        <f>IFERROR(__xludf.DUMMYFUNCTION("""COMPUTED_VALUE"""),"fr")</f>
        <v>fr</v>
      </c>
      <c r="B5743">
        <f>IFERROR(__xludf.DUMMYFUNCTION("""COMPUTED_VALUE"""),2316454.0)</f>
        <v>2316454</v>
      </c>
      <c r="C5743" t="str">
        <f>IFERROR(__xludf.DUMMYFUNCTION("""COMPUTED_VALUE"""),"React de A à Z (Hooks, Redux, Contexte inclus)")</f>
        <v>React de A à Z (Hooks, Redux, Contexte inclus)</v>
      </c>
    </row>
    <row r="5744">
      <c r="A5744" s="140" t="str">
        <f>IFERROR(__xludf.DUMMYFUNCTION("""COMPUTED_VALUE"""),"en")</f>
        <v>en</v>
      </c>
      <c r="B5744">
        <f>IFERROR(__xludf.DUMMYFUNCTION("""COMPUTED_VALUE"""),1581742.0)</f>
        <v>1581742</v>
      </c>
      <c r="C5744" t="str">
        <f>IFERROR(__xludf.DUMMYFUNCTION("""COMPUTED_VALUE"""),"AWS Certified Advanced Networking - Specialty 2021")</f>
        <v>AWS Certified Advanced Networking - Specialty 2021</v>
      </c>
    </row>
    <row r="5745">
      <c r="A5745" s="140" t="str">
        <f>IFERROR(__xludf.DUMMYFUNCTION("""COMPUTED_VALUE"""),"tr")</f>
        <v>tr</v>
      </c>
      <c r="B5745">
        <f>IFERROR(__xludf.DUMMYFUNCTION("""COMPUTED_VALUE"""),2354924.0)</f>
        <v>2354924</v>
      </c>
      <c r="C5745" t="str">
        <f>IFERROR(__xludf.DUMMYFUNCTION("""COMPUTED_VALUE"""),"Stratejik Düşünme")</f>
        <v>Stratejik Düşünme</v>
      </c>
    </row>
    <row r="5746">
      <c r="A5746" s="140" t="str">
        <f>IFERROR(__xludf.DUMMYFUNCTION("""COMPUTED_VALUE"""),"en")</f>
        <v>en</v>
      </c>
      <c r="B5746">
        <f>IFERROR(__xludf.DUMMYFUNCTION("""COMPUTED_VALUE"""),2456222.0)</f>
        <v>2456222</v>
      </c>
      <c r="C5746" t="str">
        <f>IFERROR(__xludf.DUMMYFUNCTION("""COMPUTED_VALUE"""),"Become a Master at Conflict Management at Home or Work")</f>
        <v>Become a Master at Conflict Management at Home or Work</v>
      </c>
    </row>
    <row r="5747">
      <c r="A5747" s="140" t="str">
        <f>IFERROR(__xludf.DUMMYFUNCTION("""COMPUTED_VALUE"""),"en")</f>
        <v>en</v>
      </c>
      <c r="B5747">
        <f>IFERROR(__xludf.DUMMYFUNCTION("""COMPUTED_VALUE"""),424486.0)</f>
        <v>424486</v>
      </c>
      <c r="C5747" t="str">
        <f>IFERROR(__xludf.DUMMYFUNCTION("""COMPUTED_VALUE"""),"Take Lessons from an Actor --Speech &amp; Confidence Training")</f>
        <v>Take Lessons from an Actor --Speech &amp; Confidence Training</v>
      </c>
    </row>
    <row r="5748">
      <c r="A5748" s="140" t="str">
        <f>IFERROR(__xludf.DUMMYFUNCTION("""COMPUTED_VALUE"""),"en")</f>
        <v>en</v>
      </c>
      <c r="B5748">
        <f>IFERROR(__xludf.DUMMYFUNCTION("""COMPUTED_VALUE"""),40017.0)</f>
        <v>40017</v>
      </c>
      <c r="C5748" t="str">
        <f>IFERROR(__xludf.DUMMYFUNCTION("""COMPUTED_VALUE"""),"Web Hosting 101: Get Your Website Live on the Web in No Time")</f>
        <v>Web Hosting 101: Get Your Website Live on the Web in No Time</v>
      </c>
    </row>
    <row r="5749">
      <c r="A5749" s="140" t="str">
        <f>IFERROR(__xludf.DUMMYFUNCTION("""COMPUTED_VALUE"""),"en")</f>
        <v>en</v>
      </c>
      <c r="B5749">
        <f>IFERROR(__xludf.DUMMYFUNCTION("""COMPUTED_VALUE"""),886644.0)</f>
        <v>886644</v>
      </c>
      <c r="C5749" t="str">
        <f>IFERROR(__xludf.DUMMYFUNCTION("""COMPUTED_VALUE"""),"Learn Digital Painting to Make Cell Shaded Concept Art")</f>
        <v>Learn Digital Painting to Make Cell Shaded Concept Art</v>
      </c>
    </row>
    <row r="5750">
      <c r="A5750" s="140" t="str">
        <f>IFERROR(__xludf.DUMMYFUNCTION("""COMPUTED_VALUE"""),"en")</f>
        <v>en</v>
      </c>
      <c r="B5750">
        <f>IFERROR(__xludf.DUMMYFUNCTION("""COMPUTED_VALUE"""),886054.0)</f>
        <v>886054</v>
      </c>
      <c r="C5750" t="str">
        <f>IFERROR(__xludf.DUMMYFUNCTION("""COMPUTED_VALUE"""),"Scalable programming with Scala and Spark")</f>
        <v>Scalable programming with Scala and Spark</v>
      </c>
    </row>
    <row r="5751">
      <c r="A5751" s="140" t="str">
        <f>IFERROR(__xludf.DUMMYFUNCTION("""COMPUTED_VALUE"""),"en")</f>
        <v>en</v>
      </c>
      <c r="B5751">
        <f>IFERROR(__xludf.DUMMYFUNCTION("""COMPUTED_VALUE"""),2915448.0)</f>
        <v>2915448</v>
      </c>
      <c r="C5751" t="str">
        <f>IFERROR(__xludf.DUMMYFUNCTION("""COMPUTED_VALUE"""),"Video Conferencing Zoom Skype WebEX Tech Presentation Skills")</f>
        <v>Video Conferencing Zoom Skype WebEX Tech Presentation Skills</v>
      </c>
    </row>
    <row r="5752">
      <c r="A5752" s="140" t="str">
        <f>IFERROR(__xludf.DUMMYFUNCTION("""COMPUTED_VALUE"""),"pt")</f>
        <v>pt</v>
      </c>
      <c r="B5752">
        <f>IFERROR(__xludf.DUMMYFUNCTION("""COMPUTED_VALUE"""),1011532.0)</f>
        <v>1011532</v>
      </c>
      <c r="C5752" t="str">
        <f>IFERROR(__xludf.DUMMYFUNCTION("""COMPUTED_VALUE"""),"Preparatório para Certificação PMP® - PmBok 6 Edição")</f>
        <v>Preparatório para Certificação PMP® - PmBok 6 Edição</v>
      </c>
    </row>
    <row r="5753">
      <c r="A5753" s="140" t="str">
        <f>IFERROR(__xludf.DUMMYFUNCTION("""COMPUTED_VALUE"""),"tr")</f>
        <v>tr</v>
      </c>
      <c r="B5753">
        <f>IFERROR(__xludf.DUMMYFUNCTION("""COMPUTED_VALUE"""),3658062.0)</f>
        <v>3658062</v>
      </c>
      <c r="C5753" t="str">
        <f>IFERROR(__xludf.DUMMYFUNCTION("""COMPUTED_VALUE"""),"Illustrator ile Logo Çizimi (SERTİFİKALI!)")</f>
        <v>Illustrator ile Logo Çizimi (SERTİFİKALI!)</v>
      </c>
    </row>
    <row r="5754">
      <c r="A5754" s="140" t="str">
        <f>IFERROR(__xludf.DUMMYFUNCTION("""COMPUTED_VALUE"""),"tr")</f>
        <v>tr</v>
      </c>
      <c r="B5754">
        <f>IFERROR(__xludf.DUMMYFUNCTION("""COMPUTED_VALUE"""),2289563.0)</f>
        <v>2289563</v>
      </c>
      <c r="C5754" t="str">
        <f>IFERROR(__xludf.DUMMYFUNCTION("""COMPUTED_VALUE"""),"Asp.Net Core Üyelik Sistemi(Asp.Net Core Identity)")</f>
        <v>Asp.Net Core Üyelik Sistemi(Asp.Net Core Identity)</v>
      </c>
    </row>
    <row r="5755">
      <c r="A5755" s="140" t="str">
        <f>IFERROR(__xludf.DUMMYFUNCTION("""COMPUTED_VALUE"""),"ko")</f>
        <v>ko</v>
      </c>
      <c r="B5755">
        <f>IFERROR(__xludf.DUMMYFUNCTION("""COMPUTED_VALUE"""),4187770.0)</f>
        <v>4187770</v>
      </c>
      <c r="C5755" t="str">
        <f>IFERROR(__xludf.DUMMYFUNCTION("""COMPUTED_VALUE"""),"타입스크립트(TypeScript) 프로그래밍 입문")</f>
        <v>타입스크립트(TypeScript) 프로그래밍 입문</v>
      </c>
    </row>
    <row r="5756">
      <c r="A5756" s="140" t="str">
        <f>IFERROR(__xludf.DUMMYFUNCTION("""COMPUTED_VALUE"""),"en")</f>
        <v>en</v>
      </c>
      <c r="B5756">
        <f>IFERROR(__xludf.DUMMYFUNCTION("""COMPUTED_VALUE"""),1047330.0)</f>
        <v>1047330</v>
      </c>
      <c r="C5756" t="str">
        <f>IFERROR(__xludf.DUMMYFUNCTION("""COMPUTED_VALUE"""),"How To Be Hyper Productive When Working From Home Off-Site")</f>
        <v>How To Be Hyper Productive When Working From Home Off-Site</v>
      </c>
    </row>
    <row r="5757">
      <c r="A5757" s="140" t="str">
        <f>IFERROR(__xludf.DUMMYFUNCTION("""COMPUTED_VALUE"""),"en")</f>
        <v>en</v>
      </c>
      <c r="B5757">
        <f>IFERROR(__xludf.DUMMYFUNCTION("""COMPUTED_VALUE"""),3278738.0)</f>
        <v>3278738</v>
      </c>
      <c r="C5757" t="str">
        <f>IFERROR(__xludf.DUMMYFUNCTION("""COMPUTED_VALUE"""),"Intune Training with Microsoft Endpoint Manager (MDM / MAM)")</f>
        <v>Intune Training with Microsoft Endpoint Manager (MDM / MAM)</v>
      </c>
    </row>
    <row r="5758">
      <c r="A5758" s="140" t="str">
        <f>IFERROR(__xludf.DUMMYFUNCTION("""COMPUTED_VALUE"""),"en")</f>
        <v>en</v>
      </c>
      <c r="B5758">
        <f>IFERROR(__xludf.DUMMYFUNCTION("""COMPUTED_VALUE"""),552594.0)</f>
        <v>552594</v>
      </c>
      <c r="C5758" t="str">
        <f>IFERROR(__xludf.DUMMYFUNCTION("""COMPUTED_VALUE"""),"Create Complete Web Applications easily with APEX 5")</f>
        <v>Create Complete Web Applications easily with APEX 5</v>
      </c>
    </row>
    <row r="5759">
      <c r="A5759" s="140" t="str">
        <f>IFERROR(__xludf.DUMMYFUNCTION("""COMPUTED_VALUE"""),"en")</f>
        <v>en</v>
      </c>
      <c r="B5759">
        <f>IFERROR(__xludf.DUMMYFUNCTION("""COMPUTED_VALUE"""),3915754.0)</f>
        <v>3915754</v>
      </c>
      <c r="C5759" t="str">
        <f>IFERROR(__xludf.DUMMYFUNCTION("""COMPUTED_VALUE"""),"Motivational Techniques To Improve Your Team Success")</f>
        <v>Motivational Techniques To Improve Your Team Success</v>
      </c>
    </row>
    <row r="5760">
      <c r="A5760" s="140" t="str">
        <f>IFERROR(__xludf.DUMMYFUNCTION("""COMPUTED_VALUE"""),"en")</f>
        <v>en</v>
      </c>
      <c r="B5760">
        <f>IFERROR(__xludf.DUMMYFUNCTION("""COMPUTED_VALUE"""),2684574.0)</f>
        <v>2684574</v>
      </c>
      <c r="C5760" t="str">
        <f>IFERROR(__xludf.DUMMYFUNCTION("""COMPUTED_VALUE"""),"Master Lateral Thinking")</f>
        <v>Master Lateral Thinking</v>
      </c>
    </row>
    <row r="5761">
      <c r="A5761" s="140" t="str">
        <f>IFERROR(__xludf.DUMMYFUNCTION("""COMPUTED_VALUE"""),"en")</f>
        <v>en</v>
      </c>
      <c r="B5761">
        <f>IFERROR(__xludf.DUMMYFUNCTION("""COMPUTED_VALUE"""),1726410.0)</f>
        <v>1726410</v>
      </c>
      <c r="C5761" t="str">
        <f>IFERROR(__xludf.DUMMYFUNCTION("""COMPUTED_VALUE"""),"Building Recommender Systems with Machine Learning and AI")</f>
        <v>Building Recommender Systems with Machine Learning and AI</v>
      </c>
    </row>
    <row r="5762">
      <c r="A5762" s="140" t="str">
        <f>IFERROR(__xludf.DUMMYFUNCTION("""COMPUTED_VALUE"""),"de")</f>
        <v>de</v>
      </c>
      <c r="B5762">
        <f>IFERROR(__xludf.DUMMYFUNCTION("""COMPUTED_VALUE"""),504536.0)</f>
        <v>504536</v>
      </c>
      <c r="C5762" t="str">
        <f>IFERROR(__xludf.DUMMYFUNCTION("""COMPUTED_VALUE"""),"Der perfekte Linux-Server für Web, Mail, FTP und Domains")</f>
        <v>Der perfekte Linux-Server für Web, Mail, FTP und Domains</v>
      </c>
    </row>
    <row r="5763">
      <c r="A5763" s="140" t="str">
        <f>IFERROR(__xludf.DUMMYFUNCTION("""COMPUTED_VALUE"""),"es")</f>
        <v>es</v>
      </c>
      <c r="B5763">
        <f>IFERROR(__xludf.DUMMYFUNCTION("""COMPUTED_VALUE"""),4372194.0)</f>
        <v>4372194</v>
      </c>
      <c r="C5763" t="str">
        <f>IFERROR(__xludf.DUMMYFUNCTION("""COMPUTED_VALUE"""),"Programación de Aplicaciones para Android con Kotlin")</f>
        <v>Programación de Aplicaciones para Android con Kotlin</v>
      </c>
    </row>
    <row r="5764">
      <c r="A5764" s="140" t="str">
        <f>IFERROR(__xludf.DUMMYFUNCTION("""COMPUTED_VALUE"""),"pt")</f>
        <v>pt</v>
      </c>
      <c r="B5764">
        <f>IFERROR(__xludf.DUMMYFUNCTION("""COMPUTED_VALUE"""),2713626.0)</f>
        <v>2713626</v>
      </c>
      <c r="C5764" t="str">
        <f>IFERROR(__xludf.DUMMYFUNCTION("""COMPUTED_VALUE"""),"Apache Kafka para iniciantes")</f>
        <v>Apache Kafka para iniciantes</v>
      </c>
    </row>
    <row r="5765">
      <c r="A5765" s="140" t="str">
        <f>IFERROR(__xludf.DUMMYFUNCTION("""COMPUTED_VALUE"""),"pt")</f>
        <v>pt</v>
      </c>
      <c r="B5765">
        <f>IFERROR(__xludf.DUMMYFUNCTION("""COMPUTED_VALUE"""),2246722.0)</f>
        <v>2246722</v>
      </c>
      <c r="C5765" t="str">
        <f>IFERROR(__xludf.DUMMYFUNCTION("""COMPUTED_VALUE"""),"Crie sites profissionais com Wordpress 2021 - 6 Projetos")</f>
        <v>Crie sites profissionais com Wordpress 2021 - 6 Projetos</v>
      </c>
    </row>
    <row r="5766">
      <c r="A5766" s="140" t="str">
        <f>IFERROR(__xludf.DUMMYFUNCTION("""COMPUTED_VALUE"""),"ja")</f>
        <v>ja</v>
      </c>
      <c r="B5766">
        <f>IFERROR(__xludf.DUMMYFUNCTION("""COMPUTED_VALUE"""),2306314.0)</f>
        <v>2306314</v>
      </c>
      <c r="C5766" t="str">
        <f>IFERROR(__xludf.DUMMYFUNCTION("""COMPUTED_VALUE"""),"はじめてのデジタルマーケティング")</f>
        <v>はじめてのデジタルマーケティング</v>
      </c>
    </row>
    <row r="5767">
      <c r="A5767" s="140" t="str">
        <f>IFERROR(__xludf.DUMMYFUNCTION("""COMPUTED_VALUE"""),"en")</f>
        <v>en</v>
      </c>
      <c r="B5767">
        <f>IFERROR(__xludf.DUMMYFUNCTION("""COMPUTED_VALUE"""),3953424.0)</f>
        <v>3953424</v>
      </c>
      <c r="C5767" t="str">
        <f>IFERROR(__xludf.DUMMYFUNCTION("""COMPUTED_VALUE"""),"Introduction to Modern Marketing Analytics")</f>
        <v>Introduction to Modern Marketing Analytics</v>
      </c>
    </row>
    <row r="5768">
      <c r="A5768" s="140" t="str">
        <f>IFERROR(__xludf.DUMMYFUNCTION("""COMPUTED_VALUE"""),"de")</f>
        <v>de</v>
      </c>
      <c r="B5768">
        <f>IFERROR(__xludf.DUMMYFUNCTION("""COMPUTED_VALUE"""),4198972.0)</f>
        <v>4198972</v>
      </c>
      <c r="C5768" t="str">
        <f>IFERROR(__xludf.DUMMYFUNCTION("""COMPUTED_VALUE"""),"Rechtschreibung – fehlerfreie Texte, privat und im Beruf")</f>
        <v>Rechtschreibung – fehlerfreie Texte, privat und im Beruf</v>
      </c>
    </row>
    <row r="5769">
      <c r="A5769" s="140" t="str">
        <f>IFERROR(__xludf.DUMMYFUNCTION("""COMPUTED_VALUE"""),"en")</f>
        <v>en</v>
      </c>
      <c r="B5769">
        <f>IFERROR(__xludf.DUMMYFUNCTION("""COMPUTED_VALUE"""),1754098.0)</f>
        <v>1754098</v>
      </c>
      <c r="C5769" t="str">
        <f>IFERROR(__xludf.DUMMYFUNCTION("""COMPUTED_VALUE"""),"The Data Science Course 2021: Complete Data Science Bootcamp")</f>
        <v>The Data Science Course 2021: Complete Data Science Bootcamp</v>
      </c>
    </row>
    <row r="5770">
      <c r="A5770" s="140" t="str">
        <f>IFERROR(__xludf.DUMMYFUNCTION("""COMPUTED_VALUE"""),"pt")</f>
        <v>pt</v>
      </c>
      <c r="B5770">
        <f>IFERROR(__xludf.DUMMYFUNCTION("""COMPUTED_VALUE"""),1137616.0)</f>
        <v>1137616</v>
      </c>
      <c r="C5770" t="str">
        <f>IFERROR(__xludf.DUMMYFUNCTION("""COMPUTED_VALUE"""),"Docker: Ferramenta essencial para Desenvolvedores")</f>
        <v>Docker: Ferramenta essencial para Desenvolvedores</v>
      </c>
    </row>
    <row r="5771">
      <c r="A5771" s="140" t="str">
        <f>IFERROR(__xludf.DUMMYFUNCTION("""COMPUTED_VALUE"""),"tr")</f>
        <v>tr</v>
      </c>
      <c r="B5771">
        <f>IFERROR(__xludf.DUMMYFUNCTION("""COMPUTED_VALUE"""),2349110.0)</f>
        <v>2349110</v>
      </c>
      <c r="C5771" t="str">
        <f>IFERROR(__xludf.DUMMYFUNCTION("""COMPUTED_VALUE"""),"Temel Siber Güvenlik Eğitimi")</f>
        <v>Temel Siber Güvenlik Eğitimi</v>
      </c>
    </row>
    <row r="5772">
      <c r="A5772" s="140" t="str">
        <f>IFERROR(__xludf.DUMMYFUNCTION("""COMPUTED_VALUE"""),"en")</f>
        <v>en</v>
      </c>
      <c r="B5772">
        <f>IFERROR(__xludf.DUMMYFUNCTION("""COMPUTED_VALUE"""),1078208.0)</f>
        <v>1078208</v>
      </c>
      <c r="C5772" t="str">
        <f>IFERROR(__xludf.DUMMYFUNCTION("""COMPUTED_VALUE"""),"Learn Spring Boot in 100 Steps - No 1 Java Framework")</f>
        <v>Learn Spring Boot in 100 Steps - No 1 Java Framework</v>
      </c>
    </row>
    <row r="5773">
      <c r="A5773" s="140" t="str">
        <f>IFERROR(__xludf.DUMMYFUNCTION("""COMPUTED_VALUE"""),"de")</f>
        <v>de</v>
      </c>
      <c r="B5773">
        <f>IFERROR(__xludf.DUMMYFUNCTION("""COMPUTED_VALUE"""),1555022.0)</f>
        <v>1555022</v>
      </c>
      <c r="C5773" t="str">
        <f>IFERROR(__xludf.DUMMYFUNCTION("""COMPUTED_VALUE"""),"Lerne Agiles Projektmanagement und Kanban mit Trello")</f>
        <v>Lerne Agiles Projektmanagement und Kanban mit Trello</v>
      </c>
    </row>
    <row r="5774">
      <c r="A5774" s="140" t="str">
        <f>IFERROR(__xludf.DUMMYFUNCTION("""COMPUTED_VALUE"""),"pt")</f>
        <v>pt</v>
      </c>
      <c r="B5774">
        <f>IFERROR(__xludf.DUMMYFUNCTION("""COMPUTED_VALUE"""),2705306.0)</f>
        <v>2705306</v>
      </c>
      <c r="C5774" t="str">
        <f>IFERROR(__xludf.DUMMYFUNCTION("""COMPUTED_VALUE"""),"Como criar um Backlog de Produto (PO, Scrum, Ágil)")</f>
        <v>Como criar um Backlog de Produto (PO, Scrum, Ágil)</v>
      </c>
    </row>
    <row r="5775">
      <c r="A5775" s="140" t="str">
        <f>IFERROR(__xludf.DUMMYFUNCTION("""COMPUTED_VALUE"""),"pt")</f>
        <v>pt</v>
      </c>
      <c r="B5775">
        <f>IFERROR(__xludf.DUMMYFUNCTION("""COMPUTED_VALUE"""),229768.0)</f>
        <v>229768</v>
      </c>
      <c r="C5775" t="str">
        <f>IFERROR(__xludf.DUMMYFUNCTION("""COMPUTED_VALUE"""),"Virtualizando com Citrix XenServer")</f>
        <v>Virtualizando com Citrix XenServer</v>
      </c>
    </row>
    <row r="5776">
      <c r="A5776" s="140" t="str">
        <f>IFERROR(__xludf.DUMMYFUNCTION("""COMPUTED_VALUE"""),"en")</f>
        <v>en</v>
      </c>
      <c r="B5776">
        <f>IFERROR(__xludf.DUMMYFUNCTION("""COMPUTED_VALUE"""),1909030.0)</f>
        <v>1909030</v>
      </c>
      <c r="C5776" t="str">
        <f>IFERROR(__xludf.DUMMYFUNCTION("""COMPUTED_VALUE"""),"Python Complete Masterclass for Beginners")</f>
        <v>Python Complete Masterclass for Beginners</v>
      </c>
    </row>
    <row r="5777">
      <c r="A5777" s="140" t="str">
        <f>IFERROR(__xludf.DUMMYFUNCTION("""COMPUTED_VALUE"""),"en")</f>
        <v>en</v>
      </c>
      <c r="B5777">
        <f>IFERROR(__xludf.DUMMYFUNCTION("""COMPUTED_VALUE"""),665698.0)</f>
        <v>665698</v>
      </c>
      <c r="C5777" t="str">
        <f>IFERROR(__xludf.DUMMYFUNCTION("""COMPUTED_VALUE"""),"QuickBooks Pro 2016 Training: Manage Small Business Finances")</f>
        <v>QuickBooks Pro 2016 Training: Manage Small Business Finances</v>
      </c>
    </row>
    <row r="5778">
      <c r="A5778" s="140" t="str">
        <f>IFERROR(__xludf.DUMMYFUNCTION("""COMPUTED_VALUE"""),"en")</f>
        <v>en</v>
      </c>
      <c r="B5778">
        <f>IFERROR(__xludf.DUMMYFUNCTION("""COMPUTED_VALUE"""),734686.0)</f>
        <v>734686</v>
      </c>
      <c r="C5778" t="str">
        <f>IFERROR(__xludf.DUMMYFUNCTION("""COMPUTED_VALUE"""),"IntelliJ IDEA Tricks to Boost Productivity for Java Devs")</f>
        <v>IntelliJ IDEA Tricks to Boost Productivity for Java Devs</v>
      </c>
    </row>
    <row r="5779">
      <c r="A5779" s="140" t="str">
        <f>IFERROR(__xludf.DUMMYFUNCTION("""COMPUTED_VALUE"""),"en")</f>
        <v>en</v>
      </c>
      <c r="B5779">
        <f>IFERROR(__xludf.DUMMYFUNCTION("""COMPUTED_VALUE"""),828062.0)</f>
        <v>828062</v>
      </c>
      <c r="C5779" t="str">
        <f>IFERROR(__xludf.DUMMYFUNCTION("""COMPUTED_VALUE"""),"Kali Linux Hacking Lab for Beginners")</f>
        <v>Kali Linux Hacking Lab for Beginners</v>
      </c>
    </row>
    <row r="5780">
      <c r="A5780" s="140" t="str">
        <f>IFERROR(__xludf.DUMMYFUNCTION("""COMPUTED_VALUE"""),"en")</f>
        <v>en</v>
      </c>
      <c r="B5780">
        <f>IFERROR(__xludf.DUMMYFUNCTION("""COMPUTED_VALUE"""),2616370.0)</f>
        <v>2616370</v>
      </c>
      <c r="C5780" t="str">
        <f>IFERROR(__xludf.DUMMYFUNCTION("""COMPUTED_VALUE"""),"SAP S/4HANA Finance Training (vs SAP FICO)")</f>
        <v>SAP S/4HANA Finance Training (vs SAP FICO)</v>
      </c>
    </row>
    <row r="5781">
      <c r="A5781" s="140" t="str">
        <f>IFERROR(__xludf.DUMMYFUNCTION("""COMPUTED_VALUE"""),"ja")</f>
        <v>ja</v>
      </c>
      <c r="B5781">
        <f>IFERROR(__xludf.DUMMYFUNCTION("""COMPUTED_VALUE"""),2368850.0)</f>
        <v>2368850</v>
      </c>
      <c r="C5781" t="str">
        <f>IFERROR(__xludf.DUMMYFUNCTION("""COMPUTED_VALUE"""),"C#でオブジェクト指向をする方法")</f>
        <v>C#でオブジェクト指向をする方法</v>
      </c>
    </row>
    <row r="5782">
      <c r="A5782" s="140" t="str">
        <f>IFERROR(__xludf.DUMMYFUNCTION("""COMPUTED_VALUE"""),"en")</f>
        <v>en</v>
      </c>
      <c r="B5782">
        <f>IFERROR(__xludf.DUMMYFUNCTION("""COMPUTED_VALUE"""),1282650.0)</f>
        <v>1282650</v>
      </c>
      <c r="C5782" t="str">
        <f>IFERROR(__xludf.DUMMYFUNCTION("""COMPUTED_VALUE"""),"#1 Cryptocurrency Investment Course: A Step-By-Step Guide")</f>
        <v>#1 Cryptocurrency Investment Course: A Step-By-Step Guide</v>
      </c>
    </row>
    <row r="5783">
      <c r="A5783" s="140" t="str">
        <f>IFERROR(__xludf.DUMMYFUNCTION("""COMPUTED_VALUE"""),"en")</f>
        <v>en</v>
      </c>
      <c r="B5783">
        <f>IFERROR(__xludf.DUMMYFUNCTION("""COMPUTED_VALUE"""),1343678.0)</f>
        <v>1343678</v>
      </c>
      <c r="C5783" t="str">
        <f>IFERROR(__xludf.DUMMYFUNCTION("""COMPUTED_VALUE"""),"CCNA 200-301 &amp; Network+Practice Pack:  Subnetting Success!")</f>
        <v>CCNA 200-301 &amp; Network+Practice Pack:  Subnetting Success!</v>
      </c>
    </row>
    <row r="5784">
      <c r="A5784" s="140" t="str">
        <f>IFERROR(__xludf.DUMMYFUNCTION("""COMPUTED_VALUE"""),"en")</f>
        <v>en</v>
      </c>
      <c r="B5784">
        <f>IFERROR(__xludf.DUMMYFUNCTION("""COMPUTED_VALUE"""),1043254.0)</f>
        <v>1043254</v>
      </c>
      <c r="C5784" t="str">
        <f>IFERROR(__xludf.DUMMYFUNCTION("""COMPUTED_VALUE"""),"Robust Scrum Product Owner")</f>
        <v>Robust Scrum Product Owner</v>
      </c>
    </row>
    <row r="5785">
      <c r="A5785" s="140" t="str">
        <f>IFERROR(__xludf.DUMMYFUNCTION("""COMPUTED_VALUE"""),"en")</f>
        <v>en</v>
      </c>
      <c r="B5785">
        <f>IFERROR(__xludf.DUMMYFUNCTION("""COMPUTED_VALUE"""),530608.0)</f>
        <v>530608</v>
      </c>
      <c r="C5785" t="str">
        <f>IFERROR(__xludf.DUMMYFUNCTION("""COMPUTED_VALUE"""),"Credit Card Security Basics")</f>
        <v>Credit Card Security Basics</v>
      </c>
    </row>
    <row r="5786">
      <c r="A5786" s="140" t="str">
        <f>IFERROR(__xludf.DUMMYFUNCTION("""COMPUTED_VALUE"""),"en")</f>
        <v>en</v>
      </c>
      <c r="B5786">
        <f>IFERROR(__xludf.DUMMYFUNCTION("""COMPUTED_VALUE"""),3937300.0)</f>
        <v>3937300</v>
      </c>
      <c r="C5786" t="str">
        <f>IFERROR(__xludf.DUMMYFUNCTION("""COMPUTED_VALUE"""),"Data Analytics and Applications in the Fashion Industry")</f>
        <v>Data Analytics and Applications in the Fashion Industry</v>
      </c>
    </row>
    <row r="5787">
      <c r="A5787" s="140" t="str">
        <f>IFERROR(__xludf.DUMMYFUNCTION("""COMPUTED_VALUE"""),"es")</f>
        <v>es</v>
      </c>
      <c r="B5787">
        <f>IFERROR(__xludf.DUMMYFUNCTION("""COMPUTED_VALUE"""),2861282.0)</f>
        <v>2861282</v>
      </c>
      <c r="C5787" t="str">
        <f>IFERROR(__xludf.DUMMYFUNCTION("""COMPUTED_VALUE"""),"Unity Shaders con CG/HLSL y Shader Graph | Nivel Intermedio")</f>
        <v>Unity Shaders con CG/HLSL y Shader Graph | Nivel Intermedio</v>
      </c>
    </row>
    <row r="5788">
      <c r="A5788" s="140" t="str">
        <f>IFERROR(__xludf.DUMMYFUNCTION("""COMPUTED_VALUE"""),"pt")</f>
        <v>pt</v>
      </c>
      <c r="B5788">
        <f>IFERROR(__xludf.DUMMYFUNCTION("""COMPUTED_VALUE"""),880874.0)</f>
        <v>880874</v>
      </c>
      <c r="C5788" t="str">
        <f>IFERROR(__xludf.DUMMYFUNCTION("""COMPUTED_VALUE"""),"Cisco MPLS para Telecom")</f>
        <v>Cisco MPLS para Telecom</v>
      </c>
    </row>
    <row r="5789">
      <c r="A5789" s="140" t="str">
        <f>IFERROR(__xludf.DUMMYFUNCTION("""COMPUTED_VALUE"""),"es")</f>
        <v>es</v>
      </c>
      <c r="B5789">
        <f>IFERROR(__xludf.DUMMYFUNCTION("""COMPUTED_VALUE"""),4163958.0)</f>
        <v>4163958</v>
      </c>
      <c r="C5789" t="str">
        <f>IFERROR(__xludf.DUMMYFUNCTION("""COMPUTED_VALUE"""),"Google Cloud Certified Associate Cloud Engineer 2021 Español")</f>
        <v>Google Cloud Certified Associate Cloud Engineer 2021 Español</v>
      </c>
    </row>
    <row r="5790">
      <c r="A5790" s="140" t="str">
        <f>IFERROR(__xludf.DUMMYFUNCTION("""COMPUTED_VALUE"""),"en")</f>
        <v>en</v>
      </c>
      <c r="B5790">
        <f>IFERROR(__xludf.DUMMYFUNCTION("""COMPUTED_VALUE"""),1010340.0)</f>
        <v>1010340</v>
      </c>
      <c r="C5790" t="str">
        <f>IFERROR(__xludf.DUMMYFUNCTION("""COMPUTED_VALUE"""),"Hands-on Embedded Systems with Atmel SAM4s ARM Processor")</f>
        <v>Hands-on Embedded Systems with Atmel SAM4s ARM Processor</v>
      </c>
    </row>
    <row r="5791">
      <c r="A5791" s="140" t="str">
        <f>IFERROR(__xludf.DUMMYFUNCTION("""COMPUTED_VALUE"""),"es")</f>
        <v>es</v>
      </c>
      <c r="B5791">
        <f>IFERROR(__xludf.DUMMYFUNCTION("""COMPUTED_VALUE"""),1461980.0)</f>
        <v>1461980</v>
      </c>
      <c r="C5791" t="str">
        <f>IFERROR(__xludf.DUMMYFUNCTION("""COMPUTED_VALUE"""),"MASTER en Autodesk MAYA | Aprende 3D de 0 a 100")</f>
        <v>MASTER en Autodesk MAYA | Aprende 3D de 0 a 100</v>
      </c>
    </row>
    <row r="5792">
      <c r="A5792" s="140" t="str">
        <f>IFERROR(__xludf.DUMMYFUNCTION("""COMPUTED_VALUE"""),"pt")</f>
        <v>pt</v>
      </c>
      <c r="B5792">
        <f>IFERROR(__xludf.DUMMYFUNCTION("""COMPUTED_VALUE"""),3393566.0)</f>
        <v>3393566</v>
      </c>
      <c r="C5792" t="str">
        <f>IFERROR(__xludf.DUMMYFUNCTION("""COMPUTED_VALUE"""),"RH Ágil")</f>
        <v>RH Ágil</v>
      </c>
    </row>
    <row r="5793">
      <c r="A5793" s="140" t="str">
        <f>IFERROR(__xludf.DUMMYFUNCTION("""COMPUTED_VALUE"""),"de")</f>
        <v>de</v>
      </c>
      <c r="B5793">
        <f>IFERROR(__xludf.DUMMYFUNCTION("""COMPUTED_VALUE"""),2666274.0)</f>
        <v>2666274</v>
      </c>
      <c r="C5793" t="str">
        <f>IFERROR(__xludf.DUMMYFUNCTION("""COMPUTED_VALUE"""),"Docker Grundlagen (mit Docker Compose und Swarm)")</f>
        <v>Docker Grundlagen (mit Docker Compose und Swarm)</v>
      </c>
    </row>
    <row r="5794">
      <c r="A5794" s="140" t="str">
        <f>IFERROR(__xludf.DUMMYFUNCTION("""COMPUTED_VALUE"""),"en")</f>
        <v>en</v>
      </c>
      <c r="B5794">
        <f>IFERROR(__xludf.DUMMYFUNCTION("""COMPUTED_VALUE"""),2887266.0)</f>
        <v>2887266</v>
      </c>
      <c r="C5794" t="str">
        <f>IFERROR(__xludf.DUMMYFUNCTION("""COMPUTED_VALUE"""),"Microservices with Node JS and React")</f>
        <v>Microservices with Node JS and React</v>
      </c>
    </row>
    <row r="5795">
      <c r="A5795" s="140" t="str">
        <f>IFERROR(__xludf.DUMMYFUNCTION("""COMPUTED_VALUE"""),"en")</f>
        <v>en</v>
      </c>
      <c r="B5795">
        <f>IFERROR(__xludf.DUMMYFUNCTION("""COMPUTED_VALUE"""),2455954.0)</f>
        <v>2455954</v>
      </c>
      <c r="C5795" t="str">
        <f>IFERROR(__xludf.DUMMYFUNCTION("""COMPUTED_VALUE"""),"Learn AWS - Deploy Java Spring Boot to AWS Elastic Beanstalk")</f>
        <v>Learn AWS - Deploy Java Spring Boot to AWS Elastic Beanstalk</v>
      </c>
    </row>
    <row r="5796">
      <c r="A5796" s="140" t="str">
        <f>IFERROR(__xludf.DUMMYFUNCTION("""COMPUTED_VALUE"""),"es")</f>
        <v>es</v>
      </c>
      <c r="B5796">
        <f>IFERROR(__xludf.DUMMYFUNCTION("""COMPUTED_VALUE"""),560436.0)</f>
        <v>560436</v>
      </c>
      <c r="C5796" t="str">
        <f>IFERROR(__xludf.DUMMYFUNCTION("""COMPUTED_VALUE"""),"Aprende Objective-C: de Cero a Experto")</f>
        <v>Aprende Objective-C: de Cero a Experto</v>
      </c>
    </row>
    <row r="5797">
      <c r="A5797" s="140" t="str">
        <f>IFERROR(__xludf.DUMMYFUNCTION("""COMPUTED_VALUE"""),"en")</f>
        <v>en</v>
      </c>
      <c r="B5797">
        <f>IFERROR(__xludf.DUMMYFUNCTION("""COMPUTED_VALUE"""),1796660.0)</f>
        <v>1796660</v>
      </c>
      <c r="C5797" t="str">
        <f>IFERROR(__xludf.DUMMYFUNCTION("""COMPUTED_VALUE"""),"Build an Online Store with React and GraphQL in 90 Minutes")</f>
        <v>Build an Online Store with React and GraphQL in 90 Minutes</v>
      </c>
    </row>
    <row r="5798">
      <c r="A5798" s="140" t="str">
        <f>IFERROR(__xludf.DUMMYFUNCTION("""COMPUTED_VALUE"""),"en")</f>
        <v>en</v>
      </c>
      <c r="B5798">
        <f>IFERROR(__xludf.DUMMYFUNCTION("""COMPUTED_VALUE"""),4052730.0)</f>
        <v>4052730</v>
      </c>
      <c r="C5798" t="str">
        <f>IFERROR(__xludf.DUMMYFUNCTION("""COMPUTED_VALUE"""),"Quantity Surveying, Cost Estimation and Bill of Quantities")</f>
        <v>Quantity Surveying, Cost Estimation and Bill of Quantities</v>
      </c>
    </row>
    <row r="5799">
      <c r="A5799" s="140" t="str">
        <f>IFERROR(__xludf.DUMMYFUNCTION("""COMPUTED_VALUE"""),"es")</f>
        <v>es</v>
      </c>
      <c r="B5799">
        <f>IFERROR(__xludf.DUMMYFUNCTION("""COMPUTED_VALUE"""),1886100.0)</f>
        <v>1886100</v>
      </c>
      <c r="C5799" t="str">
        <f>IFERROR(__xludf.DUMMYFUNCTION("""COMPUTED_VALUE"""),"Curso Introducción a Amazon Web Services (AWS) desde cero")</f>
        <v>Curso Introducción a Amazon Web Services (AWS) desde cero</v>
      </c>
    </row>
    <row r="5800">
      <c r="A5800" s="140" t="str">
        <f>IFERROR(__xludf.DUMMYFUNCTION("""COMPUTED_VALUE"""),"en")</f>
        <v>en</v>
      </c>
      <c r="B5800">
        <f>IFERROR(__xludf.DUMMYFUNCTION("""COMPUTED_VALUE"""),2940044.0)</f>
        <v>2940044</v>
      </c>
      <c r="C5800" t="str">
        <f>IFERROR(__xludf.DUMMYFUNCTION("""COMPUTED_VALUE"""),"Verilog for an FPGA Engineer with Xilinx Vivado Design Suite")</f>
        <v>Verilog for an FPGA Engineer with Xilinx Vivado Design Suite</v>
      </c>
    </row>
    <row r="5801">
      <c r="A5801" s="140" t="str">
        <f>IFERROR(__xludf.DUMMYFUNCTION("""COMPUTED_VALUE"""),"de")</f>
        <v>de</v>
      </c>
      <c r="B5801">
        <f>IFERROR(__xludf.DUMMYFUNCTION("""COMPUTED_VALUE"""),2937730.0)</f>
        <v>2937730</v>
      </c>
      <c r="C5801" t="str">
        <f>IFERROR(__xludf.DUMMYFUNCTION("""COMPUTED_VALUE"""),"Grundlagen SAP Berechtigungen inkl. Fiori")</f>
        <v>Grundlagen SAP Berechtigungen inkl. Fiori</v>
      </c>
    </row>
    <row r="5802">
      <c r="A5802" s="140" t="str">
        <f>IFERROR(__xludf.DUMMYFUNCTION("""COMPUTED_VALUE"""),"en")</f>
        <v>en</v>
      </c>
      <c r="B5802">
        <f>IFERROR(__xludf.DUMMYFUNCTION("""COMPUTED_VALUE"""),1528118.0)</f>
        <v>1528118</v>
      </c>
      <c r="C5802" t="str">
        <f>IFERROR(__xludf.DUMMYFUNCTION("""COMPUTED_VALUE"""),"CCA 175  Spark  Practice Tests &amp; Cluster Setup- Scala [2020]")</f>
        <v>CCA 175  Spark  Practice Tests &amp; Cluster Setup- Scala [2020]</v>
      </c>
    </row>
    <row r="5803">
      <c r="A5803" s="140" t="str">
        <f>IFERROR(__xludf.DUMMYFUNCTION("""COMPUTED_VALUE"""),"en")</f>
        <v>en</v>
      </c>
      <c r="B5803">
        <f>IFERROR(__xludf.DUMMYFUNCTION("""COMPUTED_VALUE"""),4157566.0)</f>
        <v>4157566</v>
      </c>
      <c r="C5803" t="str">
        <f>IFERROR(__xludf.DUMMYFUNCTION("""COMPUTED_VALUE"""),"Acceptance and Commitment Therapy (ACT)")</f>
        <v>Acceptance and Commitment Therapy (ACT)</v>
      </c>
    </row>
    <row r="5804">
      <c r="A5804" s="140" t="str">
        <f>IFERROR(__xludf.DUMMYFUNCTION("""COMPUTED_VALUE"""),"en")</f>
        <v>en</v>
      </c>
      <c r="B5804">
        <f>IFERROR(__xludf.DUMMYFUNCTION("""COMPUTED_VALUE"""),2025244.0)</f>
        <v>2025244</v>
      </c>
      <c r="C5804" t="str">
        <f>IFERROR(__xludf.DUMMYFUNCTION("""COMPUTED_VALUE"""),"PyTorch for Deep Learning and Computer Vision")</f>
        <v>PyTorch for Deep Learning and Computer Vision</v>
      </c>
    </row>
    <row r="5805">
      <c r="A5805" s="140" t="str">
        <f>IFERROR(__xludf.DUMMYFUNCTION("""COMPUTED_VALUE"""),"de")</f>
        <v>de</v>
      </c>
      <c r="B5805">
        <f>IFERROR(__xludf.DUMMYFUNCTION("""COMPUTED_VALUE"""),2794440.0)</f>
        <v>2794440</v>
      </c>
      <c r="C5805" t="str">
        <f>IFERROR(__xludf.DUMMYFUNCTION("""COMPUTED_VALUE"""),"Arabisch Lesen und Schreiben")</f>
        <v>Arabisch Lesen und Schreiben</v>
      </c>
    </row>
    <row r="5806">
      <c r="A5806" s="140" t="str">
        <f>IFERROR(__xludf.DUMMYFUNCTION("""COMPUTED_VALUE"""),"en")</f>
        <v>en</v>
      </c>
      <c r="B5806">
        <f>IFERROR(__xludf.DUMMYFUNCTION("""COMPUTED_VALUE"""),430152.0)</f>
        <v>430152</v>
      </c>
      <c r="C5806" t="str">
        <f>IFERROR(__xludf.DUMMYFUNCTION("""COMPUTED_VALUE"""),"Adobe Captivate - Focus on Demonstrations")</f>
        <v>Adobe Captivate - Focus on Demonstrations</v>
      </c>
    </row>
    <row r="5807">
      <c r="A5807" s="140" t="str">
        <f>IFERROR(__xludf.DUMMYFUNCTION("""COMPUTED_VALUE"""),"pt")</f>
        <v>pt</v>
      </c>
      <c r="B5807">
        <f>IFERROR(__xludf.DUMMYFUNCTION("""COMPUTED_VALUE"""),1406622.0)</f>
        <v>1406622</v>
      </c>
      <c r="C5807" t="str">
        <f>IFERROR(__xludf.DUMMYFUNCTION("""COMPUTED_VALUE"""),"ZBrush Completo para iniciantes de modelagem e escultura")</f>
        <v>ZBrush Completo para iniciantes de modelagem e escultura</v>
      </c>
    </row>
    <row r="5808">
      <c r="A5808" s="140" t="str">
        <f>IFERROR(__xludf.DUMMYFUNCTION("""COMPUTED_VALUE"""),"ar")</f>
        <v>ar</v>
      </c>
      <c r="B5808">
        <f>IFERROR(__xludf.DUMMYFUNCTION("""COMPUTED_VALUE"""),3284452.0)</f>
        <v>3284452</v>
      </c>
      <c r="C5808" t="str">
        <f>IFERROR(__xludf.DUMMYFUNCTION("""COMPUTED_VALUE"""),"SWOT Analysis - تحليل سوات")</f>
        <v>SWOT Analysis - تحليل سوات</v>
      </c>
    </row>
    <row r="5809">
      <c r="A5809" s="140" t="str">
        <f>IFERROR(__xludf.DUMMYFUNCTION("""COMPUTED_VALUE"""),"pt")</f>
        <v>pt</v>
      </c>
      <c r="B5809">
        <f>IFERROR(__xludf.DUMMYFUNCTION("""COMPUTED_VALUE"""),1627834.0)</f>
        <v>1627834</v>
      </c>
      <c r="C5809" t="str">
        <f>IFERROR(__xludf.DUMMYFUNCTION("""COMPUTED_VALUE"""),"Gerente de E-commerce, Planejamento e Montagem Passo a Passo")</f>
        <v>Gerente de E-commerce, Planejamento e Montagem Passo a Passo</v>
      </c>
    </row>
    <row r="5810">
      <c r="A5810" s="140" t="str">
        <f>IFERROR(__xludf.DUMMYFUNCTION("""COMPUTED_VALUE"""),"pt")</f>
        <v>pt</v>
      </c>
      <c r="B5810">
        <f>IFERROR(__xludf.DUMMYFUNCTION("""COMPUTED_VALUE"""),831404.0)</f>
        <v>831404</v>
      </c>
      <c r="C5810" t="str">
        <f>IFERROR(__xludf.DUMMYFUNCTION("""COMPUTED_VALUE"""),"Dominando Banco de Dados com MySQL")</f>
        <v>Dominando Banco de Dados com MySQL</v>
      </c>
    </row>
    <row r="5811">
      <c r="A5811" s="140" t="str">
        <f>IFERROR(__xludf.DUMMYFUNCTION("""COMPUTED_VALUE"""),"en")</f>
        <v>en</v>
      </c>
      <c r="B5811">
        <f>IFERROR(__xludf.DUMMYFUNCTION("""COMPUTED_VALUE"""),643206.0)</f>
        <v>643206</v>
      </c>
      <c r="C5811" t="str">
        <f>IFERROR(__xludf.DUMMYFUNCTION("""COMPUTED_VALUE"""),"Mastering Microcontroller and Embedded Driver Development")</f>
        <v>Mastering Microcontroller and Embedded Driver Development</v>
      </c>
    </row>
    <row r="5812">
      <c r="A5812" s="140" t="str">
        <f>IFERROR(__xludf.DUMMYFUNCTION("""COMPUTED_VALUE"""),"es")</f>
        <v>es</v>
      </c>
      <c r="B5812">
        <f>IFERROR(__xludf.DUMMYFUNCTION("""COMPUTED_VALUE"""),364022.0)</f>
        <v>364022</v>
      </c>
      <c r="C5812" t="str">
        <f>IFERROR(__xludf.DUMMYFUNCTION("""COMPUTED_VALUE"""),"Todo HTML5 y CSS3, de novato a experto")</f>
        <v>Todo HTML5 y CSS3, de novato a experto</v>
      </c>
    </row>
    <row r="5813">
      <c r="A5813" s="140" t="str">
        <f>IFERROR(__xludf.DUMMYFUNCTION("""COMPUTED_VALUE"""),"es")</f>
        <v>es</v>
      </c>
      <c r="B5813">
        <f>IFERROR(__xludf.DUMMYFUNCTION("""COMPUTED_VALUE"""),2990382.0)</f>
        <v>2990382</v>
      </c>
      <c r="C5813" t="str">
        <f>IFERROR(__xludf.DUMMYFUNCTION("""COMPUTED_VALUE"""),"Curso de Zoom 2021, ¡Desde Cero Hasta Experto!")</f>
        <v>Curso de Zoom 2021, ¡Desde Cero Hasta Experto!</v>
      </c>
    </row>
    <row r="5814">
      <c r="A5814" s="140" t="str">
        <f>IFERROR(__xludf.DUMMYFUNCTION("""COMPUTED_VALUE"""),"en")</f>
        <v>en</v>
      </c>
      <c r="B5814">
        <f>IFERROR(__xludf.DUMMYFUNCTION("""COMPUTED_VALUE"""),1639462.0)</f>
        <v>1639462</v>
      </c>
      <c r="C5814" t="str">
        <f>IFERROR(__xludf.DUMMYFUNCTION("""COMPUTED_VALUE"""),"Mobile Development Architecture")</f>
        <v>Mobile Development Architecture</v>
      </c>
    </row>
    <row r="5815">
      <c r="A5815" s="140" t="str">
        <f>IFERROR(__xludf.DUMMYFUNCTION("""COMPUTED_VALUE"""),"de")</f>
        <v>de</v>
      </c>
      <c r="B5815">
        <f>IFERROR(__xludf.DUMMYFUNCTION("""COMPUTED_VALUE"""),777208.0)</f>
        <v>777208</v>
      </c>
      <c r="C5815" t="str">
        <f>IFERROR(__xludf.DUMMYFUNCTION("""COMPUTED_VALUE"""),"Linux für Einsteiger – Das ultimative Einsteiger-Training!")</f>
        <v>Linux für Einsteiger – Das ultimative Einsteiger-Training!</v>
      </c>
    </row>
    <row r="5816">
      <c r="A5816" s="140" t="str">
        <f>IFERROR(__xludf.DUMMYFUNCTION("""COMPUTED_VALUE"""),"es")</f>
        <v>es</v>
      </c>
      <c r="B5816">
        <f>IFERROR(__xludf.DUMMYFUNCTION("""COMPUTED_VALUE"""),1234216.0)</f>
        <v>1234216</v>
      </c>
      <c r="C5816" t="str">
        <f>IFERROR(__xludf.DUMMYFUNCTION("""COMPUTED_VALUE"""),"Curso de virtualización con Hyper-V en Windows Server")</f>
        <v>Curso de virtualización con Hyper-V en Windows Server</v>
      </c>
    </row>
    <row r="5817">
      <c r="A5817" s="140" t="str">
        <f>IFERROR(__xludf.DUMMYFUNCTION("""COMPUTED_VALUE"""),"en")</f>
        <v>en</v>
      </c>
      <c r="B5817">
        <f>IFERROR(__xludf.DUMMYFUNCTION("""COMPUTED_VALUE"""),473154.0)</f>
        <v>473154</v>
      </c>
      <c r="C5817" t="str">
        <f>IFERROR(__xludf.DUMMYFUNCTION("""COMPUTED_VALUE"""),"Learn How to Get 501c3 Tax Exempt Online")</f>
        <v>Learn How to Get 501c3 Tax Exempt Online</v>
      </c>
    </row>
    <row r="5818">
      <c r="A5818" s="140" t="str">
        <f>IFERROR(__xludf.DUMMYFUNCTION("""COMPUTED_VALUE"""),"tr")</f>
        <v>tr</v>
      </c>
      <c r="B5818">
        <f>IFERROR(__xludf.DUMMYFUNCTION("""COMPUTED_VALUE"""),175750.0)</f>
        <v>175750</v>
      </c>
      <c r="C5818" t="str">
        <f>IFERROR(__xludf.DUMMYFUNCTION("""COMPUTED_VALUE"""),"SASS Prensipleri ve Visual Studio")</f>
        <v>SASS Prensipleri ve Visual Studio</v>
      </c>
    </row>
    <row r="5819">
      <c r="A5819" s="140" t="str">
        <f>IFERROR(__xludf.DUMMYFUNCTION("""COMPUTED_VALUE"""),"en")</f>
        <v>en</v>
      </c>
      <c r="B5819">
        <f>IFERROR(__xludf.DUMMYFUNCTION("""COMPUTED_VALUE"""),563066.0)</f>
        <v>563066</v>
      </c>
      <c r="C5819" t="str">
        <f>IFERROR(__xludf.DUMMYFUNCTION("""COMPUTED_VALUE"""),"Shell Scripting: Discover How to Automate Command Line Tasks")</f>
        <v>Shell Scripting: Discover How to Automate Command Line Tasks</v>
      </c>
    </row>
    <row r="5820">
      <c r="A5820" s="140" t="str">
        <f>IFERROR(__xludf.DUMMYFUNCTION("""COMPUTED_VALUE"""),"en")</f>
        <v>en</v>
      </c>
      <c r="B5820">
        <f>IFERROR(__xludf.DUMMYFUNCTION("""COMPUTED_VALUE"""),1158374.0)</f>
        <v>1158374</v>
      </c>
      <c r="C5820" t="str">
        <f>IFERROR(__xludf.DUMMYFUNCTION("""COMPUTED_VALUE"""),"Production for Management Consultants and Business Analysts")</f>
        <v>Production for Management Consultants and Business Analysts</v>
      </c>
    </row>
    <row r="5821">
      <c r="A5821" s="140" t="str">
        <f>IFERROR(__xludf.DUMMYFUNCTION("""COMPUTED_VALUE"""),"en")</f>
        <v>en</v>
      </c>
      <c r="B5821">
        <f>IFERROR(__xludf.DUMMYFUNCTION("""COMPUTED_VALUE"""),2257152.0)</f>
        <v>2257152</v>
      </c>
      <c r="C5821" t="str">
        <f>IFERROR(__xludf.DUMMYFUNCTION("""COMPUTED_VALUE"""),"The Complete Guide to Django REST Framework and Vue JS")</f>
        <v>The Complete Guide to Django REST Framework and Vue JS</v>
      </c>
    </row>
    <row r="5822">
      <c r="A5822" s="140" t="str">
        <f>IFERROR(__xludf.DUMMYFUNCTION("""COMPUTED_VALUE"""),"en")</f>
        <v>en</v>
      </c>
      <c r="B5822">
        <f>IFERROR(__xludf.DUMMYFUNCTION("""COMPUTED_VALUE"""),294294.0)</f>
        <v>294294</v>
      </c>
      <c r="C5822" t="str">
        <f>IFERROR(__xludf.DUMMYFUNCTION("""COMPUTED_VALUE"""),"Effective iOS &amp; Android App Icon Design")</f>
        <v>Effective iOS &amp; Android App Icon Design</v>
      </c>
    </row>
    <row r="5823">
      <c r="A5823" s="140" t="str">
        <f>IFERROR(__xludf.DUMMYFUNCTION("""COMPUTED_VALUE"""),"pt")</f>
        <v>pt</v>
      </c>
      <c r="B5823">
        <f>IFERROR(__xludf.DUMMYFUNCTION("""COMPUTED_VALUE"""),1144720.0)</f>
        <v>1144720</v>
      </c>
      <c r="C5823" t="str">
        <f>IFERROR(__xludf.DUMMYFUNCTION("""COMPUTED_VALUE"""),"Desenvolvedor Android Intermediário")</f>
        <v>Desenvolvedor Android Intermediário</v>
      </c>
    </row>
    <row r="5824">
      <c r="A5824" s="140" t="str">
        <f>IFERROR(__xludf.DUMMYFUNCTION("""COMPUTED_VALUE"""),"pt")</f>
        <v>pt</v>
      </c>
      <c r="B5824">
        <f>IFERROR(__xludf.DUMMYFUNCTION("""COMPUTED_VALUE"""),620660.0)</f>
        <v>620660</v>
      </c>
      <c r="C5824" t="str">
        <f>IFERROR(__xludf.DUMMYFUNCTION("""COMPUTED_VALUE"""),"Desenvolvimento Android 2018 - Aprenda a criar 15 apps")</f>
        <v>Desenvolvimento Android 2018 - Aprenda a criar 15 apps</v>
      </c>
    </row>
    <row r="5825">
      <c r="A5825" s="140" t="str">
        <f>IFERROR(__xludf.DUMMYFUNCTION("""COMPUTED_VALUE"""),"fr")</f>
        <v>fr</v>
      </c>
      <c r="B5825">
        <f>IFERROR(__xludf.DUMMYFUNCTION("""COMPUTED_VALUE"""),3983758.0)</f>
        <v>3983758</v>
      </c>
      <c r="C5825" t="str">
        <f>IFERROR(__xludf.DUMMYFUNCTION("""COMPUTED_VALUE"""),"Devenir Leader - Réussir dans votre 1er rôle de responsable")</f>
        <v>Devenir Leader - Réussir dans votre 1er rôle de responsable</v>
      </c>
    </row>
    <row r="5826">
      <c r="A5826" s="140" t="str">
        <f>IFERROR(__xludf.DUMMYFUNCTION("""COMPUTED_VALUE"""),"es")</f>
        <v>es</v>
      </c>
      <c r="B5826">
        <f>IFERROR(__xludf.DUMMYFUNCTION("""COMPUTED_VALUE"""),2954132.0)</f>
        <v>2954132</v>
      </c>
      <c r="C5826" t="str">
        <f>IFERROR(__xludf.DUMMYFUNCTION("""COMPUTED_VALUE"""),"Inglés: Aprender Inglés Gradualmente Nivel Intermedio Alto I")</f>
        <v>Inglés: Aprender Inglés Gradualmente Nivel Intermedio Alto I</v>
      </c>
    </row>
    <row r="5827">
      <c r="A5827" s="140" t="str">
        <f>IFERROR(__xludf.DUMMYFUNCTION("""COMPUTED_VALUE"""),"en")</f>
        <v>en</v>
      </c>
      <c r="B5827">
        <f>IFERROR(__xludf.DUMMYFUNCTION("""COMPUTED_VALUE"""),598310.0)</f>
        <v>598310</v>
      </c>
      <c r="C5827" t="str">
        <f>IFERROR(__xludf.DUMMYFUNCTION("""COMPUTED_VALUE"""),"OM Meditation: The Sound &amp; Symbol of Yoga and Meditation")</f>
        <v>OM Meditation: The Sound &amp; Symbol of Yoga and Meditation</v>
      </c>
    </row>
    <row r="5828">
      <c r="A5828" s="140" t="str">
        <f>IFERROR(__xludf.DUMMYFUNCTION("""COMPUTED_VALUE"""),"tr")</f>
        <v>tr</v>
      </c>
      <c r="B5828">
        <f>IFERROR(__xludf.DUMMYFUNCTION("""COMPUTED_VALUE"""),2854902.0)</f>
        <v>2854902</v>
      </c>
      <c r="C5828" t="str">
        <f>IFERROR(__xludf.DUMMYFUNCTION("""COMPUTED_VALUE"""),"Tia Portal ile Siemens S7-1200 PLC Programlama (1)")</f>
        <v>Tia Portal ile Siemens S7-1200 PLC Programlama (1)</v>
      </c>
    </row>
    <row r="5829">
      <c r="A5829" s="140" t="str">
        <f>IFERROR(__xludf.DUMMYFUNCTION("""COMPUTED_VALUE"""),"tr")</f>
        <v>tr</v>
      </c>
      <c r="B5829">
        <f>IFERROR(__xludf.DUMMYFUNCTION("""COMPUTED_VALUE"""),2192492.0)</f>
        <v>2192492</v>
      </c>
      <c r="C5829" t="str">
        <f>IFERROR(__xludf.DUMMYFUNCTION("""COMPUTED_VALUE"""),"Almanca A1 - Başlangıç Seviyesi 1")</f>
        <v>Almanca A1 - Başlangıç Seviyesi 1</v>
      </c>
    </row>
    <row r="5830">
      <c r="A5830" s="140" t="str">
        <f>IFERROR(__xludf.DUMMYFUNCTION("""COMPUTED_VALUE"""),"ja")</f>
        <v>ja</v>
      </c>
      <c r="B5830">
        <f>IFERROR(__xludf.DUMMYFUNCTION("""COMPUTED_VALUE"""),3117994.0)</f>
        <v>3117994</v>
      </c>
      <c r="C5830" t="str">
        <f>IFERROR(__xludf.DUMMYFUNCTION("""COMPUTED_VALUE"""),"はじめてのLINE BOT「最寄り駅ボット」＆「天気予報ボット」をつくろう")</f>
        <v>はじめてのLINE BOT「最寄り駅ボット」＆「天気予報ボット」をつくろう</v>
      </c>
    </row>
    <row r="5831">
      <c r="A5831" s="140" t="str">
        <f>IFERROR(__xludf.DUMMYFUNCTION("""COMPUTED_VALUE"""),"en")</f>
        <v>en</v>
      </c>
      <c r="B5831">
        <f>IFERROR(__xludf.DUMMYFUNCTION("""COMPUTED_VALUE"""),1436714.0)</f>
        <v>1436714</v>
      </c>
      <c r="C5831" t="str">
        <f>IFERROR(__xludf.DUMMYFUNCTION("""COMPUTED_VALUE"""),"Develop your innovation - Certified Design Thinking Bootcamp")</f>
        <v>Develop your innovation - Certified Design Thinking Bootcamp</v>
      </c>
    </row>
    <row r="5832">
      <c r="A5832" s="140" t="str">
        <f>IFERROR(__xludf.DUMMYFUNCTION("""COMPUTED_VALUE"""),"en")</f>
        <v>en</v>
      </c>
      <c r="B5832">
        <f>IFERROR(__xludf.DUMMYFUNCTION("""COMPUTED_VALUE"""),988524.0)</f>
        <v>988524</v>
      </c>
      <c r="C5832" t="str">
        <f>IFERROR(__xludf.DUMMYFUNCTION("""COMPUTED_VALUE"""),"Management Skills: New Manager Training in Essential Skills")</f>
        <v>Management Skills: New Manager Training in Essential Skills</v>
      </c>
    </row>
    <row r="5833">
      <c r="A5833" s="140" t="str">
        <f>IFERROR(__xludf.DUMMYFUNCTION("""COMPUTED_VALUE"""),"pt")</f>
        <v>pt</v>
      </c>
      <c r="B5833">
        <f>IFERROR(__xludf.DUMMYFUNCTION("""COMPUTED_VALUE"""),288620.0)</f>
        <v>288620</v>
      </c>
      <c r="C5833" t="str">
        <f>IFERROR(__xludf.DUMMYFUNCTION("""COMPUTED_VALUE"""),"Zabbix: construindo um ambiente de monitoramento")</f>
        <v>Zabbix: construindo um ambiente de monitoramento</v>
      </c>
    </row>
    <row r="5834">
      <c r="A5834" s="140" t="str">
        <f>IFERROR(__xludf.DUMMYFUNCTION("""COMPUTED_VALUE"""),"de")</f>
        <v>de</v>
      </c>
      <c r="B5834">
        <f>IFERROR(__xludf.DUMMYFUNCTION("""COMPUTED_VALUE"""),1124964.0)</f>
        <v>1124964</v>
      </c>
      <c r="C5834" t="str">
        <f>IFERROR(__xludf.DUMMYFUNCTION("""COMPUTED_VALUE"""),"Erfolgreich verhandeln! Verhandlungstraining für Top-Deals")</f>
        <v>Erfolgreich verhandeln! Verhandlungstraining für Top-Deals</v>
      </c>
    </row>
    <row r="5835">
      <c r="A5835" s="140" t="str">
        <f>IFERROR(__xludf.DUMMYFUNCTION("""COMPUTED_VALUE"""),"en")</f>
        <v>en</v>
      </c>
      <c r="B5835">
        <f>IFERROR(__xludf.DUMMYFUNCTION("""COMPUTED_VALUE"""),2356870.0)</f>
        <v>2356870</v>
      </c>
      <c r="C5835" t="str">
        <f>IFERROR(__xludf.DUMMYFUNCTION("""COMPUTED_VALUE"""),"Power BI Masterclass from Scratch in 90 minutes  [2021]")</f>
        <v>Power BI Masterclass from Scratch in 90 minutes  [2021]</v>
      </c>
    </row>
    <row r="5836">
      <c r="A5836" s="140" t="str">
        <f>IFERROR(__xludf.DUMMYFUNCTION("""COMPUTED_VALUE"""),"es")</f>
        <v>es</v>
      </c>
      <c r="B5836">
        <f>IFERROR(__xludf.DUMMYFUNCTION("""COMPUTED_VALUE"""),1180980.0)</f>
        <v>1180980</v>
      </c>
      <c r="C5836" t="str">
        <f>IFERROR(__xludf.DUMMYFUNCTION("""COMPUTED_VALUE"""),"Curso Completo Ruby -  Desde las Bases hasta Rails")</f>
        <v>Curso Completo Ruby -  Desde las Bases hasta Rails</v>
      </c>
    </row>
    <row r="5837">
      <c r="A5837" s="140" t="str">
        <f>IFERROR(__xludf.DUMMYFUNCTION("""COMPUTED_VALUE"""),"ja")</f>
        <v>ja</v>
      </c>
      <c r="B5837">
        <f>IFERROR(__xludf.DUMMYFUNCTION("""COMPUTED_VALUE"""),3804744.0)</f>
        <v>3804744</v>
      </c>
      <c r="C5837" t="str">
        <f>IFERROR(__xludf.DUMMYFUNCTION("""COMPUTED_VALUE"""),"厳しい言葉でも人は育つ！部下のやる気を引き出す「フィードバック入門講座」")</f>
        <v>厳しい言葉でも人は育つ！部下のやる気を引き出す「フィードバック入門講座」</v>
      </c>
    </row>
    <row r="5838">
      <c r="A5838" s="140" t="str">
        <f>IFERROR(__xludf.DUMMYFUNCTION("""COMPUTED_VALUE"""),"en")</f>
        <v>en</v>
      </c>
      <c r="B5838">
        <f>IFERROR(__xludf.DUMMYFUNCTION("""COMPUTED_VALUE"""),4395452.0)</f>
        <v>4395452</v>
      </c>
      <c r="C5838" t="str">
        <f>IFERROR(__xludf.DUMMYFUNCTION("""COMPUTED_VALUE"""),"Stock Investing With Fundamental Analysis  - DCF Valuation")</f>
        <v>Stock Investing With Fundamental Analysis  - DCF Valuation</v>
      </c>
    </row>
    <row r="5839">
      <c r="A5839" s="140" t="str">
        <f>IFERROR(__xludf.DUMMYFUNCTION("""COMPUTED_VALUE"""),"en")</f>
        <v>en</v>
      </c>
      <c r="B5839">
        <f>IFERROR(__xludf.DUMMYFUNCTION("""COMPUTED_VALUE"""),1687478.0)</f>
        <v>1687478</v>
      </c>
      <c r="C5839" t="str">
        <f>IFERROR(__xludf.DUMMYFUNCTION("""COMPUTED_VALUE"""),"The Complete Penetration Testing Bootcamp")</f>
        <v>The Complete Penetration Testing Bootcamp</v>
      </c>
    </row>
    <row r="5840">
      <c r="A5840" s="140" t="str">
        <f>IFERROR(__xludf.DUMMYFUNCTION("""COMPUTED_VALUE"""),"ja")</f>
        <v>ja</v>
      </c>
      <c r="B5840">
        <f>IFERROR(__xludf.DUMMYFUNCTION("""COMPUTED_VALUE"""),4137934.0)</f>
        <v>4137934</v>
      </c>
      <c r="C5840" t="str">
        <f>IFERROR(__xludf.DUMMYFUNCTION("""COMPUTED_VALUE"""),"Flutter × Firebaseでチャットアプリを作成する【データベース】【画像保存】")</f>
        <v>Flutter × Firebaseでチャットアプリを作成する【データベース】【画像保存】</v>
      </c>
    </row>
    <row r="5841">
      <c r="A5841" s="140" t="str">
        <f>IFERROR(__xludf.DUMMYFUNCTION("""COMPUTED_VALUE"""),"pt")</f>
        <v>pt</v>
      </c>
      <c r="B5841">
        <f>IFERROR(__xludf.DUMMYFUNCTION("""COMPUTED_VALUE"""),1985780.0)</f>
        <v>1985780</v>
      </c>
      <c r="C5841" t="str">
        <f>IFERROR(__xludf.DUMMYFUNCTION("""COMPUTED_VALUE"""),"Photoshop cc 2019 / 2020 - Do Básico ao Avançado")</f>
        <v>Photoshop cc 2019 / 2020 - Do Básico ao Avançado</v>
      </c>
    </row>
    <row r="5842">
      <c r="A5842" s="140" t="str">
        <f>IFERROR(__xludf.DUMMYFUNCTION("""COMPUTED_VALUE"""),"en")</f>
        <v>en</v>
      </c>
      <c r="B5842">
        <f>IFERROR(__xludf.DUMMYFUNCTION("""COMPUTED_VALUE"""),991290.0)</f>
        <v>991290</v>
      </c>
      <c r="C5842" t="str">
        <f>IFERROR(__xludf.DUMMYFUNCTION("""COMPUTED_VALUE"""),"AJAX JSON JavaScript Dynamic and Interactive Web Content")</f>
        <v>AJAX JSON JavaScript Dynamic and Interactive Web Content</v>
      </c>
    </row>
    <row r="5843">
      <c r="A5843" s="140" t="str">
        <f>IFERROR(__xludf.DUMMYFUNCTION("""COMPUTED_VALUE"""),"en")</f>
        <v>en</v>
      </c>
      <c r="B5843">
        <f>IFERROR(__xludf.DUMMYFUNCTION("""COMPUTED_VALUE"""),2599968.0)</f>
        <v>2599968</v>
      </c>
      <c r="C5843" t="str">
        <f>IFERROR(__xludf.DUMMYFUNCTION("""COMPUTED_VALUE"""),"NEW AWS Certified Solutions Architect - Associate 2022")</f>
        <v>NEW AWS Certified Solutions Architect - Associate 2022</v>
      </c>
    </row>
    <row r="5844">
      <c r="A5844" s="140" t="str">
        <f>IFERROR(__xludf.DUMMYFUNCTION("""COMPUTED_VALUE"""),"ja")</f>
        <v>ja</v>
      </c>
      <c r="B5844">
        <f>IFERROR(__xludf.DUMMYFUNCTION("""COMPUTED_VALUE"""),1317912.0)</f>
        <v>1317912</v>
      </c>
      <c r="C5844" t="str">
        <f>IFERROR(__xludf.DUMMYFUNCTION("""COMPUTED_VALUE"""),"【更新：2021.01.10】はじめてのSNS活用 基礎講座【企業向け】（企業ブログ活用の解説付き）")</f>
        <v>【更新：2021.01.10】はじめてのSNS活用 基礎講座【企業向け】（企業ブログ活用の解説付き）</v>
      </c>
    </row>
    <row r="5845">
      <c r="A5845" s="140" t="str">
        <f>IFERROR(__xludf.DUMMYFUNCTION("""COMPUTED_VALUE"""),"fr")</f>
        <v>fr</v>
      </c>
      <c r="B5845">
        <f>IFERROR(__xludf.DUMMYFUNCTION("""COMPUTED_VALUE"""),1885664.0)</f>
        <v>1885664</v>
      </c>
      <c r="C5845" t="str">
        <f>IFERROR(__xludf.DUMMYFUNCTION("""COMPUTED_VALUE"""),"Création de Vidéos Animées avec Powerpoint")</f>
        <v>Création de Vidéos Animées avec Powerpoint</v>
      </c>
    </row>
    <row r="5846">
      <c r="A5846" s="140" t="str">
        <f>IFERROR(__xludf.DUMMYFUNCTION("""COMPUTED_VALUE"""),"en")</f>
        <v>en</v>
      </c>
      <c r="B5846">
        <f>IFERROR(__xludf.DUMMYFUNCTION("""COMPUTED_VALUE"""),1407868.0)</f>
        <v>1407868</v>
      </c>
      <c r="C5846" t="str">
        <f>IFERROR(__xludf.DUMMYFUNCTION("""COMPUTED_VALUE"""),"2021 Ultimate Guide to Raspberry Pi : Tips, Tricks and Hacks")</f>
        <v>2021 Ultimate Guide to Raspberry Pi : Tips, Tricks and Hacks</v>
      </c>
    </row>
    <row r="5847">
      <c r="A5847" s="140" t="str">
        <f>IFERROR(__xludf.DUMMYFUNCTION("""COMPUTED_VALUE"""),"pt")</f>
        <v>pt</v>
      </c>
      <c r="B5847">
        <f>IFERROR(__xludf.DUMMYFUNCTION("""COMPUTED_VALUE"""),983258.0)</f>
        <v>983258</v>
      </c>
      <c r="C5847" t="str">
        <f>IFERROR(__xludf.DUMMYFUNCTION("""COMPUTED_VALUE"""),"Guia de alongamentos e flexibilidade completo")</f>
        <v>Guia de alongamentos e flexibilidade completo</v>
      </c>
    </row>
    <row r="5848">
      <c r="A5848" s="140" t="str">
        <f>IFERROR(__xludf.DUMMYFUNCTION("""COMPUTED_VALUE"""),"pt")</f>
        <v>pt</v>
      </c>
      <c r="B5848">
        <f>IFERROR(__xludf.DUMMYFUNCTION("""COMPUTED_VALUE"""),2782386.0)</f>
        <v>2782386</v>
      </c>
      <c r="C5848" t="str">
        <f>IFERROR(__xludf.DUMMYFUNCTION("""COMPUTED_VALUE"""),"OKR: Metodologia e Aplicação (COMPLETO)")</f>
        <v>OKR: Metodologia e Aplicação (COMPLETO)</v>
      </c>
    </row>
    <row r="5849">
      <c r="A5849" s="140" t="str">
        <f>IFERROR(__xludf.DUMMYFUNCTION("""COMPUTED_VALUE"""),"en")</f>
        <v>en</v>
      </c>
      <c r="B5849">
        <f>IFERROR(__xludf.DUMMYFUNCTION("""COMPUTED_VALUE"""),1277804.0)</f>
        <v>1277804</v>
      </c>
      <c r="C5849" t="str">
        <f>IFERROR(__xludf.DUMMYFUNCTION("""COMPUTED_VALUE"""),"Python for Network Engineers: Netmiko, NAPALM, pyntc, Telnet")</f>
        <v>Python for Network Engineers: Netmiko, NAPALM, pyntc, Telnet</v>
      </c>
    </row>
    <row r="5850">
      <c r="A5850" s="140" t="str">
        <f>IFERROR(__xludf.DUMMYFUNCTION("""COMPUTED_VALUE"""),"en")</f>
        <v>en</v>
      </c>
      <c r="B5850">
        <f>IFERROR(__xludf.DUMMYFUNCTION("""COMPUTED_VALUE"""),8139.0)</f>
        <v>8139</v>
      </c>
      <c r="C5850" t="str">
        <f>IFERROR(__xludf.DUMMYFUNCTION("""COMPUTED_VALUE"""),"14-Day Yoga Detox and Empowerment Course")</f>
        <v>14-Day Yoga Detox and Empowerment Course</v>
      </c>
    </row>
    <row r="5851">
      <c r="A5851" s="140" t="str">
        <f>IFERROR(__xludf.DUMMYFUNCTION("""COMPUTED_VALUE"""),"de")</f>
        <v>de</v>
      </c>
      <c r="B5851">
        <f>IFERROR(__xludf.DUMMYFUNCTION("""COMPUTED_VALUE"""),1000812.0)</f>
        <v>1000812</v>
      </c>
      <c r="C5851" t="str">
        <f>IFERROR(__xludf.DUMMYFUNCTION("""COMPUTED_VALUE"""),"Lerne großartige Webseiten zu erstellen")</f>
        <v>Lerne großartige Webseiten zu erstellen</v>
      </c>
    </row>
    <row r="5852">
      <c r="A5852" s="140" t="str">
        <f>IFERROR(__xludf.DUMMYFUNCTION("""COMPUTED_VALUE"""),"pt")</f>
        <v>pt</v>
      </c>
      <c r="B5852">
        <f>IFERROR(__xludf.DUMMYFUNCTION("""COMPUTED_VALUE"""),2308752.0)</f>
        <v>2308752</v>
      </c>
      <c r="C5852" t="str">
        <f>IFERROR(__xludf.DUMMYFUNCTION("""COMPUTED_VALUE"""),"Curso de Meditação Mindfulness de 4 Semanas para a Ansiedade")</f>
        <v>Curso de Meditação Mindfulness de 4 Semanas para a Ansiedade</v>
      </c>
    </row>
    <row r="5853">
      <c r="A5853" s="140" t="str">
        <f>IFERROR(__xludf.DUMMYFUNCTION("""COMPUTED_VALUE"""),"tr")</f>
        <v>tr</v>
      </c>
      <c r="B5853">
        <f>IFERROR(__xludf.DUMMYFUNCTION("""COMPUTED_VALUE"""),3038982.0)</f>
        <v>3038982</v>
      </c>
      <c r="C5853" t="str">
        <f>IFERROR(__xludf.DUMMYFUNCTION("""COMPUTED_VALUE"""),"E-Posta ile Etkili İletişim Teknikleri Eğitimi")</f>
        <v>E-Posta ile Etkili İletişim Teknikleri Eğitimi</v>
      </c>
    </row>
    <row r="5854">
      <c r="A5854" s="140" t="str">
        <f>IFERROR(__xludf.DUMMYFUNCTION("""COMPUTED_VALUE"""),"ja")</f>
        <v>ja</v>
      </c>
      <c r="B5854">
        <f>IFERROR(__xludf.DUMMYFUNCTION("""COMPUTED_VALUE"""),1104546.0)</f>
        <v>1104546</v>
      </c>
      <c r="C5854" t="str">
        <f>IFERROR(__xludf.DUMMYFUNCTION("""COMPUTED_VALUE"""),"Adobe Character Animator: あなたの顔をカメラ認識、自分だけのアバターを生み出すビギナークラス")</f>
        <v>Adobe Character Animator: あなたの顔をカメラ認識、自分だけのアバターを生み出すビギナークラス</v>
      </c>
    </row>
    <row r="5855">
      <c r="A5855" s="140" t="str">
        <f>IFERROR(__xludf.DUMMYFUNCTION("""COMPUTED_VALUE"""),"es")</f>
        <v>es</v>
      </c>
      <c r="B5855">
        <f>IFERROR(__xludf.DUMMYFUNCTION("""COMPUTED_VALUE"""),3986528.0)</f>
        <v>3986528</v>
      </c>
      <c r="C5855" t="str">
        <f>IFERROR(__xludf.DUMMYFUNCTION("""COMPUTED_VALUE"""),"Ingeniería social de cero a héroe: Phishing, OSINT y malware")</f>
        <v>Ingeniería social de cero a héroe: Phishing, OSINT y malware</v>
      </c>
    </row>
    <row r="5856">
      <c r="A5856" s="140" t="str">
        <f>IFERROR(__xludf.DUMMYFUNCTION("""COMPUTED_VALUE"""),"en")</f>
        <v>en</v>
      </c>
      <c r="B5856">
        <f>IFERROR(__xludf.DUMMYFUNCTION("""COMPUTED_VALUE"""),1308282.0)</f>
        <v>1308282</v>
      </c>
      <c r="C5856" t="str">
        <f>IFERROR(__xludf.DUMMYFUNCTION("""COMPUTED_VALUE"""),"Google Ads/AdWords Consultation - Learn From Former Googler")</f>
        <v>Google Ads/AdWords Consultation - Learn From Former Googler</v>
      </c>
    </row>
    <row r="5857">
      <c r="A5857" s="140" t="str">
        <f>IFERROR(__xludf.DUMMYFUNCTION("""COMPUTED_VALUE"""),"en")</f>
        <v>en</v>
      </c>
      <c r="B5857">
        <f>IFERROR(__xludf.DUMMYFUNCTION("""COMPUTED_VALUE"""),765730.0)</f>
        <v>765730</v>
      </c>
      <c r="C5857" t="str">
        <f>IFERROR(__xludf.DUMMYFUNCTION("""COMPUTED_VALUE"""),"Outcome Based Education (OBE) &amp; Academic Quality Assurance")</f>
        <v>Outcome Based Education (OBE) &amp; Academic Quality Assurance</v>
      </c>
    </row>
    <row r="5858">
      <c r="A5858" s="140" t="str">
        <f>IFERROR(__xludf.DUMMYFUNCTION("""COMPUTED_VALUE"""),"ko")</f>
        <v>ko</v>
      </c>
      <c r="B5858">
        <f>IFERROR(__xludf.DUMMYFUNCTION("""COMPUTED_VALUE"""),4236784.0)</f>
        <v>4236784</v>
      </c>
      <c r="C5858" t="str">
        <f>IFERROR(__xludf.DUMMYFUNCTION("""COMPUTED_VALUE"""),"【글로벌 Best강의】 NLP : Python 으로 배우는 자연어 처리 (한글자막)")</f>
        <v>【글로벌 Best강의】 NLP : Python 으로 배우는 자연어 처리 (한글자막)</v>
      </c>
    </row>
    <row r="5859">
      <c r="A5859" s="140" t="str">
        <f>IFERROR(__xludf.DUMMYFUNCTION("""COMPUTED_VALUE"""),"pt")</f>
        <v>pt</v>
      </c>
      <c r="B5859">
        <f>IFERROR(__xludf.DUMMYFUNCTION("""COMPUTED_VALUE"""),3188816.0)</f>
        <v>3188816</v>
      </c>
      <c r="C5859" t="str">
        <f>IFERROR(__xludf.DUMMYFUNCTION("""COMPUTED_VALUE"""),"SAP - Gestão de Custos")</f>
        <v>SAP - Gestão de Custos</v>
      </c>
    </row>
    <row r="5860">
      <c r="A5860" s="140" t="str">
        <f>IFERROR(__xludf.DUMMYFUNCTION("""COMPUTED_VALUE"""),"es")</f>
        <v>es</v>
      </c>
      <c r="B5860">
        <f>IFERROR(__xludf.DUMMYFUNCTION("""COMPUTED_VALUE"""),1744780.0)</f>
        <v>1744780</v>
      </c>
      <c r="C5860" t="str">
        <f>IFERROR(__xludf.DUMMYFUNCTION("""COMPUTED_VALUE"""),"Secretos de las Presentaciones Efectivas : Storytelling")</f>
        <v>Secretos de las Presentaciones Efectivas : Storytelling</v>
      </c>
    </row>
    <row r="5861">
      <c r="A5861" s="140" t="str">
        <f>IFERROR(__xludf.DUMMYFUNCTION("""COMPUTED_VALUE"""),"es")</f>
        <v>es</v>
      </c>
      <c r="B5861">
        <f>IFERROR(__xludf.DUMMYFUNCTION("""COMPUTED_VALUE"""),2012666.0)</f>
        <v>2012666</v>
      </c>
      <c r="C5861" t="str">
        <f>IFERROR(__xludf.DUMMYFUNCTION("""COMPUTED_VALUE"""),"Diseño de Sistemas Fotovoltaicos Residenciales y Comerciales")</f>
        <v>Diseño de Sistemas Fotovoltaicos Residenciales y Comerciales</v>
      </c>
    </row>
    <row r="5862">
      <c r="A5862" s="140" t="str">
        <f>IFERROR(__xludf.DUMMYFUNCTION("""COMPUTED_VALUE"""),"de")</f>
        <v>de</v>
      </c>
      <c r="B5862">
        <f>IFERROR(__xludf.DUMMYFUNCTION("""COMPUTED_VALUE"""),2469074.0)</f>
        <v>2469074</v>
      </c>
      <c r="C5862" t="str">
        <f>IFERROR(__xludf.DUMMYFUNCTION("""COMPUTED_VALUE"""),"Unreal Engine 4 Blueprint Programmierung (Update Juni 2021)")</f>
        <v>Unreal Engine 4 Blueprint Programmierung (Update Juni 2021)</v>
      </c>
    </row>
    <row r="5863">
      <c r="A5863" s="140" t="str">
        <f>IFERROR(__xludf.DUMMYFUNCTION("""COMPUTED_VALUE"""),"en")</f>
        <v>en</v>
      </c>
      <c r="B5863">
        <f>IFERROR(__xludf.DUMMYFUNCTION("""COMPUTED_VALUE"""),3331104.0)</f>
        <v>3331104</v>
      </c>
      <c r="C5863" t="str">
        <f>IFERROR(__xludf.DUMMYFUNCTION("""COMPUTED_VALUE"""),"Modern Web Scraping Fundamentals with Python")</f>
        <v>Modern Web Scraping Fundamentals with Python</v>
      </c>
    </row>
    <row r="5864">
      <c r="A5864" s="140" t="str">
        <f>IFERROR(__xludf.DUMMYFUNCTION("""COMPUTED_VALUE"""),"pt")</f>
        <v>pt</v>
      </c>
      <c r="B5864">
        <f>IFERROR(__xludf.DUMMYFUNCTION("""COMPUTED_VALUE"""),1278364.0)</f>
        <v>1278364</v>
      </c>
      <c r="C5864" t="str">
        <f>IFERROR(__xludf.DUMMYFUNCTION("""COMPUTED_VALUE"""),"Curso prático - HTML 5, CSS 3, JS + Bootstrap 3.3 e JQuery")</f>
        <v>Curso prático - HTML 5, CSS 3, JS + Bootstrap 3.3 e JQuery</v>
      </c>
    </row>
    <row r="5865">
      <c r="A5865" s="140" t="str">
        <f>IFERROR(__xludf.DUMMYFUNCTION("""COMPUTED_VALUE"""),"en")</f>
        <v>en</v>
      </c>
      <c r="B5865">
        <f>IFERROR(__xludf.DUMMYFUNCTION("""COMPUTED_VALUE"""),2426582.0)</f>
        <v>2426582</v>
      </c>
      <c r="C5865" t="str">
        <f>IFERROR(__xludf.DUMMYFUNCTION("""COMPUTED_VALUE"""),"Cisco Meraki Wireless Course with Labs")</f>
        <v>Cisco Meraki Wireless Course with Labs</v>
      </c>
    </row>
    <row r="5866">
      <c r="A5866" s="140" t="str">
        <f>IFERROR(__xludf.DUMMYFUNCTION("""COMPUTED_VALUE"""),"en")</f>
        <v>en</v>
      </c>
      <c r="B5866">
        <f>IFERROR(__xludf.DUMMYFUNCTION("""COMPUTED_VALUE"""),836842.0)</f>
        <v>836842</v>
      </c>
      <c r="C5866" t="str">
        <f>IFERROR(__xludf.DUMMYFUNCTION("""COMPUTED_VALUE"""),"Neuroplasticity: How To Rewire Your Brain")</f>
        <v>Neuroplasticity: How To Rewire Your Brain</v>
      </c>
    </row>
    <row r="5867">
      <c r="A5867" s="140" t="str">
        <f>IFERROR(__xludf.DUMMYFUNCTION("""COMPUTED_VALUE"""),"en")</f>
        <v>en</v>
      </c>
      <c r="B5867">
        <f>IFERROR(__xludf.DUMMYFUNCTION("""COMPUTED_VALUE"""),773128.0)</f>
        <v>773128</v>
      </c>
      <c r="C5867" t="str">
        <f>IFERROR(__xludf.DUMMYFUNCTION("""COMPUTED_VALUE"""),"Speak Thai from Day One - A Complete Beginner's Course")</f>
        <v>Speak Thai from Day One - A Complete Beginner's Course</v>
      </c>
    </row>
    <row r="5868">
      <c r="A5868" s="140" t="str">
        <f>IFERROR(__xludf.DUMMYFUNCTION("""COMPUTED_VALUE"""),"en")</f>
        <v>en</v>
      </c>
      <c r="B5868">
        <f>IFERROR(__xludf.DUMMYFUNCTION("""COMPUTED_VALUE"""),1368106.0)</f>
        <v>1368106</v>
      </c>
      <c r="C5868" t="str">
        <f>IFERROR(__xludf.DUMMYFUNCTION("""COMPUTED_VALUE"""),"Learn and Understand D3.js for Data Visualization")</f>
        <v>Learn and Understand D3.js for Data Visualization</v>
      </c>
    </row>
    <row r="5869">
      <c r="A5869" s="140" t="str">
        <f>IFERROR(__xludf.DUMMYFUNCTION("""COMPUTED_VALUE"""),"en")</f>
        <v>en</v>
      </c>
      <c r="B5869">
        <f>IFERROR(__xludf.DUMMYFUNCTION("""COMPUTED_VALUE"""),522140.0)</f>
        <v>522140</v>
      </c>
      <c r="C5869" t="str">
        <f>IFERROR(__xludf.DUMMYFUNCTION("""COMPUTED_VALUE"""),"QlikView Server and Publisher")</f>
        <v>QlikView Server and Publisher</v>
      </c>
    </row>
    <row r="5870">
      <c r="A5870" s="140" t="str">
        <f>IFERROR(__xludf.DUMMYFUNCTION("""COMPUTED_VALUE"""),"tr")</f>
        <v>tr</v>
      </c>
      <c r="B5870">
        <f>IFERROR(__xludf.DUMMYFUNCTION("""COMPUTED_VALUE"""),1708486.0)</f>
        <v>1708486</v>
      </c>
      <c r="C5870" t="str">
        <f>IFERROR(__xludf.DUMMYFUNCTION("""COMPUTED_VALUE"""),"Spring + Hibernate + JSP + Maven ile Proje Geliştirme")</f>
        <v>Spring + Hibernate + JSP + Maven ile Proje Geliştirme</v>
      </c>
    </row>
    <row r="5871">
      <c r="A5871" s="140" t="str">
        <f>IFERROR(__xludf.DUMMYFUNCTION("""COMPUTED_VALUE"""),"en")</f>
        <v>en</v>
      </c>
      <c r="B5871">
        <f>IFERROR(__xludf.DUMMYFUNCTION("""COMPUTED_VALUE"""),3267344.0)</f>
        <v>3267344</v>
      </c>
      <c r="C5871" t="str">
        <f>IFERROR(__xludf.DUMMYFUNCTION("""COMPUTED_VALUE"""),"Effective Agile Leadership: Lessons From The Corporate Scrum")</f>
        <v>Effective Agile Leadership: Lessons From The Corporate Scrum</v>
      </c>
    </row>
    <row r="5872">
      <c r="A5872" s="140" t="str">
        <f>IFERROR(__xludf.DUMMYFUNCTION("""COMPUTED_VALUE"""),"en")</f>
        <v>en</v>
      </c>
      <c r="B5872">
        <f>IFERROR(__xludf.DUMMYFUNCTION("""COMPUTED_VALUE"""),36090.0)</f>
        <v>36090</v>
      </c>
      <c r="C5872" t="str">
        <f>IFERROR(__xludf.DUMMYFUNCTION("""COMPUTED_VALUE"""),"Cut the Time E-mail Steals from You by Half")</f>
        <v>Cut the Time E-mail Steals from You by Half</v>
      </c>
    </row>
    <row r="5873">
      <c r="A5873" s="140" t="str">
        <f>IFERROR(__xludf.DUMMYFUNCTION("""COMPUTED_VALUE"""),"ja")</f>
        <v>ja</v>
      </c>
      <c r="B5873">
        <f>IFERROR(__xludf.DUMMYFUNCTION("""COMPUTED_VALUE"""),4017406.0)</f>
        <v>4017406</v>
      </c>
      <c r="C5873" t="str">
        <f>IFERROR(__xludf.DUMMYFUNCTION("""COMPUTED_VALUE"""),"＜UB確認テスト＞アジャイル・プロジェクトマネジメント短期集中講座")</f>
        <v>＜UB確認テスト＞アジャイル・プロジェクトマネジメント短期集中講座</v>
      </c>
    </row>
    <row r="5874">
      <c r="A5874" s="140" t="str">
        <f>IFERROR(__xludf.DUMMYFUNCTION("""COMPUTED_VALUE"""),"en")</f>
        <v>en</v>
      </c>
      <c r="B5874">
        <f>IFERROR(__xludf.DUMMYFUNCTION("""COMPUTED_VALUE"""),1166582.0)</f>
        <v>1166582</v>
      </c>
      <c r="C5874" t="str">
        <f>IFERROR(__xludf.DUMMYFUNCTION("""COMPUTED_VALUE"""),"Full introduction to Views in Drupal 8")</f>
        <v>Full introduction to Views in Drupal 8</v>
      </c>
    </row>
    <row r="5875">
      <c r="A5875" s="140" t="str">
        <f>IFERROR(__xludf.DUMMYFUNCTION("""COMPUTED_VALUE"""),"pt")</f>
        <v>pt</v>
      </c>
      <c r="B5875">
        <f>IFERROR(__xludf.DUMMYFUNCTION("""COMPUTED_VALUE"""),3077740.0)</f>
        <v>3077740</v>
      </c>
      <c r="C5875" t="str">
        <f>IFERROR(__xludf.DUMMYFUNCTION("""COMPUTED_VALUE"""),"Microsoft PowerApps para Iniciantes")</f>
        <v>Microsoft PowerApps para Iniciantes</v>
      </c>
    </row>
    <row r="5876">
      <c r="A5876" s="140" t="str">
        <f>IFERROR(__xludf.DUMMYFUNCTION("""COMPUTED_VALUE"""),"en")</f>
        <v>en</v>
      </c>
      <c r="B5876">
        <f>IFERROR(__xludf.DUMMYFUNCTION("""COMPUTED_VALUE"""),1339170.0)</f>
        <v>1339170</v>
      </c>
      <c r="C5876" t="str">
        <f>IFERROR(__xludf.DUMMYFUNCTION("""COMPUTED_VALUE"""),"High Availability cluster with PROXMOX and CEPH")</f>
        <v>High Availability cluster with PROXMOX and CEPH</v>
      </c>
    </row>
    <row r="5877">
      <c r="A5877" s="140" t="str">
        <f>IFERROR(__xludf.DUMMYFUNCTION("""COMPUTED_VALUE"""),"en")</f>
        <v>en</v>
      </c>
      <c r="B5877">
        <f>IFERROR(__xludf.DUMMYFUNCTION("""COMPUTED_VALUE"""),299844.0)</f>
        <v>299844</v>
      </c>
      <c r="C5877" t="str">
        <f>IFERROR(__xludf.DUMMYFUNCTION("""COMPUTED_VALUE"""),"Tai Chi Made Fun and Easy")</f>
        <v>Tai Chi Made Fun and Easy</v>
      </c>
    </row>
    <row r="5878">
      <c r="A5878" s="140" t="str">
        <f>IFERROR(__xludf.DUMMYFUNCTION("""COMPUTED_VALUE"""),"en")</f>
        <v>en</v>
      </c>
      <c r="B5878">
        <f>IFERROR(__xludf.DUMMYFUNCTION("""COMPUTED_VALUE"""),19645.0)</f>
        <v>19645</v>
      </c>
      <c r="C5878" t="str">
        <f>IFERROR(__xludf.DUMMYFUNCTION("""COMPUTED_VALUE"""),"Pitch Yourself! Learn to Ignite Curiosity + Inspire Action.")</f>
        <v>Pitch Yourself! Learn to Ignite Curiosity + Inspire Action.</v>
      </c>
    </row>
    <row r="5879">
      <c r="A5879" s="140" t="str">
        <f>IFERROR(__xludf.DUMMYFUNCTION("""COMPUTED_VALUE"""),"en")</f>
        <v>en</v>
      </c>
      <c r="B5879">
        <f>IFERROR(__xludf.DUMMYFUNCTION("""COMPUTED_VALUE"""),1256654.0)</f>
        <v>1256654</v>
      </c>
      <c r="C5879" t="str">
        <f>IFERROR(__xludf.DUMMYFUNCTION("""COMPUTED_VALUE"""),"Creating a Mindset for Change")</f>
        <v>Creating a Mindset for Change</v>
      </c>
    </row>
    <row r="5880">
      <c r="A5880" s="140" t="str">
        <f>IFERROR(__xludf.DUMMYFUNCTION("""COMPUTED_VALUE"""),"en")</f>
        <v>en</v>
      </c>
      <c r="B5880">
        <f>IFERROR(__xludf.DUMMYFUNCTION("""COMPUTED_VALUE"""),627174.0)</f>
        <v>627174</v>
      </c>
      <c r="C5880" t="str">
        <f>IFERROR(__xludf.DUMMYFUNCTION("""COMPUTED_VALUE"""),"How to Prepare For PMI-ACP Certification")</f>
        <v>How to Prepare For PMI-ACP Certification</v>
      </c>
    </row>
    <row r="5881">
      <c r="A5881" s="140" t="str">
        <f>IFERROR(__xludf.DUMMYFUNCTION("""COMPUTED_VALUE"""),"en")</f>
        <v>en</v>
      </c>
      <c r="B5881">
        <f>IFERROR(__xludf.DUMMYFUNCTION("""COMPUTED_VALUE"""),1465626.0)</f>
        <v>1465626</v>
      </c>
      <c r="C5881" t="str">
        <f>IFERROR(__xludf.DUMMYFUNCTION("""COMPUTED_VALUE"""),"Ultimate Venture Capital: How to model investment rounds")</f>
        <v>Ultimate Venture Capital: How to model investment rounds</v>
      </c>
    </row>
    <row r="5882">
      <c r="A5882" s="140" t="str">
        <f>IFERROR(__xludf.DUMMYFUNCTION("""COMPUTED_VALUE"""),"en")</f>
        <v>en</v>
      </c>
      <c r="B5882">
        <f>IFERROR(__xludf.DUMMYFUNCTION("""COMPUTED_VALUE"""),444228.0)</f>
        <v>444228</v>
      </c>
      <c r="C5882" t="str">
        <f>IFERROR(__xludf.DUMMYFUNCTION("""COMPUTED_VALUE"""),"GA4 Mastery + Pass Google Analytics Certification Exam")</f>
        <v>GA4 Mastery + Pass Google Analytics Certification Exam</v>
      </c>
    </row>
    <row r="5883">
      <c r="A5883" s="140" t="str">
        <f>IFERROR(__xludf.DUMMYFUNCTION("""COMPUTED_VALUE"""),"es")</f>
        <v>es</v>
      </c>
      <c r="B5883">
        <f>IFERROR(__xludf.DUMMYFUNCTION("""COMPUTED_VALUE"""),2182970.0)</f>
        <v>2182970</v>
      </c>
      <c r="C5883" t="str">
        <f>IFERROR(__xludf.DUMMYFUNCTION("""COMPUTED_VALUE"""),"Inteligencia de Negocios  Con Power BI y Sql Server 2019")</f>
        <v>Inteligencia de Negocios  Con Power BI y Sql Server 2019</v>
      </c>
    </row>
    <row r="5884">
      <c r="A5884" s="140" t="str">
        <f>IFERROR(__xludf.DUMMYFUNCTION("""COMPUTED_VALUE"""),"en")</f>
        <v>en</v>
      </c>
      <c r="B5884">
        <f>IFERROR(__xludf.DUMMYFUNCTION("""COMPUTED_VALUE"""),1731774.0)</f>
        <v>1731774</v>
      </c>
      <c r="C5884" t="str">
        <f>IFERROR(__xludf.DUMMYFUNCTION("""COMPUTED_VALUE"""),"Git &amp; GitHub Crash Course: Create a Repository From Scratch!")</f>
        <v>Git &amp; GitHub Crash Course: Create a Repository From Scratch!</v>
      </c>
    </row>
    <row r="5885">
      <c r="A5885" s="140" t="str">
        <f>IFERROR(__xludf.DUMMYFUNCTION("""COMPUTED_VALUE"""),"en")</f>
        <v>en</v>
      </c>
      <c r="B5885">
        <f>IFERROR(__xludf.DUMMYFUNCTION("""COMPUTED_VALUE"""),2337318.0)</f>
        <v>2337318</v>
      </c>
      <c r="C5885" t="str">
        <f>IFERROR(__xludf.DUMMYFUNCTION("""COMPUTED_VALUE"""),"Typescript: The Complete Developer's Guide")</f>
        <v>Typescript: The Complete Developer's Guide</v>
      </c>
    </row>
    <row r="5886">
      <c r="A5886" s="140" t="str">
        <f>IFERROR(__xludf.DUMMYFUNCTION("""COMPUTED_VALUE"""),"ar")</f>
        <v>ar</v>
      </c>
      <c r="B5886">
        <f>IFERROR(__xludf.DUMMYFUNCTION("""COMPUTED_VALUE"""),2387292.0)</f>
        <v>2387292</v>
      </c>
      <c r="C5886" t="str">
        <f>IFERROR(__xludf.DUMMYFUNCTION("""COMPUTED_VALUE"""),"تعلم لغة برمجة سي شارب C# Training Basic")</f>
        <v>تعلم لغة برمجة سي شارب C# Training Basic</v>
      </c>
    </row>
    <row r="5887">
      <c r="A5887" s="140" t="str">
        <f>IFERROR(__xludf.DUMMYFUNCTION("""COMPUTED_VALUE"""),"tr")</f>
        <v>tr</v>
      </c>
      <c r="B5887">
        <f>IFERROR(__xludf.DUMMYFUNCTION("""COMPUTED_VALUE"""),1178712.0)</f>
        <v>1178712</v>
      </c>
      <c r="C5887" t="str">
        <f>IFERROR(__xludf.DUMMYFUNCTION("""COMPUTED_VALUE"""),"1 Ayda iOS Uygulamanız Olsun! - iOS10 ve Swift 3")</f>
        <v>1 Ayda iOS Uygulamanız Olsun! - iOS10 ve Swift 3</v>
      </c>
    </row>
    <row r="5888">
      <c r="A5888" s="140" t="str">
        <f>IFERROR(__xludf.DUMMYFUNCTION("""COMPUTED_VALUE"""),"pt")</f>
        <v>pt</v>
      </c>
      <c r="B5888">
        <f>IFERROR(__xludf.DUMMYFUNCTION("""COMPUTED_VALUE"""),1437302.0)</f>
        <v>1437302</v>
      </c>
      <c r="C5888" t="str">
        <f>IFERROR(__xludf.DUMMYFUNCTION("""COMPUTED_VALUE"""),"Curso Better PPT : Crie Apresentações PowerPoint que Arrasam")</f>
        <v>Curso Better PPT : Crie Apresentações PowerPoint que Arrasam</v>
      </c>
    </row>
    <row r="5889">
      <c r="A5889" s="140" t="str">
        <f>IFERROR(__xludf.DUMMYFUNCTION("""COMPUTED_VALUE"""),"en")</f>
        <v>en</v>
      </c>
      <c r="B5889">
        <f>IFERROR(__xludf.DUMMYFUNCTION("""COMPUTED_VALUE"""),1859036.0)</f>
        <v>1859036</v>
      </c>
      <c r="C5889" t="str">
        <f>IFERROR(__xludf.DUMMYFUNCTION("""COMPUTED_VALUE"""),"Kanban Fundamentals: How to Become Insanely Productive")</f>
        <v>Kanban Fundamentals: How to Become Insanely Productive</v>
      </c>
    </row>
    <row r="5890">
      <c r="A5890" s="140" t="str">
        <f>IFERROR(__xludf.DUMMYFUNCTION("""COMPUTED_VALUE"""),"tr")</f>
        <v>tr</v>
      </c>
      <c r="B5890">
        <f>IFERROR(__xludf.DUMMYFUNCTION("""COMPUTED_VALUE"""),1530912.0)</f>
        <v>1530912</v>
      </c>
      <c r="C5890" t="str">
        <f>IFERROR(__xludf.DUMMYFUNCTION("""COMPUTED_VALUE"""),"Arapça Dil Eğitim Seti, 550 Ders, 82 Saat Video, 1500 Kelime")</f>
        <v>Arapça Dil Eğitim Seti, 550 Ders, 82 Saat Video, 1500 Kelime</v>
      </c>
    </row>
    <row r="5891">
      <c r="A5891" s="140" t="str">
        <f>IFERROR(__xludf.DUMMYFUNCTION("""COMPUTED_VALUE"""),"de")</f>
        <v>de</v>
      </c>
      <c r="B5891">
        <f>IFERROR(__xludf.DUMMYFUNCTION("""COMPUTED_VALUE"""),2184242.0)</f>
        <v>2184242</v>
      </c>
      <c r="C5891" t="str">
        <f>IFERROR(__xludf.DUMMYFUNCTION("""COMPUTED_VALUE"""),"Digital Leadership - Führung im digitalen Wandel")</f>
        <v>Digital Leadership - Führung im digitalen Wandel</v>
      </c>
    </row>
    <row r="5892">
      <c r="A5892" s="140" t="str">
        <f>IFERROR(__xludf.DUMMYFUNCTION("""COMPUTED_VALUE"""),"pt")</f>
        <v>pt</v>
      </c>
      <c r="B5892">
        <f>IFERROR(__xludf.DUMMYFUNCTION("""COMPUTED_VALUE"""),2867350.0)</f>
        <v>2867350</v>
      </c>
      <c r="C5892" t="str">
        <f>IFERROR(__xludf.DUMMYFUNCTION("""COMPUTED_VALUE"""),"Curso para desenvolvimento de jobs com Spring Batch")</f>
        <v>Curso para desenvolvimento de jobs com Spring Batch</v>
      </c>
    </row>
    <row r="5893">
      <c r="A5893" s="140" t="str">
        <f>IFERROR(__xludf.DUMMYFUNCTION("""COMPUTED_VALUE"""),"en")</f>
        <v>en</v>
      </c>
      <c r="B5893">
        <f>IFERROR(__xludf.DUMMYFUNCTION("""COMPUTED_VALUE"""),1016996.0)</f>
        <v>1016996</v>
      </c>
      <c r="C5893" t="str">
        <f>IFERROR(__xludf.DUMMYFUNCTION("""COMPUTED_VALUE"""),"Introduction to Corporate Finance (Mergers &amp; Acquisitions)")</f>
        <v>Introduction to Corporate Finance (Mergers &amp; Acquisitions)</v>
      </c>
    </row>
    <row r="5894">
      <c r="A5894" s="140" t="str">
        <f>IFERROR(__xludf.DUMMYFUNCTION("""COMPUTED_VALUE"""),"en")</f>
        <v>en</v>
      </c>
      <c r="B5894">
        <f>IFERROR(__xludf.DUMMYFUNCTION("""COMPUTED_VALUE"""),3054230.0)</f>
        <v>3054230</v>
      </c>
      <c r="C5894" t="str">
        <f>IFERROR(__xludf.DUMMYFUNCTION("""COMPUTED_VALUE"""),"Data Lake in AWS [New]")</f>
        <v>Data Lake in AWS [New]</v>
      </c>
    </row>
    <row r="5895">
      <c r="A5895" s="140" t="str">
        <f>IFERROR(__xludf.DUMMYFUNCTION("""COMPUTED_VALUE"""),"en")</f>
        <v>en</v>
      </c>
      <c r="B5895">
        <f>IFERROR(__xludf.DUMMYFUNCTION("""COMPUTED_VALUE"""),2619416.0)</f>
        <v>2619416</v>
      </c>
      <c r="C5895" t="str">
        <f>IFERROR(__xludf.DUMMYFUNCTION("""COMPUTED_VALUE"""),"Procreate Essentials: The Ultimate Guide")</f>
        <v>Procreate Essentials: The Ultimate Guide</v>
      </c>
    </row>
    <row r="5896">
      <c r="A5896" s="140" t="str">
        <f>IFERROR(__xludf.DUMMYFUNCTION("""COMPUTED_VALUE"""),"en")</f>
        <v>en</v>
      </c>
      <c r="B5896">
        <f>IFERROR(__xludf.DUMMYFUNCTION("""COMPUTED_VALUE"""),398980.0)</f>
        <v>398980</v>
      </c>
      <c r="C5896" t="str">
        <f>IFERROR(__xludf.DUMMYFUNCTION("""COMPUTED_VALUE"""),"The economic model of emerging countries - Michael Spence")</f>
        <v>The economic model of emerging countries - Michael Spence</v>
      </c>
    </row>
    <row r="5897">
      <c r="A5897" s="140" t="str">
        <f>IFERROR(__xludf.DUMMYFUNCTION("""COMPUTED_VALUE"""),"es")</f>
        <v>es</v>
      </c>
      <c r="B5897">
        <f>IFERROR(__xludf.DUMMYFUNCTION("""COMPUTED_VALUE"""),3733468.0)</f>
        <v>3733468</v>
      </c>
      <c r="C5897" t="str">
        <f>IFERROR(__xludf.DUMMYFUNCTION("""COMPUTED_VALUE"""),"Certificación Internacional Lean Six Sigma White Belt")</f>
        <v>Certificación Internacional Lean Six Sigma White Belt</v>
      </c>
    </row>
    <row r="5898">
      <c r="A5898" s="140" t="str">
        <f>IFERROR(__xludf.DUMMYFUNCTION("""COMPUTED_VALUE"""),"en")</f>
        <v>en</v>
      </c>
      <c r="B5898">
        <f>IFERROR(__xludf.DUMMYFUNCTION("""COMPUTED_VALUE"""),1243476.0)</f>
        <v>1243476</v>
      </c>
      <c r="C5898" t="str">
        <f>IFERROR(__xludf.DUMMYFUNCTION("""COMPUTED_VALUE"""),"Kotlin for Android &amp; Java Developers: Clean Code on Android")</f>
        <v>Kotlin for Android &amp; Java Developers: Clean Code on Android</v>
      </c>
    </row>
    <row r="5899">
      <c r="A5899" s="140" t="str">
        <f>IFERROR(__xludf.DUMMYFUNCTION("""COMPUTED_VALUE"""),"pt")</f>
        <v>pt</v>
      </c>
      <c r="B5899">
        <f>IFERROR(__xludf.DUMMYFUNCTION("""COMPUTED_VALUE"""),860444.0)</f>
        <v>860444</v>
      </c>
      <c r="C5899" t="str">
        <f>IFERROR(__xludf.DUMMYFUNCTION("""COMPUTED_VALUE"""),"O curso completo de Banco de Dados e SQL, sem mistérios!")</f>
        <v>O curso completo de Banco de Dados e SQL, sem mistérios!</v>
      </c>
    </row>
    <row r="5900">
      <c r="A5900" s="140" t="str">
        <f>IFERROR(__xludf.DUMMYFUNCTION("""COMPUTED_VALUE"""),"en")</f>
        <v>en</v>
      </c>
      <c r="B5900">
        <f>IFERROR(__xludf.DUMMYFUNCTION("""COMPUTED_VALUE"""),2045930.0)</f>
        <v>2045930</v>
      </c>
      <c r="C5900" t="str">
        <f>IFERROR(__xludf.DUMMYFUNCTION("""COMPUTED_VALUE"""),"WPF &amp; XAML: Build 10 WPF applications (C#) in 2020")</f>
        <v>WPF &amp; XAML: Build 10 WPF applications (C#) in 2020</v>
      </c>
    </row>
    <row r="5901">
      <c r="A5901" s="140" t="str">
        <f>IFERROR(__xludf.DUMMYFUNCTION("""COMPUTED_VALUE"""),"fr")</f>
        <v>fr</v>
      </c>
      <c r="B5901">
        <f>IFERROR(__xludf.DUMMYFUNCTION("""COMPUTED_VALUE"""),3141506.0)</f>
        <v>3141506</v>
      </c>
      <c r="C5901" t="str">
        <f>IFERROR(__xludf.DUMMYFUNCTION("""COMPUTED_VALUE"""),"Tout comprendre de Google Analytics et analyser son trafic !")</f>
        <v>Tout comprendre de Google Analytics et analyser son trafic !</v>
      </c>
    </row>
    <row r="5902">
      <c r="A5902" s="140" t="str">
        <f>IFERROR(__xludf.DUMMYFUNCTION("""COMPUTED_VALUE"""),"ja")</f>
        <v>ja</v>
      </c>
      <c r="B5902">
        <f>IFERROR(__xludf.DUMMYFUNCTION("""COMPUTED_VALUE"""),1104546.0)</f>
        <v>1104546</v>
      </c>
      <c r="C5902" t="str">
        <f>IFERROR(__xludf.DUMMYFUNCTION("""COMPUTED_VALUE"""),"Adobe Character Animator: あなたの顔をカメラ認識、自分だけのアバターを生み出すビギナークラス")</f>
        <v>Adobe Character Animator: あなたの顔をカメラ認識、自分だけのアバターを生み出すビギナークラス</v>
      </c>
    </row>
    <row r="5903">
      <c r="A5903" s="140" t="str">
        <f>IFERROR(__xludf.DUMMYFUNCTION("""COMPUTED_VALUE"""),"en")</f>
        <v>en</v>
      </c>
      <c r="B5903">
        <f>IFERROR(__xludf.DUMMYFUNCTION("""COMPUTED_VALUE"""),1316728.0)</f>
        <v>1316728</v>
      </c>
      <c r="C5903" t="str">
        <f>IFERROR(__xludf.DUMMYFUNCTION("""COMPUTED_VALUE"""),"Adobe InDesign CC - Essentials Training Course")</f>
        <v>Adobe InDesign CC - Essentials Training Course</v>
      </c>
    </row>
    <row r="5904">
      <c r="A5904" s="140" t="str">
        <f>IFERROR(__xludf.DUMMYFUNCTION("""COMPUTED_VALUE"""),"en")</f>
        <v>en</v>
      </c>
      <c r="B5904">
        <f>IFERROR(__xludf.DUMMYFUNCTION("""COMPUTED_VALUE"""),4222338.0)</f>
        <v>4222338</v>
      </c>
      <c r="C5904" t="str">
        <f>IFERROR(__xludf.DUMMYFUNCTION("""COMPUTED_VALUE"""),"Splunk: Zero to Power User")</f>
        <v>Splunk: Zero to Power User</v>
      </c>
    </row>
    <row r="5905">
      <c r="A5905" s="140" t="str">
        <f>IFERROR(__xludf.DUMMYFUNCTION("""COMPUTED_VALUE"""),"es")</f>
        <v>es</v>
      </c>
      <c r="B5905">
        <f>IFERROR(__xludf.DUMMYFUNCTION("""COMPUTED_VALUE"""),2813023.0)</f>
        <v>2813023</v>
      </c>
      <c r="C5905" t="str">
        <f>IFERROR(__xludf.DUMMYFUNCTION("""COMPUTED_VALUE"""),"TALLER DE INICIACIÓN AL PAN CASERO SALUDABLE")</f>
        <v>TALLER DE INICIACIÓN AL PAN CASERO SALUDABLE</v>
      </c>
    </row>
    <row r="5906">
      <c r="A5906" s="140" t="str">
        <f>IFERROR(__xludf.DUMMYFUNCTION("""COMPUTED_VALUE"""),"en")</f>
        <v>en</v>
      </c>
      <c r="B5906">
        <f>IFERROR(__xludf.DUMMYFUNCTION("""COMPUTED_VALUE"""),2916116.0)</f>
        <v>2916116</v>
      </c>
      <c r="C5906" t="str">
        <f>IFERROR(__xludf.DUMMYFUNCTION("""COMPUTED_VALUE"""),"Learn DBT from Scratch")</f>
        <v>Learn DBT from Scratch</v>
      </c>
    </row>
    <row r="5907">
      <c r="A5907" s="140" t="str">
        <f>IFERROR(__xludf.DUMMYFUNCTION("""COMPUTED_VALUE"""),"en")</f>
        <v>en</v>
      </c>
      <c r="B5907">
        <f>IFERROR(__xludf.DUMMYFUNCTION("""COMPUTED_VALUE"""),1223900.0)</f>
        <v>1223900</v>
      </c>
      <c r="C5907" t="str">
        <f>IFERROR(__xludf.DUMMYFUNCTION("""COMPUTED_VALUE"""),"Cryptocurrency Investment Course 2021: Fund your Retirement!")</f>
        <v>Cryptocurrency Investment Course 2021: Fund your Retirement!</v>
      </c>
    </row>
    <row r="5908">
      <c r="A5908" s="140" t="str">
        <f>IFERROR(__xludf.DUMMYFUNCTION("""COMPUTED_VALUE"""),"pt")</f>
        <v>pt</v>
      </c>
      <c r="B5908">
        <f>IFERROR(__xludf.DUMMYFUNCTION("""COMPUTED_VALUE"""),1932892.0)</f>
        <v>1932892</v>
      </c>
      <c r="C5908" t="str">
        <f>IFERROR(__xludf.DUMMYFUNCTION("""COMPUTED_VALUE"""),"O Curso completo de NoSQL sem mistérios! MongoDB Neo4J")</f>
        <v>O Curso completo de NoSQL sem mistérios! MongoDB Neo4J</v>
      </c>
    </row>
    <row r="5909">
      <c r="A5909" s="140" t="str">
        <f>IFERROR(__xludf.DUMMYFUNCTION("""COMPUTED_VALUE"""),"ar")</f>
        <v>ar</v>
      </c>
      <c r="B5909">
        <f>IFERROR(__xludf.DUMMYFUNCTION("""COMPUTED_VALUE"""),3091858.0)</f>
        <v>3091858</v>
      </c>
      <c r="C5909" t="str">
        <f>IFERROR(__xludf.DUMMYFUNCTION("""COMPUTED_VALUE"""),"تعلم React Native")</f>
        <v>تعلم React Native</v>
      </c>
    </row>
    <row r="5910">
      <c r="A5910" s="140" t="str">
        <f>IFERROR(__xludf.DUMMYFUNCTION("""COMPUTED_VALUE"""),"ja")</f>
        <v>ja</v>
      </c>
      <c r="B5910">
        <f>IFERROR(__xludf.DUMMYFUNCTION("""COMPUTED_VALUE"""),1938484.0)</f>
        <v>1938484</v>
      </c>
      <c r="C5910" t="str">
        <f>IFERROR(__xludf.DUMMYFUNCTION("""COMPUTED_VALUE"""),"人工知能（AI）×IoT×ブロックチェーン時代のテクノロジー／次世代ビジネスモデルノウハウの全ての基礎知識を獲得する講座")</f>
        <v>人工知能（AI）×IoT×ブロックチェーン時代のテクノロジー／次世代ビジネスモデルノウハウの全ての基礎知識を獲得する講座</v>
      </c>
    </row>
    <row r="5911">
      <c r="A5911" s="140" t="str">
        <f>IFERROR(__xludf.DUMMYFUNCTION("""COMPUTED_VALUE"""),"en")</f>
        <v>en</v>
      </c>
      <c r="B5911">
        <f>IFERROR(__xludf.DUMMYFUNCTION("""COMPUTED_VALUE"""),2852688.0)</f>
        <v>2852688</v>
      </c>
      <c r="C5911" t="str">
        <f>IFERROR(__xludf.DUMMYFUNCTION("""COMPUTED_VALUE"""),"Spring Boot Security and oAuth2 in depth from scratch")</f>
        <v>Spring Boot Security and oAuth2 in depth from scratch</v>
      </c>
    </row>
    <row r="5912">
      <c r="A5912" s="140" t="str">
        <f>IFERROR(__xludf.DUMMYFUNCTION("""COMPUTED_VALUE"""),"en")</f>
        <v>en</v>
      </c>
      <c r="B5912">
        <f>IFERROR(__xludf.DUMMYFUNCTION("""COMPUTED_VALUE"""),2654134.0)</f>
        <v>2654134</v>
      </c>
      <c r="C5912" t="str">
        <f>IFERROR(__xludf.DUMMYFUNCTION("""COMPUTED_VALUE"""),"AWS Fargate &amp; ECS - Masterclass | Microservices, Docker, CFN")</f>
        <v>AWS Fargate &amp; ECS - Masterclass | Microservices, Docker, CFN</v>
      </c>
    </row>
    <row r="5913">
      <c r="A5913" s="140" t="str">
        <f>IFERROR(__xludf.DUMMYFUNCTION("""COMPUTED_VALUE"""),"es")</f>
        <v>es</v>
      </c>
      <c r="B5913">
        <f>IFERROR(__xludf.DUMMYFUNCTION("""COMPUTED_VALUE"""),3548798.0)</f>
        <v>3548798</v>
      </c>
      <c r="C5913" t="str">
        <f>IFERROR(__xludf.DUMMYFUNCTION("""COMPUTED_VALUE"""),"React: Aplicaciones en tiempo real con Socket-io")</f>
        <v>React: Aplicaciones en tiempo real con Socket-io</v>
      </c>
    </row>
    <row r="5914">
      <c r="A5914" s="140" t="str">
        <f>IFERROR(__xludf.DUMMYFUNCTION("""COMPUTED_VALUE"""),"fr")</f>
        <v>fr</v>
      </c>
      <c r="B5914">
        <f>IFERROR(__xludf.DUMMYFUNCTION("""COMPUTED_VALUE"""),1128598.0)</f>
        <v>1128598</v>
      </c>
      <c r="C5914" t="str">
        <f>IFERROR(__xludf.DUMMYFUNCTION("""COMPUTED_VALUE"""),"Créer un jeu multiplayer avec UNITY et Photon Cloud")</f>
        <v>Créer un jeu multiplayer avec UNITY et Photon Cloud</v>
      </c>
    </row>
    <row r="5915">
      <c r="A5915" s="140" t="str">
        <f>IFERROR(__xludf.DUMMYFUNCTION("""COMPUTED_VALUE"""),"fr")</f>
        <v>fr</v>
      </c>
      <c r="B5915">
        <f>IFERROR(__xludf.DUMMYFUNCTION("""COMPUTED_VALUE"""),3030152.0)</f>
        <v>3030152</v>
      </c>
      <c r="C5915" t="str">
        <f>IFERROR(__xludf.DUMMYFUNCTION("""COMPUTED_VALUE"""),"Apprendre à créer son application Desktop Electron de À à Z")</f>
        <v>Apprendre à créer son application Desktop Electron de À à Z</v>
      </c>
    </row>
    <row r="5916">
      <c r="A5916" s="140" t="str">
        <f>IFERROR(__xludf.DUMMYFUNCTION("""COMPUTED_VALUE"""),"en")</f>
        <v>en</v>
      </c>
      <c r="B5916">
        <f>IFERROR(__xludf.DUMMYFUNCTION("""COMPUTED_VALUE"""),1736426.0)</f>
        <v>1736426</v>
      </c>
      <c r="C5916" t="str">
        <f>IFERROR(__xludf.DUMMYFUNCTION("""COMPUTED_VALUE"""),"Dart and Flutter: The Complete Developer's Guide")</f>
        <v>Dart and Flutter: The Complete Developer's Guide</v>
      </c>
    </row>
    <row r="5917">
      <c r="A5917" s="140" t="str">
        <f>IFERROR(__xludf.DUMMYFUNCTION("""COMPUTED_VALUE"""),"ja")</f>
        <v>ja</v>
      </c>
      <c r="B5917">
        <f>IFERROR(__xludf.DUMMYFUNCTION("""COMPUTED_VALUE"""),2470600.0)</f>
        <v>2470600</v>
      </c>
      <c r="C5917" t="str">
        <f>IFERROR(__xludf.DUMMYFUNCTION("""COMPUTED_VALUE"""),"【ファンの心を掴む】実例から学ぶ最先端のソーシャル・マーケティング戦略")</f>
        <v>【ファンの心を掴む】実例から学ぶ最先端のソーシャル・マーケティング戦略</v>
      </c>
    </row>
    <row r="5918">
      <c r="A5918" s="140" t="str">
        <f>IFERROR(__xludf.DUMMYFUNCTION("""COMPUTED_VALUE"""),"en")</f>
        <v>en</v>
      </c>
      <c r="B5918">
        <f>IFERROR(__xludf.DUMMYFUNCTION("""COMPUTED_VALUE"""),1418155.0)</f>
        <v>1418155</v>
      </c>
      <c r="C5918" t="str">
        <f>IFERROR(__xludf.DUMMYFUNCTION("""COMPUTED_VALUE"""),"How To Stop Procrastinating")</f>
        <v>How To Stop Procrastinating</v>
      </c>
    </row>
    <row r="5919">
      <c r="A5919" s="140" t="str">
        <f>IFERROR(__xludf.DUMMYFUNCTION("""COMPUTED_VALUE"""),"en")</f>
        <v>en</v>
      </c>
      <c r="B5919">
        <f>IFERROR(__xludf.DUMMYFUNCTION("""COMPUTED_VALUE"""),1623786.0)</f>
        <v>1623786</v>
      </c>
      <c r="C5919" t="str">
        <f>IFERROR(__xludf.DUMMYFUNCTION("""COMPUTED_VALUE"""),"Fundamentals of Watson Analytics")</f>
        <v>Fundamentals of Watson Analytics</v>
      </c>
    </row>
    <row r="5920">
      <c r="A5920" s="140" t="str">
        <f>IFERROR(__xludf.DUMMYFUNCTION("""COMPUTED_VALUE"""),"tr")</f>
        <v>tr</v>
      </c>
      <c r="B5920">
        <f>IFERROR(__xludf.DUMMYFUNCTION("""COMPUTED_VALUE"""),2184332.0)</f>
        <v>2184332</v>
      </c>
      <c r="C5920" t="str">
        <f>IFERROR(__xludf.DUMMYFUNCTION("""COMPUTED_VALUE"""),"Bootstrap 4 ile Sıfırdan 5 Gerçek Web Tasarım Projesi")</f>
        <v>Bootstrap 4 ile Sıfırdan 5 Gerçek Web Tasarım Projesi</v>
      </c>
    </row>
    <row r="5921">
      <c r="A5921" s="140" t="str">
        <f>IFERROR(__xludf.DUMMYFUNCTION("""COMPUTED_VALUE"""),"es")</f>
        <v>es</v>
      </c>
      <c r="B5921">
        <f>IFERROR(__xludf.DUMMYFUNCTION("""COMPUTED_VALUE"""),2163808.0)</f>
        <v>2163808</v>
      </c>
      <c r="C5921" t="str">
        <f>IFERROR(__xludf.DUMMYFUNCTION("""COMPUTED_VALUE"""),"Software Testing de aplicaciones. Postman. Testing de API")</f>
        <v>Software Testing de aplicaciones. Postman. Testing de API</v>
      </c>
    </row>
    <row r="5922">
      <c r="A5922" s="140" t="str">
        <f>IFERROR(__xludf.DUMMYFUNCTION("""COMPUTED_VALUE"""),"tr")</f>
        <v>tr</v>
      </c>
      <c r="B5922">
        <f>IFERROR(__xludf.DUMMYFUNCTION("""COMPUTED_VALUE"""),3532304.0)</f>
        <v>3532304</v>
      </c>
      <c r="C5922" t="str">
        <f>IFERROR(__xludf.DUMMYFUNCTION("""COMPUTED_VALUE"""),"Kodsuz Mobil Uygulama Geliştirme")</f>
        <v>Kodsuz Mobil Uygulama Geliştirme</v>
      </c>
    </row>
    <row r="5923">
      <c r="A5923" s="140" t="str">
        <f>IFERROR(__xludf.DUMMYFUNCTION("""COMPUTED_VALUE"""),"en")</f>
        <v>en</v>
      </c>
      <c r="B5923">
        <f>IFERROR(__xludf.DUMMYFUNCTION("""COMPUTED_VALUE"""),2937970.0)</f>
        <v>2937970</v>
      </c>
      <c r="C5923" t="str">
        <f>IFERROR(__xludf.DUMMYFUNCTION("""COMPUTED_VALUE"""),"Neural Networks in Python from Scratch: Complete guide")</f>
        <v>Neural Networks in Python from Scratch: Complete guide</v>
      </c>
    </row>
    <row r="5924">
      <c r="A5924" s="140" t="str">
        <f>IFERROR(__xludf.DUMMYFUNCTION("""COMPUTED_VALUE"""),"ja")</f>
        <v>ja</v>
      </c>
      <c r="B5924">
        <f>IFERROR(__xludf.DUMMYFUNCTION("""COMPUTED_VALUE"""),4188394.0)</f>
        <v>4188394</v>
      </c>
      <c r="C5924" t="str">
        <f>IFERROR(__xludf.DUMMYFUNCTION("""COMPUTED_VALUE"""),"【プログラミングなしで超スピードアプリ構築！】 現場で使えるMicrosoft Power Apps マスターコース")</f>
        <v>【プログラミングなしで超スピードアプリ構築！】 現場で使えるMicrosoft Power Apps マスターコース</v>
      </c>
    </row>
    <row r="5925">
      <c r="A5925" s="140" t="str">
        <f>IFERROR(__xludf.DUMMYFUNCTION("""COMPUTED_VALUE"""),"es")</f>
        <v>es</v>
      </c>
      <c r="B5925">
        <f>IFERROR(__xludf.DUMMYFUNCTION("""COMPUTED_VALUE"""),3778720.0)</f>
        <v>3778720</v>
      </c>
      <c r="C5925" t="str">
        <f>IFERROR(__xludf.DUMMYFUNCTION("""COMPUTED_VALUE"""),"Curso completo de Hacking Ético y Ciberseguridad")</f>
        <v>Curso completo de Hacking Ético y Ciberseguridad</v>
      </c>
    </row>
    <row r="5926">
      <c r="A5926" s="140" t="str">
        <f>IFERROR(__xludf.DUMMYFUNCTION("""COMPUTED_VALUE"""),"en")</f>
        <v>en</v>
      </c>
      <c r="B5926">
        <f>IFERROR(__xludf.DUMMYFUNCTION("""COMPUTED_VALUE"""),1046104.0)</f>
        <v>1046104</v>
      </c>
      <c r="C5926" t="str">
        <f>IFERROR(__xludf.DUMMYFUNCTION("""COMPUTED_VALUE"""),"Information Security Awareness-ISO 27001:2013")</f>
        <v>Information Security Awareness-ISO 27001:2013</v>
      </c>
    </row>
    <row r="5927">
      <c r="A5927" s="140" t="str">
        <f>IFERROR(__xludf.DUMMYFUNCTION("""COMPUTED_VALUE"""),"en")</f>
        <v>en</v>
      </c>
      <c r="B5927">
        <f>IFERROR(__xludf.DUMMYFUNCTION("""COMPUTED_VALUE"""),1000574.0)</f>
        <v>1000574</v>
      </c>
      <c r="C5927" t="str">
        <f>IFERROR(__xludf.DUMMYFUNCTION("""COMPUTED_VALUE"""),"The Complete Developers Guide to MongoDB")</f>
        <v>The Complete Developers Guide to MongoDB</v>
      </c>
    </row>
    <row r="5928">
      <c r="A5928" s="140" t="str">
        <f>IFERROR(__xludf.DUMMYFUNCTION("""COMPUTED_VALUE"""),"en")</f>
        <v>en</v>
      </c>
      <c r="B5928">
        <f>IFERROR(__xludf.DUMMYFUNCTION("""COMPUTED_VALUE"""),960368.0)</f>
        <v>960368</v>
      </c>
      <c r="C5928" t="str">
        <f>IFERROR(__xludf.DUMMYFUNCTION("""COMPUTED_VALUE"""),"Certified ISTQB Test Manager Advanced Level Exam (CTAL-TM)")</f>
        <v>Certified ISTQB Test Manager Advanced Level Exam (CTAL-TM)</v>
      </c>
    </row>
    <row r="5929">
      <c r="A5929" s="140" t="str">
        <f>IFERROR(__xludf.DUMMYFUNCTION("""COMPUTED_VALUE"""),"fr")</f>
        <v>fr</v>
      </c>
      <c r="B5929">
        <f>IFERROR(__xludf.DUMMYFUNCTION("""COMPUTED_VALUE"""),1591760.0)</f>
        <v>1591760</v>
      </c>
      <c r="C5929" t="str">
        <f>IFERROR(__xludf.DUMMYFUNCTION("""COMPUTED_VALUE"""),"Newsletter &amp; email marketing avec MailJet : le guide complet")</f>
        <v>Newsletter &amp; email marketing avec MailJet : le guide complet</v>
      </c>
    </row>
    <row r="5930">
      <c r="A5930" s="140" t="str">
        <f>IFERROR(__xludf.DUMMYFUNCTION("""COMPUTED_VALUE"""),"en")</f>
        <v>en</v>
      </c>
      <c r="B5930">
        <f>IFERROR(__xludf.DUMMYFUNCTION("""COMPUTED_VALUE"""),1459026.0)</f>
        <v>1459026</v>
      </c>
      <c r="C5930" t="str">
        <f>IFERROR(__xludf.DUMMYFUNCTION("""COMPUTED_VALUE"""),"WSH Performance Management and Reporting")</f>
        <v>WSH Performance Management and Reporting</v>
      </c>
    </row>
    <row r="5931">
      <c r="A5931" s="140" t="str">
        <f>IFERROR(__xludf.DUMMYFUNCTION("""COMPUTED_VALUE"""),"en")</f>
        <v>en</v>
      </c>
      <c r="B5931">
        <f>IFERROR(__xludf.DUMMYFUNCTION("""COMPUTED_VALUE"""),2306906.0)</f>
        <v>2306906</v>
      </c>
      <c r="C5931" t="str">
        <f>IFERROR(__xludf.DUMMYFUNCTION("""COMPUTED_VALUE"""),"React &amp; Django Full Stack: web app, backend API, mobile apps")</f>
        <v>React &amp; Django Full Stack: web app, backend API, mobile apps</v>
      </c>
    </row>
    <row r="5932">
      <c r="A5932" s="140" t="str">
        <f>IFERROR(__xludf.DUMMYFUNCTION("""COMPUTED_VALUE"""),"es")</f>
        <v>es</v>
      </c>
      <c r="B5932">
        <f>IFERROR(__xludf.DUMMYFUNCTION("""COMPUTED_VALUE"""),1351182.0)</f>
        <v>1351182</v>
      </c>
      <c r="C5932" t="str">
        <f>IFERROR(__xludf.DUMMYFUNCTION("""COMPUTED_VALUE"""),"Proyecto Java Web  JSP, Servlet con MySQL desde NetBeans IDE")</f>
        <v>Proyecto Java Web  JSP, Servlet con MySQL desde NetBeans IDE</v>
      </c>
    </row>
    <row r="5933">
      <c r="A5933" s="140" t="str">
        <f>IFERROR(__xludf.DUMMYFUNCTION("""COMPUTED_VALUE"""),"es")</f>
        <v>es</v>
      </c>
      <c r="B5933">
        <f>IFERROR(__xludf.DUMMYFUNCTION("""COMPUTED_VALUE"""),2670118.0)</f>
        <v>2670118</v>
      </c>
      <c r="C5933" t="str">
        <f>IFERROR(__xludf.DUMMYFUNCTION("""COMPUTED_VALUE"""),"Aprender Revit 2020 desde cero con un proyecto")</f>
        <v>Aprender Revit 2020 desde cero con un proyecto</v>
      </c>
    </row>
    <row r="5934">
      <c r="A5934" s="140" t="str">
        <f>IFERROR(__xludf.DUMMYFUNCTION("""COMPUTED_VALUE"""),"en")</f>
        <v>en</v>
      </c>
      <c r="B5934">
        <f>IFERROR(__xludf.DUMMYFUNCTION("""COMPUTED_VALUE"""),1193330.0)</f>
        <v>1193330</v>
      </c>
      <c r="C5934" t="str">
        <f>IFERROR(__xludf.DUMMYFUNCTION("""COMPUTED_VALUE"""),"Hacking with watchOS 5 - Build Amazing Apple Watch Apps")</f>
        <v>Hacking with watchOS 5 - Build Amazing Apple Watch Apps</v>
      </c>
    </row>
    <row r="5935">
      <c r="A5935" s="140" t="str">
        <f>IFERROR(__xludf.DUMMYFUNCTION("""COMPUTED_VALUE"""),"pt")</f>
        <v>pt</v>
      </c>
      <c r="B5935">
        <f>IFERROR(__xludf.DUMMYFUNCTION("""COMPUTED_VALUE"""),2174090.0)</f>
        <v>2174090</v>
      </c>
      <c r="C5935" t="str">
        <f>IFERROR(__xludf.DUMMYFUNCTION("""COMPUTED_VALUE"""),"After Effects: Animando Personagens do Zero ao Mercado")</f>
        <v>After Effects: Animando Personagens do Zero ao Mercado</v>
      </c>
    </row>
    <row r="5936">
      <c r="A5936" s="140" t="str">
        <f>IFERROR(__xludf.DUMMYFUNCTION("""COMPUTED_VALUE"""),"en")</f>
        <v>en</v>
      </c>
      <c r="B5936">
        <f>IFERROR(__xludf.DUMMYFUNCTION("""COMPUTED_VALUE"""),2964426.0)</f>
        <v>2964426</v>
      </c>
      <c r="C5936" t="str">
        <f>IFERROR(__xludf.DUMMYFUNCTION("""COMPUTED_VALUE"""),"Ultimate Kubernetes Fast-Track Beginner to Advanced")</f>
        <v>Ultimate Kubernetes Fast-Track Beginner to Advanced</v>
      </c>
    </row>
    <row r="5937">
      <c r="A5937" s="140" t="str">
        <f>IFERROR(__xludf.DUMMYFUNCTION("""COMPUTED_VALUE"""),"fr")</f>
        <v>fr</v>
      </c>
      <c r="B5937">
        <f>IFERROR(__xludf.DUMMYFUNCTION("""COMPUTED_VALUE"""),1484459.0)</f>
        <v>1484459</v>
      </c>
      <c r="C5937" t="str">
        <f>IFERROR(__xludf.DUMMYFUNCTION("""COMPUTED_VALUE"""),"SAP BI / SAP BusinessObjects Web Intelligence 4.2")</f>
        <v>SAP BI / SAP BusinessObjects Web Intelligence 4.2</v>
      </c>
    </row>
    <row r="5938">
      <c r="A5938" s="140" t="str">
        <f>IFERROR(__xludf.DUMMYFUNCTION("""COMPUTED_VALUE"""),"en")</f>
        <v>en</v>
      </c>
      <c r="B5938">
        <f>IFERROR(__xludf.DUMMYFUNCTION("""COMPUTED_VALUE"""),2271790.0)</f>
        <v>2271790</v>
      </c>
      <c r="C5938" t="str">
        <f>IFERROR(__xludf.DUMMYFUNCTION("""COMPUTED_VALUE"""),"Go Java Full Stack with Spring Boot and React")</f>
        <v>Go Java Full Stack with Spring Boot and React</v>
      </c>
    </row>
    <row r="5939">
      <c r="A5939" s="140" t="str">
        <f>IFERROR(__xludf.DUMMYFUNCTION("""COMPUTED_VALUE"""),"en")</f>
        <v>en</v>
      </c>
      <c r="B5939">
        <f>IFERROR(__xludf.DUMMYFUNCTION("""COMPUTED_VALUE"""),1294188.0)</f>
        <v>1294188</v>
      </c>
      <c r="C5939" t="str">
        <f>IFERROR(__xludf.DUMMYFUNCTION("""COMPUTED_VALUE"""),"Apache Kafka Series - Kafka Streams for Data Processing")</f>
        <v>Apache Kafka Series - Kafka Streams for Data Processing</v>
      </c>
    </row>
    <row r="5940">
      <c r="A5940" s="140" t="str">
        <f>IFERROR(__xludf.DUMMYFUNCTION("""COMPUTED_VALUE"""),"en")</f>
        <v>en</v>
      </c>
      <c r="B5940">
        <f>IFERROR(__xludf.DUMMYFUNCTION("""COMPUTED_VALUE"""),3694846.0)</f>
        <v>3694846</v>
      </c>
      <c r="C5940" t="str">
        <f>IFERROR(__xludf.DUMMYFUNCTION("""COMPUTED_VALUE"""),"Project Implementation on Salesforce Einstein Analytics")</f>
        <v>Project Implementation on Salesforce Einstein Analytics</v>
      </c>
    </row>
    <row r="5941">
      <c r="A5941" s="140" t="str">
        <f>IFERROR(__xludf.DUMMYFUNCTION("""COMPUTED_VALUE"""),"en")</f>
        <v>en</v>
      </c>
      <c r="B5941">
        <f>IFERROR(__xludf.DUMMYFUNCTION("""COMPUTED_VALUE"""),4230584.0)</f>
        <v>4230584</v>
      </c>
      <c r="C5941" t="str">
        <f>IFERROR(__xludf.DUMMYFUNCTION("""COMPUTED_VALUE"""),"Introduction to Scrum and Becoming a Scrum Master")</f>
        <v>Introduction to Scrum and Becoming a Scrum Master</v>
      </c>
    </row>
    <row r="5942">
      <c r="A5942" s="140" t="str">
        <f>IFERROR(__xludf.DUMMYFUNCTION("""COMPUTED_VALUE"""),"en")</f>
        <v>en</v>
      </c>
      <c r="B5942">
        <f>IFERROR(__xludf.DUMMYFUNCTION("""COMPUTED_VALUE"""),745050.0)</f>
        <v>745050</v>
      </c>
      <c r="C5942" t="str">
        <f>IFERROR(__xludf.DUMMYFUNCTION("""COMPUTED_VALUE"""),"Digital Marketing Masterclass:Get Your First 1,000 Customers")</f>
        <v>Digital Marketing Masterclass:Get Your First 1,000 Customers</v>
      </c>
    </row>
    <row r="5943">
      <c r="A5943" s="140" t="str">
        <f>IFERROR(__xludf.DUMMYFUNCTION("""COMPUTED_VALUE"""),"en")</f>
        <v>en</v>
      </c>
      <c r="B5943">
        <f>IFERROR(__xludf.DUMMYFUNCTION("""COMPUTED_VALUE"""),1797828.0)</f>
        <v>1797828</v>
      </c>
      <c r="C5943" t="str">
        <f>IFERROR(__xludf.DUMMYFUNCTION("""COMPUTED_VALUE"""),"ROS2 (Foxy) How To: Discover Next Generation ROS")</f>
        <v>ROS2 (Foxy) How To: Discover Next Generation ROS</v>
      </c>
    </row>
    <row r="5944">
      <c r="A5944" s="140" t="str">
        <f>IFERROR(__xludf.DUMMYFUNCTION("""COMPUTED_VALUE"""),"en")</f>
        <v>en</v>
      </c>
      <c r="B5944">
        <f>IFERROR(__xludf.DUMMYFUNCTION("""COMPUTED_VALUE"""),490610.0)</f>
        <v>490610</v>
      </c>
      <c r="C5944" t="str">
        <f>IFERROR(__xludf.DUMMYFUNCTION("""COMPUTED_VALUE"""),"Navigate &amp; Respect Age, Ethnic &amp; Racial Differences")</f>
        <v>Navigate &amp; Respect Age, Ethnic &amp; Racial Differences</v>
      </c>
    </row>
    <row r="5945">
      <c r="A5945" s="140" t="str">
        <f>IFERROR(__xludf.DUMMYFUNCTION("""COMPUTED_VALUE"""),"es")</f>
        <v>es</v>
      </c>
      <c r="B5945">
        <f>IFERROR(__xludf.DUMMYFUNCTION("""COMPUTED_VALUE"""),2355426.0)</f>
        <v>2355426</v>
      </c>
      <c r="C5945" t="str">
        <f>IFERROR(__xludf.DUMMYFUNCTION("""COMPUTED_VALUE"""),"Fundamentos para el diseño de Bases de Datos Relacionales")</f>
        <v>Fundamentos para el diseño de Bases de Datos Relacionales</v>
      </c>
    </row>
    <row r="5946">
      <c r="A5946" s="140" t="str">
        <f>IFERROR(__xludf.DUMMYFUNCTION("""COMPUTED_VALUE"""),"en")</f>
        <v>en</v>
      </c>
      <c r="B5946">
        <f>IFERROR(__xludf.DUMMYFUNCTION("""COMPUTED_VALUE"""),945610.0)</f>
        <v>945610</v>
      </c>
      <c r="C5946" t="str">
        <f>IFERROR(__xludf.DUMMYFUNCTION("""COMPUTED_VALUE"""),"SQL Server SSAS (Multidimensional MDX) - an Introduction")</f>
        <v>SQL Server SSAS (Multidimensional MDX) - an Introduction</v>
      </c>
    </row>
    <row r="5947">
      <c r="A5947" s="140" t="str">
        <f>IFERROR(__xludf.DUMMYFUNCTION("""COMPUTED_VALUE"""),"ja")</f>
        <v>ja</v>
      </c>
      <c r="B5947">
        <f>IFERROR(__xludf.DUMMYFUNCTION("""COMPUTED_VALUE"""),1753920.0)</f>
        <v>1753920</v>
      </c>
      <c r="C5947" t="str">
        <f>IFERROR(__xludf.DUMMYFUNCTION("""COMPUTED_VALUE"""),"感情を動かす！社外プレゼンの資料作成術")</f>
        <v>感情を動かす！社外プレゼンの資料作成術</v>
      </c>
    </row>
    <row r="5948">
      <c r="A5948" s="140" t="str">
        <f>IFERROR(__xludf.DUMMYFUNCTION("""COMPUTED_VALUE"""),"en")</f>
        <v>en</v>
      </c>
      <c r="B5948">
        <f>IFERROR(__xludf.DUMMYFUNCTION("""COMPUTED_VALUE"""),3007192.0)</f>
        <v>3007192</v>
      </c>
      <c r="C5948" t="str">
        <f>IFERROR(__xludf.DUMMYFUNCTION("""COMPUTED_VALUE"""),"The Complete Intermediate Android Masterclass")</f>
        <v>The Complete Intermediate Android Masterclass</v>
      </c>
    </row>
    <row r="5949">
      <c r="A5949" s="140" t="str">
        <f>IFERROR(__xludf.DUMMYFUNCTION("""COMPUTED_VALUE"""),"en")</f>
        <v>en</v>
      </c>
      <c r="B5949">
        <f>IFERROR(__xludf.DUMMYFUNCTION("""COMPUTED_VALUE"""),1046722.0)</f>
        <v>1046722</v>
      </c>
      <c r="C5949" t="str">
        <f>IFERROR(__xludf.DUMMYFUNCTION("""COMPUTED_VALUE"""),"Ultimate Adobe Photoshop Training: From Beginner to Pro 2022")</f>
        <v>Ultimate Adobe Photoshop Training: From Beginner to Pro 2022</v>
      </c>
    </row>
    <row r="5950">
      <c r="A5950" s="140" t="str">
        <f>IFERROR(__xludf.DUMMYFUNCTION("""COMPUTED_VALUE"""),"de")</f>
        <v>de</v>
      </c>
      <c r="B5950">
        <f>IFERROR(__xludf.DUMMYFUNCTION("""COMPUTED_VALUE"""),1714228.0)</f>
        <v>1714228</v>
      </c>
      <c r="C5950" t="str">
        <f>IFERROR(__xludf.DUMMYFUNCTION("""COMPUTED_VALUE"""),"Medienfachwirt - Digital (IHK) Rechtsbewusstes Handeln")</f>
        <v>Medienfachwirt - Digital (IHK) Rechtsbewusstes Handeln</v>
      </c>
    </row>
    <row r="5951">
      <c r="A5951" s="140" t="str">
        <f>IFERROR(__xludf.DUMMYFUNCTION("""COMPUTED_VALUE"""),"tr")</f>
        <v>tr</v>
      </c>
      <c r="B5951">
        <f>IFERROR(__xludf.DUMMYFUNCTION("""COMPUTED_VALUE"""),3065616.0)</f>
        <v>3065616</v>
      </c>
      <c r="C5951" t="str">
        <f>IFERROR(__xludf.DUMMYFUNCTION("""COMPUTED_VALUE"""),"ALMANCA A2 (520 SORU+39 VİDEO DERS+KELİME SÖZLÜĞÜ)")</f>
        <v>ALMANCA A2 (520 SORU+39 VİDEO DERS+KELİME SÖZLÜĞÜ)</v>
      </c>
    </row>
    <row r="5952">
      <c r="A5952" s="140" t="str">
        <f>IFERROR(__xludf.DUMMYFUNCTION("""COMPUTED_VALUE"""),"en")</f>
        <v>en</v>
      </c>
      <c r="B5952">
        <f>IFERROR(__xludf.DUMMYFUNCTION("""COMPUTED_VALUE"""),994634.0)</f>
        <v>994634</v>
      </c>
      <c r="C5952" t="str">
        <f>IFERROR(__xludf.DUMMYFUNCTION("""COMPUTED_VALUE"""),"Mastering ASP.NET MVC 5 From Scratch Using C#")</f>
        <v>Mastering ASP.NET MVC 5 From Scratch Using C#</v>
      </c>
    </row>
    <row r="5953">
      <c r="A5953" s="140" t="str">
        <f>IFERROR(__xludf.DUMMYFUNCTION("""COMPUTED_VALUE"""),"ja")</f>
        <v>ja</v>
      </c>
      <c r="B5953">
        <f>IFERROR(__xludf.DUMMYFUNCTION("""COMPUTED_VALUE"""),669220.0)</f>
        <v>669220</v>
      </c>
      <c r="C5953" t="str">
        <f>IFERROR(__xludf.DUMMYFUNCTION("""COMPUTED_VALUE"""),"【パソコン三種の神器】Word＋Excel＋PowerPointを10日間でイッキに速習 / エクセル兄さん講座")</f>
        <v>【パソコン三種の神器】Word＋Excel＋PowerPointを10日間でイッキに速習 / エクセル兄さん講座</v>
      </c>
    </row>
    <row r="5954">
      <c r="A5954" s="140" t="str">
        <f>IFERROR(__xludf.DUMMYFUNCTION("""COMPUTED_VALUE"""),"ja")</f>
        <v>ja</v>
      </c>
      <c r="B5954">
        <f>IFERROR(__xludf.DUMMYFUNCTION("""COMPUTED_VALUE"""),3596170.0)</f>
        <v>3596170</v>
      </c>
      <c r="C5954" t="str">
        <f>IFERROR(__xludf.DUMMYFUNCTION("""COMPUTED_VALUE"""),"AWS認定ソリューションアーキテクト アソシエイト試験：短期突破講座（300問の演習問題）")</f>
        <v>AWS認定ソリューションアーキテクト アソシエイト試験：短期突破講座（300問の演習問題）</v>
      </c>
    </row>
    <row r="5955">
      <c r="A5955" s="140" t="str">
        <f>IFERROR(__xludf.DUMMYFUNCTION("""COMPUTED_VALUE"""),"ja")</f>
        <v>ja</v>
      </c>
      <c r="B5955">
        <f>IFERROR(__xludf.DUMMYFUNCTION("""COMPUTED_VALUE"""),1586352.0)</f>
        <v>1586352</v>
      </c>
      <c r="C5955" t="str">
        <f>IFERROR(__xludf.DUMMYFUNCTION("""COMPUTED_VALUE"""),"【更新：2020/06/08】【SEO対策 入門講座】Google検索でWebサイトを上位表示させるための基礎コース")</f>
        <v>【更新：2020/06/08】【SEO対策 入門講座】Google検索でWebサイトを上位表示させるための基礎コース</v>
      </c>
    </row>
    <row r="5956">
      <c r="A5956" s="140" t="str">
        <f>IFERROR(__xludf.DUMMYFUNCTION("""COMPUTED_VALUE"""),"en")</f>
        <v>en</v>
      </c>
      <c r="B5956">
        <f>IFERROR(__xludf.DUMMYFUNCTION("""COMPUTED_VALUE"""),2022242.0)</f>
        <v>2022242</v>
      </c>
      <c r="C5956" t="str">
        <f>IFERROR(__xludf.DUMMYFUNCTION("""COMPUTED_VALUE"""),"Learn Visual Studio Code (2020)")</f>
        <v>Learn Visual Studio Code (2020)</v>
      </c>
    </row>
    <row r="5957">
      <c r="A5957" s="140" t="str">
        <f>IFERROR(__xludf.DUMMYFUNCTION("""COMPUTED_VALUE"""),"ar")</f>
        <v>ar</v>
      </c>
      <c r="B5957">
        <f>IFERROR(__xludf.DUMMYFUNCTION("""COMPUTED_VALUE"""),2423902.0)</f>
        <v>2423902</v>
      </c>
      <c r="C5957" t="str">
        <f>IFERROR(__xludf.DUMMYFUNCTION("""COMPUTED_VALUE"""),"Full Track to be Oracle APEX Developer [ Arabic ]")</f>
        <v>Full Track to be Oracle APEX Developer [ Arabic ]</v>
      </c>
    </row>
    <row r="5958">
      <c r="A5958" s="140" t="str">
        <f>IFERROR(__xludf.DUMMYFUNCTION("""COMPUTED_VALUE"""),"en")</f>
        <v>en</v>
      </c>
      <c r="B5958">
        <f>IFERROR(__xludf.DUMMYFUNCTION("""COMPUTED_VALUE"""),805300.0)</f>
        <v>805300</v>
      </c>
      <c r="C5958" t="str">
        <f>IFERROR(__xludf.DUMMYFUNCTION("""COMPUTED_VALUE"""),"Japanese conversation for English speakers &lt; lesson + quiz &gt;")</f>
        <v>Japanese conversation for English speakers &lt; lesson + quiz &gt;</v>
      </c>
    </row>
    <row r="5959">
      <c r="A5959" s="140" t="str">
        <f>IFERROR(__xludf.DUMMYFUNCTION("""COMPUTED_VALUE"""),"en")</f>
        <v>en</v>
      </c>
      <c r="B5959">
        <f>IFERROR(__xludf.DUMMYFUNCTION("""COMPUTED_VALUE"""),1859116.0)</f>
        <v>1859116</v>
      </c>
      <c r="C5959" t="str">
        <f>IFERROR(__xludf.DUMMYFUNCTION("""COMPUTED_VALUE"""),"ArcPy for Python Developers using ArcGIS Pro")</f>
        <v>ArcPy for Python Developers using ArcGIS Pro</v>
      </c>
    </row>
    <row r="5960">
      <c r="A5960" s="140" t="str">
        <f>IFERROR(__xludf.DUMMYFUNCTION("""COMPUTED_VALUE"""),"es")</f>
        <v>es</v>
      </c>
      <c r="B5960">
        <f>IFERROR(__xludf.DUMMYFUNCTION("""COMPUTED_VALUE"""),2508296.0)</f>
        <v>2508296</v>
      </c>
      <c r="C5960" t="str">
        <f>IFERROR(__xludf.DUMMYFUNCTION("""COMPUTED_VALUE"""),"Conviértete en un ANALISTA de INTELIGENCIA EMPRESARIAL")</f>
        <v>Conviértete en un ANALISTA de INTELIGENCIA EMPRESARIAL</v>
      </c>
    </row>
    <row r="5961">
      <c r="A5961" s="140" t="str">
        <f>IFERROR(__xludf.DUMMYFUNCTION("""COMPUTED_VALUE"""),"ja")</f>
        <v>ja</v>
      </c>
      <c r="B5961">
        <f>IFERROR(__xludf.DUMMYFUNCTION("""COMPUTED_VALUE"""),682040.0)</f>
        <v>682040</v>
      </c>
      <c r="C5961" t="str">
        <f>IFERROR(__xludf.DUMMYFUNCTION("""COMPUTED_VALUE"""),"【5日でできる】はじめての Linux 入門（LPIC Level1対応）")</f>
        <v>【5日でできる】はじめての Linux 入門（LPIC Level1対応）</v>
      </c>
    </row>
    <row r="5962">
      <c r="A5962" s="140" t="str">
        <f>IFERROR(__xludf.DUMMYFUNCTION("""COMPUTED_VALUE"""),"en")</f>
        <v>en</v>
      </c>
      <c r="B5962">
        <f>IFERROR(__xludf.DUMMYFUNCTION("""COMPUTED_VALUE"""),2508942.0)</f>
        <v>2508942</v>
      </c>
      <c r="C5962" t="str">
        <f>IFERROR(__xludf.DUMMYFUNCTION("""COMPUTED_VALUE"""),"JavaScript - The Complete Guide 2022 (Beginner + Advanced)")</f>
        <v>JavaScript - The Complete Guide 2022 (Beginner + Advanced)</v>
      </c>
    </row>
    <row r="5963">
      <c r="A5963" s="140" t="str">
        <f>IFERROR(__xludf.DUMMYFUNCTION("""COMPUTED_VALUE"""),"en")</f>
        <v>en</v>
      </c>
      <c r="B5963">
        <f>IFERROR(__xludf.DUMMYFUNCTION("""COMPUTED_VALUE"""),3594760.0)</f>
        <v>3594760</v>
      </c>
      <c r="C5963" t="str">
        <f>IFERROR(__xludf.DUMMYFUNCTION("""COMPUTED_VALUE"""),"Kotlin Coroutines for Android Masterclass")</f>
        <v>Kotlin Coroutines for Android Masterclass</v>
      </c>
    </row>
    <row r="5964">
      <c r="A5964" s="140" t="str">
        <f>IFERROR(__xludf.DUMMYFUNCTION("""COMPUTED_VALUE"""),"en")</f>
        <v>en</v>
      </c>
      <c r="B5964">
        <f>IFERROR(__xludf.DUMMYFUNCTION("""COMPUTED_VALUE"""),43677.0)</f>
        <v>43677</v>
      </c>
      <c r="C5964" t="str">
        <f>IFERROR(__xludf.DUMMYFUNCTION("""COMPUTED_VALUE"""),"Learn Microsoft Access 2013 the Easy Way - 10 Hours")</f>
        <v>Learn Microsoft Access 2013 the Easy Way - 10 Hours</v>
      </c>
    </row>
    <row r="5965">
      <c r="A5965" s="140" t="str">
        <f>IFERROR(__xludf.DUMMYFUNCTION("""COMPUTED_VALUE"""),"en")</f>
        <v>en</v>
      </c>
      <c r="B5965">
        <f>IFERROR(__xludf.DUMMYFUNCTION("""COMPUTED_VALUE"""),1576698.0)</f>
        <v>1576698</v>
      </c>
      <c r="C5965" t="str">
        <f>IFERROR(__xludf.DUMMYFUNCTION("""COMPUTED_VALUE"""),"German Pronunciation Masterclass")</f>
        <v>German Pronunciation Masterclass</v>
      </c>
    </row>
    <row r="5966">
      <c r="A5966" s="140" t="str">
        <f>IFERROR(__xludf.DUMMYFUNCTION("""COMPUTED_VALUE"""),"en")</f>
        <v>en</v>
      </c>
      <c r="B5966">
        <f>IFERROR(__xludf.DUMMYFUNCTION("""COMPUTED_VALUE"""),1014236.0)</f>
        <v>1014236</v>
      </c>
      <c r="C5966" t="str">
        <f>IFERROR(__xludf.DUMMYFUNCTION("""COMPUTED_VALUE"""),"How to Use Color Like a Pro")</f>
        <v>How to Use Color Like a Pro</v>
      </c>
    </row>
    <row r="5967">
      <c r="A5967" s="140" t="str">
        <f>IFERROR(__xludf.DUMMYFUNCTION("""COMPUTED_VALUE"""),"en")</f>
        <v>en</v>
      </c>
      <c r="B5967">
        <f>IFERROR(__xludf.DUMMYFUNCTION("""COMPUTED_VALUE"""),3135706.0)</f>
        <v>3135706</v>
      </c>
      <c r="C5967" t="str">
        <f>IFERROR(__xludf.DUMMYFUNCTION("""COMPUTED_VALUE"""),"Zero to Agile Data Science")</f>
        <v>Zero to Agile Data Science</v>
      </c>
    </row>
    <row r="5968">
      <c r="A5968" s="140" t="str">
        <f>IFERROR(__xludf.DUMMYFUNCTION("""COMPUTED_VALUE"""),"en")</f>
        <v>en</v>
      </c>
      <c r="B5968">
        <f>IFERROR(__xludf.DUMMYFUNCTION("""COMPUTED_VALUE"""),42634.0)</f>
        <v>42634</v>
      </c>
      <c r="C5968" t="str">
        <f>IFERROR(__xludf.DUMMYFUNCTION("""COMPUTED_VALUE"""),"Advanced Options Concepts - Probability, Greeks, Simulation")</f>
        <v>Advanced Options Concepts - Probability, Greeks, Simulation</v>
      </c>
    </row>
    <row r="5969">
      <c r="A5969" s="140" t="str">
        <f>IFERROR(__xludf.DUMMYFUNCTION("""COMPUTED_VALUE"""),"de")</f>
        <v>de</v>
      </c>
      <c r="B5969">
        <f>IFERROR(__xludf.DUMMYFUNCTION("""COMPUTED_VALUE"""),1376910.0)</f>
        <v>1376910</v>
      </c>
      <c r="C5969" t="str">
        <f>IFERROR(__xludf.DUMMYFUNCTION("""COMPUTED_VALUE"""),"Adobe Photoshop CC Masterclass — Vom Einsteiger zum Profi")</f>
        <v>Adobe Photoshop CC Masterclass — Vom Einsteiger zum Profi</v>
      </c>
    </row>
    <row r="5970">
      <c r="A5970" s="140" t="str">
        <f>IFERROR(__xludf.DUMMYFUNCTION("""COMPUTED_VALUE"""),"tr")</f>
        <v>tr</v>
      </c>
      <c r="B5970">
        <f>IFERROR(__xludf.DUMMYFUNCTION("""COMPUTED_VALUE"""),3145992.0)</f>
        <v>3145992</v>
      </c>
      <c r="C5970" t="str">
        <f>IFERROR(__xludf.DUMMYFUNCTION("""COMPUTED_VALUE"""),"E-Ticaret Markaları Sosyal Medyalarını Nasıl Yönetmeli?")</f>
        <v>E-Ticaret Markaları Sosyal Medyalarını Nasıl Yönetmeli?</v>
      </c>
    </row>
    <row r="5971">
      <c r="A5971" s="140" t="str">
        <f>IFERROR(__xludf.DUMMYFUNCTION("""COMPUTED_VALUE"""),"en")</f>
        <v>en</v>
      </c>
      <c r="B5971">
        <f>IFERROR(__xludf.DUMMYFUNCTION("""COMPUTED_VALUE"""),613214.0)</f>
        <v>613214</v>
      </c>
      <c r="C5971" t="str">
        <f>IFERROR(__xludf.DUMMYFUNCTION("""COMPUTED_VALUE"""),"Practical Mindfulness - Mindfulness and mindful meditation")</f>
        <v>Practical Mindfulness - Mindfulness and mindful meditation</v>
      </c>
    </row>
    <row r="5972">
      <c r="A5972" s="140" t="str">
        <f>IFERROR(__xludf.DUMMYFUNCTION("""COMPUTED_VALUE"""),"pt")</f>
        <v>pt</v>
      </c>
      <c r="B5972">
        <f>IFERROR(__xludf.DUMMYFUNCTION("""COMPUTED_VALUE"""),2597596.0)</f>
        <v>2597596</v>
      </c>
      <c r="C5972" t="str">
        <f>IFERROR(__xludf.DUMMYFUNCTION("""COMPUTED_VALUE"""),"Pré-venda operação de prospecção ativa B2B para iniciantes")</f>
        <v>Pré-venda operação de prospecção ativa B2B para iniciantes</v>
      </c>
    </row>
    <row r="5973">
      <c r="A5973" s="140" t="str">
        <f>IFERROR(__xludf.DUMMYFUNCTION("""COMPUTED_VALUE"""),"en")</f>
        <v>en</v>
      </c>
      <c r="B5973">
        <f>IFERROR(__xludf.DUMMYFUNCTION("""COMPUTED_VALUE"""),2385972.0)</f>
        <v>2385972</v>
      </c>
      <c r="C5973" t="str">
        <f>IFERROR(__xludf.DUMMYFUNCTION("""COMPUTED_VALUE"""),"Complete React Hooks Course 2021: A - Z ( Scratch to React )")</f>
        <v>Complete React Hooks Course 2021: A - Z ( Scratch to React )</v>
      </c>
    </row>
    <row r="5974">
      <c r="A5974" s="140" t="str">
        <f>IFERROR(__xludf.DUMMYFUNCTION("""COMPUTED_VALUE"""),"en")</f>
        <v>en</v>
      </c>
      <c r="B5974">
        <f>IFERROR(__xludf.DUMMYFUNCTION("""COMPUTED_VALUE"""),2762816.0)</f>
        <v>2762816</v>
      </c>
      <c r="C5974" t="str">
        <f>IFERROR(__xludf.DUMMYFUNCTION("""COMPUTED_VALUE"""),"[NEW] Ultimate AWS Certified Database Specialty 2021")</f>
        <v>[NEW] Ultimate AWS Certified Database Specialty 2021</v>
      </c>
    </row>
    <row r="5975">
      <c r="A5975" s="140" t="str">
        <f>IFERROR(__xludf.DUMMYFUNCTION("""COMPUTED_VALUE"""),"en")</f>
        <v>en</v>
      </c>
      <c r="B5975">
        <f>IFERROR(__xludf.DUMMYFUNCTION("""COMPUTED_VALUE"""),2929940.0)</f>
        <v>2929940</v>
      </c>
      <c r="C5975" t="str">
        <f>IFERROR(__xludf.DUMMYFUNCTION("""COMPUTED_VALUE"""),"Enterprise Risk Management")</f>
        <v>Enterprise Risk Management</v>
      </c>
    </row>
    <row r="5976">
      <c r="A5976" s="140" t="str">
        <f>IFERROR(__xludf.DUMMYFUNCTION("""COMPUTED_VALUE"""),"en")</f>
        <v>en</v>
      </c>
      <c r="B5976">
        <f>IFERROR(__xludf.DUMMYFUNCTION("""COMPUTED_VALUE"""),2080272.0)</f>
        <v>2080272</v>
      </c>
      <c r="C5976" t="str">
        <f>IFERROR(__xludf.DUMMYFUNCTION("""COMPUTED_VALUE"""),"Java Certification SE 1Z0-808 Masterclass + Practice Exams™")</f>
        <v>Java Certification SE 1Z0-808 Masterclass + Practice Exams™</v>
      </c>
    </row>
    <row r="5977">
      <c r="A5977" s="140" t="str">
        <f>IFERROR(__xludf.DUMMYFUNCTION("""COMPUTED_VALUE"""),"en")</f>
        <v>en</v>
      </c>
      <c r="B5977">
        <f>IFERROR(__xludf.DUMMYFUNCTION("""COMPUTED_VALUE"""),317850.0)</f>
        <v>317850</v>
      </c>
      <c r="C5977" t="str">
        <f>IFERROR(__xludf.DUMMYFUNCTION("""COMPUTED_VALUE"""),"15 Minutes x 15 Days Yoga Balance Challenge")</f>
        <v>15 Minutes x 15 Days Yoga Balance Challenge</v>
      </c>
    </row>
    <row r="5978">
      <c r="A5978" s="140" t="str">
        <f>IFERROR(__xludf.DUMMYFUNCTION("""COMPUTED_VALUE"""),"en")</f>
        <v>en</v>
      </c>
      <c r="B5978">
        <f>IFERROR(__xludf.DUMMYFUNCTION("""COMPUTED_VALUE"""),1897918.0)</f>
        <v>1897918</v>
      </c>
      <c r="C5978" t="str">
        <f>IFERROR(__xludf.DUMMYFUNCTION("""COMPUTED_VALUE"""),"Renewable Energy")</f>
        <v>Renewable Energy</v>
      </c>
    </row>
    <row r="5979">
      <c r="A5979" s="140" t="str">
        <f>IFERROR(__xludf.DUMMYFUNCTION("""COMPUTED_VALUE"""),"en")</f>
        <v>en</v>
      </c>
      <c r="B5979">
        <f>IFERROR(__xludf.DUMMYFUNCTION("""COMPUTED_VALUE"""),1149892.0)</f>
        <v>1149892</v>
      </c>
      <c r="C5979" t="str">
        <f>IFERROR(__xludf.DUMMYFUNCTION("""COMPUTED_VALUE"""),"ElasticSearch, LogStash, Kibana ELK #2 - Learn LogStash")</f>
        <v>ElasticSearch, LogStash, Kibana ELK #2 - Learn LogStash</v>
      </c>
    </row>
    <row r="5980">
      <c r="A5980" s="140" t="str">
        <f>IFERROR(__xludf.DUMMYFUNCTION("""COMPUTED_VALUE"""),"en")</f>
        <v>en</v>
      </c>
      <c r="B5980">
        <f>IFERROR(__xludf.DUMMYFUNCTION("""COMPUTED_VALUE"""),3802920.0)</f>
        <v>3802920</v>
      </c>
      <c r="C5980" t="str">
        <f>IFERROR(__xludf.DUMMYFUNCTION("""COMPUTED_VALUE"""),"Hyperparameter Optimization for Machine Learning")</f>
        <v>Hyperparameter Optimization for Machine Learning</v>
      </c>
    </row>
    <row r="5981">
      <c r="A5981" s="140" t="str">
        <f>IFERROR(__xludf.DUMMYFUNCTION("""COMPUTED_VALUE"""),"de")</f>
        <v>de</v>
      </c>
      <c r="B5981">
        <f>IFERROR(__xludf.DUMMYFUNCTION("""COMPUTED_VALUE"""),2288577.0)</f>
        <v>2288577</v>
      </c>
      <c r="C5981" t="str">
        <f>IFERROR(__xludf.DUMMYFUNCTION("""COMPUTED_VALUE"""),"Next Level PowerPoint - kreative Bildgestaltung im Marketing")</f>
        <v>Next Level PowerPoint - kreative Bildgestaltung im Marketing</v>
      </c>
    </row>
    <row r="5982">
      <c r="A5982" s="140" t="str">
        <f>IFERROR(__xludf.DUMMYFUNCTION("""COMPUTED_VALUE"""),"pt")</f>
        <v>pt</v>
      </c>
      <c r="B5982">
        <f>IFERROR(__xludf.DUMMYFUNCTION("""COMPUTED_VALUE"""),2311268.0)</f>
        <v>2311268</v>
      </c>
      <c r="C5982" t="str">
        <f>IFERROR(__xludf.DUMMYFUNCTION("""COMPUTED_VALUE"""),"Gestão do Tempo para Alta Performance")</f>
        <v>Gestão do Tempo para Alta Performance</v>
      </c>
    </row>
    <row r="5983">
      <c r="A5983" s="140" t="str">
        <f>IFERROR(__xludf.DUMMYFUNCTION("""COMPUTED_VALUE"""),"ja")</f>
        <v>ja</v>
      </c>
      <c r="B5983">
        <f>IFERROR(__xludf.DUMMYFUNCTION("""COMPUTED_VALUE"""),2638036.0)</f>
        <v>2638036</v>
      </c>
      <c r="C5983" t="str">
        <f>IFERROR(__xludf.DUMMYFUNCTION("""COMPUTED_VALUE"""),"繰り返しタスクをサクサクこなす! アウトライナーを使った行動リスト管理術")</f>
        <v>繰り返しタスクをサクサクこなす! アウトライナーを使った行動リスト管理術</v>
      </c>
    </row>
    <row r="5984">
      <c r="A5984" s="140" t="str">
        <f>IFERROR(__xludf.DUMMYFUNCTION("""COMPUTED_VALUE"""),"en")</f>
        <v>en</v>
      </c>
      <c r="B5984">
        <f>IFERROR(__xludf.DUMMYFUNCTION("""COMPUTED_VALUE"""),3557785.0)</f>
        <v>3557785</v>
      </c>
      <c r="C5984" t="str">
        <f>IFERROR(__xludf.DUMMYFUNCTION("""COMPUTED_VALUE"""),"Employee Engagement &amp; Retention")</f>
        <v>Employee Engagement &amp; Retention</v>
      </c>
    </row>
    <row r="5985">
      <c r="A5985" s="140" t="str">
        <f>IFERROR(__xludf.DUMMYFUNCTION("""COMPUTED_VALUE"""),"es")</f>
        <v>es</v>
      </c>
      <c r="B5985">
        <f>IFERROR(__xludf.DUMMYFUNCTION("""COMPUTED_VALUE"""),1281800.0)</f>
        <v>1281800</v>
      </c>
      <c r="C5985" t="str">
        <f>IFERROR(__xludf.DUMMYFUNCTION("""COMPUTED_VALUE"""),"Oracle: Administración de Base de Datos")</f>
        <v>Oracle: Administración de Base de Datos</v>
      </c>
    </row>
    <row r="5986">
      <c r="A5986" s="140" t="str">
        <f>IFERROR(__xludf.DUMMYFUNCTION("""COMPUTED_VALUE"""),"en")</f>
        <v>en</v>
      </c>
      <c r="B5986">
        <f>IFERROR(__xludf.DUMMYFUNCTION("""COMPUTED_VALUE"""),2511520.0)</f>
        <v>2511520</v>
      </c>
      <c r="C5986" t="str">
        <f>IFERROR(__xludf.DUMMYFUNCTION("""COMPUTED_VALUE"""),"Cypress: Web Automation Testing from Zero to Hero")</f>
        <v>Cypress: Web Automation Testing from Zero to Hero</v>
      </c>
    </row>
    <row r="5987">
      <c r="A5987" s="140" t="str">
        <f>IFERROR(__xludf.DUMMYFUNCTION("""COMPUTED_VALUE"""),"en")</f>
        <v>en</v>
      </c>
      <c r="B5987">
        <f>IFERROR(__xludf.DUMMYFUNCTION("""COMPUTED_VALUE"""),2835640.0)</f>
        <v>2835640</v>
      </c>
      <c r="C5987" t="str">
        <f>IFERROR(__xludf.DUMMYFUNCTION("""COMPUTED_VALUE"""),"Aerospace Engineering: Aircraft Systems and Avionics")</f>
        <v>Aerospace Engineering: Aircraft Systems and Avionics</v>
      </c>
    </row>
    <row r="5988">
      <c r="A5988" s="140" t="str">
        <f>IFERROR(__xludf.DUMMYFUNCTION("""COMPUTED_VALUE"""),"en")</f>
        <v>en</v>
      </c>
      <c r="B5988">
        <f>IFERROR(__xludf.DUMMYFUNCTION("""COMPUTED_VALUE"""),3449778.0)</f>
        <v>3449778</v>
      </c>
      <c r="C5988" t="str">
        <f>IFERROR(__xludf.DUMMYFUNCTION("""COMPUTED_VALUE"""),"Churn, CLV, MRR, CAC, NPS... - 20 SaaS metrics you must know")</f>
        <v>Churn, CLV, MRR, CAC, NPS... - 20 SaaS metrics you must know</v>
      </c>
    </row>
    <row r="5989">
      <c r="A5989" s="140" t="str">
        <f>IFERROR(__xludf.DUMMYFUNCTION("""COMPUTED_VALUE"""),"en")</f>
        <v>en</v>
      </c>
      <c r="B5989">
        <f>IFERROR(__xludf.DUMMYFUNCTION("""COMPUTED_VALUE"""),47997.0)</f>
        <v>47997</v>
      </c>
      <c r="C5989" t="str">
        <f>IFERROR(__xludf.DUMMYFUNCTION("""COMPUTED_VALUE"""),"Japanese In Context - Elementary Japanese Course")</f>
        <v>Japanese In Context - Elementary Japanese Course</v>
      </c>
    </row>
    <row r="5990">
      <c r="A5990" s="140" t="str">
        <f>IFERROR(__xludf.DUMMYFUNCTION("""COMPUTED_VALUE"""),"en")</f>
        <v>en</v>
      </c>
      <c r="B5990">
        <f>IFERROR(__xludf.DUMMYFUNCTION("""COMPUTED_VALUE"""),854500.0)</f>
        <v>854500</v>
      </c>
      <c r="C5990" t="str">
        <f>IFERROR(__xludf.DUMMYFUNCTION("""COMPUTED_VALUE"""),"English Fluency | How to Sound Like a Native English Speaker")</f>
        <v>English Fluency | How to Sound Like a Native English Speaker</v>
      </c>
    </row>
    <row r="5991">
      <c r="A5991" s="140" t="str">
        <f>IFERROR(__xludf.DUMMYFUNCTION("""COMPUTED_VALUE"""),"es")</f>
        <v>es</v>
      </c>
      <c r="B5991">
        <f>IFERROR(__xludf.DUMMYFUNCTION("""COMPUTED_VALUE"""),2867812.0)</f>
        <v>2867812</v>
      </c>
      <c r="C5991" t="str">
        <f>IFERROR(__xludf.DUMMYFUNCTION("""COMPUTED_VALUE"""),"Universidad Python  2021 - PySide, Tkinter, Django y Flask!")</f>
        <v>Universidad Python  2021 - PySide, Tkinter, Django y Flask!</v>
      </c>
    </row>
    <row r="5992">
      <c r="A5992" s="140" t="str">
        <f>IFERROR(__xludf.DUMMYFUNCTION("""COMPUTED_VALUE"""),"en")</f>
        <v>en</v>
      </c>
      <c r="B5992">
        <f>IFERROR(__xludf.DUMMYFUNCTION("""COMPUTED_VALUE"""),1323994.0)</f>
        <v>1323994</v>
      </c>
      <c r="C5992" t="str">
        <f>IFERROR(__xludf.DUMMYFUNCTION("""COMPUTED_VALUE"""),"Master Decision making with "" Excel What-If Analysis"" !")</f>
        <v>Master Decision making with " Excel What-If Analysis" !</v>
      </c>
    </row>
    <row r="5993">
      <c r="A5993" s="140" t="str">
        <f>IFERROR(__xludf.DUMMYFUNCTION("""COMPUTED_VALUE"""),"de")</f>
        <v>de</v>
      </c>
      <c r="B5993">
        <f>IFERROR(__xludf.DUMMYFUNCTION("""COMPUTED_VALUE"""),1581856.0)</f>
        <v>1581856</v>
      </c>
      <c r="C5993" t="str">
        <f>IFERROR(__xludf.DUMMYFUNCTION("""COMPUTED_VALUE"""),"Product Owner:in (agile/Scrum - v. 2020)")</f>
        <v>Product Owner:in (agile/Scrum - v. 2020)</v>
      </c>
    </row>
    <row r="5994">
      <c r="A5994" s="140" t="str">
        <f>IFERROR(__xludf.DUMMYFUNCTION("""COMPUTED_VALUE"""),"en")</f>
        <v>en</v>
      </c>
      <c r="B5994">
        <f>IFERROR(__xludf.DUMMYFUNCTION("""COMPUTED_VALUE"""),1683324.0)</f>
        <v>1683324</v>
      </c>
      <c r="C5994" t="str">
        <f>IFERROR(__xludf.DUMMYFUNCTION("""COMPUTED_VALUE"""),"TOTAL: CISM (Info. Security Mgr) Practice Tests - 400 Q's")</f>
        <v>TOTAL: CISM (Info. Security Mgr) Practice Tests - 400 Q's</v>
      </c>
    </row>
    <row r="5995">
      <c r="A5995" s="140" t="str">
        <f>IFERROR(__xludf.DUMMYFUNCTION("""COMPUTED_VALUE"""),"ar")</f>
        <v>ar</v>
      </c>
      <c r="B5995">
        <f>IFERROR(__xludf.DUMMYFUNCTION("""COMPUTED_VALUE"""),2782632.0)</f>
        <v>2782632</v>
      </c>
      <c r="C5995" t="str">
        <f>IFERROR(__xludf.DUMMYFUNCTION("""COMPUTED_VALUE"""),"STP تقسيم السوق والاستهداف وصناعة الصورة الذهنية")</f>
        <v>STP تقسيم السوق والاستهداف وصناعة الصورة الذهنية</v>
      </c>
    </row>
    <row r="5996">
      <c r="A5996" s="140" t="str">
        <f>IFERROR(__xludf.DUMMYFUNCTION("""COMPUTED_VALUE"""),"es")</f>
        <v>es</v>
      </c>
      <c r="B5996">
        <f>IFERROR(__xludf.DUMMYFUNCTION("""COMPUTED_VALUE"""),3877216.0)</f>
        <v>3877216</v>
      </c>
      <c r="C5996" t="str">
        <f>IFERROR(__xludf.DUMMYFUNCTION("""COMPUTED_VALUE"""),"Digital y Remoto más fácil y más agradable")</f>
        <v>Digital y Remoto más fácil y más agradable</v>
      </c>
    </row>
    <row r="5997">
      <c r="A5997" s="140" t="str">
        <f>IFERROR(__xludf.DUMMYFUNCTION("""COMPUTED_VALUE"""),"de")</f>
        <v>de</v>
      </c>
      <c r="B5997">
        <f>IFERROR(__xludf.DUMMYFUNCTION("""COMPUTED_VALUE"""),1171326.0)</f>
        <v>1171326</v>
      </c>
      <c r="C5997" t="str">
        <f>IFERROR(__xludf.DUMMYFUNCTION("""COMPUTED_VALUE"""),"Die Energie-Formel - Hol Dir mehr Kraft &amp; Lebensfreude!")</f>
        <v>Die Energie-Formel - Hol Dir mehr Kraft &amp; Lebensfreude!</v>
      </c>
    </row>
    <row r="5998">
      <c r="A5998" s="140" t="str">
        <f>IFERROR(__xludf.DUMMYFUNCTION("""COMPUTED_VALUE"""),"ar")</f>
        <v>ar</v>
      </c>
      <c r="B5998">
        <f>IFERROR(__xludf.DUMMYFUNCTION("""COMPUTED_VALUE"""),2546601.0)</f>
        <v>2546601</v>
      </c>
      <c r="C5998" t="str">
        <f>IFERROR(__xludf.DUMMYFUNCTION("""COMPUTED_VALUE"""),"البايثون ببساطة")</f>
        <v>البايثون ببساطة</v>
      </c>
    </row>
    <row r="5999">
      <c r="A5999" s="140" t="str">
        <f>IFERROR(__xludf.DUMMYFUNCTION("""COMPUTED_VALUE"""),"en")</f>
        <v>en</v>
      </c>
      <c r="B5999">
        <f>IFERROR(__xludf.DUMMYFUNCTION("""COMPUTED_VALUE"""),332248.0)</f>
        <v>332248</v>
      </c>
      <c r="C5999" t="str">
        <f>IFERROR(__xludf.DUMMYFUNCTION("""COMPUTED_VALUE"""),"Fundamentals of Business Crisis Management")</f>
        <v>Fundamentals of Business Crisis Management</v>
      </c>
    </row>
    <row r="6000">
      <c r="A6000" s="140" t="str">
        <f>IFERROR(__xludf.DUMMYFUNCTION("""COMPUTED_VALUE"""),"en")</f>
        <v>en</v>
      </c>
      <c r="B6000">
        <f>IFERROR(__xludf.DUMMYFUNCTION("""COMPUTED_VALUE"""),709152.0)</f>
        <v>709152</v>
      </c>
      <c r="C6000" t="str">
        <f>IFERROR(__xludf.DUMMYFUNCTION("""COMPUTED_VALUE"""),"Kinetic Typography in After Effects: Motion Graphics Course")</f>
        <v>Kinetic Typography in After Effects: Motion Graphics Course</v>
      </c>
    </row>
    <row r="6001">
      <c r="A6001" s="140" t="str">
        <f>IFERROR(__xludf.DUMMYFUNCTION("""COMPUTED_VALUE"""),"pt")</f>
        <v>pt</v>
      </c>
      <c r="B6001">
        <f>IFERROR(__xludf.DUMMYFUNCTION("""COMPUTED_VALUE"""),2800850.0)</f>
        <v>2800850</v>
      </c>
      <c r="C6001" t="str">
        <f>IFERROR(__xludf.DUMMYFUNCTION("""COMPUTED_VALUE"""),"Curso de Adobe XD ANIMAÇÕES TOP - UI UX Design Profissional")</f>
        <v>Curso de Adobe XD ANIMAÇÕES TOP - UI UX Design Profissional</v>
      </c>
    </row>
    <row r="6002">
      <c r="A6002" s="140" t="str">
        <f>IFERROR(__xludf.DUMMYFUNCTION("""COMPUTED_VALUE"""),"es")</f>
        <v>es</v>
      </c>
      <c r="B6002">
        <f>IFERROR(__xludf.DUMMYFUNCTION("""COMPUTED_VALUE"""),2346850.0)</f>
        <v>2346850</v>
      </c>
      <c r="C6002" t="str">
        <f>IFERROR(__xludf.DUMMYFUNCTION("""COMPUTED_VALUE"""),"Aprende Issabel PBX desde cero")</f>
        <v>Aprende Issabel PBX desde cero</v>
      </c>
    </row>
    <row r="6003">
      <c r="A6003" s="140" t="str">
        <f>IFERROR(__xludf.DUMMYFUNCTION("""COMPUTED_VALUE"""),"es")</f>
        <v>es</v>
      </c>
      <c r="B6003">
        <f>IFERROR(__xludf.DUMMYFUNCTION("""COMPUTED_VALUE"""),1531272.0)</f>
        <v>1531272</v>
      </c>
      <c r="C6003" t="str">
        <f>IFERROR(__xludf.DUMMYFUNCTION("""COMPUTED_VALUE"""),"Curso completo: aprende HTML, CSS y JS desde cero con JB")</f>
        <v>Curso completo: aprende HTML, CSS y JS desde cero con JB</v>
      </c>
    </row>
    <row r="6004">
      <c r="A6004" s="140" t="str">
        <f>IFERROR(__xludf.DUMMYFUNCTION("""COMPUTED_VALUE"""),"en")</f>
        <v>en</v>
      </c>
      <c r="B6004">
        <f>IFERROR(__xludf.DUMMYFUNCTION("""COMPUTED_VALUE"""),1097966.0)</f>
        <v>1097966</v>
      </c>
      <c r="C6004" t="str">
        <f>IFERROR(__xludf.DUMMYFUNCTION("""COMPUTED_VALUE"""),"Service Design: Designing for Experience Over Time")</f>
        <v>Service Design: Designing for Experience Over Time</v>
      </c>
    </row>
    <row r="6005">
      <c r="A6005" s="140" t="str">
        <f>IFERROR(__xludf.DUMMYFUNCTION("""COMPUTED_VALUE"""),"en")</f>
        <v>en</v>
      </c>
      <c r="B6005">
        <f>IFERROR(__xludf.DUMMYFUNCTION("""COMPUTED_VALUE"""),3305280.0)</f>
        <v>3305280</v>
      </c>
      <c r="C6005" t="str">
        <f>IFERROR(__xludf.DUMMYFUNCTION("""COMPUTED_VALUE"""),"OKTA Certified Professional Practice Test")</f>
        <v>OKTA Certified Professional Practice Test</v>
      </c>
    </row>
    <row r="6006">
      <c r="A6006" s="140" t="str">
        <f>IFERROR(__xludf.DUMMYFUNCTION("""COMPUTED_VALUE"""),"en")</f>
        <v>en</v>
      </c>
      <c r="B6006">
        <f>IFERROR(__xludf.DUMMYFUNCTION("""COMPUTED_VALUE"""),1256352.0)</f>
        <v>1256352</v>
      </c>
      <c r="C6006" t="str">
        <f>IFERROR(__xludf.DUMMYFUNCTION("""COMPUTED_VALUE"""),"ISTQB Foundation Level Exams &amp; Explanations  - Updated 2021")</f>
        <v>ISTQB Foundation Level Exams &amp; Explanations  - Updated 2021</v>
      </c>
    </row>
    <row r="6007">
      <c r="A6007" s="140" t="str">
        <f>IFERROR(__xludf.DUMMYFUNCTION("""COMPUTED_VALUE"""),"en")</f>
        <v>en</v>
      </c>
      <c r="B6007">
        <f>IFERROR(__xludf.DUMMYFUNCTION("""COMPUTED_VALUE"""),3594850.0)</f>
        <v>3594850</v>
      </c>
      <c r="C6007" t="str">
        <f>IFERROR(__xludf.DUMMYFUNCTION("""COMPUTED_VALUE"""),"AWS Certification - Developer Associate - 2021")</f>
        <v>AWS Certification - Developer Associate - 2021</v>
      </c>
    </row>
    <row r="6008">
      <c r="A6008" s="140" t="str">
        <f>IFERROR(__xludf.DUMMYFUNCTION("""COMPUTED_VALUE"""),"es")</f>
        <v>es</v>
      </c>
      <c r="B6008">
        <f>IFERROR(__xludf.DUMMYFUNCTION("""COMPUTED_VALUE"""),788524.0)</f>
        <v>788524</v>
      </c>
      <c r="C6008" t="str">
        <f>IFERROR(__xludf.DUMMYFUNCTION("""COMPUTED_VALUE"""),"Curso Completo de Desarrollo de Apps para Apple Watch")</f>
        <v>Curso Completo de Desarrollo de Apps para Apple Watch</v>
      </c>
    </row>
    <row r="6009">
      <c r="A6009" s="140" t="str">
        <f>IFERROR(__xludf.DUMMYFUNCTION("""COMPUTED_VALUE"""),"es")</f>
        <v>es</v>
      </c>
      <c r="B6009">
        <f>IFERROR(__xludf.DUMMYFUNCTION("""COMPUTED_VALUE"""),4101346.0)</f>
        <v>4101346</v>
      </c>
      <c r="C6009" t="str">
        <f>IFERROR(__xludf.DUMMYFUNCTION("""COMPUTED_VALUE"""),"Curso Completo de Blockchain de cero a experto")</f>
        <v>Curso Completo de Blockchain de cero a experto</v>
      </c>
    </row>
    <row r="6010">
      <c r="A6010" s="140" t="str">
        <f>IFERROR(__xludf.DUMMYFUNCTION("""COMPUTED_VALUE"""),"es")</f>
        <v>es</v>
      </c>
      <c r="B6010">
        <f>IFERROR(__xludf.DUMMYFUNCTION("""COMPUTED_VALUE"""),1465192.0)</f>
        <v>1465192</v>
      </c>
      <c r="C6010" t="str">
        <f>IFERROR(__xludf.DUMMYFUNCTION("""COMPUTED_VALUE"""),"Sistema de ventas profesional Java &amp; MySQL y SQL full stack")</f>
        <v>Sistema de ventas profesional Java &amp; MySQL y SQL full stack</v>
      </c>
    </row>
    <row r="6011">
      <c r="A6011" s="140" t="str">
        <f>IFERROR(__xludf.DUMMYFUNCTION("""COMPUTED_VALUE"""),"zh")</f>
        <v>zh</v>
      </c>
      <c r="B6011">
        <f>IFERROR(__xludf.DUMMYFUNCTION("""COMPUTED_VALUE"""),2011780.0)</f>
        <v>2011780</v>
      </c>
      <c r="C6011" t="str">
        <f>IFERROR(__xludf.DUMMYFUNCTION("""COMPUTED_VALUE"""),"正尚网络营销 - 6合1课程")</f>
        <v>正尚网络营销 - 6合1课程</v>
      </c>
    </row>
    <row r="6012">
      <c r="A6012" s="140" t="str">
        <f>IFERROR(__xludf.DUMMYFUNCTION("""COMPUTED_VALUE"""),"en")</f>
        <v>en</v>
      </c>
      <c r="B6012">
        <f>IFERROR(__xludf.DUMMYFUNCTION("""COMPUTED_VALUE"""),690058.0)</f>
        <v>690058</v>
      </c>
      <c r="C6012" t="str">
        <f>IFERROR(__xludf.DUMMYFUNCTION("""COMPUTED_VALUE"""),"Introduction to Time Series Analysis and Forecasting in R")</f>
        <v>Introduction to Time Series Analysis and Forecasting in R</v>
      </c>
    </row>
    <row r="6013">
      <c r="A6013" s="140" t="str">
        <f>IFERROR(__xludf.DUMMYFUNCTION("""COMPUTED_VALUE"""),"es")</f>
        <v>es</v>
      </c>
      <c r="B6013">
        <f>IFERROR(__xludf.DUMMYFUNCTION("""COMPUTED_VALUE"""),3731232.0)</f>
        <v>3731232</v>
      </c>
      <c r="C6013" t="str">
        <f>IFERROR(__xludf.DUMMYFUNCTION("""COMPUTED_VALUE"""),"Master en PHP Moderno 7 y 8 POO, PDO, Mysql, SQL, PostgreSQL")</f>
        <v>Master en PHP Moderno 7 y 8 POO, PDO, Mysql, SQL, PostgreSQL</v>
      </c>
    </row>
    <row r="6014">
      <c r="A6014" s="140" t="str">
        <f>IFERROR(__xludf.DUMMYFUNCTION("""COMPUTED_VALUE"""),"en")</f>
        <v>en</v>
      </c>
      <c r="B6014">
        <f>IFERROR(__xludf.DUMMYFUNCTION("""COMPUTED_VALUE"""),3459452.0)</f>
        <v>3459452</v>
      </c>
      <c r="C6014" t="str">
        <f>IFERROR(__xludf.DUMMYFUNCTION("""COMPUTED_VALUE"""),"Getting yourself organized with Org-mode")</f>
        <v>Getting yourself organized with Org-mode</v>
      </c>
    </row>
    <row r="6015">
      <c r="A6015" s="140" t="str">
        <f>IFERROR(__xludf.DUMMYFUNCTION("""COMPUTED_VALUE"""),"tr")</f>
        <v>tr</v>
      </c>
      <c r="B6015">
        <f>IFERROR(__xludf.DUMMYFUNCTION("""COMPUTED_VALUE"""),2293755.0)</f>
        <v>2293755</v>
      </c>
      <c r="C6015" t="str">
        <f>IFERROR(__xludf.DUMMYFUNCTION("""COMPUTED_VALUE"""),"Docker: A'dan Z'ye Tüm Yönleriyle")</f>
        <v>Docker: A'dan Z'ye Tüm Yönleriyle</v>
      </c>
    </row>
    <row r="6016">
      <c r="A6016" s="140" t="str">
        <f>IFERROR(__xludf.DUMMYFUNCTION("""COMPUTED_VALUE"""),"de")</f>
        <v>de</v>
      </c>
      <c r="B6016">
        <f>IFERROR(__xludf.DUMMYFUNCTION("""COMPUTED_VALUE"""),3975244.0)</f>
        <v>3975244</v>
      </c>
      <c r="C6016" t="str">
        <f>IFERROR(__xludf.DUMMYFUNCTION("""COMPUTED_VALUE"""),"Der ultimative Regular Expression Komplettkurs")</f>
        <v>Der ultimative Regular Expression Komplettkurs</v>
      </c>
    </row>
    <row r="6017">
      <c r="A6017" s="140" t="str">
        <f>IFERROR(__xludf.DUMMYFUNCTION("""COMPUTED_VALUE"""),"en")</f>
        <v>en</v>
      </c>
      <c r="B6017">
        <f>IFERROR(__xludf.DUMMYFUNCTION("""COMPUTED_VALUE"""),913198.0)</f>
        <v>913198</v>
      </c>
      <c r="C6017" t="str">
        <f>IFERROR(__xludf.DUMMYFUNCTION("""COMPUTED_VALUE"""),"100 idioms for TOEFL, TOEIC, FCE or CAE")</f>
        <v>100 idioms for TOEFL, TOEIC, FCE or CAE</v>
      </c>
    </row>
    <row r="6018">
      <c r="A6018" s="140" t="str">
        <f>IFERROR(__xludf.DUMMYFUNCTION("""COMPUTED_VALUE"""),"en")</f>
        <v>en</v>
      </c>
      <c r="B6018">
        <f>IFERROR(__xludf.DUMMYFUNCTION("""COMPUTED_VALUE"""),567826.0)</f>
        <v>567826</v>
      </c>
      <c r="C6018" t="str">
        <f>IFERROR(__xludf.DUMMYFUNCTION("""COMPUTED_VALUE"""),"Art for Beginners: Drawing and Watercolor Painting Animals")</f>
        <v>Art for Beginners: Drawing and Watercolor Painting Animals</v>
      </c>
    </row>
    <row r="6019">
      <c r="A6019" s="140" t="str">
        <f>IFERROR(__xludf.DUMMYFUNCTION("""COMPUTED_VALUE"""),"es")</f>
        <v>es</v>
      </c>
      <c r="B6019">
        <f>IFERROR(__xludf.DUMMYFUNCTION("""COMPUTED_VALUE"""),1031466.0)</f>
        <v>1031466</v>
      </c>
      <c r="C6019" t="str">
        <f>IFERROR(__xludf.DUMMYFUNCTION("""COMPUTED_VALUE"""),"Negociación en Tiempos de Incertidumbre")</f>
        <v>Negociación en Tiempos de Incertidumbre</v>
      </c>
    </row>
    <row r="6020">
      <c r="A6020" s="140" t="str">
        <f>IFERROR(__xludf.DUMMYFUNCTION("""COMPUTED_VALUE"""),"es")</f>
        <v>es</v>
      </c>
      <c r="B6020">
        <f>IFERROR(__xludf.DUMMYFUNCTION("""COMPUTED_VALUE"""),1898236.0)</f>
        <v>1898236</v>
      </c>
      <c r="C6020" t="str">
        <f>IFERROR(__xludf.DUMMYFUNCTION("""COMPUTED_VALUE"""),"Business Intelligence Power BI - Toma Decisiones Inteligente")</f>
        <v>Business Intelligence Power BI - Toma Decisiones Inteligente</v>
      </c>
    </row>
    <row r="6021">
      <c r="A6021" s="140" t="str">
        <f>IFERROR(__xludf.DUMMYFUNCTION("""COMPUTED_VALUE"""),"fr")</f>
        <v>fr</v>
      </c>
      <c r="B6021">
        <f>IFERROR(__xludf.DUMMYFUNCTION("""COMPUTED_VALUE"""),1694652.0)</f>
        <v>1694652</v>
      </c>
      <c r="C6021" t="str">
        <f>IFERROR(__xludf.DUMMYFUNCTION("""COMPUTED_VALUE"""),"Flutter 2 &amp; Dart: Créez des applications pour iOS et Android")</f>
        <v>Flutter 2 &amp; Dart: Créez des applications pour iOS et Android</v>
      </c>
    </row>
    <row r="6022">
      <c r="A6022" s="140" t="str">
        <f>IFERROR(__xludf.DUMMYFUNCTION("""COMPUTED_VALUE"""),"en")</f>
        <v>en</v>
      </c>
      <c r="B6022">
        <f>IFERROR(__xludf.DUMMYFUNCTION("""COMPUTED_VALUE"""),502138.0)</f>
        <v>502138</v>
      </c>
      <c r="C6022" t="str">
        <f>IFERROR(__xludf.DUMMYFUNCTION("""COMPUTED_VALUE"""),"Adobe Illustrator CC Mastery: Zero to Hero in Illustrator")</f>
        <v>Adobe Illustrator CC Mastery: Zero to Hero in Illustrator</v>
      </c>
    </row>
    <row r="6023">
      <c r="A6023" s="140" t="str">
        <f>IFERROR(__xludf.DUMMYFUNCTION("""COMPUTED_VALUE"""),"fr")</f>
        <v>fr</v>
      </c>
      <c r="B6023">
        <f>IFERROR(__xludf.DUMMYFUNCTION("""COMPUTED_VALUE"""),2405968.0)</f>
        <v>2405968</v>
      </c>
      <c r="C6023" t="str">
        <f>IFERROR(__xludf.DUMMYFUNCTION("""COMPUTED_VALUE"""),"Augmentez vos ventes grâce au Marketing Automation")</f>
        <v>Augmentez vos ventes grâce au Marketing Automation</v>
      </c>
    </row>
    <row r="6024">
      <c r="A6024" s="140" t="str">
        <f>IFERROR(__xludf.DUMMYFUNCTION("""COMPUTED_VALUE"""),"en")</f>
        <v>en</v>
      </c>
      <c r="B6024">
        <f>IFERROR(__xludf.DUMMYFUNCTION("""COMPUTED_VALUE"""),1661222.0)</f>
        <v>1661222</v>
      </c>
      <c r="C6024" t="str">
        <f>IFERROR(__xludf.DUMMYFUNCTION("""COMPUTED_VALUE"""),"Python Data Analysis &amp; Visualization Bootcamp")</f>
        <v>Python Data Analysis &amp; Visualization Bootcamp</v>
      </c>
    </row>
    <row r="6025">
      <c r="A6025" s="140" t="str">
        <f>IFERROR(__xludf.DUMMYFUNCTION("""COMPUTED_VALUE"""),"en")</f>
        <v>en</v>
      </c>
      <c r="B6025">
        <f>IFERROR(__xludf.DUMMYFUNCTION("""COMPUTED_VALUE"""),880202.0)</f>
        <v>880202</v>
      </c>
      <c r="C6025" t="str">
        <f>IFERROR(__xludf.DUMMYFUNCTION("""COMPUTED_VALUE"""),"Complete Beginner's Guide to Anatomy and Figure Drawing pt1")</f>
        <v>Complete Beginner's Guide to Anatomy and Figure Drawing pt1</v>
      </c>
    </row>
    <row r="6026">
      <c r="A6026" s="140" t="str">
        <f>IFERROR(__xludf.DUMMYFUNCTION("""COMPUTED_VALUE"""),"ja")</f>
        <v>ja</v>
      </c>
      <c r="B6026">
        <f>IFERROR(__xludf.DUMMYFUNCTION("""COMPUTED_VALUE"""),4061172.0)</f>
        <v>4061172</v>
      </c>
      <c r="C6026" t="str">
        <f>IFERROR(__xludf.DUMMYFUNCTION("""COMPUTED_VALUE"""),"＜UB確認テスト＞【ゼロからおさらい】統計学の基礎")</f>
        <v>＜UB確認テスト＞【ゼロからおさらい】統計学の基礎</v>
      </c>
    </row>
    <row r="6027">
      <c r="A6027" s="140" t="str">
        <f>IFERROR(__xludf.DUMMYFUNCTION("""COMPUTED_VALUE"""),"en")</f>
        <v>en</v>
      </c>
      <c r="B6027">
        <f>IFERROR(__xludf.DUMMYFUNCTION("""COMPUTED_VALUE"""),3358250.0)</f>
        <v>3358250</v>
      </c>
      <c r="C6027" t="str">
        <f>IFERROR(__xludf.DUMMYFUNCTION("""COMPUTED_VALUE"""),"Practical Reactive Streams with Akka and Java")</f>
        <v>Practical Reactive Streams with Akka and Java</v>
      </c>
    </row>
    <row r="6028">
      <c r="A6028" s="140" t="str">
        <f>IFERROR(__xludf.DUMMYFUNCTION("""COMPUTED_VALUE"""),"en")</f>
        <v>en</v>
      </c>
      <c r="B6028">
        <f>IFERROR(__xludf.DUMMYFUNCTION("""COMPUTED_VALUE"""),1608568.0)</f>
        <v>1608568</v>
      </c>
      <c r="C6028" t="str">
        <f>IFERROR(__xludf.DUMMYFUNCTION("""COMPUTED_VALUE"""),"Certified Healthcare InfoSys Security Practitioner (CHISSP)")</f>
        <v>Certified Healthcare InfoSys Security Practitioner (CHISSP)</v>
      </c>
    </row>
    <row r="6029">
      <c r="A6029" s="140" t="str">
        <f>IFERROR(__xludf.DUMMYFUNCTION("""COMPUTED_VALUE"""),"tr")</f>
        <v>tr</v>
      </c>
      <c r="B6029">
        <f>IFERROR(__xludf.DUMMYFUNCTION("""COMPUTED_VALUE"""),2888932.0)</f>
        <v>2888932</v>
      </c>
      <c r="C6029" t="str">
        <f>IFERROR(__xludf.DUMMYFUNCTION("""COMPUTED_VALUE"""),"İşaret Dili Eğitimi")</f>
        <v>İşaret Dili Eğitimi</v>
      </c>
    </row>
    <row r="6030">
      <c r="A6030" s="140" t="str">
        <f>IFERROR(__xludf.DUMMYFUNCTION("""COMPUTED_VALUE"""),"en")</f>
        <v>en</v>
      </c>
      <c r="B6030">
        <f>IFERROR(__xludf.DUMMYFUNCTION("""COMPUTED_VALUE"""),1847628.0)</f>
        <v>1847628</v>
      </c>
      <c r="C6030" t="str">
        <f>IFERROR(__xludf.DUMMYFUNCTION("""COMPUTED_VALUE"""),"Sales Skills - How to sell value instead of price")</f>
        <v>Sales Skills - How to sell value instead of price</v>
      </c>
    </row>
    <row r="6031">
      <c r="A6031" s="140" t="str">
        <f>IFERROR(__xludf.DUMMYFUNCTION("""COMPUTED_VALUE"""),"en")</f>
        <v>en</v>
      </c>
      <c r="B6031">
        <f>IFERROR(__xludf.DUMMYFUNCTION("""COMPUTED_VALUE"""),548062.0)</f>
        <v>548062</v>
      </c>
      <c r="C6031" t="str">
        <f>IFERROR(__xludf.DUMMYFUNCTION("""COMPUTED_VALUE"""),"XSLT XPATH and XQuery Fundamentals")</f>
        <v>XSLT XPATH and XQuery Fundamentals</v>
      </c>
    </row>
    <row r="6032">
      <c r="A6032" s="140" t="str">
        <f>IFERROR(__xludf.DUMMYFUNCTION("""COMPUTED_VALUE"""),"pt")</f>
        <v>pt</v>
      </c>
      <c r="B6032">
        <f>IFERROR(__xludf.DUMMYFUNCTION("""COMPUTED_VALUE"""),1902954.0)</f>
        <v>1902954</v>
      </c>
      <c r="C6032" t="str">
        <f>IFERROR(__xludf.DUMMYFUNCTION("""COMPUTED_VALUE"""),"Figma: Design colaborativo do básico ao protótipo responsivo")</f>
        <v>Figma: Design colaborativo do básico ao protótipo responsivo</v>
      </c>
    </row>
    <row r="6033">
      <c r="A6033" s="140" t="str">
        <f>IFERROR(__xludf.DUMMYFUNCTION("""COMPUTED_VALUE"""),"en")</f>
        <v>en</v>
      </c>
      <c r="B6033">
        <f>IFERROR(__xludf.DUMMYFUNCTION("""COMPUTED_VALUE"""),1305944.0)</f>
        <v>1305944</v>
      </c>
      <c r="C6033" t="str">
        <f>IFERROR(__xludf.DUMMYFUNCTION("""COMPUTED_VALUE"""),"Learn Swagger and the Open API Specification")</f>
        <v>Learn Swagger and the Open API Specification</v>
      </c>
    </row>
    <row r="6034">
      <c r="A6034" s="140" t="str">
        <f>IFERROR(__xludf.DUMMYFUNCTION("""COMPUTED_VALUE"""),"pt")</f>
        <v>pt</v>
      </c>
      <c r="B6034">
        <f>IFERROR(__xludf.DUMMYFUNCTION("""COMPUTED_VALUE"""),1105678.0)</f>
        <v>1105678</v>
      </c>
      <c r="C6034" t="str">
        <f>IFERROR(__xludf.DUMMYFUNCTION("""COMPUTED_VALUE"""),"Desenvolvedor Qlikview do Zero")</f>
        <v>Desenvolvedor Qlikview do Zero</v>
      </c>
    </row>
    <row r="6035">
      <c r="A6035" s="140" t="str">
        <f>IFERROR(__xludf.DUMMYFUNCTION("""COMPUTED_VALUE"""),"tr")</f>
        <v>tr</v>
      </c>
      <c r="B6035">
        <f>IFERROR(__xludf.DUMMYFUNCTION("""COMPUTED_VALUE"""),2415076.0)</f>
        <v>2415076</v>
      </c>
      <c r="C6035" t="str">
        <f>IFERROR(__xludf.DUMMYFUNCTION("""COMPUTED_VALUE"""),"Angular 8 | 9 ile adım adım blog sitesi (25 saat)")</f>
        <v>Angular 8 | 9 ile adım adım blog sitesi (25 saat)</v>
      </c>
    </row>
    <row r="6036">
      <c r="A6036" s="140" t="str">
        <f>IFERROR(__xludf.DUMMYFUNCTION("""COMPUTED_VALUE"""),"en")</f>
        <v>en</v>
      </c>
      <c r="B6036">
        <f>IFERROR(__xludf.DUMMYFUNCTION("""COMPUTED_VALUE"""),3987824.0)</f>
        <v>3987824</v>
      </c>
      <c r="C6036" t="str">
        <f>IFERROR(__xludf.DUMMYFUNCTION("""COMPUTED_VALUE"""),"Java Interview Help")</f>
        <v>Java Interview Help</v>
      </c>
    </row>
    <row r="6037">
      <c r="A6037" s="140" t="str">
        <f>IFERROR(__xludf.DUMMYFUNCTION("""COMPUTED_VALUE"""),"pt")</f>
        <v>pt</v>
      </c>
      <c r="B6037">
        <f>IFERROR(__xludf.DUMMYFUNCTION("""COMPUTED_VALUE"""),1729696.0)</f>
        <v>1729696</v>
      </c>
      <c r="C6037" t="str">
        <f>IFERROR(__xludf.DUMMYFUNCTION("""COMPUTED_VALUE"""),"Firebase para Android - Módulo I - Autenticações")</f>
        <v>Firebase para Android - Módulo I - Autenticações</v>
      </c>
    </row>
    <row r="6038">
      <c r="A6038" s="140" t="str">
        <f>IFERROR(__xludf.DUMMYFUNCTION("""COMPUTED_VALUE"""),"ar")</f>
        <v>ar</v>
      </c>
      <c r="B6038">
        <f>IFERROR(__xludf.DUMMYFUNCTION("""COMPUTED_VALUE"""),1421718.0)</f>
        <v>1421718</v>
      </c>
      <c r="C6038" t="str">
        <f>IFERROR(__xludf.DUMMYFUNCTION("""COMPUTED_VALUE"""),"المرجع الشامل لبناء وبرمجه المواقع ببايثون (Python+Django)")</f>
        <v>المرجع الشامل لبناء وبرمجه المواقع ببايثون (Python+Django)</v>
      </c>
    </row>
    <row r="6039">
      <c r="A6039" s="140" t="str">
        <f>IFERROR(__xludf.DUMMYFUNCTION("""COMPUTED_VALUE"""),"en")</f>
        <v>en</v>
      </c>
      <c r="B6039">
        <f>IFERROR(__xludf.DUMMYFUNCTION("""COMPUTED_VALUE"""),1343594.0)</f>
        <v>1343594</v>
      </c>
      <c r="C6039" t="str">
        <f>IFERROR(__xludf.DUMMYFUNCTION("""COMPUTED_VALUE"""),"Complete Python 3 Programming Bootcamp: Beginner to Advanced")</f>
        <v>Complete Python 3 Programming Bootcamp: Beginner to Advanced</v>
      </c>
    </row>
    <row r="6040">
      <c r="A6040" s="140" t="str">
        <f>IFERROR(__xludf.DUMMYFUNCTION("""COMPUTED_VALUE"""),"pt")</f>
        <v>pt</v>
      </c>
      <c r="B6040">
        <f>IFERROR(__xludf.DUMMYFUNCTION("""COMPUTED_VALUE"""),3077852.0)</f>
        <v>3077852</v>
      </c>
      <c r="C6040" t="str">
        <f>IFERROR(__xludf.DUMMYFUNCTION("""COMPUTED_VALUE"""),"Node.js Microservices: NestJS, RabbitMQ and Cloud Services")</f>
        <v>Node.js Microservices: NestJS, RabbitMQ and Cloud Services</v>
      </c>
    </row>
    <row r="6041">
      <c r="A6041" s="140" t="str">
        <f>IFERROR(__xludf.DUMMYFUNCTION("""COMPUTED_VALUE"""),"zh")</f>
        <v>zh</v>
      </c>
      <c r="B6041">
        <f>IFERROR(__xludf.DUMMYFUNCTION("""COMPUTED_VALUE"""),2498424.0)</f>
        <v>2498424</v>
      </c>
      <c r="C6041" t="str">
        <f>IFERROR(__xludf.DUMMYFUNCTION("""COMPUTED_VALUE"""),"Spring深入浅出教程(XML与Annotation)")</f>
        <v>Spring深入浅出教程(XML与Annotation)</v>
      </c>
    </row>
    <row r="6042">
      <c r="A6042" s="140" t="str">
        <f>IFERROR(__xludf.DUMMYFUNCTION("""COMPUTED_VALUE"""),"es")</f>
        <v>es</v>
      </c>
      <c r="B6042">
        <f>IFERROR(__xludf.DUMMYFUNCTION("""COMPUTED_VALUE"""),1981074.0)</f>
        <v>1981074</v>
      </c>
      <c r="C6042" t="str">
        <f>IFERROR(__xludf.DUMMYFUNCTION("""COMPUTED_VALUE"""),"Microsoft Excel - Fórmulas y Funciones Avanzadas en Excel")</f>
        <v>Microsoft Excel - Fórmulas y Funciones Avanzadas en Excel</v>
      </c>
    </row>
    <row r="6043">
      <c r="A6043" s="140" t="str">
        <f>IFERROR(__xludf.DUMMYFUNCTION("""COMPUTED_VALUE"""),"pt")</f>
        <v>pt</v>
      </c>
      <c r="B6043">
        <f>IFERROR(__xludf.DUMMYFUNCTION("""COMPUTED_VALUE"""),1059508.0)</f>
        <v>1059508</v>
      </c>
      <c r="C6043" t="str">
        <f>IFERROR(__xludf.DUMMYFUNCTION("""COMPUTED_VALUE"""),"ISO 27001: Construindo Políticas de Segurança da Informação")</f>
        <v>ISO 27001: Construindo Políticas de Segurança da Informação</v>
      </c>
    </row>
    <row r="6044">
      <c r="A6044" s="140" t="str">
        <f>IFERROR(__xludf.DUMMYFUNCTION("""COMPUTED_VALUE"""),"es")</f>
        <v>es</v>
      </c>
      <c r="B6044">
        <f>IFERROR(__xludf.DUMMYFUNCTION("""COMPUTED_VALUE"""),198952.0)</f>
        <v>198952</v>
      </c>
      <c r="C6044" t="str">
        <f>IFERROR(__xludf.DUMMYFUNCTION("""COMPUTED_VALUE"""),"Competencias Básicas para Desarrollar un Liderazgo Efectivo")</f>
        <v>Competencias Básicas para Desarrollar un Liderazgo Efectivo</v>
      </c>
    </row>
    <row r="6045">
      <c r="A6045" s="140" t="str">
        <f>IFERROR(__xludf.DUMMYFUNCTION("""COMPUTED_VALUE"""),"en")</f>
        <v>en</v>
      </c>
      <c r="B6045">
        <f>IFERROR(__xludf.DUMMYFUNCTION("""COMPUTED_VALUE"""),3565021.0)</f>
        <v>3565021</v>
      </c>
      <c r="C6045" t="str">
        <f>IFERROR(__xludf.DUMMYFUNCTION("""COMPUTED_VALUE"""),"Introduction to Continuous Integration &amp; Continuous Delivery")</f>
        <v>Introduction to Continuous Integration &amp; Continuous Delivery</v>
      </c>
    </row>
    <row r="6046">
      <c r="A6046" s="140" t="str">
        <f>IFERROR(__xludf.DUMMYFUNCTION("""COMPUTED_VALUE"""),"en")</f>
        <v>en</v>
      </c>
      <c r="B6046">
        <f>IFERROR(__xludf.DUMMYFUNCTION("""COMPUTED_VALUE"""),1591166.0)</f>
        <v>1591166</v>
      </c>
      <c r="C6046" t="str">
        <f>IFERROR(__xludf.DUMMYFUNCTION("""COMPUTED_VALUE"""),"Mainframe: The Complete JCL Course from Beginner to Expert")</f>
        <v>Mainframe: The Complete JCL Course from Beginner to Expert</v>
      </c>
    </row>
    <row r="6047">
      <c r="A6047" s="140" t="str">
        <f>IFERROR(__xludf.DUMMYFUNCTION("""COMPUTED_VALUE"""),"en")</f>
        <v>en</v>
      </c>
      <c r="B6047">
        <f>IFERROR(__xludf.DUMMYFUNCTION("""COMPUTED_VALUE"""),2573850.0)</f>
        <v>2573850</v>
      </c>
      <c r="C6047" t="str">
        <f>IFERROR(__xludf.DUMMYFUNCTION("""COMPUTED_VALUE"""),"iOS 13 - How to Make Amazing iPhone Apps: Xcode 11 &amp; Swift 5")</f>
        <v>iOS 13 - How to Make Amazing iPhone Apps: Xcode 11 &amp; Swift 5</v>
      </c>
    </row>
    <row r="6048">
      <c r="A6048" s="140" t="str">
        <f>IFERROR(__xludf.DUMMYFUNCTION("""COMPUTED_VALUE"""),"en")</f>
        <v>en</v>
      </c>
      <c r="B6048">
        <f>IFERROR(__xludf.DUMMYFUNCTION("""COMPUTED_VALUE"""),1863582.0)</f>
        <v>1863582</v>
      </c>
      <c r="C6048" t="str">
        <f>IFERROR(__xludf.DUMMYFUNCTION("""COMPUTED_VALUE"""),"Angular Step by Step for beginners")</f>
        <v>Angular Step by Step for beginners</v>
      </c>
    </row>
    <row r="6049">
      <c r="A6049" s="140" t="str">
        <f>IFERROR(__xludf.DUMMYFUNCTION("""COMPUTED_VALUE"""),"pt")</f>
        <v>pt</v>
      </c>
      <c r="B6049">
        <f>IFERROR(__xludf.DUMMYFUNCTION("""COMPUTED_VALUE"""),2389072.0)</f>
        <v>2389072</v>
      </c>
      <c r="C6049" t="str">
        <f>IFERROR(__xludf.DUMMYFUNCTION("""COMPUTED_VALUE"""),"Administração de Servidores Linux com Red Hat 8 / CentOS 8")</f>
        <v>Administração de Servidores Linux com Red Hat 8 / CentOS 8</v>
      </c>
    </row>
    <row r="6050">
      <c r="A6050" s="140" t="str">
        <f>IFERROR(__xludf.DUMMYFUNCTION("""COMPUTED_VALUE"""),"tr")</f>
        <v>tr</v>
      </c>
      <c r="B6050">
        <f>IFERROR(__xludf.DUMMYFUNCTION("""COMPUTED_VALUE"""),2980770.0)</f>
        <v>2980770</v>
      </c>
      <c r="C6050" t="str">
        <f>IFERROR(__xludf.DUMMYFUNCTION("""COMPUTED_VALUE"""),"SAS Enterprise Miner (Türkçe)")</f>
        <v>SAS Enterprise Miner (Türkçe)</v>
      </c>
    </row>
    <row r="6051">
      <c r="A6051" s="140" t="str">
        <f>IFERROR(__xludf.DUMMYFUNCTION("""COMPUTED_VALUE"""),"es")</f>
        <v>es</v>
      </c>
      <c r="B6051">
        <f>IFERROR(__xludf.DUMMYFUNCTION("""COMPUTED_VALUE"""),4076518.0)</f>
        <v>4076518</v>
      </c>
      <c r="C6051" t="str">
        <f>IFERROR(__xludf.DUMMYFUNCTION("""COMPUTED_VALUE"""),"Hacking Ético Ofensivo. 100% Practico en Red Team. Año 2021")</f>
        <v>Hacking Ético Ofensivo. 100% Practico en Red Team. Año 2021</v>
      </c>
    </row>
    <row r="6052">
      <c r="A6052" s="140" t="str">
        <f>IFERROR(__xludf.DUMMYFUNCTION("""COMPUTED_VALUE"""),"fr")</f>
        <v>fr</v>
      </c>
      <c r="B6052">
        <f>IFERROR(__xludf.DUMMYFUNCTION("""COMPUTED_VALUE"""),3915688.0)</f>
        <v>3915688</v>
      </c>
      <c r="C6052" t="str">
        <f>IFERROR(__xludf.DUMMYFUNCTION("""COMPUTED_VALUE"""),"Inbound Marketing : Créer sa stratégie de contenu de A à Z")</f>
        <v>Inbound Marketing : Créer sa stratégie de contenu de A à Z</v>
      </c>
    </row>
    <row r="6053">
      <c r="A6053" s="140" t="str">
        <f>IFERROR(__xludf.DUMMYFUNCTION("""COMPUTED_VALUE"""),"ja")</f>
        <v>ja</v>
      </c>
      <c r="B6053">
        <f>IFERROR(__xludf.DUMMYFUNCTION("""COMPUTED_VALUE"""),2325734.0)</f>
        <v>2325734</v>
      </c>
      <c r="C6053" t="str">
        <f>IFERROR(__xludf.DUMMYFUNCTION("""COMPUTED_VALUE"""),"Microsoft Power BI - Power BI Desktop入門講座")</f>
        <v>Microsoft Power BI - Power BI Desktop入門講座</v>
      </c>
    </row>
    <row r="6054">
      <c r="A6054" s="140" t="str">
        <f>IFERROR(__xludf.DUMMYFUNCTION("""COMPUTED_VALUE"""),"es")</f>
        <v>es</v>
      </c>
      <c r="B6054">
        <f>IFERROR(__xludf.DUMMYFUNCTION("""COMPUTED_VALUE"""),3078492.0)</f>
        <v>3078492</v>
      </c>
      <c r="C6054" t="str">
        <f>IFERROR(__xludf.DUMMYFUNCTION("""COMPUTED_VALUE"""),"Máster Completo en Java de cero a experto 2021 (+116 hrs)")</f>
        <v>Máster Completo en Java de cero a experto 2021 (+116 hrs)</v>
      </c>
    </row>
    <row r="6055">
      <c r="A6055" s="140" t="str">
        <f>IFERROR(__xludf.DUMMYFUNCTION("""COMPUTED_VALUE"""),"en")</f>
        <v>en</v>
      </c>
      <c r="B6055">
        <f>IFERROR(__xludf.DUMMYFUNCTION("""COMPUTED_VALUE"""),2266662.0)</f>
        <v>2266662</v>
      </c>
      <c r="C6055" t="str">
        <f>IFERROR(__xludf.DUMMYFUNCTION("""COMPUTED_VALUE"""),"CHANGE MANAGEMENT FOR ORGANIZATIONS: Drive Strategic Results")</f>
        <v>CHANGE MANAGEMENT FOR ORGANIZATIONS: Drive Strategic Results</v>
      </c>
    </row>
    <row r="6056">
      <c r="A6056" s="140" t="str">
        <f>IFERROR(__xludf.DUMMYFUNCTION("""COMPUTED_VALUE"""),"de")</f>
        <v>de</v>
      </c>
      <c r="B6056">
        <f>IFERROR(__xludf.DUMMYFUNCTION("""COMPUTED_VALUE"""),3550958.0)</f>
        <v>3550958</v>
      </c>
      <c r="C6056" t="str">
        <f>IFERROR(__xludf.DUMMYFUNCTION("""COMPUTED_VALUE"""),"Der Google Analytics Meisterkurs: Datenanalyse von A bis Z")</f>
        <v>Der Google Analytics Meisterkurs: Datenanalyse von A bis Z</v>
      </c>
    </row>
    <row r="6057">
      <c r="A6057" s="140" t="str">
        <f>IFERROR(__xludf.DUMMYFUNCTION("""COMPUTED_VALUE"""),"en")</f>
        <v>en</v>
      </c>
      <c r="B6057">
        <f>IFERROR(__xludf.DUMMYFUNCTION("""COMPUTED_VALUE"""),1252312.0)</f>
        <v>1252312</v>
      </c>
      <c r="C6057" t="str">
        <f>IFERROR(__xludf.DUMMYFUNCTION("""COMPUTED_VALUE"""),"Stock Market For Beginners - How To Start Investing Today")</f>
        <v>Stock Market For Beginners - How To Start Investing Today</v>
      </c>
    </row>
    <row r="6058">
      <c r="A6058" s="140" t="str">
        <f>IFERROR(__xludf.DUMMYFUNCTION("""COMPUTED_VALUE"""),"en")</f>
        <v>en</v>
      </c>
      <c r="B6058">
        <f>IFERROR(__xludf.DUMMYFUNCTION("""COMPUTED_VALUE"""),2505284.0)</f>
        <v>2505284</v>
      </c>
      <c r="C6058" t="str">
        <f>IFERROR(__xludf.DUMMYFUNCTION("""COMPUTED_VALUE"""),"Automation with Ansible Playbooks")</f>
        <v>Automation with Ansible Playbooks</v>
      </c>
    </row>
    <row r="6059">
      <c r="A6059" s="140" t="str">
        <f>IFERROR(__xludf.DUMMYFUNCTION("""COMPUTED_VALUE"""),"en")</f>
        <v>en</v>
      </c>
      <c r="B6059">
        <f>IFERROR(__xludf.DUMMYFUNCTION("""COMPUTED_VALUE"""),3760728.0)</f>
        <v>3760728</v>
      </c>
      <c r="C6059" t="str">
        <f>IFERROR(__xludf.DUMMYFUNCTION("""COMPUTED_VALUE"""),"GRE Complete Prep | Math, Verbal, Writing")</f>
        <v>GRE Complete Prep | Math, Verbal, Writing</v>
      </c>
    </row>
    <row r="6060">
      <c r="A6060" s="140" t="str">
        <f>IFERROR(__xludf.DUMMYFUNCTION("""COMPUTED_VALUE"""),"de")</f>
        <v>de</v>
      </c>
      <c r="B6060">
        <f>IFERROR(__xludf.DUMMYFUNCTION("""COMPUTED_VALUE"""),3068162.0)</f>
        <v>3068162</v>
      </c>
      <c r="C6060" t="str">
        <f>IFERROR(__xludf.DUMMYFUNCTION("""COMPUTED_VALUE"""),"Motivation ohne tschakka! 10 beste Tools, sich zu motivieren")</f>
        <v>Motivation ohne tschakka! 10 beste Tools, sich zu motivieren</v>
      </c>
    </row>
    <row r="6061">
      <c r="A6061" s="140" t="str">
        <f>IFERROR(__xludf.DUMMYFUNCTION("""COMPUTED_VALUE"""),"ja")</f>
        <v>ja</v>
      </c>
      <c r="B6061">
        <f>IFERROR(__xludf.DUMMYFUNCTION("""COMPUTED_VALUE"""),826392.0)</f>
        <v>826392</v>
      </c>
      <c r="C6061" t="str">
        <f>IFERROR(__xludf.DUMMYFUNCTION("""COMPUTED_VALUE"""),"【世界で30万人が受講】フルスタックWebエンジニア講座（2019最新版）")</f>
        <v>【世界で30万人が受講】フルスタックWebエンジニア講座（2019最新版）</v>
      </c>
    </row>
    <row r="6062">
      <c r="A6062" s="140" t="str">
        <f>IFERROR(__xludf.DUMMYFUNCTION("""COMPUTED_VALUE"""),"de")</f>
        <v>de</v>
      </c>
      <c r="B6062">
        <f>IFERROR(__xludf.DUMMYFUNCTION("""COMPUTED_VALUE"""),213670.0)</f>
        <v>213670</v>
      </c>
      <c r="C6062" t="str">
        <f>IFERROR(__xludf.DUMMYFUNCTION("""COMPUTED_VALUE"""),"Final Cut Pro X Deutsch")</f>
        <v>Final Cut Pro X Deutsch</v>
      </c>
    </row>
    <row r="6063">
      <c r="A6063" s="140" t="str">
        <f>IFERROR(__xludf.DUMMYFUNCTION("""COMPUTED_VALUE"""),"tr")</f>
        <v>tr</v>
      </c>
      <c r="B6063">
        <f>IFERROR(__xludf.DUMMYFUNCTION("""COMPUTED_VALUE"""),2746360.0)</f>
        <v>2746360</v>
      </c>
      <c r="C6063" t="str">
        <f>IFERROR(__xludf.DUMMYFUNCTION("""COMPUTED_VALUE"""),"Mvc5 ile 3 Panelli Kütüphane Yönetim Sistemi")</f>
        <v>Mvc5 ile 3 Panelli Kütüphane Yönetim Sistemi</v>
      </c>
    </row>
    <row r="6064">
      <c r="A6064" s="140" t="str">
        <f>IFERROR(__xludf.DUMMYFUNCTION("""COMPUTED_VALUE"""),"es")</f>
        <v>es</v>
      </c>
      <c r="B6064">
        <f>IFERROR(__xludf.DUMMYFUNCTION("""COMPUTED_VALUE"""),422430.0)</f>
        <v>422430</v>
      </c>
      <c r="C6064" t="str">
        <f>IFERROR(__xludf.DUMMYFUNCTION("""COMPUTED_VALUE"""),"Oracle Database 12c Lenguaje de programación PL/SQL")</f>
        <v>Oracle Database 12c Lenguaje de programación PL/SQL</v>
      </c>
    </row>
    <row r="6065">
      <c r="A6065" s="140" t="str">
        <f>IFERROR(__xludf.DUMMYFUNCTION("""COMPUTED_VALUE"""),"ja")</f>
        <v>ja</v>
      </c>
      <c r="B6065">
        <f>IFERROR(__xludf.DUMMYFUNCTION("""COMPUTED_VALUE"""),3692270.0)</f>
        <v>3692270</v>
      </c>
      <c r="C6065" t="str">
        <f>IFERROR(__xludf.DUMMYFUNCTION("""COMPUTED_VALUE"""),"JUnitシリーズ① ユニットテストの基本を学ぶ")</f>
        <v>JUnitシリーズ① ユニットテストの基本を学ぶ</v>
      </c>
    </row>
    <row r="6066">
      <c r="A6066" s="140" t="str">
        <f>IFERROR(__xludf.DUMMYFUNCTION("""COMPUTED_VALUE"""),"de")</f>
        <v>de</v>
      </c>
      <c r="B6066">
        <f>IFERROR(__xludf.DUMMYFUNCTION("""COMPUTED_VALUE"""),792660.0)</f>
        <v>792660</v>
      </c>
      <c r="C6066" t="str">
        <f>IFERROR(__xludf.DUMMYFUNCTION("""COMPUTED_VALUE"""),"Karriere managen: Die besten Erfolgsstrategien")</f>
        <v>Karriere managen: Die besten Erfolgsstrategien</v>
      </c>
    </row>
    <row r="6067">
      <c r="A6067" s="140" t="str">
        <f>IFERROR(__xludf.DUMMYFUNCTION("""COMPUTED_VALUE"""),"en")</f>
        <v>en</v>
      </c>
      <c r="B6067">
        <f>IFERROR(__xludf.DUMMYFUNCTION("""COMPUTED_VALUE"""),437860.0)</f>
        <v>437860</v>
      </c>
      <c r="C6067" t="str">
        <f>IFERROR(__xludf.DUMMYFUNCTION("""COMPUTED_VALUE"""),"Effectively Managing Employee Performance")</f>
        <v>Effectively Managing Employee Performance</v>
      </c>
    </row>
    <row r="6068">
      <c r="A6068" s="140" t="str">
        <f>IFERROR(__xludf.DUMMYFUNCTION("""COMPUTED_VALUE"""),"es")</f>
        <v>es</v>
      </c>
      <c r="B6068">
        <f>IFERROR(__xludf.DUMMYFUNCTION("""COMPUTED_VALUE"""),3587810.0)</f>
        <v>3587810</v>
      </c>
      <c r="C6068" t="str">
        <f>IFERROR(__xludf.DUMMYFUNCTION("""COMPUTED_VALUE"""),"People Analytics con Power BI: Análisis en Recursos Humanos")</f>
        <v>People Analytics con Power BI: Análisis en Recursos Humanos</v>
      </c>
    </row>
    <row r="6069">
      <c r="A6069" s="140" t="str">
        <f>IFERROR(__xludf.DUMMYFUNCTION("""COMPUTED_VALUE"""),"es")</f>
        <v>es</v>
      </c>
      <c r="B6069">
        <f>IFERROR(__xludf.DUMMYFUNCTION("""COMPUTED_VALUE"""),2069857.0)</f>
        <v>2069857</v>
      </c>
      <c r="C6069" t="str">
        <f>IFERROR(__xludf.DUMMYFUNCTION("""COMPUTED_VALUE"""),"Máster en SQL Server: Desde Cero a Nivel Profesional 2021")</f>
        <v>Máster en SQL Server: Desde Cero a Nivel Profesional 2021</v>
      </c>
    </row>
    <row r="6070">
      <c r="A6070" s="140" t="str">
        <f>IFERROR(__xludf.DUMMYFUNCTION("""COMPUTED_VALUE"""),"en")</f>
        <v>en</v>
      </c>
      <c r="B6070">
        <f>IFERROR(__xludf.DUMMYFUNCTION("""COMPUTED_VALUE"""),673574.0)</f>
        <v>673574</v>
      </c>
      <c r="C6070" t="str">
        <f>IFERROR(__xludf.DUMMYFUNCTION("""COMPUTED_VALUE"""),"Conscious Business: Building Collaborative &amp; Engaged Teams")</f>
        <v>Conscious Business: Building Collaborative &amp; Engaged Teams</v>
      </c>
    </row>
    <row r="6071">
      <c r="A6071" s="140" t="str">
        <f>IFERROR(__xludf.DUMMYFUNCTION("""COMPUTED_VALUE"""),"en")</f>
        <v>en</v>
      </c>
      <c r="B6071">
        <f>IFERROR(__xludf.DUMMYFUNCTION("""COMPUTED_VALUE"""),2782102.0)</f>
        <v>2782102</v>
      </c>
      <c r="C6071" t="str">
        <f>IFERROR(__xludf.DUMMYFUNCTION("""COMPUTED_VALUE"""),"AZ-500 Microsoft Azure Security Exam Certification 2021")</f>
        <v>AZ-500 Microsoft Azure Security Exam Certification 2021</v>
      </c>
    </row>
    <row r="6072">
      <c r="A6072" s="140" t="str">
        <f>IFERROR(__xludf.DUMMYFUNCTION("""COMPUTED_VALUE"""),"ja")</f>
        <v>ja</v>
      </c>
      <c r="B6072">
        <f>IFERROR(__xludf.DUMMYFUNCTION("""COMPUTED_VALUE"""),2793552.0)</f>
        <v>2793552</v>
      </c>
      <c r="C6072" t="str">
        <f>IFERROR(__xludf.DUMMYFUNCTION("""COMPUTED_VALUE"""),"個人で実践　安心・安全なインターネット利用のためにできること")</f>
        <v>個人で実践　安心・安全なインターネット利用のためにできること</v>
      </c>
    </row>
    <row r="6073">
      <c r="A6073" s="140" t="str">
        <f>IFERROR(__xludf.DUMMYFUNCTION("""COMPUTED_VALUE"""),"en")</f>
        <v>en</v>
      </c>
      <c r="B6073">
        <f>IFERROR(__xludf.DUMMYFUNCTION("""COMPUTED_VALUE"""),1915496.0)</f>
        <v>1915496</v>
      </c>
      <c r="C6073" t="str">
        <f>IFERROR(__xludf.DUMMYFUNCTION("""COMPUTED_VALUE"""),"Facebook Marketing -  Build Facebook Messenger Chatbots")</f>
        <v>Facebook Marketing -  Build Facebook Messenger Chatbots</v>
      </c>
    </row>
    <row r="6074">
      <c r="A6074" s="140" t="str">
        <f>IFERROR(__xludf.DUMMYFUNCTION("""COMPUTED_VALUE"""),"en")</f>
        <v>en</v>
      </c>
      <c r="B6074">
        <f>IFERROR(__xludf.DUMMYFUNCTION("""COMPUTED_VALUE"""),1746910.0)</f>
        <v>1746910</v>
      </c>
      <c r="C6074" t="str">
        <f>IFERROR(__xludf.DUMMYFUNCTION("""COMPUTED_VALUE"""),"Systems Thinking: Essential Concepts")</f>
        <v>Systems Thinking: Essential Concepts</v>
      </c>
    </row>
    <row r="6075">
      <c r="A6075" s="140" t="str">
        <f>IFERROR(__xludf.DUMMYFUNCTION("""COMPUTED_VALUE"""),"es")</f>
        <v>es</v>
      </c>
      <c r="B6075">
        <f>IFERROR(__xludf.DUMMYFUNCTION("""COMPUTED_VALUE"""),3017458.0)</f>
        <v>3017458</v>
      </c>
      <c r="C6075" t="str">
        <f>IFERROR(__xludf.DUMMYFUNCTION("""COMPUTED_VALUE"""),"Inteligencia Artificial con Python - Paso a Paso")</f>
        <v>Inteligencia Artificial con Python - Paso a Paso</v>
      </c>
    </row>
    <row r="6076">
      <c r="A6076" s="140" t="str">
        <f>IFERROR(__xludf.DUMMYFUNCTION("""COMPUTED_VALUE"""),"tr")</f>
        <v>tr</v>
      </c>
      <c r="B6076">
        <f>IFERROR(__xludf.DUMMYFUNCTION("""COMPUTED_VALUE"""),2515454.0)</f>
        <v>2515454</v>
      </c>
      <c r="C6076" t="str">
        <f>IFERROR(__xludf.DUMMYFUNCTION("""COMPUTED_VALUE"""),"PyTorch ile Derin Öğrenme")</f>
        <v>PyTorch ile Derin Öğrenme</v>
      </c>
    </row>
    <row r="6077">
      <c r="A6077" s="140" t="str">
        <f>IFERROR(__xludf.DUMMYFUNCTION("""COMPUTED_VALUE"""),"en")</f>
        <v>en</v>
      </c>
      <c r="B6077">
        <f>IFERROR(__xludf.DUMMYFUNCTION("""COMPUTED_VALUE"""),3021148.0)</f>
        <v>3021148</v>
      </c>
      <c r="C6077" t="str">
        <f>IFERROR(__xludf.DUMMYFUNCTION("""COMPUTED_VALUE"""),"Python PCEP Certification Practice Tests")</f>
        <v>Python PCEP Certification Practice Tests</v>
      </c>
    </row>
    <row r="6078">
      <c r="A6078" s="140" t="str">
        <f>IFERROR(__xludf.DUMMYFUNCTION("""COMPUTED_VALUE"""),"fr")</f>
        <v>fr</v>
      </c>
      <c r="B6078">
        <f>IFERROR(__xludf.DUMMYFUNCTION("""COMPUTED_VALUE"""),2511024.0)</f>
        <v>2511024</v>
      </c>
      <c r="C6078" t="str">
        <f>IFERROR(__xludf.DUMMYFUNCTION("""COMPUTED_VALUE"""),"Langage corporel : les clés pour l'analyser &amp; le comprendre")</f>
        <v>Langage corporel : les clés pour l'analyser &amp; le comprendre</v>
      </c>
    </row>
    <row r="6079">
      <c r="A6079" s="140" t="str">
        <f>IFERROR(__xludf.DUMMYFUNCTION("""COMPUTED_VALUE"""),"en")</f>
        <v>en</v>
      </c>
      <c r="B6079">
        <f>IFERROR(__xludf.DUMMYFUNCTION("""COMPUTED_VALUE"""),3242320.0)</f>
        <v>3242320</v>
      </c>
      <c r="C6079" t="str">
        <f>IFERROR(__xludf.DUMMYFUNCTION("""COMPUTED_VALUE"""),"Agile Leadership and Resilient Teams")</f>
        <v>Agile Leadership and Resilient Teams</v>
      </c>
    </row>
    <row r="6080">
      <c r="A6080" s="140" t="str">
        <f>IFERROR(__xludf.DUMMYFUNCTION("""COMPUTED_VALUE"""),"ja")</f>
        <v>ja</v>
      </c>
      <c r="B6080">
        <f>IFERROR(__xludf.DUMMYFUNCTION("""COMPUTED_VALUE"""),2057065.0)</f>
        <v>2057065</v>
      </c>
      <c r="C6080" t="str">
        <f>IFERROR(__xludf.DUMMYFUNCTION("""COMPUTED_VALUE"""),"【超入門】未経験者が3Dプリントまで Fusion 360でキャラクターをモデリングして3Dプリントをしよう")</f>
        <v>【超入門】未経験者が3Dプリントまで Fusion 360でキャラクターをモデリングして3Dプリントをしよう</v>
      </c>
    </row>
    <row r="6081">
      <c r="A6081" s="140" t="str">
        <f>IFERROR(__xludf.DUMMYFUNCTION("""COMPUTED_VALUE"""),"en")</f>
        <v>en</v>
      </c>
      <c r="B6081">
        <f>IFERROR(__xludf.DUMMYFUNCTION("""COMPUTED_VALUE"""),2608208.0)</f>
        <v>2608208</v>
      </c>
      <c r="C6081" t="str">
        <f>IFERROR(__xludf.DUMMYFUNCTION("""COMPUTED_VALUE"""),"Clear and Simple VMware vSphere 6.7 Foundations")</f>
        <v>Clear and Simple VMware vSphere 6.7 Foundations</v>
      </c>
    </row>
    <row r="6082">
      <c r="A6082" s="140" t="str">
        <f>IFERROR(__xludf.DUMMYFUNCTION("""COMPUTED_VALUE"""),"de")</f>
        <v>de</v>
      </c>
      <c r="B6082">
        <f>IFERROR(__xludf.DUMMYFUNCTION("""COMPUTED_VALUE"""),2826011.0)</f>
        <v>2826011</v>
      </c>
      <c r="C6082" t="str">
        <f>IFERROR(__xludf.DUMMYFUNCTION("""COMPUTED_VALUE"""),"Buchführung &amp; Jahresabschluss einfach erklärt in 5 Stunden")</f>
        <v>Buchführung &amp; Jahresabschluss einfach erklärt in 5 Stunden</v>
      </c>
    </row>
    <row r="6083">
      <c r="A6083" s="140" t="str">
        <f>IFERROR(__xludf.DUMMYFUNCTION("""COMPUTED_VALUE"""),"pt")</f>
        <v>pt</v>
      </c>
      <c r="B6083">
        <f>IFERROR(__xludf.DUMMYFUNCTION("""COMPUTED_VALUE"""),833008.0)</f>
        <v>833008</v>
      </c>
      <c r="C6083" t="str">
        <f>IFERROR(__xludf.DUMMYFUNCTION("""COMPUTED_VALUE"""),"INTELIGÊNCIA EMOCIONAL: Como lidar com pessoas difíceis")</f>
        <v>INTELIGÊNCIA EMOCIONAL: Como lidar com pessoas difíceis</v>
      </c>
    </row>
    <row r="6084">
      <c r="A6084" s="140" t="str">
        <f>IFERROR(__xludf.DUMMYFUNCTION("""COMPUTED_VALUE"""),"en")</f>
        <v>en</v>
      </c>
      <c r="B6084">
        <f>IFERROR(__xludf.DUMMYFUNCTION("""COMPUTED_VALUE"""),1449746.0)</f>
        <v>1449746</v>
      </c>
      <c r="C6084" t="str">
        <f>IFERROR(__xludf.DUMMYFUNCTION("""COMPUTED_VALUE"""),"Business Development &amp; B2B Sales for Startups- Sales Valley")</f>
        <v>Business Development &amp; B2B Sales for Startups- Sales Valley</v>
      </c>
    </row>
    <row r="6085">
      <c r="A6085" s="140" t="str">
        <f>IFERROR(__xludf.DUMMYFUNCTION("""COMPUTED_VALUE"""),"en")</f>
        <v>en</v>
      </c>
      <c r="B6085">
        <f>IFERROR(__xludf.DUMMYFUNCTION("""COMPUTED_VALUE"""),491274.0)</f>
        <v>491274</v>
      </c>
      <c r="C6085" t="str">
        <f>IFERROR(__xludf.DUMMYFUNCTION("""COMPUTED_VALUE"""),"Respect Gender &amp; Sexual Differences &amp; Assert Yourself")</f>
        <v>Respect Gender &amp; Sexual Differences &amp; Assert Yourself</v>
      </c>
    </row>
    <row r="6086">
      <c r="A6086" s="140" t="str">
        <f>IFERROR(__xludf.DUMMYFUNCTION("""COMPUTED_VALUE"""),"en")</f>
        <v>en</v>
      </c>
      <c r="B6086">
        <f>IFERROR(__xludf.DUMMYFUNCTION("""COMPUTED_VALUE"""),3046762.0)</f>
        <v>3046762</v>
      </c>
      <c r="C6086" t="str">
        <f>IFERROR(__xludf.DUMMYFUNCTION("""COMPUTED_VALUE"""),"Multithreading,Parallel &amp; Asynchronous Coding in Modern Java")</f>
        <v>Multithreading,Parallel &amp; Asynchronous Coding in Modern Java</v>
      </c>
    </row>
    <row r="6087">
      <c r="A6087" s="140" t="str">
        <f>IFERROR(__xludf.DUMMYFUNCTION("""COMPUTED_VALUE"""),"pt")</f>
        <v>pt</v>
      </c>
      <c r="B6087">
        <f>IFERROR(__xludf.DUMMYFUNCTION("""COMPUTED_VALUE"""),1469042.0)</f>
        <v>1469042</v>
      </c>
      <c r="C6087" t="str">
        <f>IFERROR(__xludf.DUMMYFUNCTION("""COMPUTED_VALUE"""),"Gatilhos Mentais: Conquiste clientes de forma cativante")</f>
        <v>Gatilhos Mentais: Conquiste clientes de forma cativante</v>
      </c>
    </row>
    <row r="6088">
      <c r="A6088" s="140" t="str">
        <f>IFERROR(__xludf.DUMMYFUNCTION("""COMPUTED_VALUE"""),"es")</f>
        <v>es</v>
      </c>
      <c r="B6088">
        <f>IFERROR(__xludf.DUMMYFUNCTION("""COMPUTED_VALUE"""),2639232.0)</f>
        <v>2639232</v>
      </c>
      <c r="C6088" t="str">
        <f>IFERROR(__xludf.DUMMYFUNCTION("""COMPUTED_VALUE"""),"Aumenta tu Productividad y Alcanza tus Metas")</f>
        <v>Aumenta tu Productividad y Alcanza tus Metas</v>
      </c>
    </row>
    <row r="6089">
      <c r="A6089" s="140" t="str">
        <f>IFERROR(__xludf.DUMMYFUNCTION("""COMPUTED_VALUE"""),"tr")</f>
        <v>tr</v>
      </c>
      <c r="B6089">
        <f>IFERROR(__xludf.DUMMYFUNCTION("""COMPUTED_VALUE"""),1515408.0)</f>
        <v>1515408</v>
      </c>
      <c r="C6089" t="str">
        <f>IFERROR(__xludf.DUMMYFUNCTION("""COMPUTED_VALUE"""),"Nesne Yönelimli Programlama (C++ ile)")</f>
        <v>Nesne Yönelimli Programlama (C++ ile)</v>
      </c>
    </row>
    <row r="6090">
      <c r="A6090" s="140" t="str">
        <f>IFERROR(__xludf.DUMMYFUNCTION("""COMPUTED_VALUE"""),"en")</f>
        <v>en</v>
      </c>
      <c r="B6090">
        <f>IFERROR(__xludf.DUMMYFUNCTION("""COMPUTED_VALUE"""),3406816.0)</f>
        <v>3406816</v>
      </c>
      <c r="C6090" t="str">
        <f>IFERROR(__xludf.DUMMYFUNCTION("""COMPUTED_VALUE"""),"Data Structures &amp; Algorithms - JavaScript")</f>
        <v>Data Structures &amp; Algorithms - JavaScript</v>
      </c>
    </row>
    <row r="6091">
      <c r="A6091" s="140" t="str">
        <f>IFERROR(__xludf.DUMMYFUNCTION("""COMPUTED_VALUE"""),"en")</f>
        <v>en</v>
      </c>
      <c r="B6091">
        <f>IFERROR(__xludf.DUMMYFUNCTION("""COMPUTED_VALUE"""),234558.0)</f>
        <v>234558</v>
      </c>
      <c r="C6091" t="str">
        <f>IFERROR(__xludf.DUMMYFUNCTION("""COMPUTED_VALUE"""),"Virtual Private Networks for beginners - VPN, Cisco training")</f>
        <v>Virtual Private Networks for beginners - VPN, Cisco training</v>
      </c>
    </row>
    <row r="6092">
      <c r="A6092" s="140" t="str">
        <f>IFERROR(__xludf.DUMMYFUNCTION("""COMPUTED_VALUE"""),"es")</f>
        <v>es</v>
      </c>
      <c r="B6092">
        <f>IFERROR(__xludf.DUMMYFUNCTION("""COMPUTED_VALUE"""),1547228.0)</f>
        <v>1547228</v>
      </c>
      <c r="C6092" t="str">
        <f>IFERROR(__xludf.DUMMYFUNCTION("""COMPUTED_VALUE"""),"Cisco Curso de direccionamiento IP y Subnetting - CCNA")</f>
        <v>Cisco Curso de direccionamiento IP y Subnetting - CCNA</v>
      </c>
    </row>
    <row r="6093">
      <c r="A6093" s="140" t="str">
        <f>IFERROR(__xludf.DUMMYFUNCTION("""COMPUTED_VALUE"""),"en")</f>
        <v>en</v>
      </c>
      <c r="B6093">
        <f>IFERROR(__xludf.DUMMYFUNCTION("""COMPUTED_VALUE"""),4105414.0)</f>
        <v>4105414</v>
      </c>
      <c r="C6093" t="str">
        <f>IFERROR(__xludf.DUMMYFUNCTION("""COMPUTED_VALUE"""),"System Design: Comprehensive Guide for Software Architecture")</f>
        <v>System Design: Comprehensive Guide for Software Architecture</v>
      </c>
    </row>
    <row r="6094">
      <c r="A6094" s="140" t="str">
        <f>IFERROR(__xludf.DUMMYFUNCTION("""COMPUTED_VALUE"""),"fr")</f>
        <v>fr</v>
      </c>
      <c r="B6094">
        <f>IFERROR(__xludf.DUMMYFUNCTION("""COMPUTED_VALUE"""),1040216.0)</f>
        <v>1040216</v>
      </c>
      <c r="C6094" t="str">
        <f>IFERROR(__xludf.DUMMYFUNCTION("""COMPUTED_VALUE"""),"Formation Complète Développeur de jeux vidéo - UNITY3D")</f>
        <v>Formation Complète Développeur de jeux vidéo - UNITY3D</v>
      </c>
    </row>
    <row r="6095">
      <c r="A6095" s="140" t="str">
        <f>IFERROR(__xludf.DUMMYFUNCTION("""COMPUTED_VALUE"""),"pt")</f>
        <v>pt</v>
      </c>
      <c r="B6095">
        <f>IFERROR(__xludf.DUMMYFUNCTION("""COMPUTED_VALUE"""),1494760.0)</f>
        <v>1494760</v>
      </c>
      <c r="C6095" t="str">
        <f>IFERROR(__xludf.DUMMYFUNCTION("""COMPUTED_VALUE"""),"ADOBE PREMIERE CC - DO BÁSICO AO AVANÇADO")</f>
        <v>ADOBE PREMIERE CC - DO BÁSICO AO AVANÇADO</v>
      </c>
    </row>
    <row r="6096">
      <c r="A6096" s="140" t="str">
        <f>IFERROR(__xludf.DUMMYFUNCTION("""COMPUTED_VALUE"""),"es")</f>
        <v>es</v>
      </c>
      <c r="B6096">
        <f>IFERROR(__xludf.DUMMYFUNCTION("""COMPUTED_VALUE"""),3530458.0)</f>
        <v>3530458</v>
      </c>
      <c r="C6096" t="str">
        <f>IFERROR(__xludf.DUMMYFUNCTION("""COMPUTED_VALUE"""),"Guía de estudio Microsoft Azure Fundamentals AZ-900 Español")</f>
        <v>Guía de estudio Microsoft Azure Fundamentals AZ-900 Español</v>
      </c>
    </row>
    <row r="6097">
      <c r="A6097" s="140" t="str">
        <f>IFERROR(__xludf.DUMMYFUNCTION("""COMPUTED_VALUE"""),"ko")</f>
        <v>ko</v>
      </c>
      <c r="B6097">
        <f>IFERROR(__xludf.DUMMYFUNCTION("""COMPUTED_VALUE"""),1200866.0)</f>
        <v>1200866</v>
      </c>
      <c r="C6097" t="str">
        <f>IFERROR(__xludf.DUMMYFUNCTION("""COMPUTED_VALUE"""),"K-Study Hangeul: Learn Korean alphabet, hangul 한글 배우기")</f>
        <v>K-Study Hangeul: Learn Korean alphabet, hangul 한글 배우기</v>
      </c>
    </row>
    <row r="6098">
      <c r="A6098" s="140" t="str">
        <f>IFERROR(__xludf.DUMMYFUNCTION("""COMPUTED_VALUE"""),"tr")</f>
        <v>tr</v>
      </c>
      <c r="B6098">
        <f>IFERROR(__xludf.DUMMYFUNCTION("""COMPUTED_VALUE"""),3687520.0)</f>
        <v>3687520</v>
      </c>
      <c r="C6098" t="str">
        <f>IFERROR(__xludf.DUMMYFUNCTION("""COMPUTED_VALUE"""),"Flutter ile Uygulama Geliştirme Kursu | Android &amp; IOS | 2021")</f>
        <v>Flutter ile Uygulama Geliştirme Kursu | Android &amp; IOS | 2021</v>
      </c>
    </row>
    <row r="6099">
      <c r="A6099" s="140" t="str">
        <f>IFERROR(__xludf.DUMMYFUNCTION("""COMPUTED_VALUE"""),"pt")</f>
        <v>pt</v>
      </c>
      <c r="B6099">
        <f>IFERROR(__xludf.DUMMYFUNCTION("""COMPUTED_VALUE"""),864768.0)</f>
        <v>864768</v>
      </c>
      <c r="C6099" t="str">
        <f>IFERROR(__xludf.DUMMYFUNCTION("""COMPUTED_VALUE"""),"Administração do Tempo")</f>
        <v>Administração do Tempo</v>
      </c>
    </row>
    <row r="6100">
      <c r="A6100" s="140" t="str">
        <f>IFERROR(__xludf.DUMMYFUNCTION("""COMPUTED_VALUE"""),"en")</f>
        <v>en</v>
      </c>
      <c r="B6100">
        <f>IFERROR(__xludf.DUMMYFUNCTION("""COMPUTED_VALUE"""),2864860.0)</f>
        <v>2864860</v>
      </c>
      <c r="C6100" t="str">
        <f>IFERROR(__xludf.DUMMYFUNCTION("""COMPUTED_VALUE"""),"Microsoft Certified: Data Analyst Associate with Power BI")</f>
        <v>Microsoft Certified: Data Analyst Associate with Power BI</v>
      </c>
    </row>
    <row r="6101">
      <c r="A6101" s="140" t="str">
        <f>IFERROR(__xludf.DUMMYFUNCTION("""COMPUTED_VALUE"""),"en")</f>
        <v>en</v>
      </c>
      <c r="B6101">
        <f>IFERROR(__xludf.DUMMYFUNCTION("""COMPUTED_VALUE"""),552650.0)</f>
        <v>552650</v>
      </c>
      <c r="C6101" t="str">
        <f>IFERROR(__xludf.DUMMYFUNCTION("""COMPUTED_VALUE"""),"Beginner Piano")</f>
        <v>Beginner Piano</v>
      </c>
    </row>
    <row r="6102">
      <c r="A6102" s="140" t="str">
        <f>IFERROR(__xludf.DUMMYFUNCTION("""COMPUTED_VALUE"""),"en")</f>
        <v>en</v>
      </c>
      <c r="B6102">
        <f>IFERROR(__xludf.DUMMYFUNCTION("""COMPUTED_VALUE"""),1736910.0)</f>
        <v>1736910</v>
      </c>
      <c r="C6102" t="str">
        <f>IFERROR(__xludf.DUMMYFUNCTION("""COMPUTED_VALUE"""),"Learn Akan Twi - An Interactive Twi Video course")</f>
        <v>Learn Akan Twi - An Interactive Twi Video course</v>
      </c>
    </row>
    <row r="6103">
      <c r="A6103" s="140" t="str">
        <f>IFERROR(__xludf.DUMMYFUNCTION("""COMPUTED_VALUE"""),"tr")</f>
        <v>tr</v>
      </c>
      <c r="B6103">
        <f>IFERROR(__xludf.DUMMYFUNCTION("""COMPUTED_VALUE"""),2129352.0)</f>
        <v>2129352</v>
      </c>
      <c r="C6103" t="str">
        <f>IFERROR(__xludf.DUMMYFUNCTION("""COMPUTED_VALUE"""),"SAP2000 İLE BİLGİSAYAR DESTEKLİ YAPISAL ANALİZ EĞİTİMİ")</f>
        <v>SAP2000 İLE BİLGİSAYAR DESTEKLİ YAPISAL ANALİZ EĞİTİMİ</v>
      </c>
    </row>
    <row r="6104">
      <c r="A6104" s="140" t="str">
        <f>IFERROR(__xludf.DUMMYFUNCTION("""COMPUTED_VALUE"""),"en")</f>
        <v>en</v>
      </c>
      <c r="B6104">
        <f>IFERROR(__xludf.DUMMYFUNCTION("""COMPUTED_VALUE"""),1105794.0)</f>
        <v>1105794</v>
      </c>
      <c r="C6104" t="str">
        <f>IFERROR(__xludf.DUMMYFUNCTION("""COMPUTED_VALUE"""),"Piano Music Theory (Back To Basics) by JFilt")</f>
        <v>Piano Music Theory (Back To Basics) by JFilt</v>
      </c>
    </row>
    <row r="6105">
      <c r="A6105" s="140" t="str">
        <f>IFERROR(__xludf.DUMMYFUNCTION("""COMPUTED_VALUE"""),"en")</f>
        <v>en</v>
      </c>
      <c r="B6105">
        <f>IFERROR(__xludf.DUMMYFUNCTION("""COMPUTED_VALUE"""),1774414.0)</f>
        <v>1774414</v>
      </c>
      <c r="C6105" t="str">
        <f>IFERROR(__xludf.DUMMYFUNCTION("""COMPUTED_VALUE"""),"Management Crash Course: Tactical Training for New Managers")</f>
        <v>Management Crash Course: Tactical Training for New Managers</v>
      </c>
    </row>
    <row r="6106">
      <c r="A6106" s="140" t="str">
        <f>IFERROR(__xludf.DUMMYFUNCTION("""COMPUTED_VALUE"""),"en")</f>
        <v>en</v>
      </c>
      <c r="B6106">
        <f>IFERROR(__xludf.DUMMYFUNCTION("""COMPUTED_VALUE"""),3302726.0)</f>
        <v>3302726</v>
      </c>
      <c r="C6106" t="str">
        <f>IFERROR(__xludf.DUMMYFUNCTION("""COMPUTED_VALUE"""),"Microservices Architecture - The Complete Guide")</f>
        <v>Microservices Architecture - The Complete Guide</v>
      </c>
    </row>
    <row r="6107">
      <c r="A6107" s="140" t="str">
        <f>IFERROR(__xludf.DUMMYFUNCTION("""COMPUTED_VALUE"""),"en")</f>
        <v>en</v>
      </c>
      <c r="B6107">
        <f>IFERROR(__xludf.DUMMYFUNCTION("""COMPUTED_VALUE"""),416542.0)</f>
        <v>416542</v>
      </c>
      <c r="C6107" t="str">
        <f>IFERROR(__xludf.DUMMYFUNCTION("""COMPUTED_VALUE"""),"Learn Adobe InDesign: Design a Magazine and More in InDesign")</f>
        <v>Learn Adobe InDesign: Design a Magazine and More in InDesign</v>
      </c>
    </row>
    <row r="6108">
      <c r="A6108" s="140" t="str">
        <f>IFERROR(__xludf.DUMMYFUNCTION("""COMPUTED_VALUE"""),"de")</f>
        <v>de</v>
      </c>
      <c r="B6108">
        <f>IFERROR(__xludf.DUMMYFUNCTION("""COMPUTED_VALUE"""),3736092.0)</f>
        <v>3736092</v>
      </c>
      <c r="C6108" t="str">
        <f>IFERROR(__xludf.DUMMYFUNCTION("""COMPUTED_VALUE"""),"Python Meisterkurs von A-Z: Komplettkurs für Anfänger 2022!")</f>
        <v>Python Meisterkurs von A-Z: Komplettkurs für Anfänger 2022!</v>
      </c>
    </row>
    <row r="6109">
      <c r="A6109" s="140" t="str">
        <f>IFERROR(__xludf.DUMMYFUNCTION("""COMPUTED_VALUE"""),"en")</f>
        <v>en</v>
      </c>
      <c r="B6109">
        <f>IFERROR(__xludf.DUMMYFUNCTION("""COMPUTED_VALUE"""),2762816.0)</f>
        <v>2762816</v>
      </c>
      <c r="C6109" t="str">
        <f>IFERROR(__xludf.DUMMYFUNCTION("""COMPUTED_VALUE"""),"[NEW] Ultimate AWS Certified Database Specialty 2021")</f>
        <v>[NEW] Ultimate AWS Certified Database Specialty 2021</v>
      </c>
    </row>
    <row r="6110">
      <c r="A6110" s="140" t="str">
        <f>IFERROR(__xludf.DUMMYFUNCTION("""COMPUTED_VALUE"""),"en")</f>
        <v>en</v>
      </c>
      <c r="B6110">
        <f>IFERROR(__xludf.DUMMYFUNCTION("""COMPUTED_VALUE"""),312662.0)</f>
        <v>312662</v>
      </c>
      <c r="C6110" t="str">
        <f>IFERROR(__xludf.DUMMYFUNCTION("""COMPUTED_VALUE"""),"Standard 9.1- Part 1 Foundation Enterprise Architect Course")</f>
        <v>Standard 9.1- Part 1 Foundation Enterprise Architect Course</v>
      </c>
    </row>
    <row r="6111">
      <c r="A6111" s="140" t="str">
        <f>IFERROR(__xludf.DUMMYFUNCTION("""COMPUTED_VALUE"""),"es")</f>
        <v>es</v>
      </c>
      <c r="B6111">
        <f>IFERROR(__xludf.DUMMYFUNCTION("""COMPUTED_VALUE"""),3428132.0)</f>
        <v>3428132</v>
      </c>
      <c r="C6111" t="str">
        <f>IFERROR(__xludf.DUMMYFUNCTION("""COMPUTED_VALUE"""),"Master en Power BI DAX")</f>
        <v>Master en Power BI DAX</v>
      </c>
    </row>
    <row r="6112">
      <c r="A6112" s="140" t="str">
        <f>IFERROR(__xludf.DUMMYFUNCTION("""COMPUTED_VALUE"""),"en")</f>
        <v>en</v>
      </c>
      <c r="B6112">
        <f>IFERROR(__xludf.DUMMYFUNCTION("""COMPUTED_VALUE"""),279292.0)</f>
        <v>279292</v>
      </c>
      <c r="C6112" t="str">
        <f>IFERROR(__xludf.DUMMYFUNCTION("""COMPUTED_VALUE"""),"How to Become a Workplace Coach: The Fundamentals")</f>
        <v>How to Become a Workplace Coach: The Fundamentals</v>
      </c>
    </row>
    <row r="6113">
      <c r="A6113" s="140" t="str">
        <f>IFERROR(__xludf.DUMMYFUNCTION("""COMPUTED_VALUE"""),"ja")</f>
        <v>ja</v>
      </c>
      <c r="B6113">
        <f>IFERROR(__xludf.DUMMYFUNCTION("""COMPUTED_VALUE"""),1159278.0)</f>
        <v>1159278</v>
      </c>
      <c r="C6113" t="str">
        <f>IFERROR(__xludf.DUMMYFUNCTION("""COMPUTED_VALUE"""),"Ruby on Rails 5入門 -Rubyプログラミングの基礎から学べる-")</f>
        <v>Ruby on Rails 5入門 -Rubyプログラミングの基礎から学べる-</v>
      </c>
    </row>
    <row r="6114">
      <c r="A6114" s="140" t="str">
        <f>IFERROR(__xludf.DUMMYFUNCTION("""COMPUTED_VALUE"""),"en")</f>
        <v>en</v>
      </c>
      <c r="B6114">
        <f>IFERROR(__xludf.DUMMYFUNCTION("""COMPUTED_VALUE"""),2347206.0)</f>
        <v>2347206</v>
      </c>
      <c r="C6114" t="str">
        <f>IFERROR(__xludf.DUMMYFUNCTION("""COMPUTED_VALUE"""),"1Z0-071 Oracle SQL Developer: Certified Associate (Database)")</f>
        <v>1Z0-071 Oracle SQL Developer: Certified Associate (Database)</v>
      </c>
    </row>
    <row r="6115">
      <c r="A6115" s="140" t="str">
        <f>IFERROR(__xludf.DUMMYFUNCTION("""COMPUTED_VALUE"""),"es")</f>
        <v>es</v>
      </c>
      <c r="B6115">
        <f>IFERROR(__xludf.DUMMYFUNCTION("""COMPUTED_VALUE"""),3524966.0)</f>
        <v>3524966</v>
      </c>
      <c r="C6115" t="str">
        <f>IFERROR(__xludf.DUMMYFUNCTION("""COMPUTED_VALUE"""),"Azure Administrator - AZ 104 - En Español - Actualizado 2021")</f>
        <v>Azure Administrator - AZ 104 - En Español - Actualizado 2021</v>
      </c>
    </row>
    <row r="6116">
      <c r="A6116" s="140" t="str">
        <f>IFERROR(__xludf.DUMMYFUNCTION("""COMPUTED_VALUE"""),"en")</f>
        <v>en</v>
      </c>
      <c r="B6116">
        <f>IFERROR(__xludf.DUMMYFUNCTION("""COMPUTED_VALUE"""),2155970.0)</f>
        <v>2155970</v>
      </c>
      <c r="C6116" t="str">
        <f>IFERROR(__xludf.DUMMYFUNCTION("""COMPUTED_VALUE"""),"Releasing Negative Beliefs &amp; Thought-Patterns ~ Tara Brach")</f>
        <v>Releasing Negative Beliefs &amp; Thought-Patterns ~ Tara Brach</v>
      </c>
    </row>
    <row r="6117">
      <c r="A6117" s="140" t="str">
        <f>IFERROR(__xludf.DUMMYFUNCTION("""COMPUTED_VALUE"""),"en")</f>
        <v>en</v>
      </c>
      <c r="B6117">
        <f>IFERROR(__xludf.DUMMYFUNCTION("""COMPUTED_VALUE"""),17029.0)</f>
        <v>17029</v>
      </c>
      <c r="C6117" t="str">
        <f>IFERROR(__xludf.DUMMYFUNCTION("""COMPUTED_VALUE"""),"Sales and Persuasion Skills for Startups")</f>
        <v>Sales and Persuasion Skills for Startups</v>
      </c>
    </row>
    <row r="6118">
      <c r="A6118" s="140" t="str">
        <f>IFERROR(__xludf.DUMMYFUNCTION("""COMPUTED_VALUE"""),"fr")</f>
        <v>fr</v>
      </c>
      <c r="B6118">
        <f>IFERROR(__xludf.DUMMYFUNCTION("""COMPUTED_VALUE"""),3081402.0)</f>
        <v>3081402</v>
      </c>
      <c r="C6118" t="str">
        <f>IFERROR(__xludf.DUMMYFUNCTION("""COMPUTED_VALUE"""),"Formation BigQuery (Google Big Query) niveau 2 (en français)")</f>
        <v>Formation BigQuery (Google Big Query) niveau 2 (en français)</v>
      </c>
    </row>
    <row r="6119">
      <c r="A6119" s="140" t="str">
        <f>IFERROR(__xludf.DUMMYFUNCTION("""COMPUTED_VALUE"""),"fr")</f>
        <v>fr</v>
      </c>
      <c r="B6119">
        <f>IFERROR(__xludf.DUMMYFUNCTION("""COMPUTED_VALUE"""),3331146.0)</f>
        <v>3331146</v>
      </c>
      <c r="C6119" t="str">
        <f>IFERROR(__xludf.DUMMYFUNCTION("""COMPUTED_VALUE"""),"Apache Kafka pour débutant")</f>
        <v>Apache Kafka pour débutant</v>
      </c>
    </row>
    <row r="6120">
      <c r="A6120" s="140" t="str">
        <f>IFERROR(__xludf.DUMMYFUNCTION("""COMPUTED_VALUE"""),"en")</f>
        <v>en</v>
      </c>
      <c r="B6120">
        <f>IFERROR(__xludf.DUMMYFUNCTION("""COMPUTED_VALUE"""),2843482.0)</f>
        <v>2843482</v>
      </c>
      <c r="C6120" t="str">
        <f>IFERROR(__xludf.DUMMYFUNCTION("""COMPUTED_VALUE"""),"Business Drawing and Visual Storytelling")</f>
        <v>Business Drawing and Visual Storytelling</v>
      </c>
    </row>
    <row r="6121">
      <c r="A6121" s="140" t="str">
        <f>IFERROR(__xludf.DUMMYFUNCTION("""COMPUTED_VALUE"""),"fr")</f>
        <v>fr</v>
      </c>
      <c r="B6121">
        <f>IFERROR(__xludf.DUMMYFUNCTION("""COMPUTED_VALUE"""),2275539.0)</f>
        <v>2275539</v>
      </c>
      <c r="C6121" t="str">
        <f>IFERROR(__xludf.DUMMYFUNCTION("""COMPUTED_VALUE"""),"Comment donner et recevoir un feedback plus efficacement")</f>
        <v>Comment donner et recevoir un feedback plus efficacement</v>
      </c>
    </row>
    <row r="6122">
      <c r="A6122" s="140" t="str">
        <f>IFERROR(__xludf.DUMMYFUNCTION("""COMPUTED_VALUE"""),"es")</f>
        <v>es</v>
      </c>
      <c r="B6122">
        <f>IFERROR(__xludf.DUMMYFUNCTION("""COMPUTED_VALUE"""),3858848.0)</f>
        <v>3858848</v>
      </c>
      <c r="C6122" t="str">
        <f>IFERROR(__xludf.DUMMYFUNCTION("""COMPUTED_VALUE"""),"Curso básico de Kotlin para Android: Fundamentos de 0 a 100")</f>
        <v>Curso básico de Kotlin para Android: Fundamentos de 0 a 100</v>
      </c>
    </row>
    <row r="6123">
      <c r="A6123" s="140" t="str">
        <f>IFERROR(__xludf.DUMMYFUNCTION("""COMPUTED_VALUE"""),"tr")</f>
        <v>tr</v>
      </c>
      <c r="B6123">
        <f>IFERROR(__xludf.DUMMYFUNCTION("""COMPUTED_VALUE"""),2102110.0)</f>
        <v>2102110</v>
      </c>
      <c r="C6123" t="str">
        <f>IFERROR(__xludf.DUMMYFUNCTION("""COMPUTED_VALUE"""),"Sıfırdan Flutter ile Android ve Ios Apps Development")</f>
        <v>Sıfırdan Flutter ile Android ve Ios Apps Development</v>
      </c>
    </row>
    <row r="6124">
      <c r="A6124" s="140" t="str">
        <f>IFERROR(__xludf.DUMMYFUNCTION("""COMPUTED_VALUE"""),"pt")</f>
        <v>pt</v>
      </c>
      <c r="B6124">
        <f>IFERROR(__xludf.DUMMYFUNCTION("""COMPUTED_VALUE"""),1341268.0)</f>
        <v>1341268</v>
      </c>
      <c r="C6124" t="str">
        <f>IFERROR(__xludf.DUMMYFUNCTION("""COMPUTED_VALUE"""),"Desenvolvimento Web Completo 2021 - 20 cursos + 20 projetos")</f>
        <v>Desenvolvimento Web Completo 2021 - 20 cursos + 20 projetos</v>
      </c>
    </row>
    <row r="6125">
      <c r="A6125" s="140" t="str">
        <f>IFERROR(__xludf.DUMMYFUNCTION("""COMPUTED_VALUE"""),"en")</f>
        <v>en</v>
      </c>
      <c r="B6125">
        <f>IFERROR(__xludf.DUMMYFUNCTION("""COMPUTED_VALUE"""),2764464.0)</f>
        <v>2764464</v>
      </c>
      <c r="C6125" t="str">
        <f>IFERROR(__xludf.DUMMYFUNCTION("""COMPUTED_VALUE"""),"Kubernetes Chaos Engineering With Chaos Toolkit And Istio")</f>
        <v>Kubernetes Chaos Engineering With Chaos Toolkit And Istio</v>
      </c>
    </row>
    <row r="6126">
      <c r="A6126" s="140" t="str">
        <f>IFERROR(__xludf.DUMMYFUNCTION("""COMPUTED_VALUE"""),"es")</f>
        <v>es</v>
      </c>
      <c r="B6126">
        <f>IFERROR(__xludf.DUMMYFUNCTION("""COMPUTED_VALUE"""),1757384.0)</f>
        <v>1757384</v>
      </c>
      <c r="C6126" t="str">
        <f>IFERROR(__xludf.DUMMYFUNCTION("""COMPUTED_VALUE"""),"Iniciando en ágiles: Contextos, ciclos de vida y principios")</f>
        <v>Iniciando en ágiles: Contextos, ciclos de vida y principios</v>
      </c>
    </row>
    <row r="6127">
      <c r="A6127" s="140" t="str">
        <f>IFERROR(__xludf.DUMMYFUNCTION("""COMPUTED_VALUE"""),"en")</f>
        <v>en</v>
      </c>
      <c r="B6127">
        <f>IFERROR(__xludf.DUMMYFUNCTION("""COMPUTED_VALUE"""),3704910.0)</f>
        <v>3704910</v>
      </c>
      <c r="C6127" t="str">
        <f>IFERROR(__xludf.DUMMYFUNCTION("""COMPUTED_VALUE"""),"The Ultimate LabView 2020 Course")</f>
        <v>The Ultimate LabView 2020 Course</v>
      </c>
    </row>
    <row r="6128">
      <c r="A6128" s="140" t="str">
        <f>IFERROR(__xludf.DUMMYFUNCTION("""COMPUTED_VALUE"""),"es")</f>
        <v>es</v>
      </c>
      <c r="B6128">
        <f>IFERROR(__xludf.DUMMYFUNCTION("""COMPUTED_VALUE"""),1524862.0)</f>
        <v>1524862</v>
      </c>
      <c r="C6128" t="str">
        <f>IFERROR(__xludf.DUMMYFUNCTION("""COMPUTED_VALUE"""),"Bootstrap 4 !De 0 a Experto! Curso completo + Forms con PHP")</f>
        <v>Bootstrap 4 !De 0 a Experto! Curso completo + Forms con PHP</v>
      </c>
    </row>
    <row r="6129">
      <c r="A6129" s="140" t="str">
        <f>IFERROR(__xludf.DUMMYFUNCTION("""COMPUTED_VALUE"""),"ja")</f>
        <v>ja</v>
      </c>
      <c r="B6129">
        <f>IFERROR(__xludf.DUMMYFUNCTION("""COMPUTED_VALUE"""),993574.0)</f>
        <v>993574</v>
      </c>
      <c r="C6129" t="str">
        <f>IFERROR(__xludf.DUMMYFUNCTION("""COMPUTED_VALUE"""),"HTML5+CSS3 　手を動かしてマスターする　WEBデザイン／プログラミング動画講座")</f>
        <v>HTML5+CSS3 　手を動かしてマスターする　WEBデザイン／プログラミング動画講座</v>
      </c>
    </row>
    <row r="6130">
      <c r="A6130" s="140" t="str">
        <f>IFERROR(__xludf.DUMMYFUNCTION("""COMPUTED_VALUE"""),"en")</f>
        <v>en</v>
      </c>
      <c r="B6130">
        <f>IFERROR(__xludf.DUMMYFUNCTION("""COMPUTED_VALUE"""),2870372.0)</f>
        <v>2870372</v>
      </c>
      <c r="C6130" t="str">
        <f>IFERROR(__xludf.DUMMYFUNCTION("""COMPUTED_VALUE"""),"Cisco CCNP CCIE Enterprise ENCOR 350-401 Practice Exams")</f>
        <v>Cisco CCNP CCIE Enterprise ENCOR 350-401 Practice Exams</v>
      </c>
    </row>
    <row r="6131">
      <c r="A6131" s="140" t="str">
        <f>IFERROR(__xludf.DUMMYFUNCTION("""COMPUTED_VALUE"""),"en")</f>
        <v>en</v>
      </c>
      <c r="B6131">
        <f>IFERROR(__xludf.DUMMYFUNCTION("""COMPUTED_VALUE"""),838056.0)</f>
        <v>838056</v>
      </c>
      <c r="C6131" t="str">
        <f>IFERROR(__xludf.DUMMYFUNCTION("""COMPUTED_VALUE"""),"Paint Realistic Watercolor and Botanicals - STUDIO BASICS")</f>
        <v>Paint Realistic Watercolor and Botanicals - STUDIO BASICS</v>
      </c>
    </row>
    <row r="6132">
      <c r="A6132" s="140" t="str">
        <f>IFERROR(__xludf.DUMMYFUNCTION("""COMPUTED_VALUE"""),"en")</f>
        <v>en</v>
      </c>
      <c r="B6132">
        <f>IFERROR(__xludf.DUMMYFUNCTION("""COMPUTED_VALUE"""),874012.0)</f>
        <v>874012</v>
      </c>
      <c r="C6132" t="str">
        <f>IFERROR(__xludf.DUMMYFUNCTION("""COMPUTED_VALUE"""),"The Ultimate Drawing Course - Beginner to Advanced")</f>
        <v>The Ultimate Drawing Course - Beginner to Advanced</v>
      </c>
    </row>
    <row r="6133">
      <c r="A6133" s="140" t="str">
        <f>IFERROR(__xludf.DUMMYFUNCTION("""COMPUTED_VALUE"""),"es")</f>
        <v>es</v>
      </c>
      <c r="B6133">
        <f>IFERROR(__xludf.DUMMYFUNCTION("""COMPUTED_VALUE"""),2019550.0)</f>
        <v>2019550</v>
      </c>
      <c r="C6133" t="str">
        <f>IFERROR(__xludf.DUMMYFUNCTION("""COMPUTED_VALUE"""),"Master en Vba Excel-Desarrolla macros y aplicaciones (2021).")</f>
        <v>Master en Vba Excel-Desarrolla macros y aplicaciones (2021).</v>
      </c>
    </row>
    <row r="6134">
      <c r="A6134" s="140" t="str">
        <f>IFERROR(__xludf.DUMMYFUNCTION("""COMPUTED_VALUE"""),"en")</f>
        <v>en</v>
      </c>
      <c r="B6134">
        <f>IFERROR(__xludf.DUMMYFUNCTION("""COMPUTED_VALUE"""),897238.0)</f>
        <v>897238</v>
      </c>
      <c r="C6134" t="str">
        <f>IFERROR(__xludf.DUMMYFUNCTION("""COMPUTED_VALUE"""),"Canva Graphic Design for Entrepreneurs - Design 11 Projects")</f>
        <v>Canva Graphic Design for Entrepreneurs - Design 11 Projects</v>
      </c>
    </row>
    <row r="6135">
      <c r="A6135" s="140" t="str">
        <f>IFERROR(__xludf.DUMMYFUNCTION("""COMPUTED_VALUE"""),"en")</f>
        <v>en</v>
      </c>
      <c r="B6135">
        <f>IFERROR(__xludf.DUMMYFUNCTION("""COMPUTED_VALUE"""),3444546.0)</f>
        <v>3444546</v>
      </c>
      <c r="C6135" t="str">
        <f>IFERROR(__xludf.DUMMYFUNCTION("""COMPUTED_VALUE"""),"F5 201 Exam Preparation - Complete Course w/ Practice Exams")</f>
        <v>F5 201 Exam Preparation - Complete Course w/ Practice Exams</v>
      </c>
    </row>
    <row r="6136">
      <c r="A6136" s="140" t="str">
        <f>IFERROR(__xludf.DUMMYFUNCTION("""COMPUTED_VALUE"""),"en")</f>
        <v>en</v>
      </c>
      <c r="B6136">
        <f>IFERROR(__xludf.DUMMYFUNCTION("""COMPUTED_VALUE"""),1722568.0)</f>
        <v>1722568</v>
      </c>
      <c r="C6136" t="str">
        <f>IFERROR(__xludf.DUMMYFUNCTION("""COMPUTED_VALUE"""),"ADSENSE ARBITRAGE:  ADSENSE TRAFFIC ARBITRAGE")</f>
        <v>ADSENSE ARBITRAGE:  ADSENSE TRAFFIC ARBITRAGE</v>
      </c>
    </row>
    <row r="6137">
      <c r="A6137" s="140" t="str">
        <f>IFERROR(__xludf.DUMMYFUNCTION("""COMPUTED_VALUE"""),"en")</f>
        <v>en</v>
      </c>
      <c r="B6137">
        <f>IFERROR(__xludf.DUMMYFUNCTION("""COMPUTED_VALUE"""),2851430.0)</f>
        <v>2851430</v>
      </c>
      <c r="C6137" t="str">
        <f>IFERROR(__xludf.DUMMYFUNCTION("""COMPUTED_VALUE"""),"Fundamentals of Real Customer Success")</f>
        <v>Fundamentals of Real Customer Success</v>
      </c>
    </row>
    <row r="6138">
      <c r="A6138" s="140" t="str">
        <f>IFERROR(__xludf.DUMMYFUNCTION("""COMPUTED_VALUE"""),"en")</f>
        <v>en</v>
      </c>
      <c r="B6138">
        <f>IFERROR(__xludf.DUMMYFUNCTION("""COMPUTED_VALUE"""),1178394.0)</f>
        <v>1178394</v>
      </c>
      <c r="C6138" t="str">
        <f>IFERROR(__xludf.DUMMYFUNCTION("""COMPUTED_VALUE"""),"Devtools Pro: The Basics of Chrome Developer Tools")</f>
        <v>Devtools Pro: The Basics of Chrome Developer Tools</v>
      </c>
    </row>
    <row r="6139">
      <c r="A6139" s="140" t="str">
        <f>IFERROR(__xludf.DUMMYFUNCTION("""COMPUTED_VALUE"""),"es")</f>
        <v>es</v>
      </c>
      <c r="B6139">
        <f>IFERROR(__xludf.DUMMYFUNCTION("""COMPUTED_VALUE"""),1681192.0)</f>
        <v>1681192</v>
      </c>
      <c r="C6139" t="str">
        <f>IFERROR(__xludf.DUMMYFUNCTION("""COMPUTED_VALUE"""),"Introducción a la administración con Windows PowerShell")</f>
        <v>Introducción a la administración con Windows PowerShell</v>
      </c>
    </row>
    <row r="6140">
      <c r="A6140" s="140" t="str">
        <f>IFERROR(__xludf.DUMMYFUNCTION("""COMPUTED_VALUE"""),"en")</f>
        <v>en</v>
      </c>
      <c r="B6140">
        <f>IFERROR(__xludf.DUMMYFUNCTION("""COMPUTED_VALUE"""),1549448.0)</f>
        <v>1549448</v>
      </c>
      <c r="C6140" t="str">
        <f>IFERROR(__xludf.DUMMYFUNCTION("""COMPUTED_VALUE"""),"Yarn Dependency Management: The Complete Guide")</f>
        <v>Yarn Dependency Management: The Complete Guide</v>
      </c>
    </row>
    <row r="6141">
      <c r="A6141" s="140" t="str">
        <f>IFERROR(__xludf.DUMMYFUNCTION("""COMPUTED_VALUE"""),"fr")</f>
        <v>fr</v>
      </c>
      <c r="B6141">
        <f>IFERROR(__xludf.DUMMYFUNCTION("""COMPUTED_VALUE"""),1945868.0)</f>
        <v>1945868</v>
      </c>
      <c r="C6141" t="str">
        <f>IFERROR(__xludf.DUMMYFUNCTION("""COMPUTED_VALUE"""),"JavaScript ES6")</f>
        <v>JavaScript ES6</v>
      </c>
    </row>
    <row r="6142">
      <c r="A6142" s="140" t="str">
        <f>IFERROR(__xludf.DUMMYFUNCTION("""COMPUTED_VALUE"""),"ja")</f>
        <v>ja</v>
      </c>
      <c r="B6142">
        <f>IFERROR(__xludf.DUMMYFUNCTION("""COMPUTED_VALUE"""),2325734.0)</f>
        <v>2325734</v>
      </c>
      <c r="C6142" t="str">
        <f>IFERROR(__xludf.DUMMYFUNCTION("""COMPUTED_VALUE"""),"Microsoft Power BI - Power BI Desktop入門講座")</f>
        <v>Microsoft Power BI - Power BI Desktop入門講座</v>
      </c>
    </row>
    <row r="6143">
      <c r="A6143" s="140" t="str">
        <f>IFERROR(__xludf.DUMMYFUNCTION("""COMPUTED_VALUE"""),"fr")</f>
        <v>fr</v>
      </c>
      <c r="B6143">
        <f>IFERROR(__xludf.DUMMYFUNCTION("""COMPUTED_VALUE"""),4090172.0)</f>
        <v>4090172</v>
      </c>
      <c r="C6143" t="str">
        <f>IFERROR(__xludf.DUMMYFUNCTION("""COMPUTED_VALUE"""),"Flutter &amp; Dart - Coder des jeux mobiles pour iOS et Android")</f>
        <v>Flutter &amp; Dart - Coder des jeux mobiles pour iOS et Android</v>
      </c>
    </row>
    <row r="6144">
      <c r="A6144" s="140" t="str">
        <f>IFERROR(__xludf.DUMMYFUNCTION("""COMPUTED_VALUE"""),"en")</f>
        <v>en</v>
      </c>
      <c r="B6144">
        <f>IFERROR(__xludf.DUMMYFUNCTION("""COMPUTED_VALUE"""),2059181.0)</f>
        <v>2059181</v>
      </c>
      <c r="C6144" t="str">
        <f>IFERROR(__xludf.DUMMYFUNCTION("""COMPUTED_VALUE"""),"Aerospace Engineering: Aircraft Fundamentals and Advanced")</f>
        <v>Aerospace Engineering: Aircraft Fundamentals and Advanced</v>
      </c>
    </row>
    <row r="6145">
      <c r="A6145" s="140" t="str">
        <f>IFERROR(__xludf.DUMMYFUNCTION("""COMPUTED_VALUE"""),"en")</f>
        <v>en</v>
      </c>
      <c r="B6145">
        <f>IFERROR(__xludf.DUMMYFUNCTION("""COMPUTED_VALUE"""),1681106.0)</f>
        <v>1681106</v>
      </c>
      <c r="C6145" t="str">
        <f>IFERROR(__xludf.DUMMYFUNCTION("""COMPUTED_VALUE"""),"LPIC-1 Linux Certification Practice Tests | UPDATED VERSION")</f>
        <v>LPIC-1 Linux Certification Practice Tests | UPDATED VERSION</v>
      </c>
    </row>
    <row r="6146">
      <c r="A6146" s="140" t="str">
        <f>IFERROR(__xludf.DUMMYFUNCTION("""COMPUTED_VALUE"""),"en")</f>
        <v>en</v>
      </c>
      <c r="B6146">
        <f>IFERROR(__xludf.DUMMYFUNCTION("""COMPUTED_VALUE"""),2623876.0)</f>
        <v>2623876</v>
      </c>
      <c r="C6146" t="str">
        <f>IFERROR(__xludf.DUMMYFUNCTION("""COMPUTED_VALUE"""),"Embracing a Culture of Feedback")</f>
        <v>Embracing a Culture of Feedback</v>
      </c>
    </row>
    <row r="6147">
      <c r="A6147" s="140" t="str">
        <f>IFERROR(__xludf.DUMMYFUNCTION("""COMPUTED_VALUE"""),"es")</f>
        <v>es</v>
      </c>
      <c r="B6147">
        <f>IFERROR(__xludf.DUMMYFUNCTION("""COMPUTED_VALUE"""),2282064.0)</f>
        <v>2282064</v>
      </c>
      <c r="C6147" t="str">
        <f>IFERROR(__xludf.DUMMYFUNCTION("""COMPUTED_VALUE"""),"Trabajo en Equipo")</f>
        <v>Trabajo en Equipo</v>
      </c>
    </row>
    <row r="6148">
      <c r="A6148" s="140" t="str">
        <f>IFERROR(__xludf.DUMMYFUNCTION("""COMPUTED_VALUE"""),"en")</f>
        <v>en</v>
      </c>
      <c r="B6148">
        <f>IFERROR(__xludf.DUMMYFUNCTION("""COMPUTED_VALUE"""),1141422.0)</f>
        <v>1141422</v>
      </c>
      <c r="C6148" t="str">
        <f>IFERROR(__xludf.DUMMYFUNCTION("""COMPUTED_VALUE"""),"Batteries, Batteries, Batteries!")</f>
        <v>Batteries, Batteries, Batteries!</v>
      </c>
    </row>
    <row r="6149">
      <c r="A6149" s="140" t="str">
        <f>IFERROR(__xludf.DUMMYFUNCTION("""COMPUTED_VALUE"""),"es")</f>
        <v>es</v>
      </c>
      <c r="B6149">
        <f>IFERROR(__xludf.DUMMYFUNCTION("""COMPUTED_VALUE"""),1702150.0)</f>
        <v>1702150</v>
      </c>
      <c r="C6149" t="str">
        <f>IFERROR(__xludf.DUMMYFUNCTION("""COMPUTED_VALUE"""),"LayOut para SketchUp. Diseño avanzado de presentaciones.")</f>
        <v>LayOut para SketchUp. Diseño avanzado de presentaciones.</v>
      </c>
    </row>
    <row r="6150">
      <c r="A6150" s="140" t="str">
        <f>IFERROR(__xludf.DUMMYFUNCTION("""COMPUTED_VALUE"""),"ar")</f>
        <v>ar</v>
      </c>
      <c r="B6150">
        <f>IFERROR(__xludf.DUMMYFUNCTION("""COMPUTED_VALUE"""),1630602.0)</f>
        <v>1630602</v>
      </c>
      <c r="C6150" t="str">
        <f>IFERROR(__xludf.DUMMYFUNCTION("""COMPUTED_VALUE"""),"تعلم اللغة الانجليزية من الصفر حتى الاحتراف")</f>
        <v>تعلم اللغة الانجليزية من الصفر حتى الاحتراف</v>
      </c>
    </row>
    <row r="6151">
      <c r="A6151" s="140" t="str">
        <f>IFERROR(__xludf.DUMMYFUNCTION("""COMPUTED_VALUE"""),"en")</f>
        <v>en</v>
      </c>
      <c r="B6151">
        <f>IFERROR(__xludf.DUMMYFUNCTION("""COMPUTED_VALUE"""),2733254.0)</f>
        <v>2733254</v>
      </c>
      <c r="C6151" t="str">
        <f>IFERROR(__xludf.DUMMYFUNCTION("""COMPUTED_VALUE"""),"*NEW* DOM 2021 Build Dynamic Websites with JavaScript Part 2")</f>
        <v>*NEW* DOM 2021 Build Dynamic Websites with JavaScript Part 2</v>
      </c>
    </row>
    <row r="6152">
      <c r="A6152" s="140" t="str">
        <f>IFERROR(__xludf.DUMMYFUNCTION("""COMPUTED_VALUE"""),"en")</f>
        <v>en</v>
      </c>
      <c r="B6152">
        <f>IFERROR(__xludf.DUMMYFUNCTION("""COMPUTED_VALUE"""),2027530.0)</f>
        <v>2027530</v>
      </c>
      <c r="C6152" t="str">
        <f>IFERROR(__xludf.DUMMYFUNCTION("""COMPUTED_VALUE"""),"Oracle 18c and Dataguard setup on premises and oracle Cloud")</f>
        <v>Oracle 18c and Dataguard setup on premises and oracle Cloud</v>
      </c>
    </row>
    <row r="6153">
      <c r="A6153" s="140" t="str">
        <f>IFERROR(__xludf.DUMMYFUNCTION("""COMPUTED_VALUE"""),"en")</f>
        <v>en</v>
      </c>
      <c r="B6153">
        <f>IFERROR(__xludf.DUMMYFUNCTION("""COMPUTED_VALUE"""),2089692.0)</f>
        <v>2089692</v>
      </c>
      <c r="C6153" t="str">
        <f>IFERROR(__xludf.DUMMYFUNCTION("""COMPUTED_VALUE"""),"Data Warehouse ETL Testing &amp; Data Quality Management A-Z")</f>
        <v>Data Warehouse ETL Testing &amp; Data Quality Management A-Z</v>
      </c>
    </row>
    <row r="6154">
      <c r="A6154" s="140" t="str">
        <f>IFERROR(__xludf.DUMMYFUNCTION("""COMPUTED_VALUE"""),"en")</f>
        <v>en</v>
      </c>
      <c r="B6154">
        <f>IFERROR(__xludf.DUMMYFUNCTION("""COMPUTED_VALUE"""),406938.0)</f>
        <v>406938</v>
      </c>
      <c r="C6154" t="str">
        <f>IFERROR(__xludf.DUMMYFUNCTION("""COMPUTED_VALUE"""),"Amazon FBA Course - How to Sell on Amazon MASTERY Course")</f>
        <v>Amazon FBA Course - How to Sell on Amazon MASTERY Course</v>
      </c>
    </row>
    <row r="6155">
      <c r="A6155" s="140" t="str">
        <f>IFERROR(__xludf.DUMMYFUNCTION("""COMPUTED_VALUE"""),"en")</f>
        <v>en</v>
      </c>
      <c r="B6155">
        <f>IFERROR(__xludf.DUMMYFUNCTION("""COMPUTED_VALUE"""),2432906.0)</f>
        <v>2432906</v>
      </c>
      <c r="C6155" t="str">
        <f>IFERROR(__xludf.DUMMYFUNCTION("""COMPUTED_VALUE"""),"ISO 37001. Anti-bribery management system.")</f>
        <v>ISO 37001. Anti-bribery management system.</v>
      </c>
    </row>
    <row r="6156">
      <c r="A6156" s="140" t="str">
        <f>IFERROR(__xludf.DUMMYFUNCTION("""COMPUTED_VALUE"""),"en")</f>
        <v>en</v>
      </c>
      <c r="B6156">
        <f>IFERROR(__xludf.DUMMYFUNCTION("""COMPUTED_VALUE"""),4285156.0)</f>
        <v>4285156</v>
      </c>
      <c r="C6156" t="str">
        <f>IFERROR(__xludf.DUMMYFUNCTION("""COMPUTED_VALUE"""),"AZ-700:Designing and Implementing Azure Networking Solutions")</f>
        <v>AZ-700:Designing and Implementing Azure Networking Solutions</v>
      </c>
    </row>
    <row r="6157">
      <c r="A6157" s="140" t="str">
        <f>IFERROR(__xludf.DUMMYFUNCTION("""COMPUTED_VALUE"""),"en")</f>
        <v>en</v>
      </c>
      <c r="B6157">
        <f>IFERROR(__xludf.DUMMYFUNCTION("""COMPUTED_VALUE"""),2725338.0)</f>
        <v>2725338</v>
      </c>
      <c r="C6157" t="str">
        <f>IFERROR(__xludf.DUMMYFUNCTION("""COMPUTED_VALUE"""),"Salesforce Certified Sharing and Visibility Designer Course")</f>
        <v>Salesforce Certified Sharing and Visibility Designer Course</v>
      </c>
    </row>
    <row r="6158">
      <c r="A6158" s="140" t="str">
        <f>IFERROR(__xludf.DUMMYFUNCTION("""COMPUTED_VALUE"""),"en")</f>
        <v>en</v>
      </c>
      <c r="B6158">
        <f>IFERROR(__xludf.DUMMYFUNCTION("""COMPUTED_VALUE"""),1162310.0)</f>
        <v>1162310</v>
      </c>
      <c r="C6158" t="str">
        <f>IFERROR(__xludf.DUMMYFUNCTION("""COMPUTED_VALUE"""),"Practice Test AWS Solutions Architect Associate SAA C02")</f>
        <v>Practice Test AWS Solutions Architect Associate SAA C02</v>
      </c>
    </row>
    <row r="6159">
      <c r="A6159" s="140" t="str">
        <f>IFERROR(__xludf.DUMMYFUNCTION("""COMPUTED_VALUE"""),"zh")</f>
        <v>zh</v>
      </c>
      <c r="B6159">
        <f>IFERROR(__xludf.DUMMYFUNCTION("""COMPUTED_VALUE"""),2444392.0)</f>
        <v>2444392</v>
      </c>
      <c r="C6159" t="str">
        <f>IFERROR(__xludf.DUMMYFUNCTION("""COMPUTED_VALUE"""),"团队管理 40 条军规")</f>
        <v>团队管理 40 条军规</v>
      </c>
    </row>
    <row r="6160">
      <c r="A6160" s="140" t="str">
        <f>IFERROR(__xludf.DUMMYFUNCTION("""COMPUTED_VALUE"""),"en")</f>
        <v>en</v>
      </c>
      <c r="B6160">
        <f>IFERROR(__xludf.DUMMYFUNCTION("""COMPUTED_VALUE"""),1687492.0)</f>
        <v>1687492</v>
      </c>
      <c r="C6160" t="str">
        <f>IFERROR(__xludf.DUMMYFUNCTION("""COMPUTED_VALUE"""),"Informed Risk Taking : Risk Management Process - Analysis")</f>
        <v>Informed Risk Taking : Risk Management Process - Analysis</v>
      </c>
    </row>
    <row r="6161">
      <c r="A6161" s="140" t="str">
        <f>IFERROR(__xludf.DUMMYFUNCTION("""COMPUTED_VALUE"""),"ar")</f>
        <v>ar</v>
      </c>
      <c r="B6161">
        <f>IFERROR(__xludf.DUMMYFUNCTION("""COMPUTED_VALUE"""),2762776.0)</f>
        <v>2762776</v>
      </c>
      <c r="C6161" t="str">
        <f>IFERROR(__xludf.DUMMYFUNCTION("""COMPUTED_VALUE"""),"Product سلسلة التسويق: قرارات المنتج وصنع الميزة التنافسية")</f>
        <v>Product سلسلة التسويق: قرارات المنتج وصنع الميزة التنافسية</v>
      </c>
    </row>
    <row r="6162">
      <c r="A6162" s="140" t="str">
        <f>IFERROR(__xludf.DUMMYFUNCTION("""COMPUTED_VALUE"""),"es")</f>
        <v>es</v>
      </c>
      <c r="B6162">
        <f>IFERROR(__xludf.DUMMYFUNCTION("""COMPUTED_VALUE"""),4165390.0)</f>
        <v>4165390</v>
      </c>
      <c r="C6162" t="str">
        <f>IFERROR(__xludf.DUMMYFUNCTION("""COMPUTED_VALUE"""),"Curso de Embudos de Venta por WhatsApp 2021+ Ejemplos Reales")</f>
        <v>Curso de Embudos de Venta por WhatsApp 2021+ Ejemplos Reales</v>
      </c>
    </row>
    <row r="6163">
      <c r="A6163" s="140" t="str">
        <f>IFERROR(__xludf.DUMMYFUNCTION("""COMPUTED_VALUE"""),"en")</f>
        <v>en</v>
      </c>
      <c r="B6163">
        <f>IFERROR(__xludf.DUMMYFUNCTION("""COMPUTED_VALUE"""),2540712.0)</f>
        <v>2540712</v>
      </c>
      <c r="C6163" t="str">
        <f>IFERROR(__xludf.DUMMYFUNCTION("""COMPUTED_VALUE"""),"How to design &amp; develop REST microservices in Golang (Go)")</f>
        <v>How to design &amp; develop REST microservices in Golang (Go)</v>
      </c>
    </row>
    <row r="6164">
      <c r="A6164" s="140" t="str">
        <f>IFERROR(__xludf.DUMMYFUNCTION("""COMPUTED_VALUE"""),"ja")</f>
        <v>ja</v>
      </c>
      <c r="B6164">
        <f>IFERROR(__xludf.DUMMYFUNCTION("""COMPUTED_VALUE"""),2340972.0)</f>
        <v>2340972</v>
      </c>
      <c r="C6164" t="str">
        <f>IFERROR(__xludf.DUMMYFUNCTION("""COMPUTED_VALUE"""),"React Native入門：ニュースアプリを作りながら覚えよう/Hooks対応版")</f>
        <v>React Native入門：ニュースアプリを作りながら覚えよう/Hooks対応版</v>
      </c>
    </row>
    <row r="6165">
      <c r="A6165" s="140" t="str">
        <f>IFERROR(__xludf.DUMMYFUNCTION("""COMPUTED_VALUE"""),"ja")</f>
        <v>ja</v>
      </c>
      <c r="B6165">
        <f>IFERROR(__xludf.DUMMYFUNCTION("""COMPUTED_VALUE"""),3797918.0)</f>
        <v>3797918</v>
      </c>
      <c r="C6165" t="str">
        <f>IFERROR(__xludf.DUMMYFUNCTION("""COMPUTED_VALUE"""),"『アウトルック最速仕事術』基礎～中級編　　～Outlook時短術の極意～")</f>
        <v>『アウトルック最速仕事術』基礎～中級編　　～Outlook時短術の極意～</v>
      </c>
    </row>
    <row r="6166">
      <c r="A6166" s="140" t="str">
        <f>IFERROR(__xludf.DUMMYFUNCTION("""COMPUTED_VALUE"""),"en")</f>
        <v>en</v>
      </c>
      <c r="B6166">
        <f>IFERROR(__xludf.DUMMYFUNCTION("""COMPUTED_VALUE"""),2782102.0)</f>
        <v>2782102</v>
      </c>
      <c r="C6166" t="str">
        <f>IFERROR(__xludf.DUMMYFUNCTION("""COMPUTED_VALUE"""),"AZ-500 Microsoft Azure Security Exam Certification 2021")</f>
        <v>AZ-500 Microsoft Azure Security Exam Certification 2021</v>
      </c>
    </row>
    <row r="6167">
      <c r="A6167" s="140" t="str">
        <f>IFERROR(__xludf.DUMMYFUNCTION("""COMPUTED_VALUE"""),"es")</f>
        <v>es</v>
      </c>
      <c r="B6167">
        <f>IFERROR(__xludf.DUMMYFUNCTION("""COMPUTED_VALUE"""),2114628.0)</f>
        <v>2114628</v>
      </c>
      <c r="C6167" t="str">
        <f>IFERROR(__xludf.DUMMYFUNCTION("""COMPUTED_VALUE"""),"Taller de Agile Inception")</f>
        <v>Taller de Agile Inception</v>
      </c>
    </row>
    <row r="6168">
      <c r="A6168" s="140" t="str">
        <f>IFERROR(__xludf.DUMMYFUNCTION("""COMPUTED_VALUE"""),"en")</f>
        <v>en</v>
      </c>
      <c r="B6168">
        <f>IFERROR(__xludf.DUMMYFUNCTION("""COMPUTED_VALUE"""),2108234.0)</f>
        <v>2108234</v>
      </c>
      <c r="C6168" t="str">
        <f>IFERROR(__xludf.DUMMYFUNCTION("""COMPUTED_VALUE"""),"Statistical Process Control (SPC) Using Microsoft Excel")</f>
        <v>Statistical Process Control (SPC) Using Microsoft Excel</v>
      </c>
    </row>
    <row r="6169">
      <c r="A6169" s="140" t="str">
        <f>IFERROR(__xludf.DUMMYFUNCTION("""COMPUTED_VALUE"""),"pt")</f>
        <v>pt</v>
      </c>
      <c r="B6169">
        <f>IFERROR(__xludf.DUMMYFUNCTION("""COMPUTED_VALUE"""),1769052.0)</f>
        <v>1769052</v>
      </c>
      <c r="C6169" t="str">
        <f>IFERROR(__xludf.DUMMYFUNCTION("""COMPUTED_VALUE"""),"WordPress - Curso Como Criar Site com Design Moderno")</f>
        <v>WordPress - Curso Como Criar Site com Design Moderno</v>
      </c>
    </row>
    <row r="6170">
      <c r="A6170" s="140" t="str">
        <f>IFERROR(__xludf.DUMMYFUNCTION("""COMPUTED_VALUE"""),"en")</f>
        <v>en</v>
      </c>
      <c r="B6170">
        <f>IFERROR(__xludf.DUMMYFUNCTION("""COMPUTED_VALUE"""),3011916.0)</f>
        <v>3011916</v>
      </c>
      <c r="C6170" t="str">
        <f>IFERROR(__xludf.DUMMYFUNCTION("""COMPUTED_VALUE"""),"SPS - NEXUS - PROFESSIONAL SCALED SCRUM - Practice Tests")</f>
        <v>SPS - NEXUS - PROFESSIONAL SCALED SCRUM - Practice Tests</v>
      </c>
    </row>
    <row r="6171">
      <c r="A6171" s="140" t="str">
        <f>IFERROR(__xludf.DUMMYFUNCTION("""COMPUTED_VALUE"""),"de")</f>
        <v>de</v>
      </c>
      <c r="B6171">
        <f>IFERROR(__xludf.DUMMYFUNCTION("""COMPUTED_VALUE"""),685982.0)</f>
        <v>685982</v>
      </c>
      <c r="C6171" t="str">
        <f>IFERROR(__xludf.DUMMYFUNCTION("""COMPUTED_VALUE"""),"Meetings perfekt vorbereiten")</f>
        <v>Meetings perfekt vorbereiten</v>
      </c>
    </row>
    <row r="6172">
      <c r="A6172" s="140" t="str">
        <f>IFERROR(__xludf.DUMMYFUNCTION("""COMPUTED_VALUE"""),"en")</f>
        <v>en</v>
      </c>
      <c r="B6172">
        <f>IFERROR(__xludf.DUMMYFUNCTION("""COMPUTED_VALUE"""),1555228.0)</f>
        <v>1555228</v>
      </c>
      <c r="C6172" t="str">
        <f>IFERROR(__xludf.DUMMYFUNCTION("""COMPUTED_VALUE"""),"Operating Systems from scratch - Part 1")</f>
        <v>Operating Systems from scratch - Part 1</v>
      </c>
    </row>
    <row r="6173">
      <c r="A6173" s="140" t="str">
        <f>IFERROR(__xludf.DUMMYFUNCTION("""COMPUTED_VALUE"""),"tr")</f>
        <v>tr</v>
      </c>
      <c r="B6173">
        <f>IFERROR(__xludf.DUMMYFUNCTION("""COMPUTED_VALUE"""),2801937.0)</f>
        <v>2801937</v>
      </c>
      <c r="C6173" t="str">
        <f>IFERROR(__xludf.DUMMYFUNCTION("""COMPUTED_VALUE"""),"PRİMAVERA P6 İLE PLANLAMA VE MALİYET KONTROL")</f>
        <v>PRİMAVERA P6 İLE PLANLAMA VE MALİYET KONTROL</v>
      </c>
    </row>
    <row r="6174">
      <c r="A6174" s="140" t="str">
        <f>IFERROR(__xludf.DUMMYFUNCTION("""COMPUTED_VALUE"""),"en")</f>
        <v>en</v>
      </c>
      <c r="B6174">
        <f>IFERROR(__xludf.DUMMYFUNCTION("""COMPUTED_VALUE"""),3651248.0)</f>
        <v>3651248</v>
      </c>
      <c r="C6174" t="str">
        <f>IFERROR(__xludf.DUMMYFUNCTION("""COMPUTED_VALUE"""),"Cross-Site Scripting (XSS): The Practical Guide")</f>
        <v>Cross-Site Scripting (XSS): The Practical Guide</v>
      </c>
    </row>
    <row r="6175">
      <c r="A6175" s="140" t="str">
        <f>IFERROR(__xludf.DUMMYFUNCTION("""COMPUTED_VALUE"""),"de")</f>
        <v>de</v>
      </c>
      <c r="B6175">
        <f>IFERROR(__xludf.DUMMYFUNCTION("""COMPUTED_VALUE"""),3597360.0)</f>
        <v>3597360</v>
      </c>
      <c r="C6175" t="str">
        <f>IFERROR(__xludf.DUMMYFUNCTION("""COMPUTED_VALUE"""),"Public Speaking: Rhetorik &amp; Charisma – Werde überzeugend!")</f>
        <v>Public Speaking: Rhetorik &amp; Charisma – Werde überzeugend!</v>
      </c>
    </row>
    <row r="6176">
      <c r="A6176" s="140" t="str">
        <f>IFERROR(__xludf.DUMMYFUNCTION("""COMPUTED_VALUE"""),"pt")</f>
        <v>pt</v>
      </c>
      <c r="B6176">
        <f>IFERROR(__xludf.DUMMYFUNCTION("""COMPUTED_VALUE"""),3044768.0)</f>
        <v>3044768</v>
      </c>
      <c r="C6176" t="str">
        <f>IFERROR(__xludf.DUMMYFUNCTION("""COMPUTED_VALUE"""),"Inbound Marketing - O marketing que as pessoas buscam")</f>
        <v>Inbound Marketing - O marketing que as pessoas buscam</v>
      </c>
    </row>
    <row r="6177">
      <c r="A6177" s="140" t="str">
        <f>IFERROR(__xludf.DUMMYFUNCTION("""COMPUTED_VALUE"""),"pt")</f>
        <v>pt</v>
      </c>
      <c r="B6177">
        <f>IFERROR(__xludf.DUMMYFUNCTION("""COMPUTED_VALUE"""),406424.0)</f>
        <v>406424</v>
      </c>
      <c r="C6177" t="str">
        <f>IFERROR(__xludf.DUMMYFUNCTION("""COMPUTED_VALUE"""),"Photoshop, Illustrator, InDesign &amp; Design Gráfico")</f>
        <v>Photoshop, Illustrator, InDesign &amp; Design Gráfico</v>
      </c>
    </row>
    <row r="6178">
      <c r="A6178" s="140" t="str">
        <f>IFERROR(__xludf.DUMMYFUNCTION("""COMPUTED_VALUE"""),"fr")</f>
        <v>fr</v>
      </c>
      <c r="B6178">
        <f>IFERROR(__xludf.DUMMYFUNCTION("""COMPUTED_VALUE"""),2346550.0)</f>
        <v>2346550</v>
      </c>
      <c r="C6178" t="str">
        <f>IFERROR(__xludf.DUMMYFUNCTION("""COMPUTED_VALUE"""),"Comment conduire des réunions toniques et utiles")</f>
        <v>Comment conduire des réunions toniques et utiles</v>
      </c>
    </row>
    <row r="6179">
      <c r="A6179" s="140" t="str">
        <f>IFERROR(__xludf.DUMMYFUNCTION("""COMPUTED_VALUE"""),"es")</f>
        <v>es</v>
      </c>
      <c r="B6179">
        <f>IFERROR(__xludf.DUMMYFUNCTION("""COMPUTED_VALUE"""),1763892.0)</f>
        <v>1763892</v>
      </c>
      <c r="C6179" t="str">
        <f>IFERROR(__xludf.DUMMYFUNCTION("""COMPUTED_VALUE"""),"Esteganografía y Zapping - el Arte de Ocultar Secretos")</f>
        <v>Esteganografía y Zapping - el Arte de Ocultar Secretos</v>
      </c>
    </row>
    <row r="6180">
      <c r="A6180" s="140" t="str">
        <f>IFERROR(__xludf.DUMMYFUNCTION("""COMPUTED_VALUE"""),"en")</f>
        <v>en</v>
      </c>
      <c r="B6180">
        <f>IFERROR(__xludf.DUMMYFUNCTION("""COMPUTED_VALUE"""),959400.0)</f>
        <v>959400</v>
      </c>
      <c r="C6180" t="str">
        <f>IFERROR(__xludf.DUMMYFUNCTION("""COMPUTED_VALUE"""),"The Guide to macOS Sierra / High Sierra")</f>
        <v>The Guide to macOS Sierra / High Sierra</v>
      </c>
    </row>
    <row r="6181">
      <c r="A6181" s="140" t="str">
        <f>IFERROR(__xludf.DUMMYFUNCTION("""COMPUTED_VALUE"""),"ja")</f>
        <v>ja</v>
      </c>
      <c r="B6181">
        <f>IFERROR(__xludf.DUMMYFUNCTION("""COMPUTED_VALUE"""),1685648.0)</f>
        <v>1685648</v>
      </c>
      <c r="C6181" t="str">
        <f>IFERROR(__xludf.DUMMYFUNCTION("""COMPUTED_VALUE"""),"3分で一発OK！社内プレゼンの資料作成術")</f>
        <v>3分で一発OK！社内プレゼンの資料作成術</v>
      </c>
    </row>
    <row r="6182">
      <c r="A6182" s="140" t="str">
        <f>IFERROR(__xludf.DUMMYFUNCTION("""COMPUTED_VALUE"""),"de")</f>
        <v>de</v>
      </c>
      <c r="B6182">
        <f>IFERROR(__xludf.DUMMYFUNCTION("""COMPUTED_VALUE"""),268020.0)</f>
        <v>268020</v>
      </c>
      <c r="C6182" t="str">
        <f>IFERROR(__xludf.DUMMYFUNCTION("""COMPUTED_VALUE"""),"Wordpress Sicherheit für Profis &amp; Anfänger")</f>
        <v>Wordpress Sicherheit für Profis &amp; Anfänger</v>
      </c>
    </row>
    <row r="6183">
      <c r="A6183" s="140" t="str">
        <f>IFERROR(__xludf.DUMMYFUNCTION("""COMPUTED_VALUE"""),"en")</f>
        <v>en</v>
      </c>
      <c r="B6183">
        <f>IFERROR(__xludf.DUMMYFUNCTION("""COMPUTED_VALUE"""),126684.0)</f>
        <v>126684</v>
      </c>
      <c r="C6183" t="str">
        <f>IFERROR(__xludf.DUMMYFUNCTION("""COMPUTED_VALUE"""),"How to Build Habit-Forming Products")</f>
        <v>How to Build Habit-Forming Products</v>
      </c>
    </row>
    <row r="6184">
      <c r="A6184" s="140" t="str">
        <f>IFERROR(__xludf.DUMMYFUNCTION("""COMPUTED_VALUE"""),"en")</f>
        <v>en</v>
      </c>
      <c r="B6184">
        <f>IFERROR(__xludf.DUMMYFUNCTION("""COMPUTED_VALUE"""),2585454.0)</f>
        <v>2585454</v>
      </c>
      <c r="C6184" t="str">
        <f>IFERROR(__xludf.DUMMYFUNCTION("""COMPUTED_VALUE"""),"Certified Cloud Security Professional (CCSP)")</f>
        <v>Certified Cloud Security Professional (CCSP)</v>
      </c>
    </row>
    <row r="6185">
      <c r="A6185" s="140" t="str">
        <f>IFERROR(__xludf.DUMMYFUNCTION("""COMPUTED_VALUE"""),"en")</f>
        <v>en</v>
      </c>
      <c r="B6185">
        <f>IFERROR(__xludf.DUMMYFUNCTION("""COMPUTED_VALUE"""),2720478.0)</f>
        <v>2720478</v>
      </c>
      <c r="C6185" t="str">
        <f>IFERROR(__xludf.DUMMYFUNCTION("""COMPUTED_VALUE"""),"INDIAN COOKING - RESTAURANT STYLE COOKING COURSE")</f>
        <v>INDIAN COOKING - RESTAURANT STYLE COOKING COURSE</v>
      </c>
    </row>
    <row r="6186">
      <c r="A6186" s="140" t="str">
        <f>IFERROR(__xludf.DUMMYFUNCTION("""COMPUTED_VALUE"""),"en")</f>
        <v>en</v>
      </c>
      <c r="B6186">
        <f>IFERROR(__xludf.DUMMYFUNCTION("""COMPUTED_VALUE"""),1107944.0)</f>
        <v>1107944</v>
      </c>
      <c r="C6186" t="str">
        <f>IFERROR(__xludf.DUMMYFUNCTION("""COMPUTED_VALUE"""),"Get up to speed with Windows 10")</f>
        <v>Get up to speed with Windows 10</v>
      </c>
    </row>
    <row r="6187">
      <c r="A6187" s="140" t="str">
        <f>IFERROR(__xludf.DUMMYFUNCTION("""COMPUTED_VALUE"""),"en")</f>
        <v>en</v>
      </c>
      <c r="B6187">
        <f>IFERROR(__xludf.DUMMYFUNCTION("""COMPUTED_VALUE"""),754516.0)</f>
        <v>754516</v>
      </c>
      <c r="C6187" t="str">
        <f>IFERROR(__xludf.DUMMYFUNCTION("""COMPUTED_VALUE"""),"Fundraising Success: Board Engagement &amp; Empowerment")</f>
        <v>Fundraising Success: Board Engagement &amp; Empowerment</v>
      </c>
    </row>
    <row r="6188">
      <c r="A6188" s="140" t="str">
        <f>IFERROR(__xludf.DUMMYFUNCTION("""COMPUTED_VALUE"""),"pt")</f>
        <v>pt</v>
      </c>
      <c r="B6188">
        <f>IFERROR(__xludf.DUMMYFUNCTION("""COMPUTED_VALUE"""),1528396.0)</f>
        <v>1528396</v>
      </c>
      <c r="C6188" t="str">
        <f>IFERROR(__xludf.DUMMYFUNCTION("""COMPUTED_VALUE"""),"Desenvolva uma aplicação com Django 2.0 e deploy no Heroku")</f>
        <v>Desenvolva uma aplicação com Django 2.0 e deploy no Heroku</v>
      </c>
    </row>
    <row r="6189">
      <c r="A6189" s="140" t="str">
        <f>IFERROR(__xludf.DUMMYFUNCTION("""COMPUTED_VALUE"""),"tr")</f>
        <v>tr</v>
      </c>
      <c r="B6189">
        <f>IFERROR(__xludf.DUMMYFUNCTION("""COMPUTED_VALUE"""),2520818.0)</f>
        <v>2520818</v>
      </c>
      <c r="C6189" t="str">
        <f>IFERROR(__xludf.DUMMYFUNCTION("""COMPUTED_VALUE"""),"Python GUI: Gerçek Dünya Python Projeleri ile Tkinter&amp;PyQt5!")</f>
        <v>Python GUI: Gerçek Dünya Python Projeleri ile Tkinter&amp;PyQt5!</v>
      </c>
    </row>
    <row r="6190">
      <c r="A6190" s="140" t="str">
        <f>IFERROR(__xludf.DUMMYFUNCTION("""COMPUTED_VALUE"""),"en")</f>
        <v>en</v>
      </c>
      <c r="B6190">
        <f>IFERROR(__xludf.DUMMYFUNCTION("""COMPUTED_VALUE"""),1299614.0)</f>
        <v>1299614</v>
      </c>
      <c r="C6190" t="str">
        <f>IFERROR(__xludf.DUMMYFUNCTION("""COMPUTED_VALUE"""),"Active Listening Masterclass")</f>
        <v>Active Listening Masterclass</v>
      </c>
    </row>
    <row r="6191">
      <c r="A6191" s="140" t="str">
        <f>IFERROR(__xludf.DUMMYFUNCTION("""COMPUTED_VALUE"""),"ar")</f>
        <v>ar</v>
      </c>
      <c r="B6191">
        <f>IFERROR(__xludf.DUMMYFUNCTION("""COMPUTED_VALUE"""),2432400.0)</f>
        <v>2432400</v>
      </c>
      <c r="C6191" t="str">
        <f>IFERROR(__xludf.DUMMYFUNCTION("""COMPUTED_VALUE"""),"Introduction To Nano Science and Nano Technology")</f>
        <v>Introduction To Nano Science and Nano Technology</v>
      </c>
    </row>
    <row r="6192">
      <c r="A6192" s="140" t="str">
        <f>IFERROR(__xludf.DUMMYFUNCTION("""COMPUTED_VALUE"""),"de")</f>
        <v>de</v>
      </c>
      <c r="B6192">
        <f>IFERROR(__xludf.DUMMYFUNCTION("""COMPUTED_VALUE"""),849736.0)</f>
        <v>849736</v>
      </c>
      <c r="C6192" t="str">
        <f>IFERROR(__xludf.DUMMYFUNCTION("""COMPUTED_VALUE"""),"Musikproduktion im Heimstudio: Kompression verstehen")</f>
        <v>Musikproduktion im Heimstudio: Kompression verstehen</v>
      </c>
    </row>
    <row r="6193">
      <c r="A6193" s="140" t="str">
        <f>IFERROR(__xludf.DUMMYFUNCTION("""COMPUTED_VALUE"""),"en")</f>
        <v>en</v>
      </c>
      <c r="B6193">
        <f>IFERROR(__xludf.DUMMYFUNCTION("""COMPUTED_VALUE"""),553454.0)</f>
        <v>553454</v>
      </c>
      <c r="C6193" t="str">
        <f>IFERROR(__xludf.DUMMYFUNCTION("""COMPUTED_VALUE"""),"Selenium WebDriver with C# for Beginners + Live Testing Site")</f>
        <v>Selenium WebDriver with C# for Beginners + Live Testing Site</v>
      </c>
    </row>
    <row r="6194">
      <c r="A6194" s="140" t="str">
        <f>IFERROR(__xludf.DUMMYFUNCTION("""COMPUTED_VALUE"""),"en")</f>
        <v>en</v>
      </c>
      <c r="B6194">
        <f>IFERROR(__xludf.DUMMYFUNCTION("""COMPUTED_VALUE"""),1651284.0)</f>
        <v>1651284</v>
      </c>
      <c r="C6194" t="str">
        <f>IFERROR(__xludf.DUMMYFUNCTION("""COMPUTED_VALUE"""),"Selenium WebDriver and Java - Learn Automation with Selenium")</f>
        <v>Selenium WebDriver and Java - Learn Automation with Selenium</v>
      </c>
    </row>
    <row r="6195">
      <c r="A6195" s="140" t="str">
        <f>IFERROR(__xludf.DUMMYFUNCTION("""COMPUTED_VALUE"""),"es")</f>
        <v>es</v>
      </c>
      <c r="B6195">
        <f>IFERROR(__xludf.DUMMYFUNCTION("""COMPUTED_VALUE"""),1114896.0)</f>
        <v>1114896</v>
      </c>
      <c r="C6195" t="str">
        <f>IFERROR(__xludf.DUMMYFUNCTION("""COMPUTED_VALUE"""),"Curso Completo Python 3 - Desde las Bases hasta Django")</f>
        <v>Curso Completo Python 3 - Desde las Bases hasta Django</v>
      </c>
    </row>
    <row r="6196">
      <c r="A6196" s="140" t="str">
        <f>IFERROR(__xludf.DUMMYFUNCTION("""COMPUTED_VALUE"""),"pt")</f>
        <v>pt</v>
      </c>
      <c r="B6196">
        <f>IFERROR(__xludf.DUMMYFUNCTION("""COMPUTED_VALUE"""),3164674.0)</f>
        <v>3164674</v>
      </c>
      <c r="C6196" t="str">
        <f>IFERROR(__xludf.DUMMYFUNCTION("""COMPUTED_VALUE"""),"Derivativos Expert - Tudo o que você precisa saber")</f>
        <v>Derivativos Expert - Tudo o que você precisa saber</v>
      </c>
    </row>
    <row r="6197">
      <c r="A6197" s="140" t="str">
        <f>IFERROR(__xludf.DUMMYFUNCTION("""COMPUTED_VALUE"""),"en")</f>
        <v>en</v>
      </c>
      <c r="B6197">
        <f>IFERROR(__xludf.DUMMYFUNCTION("""COMPUTED_VALUE"""),2867420.0)</f>
        <v>2867420</v>
      </c>
      <c r="C6197" t="str">
        <f>IFERROR(__xludf.DUMMYFUNCTION("""COMPUTED_VALUE"""),"Agile BM 301 Enterprise-level Agile Business Management")</f>
        <v>Agile BM 301 Enterprise-level Agile Business Management</v>
      </c>
    </row>
    <row r="6198">
      <c r="A6198" s="140" t="str">
        <f>IFERROR(__xludf.DUMMYFUNCTION("""COMPUTED_VALUE"""),"tr")</f>
        <v>tr</v>
      </c>
      <c r="B6198">
        <f>IFERROR(__xludf.DUMMYFUNCTION("""COMPUTED_VALUE"""),2425960.0)</f>
        <v>2425960</v>
      </c>
      <c r="C6198" t="str">
        <f>IFERROR(__xludf.DUMMYFUNCTION("""COMPUTED_VALUE"""),"Raspberry Pi ve Nesnelerin İnterneti'ne Giriş")</f>
        <v>Raspberry Pi ve Nesnelerin İnterneti'ne Giriş</v>
      </c>
    </row>
    <row r="6199">
      <c r="A6199" s="140" t="str">
        <f>IFERROR(__xludf.DUMMYFUNCTION("""COMPUTED_VALUE"""),"ja")</f>
        <v>ja</v>
      </c>
      <c r="B6199">
        <f>IFERROR(__xludf.DUMMYFUNCTION("""COMPUTED_VALUE"""),1227488.0)</f>
        <v>1227488</v>
      </c>
      <c r="C6199" t="str">
        <f>IFERROR(__xludf.DUMMYFUNCTION("""COMPUTED_VALUE"""),"【 初心者から財務プロまで 】エクセルで学ぶビジネス・シミュレーション講座 マスターコース")</f>
        <v>【 初心者から財務プロまで 】エクセルで学ぶビジネス・シミュレーション講座 マスターコース</v>
      </c>
    </row>
    <row r="6200">
      <c r="A6200" s="140" t="str">
        <f>IFERROR(__xludf.DUMMYFUNCTION("""COMPUTED_VALUE"""),"en")</f>
        <v>en</v>
      </c>
      <c r="B6200">
        <f>IFERROR(__xludf.DUMMYFUNCTION("""COMPUTED_VALUE"""),843800.0)</f>
        <v>843800</v>
      </c>
      <c r="C6200" t="str">
        <f>IFERROR(__xludf.DUMMYFUNCTION("""COMPUTED_VALUE"""),"The Day to Day Real World SQL Server DBA")</f>
        <v>The Day to Day Real World SQL Server DBA</v>
      </c>
    </row>
    <row r="6201">
      <c r="A6201" s="140" t="str">
        <f>IFERROR(__xludf.DUMMYFUNCTION("""COMPUTED_VALUE"""),"tr")</f>
        <v>tr</v>
      </c>
      <c r="B6201">
        <f>IFERROR(__xludf.DUMMYFUNCTION("""COMPUTED_VALUE"""),2061713.0)</f>
        <v>2061713</v>
      </c>
      <c r="C6201" t="str">
        <f>IFERROR(__xludf.DUMMYFUNCTION("""COMPUTED_VALUE"""),"Almanca öğrenin: Yeni başlayanlar için Almanca kursunu ta")</f>
        <v>Almanca öğrenin: Yeni başlayanlar için Almanca kursunu ta</v>
      </c>
    </row>
    <row r="6202">
      <c r="A6202" s="140" t="str">
        <f>IFERROR(__xludf.DUMMYFUNCTION("""COMPUTED_VALUE"""),"tr")</f>
        <v>tr</v>
      </c>
      <c r="B6202">
        <f>IFERROR(__xludf.DUMMYFUNCTION("""COMPUTED_VALUE"""),1764962.0)</f>
        <v>1764962</v>
      </c>
      <c r="C6202" t="str">
        <f>IFERROR(__xludf.DUMMYFUNCTION("""COMPUTED_VALUE"""),"Data Visualization: A'dan Z'ye Veri Görselleştirme (3)")</f>
        <v>Data Visualization: A'dan Z'ye Veri Görselleştirme (3)</v>
      </c>
    </row>
    <row r="6203">
      <c r="A6203" s="140" t="str">
        <f>IFERROR(__xludf.DUMMYFUNCTION("""COMPUTED_VALUE"""),"en")</f>
        <v>en</v>
      </c>
      <c r="B6203">
        <f>IFERROR(__xludf.DUMMYFUNCTION("""COMPUTED_VALUE"""),1724274.0)</f>
        <v>1724274</v>
      </c>
      <c r="C6203" t="str">
        <f>IFERROR(__xludf.DUMMYFUNCTION("""COMPUTED_VALUE"""),"Mainframe: Code DB2 on COBOL Programs for Absolute Beginners")</f>
        <v>Mainframe: Code DB2 on COBOL Programs for Absolute Beginners</v>
      </c>
    </row>
    <row r="6204">
      <c r="A6204" s="140" t="str">
        <f>IFERROR(__xludf.DUMMYFUNCTION("""COMPUTED_VALUE"""),"pt")</f>
        <v>pt</v>
      </c>
      <c r="B6204">
        <f>IFERROR(__xludf.DUMMYFUNCTION("""COMPUTED_VALUE"""),1235914.0)</f>
        <v>1235914</v>
      </c>
      <c r="C6204" t="str">
        <f>IFERROR(__xludf.DUMMYFUNCTION("""COMPUTED_VALUE"""),"Empresas Familiares - desafios e oportunidades")</f>
        <v>Empresas Familiares - desafios e oportunidades</v>
      </c>
    </row>
    <row r="6205">
      <c r="A6205" s="140" t="str">
        <f>IFERROR(__xludf.DUMMYFUNCTION("""COMPUTED_VALUE"""),"tr")</f>
        <v>tr</v>
      </c>
      <c r="B6205">
        <f>IFERROR(__xludf.DUMMYFUNCTION("""COMPUTED_VALUE"""),2524670.0)</f>
        <v>2524670</v>
      </c>
      <c r="C6205" t="str">
        <f>IFERROR(__xludf.DUMMYFUNCTION("""COMPUTED_VALUE"""),"Etkili Sunum Teknikleri Kursu")</f>
        <v>Etkili Sunum Teknikleri Kursu</v>
      </c>
    </row>
    <row r="6206">
      <c r="A6206" s="140" t="str">
        <f>IFERROR(__xludf.DUMMYFUNCTION("""COMPUTED_VALUE"""),"en")</f>
        <v>en</v>
      </c>
      <c r="B6206">
        <f>IFERROR(__xludf.DUMMYFUNCTION("""COMPUTED_VALUE"""),2850312.0)</f>
        <v>2850312</v>
      </c>
      <c r="C6206" t="str">
        <f>IFERROR(__xludf.DUMMYFUNCTION("""COMPUTED_VALUE"""),"Working with Web APIs in Microsoft Power Automate (MS Flow)")</f>
        <v>Working with Web APIs in Microsoft Power Automate (MS Flow)</v>
      </c>
    </row>
    <row r="6207">
      <c r="A6207" s="140" t="str">
        <f>IFERROR(__xludf.DUMMYFUNCTION("""COMPUTED_VALUE"""),"tr")</f>
        <v>tr</v>
      </c>
      <c r="B6207">
        <f>IFERROR(__xludf.DUMMYFUNCTION("""COMPUTED_VALUE"""),2546901.0)</f>
        <v>2546901</v>
      </c>
      <c r="C6207" t="str">
        <f>IFERROR(__xludf.DUMMYFUNCTION("""COMPUTED_VALUE"""),"Microsoft Word Kursu")</f>
        <v>Microsoft Word Kursu</v>
      </c>
    </row>
    <row r="6208">
      <c r="A6208" s="140" t="str">
        <f>IFERROR(__xludf.DUMMYFUNCTION("""COMPUTED_VALUE"""),"en")</f>
        <v>en</v>
      </c>
      <c r="B6208">
        <f>IFERROR(__xludf.DUMMYFUNCTION("""COMPUTED_VALUE"""),1265930.0)</f>
        <v>1265930</v>
      </c>
      <c r="C6208" t="str">
        <f>IFERROR(__xludf.DUMMYFUNCTION("""COMPUTED_VALUE"""),"Advanced SAS Course by Solving Questions and Use Cases")</f>
        <v>Advanced SAS Course by Solving Questions and Use Cases</v>
      </c>
    </row>
    <row r="6209">
      <c r="A6209" s="140" t="str">
        <f>IFERROR(__xludf.DUMMYFUNCTION("""COMPUTED_VALUE"""),"en")</f>
        <v>en</v>
      </c>
      <c r="B6209">
        <f>IFERROR(__xludf.DUMMYFUNCTION("""COMPUTED_VALUE"""),1231182.0)</f>
        <v>1231182</v>
      </c>
      <c r="C6209" t="str">
        <f>IFERROR(__xludf.DUMMYFUNCTION("""COMPUTED_VALUE"""),"How to Analyze a Wholesale Deal in Real Estate")</f>
        <v>How to Analyze a Wholesale Deal in Real Estate</v>
      </c>
    </row>
    <row r="6210">
      <c r="A6210" s="140" t="str">
        <f>IFERROR(__xludf.DUMMYFUNCTION("""COMPUTED_VALUE"""),"fr")</f>
        <v>fr</v>
      </c>
      <c r="B6210">
        <f>IFERROR(__xludf.DUMMYFUNCTION("""COMPUTED_VALUE"""),2023658.0)</f>
        <v>2023658</v>
      </c>
      <c r="C6210" t="str">
        <f>IFERROR(__xludf.DUMMYFUNCTION("""COMPUTED_VALUE"""),"Comment installer un LMS Open Source - Part 1")</f>
        <v>Comment installer un LMS Open Source - Part 1</v>
      </c>
    </row>
    <row r="6211">
      <c r="A6211" s="140" t="str">
        <f>IFERROR(__xludf.DUMMYFUNCTION("""COMPUTED_VALUE"""),"pt")</f>
        <v>pt</v>
      </c>
      <c r="B6211">
        <f>IFERROR(__xludf.DUMMYFUNCTION("""COMPUTED_VALUE"""),1981144.0)</f>
        <v>1981144</v>
      </c>
      <c r="C6211" t="str">
        <f>IFERROR(__xludf.DUMMYFUNCTION("""COMPUTED_VALUE"""),"ServiceNow system admin Exam (CSA) - Simulados")</f>
        <v>ServiceNow system admin Exam (CSA) - Simulados</v>
      </c>
    </row>
    <row r="6212">
      <c r="A6212" s="140" t="str">
        <f>IFERROR(__xludf.DUMMYFUNCTION("""COMPUTED_VALUE"""),"pt")</f>
        <v>pt</v>
      </c>
      <c r="B6212">
        <f>IFERROR(__xludf.DUMMYFUNCTION("""COMPUTED_VALUE"""),1419916.0)</f>
        <v>1419916</v>
      </c>
      <c r="C6212" t="str">
        <f>IFERROR(__xludf.DUMMYFUNCTION("""COMPUTED_VALUE"""),"Machine Learning e Data Science com Python de A à Z")</f>
        <v>Machine Learning e Data Science com Python de A à Z</v>
      </c>
    </row>
    <row r="6213">
      <c r="A6213" s="140" t="str">
        <f>IFERROR(__xludf.DUMMYFUNCTION("""COMPUTED_VALUE"""),"en")</f>
        <v>en</v>
      </c>
      <c r="B6213">
        <f>IFERROR(__xludf.DUMMYFUNCTION("""COMPUTED_VALUE"""),1619932.0)</f>
        <v>1619932</v>
      </c>
      <c r="C6213" t="str">
        <f>IFERROR(__xludf.DUMMYFUNCTION("""COMPUTED_VALUE"""),"Discrete Math Series : Propositional Logic masterclass")</f>
        <v>Discrete Math Series : Propositional Logic masterclass</v>
      </c>
    </row>
    <row r="6214">
      <c r="A6214" s="140" t="str">
        <f>IFERROR(__xludf.DUMMYFUNCTION("""COMPUTED_VALUE"""),"en")</f>
        <v>en</v>
      </c>
      <c r="B6214">
        <f>IFERROR(__xludf.DUMMYFUNCTION("""COMPUTED_VALUE"""),1933808.0)</f>
        <v>1933808</v>
      </c>
      <c r="C6214" t="str">
        <f>IFERROR(__xludf.DUMMYFUNCTION("""COMPUTED_VALUE"""),"Python OOP - Object Oriented Programming for Beginners")</f>
        <v>Python OOP - Object Oriented Programming for Beginners</v>
      </c>
    </row>
    <row r="6215">
      <c r="A6215" s="140" t="str">
        <f>IFERROR(__xludf.DUMMYFUNCTION("""COMPUTED_VALUE"""),"pt")</f>
        <v>pt</v>
      </c>
      <c r="B6215">
        <f>IFERROR(__xludf.DUMMYFUNCTION("""COMPUTED_VALUE"""),677674.0)</f>
        <v>677674</v>
      </c>
      <c r="C6215" t="str">
        <f>IFERROR(__xludf.DUMMYFUNCTION("""COMPUTED_VALUE"""),"Aprenda Unity Programando 7 Jogos")</f>
        <v>Aprenda Unity Programando 7 Jogos</v>
      </c>
    </row>
    <row r="6216">
      <c r="A6216" s="140" t="str">
        <f>IFERROR(__xludf.DUMMYFUNCTION("""COMPUTED_VALUE"""),"es")</f>
        <v>es</v>
      </c>
      <c r="B6216">
        <f>IFERROR(__xludf.DUMMYFUNCTION("""COMPUTED_VALUE"""),2483292.0)</f>
        <v>2483292</v>
      </c>
      <c r="C6216" t="str">
        <f>IFERROR(__xludf.DUMMYFUNCTION("""COMPUTED_VALUE"""),"Universidad React ★: De Cero a Master + 5 Cursos de Regalo")</f>
        <v>Universidad React ★: De Cero a Master + 5 Cursos de Regalo</v>
      </c>
    </row>
    <row r="6217">
      <c r="A6217" s="140" t="str">
        <f>IFERROR(__xludf.DUMMYFUNCTION("""COMPUTED_VALUE"""),"en")</f>
        <v>en</v>
      </c>
      <c r="B6217">
        <f>IFERROR(__xludf.DUMMYFUNCTION("""COMPUTED_VALUE"""),848496.0)</f>
        <v>848496</v>
      </c>
      <c r="C6217" t="str">
        <f>IFERROR(__xludf.DUMMYFUNCTION("""COMPUTED_VALUE"""),"Deeply Practical Project Management (Earn 16 PDUs)")</f>
        <v>Deeply Practical Project Management (Earn 16 PDUs)</v>
      </c>
    </row>
    <row r="6218">
      <c r="A6218" s="140" t="str">
        <f>IFERROR(__xludf.DUMMYFUNCTION("""COMPUTED_VALUE"""),"es")</f>
        <v>es</v>
      </c>
      <c r="B6218">
        <f>IFERROR(__xludf.DUMMYFUNCTION("""COMPUTED_VALUE"""),2517302.0)</f>
        <v>2517302</v>
      </c>
      <c r="C6218" t="str">
        <f>IFERROR(__xludf.DUMMYFUNCTION("""COMPUTED_VALUE"""),"Masterclass de Google SEO: Posiciónate Alto con un Mejor SEO")</f>
        <v>Masterclass de Google SEO: Posiciónate Alto con un Mejor SEO</v>
      </c>
    </row>
    <row r="6219">
      <c r="A6219" s="140" t="str">
        <f>IFERROR(__xludf.DUMMYFUNCTION("""COMPUTED_VALUE"""),"tr")</f>
        <v>tr</v>
      </c>
      <c r="B6219">
        <f>IFERROR(__xludf.DUMMYFUNCTION("""COMPUTED_VALUE"""),1466532.0)</f>
        <v>1466532</v>
      </c>
      <c r="C6219" t="str">
        <f>IFERROR(__xludf.DUMMYFUNCTION("""COMPUTED_VALUE"""),"Uçtan Uca SQL Server Eğitimi")</f>
        <v>Uçtan Uca SQL Server Eğitimi</v>
      </c>
    </row>
    <row r="6220">
      <c r="A6220" s="140" t="str">
        <f>IFERROR(__xludf.DUMMYFUNCTION("""COMPUTED_VALUE"""),"de")</f>
        <v>de</v>
      </c>
      <c r="B6220">
        <f>IFERROR(__xludf.DUMMYFUNCTION("""COMPUTED_VALUE"""),2402800.0)</f>
        <v>2402800</v>
      </c>
      <c r="C6220" t="str">
        <f>IFERROR(__xludf.DUMMYFUNCTION("""COMPUTED_VALUE"""),"Die komplette JavaScript Masterclass: Vom Anfänger zum Profi")</f>
        <v>Die komplette JavaScript Masterclass: Vom Anfänger zum Profi</v>
      </c>
    </row>
    <row r="6221">
      <c r="A6221" s="140" t="str">
        <f>IFERROR(__xludf.DUMMYFUNCTION("""COMPUTED_VALUE"""),"en")</f>
        <v>en</v>
      </c>
      <c r="B6221">
        <f>IFERROR(__xludf.DUMMYFUNCTION("""COMPUTED_VALUE"""),1916776.0)</f>
        <v>1916776</v>
      </c>
      <c r="C6221" t="str">
        <f>IFERROR(__xludf.DUMMYFUNCTION("""COMPUTED_VALUE"""),"PMP Exam Maths, Formulas &amp; Equations Simplified for PMP 6")</f>
        <v>PMP Exam Maths, Formulas &amp; Equations Simplified for PMP 6</v>
      </c>
    </row>
    <row r="6222">
      <c r="A6222" s="140" t="str">
        <f>IFERROR(__xludf.DUMMYFUNCTION("""COMPUTED_VALUE"""),"pt")</f>
        <v>pt</v>
      </c>
      <c r="B6222">
        <f>IFERROR(__xludf.DUMMYFUNCTION("""COMPUTED_VALUE"""),3798106.0)</f>
        <v>3798106</v>
      </c>
      <c r="C6222" t="str">
        <f>IFERROR(__xludf.DUMMYFUNCTION("""COMPUTED_VALUE"""),"Responsividade no Flutter | Mobile, Tablet, Web e Desktop")</f>
        <v>Responsividade no Flutter | Mobile, Tablet, Web e Desktop</v>
      </c>
    </row>
    <row r="6223">
      <c r="A6223" s="140" t="str">
        <f>IFERROR(__xludf.DUMMYFUNCTION("""COMPUTED_VALUE"""),"fr")</f>
        <v>fr</v>
      </c>
      <c r="B6223">
        <f>IFERROR(__xludf.DUMMYFUNCTION("""COMPUTED_VALUE"""),3798514.0)</f>
        <v>3798514</v>
      </c>
      <c r="C6223" t="str">
        <f>IFERROR(__xludf.DUMMYFUNCTION("""COMPUTED_VALUE"""),"Emailing en 2022 ▶ Accélérez vos ventes, méthode de A à Z")</f>
        <v>Emailing en 2022 ▶ Accélérez vos ventes, méthode de A à Z</v>
      </c>
    </row>
    <row r="6224">
      <c r="A6224" s="140" t="str">
        <f>IFERROR(__xludf.DUMMYFUNCTION("""COMPUTED_VALUE"""),"en")</f>
        <v>en</v>
      </c>
      <c r="B6224">
        <f>IFERROR(__xludf.DUMMYFUNCTION("""COMPUTED_VALUE"""),748862.0)</f>
        <v>748862</v>
      </c>
      <c r="C6224" t="str">
        <f>IFERROR(__xludf.DUMMYFUNCTION("""COMPUTED_VALUE"""),"Behavioral Economics and Neuromarketing")</f>
        <v>Behavioral Economics and Neuromarketing</v>
      </c>
    </row>
    <row r="6225">
      <c r="A6225" s="140" t="str">
        <f>IFERROR(__xludf.DUMMYFUNCTION("""COMPUTED_VALUE"""),"en")</f>
        <v>en</v>
      </c>
      <c r="B6225">
        <f>IFERROR(__xludf.DUMMYFUNCTION("""COMPUTED_VALUE"""),2236156.0)</f>
        <v>2236156</v>
      </c>
      <c r="C6225" t="str">
        <f>IFERROR(__xludf.DUMMYFUNCTION("""COMPUTED_VALUE"""),"Masterclass of Realistic Drawing and Shading Human Features")</f>
        <v>Masterclass of Realistic Drawing and Shading Human Features</v>
      </c>
    </row>
    <row r="6226">
      <c r="A6226" s="140" t="str">
        <f>IFERROR(__xludf.DUMMYFUNCTION("""COMPUTED_VALUE"""),"es")</f>
        <v>es</v>
      </c>
      <c r="B6226">
        <f>IFERROR(__xludf.DUMMYFUNCTION("""COMPUTED_VALUE"""),2085006.0)</f>
        <v>2085006</v>
      </c>
      <c r="C6226" t="str">
        <f>IFERROR(__xludf.DUMMYFUNCTION("""COMPUTED_VALUE"""),"Como implementar SCRUM y XP en tu empresa o proyecto")</f>
        <v>Como implementar SCRUM y XP en tu empresa o proyecto</v>
      </c>
    </row>
    <row r="6227">
      <c r="A6227" s="140" t="str">
        <f>IFERROR(__xludf.DUMMYFUNCTION("""COMPUTED_VALUE"""),"ja")</f>
        <v>ja</v>
      </c>
      <c r="B6227">
        <f>IFERROR(__xludf.DUMMYFUNCTION("""COMPUTED_VALUE"""),3211691.0)</f>
        <v>3211691</v>
      </c>
      <c r="C6227" t="str">
        <f>IFERROR(__xludf.DUMMYFUNCTION("""COMPUTED_VALUE"""),"超初心者がゼロからIT基礎知識とAWSの基礎力を獲得する講座【AWS操作を通してインフラやIT知識を獲得】")</f>
        <v>超初心者がゼロからIT基礎知識とAWSの基礎力を獲得する講座【AWS操作を通してインフラやIT知識を獲得】</v>
      </c>
    </row>
    <row r="6228">
      <c r="A6228" s="140" t="str">
        <f>IFERROR(__xludf.DUMMYFUNCTION("""COMPUTED_VALUE"""),"en")</f>
        <v>en</v>
      </c>
      <c r="B6228">
        <f>IFERROR(__xludf.DUMMYFUNCTION("""COMPUTED_VALUE"""),447248.0)</f>
        <v>447248</v>
      </c>
      <c r="C6228" t="str">
        <f>IFERROR(__xludf.DUMMYFUNCTION("""COMPUTED_VALUE"""),"CCIE Routing &amp; Switching Version 5.0 -IP Services - QoS")</f>
        <v>CCIE Routing &amp; Switching Version 5.0 -IP Services - QoS</v>
      </c>
    </row>
    <row r="6229">
      <c r="A6229" s="140" t="str">
        <f>IFERROR(__xludf.DUMMYFUNCTION("""COMPUTED_VALUE"""),"ja")</f>
        <v>ja</v>
      </c>
      <c r="B6229">
        <f>IFERROR(__xludf.DUMMYFUNCTION("""COMPUTED_VALUE"""),4092172.0)</f>
        <v>4092172</v>
      </c>
      <c r="C6229" t="str">
        <f>IFERROR(__xludf.DUMMYFUNCTION("""COMPUTED_VALUE"""),"初心者から始める！ノーコードでアプリ開発！| AppSheetの使い方マスター講座|1つのアプリができるまで")</f>
        <v>初心者から始める！ノーコードでアプリ開発！| AppSheetの使い方マスター講座|1つのアプリができるまで</v>
      </c>
    </row>
    <row r="6230">
      <c r="A6230" s="140" t="str">
        <f>IFERROR(__xludf.DUMMYFUNCTION("""COMPUTED_VALUE"""),"en")</f>
        <v>en</v>
      </c>
      <c r="B6230">
        <f>IFERROR(__xludf.DUMMYFUNCTION("""COMPUTED_VALUE"""),1739952.0)</f>
        <v>1739952</v>
      </c>
      <c r="C6230" t="str">
        <f>IFERROR(__xludf.DUMMYFUNCTION("""COMPUTED_VALUE"""),"Leadership Through The Art Of Masterful Communication")</f>
        <v>Leadership Through The Art Of Masterful Communication</v>
      </c>
    </row>
    <row r="6231">
      <c r="A6231" s="140" t="str">
        <f>IFERROR(__xludf.DUMMYFUNCTION("""COMPUTED_VALUE"""),"en")</f>
        <v>en</v>
      </c>
      <c r="B6231">
        <f>IFERROR(__xludf.DUMMYFUNCTION("""COMPUTED_VALUE"""),206092.0)</f>
        <v>206092</v>
      </c>
      <c r="C6231" t="str">
        <f>IFERROR(__xludf.DUMMYFUNCTION("""COMPUTED_VALUE"""),"Principles of Financial Accounting")</f>
        <v>Principles of Financial Accounting</v>
      </c>
    </row>
    <row r="6232">
      <c r="A6232" s="140" t="str">
        <f>IFERROR(__xludf.DUMMYFUNCTION("""COMPUTED_VALUE"""),"tr")</f>
        <v>tr</v>
      </c>
      <c r="B6232">
        <f>IFERROR(__xludf.DUMMYFUNCTION("""COMPUTED_VALUE"""),2016882.0)</f>
        <v>2016882</v>
      </c>
      <c r="C6232" t="str">
        <f>IFERROR(__xludf.DUMMYFUNCTION("""COMPUTED_VALUE"""),"YDS YÖKDİL YKSDİL: Strateji Eğitimi &amp; Denemeler (Komple Set)")</f>
        <v>YDS YÖKDİL YKSDİL: Strateji Eğitimi &amp; Denemeler (Komple Set)</v>
      </c>
    </row>
    <row r="6233">
      <c r="A6233" s="140" t="str">
        <f>IFERROR(__xludf.DUMMYFUNCTION("""COMPUTED_VALUE"""),"en")</f>
        <v>en</v>
      </c>
      <c r="B6233">
        <f>IFERROR(__xludf.DUMMYFUNCTION("""COMPUTED_VALUE"""),2036564.0)</f>
        <v>2036564</v>
      </c>
      <c r="C6233" t="str">
        <f>IFERROR(__xludf.DUMMYFUNCTION("""COMPUTED_VALUE"""),"CFA® Level 1 (2021/2022) - Complete Alternative Investments")</f>
        <v>CFA® Level 1 (2021/2022) - Complete Alternative Investments</v>
      </c>
    </row>
    <row r="6234">
      <c r="A6234" s="140" t="str">
        <f>IFERROR(__xludf.DUMMYFUNCTION("""COMPUTED_VALUE"""),"en")</f>
        <v>en</v>
      </c>
      <c r="B6234">
        <f>IFERROR(__xludf.DUMMYFUNCTION("""COMPUTED_VALUE"""),256464.0)</f>
        <v>256464</v>
      </c>
      <c r="C6234" t="str">
        <f>IFERROR(__xludf.DUMMYFUNCTION("""COMPUTED_VALUE"""),"Manage Change Through Collaboration and Team Work")</f>
        <v>Manage Change Through Collaboration and Team Work</v>
      </c>
    </row>
    <row r="6235">
      <c r="A6235" s="140" t="str">
        <f>IFERROR(__xludf.DUMMYFUNCTION("""COMPUTED_VALUE"""),"en")</f>
        <v>en</v>
      </c>
      <c r="B6235">
        <f>IFERROR(__xludf.DUMMYFUNCTION("""COMPUTED_VALUE"""),279002.0)</f>
        <v>279002</v>
      </c>
      <c r="C6235" t="str">
        <f>IFERROR(__xludf.DUMMYFUNCTION("""COMPUTED_VALUE"""),"Appium - Mobile Testing with Latest 1.22 and Live Projects")</f>
        <v>Appium - Mobile Testing with Latest 1.22 and Live Projects</v>
      </c>
    </row>
    <row r="6236">
      <c r="A6236" s="140" t="str">
        <f>IFERROR(__xludf.DUMMYFUNCTION("""COMPUTED_VALUE"""),"pt")</f>
        <v>pt</v>
      </c>
      <c r="B6236">
        <f>IFERROR(__xludf.DUMMYFUNCTION("""COMPUTED_VALUE"""),731434.0)</f>
        <v>731434</v>
      </c>
      <c r="C6236" t="str">
        <f>IFERROR(__xludf.DUMMYFUNCTION("""COMPUTED_VALUE"""),"Fast MBA - Empreendedorismo, Negócios e Startups na Prática.")</f>
        <v>Fast MBA - Empreendedorismo, Negócios e Startups na Prática.</v>
      </c>
    </row>
    <row r="6237">
      <c r="A6237" s="140" t="str">
        <f>IFERROR(__xludf.DUMMYFUNCTION("""COMPUTED_VALUE"""),"es")</f>
        <v>es</v>
      </c>
      <c r="B6237">
        <f>IFERROR(__xludf.DUMMYFUNCTION("""COMPUTED_VALUE"""),2027564.0)</f>
        <v>2027564</v>
      </c>
      <c r="C6237" t="str">
        <f>IFERROR(__xludf.DUMMYFUNCTION("""COMPUTED_VALUE"""),"Introducción a la programación  (+90 ejercicios propuestos)")</f>
        <v>Introducción a la programación  (+90 ejercicios propuestos)</v>
      </c>
    </row>
    <row r="6238">
      <c r="A6238" s="140" t="str">
        <f>IFERROR(__xludf.DUMMYFUNCTION("""COMPUTED_VALUE"""),"es")</f>
        <v>es</v>
      </c>
      <c r="B6238">
        <f>IFERROR(__xludf.DUMMYFUNCTION("""COMPUTED_VALUE"""),3365304.0)</f>
        <v>3365304</v>
      </c>
      <c r="C6238" t="str">
        <f>IFERROR(__xludf.DUMMYFUNCTION("""COMPUTED_VALUE"""),"Gestión y Mejora de Procesos")</f>
        <v>Gestión y Mejora de Procesos</v>
      </c>
    </row>
    <row r="6239">
      <c r="A6239" s="140" t="str">
        <f>IFERROR(__xludf.DUMMYFUNCTION("""COMPUTED_VALUE"""),"en")</f>
        <v>en</v>
      </c>
      <c r="B6239">
        <f>IFERROR(__xludf.DUMMYFUNCTION("""COMPUTED_VALUE"""),2811999.0)</f>
        <v>2811999</v>
      </c>
      <c r="C6239" t="str">
        <f>IFERROR(__xludf.DUMMYFUNCTION("""COMPUTED_VALUE"""),"Differential Gene Expression Analysis - Your Complete A to Z")</f>
        <v>Differential Gene Expression Analysis - Your Complete A to Z</v>
      </c>
    </row>
    <row r="6240">
      <c r="A6240" s="140" t="str">
        <f>IFERROR(__xludf.DUMMYFUNCTION("""COMPUTED_VALUE"""),"pt")</f>
        <v>pt</v>
      </c>
      <c r="B6240">
        <f>IFERROR(__xludf.DUMMYFUNCTION("""COMPUTED_VALUE"""),2848666.0)</f>
        <v>2848666</v>
      </c>
      <c r="C6240" t="str">
        <f>IFERROR(__xludf.DUMMYFUNCTION("""COMPUTED_VALUE"""),"Chatbots com Python e Dialogflow: O Guia para Iniciantes")</f>
        <v>Chatbots com Python e Dialogflow: O Guia para Iniciantes</v>
      </c>
    </row>
    <row r="6241">
      <c r="A6241" s="140" t="str">
        <f>IFERROR(__xludf.DUMMYFUNCTION("""COMPUTED_VALUE"""),"es")</f>
        <v>es</v>
      </c>
      <c r="B6241">
        <f>IFERROR(__xludf.DUMMYFUNCTION("""COMPUTED_VALUE"""),2540828.0)</f>
        <v>2540828</v>
      </c>
      <c r="C6241" t="str">
        <f>IFERROR(__xludf.DUMMYFUNCTION("""COMPUTED_VALUE"""),"UNIVERSIDAD BOOTSTRAP: Crea un sitio web real [TechSmith]")</f>
        <v>UNIVERSIDAD BOOTSTRAP: Crea un sitio web real [TechSmith]</v>
      </c>
    </row>
    <row r="6242">
      <c r="A6242" s="140" t="str">
        <f>IFERROR(__xludf.DUMMYFUNCTION("""COMPUTED_VALUE"""),"en")</f>
        <v>en</v>
      </c>
      <c r="B6242">
        <f>IFERROR(__xludf.DUMMYFUNCTION("""COMPUTED_VALUE"""),526534.0)</f>
        <v>526534</v>
      </c>
      <c r="C6242" t="str">
        <f>IFERROR(__xludf.DUMMYFUNCTION("""COMPUTED_VALUE"""),"Become a Game Designer the Complete Series Coding to Design")</f>
        <v>Become a Game Designer the Complete Series Coding to Design</v>
      </c>
    </row>
    <row r="6243">
      <c r="A6243" s="140" t="str">
        <f>IFERROR(__xludf.DUMMYFUNCTION("""COMPUTED_VALUE"""),"en")</f>
        <v>en</v>
      </c>
      <c r="B6243">
        <f>IFERROR(__xludf.DUMMYFUNCTION("""COMPUTED_VALUE"""),866712.0)</f>
        <v>866712</v>
      </c>
      <c r="C6243" t="str">
        <f>IFERROR(__xludf.DUMMYFUNCTION("""COMPUTED_VALUE"""),"Electrical Power Equipment")</f>
        <v>Electrical Power Equipment</v>
      </c>
    </row>
    <row r="6244">
      <c r="A6244" s="140" t="str">
        <f>IFERROR(__xludf.DUMMYFUNCTION("""COMPUTED_VALUE"""),"en")</f>
        <v>en</v>
      </c>
      <c r="B6244">
        <f>IFERROR(__xludf.DUMMYFUNCTION("""COMPUTED_VALUE"""),1767136.0)</f>
        <v>1767136</v>
      </c>
      <c r="C6244" t="str">
        <f>IFERROR(__xludf.DUMMYFUNCTION("""COMPUTED_VALUE"""),"Learn Backup &amp; Restore with CommVault,Get a High paying JOB")</f>
        <v>Learn Backup &amp; Restore with CommVault,Get a High paying JOB</v>
      </c>
    </row>
    <row r="6245">
      <c r="A6245" s="140" t="str">
        <f>IFERROR(__xludf.DUMMYFUNCTION("""COMPUTED_VALUE"""),"de")</f>
        <v>de</v>
      </c>
      <c r="B6245">
        <f>IFERROR(__xludf.DUMMYFUNCTION("""COMPUTED_VALUE"""),2715780.0)</f>
        <v>2715780</v>
      </c>
      <c r="C6245" t="str">
        <f>IFERROR(__xludf.DUMMYFUNCTION("""COMPUTED_VALUE"""),"Englisch für Anfänger - English for Beginners")</f>
        <v>Englisch für Anfänger - English for Beginners</v>
      </c>
    </row>
    <row r="6246">
      <c r="A6246" s="140" t="str">
        <f>IFERROR(__xludf.DUMMYFUNCTION("""COMPUTED_VALUE"""),"ja")</f>
        <v>ja</v>
      </c>
      <c r="B6246">
        <f>IFERROR(__xludf.DUMMYFUNCTION("""COMPUTED_VALUE"""),3985702.0)</f>
        <v>3985702</v>
      </c>
      <c r="C6246" t="str">
        <f>IFERROR(__xludf.DUMMYFUNCTION("""COMPUTED_VALUE"""),"＜UB確認テスト＞【超実践】すぐに使えるデザイン思考！〜基本をおさえ、日常にイノベーションを起こす38個の習慣〜")</f>
        <v>＜UB確認テスト＞【超実践】すぐに使えるデザイン思考！〜基本をおさえ、日常にイノベーションを起こす38個の習慣〜</v>
      </c>
    </row>
    <row r="6247">
      <c r="A6247" s="140" t="str">
        <f>IFERROR(__xludf.DUMMYFUNCTION("""COMPUTED_VALUE"""),"en")</f>
        <v>en</v>
      </c>
      <c r="B6247">
        <f>IFERROR(__xludf.DUMMYFUNCTION("""COMPUTED_VALUE"""),1593440.0)</f>
        <v>1593440</v>
      </c>
      <c r="C6247" t="str">
        <f>IFERROR(__xludf.DUMMYFUNCTION("""COMPUTED_VALUE"""),"The Ultimate Guide to Cinematography with Unity")</f>
        <v>The Ultimate Guide to Cinematography with Unity</v>
      </c>
    </row>
    <row r="6248">
      <c r="A6248" s="140" t="str">
        <f>IFERROR(__xludf.DUMMYFUNCTION("""COMPUTED_VALUE"""),"en")</f>
        <v>en</v>
      </c>
      <c r="B6248">
        <f>IFERROR(__xludf.DUMMYFUNCTION("""COMPUTED_VALUE"""),526534.0)</f>
        <v>526534</v>
      </c>
      <c r="C6248" t="str">
        <f>IFERROR(__xludf.DUMMYFUNCTION("""COMPUTED_VALUE"""),"Become a Game Designer the Complete Series Coding to Design")</f>
        <v>Become a Game Designer the Complete Series Coding to Design</v>
      </c>
    </row>
    <row r="6249">
      <c r="A6249" s="140" t="str">
        <f>IFERROR(__xludf.DUMMYFUNCTION("""COMPUTED_VALUE"""),"ja")</f>
        <v>ja</v>
      </c>
      <c r="B6249">
        <f>IFERROR(__xludf.DUMMYFUNCTION("""COMPUTED_VALUE"""),1357614.0)</f>
        <v>1357614</v>
      </c>
      <c r="C6249" t="str">
        <f>IFERROR(__xludf.DUMMYFUNCTION("""COMPUTED_VALUE"""),"社会人のためのPython活用術")</f>
        <v>社会人のためのPython活用術</v>
      </c>
    </row>
    <row r="6250">
      <c r="A6250" s="140" t="str">
        <f>IFERROR(__xludf.DUMMYFUNCTION("""COMPUTED_VALUE"""),"en")</f>
        <v>en</v>
      </c>
      <c r="B6250">
        <f>IFERROR(__xludf.DUMMYFUNCTION("""COMPUTED_VALUE"""),1259936.0)</f>
        <v>1259936</v>
      </c>
      <c r="C6250" t="str">
        <f>IFERROR(__xludf.DUMMYFUNCTION("""COMPUTED_VALUE"""),"Master Puppet for DevOps Success")</f>
        <v>Master Puppet for DevOps Success</v>
      </c>
    </row>
    <row r="6251">
      <c r="A6251" s="140" t="str">
        <f>IFERROR(__xludf.DUMMYFUNCTION("""COMPUTED_VALUE"""),"es")</f>
        <v>es</v>
      </c>
      <c r="B6251">
        <f>IFERROR(__xludf.DUMMYFUNCTION("""COMPUTED_VALUE"""),3940438.0)</f>
        <v>3940438</v>
      </c>
      <c r="C6251" t="str">
        <f>IFERROR(__xludf.DUMMYFUNCTION("""COMPUTED_VALUE"""),"Patrones de diseño en C# Aplicados en ASP .Net")</f>
        <v>Patrones de diseño en C# Aplicados en ASP .Net</v>
      </c>
    </row>
    <row r="6252">
      <c r="A6252" s="140" t="str">
        <f>IFERROR(__xludf.DUMMYFUNCTION("""COMPUTED_VALUE"""),"pt")</f>
        <v>pt</v>
      </c>
      <c r="B6252">
        <f>IFERROR(__xludf.DUMMYFUNCTION("""COMPUTED_VALUE"""),2037548.0)</f>
        <v>2037548</v>
      </c>
      <c r="C6252" t="str">
        <f>IFERROR(__xludf.DUMMYFUNCTION("""COMPUTED_VALUE"""),"Curso Vue JS 2 - O Guia Completo (incl. Vue Router &amp; Vuex)")</f>
        <v>Curso Vue JS 2 - O Guia Completo (incl. Vue Router &amp; Vuex)</v>
      </c>
    </row>
    <row r="6253">
      <c r="A6253" s="140" t="str">
        <f>IFERROR(__xludf.DUMMYFUNCTION("""COMPUTED_VALUE"""),"en")</f>
        <v>en</v>
      </c>
      <c r="B6253">
        <f>IFERROR(__xludf.DUMMYFUNCTION("""COMPUTED_VALUE"""),2321356.0)</f>
        <v>2321356</v>
      </c>
      <c r="C6253" t="str">
        <f>IFERROR(__xludf.DUMMYFUNCTION("""COMPUTED_VALUE"""),"SDLC Overview (1 Hour) - Software Development Life Cycle")</f>
        <v>SDLC Overview (1 Hour) - Software Development Life Cycle</v>
      </c>
    </row>
    <row r="6254">
      <c r="A6254" s="140" t="str">
        <f>IFERROR(__xludf.DUMMYFUNCTION("""COMPUTED_VALUE"""),"en")</f>
        <v>en</v>
      </c>
      <c r="B6254">
        <f>IFERROR(__xludf.DUMMYFUNCTION("""COMPUTED_VALUE"""),2650928.0)</f>
        <v>2650928</v>
      </c>
      <c r="C6254" t="str">
        <f>IFERROR(__xludf.DUMMYFUNCTION("""COMPUTED_VALUE"""),"Master Digital Product Design: UX Research &amp; UI Design")</f>
        <v>Master Digital Product Design: UX Research &amp; UI Design</v>
      </c>
    </row>
    <row r="6255">
      <c r="A6255" s="140" t="str">
        <f>IFERROR(__xludf.DUMMYFUNCTION("""COMPUTED_VALUE"""),"es")</f>
        <v>es</v>
      </c>
      <c r="B6255">
        <f>IFERROR(__xludf.DUMMYFUNCTION("""COMPUTED_VALUE"""),1182378.0)</f>
        <v>1182378</v>
      </c>
      <c r="C6255" t="str">
        <f>IFERROR(__xludf.DUMMYFUNCTION("""COMPUTED_VALUE"""),"Procesando el Big Data con Apache Spark (en español)")</f>
        <v>Procesando el Big Data con Apache Spark (en español)</v>
      </c>
    </row>
    <row r="6256">
      <c r="A6256" s="140" t="str">
        <f>IFERROR(__xludf.DUMMYFUNCTION("""COMPUTED_VALUE"""),"en")</f>
        <v>en</v>
      </c>
      <c r="B6256">
        <f>IFERROR(__xludf.DUMMYFUNCTION("""COMPUTED_VALUE"""),403314.0)</f>
        <v>403314</v>
      </c>
      <c r="C6256" t="str">
        <f>IFERROR(__xludf.DUMMYFUNCTION("""COMPUTED_VALUE"""),"Facebook Ads &amp; Facebook Marketing MASTERY 2022 | Coursenvy ®")</f>
        <v>Facebook Ads &amp; Facebook Marketing MASTERY 2022 | Coursenvy ®</v>
      </c>
    </row>
    <row r="6257">
      <c r="A6257" s="140" t="str">
        <f>IFERROR(__xludf.DUMMYFUNCTION("""COMPUTED_VALUE"""),"tr")</f>
        <v>tr</v>
      </c>
      <c r="B6257">
        <f>IFERROR(__xludf.DUMMYFUNCTION("""COMPUTED_VALUE"""),1935880.0)</f>
        <v>1935880</v>
      </c>
      <c r="C6257" t="str">
        <f>IFERROR(__xludf.DUMMYFUNCTION("""COMPUTED_VALUE"""),"Nesnelerin interneti ve her yönüyle Node-Red")</f>
        <v>Nesnelerin interneti ve her yönüyle Node-Red</v>
      </c>
    </row>
    <row r="6258">
      <c r="A6258" s="140" t="str">
        <f>IFERROR(__xludf.DUMMYFUNCTION("""COMPUTED_VALUE"""),"en")</f>
        <v>en</v>
      </c>
      <c r="B6258">
        <f>IFERROR(__xludf.DUMMYFUNCTION("""COMPUTED_VALUE"""),1996170.0)</f>
        <v>1996170</v>
      </c>
      <c r="C6258" t="str">
        <f>IFERROR(__xludf.DUMMYFUNCTION("""COMPUTED_VALUE"""),"Drawing Fundamentals 1: Basic Skills &amp; Sketching Accurately")</f>
        <v>Drawing Fundamentals 1: Basic Skills &amp; Sketching Accurately</v>
      </c>
    </row>
    <row r="6259">
      <c r="A6259" s="140" t="str">
        <f>IFERROR(__xludf.DUMMYFUNCTION("""COMPUTED_VALUE"""),"en")</f>
        <v>en</v>
      </c>
      <c r="B6259">
        <f>IFERROR(__xludf.DUMMYFUNCTION("""COMPUTED_VALUE"""),855008.0)</f>
        <v>855008</v>
      </c>
      <c r="C6259" t="str">
        <f>IFERROR(__xludf.DUMMYFUNCTION("""COMPUTED_VALUE"""),"OSHA Safety Pro: Transport Safety. Part 396 of The FMCSA")</f>
        <v>OSHA Safety Pro: Transport Safety. Part 396 of The FMCSA</v>
      </c>
    </row>
    <row r="6260">
      <c r="A6260" s="140" t="str">
        <f>IFERROR(__xludf.DUMMYFUNCTION("""COMPUTED_VALUE"""),"en")</f>
        <v>en</v>
      </c>
      <c r="B6260">
        <f>IFERROR(__xludf.DUMMYFUNCTION("""COMPUTED_VALUE"""),3622476.0)</f>
        <v>3622476</v>
      </c>
      <c r="C6260" t="str">
        <f>IFERROR(__xludf.DUMMYFUNCTION("""COMPUTED_VALUE"""),"Kafka Streams with Spring Cloud Stream")</f>
        <v>Kafka Streams with Spring Cloud Stream</v>
      </c>
    </row>
    <row r="6261">
      <c r="A6261" s="140" t="str">
        <f>IFERROR(__xludf.DUMMYFUNCTION("""COMPUTED_VALUE"""),"es")</f>
        <v>es</v>
      </c>
      <c r="B6261">
        <f>IFERROR(__xludf.DUMMYFUNCTION("""COMPUTED_VALUE"""),1754560.0)</f>
        <v>1754560</v>
      </c>
      <c r="C6261" t="str">
        <f>IFERROR(__xludf.DUMMYFUNCTION("""COMPUTED_VALUE"""),"Adobe XD: Aprende a crear prototipos profesionales desde 0")</f>
        <v>Adobe XD: Aprende a crear prototipos profesionales desde 0</v>
      </c>
    </row>
    <row r="6262">
      <c r="A6262" s="140" t="str">
        <f>IFERROR(__xludf.DUMMYFUNCTION("""COMPUTED_VALUE"""),"en")</f>
        <v>en</v>
      </c>
      <c r="B6262">
        <f>IFERROR(__xludf.DUMMYFUNCTION("""COMPUTED_VALUE"""),3985968.0)</f>
        <v>3985968</v>
      </c>
      <c r="C6262" t="str">
        <f>IFERROR(__xludf.DUMMYFUNCTION("""COMPUTED_VALUE"""),"Web Security &amp; Bug Bounty: Learn Penetration Testing in 2022")</f>
        <v>Web Security &amp; Bug Bounty: Learn Penetration Testing in 2022</v>
      </c>
    </row>
    <row r="6263">
      <c r="A6263" s="140" t="str">
        <f>IFERROR(__xludf.DUMMYFUNCTION("""COMPUTED_VALUE"""),"en")</f>
        <v>en</v>
      </c>
      <c r="B6263">
        <f>IFERROR(__xludf.DUMMYFUNCTION("""COMPUTED_VALUE"""),3384718.0)</f>
        <v>3384718</v>
      </c>
      <c r="C6263" t="str">
        <f>IFERROR(__xludf.DUMMYFUNCTION("""COMPUTED_VALUE"""),"SAP CO Product Costing-""By Order Scenario"" in S4/HANA 1909")</f>
        <v>SAP CO Product Costing-"By Order Scenario" in S4/HANA 1909</v>
      </c>
    </row>
    <row r="6264">
      <c r="A6264" s="140" t="str">
        <f>IFERROR(__xludf.DUMMYFUNCTION("""COMPUTED_VALUE"""),"en")</f>
        <v>en</v>
      </c>
      <c r="B6264">
        <f>IFERROR(__xludf.DUMMYFUNCTION("""COMPUTED_VALUE"""),966460.0)</f>
        <v>966460</v>
      </c>
      <c r="C6264" t="str">
        <f>IFERROR(__xludf.DUMMYFUNCTION("""COMPUTED_VALUE"""),"Excel 2016: Customize Excel - Save Time &amp; Be More Productive")</f>
        <v>Excel 2016: Customize Excel - Save Time &amp; Be More Productive</v>
      </c>
    </row>
    <row r="6265">
      <c r="A6265" s="140" t="str">
        <f>IFERROR(__xludf.DUMMYFUNCTION("""COMPUTED_VALUE"""),"en")</f>
        <v>en</v>
      </c>
      <c r="B6265">
        <f>IFERROR(__xludf.DUMMYFUNCTION("""COMPUTED_VALUE"""),1005210.0)</f>
        <v>1005210</v>
      </c>
      <c r="C6265" t="str">
        <f>IFERROR(__xludf.DUMMYFUNCTION("""COMPUTED_VALUE"""),"Ansys Tutorial")</f>
        <v>Ansys Tutorial</v>
      </c>
    </row>
    <row r="6266">
      <c r="A6266" s="140" t="str">
        <f>IFERROR(__xludf.DUMMYFUNCTION("""COMPUTED_VALUE"""),"ja")</f>
        <v>ja</v>
      </c>
      <c r="B6266">
        <f>IFERROR(__xludf.DUMMYFUNCTION("""COMPUTED_VALUE"""),1206210.0)</f>
        <v>1206210</v>
      </c>
      <c r="C6266" t="str">
        <f>IFERROR(__xludf.DUMMYFUNCTION("""COMPUTED_VALUE"""),"Mac 初心者からの脱却！実践的テクニックやショートカットが一通り学べる初心者向け入門コース")</f>
        <v>Mac 初心者からの脱却！実践的テクニックやショートカットが一通り学べる初心者向け入門コース</v>
      </c>
    </row>
    <row r="6267">
      <c r="A6267" s="140" t="str">
        <f>IFERROR(__xludf.DUMMYFUNCTION("""COMPUTED_VALUE"""),"en")</f>
        <v>en</v>
      </c>
      <c r="B6267">
        <f>IFERROR(__xludf.DUMMYFUNCTION("""COMPUTED_VALUE"""),2649928.0)</f>
        <v>2649928</v>
      </c>
      <c r="C6267" t="str">
        <f>IFERROR(__xludf.DUMMYFUNCTION("""COMPUTED_VALUE"""),"Java SE 11 Developer 1Z0-819 OCP Course - Part 1")</f>
        <v>Java SE 11 Developer 1Z0-819 OCP Course - Part 1</v>
      </c>
    </row>
    <row r="6268">
      <c r="A6268" s="140" t="str">
        <f>IFERROR(__xludf.DUMMYFUNCTION("""COMPUTED_VALUE"""),"en")</f>
        <v>en</v>
      </c>
      <c r="B6268">
        <f>IFERROR(__xludf.DUMMYFUNCTION("""COMPUTED_VALUE"""),2137986.0)</f>
        <v>2137986</v>
      </c>
      <c r="C6268" t="str">
        <f>IFERROR(__xludf.DUMMYFUNCTION("""COMPUTED_VALUE"""),"Medical Terminology")</f>
        <v>Medical Terminology</v>
      </c>
    </row>
    <row r="6269">
      <c r="A6269" s="140" t="str">
        <f>IFERROR(__xludf.DUMMYFUNCTION("""COMPUTED_VALUE"""),"en")</f>
        <v>en</v>
      </c>
      <c r="B6269">
        <f>IFERROR(__xludf.DUMMYFUNCTION("""COMPUTED_VALUE"""),2598384.0)</f>
        <v>2598384</v>
      </c>
      <c r="C6269" t="str">
        <f>IFERROR(__xludf.DUMMYFUNCTION("""COMPUTED_VALUE"""),"gRPC C# Master Class: Build Modern API &amp; Microservices")</f>
        <v>gRPC C# Master Class: Build Modern API &amp; Microservices</v>
      </c>
    </row>
    <row r="6270">
      <c r="A6270" s="140" t="str">
        <f>IFERROR(__xludf.DUMMYFUNCTION("""COMPUTED_VALUE"""),"ar")</f>
        <v>ar</v>
      </c>
      <c r="B6270">
        <f>IFERROR(__xludf.DUMMYFUNCTION("""COMPUTED_VALUE"""),3419514.0)</f>
        <v>3419514</v>
      </c>
      <c r="C6270" t="str">
        <f>IFERROR(__xludf.DUMMYFUNCTION("""COMPUTED_VALUE"""),"تعلم بايثون بالمشاريع البرمجية")</f>
        <v>تعلم بايثون بالمشاريع البرمجية</v>
      </c>
    </row>
    <row r="6271">
      <c r="A6271" s="140" t="str">
        <f>IFERROR(__xludf.DUMMYFUNCTION("""COMPUTED_VALUE"""),"es")</f>
        <v>es</v>
      </c>
      <c r="B6271">
        <f>IFERROR(__xludf.DUMMYFUNCTION("""COMPUTED_VALUE"""),2013214.0)</f>
        <v>2013214</v>
      </c>
      <c r="C6271" t="str">
        <f>IFERROR(__xludf.DUMMYFUNCTION("""COMPUTED_VALUE"""),"Aprende a programar con Go (Golang)")</f>
        <v>Aprende a programar con Go (Golang)</v>
      </c>
    </row>
    <row r="6272">
      <c r="A6272" s="140" t="str">
        <f>IFERROR(__xludf.DUMMYFUNCTION("""COMPUTED_VALUE"""),"es")</f>
        <v>es</v>
      </c>
      <c r="B6272">
        <f>IFERROR(__xludf.DUMMYFUNCTION("""COMPUTED_VALUE"""),2607162.0)</f>
        <v>2607162</v>
      </c>
      <c r="C6272" t="str">
        <f>IFERROR(__xludf.DUMMYFUNCTION("""COMPUTED_VALUE"""),"[2021] Lean Six Sigma Green Belt: Simulador de Examen")</f>
        <v>[2021] Lean Six Sigma Green Belt: Simulador de Examen</v>
      </c>
    </row>
    <row r="6273">
      <c r="A6273" s="140" t="str">
        <f>IFERROR(__xludf.DUMMYFUNCTION("""COMPUTED_VALUE"""),"ar")</f>
        <v>ar</v>
      </c>
      <c r="B6273">
        <f>IFERROR(__xludf.DUMMYFUNCTION("""COMPUTED_VALUE"""),2512048.0)</f>
        <v>2512048</v>
      </c>
      <c r="C6273" t="str">
        <f>IFERROR(__xludf.DUMMYFUNCTION("""COMPUTED_VALUE"""),"CompTIA PenTest+ بالعربي")</f>
        <v>CompTIA PenTest+ بالعربي</v>
      </c>
    </row>
    <row r="6274">
      <c r="A6274" s="140" t="str">
        <f>IFERROR(__xludf.DUMMYFUNCTION("""COMPUTED_VALUE"""),"ko")</f>
        <v>ko</v>
      </c>
      <c r="B6274">
        <f>IFERROR(__xludf.DUMMYFUNCTION("""COMPUTED_VALUE"""),1979638.0)</f>
        <v>1979638</v>
      </c>
      <c r="C6274" t="str">
        <f>IFERROR(__xludf.DUMMYFUNCTION("""COMPUTED_VALUE"""),"파이널 컷 프로 강의 : 행복한 마케팅을 위한 Final cut pro X - 기본 + 심화 강의")</f>
        <v>파이널 컷 프로 강의 : 행복한 마케팅을 위한 Final cut pro X - 기본 + 심화 강의</v>
      </c>
    </row>
    <row r="6275">
      <c r="A6275" s="140" t="str">
        <f>IFERROR(__xludf.DUMMYFUNCTION("""COMPUTED_VALUE"""),"ja")</f>
        <v>ja</v>
      </c>
      <c r="B6275">
        <f>IFERROR(__xludf.DUMMYFUNCTION("""COMPUTED_VALUE"""),1469212.0)</f>
        <v>1469212</v>
      </c>
      <c r="C6275" t="str">
        <f>IFERROR(__xludf.DUMMYFUNCTION("""COMPUTED_VALUE"""),"【これだけでOK！】プロが教える「売れる」チラシの作り方講座")</f>
        <v>【これだけでOK！】プロが教える「売れる」チラシの作り方講座</v>
      </c>
    </row>
    <row r="6276">
      <c r="A6276" s="140" t="str">
        <f>IFERROR(__xludf.DUMMYFUNCTION("""COMPUTED_VALUE"""),"en")</f>
        <v>en</v>
      </c>
      <c r="B6276">
        <f>IFERROR(__xludf.DUMMYFUNCTION("""COMPUTED_VALUE"""),475170.0)</f>
        <v>475170</v>
      </c>
      <c r="C6276" t="str">
        <f>IFERROR(__xludf.DUMMYFUNCTION("""COMPUTED_VALUE"""),"Seth Godin's Freelancer Course")</f>
        <v>Seth Godin's Freelancer Course</v>
      </c>
    </row>
    <row r="6277">
      <c r="A6277" s="140" t="str">
        <f>IFERROR(__xludf.DUMMYFUNCTION("""COMPUTED_VALUE"""),"en")</f>
        <v>en</v>
      </c>
      <c r="B6277">
        <f>IFERROR(__xludf.DUMMYFUNCTION("""COMPUTED_VALUE"""),1617760.0)</f>
        <v>1617760</v>
      </c>
      <c r="C6277" t="str">
        <f>IFERROR(__xludf.DUMMYFUNCTION("""COMPUTED_VALUE"""),"Learn Dutch for Beginners: The Ultimate 75-Lesson Course")</f>
        <v>Learn Dutch for Beginners: The Ultimate 75-Lesson Course</v>
      </c>
    </row>
    <row r="6278">
      <c r="A6278" s="140" t="str">
        <f>IFERROR(__xludf.DUMMYFUNCTION("""COMPUTED_VALUE"""),"en")</f>
        <v>en</v>
      </c>
      <c r="B6278">
        <f>IFERROR(__xludf.DUMMYFUNCTION("""COMPUTED_VALUE"""),2755630.0)</f>
        <v>2755630</v>
      </c>
      <c r="C6278" t="str">
        <f>IFERROR(__xludf.DUMMYFUNCTION("""COMPUTED_VALUE"""),"Mastering CI/CD with TeamCity and Octopus Deploy")</f>
        <v>Mastering CI/CD with TeamCity and Octopus Deploy</v>
      </c>
    </row>
    <row r="6279">
      <c r="A6279" s="140" t="str">
        <f>IFERROR(__xludf.DUMMYFUNCTION("""COMPUTED_VALUE"""),"en")</f>
        <v>en</v>
      </c>
      <c r="B6279">
        <f>IFERROR(__xludf.DUMMYFUNCTION("""COMPUTED_VALUE"""),1204026.0)</f>
        <v>1204026</v>
      </c>
      <c r="C6279" t="str">
        <f>IFERROR(__xludf.DUMMYFUNCTION("""COMPUTED_VALUE"""),"Passive Solar Design Series - Understanding Sun")</f>
        <v>Passive Solar Design Series - Understanding Sun</v>
      </c>
    </row>
    <row r="6280">
      <c r="A6280" s="140" t="str">
        <f>IFERROR(__xludf.DUMMYFUNCTION("""COMPUTED_VALUE"""),"en")</f>
        <v>en</v>
      </c>
      <c r="B6280">
        <f>IFERROR(__xludf.DUMMYFUNCTION("""COMPUTED_VALUE"""),1151620.0)</f>
        <v>1151620</v>
      </c>
      <c r="C6280" t="str">
        <f>IFERROR(__xludf.DUMMYFUNCTION("""COMPUTED_VALUE"""),"The Complete Facebook Sales Funnel Blueprint")</f>
        <v>The Complete Facebook Sales Funnel Blueprint</v>
      </c>
    </row>
    <row r="6281">
      <c r="A6281" s="140" t="str">
        <f>IFERROR(__xludf.DUMMYFUNCTION("""COMPUTED_VALUE"""),"en")</f>
        <v>en</v>
      </c>
      <c r="B6281">
        <f>IFERROR(__xludf.DUMMYFUNCTION("""COMPUTED_VALUE"""),1325716.0)</f>
        <v>1325716</v>
      </c>
      <c r="C6281" t="str">
        <f>IFERROR(__xludf.DUMMYFUNCTION("""COMPUTED_VALUE"""),"Spanish for Beginners. The Complete Method. Level 1")</f>
        <v>Spanish for Beginners. The Complete Method. Level 1</v>
      </c>
    </row>
    <row r="6282">
      <c r="A6282" s="140" t="str">
        <f>IFERROR(__xludf.DUMMYFUNCTION("""COMPUTED_VALUE"""),"ja")</f>
        <v>ja</v>
      </c>
      <c r="B6282">
        <f>IFERROR(__xludf.DUMMYFUNCTION("""COMPUTED_VALUE"""),2216842.0)</f>
        <v>2216842</v>
      </c>
      <c r="C6282" t="str">
        <f>IFERROR(__xludf.DUMMYFUNCTION("""COMPUTED_VALUE"""),"【 速く、シンプルに伝える 】パワーポイントで学ぶロジカル・プレゼンテーション")</f>
        <v>【 速く、シンプルに伝える 】パワーポイントで学ぶロジカル・プレゼンテーション</v>
      </c>
    </row>
    <row r="6283">
      <c r="A6283" s="140" t="str">
        <f>IFERROR(__xludf.DUMMYFUNCTION("""COMPUTED_VALUE"""),"en")</f>
        <v>en</v>
      </c>
      <c r="B6283">
        <f>IFERROR(__xludf.DUMMYFUNCTION("""COMPUTED_VALUE"""),1517800.0)</f>
        <v>1517800</v>
      </c>
      <c r="C6283" t="str">
        <f>IFERROR(__xludf.DUMMYFUNCTION("""COMPUTED_VALUE"""),"Certified Lean Six Sigma White/Yellow Belt, BKO Accredited")</f>
        <v>Certified Lean Six Sigma White/Yellow Belt, BKO Accredited</v>
      </c>
    </row>
    <row r="6284">
      <c r="A6284" s="140" t="str">
        <f>IFERROR(__xludf.DUMMYFUNCTION("""COMPUTED_VALUE"""),"pt")</f>
        <v>pt</v>
      </c>
      <c r="B6284">
        <f>IFERROR(__xludf.DUMMYFUNCTION("""COMPUTED_VALUE"""),2861680.0)</f>
        <v>2861680</v>
      </c>
      <c r="C6284" t="str">
        <f>IFERROR(__xludf.DUMMYFUNCTION("""COMPUTED_VALUE"""),"Integração contínua com testes, utilizando Jenkins")</f>
        <v>Integração contínua com testes, utilizando Jenkins</v>
      </c>
    </row>
    <row r="6285">
      <c r="A6285" s="140" t="str">
        <f>IFERROR(__xludf.DUMMYFUNCTION("""COMPUTED_VALUE"""),"en")</f>
        <v>en</v>
      </c>
      <c r="B6285">
        <f>IFERROR(__xludf.DUMMYFUNCTION("""COMPUTED_VALUE"""),3219665.0)</f>
        <v>3219665</v>
      </c>
      <c r="C6285" t="str">
        <f>IFERROR(__xludf.DUMMYFUNCTION("""COMPUTED_VALUE"""),"Data Center Essentials: Mechanical &amp; Cooling")</f>
        <v>Data Center Essentials: Mechanical &amp; Cooling</v>
      </c>
    </row>
    <row r="6286">
      <c r="A6286" s="140" t="str">
        <f>IFERROR(__xludf.DUMMYFUNCTION("""COMPUTED_VALUE"""),"es")</f>
        <v>es</v>
      </c>
      <c r="B6286">
        <f>IFERROR(__xludf.DUMMYFUNCTION("""COMPUTED_VALUE"""),971990.0)</f>
        <v>971990</v>
      </c>
      <c r="C6286" t="str">
        <f>IFERROR(__xludf.DUMMYFUNCTION("""COMPUTED_VALUE"""),"Introducción al desarrollo de apps para Android desde cero")</f>
        <v>Introducción al desarrollo de apps para Android desde cero</v>
      </c>
    </row>
    <row r="6287">
      <c r="A6287" s="140" t="str">
        <f>IFERROR(__xludf.DUMMYFUNCTION("""COMPUTED_VALUE"""),"tr")</f>
        <v>tr</v>
      </c>
      <c r="B6287">
        <f>IFERROR(__xludf.DUMMYFUNCTION("""COMPUTED_VALUE"""),2047691.0)</f>
        <v>2047691</v>
      </c>
      <c r="C6287" t="str">
        <f>IFERROR(__xludf.DUMMYFUNCTION("""COMPUTED_VALUE"""),"PostgreSQL Veritabanı Programlama (Part 1) : Temeller ve SQL")</f>
        <v>PostgreSQL Veritabanı Programlama (Part 1) : Temeller ve SQL</v>
      </c>
    </row>
    <row r="6288">
      <c r="A6288" s="140" t="str">
        <f>IFERROR(__xludf.DUMMYFUNCTION("""COMPUTED_VALUE"""),"en")</f>
        <v>en</v>
      </c>
      <c r="B6288">
        <f>IFERROR(__xludf.DUMMYFUNCTION("""COMPUTED_VALUE"""),473160.0)</f>
        <v>473160</v>
      </c>
      <c r="C6288" t="str">
        <f>IFERROR(__xludf.DUMMYFUNCTION("""COMPUTED_VALUE"""),"Web Design for Web Developers: Build Beautiful Websites!")</f>
        <v>Web Design for Web Developers: Build Beautiful Websites!</v>
      </c>
    </row>
    <row r="6289">
      <c r="A6289" s="140" t="str">
        <f>IFERROR(__xludf.DUMMYFUNCTION("""COMPUTED_VALUE"""),"en")</f>
        <v>en</v>
      </c>
      <c r="B6289">
        <f>IFERROR(__xludf.DUMMYFUNCTION("""COMPUTED_VALUE"""),1132310.0)</f>
        <v>1132310</v>
      </c>
      <c r="C6289" t="str">
        <f>IFERROR(__xludf.DUMMYFUNCTION("""COMPUTED_VALUE"""),"Rest API/Web Services testing with SoapUI+Realtime scenarios")</f>
        <v>Rest API/Web Services testing with SoapUI+Realtime scenarios</v>
      </c>
    </row>
    <row r="6290">
      <c r="A6290" s="140" t="str">
        <f>IFERROR(__xludf.DUMMYFUNCTION("""COMPUTED_VALUE"""),"es")</f>
        <v>es</v>
      </c>
      <c r="B6290">
        <f>IFERROR(__xludf.DUMMYFUNCTION("""COMPUTED_VALUE"""),3114036.0)</f>
        <v>3114036</v>
      </c>
      <c r="C6290" t="str">
        <f>IFERROR(__xludf.DUMMYFUNCTION("""COMPUTED_VALUE"""),"Curso Hacking Ético - Gorilla Hack")</f>
        <v>Curso Hacking Ético - Gorilla Hack</v>
      </c>
    </row>
    <row r="6291">
      <c r="A6291" s="140" t="str">
        <f>IFERROR(__xludf.DUMMYFUNCTION("""COMPUTED_VALUE"""),"en")</f>
        <v>en</v>
      </c>
      <c r="B6291">
        <f>IFERROR(__xludf.DUMMYFUNCTION("""COMPUTED_VALUE"""),2767896.0)</f>
        <v>2767896</v>
      </c>
      <c r="C6291" t="str">
        <f>IFERROR(__xludf.DUMMYFUNCTION("""COMPUTED_VALUE"""),"Mastering Data Modeling Fundamentals")</f>
        <v>Mastering Data Modeling Fundamentals</v>
      </c>
    </row>
    <row r="6292">
      <c r="A6292" s="140" t="str">
        <f>IFERROR(__xludf.DUMMYFUNCTION("""COMPUTED_VALUE"""),"es")</f>
        <v>es</v>
      </c>
      <c r="B6292">
        <f>IFERROR(__xludf.DUMMYFUNCTION("""COMPUTED_VALUE"""),1673162.0)</f>
        <v>1673162</v>
      </c>
      <c r="C6292" t="str">
        <f>IFERROR(__xludf.DUMMYFUNCTION("""COMPUTED_VALUE"""),"Crea una landing page EFECTIVA, gratuita y sin programar")</f>
        <v>Crea una landing page EFECTIVA, gratuita y sin programar</v>
      </c>
    </row>
    <row r="6293">
      <c r="A6293" s="140" t="str">
        <f>IFERROR(__xludf.DUMMYFUNCTION("""COMPUTED_VALUE"""),"en")</f>
        <v>en</v>
      </c>
      <c r="B6293">
        <f>IFERROR(__xludf.DUMMYFUNCTION("""COMPUTED_VALUE"""),3752732.0)</f>
        <v>3752732</v>
      </c>
      <c r="C6293" t="str">
        <f>IFERROR(__xludf.DUMMYFUNCTION("""COMPUTED_VALUE"""),"Up &amp; Running with Containers in AWS")</f>
        <v>Up &amp; Running with Containers in AWS</v>
      </c>
    </row>
    <row r="6294">
      <c r="A6294" s="140" t="str">
        <f>IFERROR(__xludf.DUMMYFUNCTION("""COMPUTED_VALUE"""),"pt")</f>
        <v>pt</v>
      </c>
      <c r="B6294">
        <f>IFERROR(__xludf.DUMMYFUNCTION("""COMPUTED_VALUE"""),2228742.0)</f>
        <v>2228742</v>
      </c>
      <c r="C6294" t="str">
        <f>IFERROR(__xludf.DUMMYFUNCTION("""COMPUTED_VALUE"""),"LGPD: Política de Privacidade e Proteção de Dados Pessoais!")</f>
        <v>LGPD: Política de Privacidade e Proteção de Dados Pessoais!</v>
      </c>
    </row>
    <row r="6295">
      <c r="A6295" s="140" t="str">
        <f>IFERROR(__xludf.DUMMYFUNCTION("""COMPUTED_VALUE"""),"fr")</f>
        <v>fr</v>
      </c>
      <c r="B6295">
        <f>IFERROR(__xludf.DUMMYFUNCTION("""COMPUTED_VALUE"""),3843514.0)</f>
        <v>3843514</v>
      </c>
      <c r="C6295" t="str">
        <f>IFERROR(__xludf.DUMMYFUNCTION("""COMPUTED_VALUE"""),"Gestion de projet Scrum : le guide complet")</f>
        <v>Gestion de projet Scrum : le guide complet</v>
      </c>
    </row>
    <row r="6296">
      <c r="A6296" s="140" t="str">
        <f>IFERROR(__xludf.DUMMYFUNCTION("""COMPUTED_VALUE"""),"pt")</f>
        <v>pt</v>
      </c>
      <c r="B6296">
        <f>IFERROR(__xludf.DUMMYFUNCTION("""COMPUTED_VALUE"""),2205026.0)</f>
        <v>2205026</v>
      </c>
      <c r="C6296" t="str">
        <f>IFERROR(__xludf.DUMMYFUNCTION("""COMPUTED_VALUE"""),"Curso de Visual Studio 2019 - Desenvolvimento Front End")</f>
        <v>Curso de Visual Studio 2019 - Desenvolvimento Front End</v>
      </c>
    </row>
    <row r="6297">
      <c r="A6297" s="140" t="str">
        <f>IFERROR(__xludf.DUMMYFUNCTION("""COMPUTED_VALUE"""),"pt")</f>
        <v>pt</v>
      </c>
      <c r="B6297">
        <f>IFERROR(__xludf.DUMMYFUNCTION("""COMPUTED_VALUE"""),3740094.0)</f>
        <v>3740094</v>
      </c>
      <c r="C6297" t="str">
        <f>IFERROR(__xludf.DUMMYFUNCTION("""COMPUTED_VALUE"""),"Curso de Navisworks 2021 | COMPLETO")</f>
        <v>Curso de Navisworks 2021 | COMPLETO</v>
      </c>
    </row>
    <row r="6298">
      <c r="A6298" s="140" t="str">
        <f>IFERROR(__xludf.DUMMYFUNCTION("""COMPUTED_VALUE"""),"en")</f>
        <v>en</v>
      </c>
      <c r="B6298">
        <f>IFERROR(__xludf.DUMMYFUNCTION("""COMPUTED_VALUE"""),2325902.0)</f>
        <v>2325902</v>
      </c>
      <c r="C6298" t="str">
        <f>IFERROR(__xludf.DUMMYFUNCTION("""COMPUTED_VALUE"""),"Tableau for Business Analytics and Marketing")</f>
        <v>Tableau for Business Analytics and Marketing</v>
      </c>
    </row>
    <row r="6299">
      <c r="A6299" s="140" t="str">
        <f>IFERROR(__xludf.DUMMYFUNCTION("""COMPUTED_VALUE"""),"en")</f>
        <v>en</v>
      </c>
      <c r="B6299">
        <f>IFERROR(__xludf.DUMMYFUNCTION("""COMPUTED_VALUE"""),946194.0)</f>
        <v>946194</v>
      </c>
      <c r="C6299" t="str">
        <f>IFERROR(__xludf.DUMMYFUNCTION("""COMPUTED_VALUE"""),"Tableau 20 Advanced Training: Master Tableau in Data Science")</f>
        <v>Tableau 20 Advanced Training: Master Tableau in Data Science</v>
      </c>
    </row>
    <row r="6300">
      <c r="A6300" s="140" t="str">
        <f>IFERROR(__xludf.DUMMYFUNCTION("""COMPUTED_VALUE"""),"ar")</f>
        <v>ar</v>
      </c>
      <c r="B6300">
        <f>IFERROR(__xludf.DUMMYFUNCTION("""COMPUTED_VALUE"""),2448050.0)</f>
        <v>2448050</v>
      </c>
      <c r="C6300" t="str">
        <f>IFERROR(__xludf.DUMMYFUNCTION("""COMPUTED_VALUE"""),"Lean Construction Management overview إدارة المشاريع الرشيده")</f>
        <v>Lean Construction Management overview إدارة المشاريع الرشيده</v>
      </c>
    </row>
    <row r="6301">
      <c r="A6301" s="140" t="str">
        <f>IFERROR(__xludf.DUMMYFUNCTION("""COMPUTED_VALUE"""),"es")</f>
        <v>es</v>
      </c>
      <c r="B6301">
        <f>IFERROR(__xludf.DUMMYFUNCTION("""COMPUTED_VALUE"""),1701302.0)</f>
        <v>1701302</v>
      </c>
      <c r="C6301" t="str">
        <f>IFERROR(__xludf.DUMMYFUNCTION("""COMPUTED_VALUE"""),"Curso de AutoCAD desde cero hasta avanzado y 3D | 11 Horas")</f>
        <v>Curso de AutoCAD desde cero hasta avanzado y 3D | 11 Horas</v>
      </c>
    </row>
    <row r="6302">
      <c r="A6302" s="140" t="str">
        <f>IFERROR(__xludf.DUMMYFUNCTION("""COMPUTED_VALUE"""),"es")</f>
        <v>es</v>
      </c>
      <c r="B6302">
        <f>IFERROR(__xludf.DUMMYFUNCTION("""COMPUTED_VALUE"""),1175904.0)</f>
        <v>1175904</v>
      </c>
      <c r="C6302" t="str">
        <f>IFERROR(__xludf.DUMMYFUNCTION("""COMPUTED_VALUE"""),"Aprende Xamarin Forms para desarrollar Apps multiplataforma")</f>
        <v>Aprende Xamarin Forms para desarrollar Apps multiplataforma</v>
      </c>
    </row>
    <row r="6303">
      <c r="A6303" s="140" t="str">
        <f>IFERROR(__xludf.DUMMYFUNCTION("""COMPUTED_VALUE"""),"es")</f>
        <v>es</v>
      </c>
      <c r="B6303">
        <f>IFERROR(__xludf.DUMMYFUNCTION("""COMPUTED_VALUE"""),1557422.0)</f>
        <v>1557422</v>
      </c>
      <c r="C6303" t="str">
        <f>IFERROR(__xludf.DUMMYFUNCTION("""COMPUTED_VALUE"""),"Introducción al Business Intelligence y la Minería de Datos.")</f>
        <v>Introducción al Business Intelligence y la Minería de Datos.</v>
      </c>
    </row>
    <row r="6304">
      <c r="A6304" s="140" t="str">
        <f>IFERROR(__xludf.DUMMYFUNCTION("""COMPUTED_VALUE"""),"ja")</f>
        <v>ja</v>
      </c>
      <c r="B6304">
        <f>IFERROR(__xludf.DUMMYFUNCTION("""COMPUTED_VALUE"""),3228373.0)</f>
        <v>3228373</v>
      </c>
      <c r="C6304" t="str">
        <f>IFERROR(__xludf.DUMMYFUNCTION("""COMPUTED_VALUE"""),"予備校講師直伝の日商簿記３級模擬試験実戦答練")</f>
        <v>予備校講師直伝の日商簿記３級模擬試験実戦答練</v>
      </c>
    </row>
    <row r="6305">
      <c r="A6305" s="140" t="str">
        <f>IFERROR(__xludf.DUMMYFUNCTION("""COMPUTED_VALUE"""),"pt")</f>
        <v>pt</v>
      </c>
      <c r="B6305">
        <f>IFERROR(__xludf.DUMMYFUNCTION("""COMPUTED_VALUE"""),1776096.0)</f>
        <v>1776096</v>
      </c>
      <c r="C6305" t="str">
        <f>IFERROR(__xludf.DUMMYFUNCTION("""COMPUTED_VALUE"""),"Manual de sobrevivência do analista de suporte")</f>
        <v>Manual de sobrevivência do analista de suporte</v>
      </c>
    </row>
    <row r="6306">
      <c r="A6306" s="140" t="str">
        <f>IFERROR(__xludf.DUMMYFUNCTION("""COMPUTED_VALUE"""),"tr")</f>
        <v>tr</v>
      </c>
      <c r="B6306">
        <f>IFERROR(__xludf.DUMMYFUNCTION("""COMPUTED_VALUE"""),2229424.0)</f>
        <v>2229424</v>
      </c>
      <c r="C6306" t="str">
        <f>IFERROR(__xludf.DUMMYFUNCTION("""COMPUTED_VALUE"""),"Oracle PL/SQL - Advanced Level Enterprise Uygulamalar (2)")</f>
        <v>Oracle PL/SQL - Advanced Level Enterprise Uygulamalar (2)</v>
      </c>
    </row>
    <row r="6307">
      <c r="A6307" s="140" t="str">
        <f>IFERROR(__xludf.DUMMYFUNCTION("""COMPUTED_VALUE"""),"en")</f>
        <v>en</v>
      </c>
      <c r="B6307">
        <f>IFERROR(__xludf.DUMMYFUNCTION("""COMPUTED_VALUE"""),1061212.0)</f>
        <v>1061212</v>
      </c>
      <c r="C6307" t="str">
        <f>IFERROR(__xludf.DUMMYFUNCTION("""COMPUTED_VALUE"""),"Mastering SQL Server 2016 Integration Services (SSIS)-Part 1")</f>
        <v>Mastering SQL Server 2016 Integration Services (SSIS)-Part 1</v>
      </c>
    </row>
    <row r="6308">
      <c r="A6308" s="140" t="str">
        <f>IFERROR(__xludf.DUMMYFUNCTION("""COMPUTED_VALUE"""),"pt")</f>
        <v>pt</v>
      </c>
      <c r="B6308">
        <f>IFERROR(__xludf.DUMMYFUNCTION("""COMPUTED_VALUE"""),1764438.0)</f>
        <v>1764438</v>
      </c>
      <c r="C6308" t="str">
        <f>IFERROR(__xludf.DUMMYFUNCTION("""COMPUTED_VALUE"""),"Criação de Apps Android/iOS/Web com Flutter - 4 cursos em 1")</f>
        <v>Criação de Apps Android/iOS/Web com Flutter - 4 cursos em 1</v>
      </c>
    </row>
    <row r="6309">
      <c r="A6309" s="140" t="str">
        <f>IFERROR(__xludf.DUMMYFUNCTION("""COMPUTED_VALUE"""),"en")</f>
        <v>en</v>
      </c>
      <c r="B6309">
        <f>IFERROR(__xludf.DUMMYFUNCTION("""COMPUTED_VALUE"""),374222.0)</f>
        <v>374222</v>
      </c>
      <c r="C6309" t="str">
        <f>IFERROR(__xludf.DUMMYFUNCTION("""COMPUTED_VALUE"""),"Learn API Technical Writing: JSON and XML for Writers")</f>
        <v>Learn API Technical Writing: JSON and XML for Writers</v>
      </c>
    </row>
    <row r="6310">
      <c r="A6310" s="140" t="str">
        <f>IFERROR(__xludf.DUMMYFUNCTION("""COMPUTED_VALUE"""),"es")</f>
        <v>es</v>
      </c>
      <c r="B6310">
        <f>IFERROR(__xludf.DUMMYFUNCTION("""COMPUTED_VALUE"""),2170082.0)</f>
        <v>2170082</v>
      </c>
      <c r="C6310" t="str">
        <f>IFERROR(__xludf.DUMMYFUNCTION("""COMPUTED_VALUE"""),"Aprende C# + POS + CRUD + Web Services + ASP.NET + Capas")</f>
        <v>Aprende C# + POS + CRUD + Web Services + ASP.NET + Capas</v>
      </c>
    </row>
    <row r="6311">
      <c r="A6311" s="140" t="str">
        <f>IFERROR(__xludf.DUMMYFUNCTION("""COMPUTED_VALUE"""),"en")</f>
        <v>en</v>
      </c>
      <c r="B6311">
        <f>IFERROR(__xludf.DUMMYFUNCTION("""COMPUTED_VALUE"""),1123940.0)</f>
        <v>1123940</v>
      </c>
      <c r="C6311" t="str">
        <f>IFERROR(__xludf.DUMMYFUNCTION("""COMPUTED_VALUE"""),"Think Like a Leader with Brian Tracy")</f>
        <v>Think Like a Leader with Brian Tracy</v>
      </c>
    </row>
    <row r="6312">
      <c r="A6312" s="140" t="str">
        <f>IFERROR(__xludf.DUMMYFUNCTION("""COMPUTED_VALUE"""),"fr")</f>
        <v>fr</v>
      </c>
      <c r="B6312">
        <f>IFERROR(__xludf.DUMMYFUNCTION("""COMPUTED_VALUE"""),3281162.0)</f>
        <v>3281162</v>
      </c>
      <c r="C6312" t="str">
        <f>IFERROR(__xludf.DUMMYFUNCTION("""COMPUTED_VALUE"""),"Stratégies Business Innovantes: Accélérez Votre Croissance")</f>
        <v>Stratégies Business Innovantes: Accélérez Votre Croissance</v>
      </c>
    </row>
    <row r="6313">
      <c r="A6313" s="140" t="str">
        <f>IFERROR(__xludf.DUMMYFUNCTION("""COMPUTED_VALUE"""),"en")</f>
        <v>en</v>
      </c>
      <c r="B6313">
        <f>IFERROR(__xludf.DUMMYFUNCTION("""COMPUTED_VALUE"""),301854.0)</f>
        <v>301854</v>
      </c>
      <c r="C6313" t="str">
        <f>IFERROR(__xludf.DUMMYFUNCTION("""COMPUTED_VALUE"""),"Effective use of Outlook 2013")</f>
        <v>Effective use of Outlook 2013</v>
      </c>
    </row>
    <row r="6314">
      <c r="A6314" s="140" t="str">
        <f>IFERROR(__xludf.DUMMYFUNCTION("""COMPUTED_VALUE"""),"en")</f>
        <v>en</v>
      </c>
      <c r="B6314">
        <f>IFERROR(__xludf.DUMMYFUNCTION("""COMPUTED_VALUE"""),3939902.0)</f>
        <v>3939902</v>
      </c>
      <c r="C6314" t="str">
        <f>IFERROR(__xludf.DUMMYFUNCTION("""COMPUTED_VALUE"""),"Terraform on AWS with SRE &amp; IaC DevOps | Real-World 20 Demos")</f>
        <v>Terraform on AWS with SRE &amp; IaC DevOps | Real-World 20 Demos</v>
      </c>
    </row>
    <row r="6315">
      <c r="A6315" s="140" t="str">
        <f>IFERROR(__xludf.DUMMYFUNCTION("""COMPUTED_VALUE"""),"en")</f>
        <v>en</v>
      </c>
      <c r="B6315">
        <f>IFERROR(__xludf.DUMMYFUNCTION("""COMPUTED_VALUE"""),2283542.0)</f>
        <v>2283542</v>
      </c>
      <c r="C6315" t="str">
        <f>IFERROR(__xludf.DUMMYFUNCTION("""COMPUTED_VALUE"""),"SalesSchool: Sales Training for the Entrepreneurial Business")</f>
        <v>SalesSchool: Sales Training for the Entrepreneurial Business</v>
      </c>
    </row>
    <row r="6316">
      <c r="A6316" s="140" t="str">
        <f>IFERROR(__xludf.DUMMYFUNCTION("""COMPUTED_VALUE"""),"ja")</f>
        <v>ja</v>
      </c>
      <c r="B6316">
        <f>IFERROR(__xludf.DUMMYFUNCTION("""COMPUTED_VALUE"""),1356578.0)</f>
        <v>1356578</v>
      </c>
      <c r="C6316" t="str">
        <f>IFERROR(__xludf.DUMMYFUNCTION("""COMPUTED_VALUE"""),"即実践　手を動かして6時間でjQueryをマスターしよう。知識、経験ゼロからjQueryを使いこなそう")</f>
        <v>即実践　手を動かして6時間でjQueryをマスターしよう。知識、経験ゼロからjQueryを使いこなそう</v>
      </c>
    </row>
    <row r="6317">
      <c r="A6317" s="140" t="str">
        <f>IFERROR(__xludf.DUMMYFUNCTION("""COMPUTED_VALUE"""),"en")</f>
        <v>en</v>
      </c>
      <c r="B6317">
        <f>IFERROR(__xludf.DUMMYFUNCTION("""COMPUTED_VALUE"""),1954018.0)</f>
        <v>1954018</v>
      </c>
      <c r="C6317" t="str">
        <f>IFERROR(__xludf.DUMMYFUNCTION("""COMPUTED_VALUE"""),"Advanced REST APIs with Flask and Python")</f>
        <v>Advanced REST APIs with Flask and Python</v>
      </c>
    </row>
    <row r="6318">
      <c r="A6318" s="140" t="str">
        <f>IFERROR(__xludf.DUMMYFUNCTION("""COMPUTED_VALUE"""),"en")</f>
        <v>en</v>
      </c>
      <c r="B6318">
        <f>IFERROR(__xludf.DUMMYFUNCTION("""COMPUTED_VALUE"""),2238460.0)</f>
        <v>2238460</v>
      </c>
      <c r="C6318" t="str">
        <f>IFERROR(__xludf.DUMMYFUNCTION("""COMPUTED_VALUE"""),"Aerospace Engineering: Airplanes, Airlines and Airports")</f>
        <v>Aerospace Engineering: Airplanes, Airlines and Airports</v>
      </c>
    </row>
    <row r="6319">
      <c r="A6319" s="140" t="str">
        <f>IFERROR(__xludf.DUMMYFUNCTION("""COMPUTED_VALUE"""),"en")</f>
        <v>en</v>
      </c>
      <c r="B6319">
        <f>IFERROR(__xludf.DUMMYFUNCTION("""COMPUTED_VALUE"""),2831072.0)</f>
        <v>2831072</v>
      </c>
      <c r="C6319" t="str">
        <f>IFERROR(__xludf.DUMMYFUNCTION("""COMPUTED_VALUE"""),"Architecture Digital Collage")</f>
        <v>Architecture Digital Collage</v>
      </c>
    </row>
    <row r="6320">
      <c r="A6320" s="140" t="str">
        <f>IFERROR(__xludf.DUMMYFUNCTION("""COMPUTED_VALUE"""),"en")</f>
        <v>en</v>
      </c>
      <c r="B6320">
        <f>IFERROR(__xludf.DUMMYFUNCTION("""COMPUTED_VALUE"""),2562342.0)</f>
        <v>2562342</v>
      </c>
      <c r="C6320" t="str">
        <f>IFERROR(__xludf.DUMMYFUNCTION("""COMPUTED_VALUE"""),"Diversity, Equity, and Inclusion: A Beginner’s Guide")</f>
        <v>Diversity, Equity, and Inclusion: A Beginner’s Guide</v>
      </c>
    </row>
    <row r="6321">
      <c r="A6321" s="140" t="str">
        <f>IFERROR(__xludf.DUMMYFUNCTION("""COMPUTED_VALUE"""),"en")</f>
        <v>en</v>
      </c>
      <c r="B6321">
        <f>IFERROR(__xludf.DUMMYFUNCTION("""COMPUTED_VALUE"""),2553023.0)</f>
        <v>2553023</v>
      </c>
      <c r="C6321" t="str">
        <f>IFERROR(__xludf.DUMMYFUNCTION("""COMPUTED_VALUE"""),"SOLID principles &amp; Design Patterns for Java programmers")</f>
        <v>SOLID principles &amp; Design Patterns for Java programmers</v>
      </c>
    </row>
    <row r="6322">
      <c r="A6322" s="140" t="str">
        <f>IFERROR(__xludf.DUMMYFUNCTION("""COMPUTED_VALUE"""),"tr")</f>
        <v>tr</v>
      </c>
      <c r="B6322">
        <f>IFERROR(__xludf.DUMMYFUNCTION("""COMPUTED_VALUE"""),2209186.0)</f>
        <v>2209186</v>
      </c>
      <c r="C6322" t="str">
        <f>IFERROR(__xludf.DUMMYFUNCTION("""COMPUTED_VALUE"""),"Oracle PL/SQL - Advanced Level Enterprise Uygulamalar (1)")</f>
        <v>Oracle PL/SQL - Advanced Level Enterprise Uygulamalar (1)</v>
      </c>
    </row>
    <row r="6323">
      <c r="A6323" s="140" t="str">
        <f>IFERROR(__xludf.DUMMYFUNCTION("""COMPUTED_VALUE"""),"en")</f>
        <v>en</v>
      </c>
      <c r="B6323">
        <f>IFERROR(__xludf.DUMMYFUNCTION("""COMPUTED_VALUE"""),2000596.0)</f>
        <v>2000596</v>
      </c>
      <c r="C6323" t="str">
        <f>IFERROR(__xludf.DUMMYFUNCTION("""COMPUTED_VALUE"""),"VPC Solutions with EC2 for Production: AWS with Terraform")</f>
        <v>VPC Solutions with EC2 for Production: AWS with Terraform</v>
      </c>
    </row>
    <row r="6324">
      <c r="A6324" s="140" t="str">
        <f>IFERROR(__xludf.DUMMYFUNCTION("""COMPUTED_VALUE"""),"en")</f>
        <v>en</v>
      </c>
      <c r="B6324">
        <f>IFERROR(__xludf.DUMMYFUNCTION("""COMPUTED_VALUE"""),3914646.0)</f>
        <v>3914646</v>
      </c>
      <c r="C6324" t="str">
        <f>IFERROR(__xludf.DUMMYFUNCTION("""COMPUTED_VALUE"""),"Data Science Bootcamp with 5 Data Science Projects")</f>
        <v>Data Science Bootcamp with 5 Data Science Projects</v>
      </c>
    </row>
    <row r="6325">
      <c r="A6325" s="140" t="str">
        <f>IFERROR(__xludf.DUMMYFUNCTION("""COMPUTED_VALUE"""),"en")</f>
        <v>en</v>
      </c>
      <c r="B6325">
        <f>IFERROR(__xludf.DUMMYFUNCTION("""COMPUTED_VALUE"""),1400208.0)</f>
        <v>1400208</v>
      </c>
      <c r="C6325" t="str">
        <f>IFERROR(__xludf.DUMMYFUNCTION("""COMPUTED_VALUE"""),"Adobe Illustrator CC 2018 - New Features")</f>
        <v>Adobe Illustrator CC 2018 - New Features</v>
      </c>
    </row>
    <row r="6326">
      <c r="A6326" s="140" t="str">
        <f>IFERROR(__xludf.DUMMYFUNCTION("""COMPUTED_VALUE"""),"ar")</f>
        <v>ar</v>
      </c>
      <c r="B6326">
        <f>IFERROR(__xludf.DUMMYFUNCTION("""COMPUTED_VALUE"""),3215749.0)</f>
        <v>3215749</v>
      </c>
      <c r="C6326" t="str">
        <f>IFERROR(__xludf.DUMMYFUNCTION("""COMPUTED_VALUE"""),"مقابلة العمل: اهم 50 سؤال مع الاجابات النموذجية")</f>
        <v>مقابلة العمل: اهم 50 سؤال مع الاجابات النموذجية</v>
      </c>
    </row>
    <row r="6327">
      <c r="A6327" s="140" t="str">
        <f>IFERROR(__xludf.DUMMYFUNCTION("""COMPUTED_VALUE"""),"ja")</f>
        <v>ja</v>
      </c>
      <c r="B6327">
        <f>IFERROR(__xludf.DUMMYFUNCTION("""COMPUTED_VALUE"""),3129964.0)</f>
        <v>3129964</v>
      </c>
      <c r="C6327" t="str">
        <f>IFERROR(__xludf.DUMMYFUNCTION("""COMPUTED_VALUE"""),"～離職を無くしエンゲージメントを高める～社員が辞めない会社づくりセミナー")</f>
        <v>～離職を無くしエンゲージメントを高める～社員が辞めない会社づくりセミナー</v>
      </c>
    </row>
    <row r="6328">
      <c r="A6328" s="140" t="str">
        <f>IFERROR(__xludf.DUMMYFUNCTION("""COMPUTED_VALUE"""),"en")</f>
        <v>en</v>
      </c>
      <c r="B6328">
        <f>IFERROR(__xludf.DUMMYFUNCTION("""COMPUTED_VALUE"""),321118.0)</f>
        <v>321118</v>
      </c>
      <c r="C6328" t="str">
        <f>IFERROR(__xludf.DUMMYFUNCTION("""COMPUTED_VALUE"""),"C++ Working with Files - fstream I/O library")</f>
        <v>C++ Working with Files - fstream I/O library</v>
      </c>
    </row>
    <row r="6329">
      <c r="A6329" s="140" t="str">
        <f>IFERROR(__xludf.DUMMYFUNCTION("""COMPUTED_VALUE"""),"fr")</f>
        <v>fr</v>
      </c>
      <c r="B6329">
        <f>IFERROR(__xludf.DUMMYFUNCTION("""COMPUTED_VALUE"""),957788.0)</f>
        <v>957788</v>
      </c>
      <c r="C6329" t="str">
        <f>IFERROR(__xludf.DUMMYFUNCTION("""COMPUTED_VALUE"""),"Screencast, montage vidéo &amp; animation avec Screenflow")</f>
        <v>Screencast, montage vidéo &amp; animation avec Screenflow</v>
      </c>
    </row>
    <row r="6330">
      <c r="A6330" s="140" t="str">
        <f>IFERROR(__xludf.DUMMYFUNCTION("""COMPUTED_VALUE"""),"pt")</f>
        <v>pt</v>
      </c>
      <c r="B6330">
        <f>IFERROR(__xludf.DUMMYFUNCTION("""COMPUTED_VALUE"""),1990960.0)</f>
        <v>1990960</v>
      </c>
      <c r="C6330" t="str">
        <f>IFERROR(__xludf.DUMMYFUNCTION("""COMPUTED_VALUE"""),"Lean Six Sigma - Yellow Belt")</f>
        <v>Lean Six Sigma - Yellow Belt</v>
      </c>
    </row>
    <row r="6331">
      <c r="A6331" s="140" t="str">
        <f>IFERROR(__xludf.DUMMYFUNCTION("""COMPUTED_VALUE"""),"en")</f>
        <v>en</v>
      </c>
      <c r="B6331">
        <f>IFERROR(__xludf.DUMMYFUNCTION("""COMPUTED_VALUE"""),538958.0)</f>
        <v>538958</v>
      </c>
      <c r="C6331" t="str">
        <f>IFERROR(__xludf.DUMMYFUNCTION("""COMPUTED_VALUE"""),"Jenkins 2 Bootcamp: Fully Automate Builds to Deployment 2020")</f>
        <v>Jenkins 2 Bootcamp: Fully Automate Builds to Deployment 2020</v>
      </c>
    </row>
    <row r="6332">
      <c r="A6332" s="140" t="str">
        <f>IFERROR(__xludf.DUMMYFUNCTION("""COMPUTED_VALUE"""),"es")</f>
        <v>es</v>
      </c>
      <c r="B6332">
        <f>IFERROR(__xludf.DUMMYFUNCTION("""COMPUTED_VALUE"""),1118300.0)</f>
        <v>1118300</v>
      </c>
      <c r="C6332" t="str">
        <f>IFERROR(__xludf.DUMMYFUNCTION("""COMPUTED_VALUE"""),"Aprende a crear Plugins para WordPress desde cero a Avanzado")</f>
        <v>Aprende a crear Plugins para WordPress desde cero a Avanzado</v>
      </c>
    </row>
    <row r="6333">
      <c r="A6333" s="140" t="str">
        <f>IFERROR(__xludf.DUMMYFUNCTION("""COMPUTED_VALUE"""),"pt")</f>
        <v>pt</v>
      </c>
      <c r="B6333">
        <f>IFERROR(__xludf.DUMMYFUNCTION("""COMPUTED_VALUE"""),1587778.0)</f>
        <v>1587778</v>
      </c>
      <c r="C6333" t="str">
        <f>IFERROR(__xludf.DUMMYFUNCTION("""COMPUTED_VALUE"""),"Curso de Branding Digital: Estratégias de Marcas e Negócios")</f>
        <v>Curso de Branding Digital: Estratégias de Marcas e Negócios</v>
      </c>
    </row>
    <row r="6334">
      <c r="A6334" s="140" t="str">
        <f>IFERROR(__xludf.DUMMYFUNCTION("""COMPUTED_VALUE"""),"en")</f>
        <v>en</v>
      </c>
      <c r="B6334">
        <f>IFERROR(__xludf.DUMMYFUNCTION("""COMPUTED_VALUE"""),3091088.0)</f>
        <v>3091088</v>
      </c>
      <c r="C6334" t="str">
        <f>IFERROR(__xludf.DUMMYFUNCTION("""COMPUTED_VALUE"""),"Microsoft Azure Certification AZ- 900 Latest Practice Exam")</f>
        <v>Microsoft Azure Certification AZ- 900 Latest Practice Exam</v>
      </c>
    </row>
    <row r="6335">
      <c r="A6335" s="140" t="str">
        <f>IFERROR(__xludf.DUMMYFUNCTION("""COMPUTED_VALUE"""),"ja")</f>
        <v>ja</v>
      </c>
      <c r="B6335">
        <f>IFERROR(__xludf.DUMMYFUNCTION("""COMPUTED_VALUE"""),2092508.0)</f>
        <v>2092508</v>
      </c>
      <c r="C6335" t="str">
        <f>IFERROR(__xludf.DUMMYFUNCTION("""COMPUTED_VALUE"""),"ブロックチェーンの仕組みをひとつひとつ図解 - 仕組みを紐解きながら最新状況・今後の活用方法まで体系的に")</f>
        <v>ブロックチェーンの仕組みをひとつひとつ図解 - 仕組みを紐解きながら最新状況・今後の活用方法まで体系的に</v>
      </c>
    </row>
    <row r="6336">
      <c r="A6336" s="140" t="str">
        <f>IFERROR(__xludf.DUMMYFUNCTION("""COMPUTED_VALUE"""),"fr")</f>
        <v>fr</v>
      </c>
      <c r="B6336">
        <f>IFERROR(__xludf.DUMMYFUNCTION("""COMPUTED_VALUE"""),2546989.0)</f>
        <v>2546989</v>
      </c>
      <c r="C6336" t="str">
        <f>IFERROR(__xludf.DUMMYFUNCTION("""COMPUTED_VALUE"""),"JAVA Performance : étude de cas concrets")</f>
        <v>JAVA Performance : étude de cas concrets</v>
      </c>
    </row>
    <row r="6337">
      <c r="A6337" s="140" t="str">
        <f>IFERROR(__xludf.DUMMYFUNCTION("""COMPUTED_VALUE"""),"en")</f>
        <v>en</v>
      </c>
      <c r="B6337">
        <f>IFERROR(__xludf.DUMMYFUNCTION("""COMPUTED_VALUE"""),1349102.0)</f>
        <v>1349102</v>
      </c>
      <c r="C6337" t="str">
        <f>IFERROR(__xludf.DUMMYFUNCTION("""COMPUTED_VALUE"""),"CORE CHINESE 1: Build Up Chinese Foundations by Practice")</f>
        <v>CORE CHINESE 1: Build Up Chinese Foundations by Practice</v>
      </c>
    </row>
    <row r="6338">
      <c r="A6338" s="140" t="str">
        <f>IFERROR(__xludf.DUMMYFUNCTION("""COMPUTED_VALUE"""),"en")</f>
        <v>en</v>
      </c>
      <c r="B6338">
        <f>IFERROR(__xludf.DUMMYFUNCTION("""COMPUTED_VALUE"""),2604078.0)</f>
        <v>2604078</v>
      </c>
      <c r="C6338" t="str">
        <f>IFERROR(__xludf.DUMMYFUNCTION("""COMPUTED_VALUE"""),"Google Cloud Platform (GCP) Fundamentals for Beginners")</f>
        <v>Google Cloud Platform (GCP) Fundamentals for Beginners</v>
      </c>
    </row>
    <row r="6339">
      <c r="A6339" s="140" t="str">
        <f>IFERROR(__xludf.DUMMYFUNCTION("""COMPUTED_VALUE"""),"en")</f>
        <v>en</v>
      </c>
      <c r="B6339">
        <f>IFERROR(__xludf.DUMMYFUNCTION("""COMPUTED_VALUE"""),1479916.0)</f>
        <v>1479916</v>
      </c>
      <c r="C6339" t="str">
        <f>IFERROR(__xludf.DUMMYFUNCTION("""COMPUTED_VALUE"""),"Complete JDBC Programming Part-1")</f>
        <v>Complete JDBC Programming Part-1</v>
      </c>
    </row>
    <row r="6340">
      <c r="A6340" s="140" t="str">
        <f>IFERROR(__xludf.DUMMYFUNCTION("""COMPUTED_VALUE"""),"en")</f>
        <v>en</v>
      </c>
      <c r="B6340">
        <f>IFERROR(__xludf.DUMMYFUNCTION("""COMPUTED_VALUE"""),4251082.0)</f>
        <v>4251082</v>
      </c>
      <c r="C6340" t="str">
        <f>IFERROR(__xludf.DUMMYFUNCTION("""COMPUTED_VALUE"""),"Getting Started in Asana - Asana Course for Beginners")</f>
        <v>Getting Started in Asana - Asana Course for Beginners</v>
      </c>
    </row>
    <row r="6341">
      <c r="A6341" s="140" t="str">
        <f>IFERROR(__xludf.DUMMYFUNCTION("""COMPUTED_VALUE"""),"en")</f>
        <v>en</v>
      </c>
      <c r="B6341">
        <f>IFERROR(__xludf.DUMMYFUNCTION("""COMPUTED_VALUE"""),2979282.0)</f>
        <v>2979282</v>
      </c>
      <c r="C6341" t="str">
        <f>IFERROR(__xludf.DUMMYFUNCTION("""COMPUTED_VALUE"""),"Unity DOTS Fundamentals - Making a full game with ECS")</f>
        <v>Unity DOTS Fundamentals - Making a full game with ECS</v>
      </c>
    </row>
    <row r="6342">
      <c r="A6342" s="140" t="str">
        <f>IFERROR(__xludf.DUMMYFUNCTION("""COMPUTED_VALUE"""),"ja")</f>
        <v>ja</v>
      </c>
      <c r="B6342">
        <f>IFERROR(__xludf.DUMMYFUNCTION("""COMPUTED_VALUE"""),1840640.0)</f>
        <v>1840640</v>
      </c>
      <c r="C6342" t="str">
        <f>IFERROR(__xludf.DUMMYFUNCTION("""COMPUTED_VALUE"""),"AIのための数学講座：少しづつ丁寧に学ぶ人工知能向けの線形代数/確率・統計/微分")</f>
        <v>AIのための数学講座：少しづつ丁寧に学ぶ人工知能向けの線形代数/確率・統計/微分</v>
      </c>
    </row>
    <row r="6343">
      <c r="A6343" s="140" t="str">
        <f>IFERROR(__xludf.DUMMYFUNCTION("""COMPUTED_VALUE"""),"en")</f>
        <v>en</v>
      </c>
      <c r="B6343">
        <f>IFERROR(__xludf.DUMMYFUNCTION("""COMPUTED_VALUE"""),2748576.0)</f>
        <v>2748576</v>
      </c>
      <c r="C6343" t="str">
        <f>IFERROR(__xludf.DUMMYFUNCTION("""COMPUTED_VALUE"""),"Blue Prism Machine Learning Skills")</f>
        <v>Blue Prism Machine Learning Skills</v>
      </c>
    </row>
    <row r="6344">
      <c r="A6344" s="140" t="str">
        <f>IFERROR(__xludf.DUMMYFUNCTION("""COMPUTED_VALUE"""),"en")</f>
        <v>en</v>
      </c>
      <c r="B6344">
        <f>IFERROR(__xludf.DUMMYFUNCTION("""COMPUTED_VALUE"""),1276524.0)</f>
        <v>1276524</v>
      </c>
      <c r="C6344" t="str">
        <f>IFERROR(__xludf.DUMMYFUNCTION("""COMPUTED_VALUE"""),"Acrylic Painting - Introduction to Acrylic Painting")</f>
        <v>Acrylic Painting - Introduction to Acrylic Painting</v>
      </c>
    </row>
    <row r="6345">
      <c r="A6345" s="140" t="str">
        <f>IFERROR(__xludf.DUMMYFUNCTION("""COMPUTED_VALUE"""),"en")</f>
        <v>en</v>
      </c>
      <c r="B6345">
        <f>IFERROR(__xludf.DUMMYFUNCTION("""COMPUTED_VALUE"""),1363234.0)</f>
        <v>1363234</v>
      </c>
      <c r="C6345" t="str">
        <f>IFERROR(__xludf.DUMMYFUNCTION("""COMPUTED_VALUE"""),"CORE CHINESE 2: Advance to Intermediate Level")</f>
        <v>CORE CHINESE 2: Advance to Intermediate Level</v>
      </c>
    </row>
    <row r="6346">
      <c r="A6346" s="140" t="str">
        <f>IFERROR(__xludf.DUMMYFUNCTION("""COMPUTED_VALUE"""),"en")</f>
        <v>en</v>
      </c>
      <c r="B6346">
        <f>IFERROR(__xludf.DUMMYFUNCTION("""COMPUTED_VALUE"""),242180.0)</f>
        <v>242180</v>
      </c>
      <c r="C6346" t="str">
        <f>IFERROR(__xludf.DUMMYFUNCTION("""COMPUTED_VALUE"""),"Java Persistence: Hibernate and JPA Fundamentals")</f>
        <v>Java Persistence: Hibernate and JPA Fundamentals</v>
      </c>
    </row>
    <row r="6347">
      <c r="A6347" s="140" t="str">
        <f>IFERROR(__xludf.DUMMYFUNCTION("""COMPUTED_VALUE"""),"fr")</f>
        <v>fr</v>
      </c>
      <c r="B6347">
        <f>IFERROR(__xludf.DUMMYFUNCTION("""COMPUTED_VALUE"""),1394948.0)</f>
        <v>1394948</v>
      </c>
      <c r="C6347" t="str">
        <f>IFERROR(__xludf.DUMMYFUNCTION("""COMPUTED_VALUE"""),"Développement Moderne Javascript et ES6,ES7")</f>
        <v>Développement Moderne Javascript et ES6,ES7</v>
      </c>
    </row>
    <row r="6348">
      <c r="A6348" s="140" t="str">
        <f>IFERROR(__xludf.DUMMYFUNCTION("""COMPUTED_VALUE"""),"pt")</f>
        <v>pt</v>
      </c>
      <c r="B6348">
        <f>IFERROR(__xludf.DUMMYFUNCTION("""COMPUTED_VALUE"""),1967960.0)</f>
        <v>1967960</v>
      </c>
      <c r="C6348" t="str">
        <f>IFERROR(__xludf.DUMMYFUNCTION("""COMPUTED_VALUE"""),"Escalando uma aplicação na AWS passo a passo")</f>
        <v>Escalando uma aplicação na AWS passo a passo</v>
      </c>
    </row>
    <row r="6349">
      <c r="A6349" s="140" t="str">
        <f>IFERROR(__xludf.DUMMYFUNCTION("""COMPUTED_VALUE"""),"en")</f>
        <v>en</v>
      </c>
      <c r="B6349">
        <f>IFERROR(__xludf.DUMMYFUNCTION("""COMPUTED_VALUE"""),1205894.0)</f>
        <v>1205894</v>
      </c>
      <c r="C6349" t="str">
        <f>IFERROR(__xludf.DUMMYFUNCTION("""COMPUTED_VALUE"""),"Create a MEAN App by Example - Full Stack Course")</f>
        <v>Create a MEAN App by Example - Full Stack Course</v>
      </c>
    </row>
    <row r="6350">
      <c r="A6350" s="140" t="str">
        <f>IFERROR(__xludf.DUMMYFUNCTION("""COMPUTED_VALUE"""),"en")</f>
        <v>en</v>
      </c>
      <c r="B6350">
        <f>IFERROR(__xludf.DUMMYFUNCTION("""COMPUTED_VALUE"""),1633166.0)</f>
        <v>1633166</v>
      </c>
      <c r="C6350" t="str">
        <f>IFERROR(__xludf.DUMMYFUNCTION("""COMPUTED_VALUE"""),"Complete Angular 11 - Ultimate Guide - with Real World App")</f>
        <v>Complete Angular 11 - Ultimate Guide - with Real World App</v>
      </c>
    </row>
    <row r="6351">
      <c r="A6351" s="140" t="str">
        <f>IFERROR(__xludf.DUMMYFUNCTION("""COMPUTED_VALUE"""),"tr")</f>
        <v>tr</v>
      </c>
      <c r="B6351">
        <f>IFERROR(__xludf.DUMMYFUNCTION("""COMPUTED_VALUE"""),3218547.0)</f>
        <v>3218547</v>
      </c>
      <c r="C6351" t="str">
        <f>IFERROR(__xludf.DUMMYFUNCTION("""COMPUTED_VALUE"""),"Kodlama ve Robotik Projelere Giriş (Teori ve Uygulama)")</f>
        <v>Kodlama ve Robotik Projelere Giriş (Teori ve Uygulama)</v>
      </c>
    </row>
    <row r="6352">
      <c r="A6352" s="140" t="str">
        <f>IFERROR(__xludf.DUMMYFUNCTION("""COMPUTED_VALUE"""),"en")</f>
        <v>en</v>
      </c>
      <c r="B6352">
        <f>IFERROR(__xludf.DUMMYFUNCTION("""COMPUTED_VALUE"""),832716.0)</f>
        <v>832716</v>
      </c>
      <c r="C6352" t="str">
        <f>IFERROR(__xludf.DUMMYFUNCTION("""COMPUTED_VALUE"""),"LX Design 101: Teach Anything in the Workplace!")</f>
        <v>LX Design 101: Teach Anything in the Workplace!</v>
      </c>
    </row>
    <row r="6353">
      <c r="A6353" s="140" t="str">
        <f>IFERROR(__xludf.DUMMYFUNCTION("""COMPUTED_VALUE"""),"en")</f>
        <v>en</v>
      </c>
      <c r="B6353">
        <f>IFERROR(__xludf.DUMMYFUNCTION("""COMPUTED_VALUE"""),2167996.0)</f>
        <v>2167996</v>
      </c>
      <c r="C6353" t="str">
        <f>IFERROR(__xludf.DUMMYFUNCTION("""COMPUTED_VALUE"""),"Design Patterns in Python")</f>
        <v>Design Patterns in Python</v>
      </c>
    </row>
    <row r="6354">
      <c r="A6354" s="140" t="str">
        <f>IFERROR(__xludf.DUMMYFUNCTION("""COMPUTED_VALUE"""),"en")</f>
        <v>en</v>
      </c>
      <c r="B6354">
        <f>IFERROR(__xludf.DUMMYFUNCTION("""COMPUTED_VALUE"""),72262.0)</f>
        <v>72262</v>
      </c>
      <c r="C6354" t="str">
        <f>IFERROR(__xludf.DUMMYFUNCTION("""COMPUTED_VALUE"""),"1 hour jQuery")</f>
        <v>1 hour jQuery</v>
      </c>
    </row>
    <row r="6355">
      <c r="A6355" s="140" t="str">
        <f>IFERROR(__xludf.DUMMYFUNCTION("""COMPUTED_VALUE"""),"ja")</f>
        <v>ja</v>
      </c>
      <c r="B6355">
        <f>IFERROR(__xludf.DUMMYFUNCTION("""COMPUTED_VALUE"""),1536972.0)</f>
        <v>1536972</v>
      </c>
      <c r="C6355" t="str">
        <f>IFERROR(__xludf.DUMMYFUNCTION("""COMPUTED_VALUE"""),"【キカガク流】人工知能・機械学習 脱ブラックボックス講座 - 中級編 -")</f>
        <v>【キカガク流】人工知能・機械学習 脱ブラックボックス講座 - 中級編 -</v>
      </c>
    </row>
    <row r="6356">
      <c r="A6356" s="140" t="str">
        <f>IFERROR(__xludf.DUMMYFUNCTION("""COMPUTED_VALUE"""),"ja")</f>
        <v>ja</v>
      </c>
      <c r="B6356">
        <f>IFERROR(__xludf.DUMMYFUNCTION("""COMPUTED_VALUE"""),4208792.0)</f>
        <v>4208792</v>
      </c>
      <c r="C6356" t="str">
        <f>IFERROR(__xludf.DUMMYFUNCTION("""COMPUTED_VALUE"""),"Pythonによる科学技術計算入門")</f>
        <v>Pythonによる科学技術計算入門</v>
      </c>
    </row>
    <row r="6357">
      <c r="A6357" s="140" t="str">
        <f>IFERROR(__xludf.DUMMYFUNCTION("""COMPUTED_VALUE"""),"tr")</f>
        <v>tr</v>
      </c>
      <c r="B6357">
        <f>IFERROR(__xludf.DUMMYFUNCTION("""COMPUTED_VALUE"""),3845068.0)</f>
        <v>3845068</v>
      </c>
      <c r="C6357" t="str">
        <f>IFERROR(__xludf.DUMMYFUNCTION("""COMPUTED_VALUE"""),"React, Next Js, Express Js, Strapi")</f>
        <v>React, Next Js, Express Js, Strapi</v>
      </c>
    </row>
    <row r="6358">
      <c r="A6358" s="140" t="str">
        <f>IFERROR(__xludf.DUMMYFUNCTION("""COMPUTED_VALUE"""),"en")</f>
        <v>en</v>
      </c>
      <c r="B6358">
        <f>IFERROR(__xludf.DUMMYFUNCTION("""COMPUTED_VALUE"""),739390.0)</f>
        <v>739390</v>
      </c>
      <c r="C6358" t="str">
        <f>IFERROR(__xludf.DUMMYFUNCTION("""COMPUTED_VALUE"""),"Financial Planning &amp; Analysis: Building a Company's Budget")</f>
        <v>Financial Planning &amp; Analysis: Building a Company's Budget</v>
      </c>
    </row>
    <row r="6359">
      <c r="A6359" s="140" t="str">
        <f>IFERROR(__xludf.DUMMYFUNCTION("""COMPUTED_VALUE"""),"en")</f>
        <v>en</v>
      </c>
      <c r="B6359">
        <f>IFERROR(__xludf.DUMMYFUNCTION("""COMPUTED_VALUE"""),1691786.0)</f>
        <v>1691786</v>
      </c>
      <c r="C6359" t="str">
        <f>IFERROR(__xludf.DUMMYFUNCTION("""COMPUTED_VALUE"""),"Work with RDS and DynamoDB: AWS with Python and Boto3 Series")</f>
        <v>Work with RDS and DynamoDB: AWS with Python and Boto3 Series</v>
      </c>
    </row>
    <row r="6360">
      <c r="A6360" s="140" t="str">
        <f>IFERROR(__xludf.DUMMYFUNCTION("""COMPUTED_VALUE"""),"en")</f>
        <v>en</v>
      </c>
      <c r="B6360">
        <f>IFERROR(__xludf.DUMMYFUNCTION("""COMPUTED_VALUE"""),2579842.0)</f>
        <v>2579842</v>
      </c>
      <c r="C6360" t="str">
        <f>IFERROR(__xludf.DUMMYFUNCTION("""COMPUTED_VALUE"""),"Software Architecture: REST API Design - The Complete Guide")</f>
        <v>Software Architecture: REST API Design - The Complete Guide</v>
      </c>
    </row>
    <row r="6361">
      <c r="A6361" s="140" t="str">
        <f>IFERROR(__xludf.DUMMYFUNCTION("""COMPUTED_VALUE"""),"en")</f>
        <v>en</v>
      </c>
      <c r="B6361">
        <f>IFERROR(__xludf.DUMMYFUNCTION("""COMPUTED_VALUE"""),2895238.0)</f>
        <v>2895238</v>
      </c>
      <c r="C6361" t="str">
        <f>IFERROR(__xludf.DUMMYFUNCTION("""COMPUTED_VALUE"""),"Mendix : Low-code Application Development Course")</f>
        <v>Mendix : Low-code Application Development Course</v>
      </c>
    </row>
    <row r="6362">
      <c r="A6362" s="140" t="str">
        <f>IFERROR(__xludf.DUMMYFUNCTION("""COMPUTED_VALUE"""),"en")</f>
        <v>en</v>
      </c>
      <c r="B6362">
        <f>IFERROR(__xludf.DUMMYFUNCTION("""COMPUTED_VALUE"""),1192500.0)</f>
        <v>1192500</v>
      </c>
      <c r="C6362" t="str">
        <f>IFERROR(__xludf.DUMMYFUNCTION("""COMPUTED_VALUE"""),"Mastering Firebase for iOS Using Swift Language")</f>
        <v>Mastering Firebase for iOS Using Swift Language</v>
      </c>
    </row>
    <row r="6363">
      <c r="A6363" s="140" t="str">
        <f>IFERROR(__xludf.DUMMYFUNCTION("""COMPUTED_VALUE"""),"en")</f>
        <v>en</v>
      </c>
      <c r="B6363">
        <f>IFERROR(__xludf.DUMMYFUNCTION("""COMPUTED_VALUE"""),897500.0)</f>
        <v>897500</v>
      </c>
      <c r="C6363" t="str">
        <f>IFERROR(__xludf.DUMMYFUNCTION("""COMPUTED_VALUE"""),"OpenID Connect &amp; JWT: Identity as a Service for your Apps")</f>
        <v>OpenID Connect &amp; JWT: Identity as a Service for your Apps</v>
      </c>
    </row>
    <row r="6364">
      <c r="A6364" s="140" t="str">
        <f>IFERROR(__xludf.DUMMYFUNCTION("""COMPUTED_VALUE"""),"en")</f>
        <v>en</v>
      </c>
      <c r="B6364">
        <f>IFERROR(__xludf.DUMMYFUNCTION("""COMPUTED_VALUE"""),2221662.0)</f>
        <v>2221662</v>
      </c>
      <c r="C6364" t="str">
        <f>IFERROR(__xludf.DUMMYFUNCTION("""COMPUTED_VALUE"""),"Theory of Computation : Become a master of DFA")</f>
        <v>Theory of Computation : Become a master of DFA</v>
      </c>
    </row>
    <row r="6365">
      <c r="A6365" s="140" t="str">
        <f>IFERROR(__xludf.DUMMYFUNCTION("""COMPUTED_VALUE"""),"tr")</f>
        <v>tr</v>
      </c>
      <c r="B6365">
        <f>IFERROR(__xludf.DUMMYFUNCTION("""COMPUTED_VALUE"""),1672910.0)</f>
        <v>1672910</v>
      </c>
      <c r="C6365" t="str">
        <f>IFERROR(__xludf.DUMMYFUNCTION("""COMPUTED_VALUE"""),"After Effects CC 2018 ve 2020: Sıfırdan Eğitim")</f>
        <v>After Effects CC 2018 ve 2020: Sıfırdan Eğitim</v>
      </c>
    </row>
    <row r="6366">
      <c r="A6366" s="140" t="str">
        <f>IFERROR(__xludf.DUMMYFUNCTION("""COMPUTED_VALUE"""),"pt")</f>
        <v>pt</v>
      </c>
      <c r="B6366">
        <f>IFERROR(__xludf.DUMMYFUNCTION("""COMPUTED_VALUE"""),2372240.0)</f>
        <v>2372240</v>
      </c>
      <c r="C6366" t="str">
        <f>IFERROR(__xludf.DUMMYFUNCTION("""COMPUTED_VALUE"""),"Curso Adobe XD DEFINITIVO - UI / UX Design de interação")</f>
        <v>Curso Adobe XD DEFINITIVO - UI / UX Design de interação</v>
      </c>
    </row>
    <row r="6367">
      <c r="A6367" s="140" t="str">
        <f>IFERROR(__xludf.DUMMYFUNCTION("""COMPUTED_VALUE"""),"en")</f>
        <v>en</v>
      </c>
      <c r="B6367">
        <f>IFERROR(__xludf.DUMMYFUNCTION("""COMPUTED_VALUE"""),283842.0)</f>
        <v>283842</v>
      </c>
      <c r="C6367" t="str">
        <f>IFERROR(__xludf.DUMMYFUNCTION("""COMPUTED_VALUE"""),"Master 120 common phrasal verbs")</f>
        <v>Master 120 common phrasal verbs</v>
      </c>
    </row>
    <row r="6368">
      <c r="A6368" s="140" t="str">
        <f>IFERROR(__xludf.DUMMYFUNCTION("""COMPUTED_VALUE"""),"pt")</f>
        <v>pt</v>
      </c>
      <c r="B6368">
        <f>IFERROR(__xludf.DUMMYFUNCTION("""COMPUTED_VALUE"""),3131562.0)</f>
        <v>3131562</v>
      </c>
      <c r="C6368" t="str">
        <f>IFERROR(__xludf.DUMMYFUNCTION("""COMPUTED_VALUE"""),"Curso de Facebooks Ads &amp; Instagram Ads - do Zero ao Avançado")</f>
        <v>Curso de Facebooks Ads &amp; Instagram Ads - do Zero ao Avançado</v>
      </c>
    </row>
    <row r="6369">
      <c r="A6369" s="140" t="str">
        <f>IFERROR(__xludf.DUMMYFUNCTION("""COMPUTED_VALUE"""),"en")</f>
        <v>en</v>
      </c>
      <c r="B6369">
        <f>IFERROR(__xludf.DUMMYFUNCTION("""COMPUTED_VALUE"""),2512970.0)</f>
        <v>2512970</v>
      </c>
      <c r="C6369" t="str">
        <f>IFERROR(__xludf.DUMMYFUNCTION("""COMPUTED_VALUE"""),"Practical Cisco Firepower Training")</f>
        <v>Practical Cisco Firepower Training</v>
      </c>
    </row>
    <row r="6370">
      <c r="A6370" s="140" t="str">
        <f>IFERROR(__xludf.DUMMYFUNCTION("""COMPUTED_VALUE"""),"en")</f>
        <v>en</v>
      </c>
      <c r="B6370">
        <f>IFERROR(__xludf.DUMMYFUNCTION("""COMPUTED_VALUE"""),1810860.0)</f>
        <v>1810860</v>
      </c>
      <c r="C6370" t="str">
        <f>IFERROR(__xludf.DUMMYFUNCTION("""COMPUTED_VALUE"""),"3 Minute Italian - Course 4 | Language lessons for beginners")</f>
        <v>3 Minute Italian - Course 4 | Language lessons for beginners</v>
      </c>
    </row>
    <row r="6371">
      <c r="A6371" s="140" t="str">
        <f>IFERROR(__xludf.DUMMYFUNCTION("""COMPUTED_VALUE"""),"en")</f>
        <v>en</v>
      </c>
      <c r="B6371">
        <f>IFERROR(__xludf.DUMMYFUNCTION("""COMPUTED_VALUE"""),1035484.0)</f>
        <v>1035484</v>
      </c>
      <c r="C6371" t="str">
        <f>IFERROR(__xludf.DUMMYFUNCTION("""COMPUTED_VALUE"""),"Unreal Engine 4: How to Develop Your First Two Games")</f>
        <v>Unreal Engine 4: How to Develop Your First Two Games</v>
      </c>
    </row>
    <row r="6372">
      <c r="A6372" s="140" t="str">
        <f>IFERROR(__xludf.DUMMYFUNCTION("""COMPUTED_VALUE"""),"en")</f>
        <v>en</v>
      </c>
      <c r="B6372">
        <f>IFERROR(__xludf.DUMMYFUNCTION("""COMPUTED_VALUE"""),895674.0)</f>
        <v>895674</v>
      </c>
      <c r="C6372" t="str">
        <f>IFERROR(__xludf.DUMMYFUNCTION("""COMPUTED_VALUE"""),"Economics in 10 Principles")</f>
        <v>Economics in 10 Principles</v>
      </c>
    </row>
    <row r="6373">
      <c r="A6373" s="140" t="str">
        <f>IFERROR(__xludf.DUMMYFUNCTION("""COMPUTED_VALUE"""),"tr")</f>
        <v>tr</v>
      </c>
      <c r="B6373">
        <f>IFERROR(__xludf.DUMMYFUNCTION("""COMPUTED_VALUE"""),3097178.0)</f>
        <v>3097178</v>
      </c>
      <c r="C6373" t="str">
        <f>IFERROR(__xludf.DUMMYFUNCTION("""COMPUTED_VALUE"""),"Uygulamalı Sıfırdan Linux Terminal Eğitimi")</f>
        <v>Uygulamalı Sıfırdan Linux Terminal Eğitimi</v>
      </c>
    </row>
    <row r="6374">
      <c r="A6374" s="140" t="str">
        <f>IFERROR(__xludf.DUMMYFUNCTION("""COMPUTED_VALUE"""),"pt")</f>
        <v>pt</v>
      </c>
      <c r="B6374">
        <f>IFERROR(__xludf.DUMMYFUNCTION("""COMPUTED_VALUE"""),2789292.0)</f>
        <v>2789292</v>
      </c>
      <c r="C6374" t="str">
        <f>IFERROR(__xludf.DUMMYFUNCTION("""COMPUTED_VALUE"""),"Processamento de Linguagem Natural com Deep Learning")</f>
        <v>Processamento de Linguagem Natural com Deep Learning</v>
      </c>
    </row>
    <row r="6375">
      <c r="A6375" s="140" t="str">
        <f>IFERROR(__xludf.DUMMYFUNCTION("""COMPUTED_VALUE"""),"tr")</f>
        <v>tr</v>
      </c>
      <c r="B6375">
        <f>IFERROR(__xludf.DUMMYFUNCTION("""COMPUTED_VALUE"""),3707470.0)</f>
        <v>3707470</v>
      </c>
      <c r="C6375" t="str">
        <f>IFERROR(__xludf.DUMMYFUNCTION("""COMPUTED_VALUE"""),"SEO + Google ADS Eğitimi / İkili Dijital Pazarlama Eğitimi")</f>
        <v>SEO + Google ADS Eğitimi / İkili Dijital Pazarlama Eğitimi</v>
      </c>
    </row>
    <row r="6376">
      <c r="A6376" s="140" t="str">
        <f>IFERROR(__xludf.DUMMYFUNCTION("""COMPUTED_VALUE"""),"ja")</f>
        <v>ja</v>
      </c>
      <c r="B6376">
        <f>IFERROR(__xludf.DUMMYFUNCTION("""COMPUTED_VALUE"""),3673324.0)</f>
        <v>3673324</v>
      </c>
      <c r="C6376" t="str">
        <f>IFERROR(__xludf.DUMMYFUNCTION("""COMPUTED_VALUE"""),"【Python】 Django3で「本当に使える」WEBアプリケーションを開発しよう")</f>
        <v>【Python】 Django3で「本当に使える」WEBアプリケーションを開発しよう</v>
      </c>
    </row>
    <row r="6377">
      <c r="A6377" s="140" t="str">
        <f>IFERROR(__xludf.DUMMYFUNCTION("""COMPUTED_VALUE"""),"en")</f>
        <v>en</v>
      </c>
      <c r="B6377">
        <f>IFERROR(__xludf.DUMMYFUNCTION("""COMPUTED_VALUE"""),1070530.0)</f>
        <v>1070530</v>
      </c>
      <c r="C6377" t="str">
        <f>IFERROR(__xludf.DUMMYFUNCTION("""COMPUTED_VALUE"""),"Salesforce Certified Administrator Training (Dec 2021)")</f>
        <v>Salesforce Certified Administrator Training (Dec 2021)</v>
      </c>
    </row>
    <row r="6378">
      <c r="A6378" s="140" t="str">
        <f>IFERROR(__xludf.DUMMYFUNCTION("""COMPUTED_VALUE"""),"en")</f>
        <v>en</v>
      </c>
      <c r="B6378">
        <f>IFERROR(__xludf.DUMMYFUNCTION("""COMPUTED_VALUE"""),1681754.0)</f>
        <v>1681754</v>
      </c>
      <c r="C6378" t="str">
        <f>IFERROR(__xludf.DUMMYFUNCTION("""COMPUTED_VALUE"""),"IELTS 7 Plus: Complete IELTS Preparation [Academic]")</f>
        <v>IELTS 7 Plus: Complete IELTS Preparation [Academic]</v>
      </c>
    </row>
    <row r="6379">
      <c r="A6379" s="140" t="str">
        <f>IFERROR(__xludf.DUMMYFUNCTION("""COMPUTED_VALUE"""),"en")</f>
        <v>en</v>
      </c>
      <c r="B6379">
        <f>IFERROR(__xludf.DUMMYFUNCTION("""COMPUTED_VALUE"""),508508.0)</f>
        <v>508508</v>
      </c>
      <c r="C6379" t="str">
        <f>IFERROR(__xludf.DUMMYFUNCTION("""COMPUTED_VALUE"""),"Understand the Mind: 15 Fascinating Psychology Studies")</f>
        <v>Understand the Mind: 15 Fascinating Psychology Studies</v>
      </c>
    </row>
    <row r="6380">
      <c r="A6380" s="140" t="str">
        <f>IFERROR(__xludf.DUMMYFUNCTION("""COMPUTED_VALUE"""),"en")</f>
        <v>en</v>
      </c>
      <c r="B6380">
        <f>IFERROR(__xludf.DUMMYFUNCTION("""COMPUTED_VALUE"""),3749464.0)</f>
        <v>3749464</v>
      </c>
      <c r="C6380" t="str">
        <f>IFERROR(__xludf.DUMMYFUNCTION("""COMPUTED_VALUE"""),"React and Typescript: Build a Portfolio Project")</f>
        <v>React and Typescript: Build a Portfolio Project</v>
      </c>
    </row>
    <row r="6381">
      <c r="A6381" s="140" t="str">
        <f>IFERROR(__xludf.DUMMYFUNCTION("""COMPUTED_VALUE"""),"de")</f>
        <v>de</v>
      </c>
      <c r="B6381">
        <f>IFERROR(__xludf.DUMMYFUNCTION("""COMPUTED_VALUE"""),1611640.0)</f>
        <v>1611640</v>
      </c>
      <c r="C6381" t="str">
        <f>IFERROR(__xludf.DUMMYFUNCTION("""COMPUTED_VALUE"""),"Adobe Illustrator CC Masterclass — Vom Anfänger zum Profi")</f>
        <v>Adobe Illustrator CC Masterclass — Vom Anfänger zum Profi</v>
      </c>
    </row>
    <row r="6382">
      <c r="A6382" s="140" t="str">
        <f>IFERROR(__xludf.DUMMYFUNCTION("""COMPUTED_VALUE"""),"tr")</f>
        <v>tr</v>
      </c>
      <c r="B6382">
        <f>IFERROR(__xludf.DUMMYFUNCTION("""COMPUTED_VALUE"""),1408632.0)</f>
        <v>1408632</v>
      </c>
      <c r="C6382" t="str">
        <f>IFERROR(__xludf.DUMMYFUNCTION("""COMPUTED_VALUE"""),"Etik Hacker Olma Kursu")</f>
        <v>Etik Hacker Olma Kursu</v>
      </c>
    </row>
    <row r="6383">
      <c r="A6383" s="140" t="str">
        <f>IFERROR(__xludf.DUMMYFUNCTION("""COMPUTED_VALUE"""),"en")</f>
        <v>en</v>
      </c>
      <c r="B6383">
        <f>IFERROR(__xludf.DUMMYFUNCTION("""COMPUTED_VALUE"""),145404.0)</f>
        <v>145404</v>
      </c>
      <c r="C6383" t="str">
        <f>IFERROR(__xludf.DUMMYFUNCTION("""COMPUTED_VALUE"""),"Personal Financial Well-Being")</f>
        <v>Personal Financial Well-Being</v>
      </c>
    </row>
    <row r="6384">
      <c r="A6384" s="140" t="str">
        <f>IFERROR(__xludf.DUMMYFUNCTION("""COMPUTED_VALUE"""),"tr")</f>
        <v>tr</v>
      </c>
      <c r="B6384">
        <f>IFERROR(__xludf.DUMMYFUNCTION("""COMPUTED_VALUE"""),3419068.0)</f>
        <v>3419068</v>
      </c>
      <c r="C6384" t="str">
        <f>IFERROR(__xludf.DUMMYFUNCTION("""COMPUTED_VALUE"""),"Bilgisayarlı Görü: YOLOv4 ile Nesne Tanıma")</f>
        <v>Bilgisayarlı Görü: YOLOv4 ile Nesne Tanıma</v>
      </c>
    </row>
    <row r="6385">
      <c r="A6385" s="140" t="str">
        <f>IFERROR(__xludf.DUMMYFUNCTION("""COMPUTED_VALUE"""),"en")</f>
        <v>en</v>
      </c>
      <c r="B6385">
        <f>IFERROR(__xludf.DUMMYFUNCTION("""COMPUTED_VALUE"""),958532.0)</f>
        <v>958532</v>
      </c>
      <c r="C6385" t="str">
        <f>IFERROR(__xludf.DUMMYFUNCTION("""COMPUTED_VALUE"""),"Bash Scripting and Shell Programming (Linux Command Line)")</f>
        <v>Bash Scripting and Shell Programming (Linux Command Line)</v>
      </c>
    </row>
    <row r="6386">
      <c r="A6386" s="140" t="str">
        <f>IFERROR(__xludf.DUMMYFUNCTION("""COMPUTED_VALUE"""),"es")</f>
        <v>es</v>
      </c>
      <c r="B6386">
        <f>IFERROR(__xludf.DUMMYFUNCTION("""COMPUTED_VALUE"""),2619876.0)</f>
        <v>2619876</v>
      </c>
      <c r="C6386" t="str">
        <f>IFERROR(__xludf.DUMMYFUNCTION("""COMPUTED_VALUE"""),"Curso de Inglés para Hispanos - Nivel A1 garantizado")</f>
        <v>Curso de Inglés para Hispanos - Nivel A1 garantizado</v>
      </c>
    </row>
    <row r="6387">
      <c r="A6387" s="140" t="str">
        <f>IFERROR(__xludf.DUMMYFUNCTION("""COMPUTED_VALUE"""),"en")</f>
        <v>en</v>
      </c>
      <c r="B6387">
        <f>IFERROR(__xludf.DUMMYFUNCTION("""COMPUTED_VALUE"""),1228434.0)</f>
        <v>1228434</v>
      </c>
      <c r="C6387" t="str">
        <f>IFERROR(__xludf.DUMMYFUNCTION("""COMPUTED_VALUE"""),"The Essential Kotlin Programming Course (Android Developers)")</f>
        <v>The Essential Kotlin Programming Course (Android Developers)</v>
      </c>
    </row>
    <row r="6388">
      <c r="A6388" s="140" t="str">
        <f>IFERROR(__xludf.DUMMYFUNCTION("""COMPUTED_VALUE"""),"de")</f>
        <v>de</v>
      </c>
      <c r="B6388">
        <f>IFERROR(__xludf.DUMMYFUNCTION("""COMPUTED_VALUE"""),925924.0)</f>
        <v>925924</v>
      </c>
      <c r="C6388" t="str">
        <f>IFERROR(__xludf.DUMMYFUNCTION("""COMPUTED_VALUE"""),"SAP ABAP für Anfänger 3: Kontrollstrukturen, Modularisierung")</f>
        <v>SAP ABAP für Anfänger 3: Kontrollstrukturen, Modularisierung</v>
      </c>
    </row>
    <row r="6389">
      <c r="A6389" s="140" t="str">
        <f>IFERROR(__xludf.DUMMYFUNCTION("""COMPUTED_VALUE"""),"en")</f>
        <v>en</v>
      </c>
      <c r="B6389">
        <f>IFERROR(__xludf.DUMMYFUNCTION("""COMPUTED_VALUE"""),2170342.0)</f>
        <v>2170342</v>
      </c>
      <c r="C6389" t="str">
        <f>IFERROR(__xludf.DUMMYFUNCTION("""COMPUTED_VALUE"""),"Clear and Simple VMware Horizon View 7.5 VCP-DTM (2019)")</f>
        <v>Clear and Simple VMware Horizon View 7.5 VCP-DTM (2019)</v>
      </c>
    </row>
    <row r="6390">
      <c r="A6390" s="140" t="str">
        <f>IFERROR(__xludf.DUMMYFUNCTION("""COMPUTED_VALUE"""),"ja")</f>
        <v>ja</v>
      </c>
      <c r="B6390">
        <f>IFERROR(__xludf.DUMMYFUNCTION("""COMPUTED_VALUE"""),1014354.0)</f>
        <v>1014354</v>
      </c>
      <c r="C6390" t="str">
        <f>IFERROR(__xludf.DUMMYFUNCTION("""COMPUTED_VALUE"""),"みんなのAI講座 ゼロからPythonで学ぶ人工知能と機械学習 【2021年最新版】")</f>
        <v>みんなのAI講座 ゼロからPythonで学ぶ人工知能と機械学習 【2021年最新版】</v>
      </c>
    </row>
    <row r="6391">
      <c r="A6391" s="140" t="str">
        <f>IFERROR(__xludf.DUMMYFUNCTION("""COMPUTED_VALUE"""),"en")</f>
        <v>en</v>
      </c>
      <c r="B6391">
        <f>IFERROR(__xludf.DUMMYFUNCTION("""COMPUTED_VALUE"""),1890436.0)</f>
        <v>1890436</v>
      </c>
      <c r="C6391" t="str">
        <f>IFERROR(__xludf.DUMMYFUNCTION("""COMPUTED_VALUE"""),"Selenium Python - Step by Step for Beginners with Framework")</f>
        <v>Selenium Python - Step by Step for Beginners with Framework</v>
      </c>
    </row>
    <row r="6392">
      <c r="A6392" s="140" t="str">
        <f>IFERROR(__xludf.DUMMYFUNCTION("""COMPUTED_VALUE"""),"en")</f>
        <v>en</v>
      </c>
      <c r="B6392">
        <f>IFERROR(__xludf.DUMMYFUNCTION("""COMPUTED_VALUE"""),851020.0)</f>
        <v>851020</v>
      </c>
      <c r="C6392" t="str">
        <f>IFERROR(__xludf.DUMMYFUNCTION("""COMPUTED_VALUE"""),"The Complete LibGDX Game Course Using Java")</f>
        <v>The Complete LibGDX Game Course Using Java</v>
      </c>
    </row>
    <row r="6393">
      <c r="A6393" s="140" t="str">
        <f>IFERROR(__xludf.DUMMYFUNCTION("""COMPUTED_VALUE"""),"pt")</f>
        <v>pt</v>
      </c>
      <c r="B6393">
        <f>IFERROR(__xludf.DUMMYFUNCTION("""COMPUTED_VALUE"""),1060280.0)</f>
        <v>1060280</v>
      </c>
      <c r="C6393" t="str">
        <f>IFERROR(__xludf.DUMMYFUNCTION("""COMPUTED_VALUE"""),"Linguagem de programação C# - Intermediário")</f>
        <v>Linguagem de programação C# - Intermediário</v>
      </c>
    </row>
    <row r="6394">
      <c r="A6394" s="140" t="str">
        <f>IFERROR(__xludf.DUMMYFUNCTION("""COMPUTED_VALUE"""),"tr")</f>
        <v>tr</v>
      </c>
      <c r="B6394">
        <f>IFERROR(__xludf.DUMMYFUNCTION("""COMPUTED_VALUE"""),3568147.0)</f>
        <v>3568147</v>
      </c>
      <c r="C6394" t="str">
        <f>IFERROR(__xludf.DUMMYFUNCTION("""COMPUTED_VALUE"""),"Microsoft Word A-Z™ |  Sıfırdan Uzmanlığa Word Eğitim Seti")</f>
        <v>Microsoft Word A-Z™ |  Sıfırdan Uzmanlığa Word Eğitim Seti</v>
      </c>
    </row>
    <row r="6395">
      <c r="A6395" s="140" t="str">
        <f>IFERROR(__xludf.DUMMYFUNCTION("""COMPUTED_VALUE"""),"fr")</f>
        <v>fr</v>
      </c>
      <c r="B6395">
        <f>IFERROR(__xludf.DUMMYFUNCTION("""COMPUTED_VALUE"""),1879082.0)</f>
        <v>1879082</v>
      </c>
      <c r="C6395" t="str">
        <f>IFERROR(__xludf.DUMMYFUNCTION("""COMPUTED_VALUE"""),"Google Sheets (l'alternative à Excel)")</f>
        <v>Google Sheets (l'alternative à Excel)</v>
      </c>
    </row>
    <row r="6396">
      <c r="A6396" s="140" t="str">
        <f>IFERROR(__xludf.DUMMYFUNCTION("""COMPUTED_VALUE"""),"ar")</f>
        <v>ar</v>
      </c>
      <c r="B6396">
        <f>IFERROR(__xludf.DUMMYFUNCTION("""COMPUTED_VALUE"""),2856930.0)</f>
        <v>2856930</v>
      </c>
      <c r="C6396" t="str">
        <f>IFERROR(__xludf.DUMMYFUNCTION("""COMPUTED_VALUE"""),"ISO 30401:2018 Knowledge Management Systems")</f>
        <v>ISO 30401:2018 Knowledge Management Systems</v>
      </c>
    </row>
    <row r="6397">
      <c r="A6397" s="140" t="str">
        <f>IFERROR(__xludf.DUMMYFUNCTION("""COMPUTED_VALUE"""),"en")</f>
        <v>en</v>
      </c>
      <c r="B6397">
        <f>IFERROR(__xludf.DUMMYFUNCTION("""COMPUTED_VALUE"""),3042736.0)</f>
        <v>3042736</v>
      </c>
      <c r="C6397" t="str">
        <f>IFERROR(__xludf.DUMMYFUNCTION("""COMPUTED_VALUE"""),"CCNP ENTERPRISE ENCOR 350-401 PART 5/5")</f>
        <v>CCNP ENTERPRISE ENCOR 350-401 PART 5/5</v>
      </c>
    </row>
    <row r="6398">
      <c r="A6398" s="140" t="str">
        <f>IFERROR(__xludf.DUMMYFUNCTION("""COMPUTED_VALUE"""),"de")</f>
        <v>de</v>
      </c>
      <c r="B6398">
        <f>IFERROR(__xludf.DUMMYFUNCTION("""COMPUTED_VALUE"""),1024850.0)</f>
        <v>1024850</v>
      </c>
      <c r="C6398" t="str">
        <f>IFERROR(__xludf.DUMMYFUNCTION("""COMPUTED_VALUE"""),"Die Metaprogramme des NLP")</f>
        <v>Die Metaprogramme des NLP</v>
      </c>
    </row>
    <row r="6399">
      <c r="A6399" s="140" t="str">
        <f>IFERROR(__xludf.DUMMYFUNCTION("""COMPUTED_VALUE"""),"es")</f>
        <v>es</v>
      </c>
      <c r="B6399">
        <f>IFERROR(__xludf.DUMMYFUNCTION("""COMPUTED_VALUE"""),1649876.0)</f>
        <v>1649876</v>
      </c>
      <c r="C6399" t="str">
        <f>IFERROR(__xludf.DUMMYFUNCTION("""COMPUTED_VALUE"""),"Comunicación para Líderes, Managers e Influenciadores")</f>
        <v>Comunicación para Líderes, Managers e Influenciadores</v>
      </c>
    </row>
    <row r="6400">
      <c r="A6400" s="140" t="str">
        <f>IFERROR(__xludf.DUMMYFUNCTION("""COMPUTED_VALUE"""),"en")</f>
        <v>en</v>
      </c>
      <c r="B6400">
        <f>IFERROR(__xludf.DUMMYFUNCTION("""COMPUTED_VALUE"""),1576856.0)</f>
        <v>1576856</v>
      </c>
      <c r="C6400" t="str">
        <f>IFERROR(__xludf.DUMMYFUNCTION("""COMPUTED_VALUE"""),"PHP for Beginners")</f>
        <v>PHP for Beginners</v>
      </c>
    </row>
    <row r="6401">
      <c r="A6401" s="140" t="str">
        <f>IFERROR(__xludf.DUMMYFUNCTION("""COMPUTED_VALUE"""),"es")</f>
        <v>es</v>
      </c>
      <c r="B6401">
        <f>IFERROR(__xludf.DUMMYFUNCTION("""COMPUTED_VALUE"""),3215547.0)</f>
        <v>3215547</v>
      </c>
      <c r="C6401" t="str">
        <f>IFERROR(__xludf.DUMMYFUNCTION("""COMPUTED_VALUE"""),"Montaje e instalación de ordenadores")</f>
        <v>Montaje e instalación de ordenadores</v>
      </c>
    </row>
    <row r="6402">
      <c r="A6402" s="140" t="str">
        <f>IFERROR(__xludf.DUMMYFUNCTION("""COMPUTED_VALUE"""),"ja")</f>
        <v>ja</v>
      </c>
      <c r="B6402">
        <f>IFERROR(__xludf.DUMMYFUNCTION("""COMPUTED_VALUE"""),1098334.0)</f>
        <v>1098334</v>
      </c>
      <c r="C6402" t="str">
        <f>IFERROR(__xludf.DUMMYFUNCTION("""COMPUTED_VALUE"""),"【ゼロからおさらい】統計学の基礎")</f>
        <v>【ゼロからおさらい】統計学の基礎</v>
      </c>
    </row>
    <row r="6403">
      <c r="A6403" s="140" t="str">
        <f>IFERROR(__xludf.DUMMYFUNCTION("""COMPUTED_VALUE"""),"pt")</f>
        <v>pt</v>
      </c>
      <c r="B6403">
        <f>IFERROR(__xludf.DUMMYFUNCTION("""COMPUTED_VALUE"""),2393178.0)</f>
        <v>2393178</v>
      </c>
      <c r="C6403" t="str">
        <f>IFERROR(__xludf.DUMMYFUNCTION("""COMPUTED_VALUE"""),"Curso de EDIÇÃO DE VÍDEO - Do básico até o avançado!")</f>
        <v>Curso de EDIÇÃO DE VÍDEO - Do básico até o avançado!</v>
      </c>
    </row>
    <row r="6404">
      <c r="A6404" s="140" t="str">
        <f>IFERROR(__xludf.DUMMYFUNCTION("""COMPUTED_VALUE"""),"de")</f>
        <v>de</v>
      </c>
      <c r="B6404">
        <f>IFERROR(__xludf.DUMMYFUNCTION("""COMPUTED_VALUE"""),831234.0)</f>
        <v>831234</v>
      </c>
      <c r="C6404" t="str">
        <f>IFERROR(__xludf.DUMMYFUNCTION("""COMPUTED_VALUE"""),"Körpersprache entschlüsseln!")</f>
        <v>Körpersprache entschlüsseln!</v>
      </c>
    </row>
    <row r="6405">
      <c r="A6405" s="140" t="str">
        <f>IFERROR(__xludf.DUMMYFUNCTION("""COMPUTED_VALUE"""),"en")</f>
        <v>en</v>
      </c>
      <c r="B6405">
        <f>IFERROR(__xludf.DUMMYFUNCTION("""COMPUTED_VALUE"""),274556.0)</f>
        <v>274556</v>
      </c>
      <c r="C6405" t="str">
        <f>IFERROR(__xludf.DUMMYFUNCTION("""COMPUTED_VALUE"""),"Basic Life Support (BLS)")</f>
        <v>Basic Life Support (BLS)</v>
      </c>
    </row>
    <row r="6406">
      <c r="A6406" s="140" t="str">
        <f>IFERROR(__xludf.DUMMYFUNCTION("""COMPUTED_VALUE"""),"de")</f>
        <v>de</v>
      </c>
      <c r="B6406">
        <f>IFERROR(__xludf.DUMMYFUNCTION("""COMPUTED_VALUE"""),2810467.0)</f>
        <v>2810467</v>
      </c>
      <c r="C6406" t="str">
        <f>IFERROR(__xludf.DUMMYFUNCTION("""COMPUTED_VALUE"""),"Vue.js 2 - Der Praxiskurs (inkl. vue-router, vuex, uvm.)")</f>
        <v>Vue.js 2 - Der Praxiskurs (inkl. vue-router, vuex, uvm.)</v>
      </c>
    </row>
    <row r="6407">
      <c r="A6407" s="140" t="str">
        <f>IFERROR(__xludf.DUMMYFUNCTION("""COMPUTED_VALUE"""),"tr")</f>
        <v>tr</v>
      </c>
      <c r="B6407">
        <f>IFERROR(__xludf.DUMMYFUNCTION("""COMPUTED_VALUE"""),1543462.0)</f>
        <v>1543462</v>
      </c>
      <c r="C6407" t="str">
        <f>IFERROR(__xludf.DUMMYFUNCTION("""COMPUTED_VALUE"""),"Etik Hacker Olma Kursu - Seviye 2 : Ağ İçi Saldırılar")</f>
        <v>Etik Hacker Olma Kursu - Seviye 2 : Ağ İçi Saldırılar</v>
      </c>
    </row>
    <row r="6408">
      <c r="A6408" s="140" t="str">
        <f>IFERROR(__xludf.DUMMYFUNCTION("""COMPUTED_VALUE"""),"en")</f>
        <v>en</v>
      </c>
      <c r="B6408">
        <f>IFERROR(__xludf.DUMMYFUNCTION("""COMPUTED_VALUE"""),1011712.0)</f>
        <v>1011712</v>
      </c>
      <c r="C6408" t="str">
        <f>IFERROR(__xludf.DUMMYFUNCTION("""COMPUTED_VALUE"""),"Bayesian Machine Learning in Python: A/B Testing")</f>
        <v>Bayesian Machine Learning in Python: A/B Testing</v>
      </c>
    </row>
    <row r="6409">
      <c r="A6409" s="140" t="str">
        <f>IFERROR(__xludf.DUMMYFUNCTION("""COMPUTED_VALUE"""),"en")</f>
        <v>en</v>
      </c>
      <c r="B6409">
        <f>IFERROR(__xludf.DUMMYFUNCTION("""COMPUTED_VALUE"""),3255082.0)</f>
        <v>3255082</v>
      </c>
      <c r="C6409" t="str">
        <f>IFERROR(__xludf.DUMMYFUNCTION("""COMPUTED_VALUE"""),"AIX Administration for Absolute Beginners: Better than Linux")</f>
        <v>AIX Administration for Absolute Beginners: Better than Linux</v>
      </c>
    </row>
    <row r="6410">
      <c r="A6410" s="140" t="str">
        <f>IFERROR(__xludf.DUMMYFUNCTION("""COMPUTED_VALUE"""),"ja")</f>
        <v>ja</v>
      </c>
      <c r="B6410">
        <f>IFERROR(__xludf.DUMMYFUNCTION("""COMPUTED_VALUE"""),2389442.0)</f>
        <v>2389442</v>
      </c>
      <c r="C6410" t="str">
        <f>IFERROR(__xludf.DUMMYFUNCTION("""COMPUTED_VALUE"""),"世界で一番わかりやすい一眼レフカメラ講座")</f>
        <v>世界で一番わかりやすい一眼レフカメラ講座</v>
      </c>
    </row>
    <row r="6411">
      <c r="A6411" s="140" t="str">
        <f>IFERROR(__xludf.DUMMYFUNCTION("""COMPUTED_VALUE"""),"es")</f>
        <v>es</v>
      </c>
      <c r="B6411">
        <f>IFERROR(__xludf.DUMMYFUNCTION("""COMPUTED_VALUE"""),1419158.0)</f>
        <v>1419158</v>
      </c>
      <c r="C6411" t="str">
        <f>IFERROR(__xludf.DUMMYFUNCTION("""COMPUTED_VALUE"""),"La Inteligencia Artificial - Simplificado")</f>
        <v>La Inteligencia Artificial - Simplificado</v>
      </c>
    </row>
    <row r="6412">
      <c r="A6412" s="140" t="str">
        <f>IFERROR(__xludf.DUMMYFUNCTION("""COMPUTED_VALUE"""),"en")</f>
        <v>en</v>
      </c>
      <c r="B6412">
        <f>IFERROR(__xludf.DUMMYFUNCTION("""COMPUTED_VALUE"""),1109926.0)</f>
        <v>1109926</v>
      </c>
      <c r="C6412" t="str">
        <f>IFERROR(__xludf.DUMMYFUNCTION("""COMPUTED_VALUE"""),"GraphQL with React: The Complete Developers Guide")</f>
        <v>GraphQL with React: The Complete Developers Guide</v>
      </c>
    </row>
    <row r="6413">
      <c r="A6413" s="140" t="str">
        <f>IFERROR(__xludf.DUMMYFUNCTION("""COMPUTED_VALUE"""),"zh")</f>
        <v>zh</v>
      </c>
      <c r="B6413">
        <f>IFERROR(__xludf.DUMMYFUNCTION("""COMPUTED_VALUE"""),2359808.0)</f>
        <v>2359808</v>
      </c>
      <c r="C6413" t="str">
        <f>IFERROR(__xludf.DUMMYFUNCTION("""COMPUTED_VALUE"""),"Spring核心框架实例精讲")</f>
        <v>Spring核心框架实例精讲</v>
      </c>
    </row>
    <row r="6414">
      <c r="A6414" s="140" t="str">
        <f>IFERROR(__xludf.DUMMYFUNCTION("""COMPUTED_VALUE"""),"en")</f>
        <v>en</v>
      </c>
      <c r="B6414">
        <f>IFERROR(__xludf.DUMMYFUNCTION("""COMPUTED_VALUE"""),1596054.0)</f>
        <v>1596054</v>
      </c>
      <c r="C6414" t="str">
        <f>IFERROR(__xludf.DUMMYFUNCTION("""COMPUTED_VALUE"""),"PMI-ACP Exam Prep Success")</f>
        <v>PMI-ACP Exam Prep Success</v>
      </c>
    </row>
    <row r="6415">
      <c r="A6415" s="140" t="str">
        <f>IFERROR(__xludf.DUMMYFUNCTION("""COMPUTED_VALUE"""),"ar")</f>
        <v>ar</v>
      </c>
      <c r="B6415">
        <f>IFERROR(__xludf.DUMMYFUNCTION("""COMPUTED_VALUE"""),3065822.0)</f>
        <v>3065822</v>
      </c>
      <c r="C6415" t="str">
        <f>IFERROR(__xludf.DUMMYFUNCTION("""COMPUTED_VALUE"""),"Java SE + Workshop From Oracle Academy (بالعربى ) 75 Hours")</f>
        <v>Java SE + Workshop From Oracle Academy (بالعربى ) 75 Hours</v>
      </c>
    </row>
    <row r="6416">
      <c r="A6416" s="140" t="str">
        <f>IFERROR(__xludf.DUMMYFUNCTION("""COMPUTED_VALUE"""),"en")</f>
        <v>en</v>
      </c>
      <c r="B6416">
        <f>IFERROR(__xludf.DUMMYFUNCTION("""COMPUTED_VALUE"""),1551148.0)</f>
        <v>1551148</v>
      </c>
      <c r="C6416" t="str">
        <f>IFERROR(__xludf.DUMMYFUNCTION("""COMPUTED_VALUE"""),"ARM Raspberry Pi Assembly Language From Ground Up™")</f>
        <v>ARM Raspberry Pi Assembly Language From Ground Up™</v>
      </c>
    </row>
    <row r="6417">
      <c r="A6417" s="140" t="str">
        <f>IFERROR(__xludf.DUMMYFUNCTION("""COMPUTED_VALUE"""),"en")</f>
        <v>en</v>
      </c>
      <c r="B6417">
        <f>IFERROR(__xludf.DUMMYFUNCTION("""COMPUTED_VALUE"""),3507110.0)</f>
        <v>3507110</v>
      </c>
      <c r="C6417" t="str">
        <f>IFERROR(__xludf.DUMMYFUNCTION("""COMPUTED_VALUE"""),"[2022] Java SE 11 Developer Certification Test 1Z0-819 OCPJP")</f>
        <v>[2022] Java SE 11 Developer Certification Test 1Z0-819 OCPJP</v>
      </c>
    </row>
    <row r="6418">
      <c r="A6418" s="140" t="str">
        <f>IFERROR(__xludf.DUMMYFUNCTION("""COMPUTED_VALUE"""),"de")</f>
        <v>de</v>
      </c>
      <c r="B6418">
        <f>IFERROR(__xludf.DUMMYFUNCTION("""COMPUTED_VALUE"""),841132.0)</f>
        <v>841132</v>
      </c>
      <c r="C6418" t="str">
        <f>IFERROR(__xludf.DUMMYFUNCTION("""COMPUTED_VALUE"""),"Data Science &amp; Maschinelles Lernen in Python - am Beispiel")</f>
        <v>Data Science &amp; Maschinelles Lernen in Python - am Beispiel</v>
      </c>
    </row>
    <row r="6419">
      <c r="A6419" s="140" t="str">
        <f>IFERROR(__xludf.DUMMYFUNCTION("""COMPUTED_VALUE"""),"es")</f>
        <v>es</v>
      </c>
      <c r="B6419">
        <f>IFERROR(__xludf.DUMMYFUNCTION("""COMPUTED_VALUE"""),2150362.0)</f>
        <v>2150362</v>
      </c>
      <c r="C6419" t="str">
        <f>IFERROR(__xludf.DUMMYFUNCTION("""COMPUTED_VALUE"""),"Curso de QA Automation con Serenity - De novato a experto!")</f>
        <v>Curso de QA Automation con Serenity - De novato a experto!</v>
      </c>
    </row>
    <row r="6420">
      <c r="A6420" s="140" t="str">
        <f>IFERROR(__xludf.DUMMYFUNCTION("""COMPUTED_VALUE"""),"ar")</f>
        <v>ar</v>
      </c>
      <c r="B6420">
        <f>IFERROR(__xludf.DUMMYFUNCTION("""COMPUTED_VALUE"""),2449152.0)</f>
        <v>2449152</v>
      </c>
      <c r="C6420" t="str">
        <f>IFERROR(__xludf.DUMMYFUNCTION("""COMPUTED_VALUE"""),"Selling skills (Arabic) | سلسلة التسويق: مهارات البيع الفعال")</f>
        <v>Selling skills (Arabic) | سلسلة التسويق: مهارات البيع الفعال</v>
      </c>
    </row>
    <row r="6421">
      <c r="A6421" s="140" t="str">
        <f>IFERROR(__xludf.DUMMYFUNCTION("""COMPUTED_VALUE"""),"en")</f>
        <v>en</v>
      </c>
      <c r="B6421">
        <f>IFERROR(__xludf.DUMMYFUNCTION("""COMPUTED_VALUE"""),1210442.0)</f>
        <v>1210442</v>
      </c>
      <c r="C6421" t="str">
        <f>IFERROR(__xludf.DUMMYFUNCTION("""COMPUTED_VALUE"""),"Psychology of Diversity and Unconscious Bias")</f>
        <v>Psychology of Diversity and Unconscious Bias</v>
      </c>
    </row>
    <row r="6422">
      <c r="A6422" s="140" t="str">
        <f>IFERROR(__xludf.DUMMYFUNCTION("""COMPUTED_VALUE"""),"pt")</f>
        <v>pt</v>
      </c>
      <c r="B6422">
        <f>IFERROR(__xludf.DUMMYFUNCTION("""COMPUTED_VALUE"""),1823766.0)</f>
        <v>1823766</v>
      </c>
      <c r="C6422" t="str">
        <f>IFERROR(__xludf.DUMMYFUNCTION("""COMPUTED_VALUE"""),"Machine Learning in R: Curso Completo de Regressão Linear")</f>
        <v>Machine Learning in R: Curso Completo de Regressão Linear</v>
      </c>
    </row>
    <row r="6423">
      <c r="A6423" s="140" t="str">
        <f>IFERROR(__xludf.DUMMYFUNCTION("""COMPUTED_VALUE"""),"en")</f>
        <v>en</v>
      </c>
      <c r="B6423">
        <f>IFERROR(__xludf.DUMMYFUNCTION("""COMPUTED_VALUE"""),1466612.0)</f>
        <v>1466612</v>
      </c>
      <c r="C6423" t="str">
        <f>IFERROR(__xludf.DUMMYFUNCTION("""COMPUTED_VALUE"""),"Ethereum and Solidity: The Complete Developer's Guide")</f>
        <v>Ethereum and Solidity: The Complete Developer's Guide</v>
      </c>
    </row>
    <row r="6424">
      <c r="A6424" s="140" t="str">
        <f>IFERROR(__xludf.DUMMYFUNCTION("""COMPUTED_VALUE"""),"es")</f>
        <v>es</v>
      </c>
      <c r="B6424">
        <f>IFERROR(__xludf.DUMMYFUNCTION("""COMPUTED_VALUE"""),1725152.0)</f>
        <v>1725152</v>
      </c>
      <c r="C6424" t="str">
        <f>IFERROR(__xludf.DUMMYFUNCTION("""COMPUTED_VALUE"""),"Adobe Premiere Pro CC para Principiantes: Edición de Videos")</f>
        <v>Adobe Premiere Pro CC para Principiantes: Edición de Videos</v>
      </c>
    </row>
    <row r="6425">
      <c r="A6425" s="140" t="str">
        <f>IFERROR(__xludf.DUMMYFUNCTION("""COMPUTED_VALUE"""),"es")</f>
        <v>es</v>
      </c>
      <c r="B6425">
        <f>IFERROR(__xludf.DUMMYFUNCTION("""COMPUTED_VALUE"""),2444074.0)</f>
        <v>2444074</v>
      </c>
      <c r="C6425" t="str">
        <f>IFERROR(__xludf.DUMMYFUNCTION("""COMPUTED_VALUE"""),"C# + SQL SERVER en Windows Form (ADO.NET , CRUD , Impresión)")</f>
        <v>C# + SQL SERVER en Windows Form (ADO.NET , CRUD , Impresión)</v>
      </c>
    </row>
    <row r="6426">
      <c r="A6426" s="140" t="str">
        <f>IFERROR(__xludf.DUMMYFUNCTION("""COMPUTED_VALUE"""),"en")</f>
        <v>en</v>
      </c>
      <c r="B6426">
        <f>IFERROR(__xludf.DUMMYFUNCTION("""COMPUTED_VALUE"""),3656832.0)</f>
        <v>3656832</v>
      </c>
      <c r="C6426" t="str">
        <f>IFERROR(__xludf.DUMMYFUNCTION("""COMPUTED_VALUE"""),"AWS Certified Solutions Architect Associate - EXAM REVIEW")</f>
        <v>AWS Certified Solutions Architect Associate - EXAM REVIEW</v>
      </c>
    </row>
    <row r="6427">
      <c r="A6427" s="140" t="str">
        <f>IFERROR(__xludf.DUMMYFUNCTION("""COMPUTED_VALUE"""),"fr")</f>
        <v>fr</v>
      </c>
      <c r="B6427">
        <f>IFERROR(__xludf.DUMMYFUNCTION("""COMPUTED_VALUE"""),2649302.0)</f>
        <v>2649302</v>
      </c>
      <c r="C6427" t="str">
        <f>IFERROR(__xludf.DUMMYFUNCTION("""COMPUTED_VALUE"""),"Le Guide complet du SEO — Le référencement naturel de A à Z")</f>
        <v>Le Guide complet du SEO — Le référencement naturel de A à Z</v>
      </c>
    </row>
    <row r="6428">
      <c r="A6428" s="140" t="str">
        <f>IFERROR(__xludf.DUMMYFUNCTION("""COMPUTED_VALUE"""),"en")</f>
        <v>en</v>
      </c>
      <c r="B6428">
        <f>IFERROR(__xludf.DUMMYFUNCTION("""COMPUTED_VALUE"""),1478328.0)</f>
        <v>1478328</v>
      </c>
      <c r="C6428" t="str">
        <f>IFERROR(__xludf.DUMMYFUNCTION("""COMPUTED_VALUE"""),"MySQL MariaDB From Scratch - Become an App Developer in 2021")</f>
        <v>MySQL MariaDB From Scratch - Become an App Developer in 2021</v>
      </c>
    </row>
    <row r="6429">
      <c r="A6429" s="140" t="str">
        <f>IFERROR(__xludf.DUMMYFUNCTION("""COMPUTED_VALUE"""),"pt")</f>
        <v>pt</v>
      </c>
      <c r="B6429">
        <f>IFERROR(__xludf.DUMMYFUNCTION("""COMPUTED_VALUE"""),3327396.0)</f>
        <v>3327396</v>
      </c>
      <c r="C6429" t="str">
        <f>IFERROR(__xludf.DUMMYFUNCTION("""COMPUTED_VALUE"""),"Microsoft Forms - Coletando Informações ou Aplicando Provas")</f>
        <v>Microsoft Forms - Coletando Informações ou Aplicando Provas</v>
      </c>
    </row>
    <row r="6430">
      <c r="A6430" s="140" t="str">
        <f>IFERROR(__xludf.DUMMYFUNCTION("""COMPUTED_VALUE"""),"ja")</f>
        <v>ja</v>
      </c>
      <c r="B6430">
        <f>IFERROR(__xludf.DUMMYFUNCTION("""COMPUTED_VALUE"""),2453412.0)</f>
        <v>2453412</v>
      </c>
      <c r="C6430" t="str">
        <f>IFERROR(__xludf.DUMMYFUNCTION("""COMPUTED_VALUE"""),"増補改訂版『Bootstrap4入門』〜Webデザインに対して苦手意識を持つエンジニアのための〜")</f>
        <v>増補改訂版『Bootstrap4入門』〜Webデザインに対して苦手意識を持つエンジニアのための〜</v>
      </c>
    </row>
    <row r="6431">
      <c r="A6431" s="140" t="str">
        <f>IFERROR(__xludf.DUMMYFUNCTION("""COMPUTED_VALUE"""),"en")</f>
        <v>en</v>
      </c>
      <c r="B6431">
        <f>IFERROR(__xludf.DUMMYFUNCTION("""COMPUTED_VALUE"""),1677376.0)</f>
        <v>1677376</v>
      </c>
      <c r="C6431" t="str">
        <f>IFERROR(__xludf.DUMMYFUNCTION("""COMPUTED_VALUE"""),"API and Web Service Introduction")</f>
        <v>API and Web Service Introduction</v>
      </c>
    </row>
    <row r="6432">
      <c r="A6432" s="140" t="str">
        <f>IFERROR(__xludf.DUMMYFUNCTION("""COMPUTED_VALUE"""),"en")</f>
        <v>en</v>
      </c>
      <c r="B6432">
        <f>IFERROR(__xludf.DUMMYFUNCTION("""COMPUTED_VALUE"""),2134674.0)</f>
        <v>2134674</v>
      </c>
      <c r="C6432" t="str">
        <f>IFERROR(__xludf.DUMMYFUNCTION("""COMPUTED_VALUE"""),"CompTIA Advanced Security Practitioner (CASP+ Exam CAS-003)")</f>
        <v>CompTIA Advanced Security Practitioner (CASP+ Exam CAS-003)</v>
      </c>
    </row>
    <row r="6433">
      <c r="A6433" s="140" t="str">
        <f>IFERROR(__xludf.DUMMYFUNCTION("""COMPUTED_VALUE"""),"de")</f>
        <v>de</v>
      </c>
      <c r="B6433">
        <f>IFERROR(__xludf.DUMMYFUNCTION("""COMPUTED_VALUE"""),1872870.0)</f>
        <v>1872870</v>
      </c>
      <c r="C6433" t="str">
        <f>IFERROR(__xludf.DUMMYFUNCTION("""COMPUTED_VALUE"""),"Lernen wie ein Gamer - Lerne alles so leicht wie im Spiel")</f>
        <v>Lernen wie ein Gamer - Lerne alles so leicht wie im Spiel</v>
      </c>
    </row>
    <row r="6434">
      <c r="A6434" s="140" t="str">
        <f>IFERROR(__xludf.DUMMYFUNCTION("""COMPUTED_VALUE"""),"ko")</f>
        <v>ko</v>
      </c>
      <c r="B6434">
        <f>IFERROR(__xludf.DUMMYFUNCTION("""COMPUTED_VALUE"""),4272658.0)</f>
        <v>4272658</v>
      </c>
      <c r="C6434" t="str">
        <f>IFERROR(__xludf.DUMMYFUNCTION("""COMPUTED_VALUE"""),"비대면 시대에 꼭 필요한 비즈니스 영어")</f>
        <v>비대면 시대에 꼭 필요한 비즈니스 영어</v>
      </c>
    </row>
    <row r="6435">
      <c r="A6435" s="140" t="str">
        <f>IFERROR(__xludf.DUMMYFUNCTION("""COMPUTED_VALUE"""),"en")</f>
        <v>en</v>
      </c>
      <c r="B6435">
        <f>IFERROR(__xludf.DUMMYFUNCTION("""COMPUTED_VALUE"""),1982382.0)</f>
        <v>1982382</v>
      </c>
      <c r="C6435" t="str">
        <f>IFERROR(__xludf.DUMMYFUNCTION("""COMPUTED_VALUE"""),"Python for Computer Vision with OpenCV and Deep Learning")</f>
        <v>Python for Computer Vision with OpenCV and Deep Learning</v>
      </c>
    </row>
    <row r="6436">
      <c r="A6436" s="140" t="str">
        <f>IFERROR(__xludf.DUMMYFUNCTION("""COMPUTED_VALUE"""),"pt")</f>
        <v>pt</v>
      </c>
      <c r="B6436">
        <f>IFERROR(__xludf.DUMMYFUNCTION("""COMPUTED_VALUE"""),2328584.0)</f>
        <v>2328584</v>
      </c>
      <c r="C6436" t="str">
        <f>IFERROR(__xludf.DUMMYFUNCTION("""COMPUTED_VALUE"""),"Inteligência Artificial e Machine Learning com JavaScript")</f>
        <v>Inteligência Artificial e Machine Learning com JavaScript</v>
      </c>
    </row>
    <row r="6437">
      <c r="A6437" s="140" t="str">
        <f>IFERROR(__xludf.DUMMYFUNCTION("""COMPUTED_VALUE"""),"en")</f>
        <v>en</v>
      </c>
      <c r="B6437">
        <f>IFERROR(__xludf.DUMMYFUNCTION("""COMPUTED_VALUE"""),3310734.0)</f>
        <v>3310734</v>
      </c>
      <c r="C6437" t="str">
        <f>IFERROR(__xludf.DUMMYFUNCTION("""COMPUTED_VALUE"""),"ASP.NET Core MVC - Up and Running Part 2 (.NET 5)")</f>
        <v>ASP.NET Core MVC - Up and Running Part 2 (.NET 5)</v>
      </c>
    </row>
    <row r="6438">
      <c r="A6438" s="140" t="str">
        <f>IFERROR(__xludf.DUMMYFUNCTION("""COMPUTED_VALUE"""),"pt")</f>
        <v>pt</v>
      </c>
      <c r="B6438">
        <f>IFERROR(__xludf.DUMMYFUNCTION("""COMPUTED_VALUE"""),1998730.0)</f>
        <v>1998730</v>
      </c>
      <c r="C6438" t="str">
        <f>IFERROR(__xludf.DUMMYFUNCTION("""COMPUTED_VALUE"""),"Criando um Controle de Vendas Desktop com Java e MySQL")</f>
        <v>Criando um Controle de Vendas Desktop com Java e MySQL</v>
      </c>
    </row>
    <row r="6439">
      <c r="A6439" s="140" t="str">
        <f>IFERROR(__xludf.DUMMYFUNCTION("""COMPUTED_VALUE"""),"en")</f>
        <v>en</v>
      </c>
      <c r="B6439">
        <f>IFERROR(__xludf.DUMMYFUNCTION("""COMPUTED_VALUE"""),1850902.0)</f>
        <v>1850902</v>
      </c>
      <c r="C6439" t="str">
        <f>IFERROR(__xludf.DUMMYFUNCTION("""COMPUTED_VALUE"""),"Scrum for Beginners + Scrum Master Certification Preparation")</f>
        <v>Scrum for Beginners + Scrum Master Certification Preparation</v>
      </c>
    </row>
    <row r="6440">
      <c r="A6440" s="140" t="str">
        <f>IFERROR(__xludf.DUMMYFUNCTION("""COMPUTED_VALUE"""),"en")</f>
        <v>en</v>
      </c>
      <c r="B6440">
        <f>IFERROR(__xludf.DUMMYFUNCTION("""COMPUTED_VALUE"""),1282020.0)</f>
        <v>1282020</v>
      </c>
      <c r="C6440" t="str">
        <f>IFERROR(__xludf.DUMMYFUNCTION("""COMPUTED_VALUE"""),"Angular Essentials (Angular 2+ with TypeScript)")</f>
        <v>Angular Essentials (Angular 2+ with TypeScript)</v>
      </c>
    </row>
    <row r="6441">
      <c r="A6441" s="140" t="str">
        <f>IFERROR(__xludf.DUMMYFUNCTION("""COMPUTED_VALUE"""),"en")</f>
        <v>en</v>
      </c>
      <c r="B6441">
        <f>IFERROR(__xludf.DUMMYFUNCTION("""COMPUTED_VALUE"""),284118.0)</f>
        <v>284118</v>
      </c>
      <c r="C6441" t="str">
        <f>IFERROR(__xludf.DUMMYFUNCTION("""COMPUTED_VALUE"""),"VPS for Forex Trading - Protect Your Forex Robots")</f>
        <v>VPS for Forex Trading - Protect Your Forex Robots</v>
      </c>
    </row>
    <row r="6442">
      <c r="A6442" s="140" t="str">
        <f>IFERROR(__xludf.DUMMYFUNCTION("""COMPUTED_VALUE"""),"en")</f>
        <v>en</v>
      </c>
      <c r="B6442">
        <f>IFERROR(__xludf.DUMMYFUNCTION("""COMPUTED_VALUE"""),1427616.0)</f>
        <v>1427616</v>
      </c>
      <c r="C6442" t="str">
        <f>IFERROR(__xludf.DUMMYFUNCTION("""COMPUTED_VALUE"""),"Mastering SharePoint 2021 A-Z Complete Boot Camp 5-1(16hrs)")</f>
        <v>Mastering SharePoint 2021 A-Z Complete Boot Camp 5-1(16hrs)</v>
      </c>
    </row>
    <row r="6443">
      <c r="A6443" s="140" t="str">
        <f>IFERROR(__xludf.DUMMYFUNCTION("""COMPUTED_VALUE"""),"en")</f>
        <v>en</v>
      </c>
      <c r="B6443">
        <f>IFERROR(__xludf.DUMMYFUNCTION("""COMPUTED_VALUE"""),1766478.0)</f>
        <v>1766478</v>
      </c>
      <c r="C6443" t="str">
        <f>IFERROR(__xludf.DUMMYFUNCTION("""COMPUTED_VALUE"""),"CCSO - Certified Cloud Security Officer")</f>
        <v>CCSO - Certified Cloud Security Officer</v>
      </c>
    </row>
    <row r="6444">
      <c r="A6444" s="140" t="str">
        <f>IFERROR(__xludf.DUMMYFUNCTION("""COMPUTED_VALUE"""),"en")</f>
        <v>en</v>
      </c>
      <c r="B6444">
        <f>IFERROR(__xludf.DUMMYFUNCTION("""COMPUTED_VALUE"""),3404360.0)</f>
        <v>3404360</v>
      </c>
      <c r="C6444" t="str">
        <f>IFERROR(__xludf.DUMMYFUNCTION("""COMPUTED_VALUE"""),"How to Work from Home with Kids During a Pandemic")</f>
        <v>How to Work from Home with Kids During a Pandemic</v>
      </c>
    </row>
    <row r="6445">
      <c r="A6445" s="140" t="str">
        <f>IFERROR(__xludf.DUMMYFUNCTION("""COMPUTED_VALUE"""),"en")</f>
        <v>en</v>
      </c>
      <c r="B6445">
        <f>IFERROR(__xludf.DUMMYFUNCTION("""COMPUTED_VALUE"""),1458490.0)</f>
        <v>1458490</v>
      </c>
      <c r="C6445" t="str">
        <f>IFERROR(__xludf.DUMMYFUNCTION("""COMPUTED_VALUE"""),"Work From Home: Where to Start and How to Succeed")</f>
        <v>Work From Home: Where to Start and How to Succeed</v>
      </c>
    </row>
    <row r="6446">
      <c r="A6446" s="140" t="str">
        <f>IFERROR(__xludf.DUMMYFUNCTION("""COMPUTED_VALUE"""),"tr")</f>
        <v>tr</v>
      </c>
      <c r="B6446">
        <f>IFERROR(__xludf.DUMMYFUNCTION("""COMPUTED_VALUE"""),1777544.0)</f>
        <v>1777544</v>
      </c>
      <c r="C6446" t="str">
        <f>IFERROR(__xludf.DUMMYFUNCTION("""COMPUTED_VALUE"""),"Ms Project ile Proje Yönetimi ve Örnekleri")</f>
        <v>Ms Project ile Proje Yönetimi ve Örnekleri</v>
      </c>
    </row>
    <row r="6447">
      <c r="A6447" s="140" t="str">
        <f>IFERROR(__xludf.DUMMYFUNCTION("""COMPUTED_VALUE"""),"en")</f>
        <v>en</v>
      </c>
      <c r="B6447">
        <f>IFERROR(__xludf.DUMMYFUNCTION("""COMPUTED_VALUE"""),480068.0)</f>
        <v>480068</v>
      </c>
      <c r="C6447" t="str">
        <f>IFERROR(__xludf.DUMMYFUNCTION("""COMPUTED_VALUE"""),"Mobile App Design: From Sketches to Interactive Prototypes")</f>
        <v>Mobile App Design: From Sketches to Interactive Prototypes</v>
      </c>
    </row>
    <row r="6448">
      <c r="A6448" s="140" t="str">
        <f>IFERROR(__xludf.DUMMYFUNCTION("""COMPUTED_VALUE"""),"en")</f>
        <v>en</v>
      </c>
      <c r="B6448">
        <f>IFERROR(__xludf.DUMMYFUNCTION("""COMPUTED_VALUE"""),246314.0)</f>
        <v>246314</v>
      </c>
      <c r="C6448" t="str">
        <f>IFERROR(__xludf.DUMMYFUNCTION("""COMPUTED_VALUE"""),"Appium -Mobile Testing (Android/IOS) from Scratch+Frameworks")</f>
        <v>Appium -Mobile Testing (Android/IOS) from Scratch+Frameworks</v>
      </c>
    </row>
    <row r="6449">
      <c r="A6449" s="140" t="str">
        <f>IFERROR(__xludf.DUMMYFUNCTION("""COMPUTED_VALUE"""),"en")</f>
        <v>en</v>
      </c>
      <c r="B6449">
        <f>IFERROR(__xludf.DUMMYFUNCTION("""COMPUTED_VALUE"""),4163102.0)</f>
        <v>4163102</v>
      </c>
      <c r="C6449" t="str">
        <f>IFERROR(__xludf.DUMMYFUNCTION("""COMPUTED_VALUE"""),"MICROSOFT POWER BI DA-100 EXAM Practice Test (Updated NOV21)")</f>
        <v>MICROSOFT POWER BI DA-100 EXAM Practice Test (Updated NOV21)</v>
      </c>
    </row>
    <row r="6450">
      <c r="A6450" s="140" t="str">
        <f>IFERROR(__xludf.DUMMYFUNCTION("""COMPUTED_VALUE"""),"en")</f>
        <v>en</v>
      </c>
      <c r="B6450">
        <f>IFERROR(__xludf.DUMMYFUNCTION("""COMPUTED_VALUE"""),2339828.0)</f>
        <v>2339828</v>
      </c>
      <c r="C6450" t="str">
        <f>IFERROR(__xludf.DUMMYFUNCTION("""COMPUTED_VALUE"""),"Database Management Systems Part 3 : SQL Interview Course")</f>
        <v>Database Management Systems Part 3 : SQL Interview Course</v>
      </c>
    </row>
    <row r="6451">
      <c r="A6451" s="140" t="str">
        <f>IFERROR(__xludf.DUMMYFUNCTION("""COMPUTED_VALUE"""),"ko")</f>
        <v>ko</v>
      </c>
      <c r="B6451">
        <f>IFERROR(__xludf.DUMMYFUNCTION("""COMPUTED_VALUE"""),1721588.0)</f>
        <v>1721588</v>
      </c>
      <c r="C6451" t="str">
        <f>IFERROR(__xludf.DUMMYFUNCTION("""COMPUTED_VALUE"""),"Docker 야간과외(DevOps Korea meetup, Hands-on 영상 녹화)")</f>
        <v>Docker 야간과외(DevOps Korea meetup, Hands-on 영상 녹화)</v>
      </c>
    </row>
    <row r="6452">
      <c r="A6452" s="140" t="str">
        <f>IFERROR(__xludf.DUMMYFUNCTION("""COMPUTED_VALUE"""),"ja")</f>
        <v>ja</v>
      </c>
      <c r="B6452">
        <f>IFERROR(__xludf.DUMMYFUNCTION("""COMPUTED_VALUE"""),3900936.0)</f>
        <v>3900936</v>
      </c>
      <c r="C6452" t="str">
        <f>IFERROR(__xludf.DUMMYFUNCTION("""COMPUTED_VALUE"""),"ビジネスで差がつく！仕事の基本シリーズ１「これからの時代の社会人の心得とビジネスマナー」～さあ、はじめよう！～")</f>
        <v>ビジネスで差がつく！仕事の基本シリーズ１「これからの時代の社会人の心得とビジネスマナー」～さあ、はじめよう！～</v>
      </c>
    </row>
    <row r="6453">
      <c r="A6453" s="140" t="str">
        <f>IFERROR(__xludf.DUMMYFUNCTION("""COMPUTED_VALUE"""),"en")</f>
        <v>en</v>
      </c>
      <c r="B6453">
        <f>IFERROR(__xludf.DUMMYFUNCTION("""COMPUTED_VALUE"""),493454.0)</f>
        <v>493454</v>
      </c>
      <c r="C6453" t="str">
        <f>IFERROR(__xludf.DUMMYFUNCTION("""COMPUTED_VALUE"""),"Learn TDD in 24 hours")</f>
        <v>Learn TDD in 24 hours</v>
      </c>
    </row>
    <row r="6454">
      <c r="A6454" s="140" t="str">
        <f>IFERROR(__xludf.DUMMYFUNCTION("""COMPUTED_VALUE"""),"en")</f>
        <v>en</v>
      </c>
      <c r="B6454">
        <f>IFERROR(__xludf.DUMMYFUNCTION("""COMPUTED_VALUE"""),1247828.0)</f>
        <v>1247828</v>
      </c>
      <c r="C6454" t="str">
        <f>IFERROR(__xludf.DUMMYFUNCTION("""COMPUTED_VALUE"""),"The Complete Angular Course: Beginner to Advanced")</f>
        <v>The Complete Angular Course: Beginner to Advanced</v>
      </c>
    </row>
    <row r="6455">
      <c r="A6455" s="140" t="str">
        <f>IFERROR(__xludf.DUMMYFUNCTION("""COMPUTED_VALUE"""),"pt")</f>
        <v>pt</v>
      </c>
      <c r="B6455">
        <f>IFERROR(__xludf.DUMMYFUNCTION("""COMPUTED_VALUE"""),2285643.0)</f>
        <v>2285643</v>
      </c>
      <c r="C6455" t="str">
        <f>IFERROR(__xludf.DUMMYFUNCTION("""COMPUTED_VALUE"""),"Coaching de Liderança - Seja um Master Líder Coach")</f>
        <v>Coaching de Liderança - Seja um Master Líder Coach</v>
      </c>
    </row>
    <row r="6456">
      <c r="A6456" s="140" t="str">
        <f>IFERROR(__xludf.DUMMYFUNCTION("""COMPUTED_VALUE"""),"es")</f>
        <v>es</v>
      </c>
      <c r="B6456">
        <f>IFERROR(__xludf.DUMMYFUNCTION("""COMPUTED_VALUE"""),2626844.0)</f>
        <v>2626844</v>
      </c>
      <c r="C6456" t="str">
        <f>IFERROR(__xludf.DUMMYFUNCTION("""COMPUTED_VALUE"""),"Creador de Licencias para Software en C#")</f>
        <v>Creador de Licencias para Software en C#</v>
      </c>
    </row>
    <row r="6457">
      <c r="A6457" s="140" t="str">
        <f>IFERROR(__xludf.DUMMYFUNCTION("""COMPUTED_VALUE"""),"en")</f>
        <v>en</v>
      </c>
      <c r="B6457">
        <f>IFERROR(__xludf.DUMMYFUNCTION("""COMPUTED_VALUE"""),381588.0)</f>
        <v>381588</v>
      </c>
      <c r="C6457" t="str">
        <f>IFERROR(__xludf.DUMMYFUNCTION("""COMPUTED_VALUE"""),"The Colored Pencil Drawing Course")</f>
        <v>The Colored Pencil Drawing Course</v>
      </c>
    </row>
    <row r="6458">
      <c r="A6458" s="140" t="str">
        <f>IFERROR(__xludf.DUMMYFUNCTION("""COMPUTED_VALUE"""),"ar")</f>
        <v>ar</v>
      </c>
      <c r="B6458">
        <f>IFERROR(__xludf.DUMMYFUNCTION("""COMPUTED_VALUE"""),3302340.0)</f>
        <v>3302340</v>
      </c>
      <c r="C6458" t="str">
        <f>IFERROR(__xludf.DUMMYFUNCTION("""COMPUTED_VALUE"""),"تصميم الجداول الزمنية للمشاريع")</f>
        <v>تصميم الجداول الزمنية للمشاريع</v>
      </c>
    </row>
    <row r="6459">
      <c r="A6459" s="140" t="str">
        <f>IFERROR(__xludf.DUMMYFUNCTION("""COMPUTED_VALUE"""),"ja")</f>
        <v>ja</v>
      </c>
      <c r="B6459">
        <f>IFERROR(__xludf.DUMMYFUNCTION("""COMPUTED_VALUE"""),2458394.0)</f>
        <v>2458394</v>
      </c>
      <c r="C6459" t="str">
        <f>IFERROR(__xludf.DUMMYFUNCTION("""COMPUTED_VALUE"""),"AWS：はじめてのAmazon Web Services")</f>
        <v>AWS：はじめてのAmazon Web Services</v>
      </c>
    </row>
    <row r="6460">
      <c r="A6460" s="140" t="str">
        <f>IFERROR(__xludf.DUMMYFUNCTION("""COMPUTED_VALUE"""),"en")</f>
        <v>en</v>
      </c>
      <c r="B6460">
        <f>IFERROR(__xludf.DUMMYFUNCTION("""COMPUTED_VALUE"""),3910710.0)</f>
        <v>3910710</v>
      </c>
      <c r="C6460" t="str">
        <f>IFERROR(__xludf.DUMMYFUNCTION("""COMPUTED_VALUE"""),"The Ultimate Advanced Training For Agile Scrum Masters")</f>
        <v>The Ultimate Advanced Training For Agile Scrum Masters</v>
      </c>
    </row>
    <row r="6461">
      <c r="A6461" s="140" t="str">
        <f>IFERROR(__xludf.DUMMYFUNCTION("""COMPUTED_VALUE"""),"en")</f>
        <v>en</v>
      </c>
      <c r="B6461">
        <f>IFERROR(__xludf.DUMMYFUNCTION("""COMPUTED_VALUE"""),4095020.0)</f>
        <v>4095020</v>
      </c>
      <c r="C6461" t="str">
        <f>IFERROR(__xludf.DUMMYFUNCTION("""COMPUTED_VALUE"""),"Graph Theory Algorithms for Competitive Programming (2021)")</f>
        <v>Graph Theory Algorithms for Competitive Programming (2021)</v>
      </c>
    </row>
    <row r="6462">
      <c r="A6462" s="140" t="str">
        <f>IFERROR(__xludf.DUMMYFUNCTION("""COMPUTED_VALUE"""),"en")</f>
        <v>en</v>
      </c>
      <c r="B6462">
        <f>IFERROR(__xludf.DUMMYFUNCTION("""COMPUTED_VALUE"""),1428208.0)</f>
        <v>1428208</v>
      </c>
      <c r="C6462" t="str">
        <f>IFERROR(__xludf.DUMMYFUNCTION("""COMPUTED_VALUE"""),"Selenium WebDriver MasterClass (Basic + Advance + Architect)")</f>
        <v>Selenium WebDriver MasterClass (Basic + Advance + Architect)</v>
      </c>
    </row>
    <row r="6463">
      <c r="A6463" s="140" t="str">
        <f>IFERROR(__xludf.DUMMYFUNCTION("""COMPUTED_VALUE"""),"en")</f>
        <v>en</v>
      </c>
      <c r="B6463">
        <f>IFERROR(__xludf.DUMMYFUNCTION("""COMPUTED_VALUE"""),535622.0)</f>
        <v>535622</v>
      </c>
      <c r="C6463" t="str">
        <f>IFERROR(__xludf.DUMMYFUNCTION("""COMPUTED_VALUE"""),"Python for Data Structures, Algorithms, and Interviews!")</f>
        <v>Python for Data Structures, Algorithms, and Interviews!</v>
      </c>
    </row>
    <row r="6464">
      <c r="A6464" s="140" t="str">
        <f>IFERROR(__xludf.DUMMYFUNCTION("""COMPUTED_VALUE"""),"en")</f>
        <v>en</v>
      </c>
      <c r="B6464">
        <f>IFERROR(__xludf.DUMMYFUNCTION("""COMPUTED_VALUE"""),3696182.0)</f>
        <v>3696182</v>
      </c>
      <c r="C6464" t="str">
        <f>IFERROR(__xludf.DUMMYFUNCTION("""COMPUTED_VALUE"""),"Working &amp; Managing in Global Teams")</f>
        <v>Working &amp; Managing in Global Teams</v>
      </c>
    </row>
    <row r="6465">
      <c r="A6465" s="140" t="str">
        <f>IFERROR(__xludf.DUMMYFUNCTION("""COMPUTED_VALUE"""),"en")</f>
        <v>en</v>
      </c>
      <c r="B6465">
        <f>IFERROR(__xludf.DUMMYFUNCTION("""COMPUTED_VALUE"""),941752.0)</f>
        <v>941752</v>
      </c>
      <c r="C6465" t="str">
        <f>IFERROR(__xludf.DUMMYFUNCTION("""COMPUTED_VALUE"""),"Storytelling to Influence")</f>
        <v>Storytelling to Influence</v>
      </c>
    </row>
    <row r="6466">
      <c r="A6466" s="140" t="str">
        <f>IFERROR(__xludf.DUMMYFUNCTION("""COMPUTED_VALUE"""),"en")</f>
        <v>en</v>
      </c>
      <c r="B6466">
        <f>IFERROR(__xludf.DUMMYFUNCTION("""COMPUTED_VALUE"""),735204.0)</f>
        <v>735204</v>
      </c>
      <c r="C6466" t="str">
        <f>IFERROR(__xludf.DUMMYFUNCTION("""COMPUTED_VALUE"""),"NetApp ONTAP 9 Storage Essentials")</f>
        <v>NetApp ONTAP 9 Storage Essentials</v>
      </c>
    </row>
    <row r="6467">
      <c r="A6467" s="140" t="str">
        <f>IFERROR(__xludf.DUMMYFUNCTION("""COMPUTED_VALUE"""),"tr")</f>
        <v>tr</v>
      </c>
      <c r="B6467">
        <f>IFERROR(__xludf.DUMMYFUNCTION("""COMPUTED_VALUE"""),3638326.0)</f>
        <v>3638326</v>
      </c>
      <c r="C6467" t="str">
        <f>IFERROR(__xludf.DUMMYFUNCTION("""COMPUTED_VALUE"""),"Yapay Zekâ ve Robot Hukuku")</f>
        <v>Yapay Zekâ ve Robot Hukuku</v>
      </c>
    </row>
    <row r="6468">
      <c r="A6468" s="140" t="str">
        <f>IFERROR(__xludf.DUMMYFUNCTION("""COMPUTED_VALUE"""),"en")</f>
        <v>en</v>
      </c>
      <c r="B6468">
        <f>IFERROR(__xludf.DUMMYFUNCTION("""COMPUTED_VALUE"""),403468.0)</f>
        <v>403468</v>
      </c>
      <c r="C6468" t="str">
        <f>IFERROR(__xludf.DUMMYFUNCTION("""COMPUTED_VALUE"""),"Financial Accounting: The Complete Introductory Crash Course")</f>
        <v>Financial Accounting: The Complete Introductory Crash Course</v>
      </c>
    </row>
    <row r="6469">
      <c r="A6469" s="140" t="str">
        <f>IFERROR(__xludf.DUMMYFUNCTION("""COMPUTED_VALUE"""),"pt")</f>
        <v>pt</v>
      </c>
      <c r="B6469">
        <f>IFERROR(__xludf.DUMMYFUNCTION("""COMPUTED_VALUE"""),1725384.0)</f>
        <v>1725384</v>
      </c>
      <c r="C6469" t="str">
        <f>IFERROR(__xludf.DUMMYFUNCTION("""COMPUTED_VALUE"""),"Programação em C do básico ao avançado")</f>
        <v>Programação em C do básico ao avançado</v>
      </c>
    </row>
    <row r="6470">
      <c r="A6470" s="140" t="str">
        <f>IFERROR(__xludf.DUMMYFUNCTION("""COMPUTED_VALUE"""),"en")</f>
        <v>en</v>
      </c>
      <c r="B6470">
        <f>IFERROR(__xludf.DUMMYFUNCTION("""COMPUTED_VALUE"""),2733264.0)</f>
        <v>2733264</v>
      </c>
      <c r="C6470" t="str">
        <f>IFERROR(__xludf.DUMMYFUNCTION("""COMPUTED_VALUE"""),"Refactoring Pyramid explained in simple steps (Java)")</f>
        <v>Refactoring Pyramid explained in simple steps (Java)</v>
      </c>
    </row>
    <row r="6471">
      <c r="A6471" s="140" t="str">
        <f>IFERROR(__xludf.DUMMYFUNCTION("""COMPUTED_VALUE"""),"ja")</f>
        <v>ja</v>
      </c>
      <c r="B6471">
        <f>IFERROR(__xludf.DUMMYFUNCTION("""COMPUTED_VALUE"""),2904693.0)</f>
        <v>2904693</v>
      </c>
      <c r="C6471" t="str">
        <f>IFERROR(__xludf.DUMMYFUNCTION("""COMPUTED_VALUE"""),"『VideoScribe』YouTubeで使えるアニメーション動画制作基礎講座【最新Ver3.7対応】")</f>
        <v>『VideoScribe』YouTubeで使えるアニメーション動画制作基礎講座【最新Ver3.7対応】</v>
      </c>
    </row>
    <row r="6472">
      <c r="A6472" s="140" t="str">
        <f>IFERROR(__xludf.DUMMYFUNCTION("""COMPUTED_VALUE"""),"tr")</f>
        <v>tr</v>
      </c>
      <c r="B6472">
        <f>IFERROR(__xludf.DUMMYFUNCTION("""COMPUTED_VALUE"""),2635074.0)</f>
        <v>2635074</v>
      </c>
      <c r="C6472" t="str">
        <f>IFERROR(__xludf.DUMMYFUNCTION("""COMPUTED_VALUE"""),"Tia Portal-Siemens S71200 PLC ,Panel-WinCC SCADA-Factory I/O")</f>
        <v>Tia Portal-Siemens S71200 PLC ,Panel-WinCC SCADA-Factory I/O</v>
      </c>
    </row>
    <row r="6473">
      <c r="A6473" s="140" t="str">
        <f>IFERROR(__xludf.DUMMYFUNCTION("""COMPUTED_VALUE"""),"ar")</f>
        <v>ar</v>
      </c>
      <c r="B6473">
        <f>IFERROR(__xludf.DUMMYFUNCTION("""COMPUTED_VALUE"""),3589576.0)</f>
        <v>3589576</v>
      </c>
      <c r="C6473" t="str">
        <f>IFERROR(__xludf.DUMMYFUNCTION("""COMPUTED_VALUE"""),"motion graphic course كورس موشن جرافيك انتاج فيديو محكم")</f>
        <v>motion graphic course كورس موشن جرافيك انتاج فيديو محكم</v>
      </c>
    </row>
    <row r="6474">
      <c r="A6474" s="140" t="str">
        <f>IFERROR(__xludf.DUMMYFUNCTION("""COMPUTED_VALUE"""),"ko")</f>
        <v>ko</v>
      </c>
      <c r="B6474">
        <f>IFERROR(__xludf.DUMMYFUNCTION("""COMPUTED_VALUE"""),2029244.0)</f>
        <v>2029244</v>
      </c>
      <c r="C6474" t="str">
        <f>IFERROR(__xludf.DUMMYFUNCTION("""COMPUTED_VALUE"""),"[유니티 3D] 쉽고 재밌게! 생존 게임 제작하기 - Advanced")</f>
        <v>[유니티 3D] 쉽고 재밌게! 생존 게임 제작하기 - Advanced</v>
      </c>
    </row>
    <row r="6475">
      <c r="A6475" s="140" t="str">
        <f>IFERROR(__xludf.DUMMYFUNCTION("""COMPUTED_VALUE"""),"en")</f>
        <v>en</v>
      </c>
      <c r="B6475">
        <f>IFERROR(__xludf.DUMMYFUNCTION("""COMPUTED_VALUE"""),36431.0)</f>
        <v>36431</v>
      </c>
      <c r="C6475" t="str">
        <f>IFERROR(__xludf.DUMMYFUNCTION("""COMPUTED_VALUE"""),"Learn Microsoft Word 2013 the Easy Way - 9 Hours")</f>
        <v>Learn Microsoft Word 2013 the Easy Way - 9 Hours</v>
      </c>
    </row>
    <row r="6476">
      <c r="A6476" s="140" t="str">
        <f>IFERROR(__xludf.DUMMYFUNCTION("""COMPUTED_VALUE"""),"es")</f>
        <v>es</v>
      </c>
      <c r="B6476">
        <f>IFERROR(__xludf.DUMMYFUNCTION("""COMPUTED_VALUE"""),2798700.0)</f>
        <v>2798700</v>
      </c>
      <c r="C6476" t="str">
        <f>IFERROR(__xludf.DUMMYFUNCTION("""COMPUTED_VALUE"""),"Adobe XD - UX UI Fundamentos de la Experiencia de Usuario")</f>
        <v>Adobe XD - UX UI Fundamentos de la Experiencia de Usuario</v>
      </c>
    </row>
    <row r="6477">
      <c r="A6477" s="140" t="str">
        <f>IFERROR(__xludf.DUMMYFUNCTION("""COMPUTED_VALUE"""),"en")</f>
        <v>en</v>
      </c>
      <c r="B6477">
        <f>IFERROR(__xludf.DUMMYFUNCTION("""COMPUTED_VALUE"""),1246320.0)</f>
        <v>1246320</v>
      </c>
      <c r="C6477" t="str">
        <f>IFERROR(__xludf.DUMMYFUNCTION("""COMPUTED_VALUE"""),"Mastering Docker the devops way by School of Devops®")</f>
        <v>Mastering Docker the devops way by School of Devops®</v>
      </c>
    </row>
    <row r="6478">
      <c r="A6478" s="140" t="str">
        <f>IFERROR(__xludf.DUMMYFUNCTION("""COMPUTED_VALUE"""),"pt")</f>
        <v>pt</v>
      </c>
      <c r="B6478">
        <f>IFERROR(__xludf.DUMMYFUNCTION("""COMPUTED_VALUE"""),2152776.0)</f>
        <v>2152776</v>
      </c>
      <c r="C6478" t="str">
        <f>IFERROR(__xludf.DUMMYFUNCTION("""COMPUTED_VALUE"""),"Gestão de 5s na Prática")</f>
        <v>Gestão de 5s na Prática</v>
      </c>
    </row>
    <row r="6479">
      <c r="A6479" s="140" t="str">
        <f>IFERROR(__xludf.DUMMYFUNCTION("""COMPUTED_VALUE"""),"en")</f>
        <v>en</v>
      </c>
      <c r="B6479">
        <f>IFERROR(__xludf.DUMMYFUNCTION("""COMPUTED_VALUE"""),1310772.0)</f>
        <v>1310772</v>
      </c>
      <c r="C6479" t="str">
        <f>IFERROR(__xludf.DUMMYFUNCTION("""COMPUTED_VALUE"""),"Scala &amp; Functional Programming Essentials | Rock the JVM")</f>
        <v>Scala &amp; Functional Programming Essentials | Rock the JVM</v>
      </c>
    </row>
    <row r="6480">
      <c r="A6480" s="140" t="str">
        <f>IFERROR(__xludf.DUMMYFUNCTION("""COMPUTED_VALUE"""),"ko")</f>
        <v>ko</v>
      </c>
      <c r="B6480">
        <f>IFERROR(__xludf.DUMMYFUNCTION("""COMPUTED_VALUE"""),3300626.0)</f>
        <v>3300626</v>
      </c>
      <c r="C6480" t="str">
        <f>IFERROR(__xludf.DUMMYFUNCTION("""COMPUTED_VALUE"""),"한글 보고서 꾸미기에 유용한 꿀팁")</f>
        <v>한글 보고서 꾸미기에 유용한 꿀팁</v>
      </c>
    </row>
    <row r="6481">
      <c r="A6481" s="140" t="str">
        <f>IFERROR(__xludf.DUMMYFUNCTION("""COMPUTED_VALUE"""),"tr")</f>
        <v>tr</v>
      </c>
      <c r="B6481">
        <f>IFERROR(__xludf.DUMMYFUNCTION("""COMPUTED_VALUE"""),3162000.0)</f>
        <v>3162000</v>
      </c>
      <c r="C6481" t="str">
        <f>IFERROR(__xludf.DUMMYFUNCTION("""COMPUTED_VALUE"""),"Alıştırmalarla SQL Öğreniyorum")</f>
        <v>Alıştırmalarla SQL Öğreniyorum</v>
      </c>
    </row>
    <row r="6482">
      <c r="A6482" s="140" t="str">
        <f>IFERROR(__xludf.DUMMYFUNCTION("""COMPUTED_VALUE"""),"en")</f>
        <v>en</v>
      </c>
      <c r="B6482">
        <f>IFERROR(__xludf.DUMMYFUNCTION("""COMPUTED_VALUE"""),3684354.0)</f>
        <v>3684354</v>
      </c>
      <c r="C6482" t="str">
        <f>IFERROR(__xludf.DUMMYFUNCTION("""COMPUTED_VALUE"""),"DP-900 Microsoft Azure Data Fundamentals Practice test Dec21")</f>
        <v>DP-900 Microsoft Azure Data Fundamentals Practice test Dec21</v>
      </c>
    </row>
    <row r="6483">
      <c r="A6483" s="140" t="str">
        <f>IFERROR(__xludf.DUMMYFUNCTION("""COMPUTED_VALUE"""),"tr")</f>
        <v>tr</v>
      </c>
      <c r="B6483">
        <f>IFERROR(__xludf.DUMMYFUNCTION("""COMPUTED_VALUE"""),2658636.0)</f>
        <v>2658636</v>
      </c>
      <c r="C6483" t="str">
        <f>IFERROR(__xludf.DUMMYFUNCTION("""COMPUTED_VALUE"""),"Arapça Dil Eğitim Seti | 64 Video | Ayrıntılı Temel Düzey")</f>
        <v>Arapça Dil Eğitim Seti | 64 Video | Ayrıntılı Temel Düzey</v>
      </c>
    </row>
    <row r="6484">
      <c r="A6484" s="140" t="str">
        <f>IFERROR(__xludf.DUMMYFUNCTION("""COMPUTED_VALUE"""),"en")</f>
        <v>en</v>
      </c>
      <c r="B6484">
        <f>IFERROR(__xludf.DUMMYFUNCTION("""COMPUTED_VALUE"""),4036082.0)</f>
        <v>4036082</v>
      </c>
      <c r="C6484" t="str">
        <f>IFERROR(__xludf.DUMMYFUNCTION("""COMPUTED_VALUE"""),"Apache Spark In-Depth (Spark with Scala)")</f>
        <v>Apache Spark In-Depth (Spark with Scala)</v>
      </c>
    </row>
    <row r="6485">
      <c r="A6485" s="140" t="str">
        <f>IFERROR(__xludf.DUMMYFUNCTION("""COMPUTED_VALUE"""),"en")</f>
        <v>en</v>
      </c>
      <c r="B6485">
        <f>IFERROR(__xludf.DUMMYFUNCTION("""COMPUTED_VALUE"""),2622266.0)</f>
        <v>2622266</v>
      </c>
      <c r="C6485" t="str">
        <f>IFERROR(__xludf.DUMMYFUNCTION("""COMPUTED_VALUE"""),"LPI Linux Essentials 010-160 (6 Practice Exams)")</f>
        <v>LPI Linux Essentials 010-160 (6 Practice Exams)</v>
      </c>
    </row>
    <row r="6486">
      <c r="A6486" s="140" t="str">
        <f>IFERROR(__xludf.DUMMYFUNCTION("""COMPUTED_VALUE"""),"en")</f>
        <v>en</v>
      </c>
      <c r="B6486">
        <f>IFERROR(__xludf.DUMMYFUNCTION("""COMPUTED_VALUE"""),3112240.0)</f>
        <v>3112240</v>
      </c>
      <c r="C6486" t="str">
        <f>IFERROR(__xludf.DUMMYFUNCTION("""COMPUTED_VALUE"""),"Complete Course on Product A/B Testing with Interview Guide")</f>
        <v>Complete Course on Product A/B Testing with Interview Guide</v>
      </c>
    </row>
    <row r="6487">
      <c r="A6487" s="140" t="str">
        <f>IFERROR(__xludf.DUMMYFUNCTION("""COMPUTED_VALUE"""),"en")</f>
        <v>en</v>
      </c>
      <c r="B6487">
        <f>IFERROR(__xludf.DUMMYFUNCTION("""COMPUTED_VALUE"""),1080376.0)</f>
        <v>1080376</v>
      </c>
      <c r="C6487" t="str">
        <f>IFERROR(__xludf.DUMMYFUNCTION("""COMPUTED_VALUE"""),"Life Coaching Certificate Course (Beginner to Intermediate)")</f>
        <v>Life Coaching Certificate Course (Beginner to Intermediate)</v>
      </c>
    </row>
    <row r="6488">
      <c r="A6488" s="140" t="str">
        <f>IFERROR(__xludf.DUMMYFUNCTION("""COMPUTED_VALUE"""),"en")</f>
        <v>en</v>
      </c>
      <c r="B6488">
        <f>IFERROR(__xludf.DUMMYFUNCTION("""COMPUTED_VALUE"""),18237.0)</f>
        <v>18237</v>
      </c>
      <c r="C6488" t="str">
        <f>IFERROR(__xludf.DUMMYFUNCTION("""COMPUTED_VALUE"""),"Java Swing (GUI) Programming: From Beginner to Expert")</f>
        <v>Java Swing (GUI) Programming: From Beginner to Expert</v>
      </c>
    </row>
    <row r="6489">
      <c r="A6489" s="140" t="str">
        <f>IFERROR(__xludf.DUMMYFUNCTION("""COMPUTED_VALUE"""),"en")</f>
        <v>en</v>
      </c>
      <c r="B6489">
        <f>IFERROR(__xludf.DUMMYFUNCTION("""COMPUTED_VALUE"""),1256448.0)</f>
        <v>1256448</v>
      </c>
      <c r="C6489" t="str">
        <f>IFERROR(__xludf.DUMMYFUNCTION("""COMPUTED_VALUE"""),"Adobe InDesign CC Complete Masterclass: Learn Adobe InDesign")</f>
        <v>Adobe InDesign CC Complete Masterclass: Learn Adobe InDesign</v>
      </c>
    </row>
    <row r="6490">
      <c r="A6490" s="140" t="str">
        <f>IFERROR(__xludf.DUMMYFUNCTION("""COMPUTED_VALUE"""),"pt")</f>
        <v>pt</v>
      </c>
      <c r="B6490">
        <f>IFERROR(__xludf.DUMMYFUNCTION("""COMPUTED_VALUE"""),1989332.0)</f>
        <v>1989332</v>
      </c>
      <c r="C6490" t="str">
        <f>IFERROR(__xludf.DUMMYFUNCTION("""COMPUTED_VALUE"""),"TensorFlow: Machine Learning e Deep Learning com Python")</f>
        <v>TensorFlow: Machine Learning e Deep Learning com Python</v>
      </c>
    </row>
    <row r="6491">
      <c r="A6491" s="140" t="str">
        <f>IFERROR(__xludf.DUMMYFUNCTION("""COMPUTED_VALUE"""),"en")</f>
        <v>en</v>
      </c>
      <c r="B6491">
        <f>IFERROR(__xludf.DUMMYFUNCTION("""COMPUTED_VALUE"""),111712.0)</f>
        <v>111712</v>
      </c>
      <c r="C6491" t="str">
        <f>IFERROR(__xludf.DUMMYFUNCTION("""COMPUTED_VALUE"""),"C Programming For Beginners")</f>
        <v>C Programming For Beginners</v>
      </c>
    </row>
    <row r="6492">
      <c r="A6492" s="140" t="str">
        <f>IFERROR(__xludf.DUMMYFUNCTION("""COMPUTED_VALUE"""),"fr")</f>
        <v>fr</v>
      </c>
      <c r="B6492">
        <f>IFERROR(__xludf.DUMMYFUNCTION("""COMPUTED_VALUE"""),2769240.0)</f>
        <v>2769240</v>
      </c>
      <c r="C6492" t="str">
        <f>IFERROR(__xludf.DUMMYFUNCTION("""COMPUTED_VALUE"""),"Vaincre sa procrastination MAINTENANT et à vie")</f>
        <v>Vaincre sa procrastination MAINTENANT et à vie</v>
      </c>
    </row>
    <row r="6493">
      <c r="A6493" s="140" t="str">
        <f>IFERROR(__xludf.DUMMYFUNCTION("""COMPUTED_VALUE"""),"ja")</f>
        <v>ja</v>
      </c>
      <c r="B6493">
        <f>IFERROR(__xludf.DUMMYFUNCTION("""COMPUTED_VALUE"""),3978254.0)</f>
        <v>3978254</v>
      </c>
      <c r="C6493" t="str">
        <f>IFERROR(__xludf.DUMMYFUNCTION("""COMPUTED_VALUE"""),"【財務諸表が読める】 1日で学べる財務分析の基本マスターコース（Excel分析シート付き）")</f>
        <v>【財務諸表が読める】 1日で学べる財務分析の基本マスターコース（Excel分析シート付き）</v>
      </c>
    </row>
    <row r="6494">
      <c r="A6494" s="140" t="str">
        <f>IFERROR(__xludf.DUMMYFUNCTION("""COMPUTED_VALUE"""),"pt")</f>
        <v>pt</v>
      </c>
      <c r="B6494">
        <f>IFERROR(__xludf.DUMMYFUNCTION("""COMPUTED_VALUE"""),631622.0)</f>
        <v>631622</v>
      </c>
      <c r="C6494" t="str">
        <f>IFERROR(__xludf.DUMMYFUNCTION("""COMPUTED_VALUE"""),"Curso Completo de Banco de Dados e SQL para Iniciantes")</f>
        <v>Curso Completo de Banco de Dados e SQL para Iniciantes</v>
      </c>
    </row>
    <row r="6495">
      <c r="A6495" s="140" t="str">
        <f>IFERROR(__xludf.DUMMYFUNCTION("""COMPUTED_VALUE"""),"zh")</f>
        <v>zh</v>
      </c>
      <c r="B6495">
        <f>IFERROR(__xludf.DUMMYFUNCTION("""COMPUTED_VALUE"""),3008652.0)</f>
        <v>3008652</v>
      </c>
      <c r="C6495" t="str">
        <f>IFERROR(__xludf.DUMMYFUNCTION("""COMPUTED_VALUE"""),"全能三维软件-Blender2.81快速入门教程")</f>
        <v>全能三维软件-Blender2.81快速入门教程</v>
      </c>
    </row>
    <row r="6496">
      <c r="A6496" s="140" t="str">
        <f>IFERROR(__xludf.DUMMYFUNCTION("""COMPUTED_VALUE"""),"en")</f>
        <v>en</v>
      </c>
      <c r="B6496">
        <f>IFERROR(__xludf.DUMMYFUNCTION("""COMPUTED_VALUE"""),2555316.0)</f>
        <v>2555316</v>
      </c>
      <c r="C6496" t="str">
        <f>IFERROR(__xludf.DUMMYFUNCTION("""COMPUTED_VALUE"""),"MS-900 Exam Prep: Microsoft 365 Fundamentals Course")</f>
        <v>MS-900 Exam Prep: Microsoft 365 Fundamentals Course</v>
      </c>
    </row>
    <row r="6497">
      <c r="A6497" s="140" t="str">
        <f>IFERROR(__xludf.DUMMYFUNCTION("""COMPUTED_VALUE"""),"en")</f>
        <v>en</v>
      </c>
      <c r="B6497">
        <f>IFERROR(__xludf.DUMMYFUNCTION("""COMPUTED_VALUE"""),2035846.0)</f>
        <v>2035846</v>
      </c>
      <c r="C6497" t="str">
        <f>IFERROR(__xludf.DUMMYFUNCTION("""COMPUTED_VALUE"""),"Hands-on: Complete Penetration Testing and Ethical Hacking")</f>
        <v>Hands-on: Complete Penetration Testing and Ethical Hacking</v>
      </c>
    </row>
    <row r="6498">
      <c r="A6498" s="140" t="str">
        <f>IFERROR(__xludf.DUMMYFUNCTION("""COMPUTED_VALUE"""),"en")</f>
        <v>en</v>
      </c>
      <c r="B6498">
        <f>IFERROR(__xludf.DUMMYFUNCTION("""COMPUTED_VALUE"""),1081920.0)</f>
        <v>1081920</v>
      </c>
      <c r="C6498" t="str">
        <f>IFERROR(__xludf.DUMMYFUNCTION("""COMPUTED_VALUE"""),"SolidWorks 2017 Advanced Part Training")</f>
        <v>SolidWorks 2017 Advanced Part Training</v>
      </c>
    </row>
    <row r="6499">
      <c r="A6499" s="140" t="str">
        <f>IFERROR(__xludf.DUMMYFUNCTION("""COMPUTED_VALUE"""),"es")</f>
        <v>es</v>
      </c>
      <c r="B6499">
        <f>IFERROR(__xludf.DUMMYFUNCTION("""COMPUTED_VALUE"""),883398.0)</f>
        <v>883398</v>
      </c>
      <c r="C6499" t="str">
        <f>IFERROR(__xludf.DUMMYFUNCTION("""COMPUTED_VALUE"""),"Introducción a Oracle APEX 5.0")</f>
        <v>Introducción a Oracle APEX 5.0</v>
      </c>
    </row>
    <row r="6500">
      <c r="A6500" s="140" t="str">
        <f>IFERROR(__xludf.DUMMYFUNCTION("""COMPUTED_VALUE"""),"en")</f>
        <v>en</v>
      </c>
      <c r="B6500">
        <f>IFERROR(__xludf.DUMMYFUNCTION("""COMPUTED_VALUE"""),1075850.0)</f>
        <v>1075850</v>
      </c>
      <c r="C6500" t="str">
        <f>IFERROR(__xludf.DUMMYFUNCTION("""COMPUTED_VALUE"""),"The Complete Mainframe Professional Course - 4 Courses in 1")</f>
        <v>The Complete Mainframe Professional Course - 4 Courses in 1</v>
      </c>
    </row>
    <row r="6501">
      <c r="A6501" s="140" t="str">
        <f>IFERROR(__xludf.DUMMYFUNCTION("""COMPUTED_VALUE"""),"en")</f>
        <v>en</v>
      </c>
      <c r="B6501">
        <f>IFERROR(__xludf.DUMMYFUNCTION("""COMPUTED_VALUE"""),3029640.0)</f>
        <v>3029640</v>
      </c>
      <c r="C6501" t="str">
        <f>IFERROR(__xludf.DUMMYFUNCTION("""COMPUTED_VALUE"""),"Data Structure &amp; Algorithm using C++ : Zero To Mastery 2021")</f>
        <v>Data Structure &amp; Algorithm using C++ : Zero To Mastery 2021</v>
      </c>
    </row>
    <row r="6502">
      <c r="A6502" s="140" t="str">
        <f>IFERROR(__xludf.DUMMYFUNCTION("""COMPUTED_VALUE"""),"pt")</f>
        <v>pt</v>
      </c>
      <c r="B6502">
        <f>IFERROR(__xludf.DUMMYFUNCTION("""COMPUTED_VALUE"""),51510.0)</f>
        <v>51510</v>
      </c>
      <c r="C6502" t="str">
        <f>IFERROR(__xludf.DUMMYFUNCTION("""COMPUTED_VALUE"""),"VMware virtualization from Scratch")</f>
        <v>VMware virtualization from Scratch</v>
      </c>
    </row>
    <row r="6503">
      <c r="A6503" s="140" t="str">
        <f>IFERROR(__xludf.DUMMYFUNCTION("""COMPUTED_VALUE"""),"pt")</f>
        <v>pt</v>
      </c>
      <c r="B6503">
        <f>IFERROR(__xludf.DUMMYFUNCTION("""COMPUTED_VALUE"""),1272392.0)</f>
        <v>1272392</v>
      </c>
      <c r="C6503" t="str">
        <f>IFERROR(__xludf.DUMMYFUNCTION("""COMPUTED_VALUE"""),"Curso Completo de Facebook Retargeting &amp; Facebook Marketing")</f>
        <v>Curso Completo de Facebook Retargeting &amp; Facebook Marketing</v>
      </c>
    </row>
    <row r="6504">
      <c r="A6504" s="140" t="str">
        <f>IFERROR(__xludf.DUMMYFUNCTION("""COMPUTED_VALUE"""),"en")</f>
        <v>en</v>
      </c>
      <c r="B6504">
        <f>IFERROR(__xludf.DUMMYFUNCTION("""COMPUTED_VALUE"""),2501444.0)</f>
        <v>2501444</v>
      </c>
      <c r="C6504" t="str">
        <f>IFERROR(__xludf.DUMMYFUNCTION("""COMPUTED_VALUE"""),"Android Multithreading Masterclass")</f>
        <v>Android Multithreading Masterclass</v>
      </c>
    </row>
    <row r="6505">
      <c r="A6505" s="140" t="str">
        <f>IFERROR(__xludf.DUMMYFUNCTION("""COMPUTED_VALUE"""),"en")</f>
        <v>en</v>
      </c>
      <c r="B6505">
        <f>IFERROR(__xludf.DUMMYFUNCTION("""COMPUTED_VALUE"""),1878624.0)</f>
        <v>1878624</v>
      </c>
      <c r="C6505" t="str">
        <f>IFERROR(__xludf.DUMMYFUNCTION("""COMPUTED_VALUE"""),"AWS Certified Solutions Architect Associate Practice Exams")</f>
        <v>AWS Certified Solutions Architect Associate Practice Exams</v>
      </c>
    </row>
    <row r="6506">
      <c r="A6506" s="140" t="str">
        <f>IFERROR(__xludf.DUMMYFUNCTION("""COMPUTED_VALUE"""),"en")</f>
        <v>en</v>
      </c>
      <c r="B6506">
        <f>IFERROR(__xludf.DUMMYFUNCTION("""COMPUTED_VALUE"""),3740096.0)</f>
        <v>3740096</v>
      </c>
      <c r="C6506" t="str">
        <f>IFERROR(__xludf.DUMMYFUNCTION("""COMPUTED_VALUE"""),"Fundamentals of OT Cybersecurity (ICS/SCADA)")</f>
        <v>Fundamentals of OT Cybersecurity (ICS/SCADA)</v>
      </c>
    </row>
    <row r="6507">
      <c r="A6507" s="140" t="str">
        <f>IFERROR(__xludf.DUMMYFUNCTION("""COMPUTED_VALUE"""),"es")</f>
        <v>es</v>
      </c>
      <c r="B6507">
        <f>IFERROR(__xludf.DUMMYFUNCTION("""COMPUTED_VALUE"""),86798.0)</f>
        <v>86798</v>
      </c>
      <c r="C6507" t="str">
        <f>IFERROR(__xludf.DUMMYFUNCTION("""COMPUTED_VALUE"""),"Escuela de Inteligencia Emocional")</f>
        <v>Escuela de Inteligencia Emocional</v>
      </c>
    </row>
    <row r="6508">
      <c r="A6508" s="140" t="str">
        <f>IFERROR(__xludf.DUMMYFUNCTION("""COMPUTED_VALUE"""),"en")</f>
        <v>en</v>
      </c>
      <c r="B6508">
        <f>IFERROR(__xludf.DUMMYFUNCTION("""COMPUTED_VALUE"""),3734830.0)</f>
        <v>3734830</v>
      </c>
      <c r="C6508" t="str">
        <f>IFERROR(__xludf.DUMMYFUNCTION("""COMPUTED_VALUE"""),"International Trade Finance - An Overview")</f>
        <v>International Trade Finance - An Overview</v>
      </c>
    </row>
    <row r="6509">
      <c r="A6509" s="140" t="str">
        <f>IFERROR(__xludf.DUMMYFUNCTION("""COMPUTED_VALUE"""),"en")</f>
        <v>en</v>
      </c>
      <c r="B6509">
        <f>IFERROR(__xludf.DUMMYFUNCTION("""COMPUTED_VALUE"""),980086.0)</f>
        <v>980086</v>
      </c>
      <c r="C6509" t="str">
        <f>IFERROR(__xludf.DUMMYFUNCTION("""COMPUTED_VALUE"""),"Deep Learning Prerequisites: The Numpy Stack in Python (V2+)")</f>
        <v>Deep Learning Prerequisites: The Numpy Stack in Python (V2+)</v>
      </c>
    </row>
    <row r="6510">
      <c r="A6510" s="140" t="str">
        <f>IFERROR(__xludf.DUMMYFUNCTION("""COMPUTED_VALUE"""),"de")</f>
        <v>de</v>
      </c>
      <c r="B6510">
        <f>IFERROR(__xludf.DUMMYFUNCTION("""COMPUTED_VALUE"""),949006.0)</f>
        <v>949006</v>
      </c>
      <c r="C6510" t="str">
        <f>IFERROR(__xludf.DUMMYFUNCTION("""COMPUTED_VALUE"""),"Online-Texte - Headlines, die zünden")</f>
        <v>Online-Texte - Headlines, die zünden</v>
      </c>
    </row>
    <row r="6511">
      <c r="A6511" s="140" t="str">
        <f>IFERROR(__xludf.DUMMYFUNCTION("""COMPUTED_VALUE"""),"en")</f>
        <v>en</v>
      </c>
      <c r="B6511">
        <f>IFERROR(__xludf.DUMMYFUNCTION("""COMPUTED_VALUE"""),1056934.0)</f>
        <v>1056934</v>
      </c>
      <c r="C6511" t="str">
        <f>IFERROR(__xludf.DUMMYFUNCTION("""COMPUTED_VALUE"""),"SAP MM Purchasing Simplified for Beginners")</f>
        <v>SAP MM Purchasing Simplified for Beginners</v>
      </c>
    </row>
    <row r="6512">
      <c r="A6512" s="140" t="str">
        <f>IFERROR(__xludf.DUMMYFUNCTION("""COMPUTED_VALUE"""),"en")</f>
        <v>en</v>
      </c>
      <c r="B6512">
        <f>IFERROR(__xludf.DUMMYFUNCTION("""COMPUTED_VALUE"""),1519712.0)</f>
        <v>1519712</v>
      </c>
      <c r="C6512" t="str">
        <f>IFERROR(__xludf.DUMMYFUNCTION("""COMPUTED_VALUE"""),"Learn German Language: German Course - Upper Intermediate")</f>
        <v>Learn German Language: German Course - Upper Intermediate</v>
      </c>
    </row>
    <row r="6513">
      <c r="A6513" s="140" t="str">
        <f>IFERROR(__xludf.DUMMYFUNCTION("""COMPUTED_VALUE"""),"en")</f>
        <v>en</v>
      </c>
      <c r="B6513">
        <f>IFERROR(__xludf.DUMMYFUNCTION("""COMPUTED_VALUE"""),102132.0)</f>
        <v>102132</v>
      </c>
      <c r="C6513" t="str">
        <f>IFERROR(__xludf.DUMMYFUNCTION("""COMPUTED_VALUE"""),"ASP.Net Web Forms Live Project")</f>
        <v>ASP.Net Web Forms Live Project</v>
      </c>
    </row>
    <row r="6514">
      <c r="A6514" s="140" t="str">
        <f>IFERROR(__xludf.DUMMYFUNCTION("""COMPUTED_VALUE"""),"ja")</f>
        <v>ja</v>
      </c>
      <c r="B6514">
        <f>IFERROR(__xludf.DUMMYFUNCTION("""COMPUTED_VALUE"""),3055188.0)</f>
        <v>3055188</v>
      </c>
      <c r="C6514" t="str">
        <f>IFERROR(__xludf.DUMMYFUNCTION("""COMPUTED_VALUE"""),"【超初心者向け】YouTube動画編集を８ステップで具体的に実践！（Adobe Premiere Pro CC）")</f>
        <v>【超初心者向け】YouTube動画編集を８ステップで具体的に実践！（Adobe Premiere Pro CC）</v>
      </c>
    </row>
    <row r="6515">
      <c r="A6515" s="140" t="str">
        <f>IFERROR(__xludf.DUMMYFUNCTION("""COMPUTED_VALUE"""),"tr")</f>
        <v>tr</v>
      </c>
      <c r="B6515">
        <f>IFERROR(__xludf.DUMMYFUNCTION("""COMPUTED_VALUE"""),1877782.0)</f>
        <v>1877782</v>
      </c>
      <c r="C6515" t="str">
        <f>IFERROR(__xludf.DUMMYFUNCTION("""COMPUTED_VALUE"""),"Php-Mysql-Retrofit Kullanarak Android Projeleri Geliştirme")</f>
        <v>Php-Mysql-Retrofit Kullanarak Android Projeleri Geliştirme</v>
      </c>
    </row>
    <row r="6516">
      <c r="A6516" s="140" t="str">
        <f>IFERROR(__xludf.DUMMYFUNCTION("""COMPUTED_VALUE"""),"pt")</f>
        <v>pt</v>
      </c>
      <c r="B6516">
        <f>IFERROR(__xludf.DUMMYFUNCTION("""COMPUTED_VALUE"""),1692174.0)</f>
        <v>1692174</v>
      </c>
      <c r="C6516" t="str">
        <f>IFERROR(__xludf.DUMMYFUNCTION("""COMPUTED_VALUE"""),"Algoritmos Genéticos em R")</f>
        <v>Algoritmos Genéticos em R</v>
      </c>
    </row>
    <row r="6517">
      <c r="A6517" s="140" t="str">
        <f>IFERROR(__xludf.DUMMYFUNCTION("""COMPUTED_VALUE"""),"en")</f>
        <v>en</v>
      </c>
      <c r="B6517">
        <f>IFERROR(__xludf.DUMMYFUNCTION("""COMPUTED_VALUE"""),958668.0)</f>
        <v>958668</v>
      </c>
      <c r="C6517" t="str">
        <f>IFERROR(__xludf.DUMMYFUNCTION("""COMPUTED_VALUE"""),"Designing for 3D Printing with Fusion 360")</f>
        <v>Designing for 3D Printing with Fusion 360</v>
      </c>
    </row>
    <row r="6518">
      <c r="A6518" s="140" t="str">
        <f>IFERROR(__xludf.DUMMYFUNCTION("""COMPUTED_VALUE"""),"ja")</f>
        <v>ja</v>
      </c>
      <c r="B6518">
        <f>IFERROR(__xludf.DUMMYFUNCTION("""COMPUTED_VALUE"""),3809548.0)</f>
        <v>3809548</v>
      </c>
      <c r="C6518" t="str">
        <f>IFERROR(__xludf.DUMMYFUNCTION("""COMPUTED_VALUE"""),"【セキュリティ知識を深める！】情報セキュリティ基礎 + 情報セキュリティマネジメント試験 合格講座")</f>
        <v>【セキュリティ知識を深める！】情報セキュリティ基礎 + 情報セキュリティマネジメント試験 合格講座</v>
      </c>
    </row>
    <row r="6519">
      <c r="A6519" s="140" t="str">
        <f>IFERROR(__xludf.DUMMYFUNCTION("""COMPUTED_VALUE"""),"en")</f>
        <v>en</v>
      </c>
      <c r="B6519">
        <f>IFERROR(__xludf.DUMMYFUNCTION("""COMPUTED_VALUE"""),2489750.0)</f>
        <v>2489750</v>
      </c>
      <c r="C6519" t="str">
        <f>IFERROR(__xludf.DUMMYFUNCTION("""COMPUTED_VALUE"""),"The Complete Guide to Combine Framework in iOS Using Swift")</f>
        <v>The Complete Guide to Combine Framework in iOS Using Swift</v>
      </c>
    </row>
    <row r="6520">
      <c r="A6520" s="140" t="str">
        <f>IFERROR(__xludf.DUMMYFUNCTION("""COMPUTED_VALUE"""),"en")</f>
        <v>en</v>
      </c>
      <c r="B6520">
        <f>IFERROR(__xludf.DUMMYFUNCTION("""COMPUTED_VALUE"""),2225736.0)</f>
        <v>2225736</v>
      </c>
      <c r="C6520" t="str">
        <f>IFERROR(__xludf.DUMMYFUNCTION("""COMPUTED_VALUE"""),"Intro to Fluid Mechanics for Engineering Students Part 1")</f>
        <v>Intro to Fluid Mechanics for Engineering Students Part 1</v>
      </c>
    </row>
    <row r="6521">
      <c r="A6521" s="140" t="str">
        <f>IFERROR(__xludf.DUMMYFUNCTION("""COMPUTED_VALUE"""),"es")</f>
        <v>es</v>
      </c>
      <c r="B6521">
        <f>IFERROR(__xludf.DUMMYFUNCTION("""COMPUTED_VALUE"""),2035614.0)</f>
        <v>2035614</v>
      </c>
      <c r="C6521" t="str">
        <f>IFERROR(__xludf.DUMMYFUNCTION("""COMPUTED_VALUE"""),"Introducción a las consultas SQL Server")</f>
        <v>Introducción a las consultas SQL Server</v>
      </c>
    </row>
    <row r="6522">
      <c r="A6522" s="140" t="str">
        <f>IFERROR(__xludf.DUMMYFUNCTION("""COMPUTED_VALUE"""),"en")</f>
        <v>en</v>
      </c>
      <c r="B6522">
        <f>IFERROR(__xludf.DUMMYFUNCTION("""COMPUTED_VALUE"""),2059853.0)</f>
        <v>2059853</v>
      </c>
      <c r="C6522" t="str">
        <f>IFERROR(__xludf.DUMMYFUNCTION("""COMPUTED_VALUE"""),"AWS Certified Cloud Practitioner 500 Practice Exam Questions")</f>
        <v>AWS Certified Cloud Practitioner 500 Practice Exam Questions</v>
      </c>
    </row>
    <row r="6523">
      <c r="A6523" s="140" t="str">
        <f>IFERROR(__xludf.DUMMYFUNCTION("""COMPUTED_VALUE"""),"pt")</f>
        <v>pt</v>
      </c>
      <c r="B6523">
        <f>IFERROR(__xludf.DUMMYFUNCTION("""COMPUTED_VALUE"""),1538070.0)</f>
        <v>1538070</v>
      </c>
      <c r="C6523" t="str">
        <f>IFERROR(__xludf.DUMMYFUNCTION("""COMPUTED_VALUE"""),"Métricas para Produtos Digitais")</f>
        <v>Métricas para Produtos Digitais</v>
      </c>
    </row>
    <row r="6524">
      <c r="A6524" s="140" t="str">
        <f>IFERROR(__xludf.DUMMYFUNCTION("""COMPUTED_VALUE"""),"pt")</f>
        <v>pt</v>
      </c>
      <c r="B6524">
        <f>IFERROR(__xludf.DUMMYFUNCTION("""COMPUTED_VALUE"""),3895440.0)</f>
        <v>3895440</v>
      </c>
      <c r="C6524" t="str">
        <f>IFERROR(__xludf.DUMMYFUNCTION("""COMPUTED_VALUE"""),"Lean Manufacturing completo (produção enxuta)")</f>
        <v>Lean Manufacturing completo (produção enxuta)</v>
      </c>
    </row>
    <row r="6525">
      <c r="A6525" s="140" t="str">
        <f>IFERROR(__xludf.DUMMYFUNCTION("""COMPUTED_VALUE"""),"en")</f>
        <v>en</v>
      </c>
      <c r="B6525">
        <f>IFERROR(__xludf.DUMMYFUNCTION("""COMPUTED_VALUE"""),437860.0)</f>
        <v>437860</v>
      </c>
      <c r="C6525" t="str">
        <f>IFERROR(__xludf.DUMMYFUNCTION("""COMPUTED_VALUE"""),"Effectively Managing Employee Performance")</f>
        <v>Effectively Managing Employee Performance</v>
      </c>
    </row>
    <row r="6526">
      <c r="A6526" s="140" t="str">
        <f>IFERROR(__xludf.DUMMYFUNCTION("""COMPUTED_VALUE"""),"en")</f>
        <v>en</v>
      </c>
      <c r="B6526">
        <f>IFERROR(__xludf.DUMMYFUNCTION("""COMPUTED_VALUE"""),1390206.0)</f>
        <v>1390206</v>
      </c>
      <c r="C6526" t="str">
        <f>IFERROR(__xludf.DUMMYFUNCTION("""COMPUTED_VALUE"""),"Video Editing in DaVinci Resolve 17: Beginner to Advanced")</f>
        <v>Video Editing in DaVinci Resolve 17: Beginner to Advanced</v>
      </c>
    </row>
    <row r="6527">
      <c r="A6527" s="140" t="str">
        <f>IFERROR(__xludf.DUMMYFUNCTION("""COMPUTED_VALUE"""),"es")</f>
        <v>es</v>
      </c>
      <c r="B6527">
        <f>IFERROR(__xludf.DUMMYFUNCTION("""COMPUTED_VALUE"""),2647192.0)</f>
        <v>2647192</v>
      </c>
      <c r="C6527" t="str">
        <f>IFERROR(__xludf.DUMMYFUNCTION("""COMPUTED_VALUE"""),"Curso de Inglés elemental nivel A1")</f>
        <v>Curso de Inglés elemental nivel A1</v>
      </c>
    </row>
    <row r="6528">
      <c r="A6528" s="140" t="str">
        <f>IFERROR(__xludf.DUMMYFUNCTION("""COMPUTED_VALUE"""),"en")</f>
        <v>en</v>
      </c>
      <c r="B6528">
        <f>IFERROR(__xludf.DUMMYFUNCTION("""COMPUTED_VALUE"""),3173596.0)</f>
        <v>3173596</v>
      </c>
      <c r="C6528" t="str">
        <f>IFERROR(__xludf.DUMMYFUNCTION("""COMPUTED_VALUE"""),"Hacking and Pentesting Android Applications")</f>
        <v>Hacking and Pentesting Android Applications</v>
      </c>
    </row>
    <row r="6529">
      <c r="A6529" s="140" t="str">
        <f>IFERROR(__xludf.DUMMYFUNCTION("""COMPUTED_VALUE"""),"en")</f>
        <v>en</v>
      </c>
      <c r="B6529">
        <f>IFERROR(__xludf.DUMMYFUNCTION("""COMPUTED_VALUE"""),1091494.0)</f>
        <v>1091494</v>
      </c>
      <c r="C6529" t="str">
        <f>IFERROR(__xludf.DUMMYFUNCTION("""COMPUTED_VALUE"""),"Building an Automated SQL Server Performance Tuning Engine")</f>
        <v>Building an Automated SQL Server Performance Tuning Engine</v>
      </c>
    </row>
    <row r="6530">
      <c r="A6530" s="140" t="str">
        <f>IFERROR(__xludf.DUMMYFUNCTION("""COMPUTED_VALUE"""),"ja")</f>
        <v>ja</v>
      </c>
      <c r="B6530">
        <f>IFERROR(__xludf.DUMMYFUNCTION("""COMPUTED_VALUE"""),3854690.0)</f>
        <v>3854690</v>
      </c>
      <c r="C6530" t="str">
        <f>IFERROR(__xludf.DUMMYFUNCTION("""COMPUTED_VALUE"""),"【世界ベストセラー講師による】70分で学ぶ！交渉テクニック")</f>
        <v>【世界ベストセラー講師による】70分で学ぶ！交渉テクニック</v>
      </c>
    </row>
    <row r="6531">
      <c r="A6531" s="140" t="str">
        <f>IFERROR(__xludf.DUMMYFUNCTION("""COMPUTED_VALUE"""),"ko")</f>
        <v>ko</v>
      </c>
      <c r="B6531">
        <f>IFERROR(__xludf.DUMMYFUNCTION("""COMPUTED_VALUE"""),4094572.0)</f>
        <v>4094572</v>
      </c>
      <c r="C6531" t="str">
        <f>IFERROR(__xludf.DUMMYFUNCTION("""COMPUTED_VALUE"""),"데이터 분석 고민하지 마세요! 하루 딱 2시간만에 배우는 파이썬 입문")</f>
        <v>데이터 분석 고민하지 마세요! 하루 딱 2시간만에 배우는 파이썬 입문</v>
      </c>
    </row>
    <row r="6532">
      <c r="A6532" s="140" t="str">
        <f>IFERROR(__xludf.DUMMYFUNCTION("""COMPUTED_VALUE"""),"fr")</f>
        <v>fr</v>
      </c>
      <c r="B6532">
        <f>IFERROR(__xludf.DUMMYFUNCTION("""COMPUTED_VALUE"""),2194538.0)</f>
        <v>2194538</v>
      </c>
      <c r="C6532" t="str">
        <f>IFERROR(__xludf.DUMMYFUNCTION("""COMPUTED_VALUE"""),"Odoo V13 : Formation Ventes")</f>
        <v>Odoo V13 : Formation Ventes</v>
      </c>
    </row>
    <row r="6533">
      <c r="A6533" s="140" t="str">
        <f>IFERROR(__xludf.DUMMYFUNCTION("""COMPUTED_VALUE"""),"pt")</f>
        <v>pt</v>
      </c>
      <c r="B6533">
        <f>IFERROR(__xludf.DUMMYFUNCTION("""COMPUTED_VALUE"""),1719508.0)</f>
        <v>1719508</v>
      </c>
      <c r="C6533" t="str">
        <f>IFERROR(__xludf.DUMMYFUNCTION("""COMPUTED_VALUE"""),"Curso Completo de Educação Financeira")</f>
        <v>Curso Completo de Educação Financeira</v>
      </c>
    </row>
    <row r="6534">
      <c r="A6534" s="140" t="str">
        <f>IFERROR(__xludf.DUMMYFUNCTION("""COMPUTED_VALUE"""),"es")</f>
        <v>es</v>
      </c>
      <c r="B6534">
        <f>IFERROR(__xludf.DUMMYFUNCTION("""COMPUTED_VALUE"""),2343178.0)</f>
        <v>2343178</v>
      </c>
      <c r="C6534" t="str">
        <f>IFERROR(__xludf.DUMMYFUNCTION("""COMPUTED_VALUE"""),"Kubernetes por un Guru de DevOps")</f>
        <v>Kubernetes por un Guru de DevOps</v>
      </c>
    </row>
    <row r="6535">
      <c r="A6535" s="140" t="str">
        <f>IFERROR(__xludf.DUMMYFUNCTION("""COMPUTED_VALUE"""),"fr")</f>
        <v>fr</v>
      </c>
      <c r="B6535">
        <f>IFERROR(__xludf.DUMMYFUNCTION("""COMPUTED_VALUE"""),1364900.0)</f>
        <v>1364900</v>
      </c>
      <c r="C6535" t="str">
        <f>IFERROR(__xludf.DUMMYFUNCTION("""COMPUTED_VALUE"""),"Formation Complète sur Arduino : les premiers pas vers l'IoT")</f>
        <v>Formation Complète sur Arduino : les premiers pas vers l'IoT</v>
      </c>
    </row>
    <row r="6536">
      <c r="A6536" s="140" t="str">
        <f>IFERROR(__xludf.DUMMYFUNCTION("""COMPUTED_VALUE"""),"pt")</f>
        <v>pt</v>
      </c>
      <c r="B6536">
        <f>IFERROR(__xludf.DUMMYFUNCTION("""COMPUTED_VALUE"""),3968200.0)</f>
        <v>3968200</v>
      </c>
      <c r="C6536" t="str">
        <f>IFERROR(__xludf.DUMMYFUNCTION("""COMPUTED_VALUE"""),"Marketing Digital e Estratégia - Curso Completo")</f>
        <v>Marketing Digital e Estratégia - Curso Completo</v>
      </c>
    </row>
    <row r="6537">
      <c r="A6537" s="140" t="str">
        <f>IFERROR(__xludf.DUMMYFUNCTION("""COMPUTED_VALUE"""),"en")</f>
        <v>en</v>
      </c>
      <c r="B6537">
        <f>IFERROR(__xludf.DUMMYFUNCTION("""COMPUTED_VALUE"""),2082504.0)</f>
        <v>2082504</v>
      </c>
      <c r="C6537" t="str">
        <f>IFERROR(__xludf.DUMMYFUNCTION("""COMPUTED_VALUE"""),"Jazz Piano - Ultimate Beginners Course for Piano &amp; Keyboard")</f>
        <v>Jazz Piano - Ultimate Beginners Course for Piano &amp; Keyboard</v>
      </c>
    </row>
    <row r="6538">
      <c r="A6538" s="140" t="str">
        <f>IFERROR(__xludf.DUMMYFUNCTION("""COMPUTED_VALUE"""),"en")</f>
        <v>en</v>
      </c>
      <c r="B6538">
        <f>IFERROR(__xludf.DUMMYFUNCTION("""COMPUTED_VALUE"""),3902836.0)</f>
        <v>3902836</v>
      </c>
      <c r="C6538" t="str">
        <f>IFERROR(__xludf.DUMMYFUNCTION("""COMPUTED_VALUE"""),"Mastering Databricks &amp; Apache spark -Build ETL data pipeline")</f>
        <v>Mastering Databricks &amp; Apache spark -Build ETL data pipeline</v>
      </c>
    </row>
    <row r="6539">
      <c r="A6539" s="140" t="str">
        <f>IFERROR(__xludf.DUMMYFUNCTION("""COMPUTED_VALUE"""),"es")</f>
        <v>es</v>
      </c>
      <c r="B6539">
        <f>IFERROR(__xludf.DUMMYFUNCTION("""COMPUTED_VALUE"""),2773984.0)</f>
        <v>2773984</v>
      </c>
      <c r="C6539" t="str">
        <f>IFERROR(__xludf.DUMMYFUNCTION("""COMPUTED_VALUE"""),"Docker, kubernetes y openshift")</f>
        <v>Docker, kubernetes y openshift</v>
      </c>
    </row>
    <row r="6540">
      <c r="A6540" s="140" t="str">
        <f>IFERROR(__xludf.DUMMYFUNCTION("""COMPUTED_VALUE"""),"en")</f>
        <v>en</v>
      </c>
      <c r="B6540">
        <f>IFERROR(__xludf.DUMMYFUNCTION("""COMPUTED_VALUE"""),844028.0)</f>
        <v>844028</v>
      </c>
      <c r="C6540" t="str">
        <f>IFERROR(__xludf.DUMMYFUNCTION("""COMPUTED_VALUE"""),"Business Plan : Outlines , Templates &amp; Case Study")</f>
        <v>Business Plan : Outlines , Templates &amp; Case Study</v>
      </c>
    </row>
    <row r="6541">
      <c r="A6541" s="140" t="str">
        <f>IFERROR(__xludf.DUMMYFUNCTION("""COMPUTED_VALUE"""),"en")</f>
        <v>en</v>
      </c>
      <c r="B6541">
        <f>IFERROR(__xludf.DUMMYFUNCTION("""COMPUTED_VALUE"""),432638.0)</f>
        <v>432638</v>
      </c>
      <c r="C6541" t="str">
        <f>IFERROR(__xludf.DUMMYFUNCTION("""COMPUTED_VALUE"""),"Microsoft Project 13/16/19 - Like a Boss (Exam 74-343 prep)")</f>
        <v>Microsoft Project 13/16/19 - Like a Boss (Exam 74-343 prep)</v>
      </c>
    </row>
    <row r="6542">
      <c r="A6542" s="140" t="str">
        <f>IFERROR(__xludf.DUMMYFUNCTION("""COMPUTED_VALUE"""),"fr")</f>
        <v>fr</v>
      </c>
      <c r="B6542">
        <f>IFERROR(__xludf.DUMMYFUNCTION("""COMPUTED_VALUE"""),1692228.0)</f>
        <v>1692228</v>
      </c>
      <c r="C6542" t="str">
        <f>IFERROR(__xludf.DUMMYFUNCTION("""COMPUTED_VALUE"""),"SQL pour débutants (l'essentiel par la pratique)")</f>
        <v>SQL pour débutants (l'essentiel par la pratique)</v>
      </c>
    </row>
    <row r="6543">
      <c r="A6543" s="140" t="str">
        <f>IFERROR(__xludf.DUMMYFUNCTION("""COMPUTED_VALUE"""),"pt")</f>
        <v>pt</v>
      </c>
      <c r="B6543">
        <f>IFERROR(__xludf.DUMMYFUNCTION("""COMPUTED_VALUE"""),3112648.0)</f>
        <v>3112648</v>
      </c>
      <c r="C6543" t="str">
        <f>IFERROR(__xludf.DUMMYFUNCTION("""COMPUTED_VALUE"""),"Excel Expert 2.0 - O Excel para o Mercado Financeiro")</f>
        <v>Excel Expert 2.0 - O Excel para o Mercado Financeiro</v>
      </c>
    </row>
    <row r="6544">
      <c r="A6544" s="140" t="str">
        <f>IFERROR(__xludf.DUMMYFUNCTION("""COMPUTED_VALUE"""),"fr")</f>
        <v>fr</v>
      </c>
      <c r="B6544">
        <f>IFERROR(__xludf.DUMMYFUNCTION("""COMPUTED_VALUE"""),3269096.0)</f>
        <v>3269096</v>
      </c>
      <c r="C6544" t="str">
        <f>IFERROR(__xludf.DUMMYFUNCTION("""COMPUTED_VALUE"""),"Dactylographie - Frappe à l'aveugle sur un clavier AZERTY")</f>
        <v>Dactylographie - Frappe à l'aveugle sur un clavier AZERTY</v>
      </c>
    </row>
    <row r="6545">
      <c r="A6545" s="140" t="str">
        <f>IFERROR(__xludf.DUMMYFUNCTION("""COMPUTED_VALUE"""),"en")</f>
        <v>en</v>
      </c>
      <c r="B6545">
        <f>IFERROR(__xludf.DUMMYFUNCTION("""COMPUTED_VALUE"""),3894358.0)</f>
        <v>3894358</v>
      </c>
      <c r="C6545" t="str">
        <f>IFERROR(__xludf.DUMMYFUNCTION("""COMPUTED_VALUE"""),"IT Audit Fundamentals | Introduction to Controls")</f>
        <v>IT Audit Fundamentals | Introduction to Controls</v>
      </c>
    </row>
    <row r="6546">
      <c r="A6546" s="140" t="str">
        <f>IFERROR(__xludf.DUMMYFUNCTION("""COMPUTED_VALUE"""),"ja")</f>
        <v>ja</v>
      </c>
      <c r="B6546">
        <f>IFERROR(__xludf.DUMMYFUNCTION("""COMPUTED_VALUE"""),2582904.0)</f>
        <v>2582904</v>
      </c>
      <c r="C6546" t="str">
        <f>IFERROR(__xludf.DUMMYFUNCTION("""COMPUTED_VALUE"""),"ハンズオンで学ぶTypeScript - JavaScript エンジニアのためのTypeScript徹底入門")</f>
        <v>ハンズオンで学ぶTypeScript - JavaScript エンジニアのためのTypeScript徹底入門</v>
      </c>
    </row>
    <row r="6547">
      <c r="A6547" s="140" t="str">
        <f>IFERROR(__xludf.DUMMYFUNCTION("""COMPUTED_VALUE"""),"de")</f>
        <v>de</v>
      </c>
      <c r="B6547">
        <f>IFERROR(__xludf.DUMMYFUNCTION("""COMPUTED_VALUE"""),1172370.0)</f>
        <v>1172370</v>
      </c>
      <c r="C6547" t="str">
        <f>IFERROR(__xludf.DUMMYFUNCTION("""COMPUTED_VALUE"""),"Finanzen für Unternehmer: mehr Erfolg mit Finanzwissen!")</f>
        <v>Finanzen für Unternehmer: mehr Erfolg mit Finanzwissen!</v>
      </c>
    </row>
    <row r="6548">
      <c r="A6548" s="140" t="str">
        <f>IFERROR(__xludf.DUMMYFUNCTION("""COMPUTED_VALUE"""),"en")</f>
        <v>en</v>
      </c>
      <c r="B6548">
        <f>IFERROR(__xludf.DUMMYFUNCTION("""COMPUTED_VALUE"""),373312.0)</f>
        <v>373312</v>
      </c>
      <c r="C6548" t="str">
        <f>IFERROR(__xludf.DUMMYFUNCTION("""COMPUTED_VALUE"""),"21 Day Crash Course in Emotional Intelligence")</f>
        <v>21 Day Crash Course in Emotional Intelligence</v>
      </c>
    </row>
    <row r="6549">
      <c r="A6549" s="140" t="str">
        <f>IFERROR(__xludf.DUMMYFUNCTION("""COMPUTED_VALUE"""),"en")</f>
        <v>en</v>
      </c>
      <c r="B6549">
        <f>IFERROR(__xludf.DUMMYFUNCTION("""COMPUTED_VALUE"""),802818.0)</f>
        <v>802818</v>
      </c>
      <c r="C6549" t="str">
        <f>IFERROR(__xludf.DUMMYFUNCTION("""COMPUTED_VALUE"""),"Business Etiquette 101: Social Skills for Success")</f>
        <v>Business Etiquette 101: Social Skills for Success</v>
      </c>
    </row>
    <row r="6550">
      <c r="A6550" s="140" t="str">
        <f>IFERROR(__xludf.DUMMYFUNCTION("""COMPUTED_VALUE"""),"ko")</f>
        <v>ko</v>
      </c>
      <c r="B6550">
        <f>IFERROR(__xludf.DUMMYFUNCTION("""COMPUTED_VALUE"""),897520.0)</f>
        <v>897520</v>
      </c>
      <c r="C6550" t="str">
        <f>IFERROR(__xludf.DUMMYFUNCTION("""COMPUTED_VALUE"""),"라즈베리파이 IoT 시작하기")</f>
        <v>라즈베리파이 IoT 시작하기</v>
      </c>
    </row>
    <row r="6551">
      <c r="A6551" s="140" t="str">
        <f>IFERROR(__xludf.DUMMYFUNCTION("""COMPUTED_VALUE"""),"en")</f>
        <v>en</v>
      </c>
      <c r="B6551">
        <f>IFERROR(__xludf.DUMMYFUNCTION("""COMPUTED_VALUE"""),1692020.0)</f>
        <v>1692020</v>
      </c>
      <c r="C6551" t="str">
        <f>IFERROR(__xludf.DUMMYFUNCTION("""COMPUTED_VALUE"""),"Copywriting Secrets: Become a Content Writing Expert")</f>
        <v>Copywriting Secrets: Become a Content Writing Expert</v>
      </c>
    </row>
    <row r="6552">
      <c r="A6552" s="140" t="str">
        <f>IFERROR(__xludf.DUMMYFUNCTION("""COMPUTED_VALUE"""),"es")</f>
        <v>es</v>
      </c>
      <c r="B6552">
        <f>IFERROR(__xludf.DUMMYFUNCTION("""COMPUTED_VALUE"""),3118186.0)</f>
        <v>3118186</v>
      </c>
      <c r="C6552" t="str">
        <f>IFERROR(__xludf.DUMMYFUNCTION("""COMPUTED_VALUE"""),"Aprende matemáticas desde cero - Aritmética")</f>
        <v>Aprende matemáticas desde cero - Aritmética</v>
      </c>
    </row>
    <row r="6553">
      <c r="A6553" s="140" t="str">
        <f>IFERROR(__xludf.DUMMYFUNCTION("""COMPUTED_VALUE"""),"fr")</f>
        <v>fr</v>
      </c>
      <c r="B6553">
        <f>IFERROR(__xludf.DUMMYFUNCTION("""COMPUTED_VALUE"""),3673832.0)</f>
        <v>3673832</v>
      </c>
      <c r="C6553" t="str">
        <f>IFERROR(__xludf.DUMMYFUNCTION("""COMPUTED_VALUE"""),"Node.js : le Guide Ultime (+ Express, React, MongoDB, JWT)")</f>
        <v>Node.js : le Guide Ultime (+ Express, React, MongoDB, JWT)</v>
      </c>
    </row>
    <row r="6554">
      <c r="A6554" s="140" t="str">
        <f>IFERROR(__xludf.DUMMYFUNCTION("""COMPUTED_VALUE"""),"en")</f>
        <v>en</v>
      </c>
      <c r="B6554">
        <f>IFERROR(__xludf.DUMMYFUNCTION("""COMPUTED_VALUE"""),2076630.0)</f>
        <v>2076630</v>
      </c>
      <c r="C6554" t="str">
        <f>IFERROR(__xludf.DUMMYFUNCTION("""COMPUTED_VALUE"""),"Day Trading and Swing Trading Strategies For Stocks")</f>
        <v>Day Trading and Swing Trading Strategies For Stocks</v>
      </c>
    </row>
    <row r="6555">
      <c r="A6555" s="140" t="str">
        <f>IFERROR(__xludf.DUMMYFUNCTION("""COMPUTED_VALUE"""),"ja")</f>
        <v>ja</v>
      </c>
      <c r="B6555">
        <f>IFERROR(__xludf.DUMMYFUNCTION("""COMPUTED_VALUE"""),3258248.0)</f>
        <v>3258248</v>
      </c>
      <c r="C6555" t="str">
        <f>IFERROR(__xludf.DUMMYFUNCTION("""COMPUTED_VALUE"""),"【超実践】すぐに使えるクリティカル・シンキング！〜主体性を取り戻し、ぶれない軸をつくる意思決定スキル〜")</f>
        <v>【超実践】すぐに使えるクリティカル・シンキング！〜主体性を取り戻し、ぶれない軸をつくる意思決定スキル〜</v>
      </c>
    </row>
    <row r="6556">
      <c r="A6556" s="140" t="str">
        <f>IFERROR(__xludf.DUMMYFUNCTION("""COMPUTED_VALUE"""),"de")</f>
        <v>de</v>
      </c>
      <c r="B6556">
        <f>IFERROR(__xludf.DUMMYFUNCTION("""COMPUTED_VALUE"""),1360976.0)</f>
        <v>1360976</v>
      </c>
      <c r="C6556" t="str">
        <f>IFERROR(__xludf.DUMMYFUNCTION("""COMPUTED_VALUE"""),"Ethical Hacking mit Python in der Praxis: Der Komplettkurs")</f>
        <v>Ethical Hacking mit Python in der Praxis: Der Komplettkurs</v>
      </c>
    </row>
    <row r="6557">
      <c r="A6557" s="140" t="str">
        <f>IFERROR(__xludf.DUMMYFUNCTION("""COMPUTED_VALUE"""),"en")</f>
        <v>en</v>
      </c>
      <c r="B6557">
        <f>IFERROR(__xludf.DUMMYFUNCTION("""COMPUTED_VALUE"""),2354114.0)</f>
        <v>2354114</v>
      </c>
      <c r="C6557" t="str">
        <f>IFERROR(__xludf.DUMMYFUNCTION("""COMPUTED_VALUE"""),"IT Asset Management (ITAM) - Hardware Asset Management (HAM)")</f>
        <v>IT Asset Management (ITAM) - Hardware Asset Management (HAM)</v>
      </c>
    </row>
    <row r="6558">
      <c r="A6558" s="140" t="str">
        <f>IFERROR(__xludf.DUMMYFUNCTION("""COMPUTED_VALUE"""),"ja")</f>
        <v>ja</v>
      </c>
      <c r="B6558">
        <f>IFERROR(__xludf.DUMMYFUNCTION("""COMPUTED_VALUE"""),3130480.0)</f>
        <v>3130480</v>
      </c>
      <c r="C6558" t="str">
        <f>IFERROR(__xludf.DUMMYFUNCTION("""COMPUTED_VALUE"""),"Java超初心者でも大丈夫！挫折させないJavaプログラミング講座～基礎固め編～")</f>
        <v>Java超初心者でも大丈夫！挫折させないJavaプログラミング講座～基礎固め編～</v>
      </c>
    </row>
    <row r="6559">
      <c r="A6559" s="140" t="str">
        <f>IFERROR(__xludf.DUMMYFUNCTION("""COMPUTED_VALUE"""),"ar")</f>
        <v>ar</v>
      </c>
      <c r="B6559">
        <f>IFERROR(__xludf.DUMMYFUNCTION("""COMPUTED_VALUE"""),285528.0)</f>
        <v>285528</v>
      </c>
      <c r="C6559" t="str">
        <f>IFERROR(__xludf.DUMMYFUNCTION("""COMPUTED_VALUE"""),"دورة الالكترونيات العملية - وليد عيسى")</f>
        <v>دورة الالكترونيات العملية - وليد عيسى</v>
      </c>
    </row>
    <row r="6560">
      <c r="A6560" s="140" t="str">
        <f>IFERROR(__xludf.DUMMYFUNCTION("""COMPUTED_VALUE"""),"tr")</f>
        <v>tr</v>
      </c>
      <c r="B6560">
        <f>IFERROR(__xludf.DUMMYFUNCTION("""COMPUTED_VALUE"""),3155792.0)</f>
        <v>3155792</v>
      </c>
      <c r="C6560" t="str">
        <f>IFERROR(__xludf.DUMMYFUNCTION("""COMPUTED_VALUE"""),"Arduino ile Adım Adım Robotik Kodlama Eğitimi")</f>
        <v>Arduino ile Adım Adım Robotik Kodlama Eğitimi</v>
      </c>
    </row>
    <row r="6561">
      <c r="A6561" s="140" t="str">
        <f>IFERROR(__xludf.DUMMYFUNCTION("""COMPUTED_VALUE"""),"en")</f>
        <v>en</v>
      </c>
      <c r="B6561">
        <f>IFERROR(__xludf.DUMMYFUNCTION("""COMPUTED_VALUE"""),3837596.0)</f>
        <v>3837596</v>
      </c>
      <c r="C6561" t="str">
        <f>IFERROR(__xludf.DUMMYFUNCTION("""COMPUTED_VALUE"""),"Copywriting Bootcamp: Your Complete Guide to Copywriting")</f>
        <v>Copywriting Bootcamp: Your Complete Guide to Copywriting</v>
      </c>
    </row>
    <row r="6562">
      <c r="A6562" s="140" t="str">
        <f>IFERROR(__xludf.DUMMYFUNCTION("""COMPUTED_VALUE"""),"en")</f>
        <v>en</v>
      </c>
      <c r="B6562">
        <f>IFERROR(__xludf.DUMMYFUNCTION("""COMPUTED_VALUE"""),3951580.0)</f>
        <v>3951580</v>
      </c>
      <c r="C6562" t="str">
        <f>IFERROR(__xludf.DUMMYFUNCTION("""COMPUTED_VALUE"""),"Software Architecture Essentials for Business Applications")</f>
        <v>Software Architecture Essentials for Business Applications</v>
      </c>
    </row>
    <row r="6563">
      <c r="A6563" s="140" t="str">
        <f>IFERROR(__xludf.DUMMYFUNCTION("""COMPUTED_VALUE"""),"ja")</f>
        <v>ja</v>
      </c>
      <c r="B6563">
        <f>IFERROR(__xludf.DUMMYFUNCTION("""COMPUTED_VALUE"""),1838216.0)</f>
        <v>1838216</v>
      </c>
      <c r="C6563" t="str">
        <f>IFERROR(__xludf.DUMMYFUNCTION("""COMPUTED_VALUE"""),"線形代数の理論とPythonによる実践")</f>
        <v>線形代数の理論とPythonによる実践</v>
      </c>
    </row>
    <row r="6564">
      <c r="A6564" s="140" t="str">
        <f>IFERROR(__xludf.DUMMYFUNCTION("""COMPUTED_VALUE"""),"en")</f>
        <v>en</v>
      </c>
      <c r="B6564">
        <f>IFERROR(__xludf.DUMMYFUNCTION("""COMPUTED_VALUE"""),703140.0)</f>
        <v>703140</v>
      </c>
      <c r="C6564" t="str">
        <f>IFERROR(__xludf.DUMMYFUNCTION("""COMPUTED_VALUE"""),"YouTube Masterclass - Your Complete Guide to YouTube")</f>
        <v>YouTube Masterclass - Your Complete Guide to YouTube</v>
      </c>
    </row>
    <row r="6565">
      <c r="A6565" s="140" t="str">
        <f>IFERROR(__xludf.DUMMYFUNCTION("""COMPUTED_VALUE"""),"en")</f>
        <v>en</v>
      </c>
      <c r="B6565">
        <f>IFERROR(__xludf.DUMMYFUNCTION("""COMPUTED_VALUE"""),1752802.0)</f>
        <v>1752802</v>
      </c>
      <c r="C6565" t="str">
        <f>IFERROR(__xludf.DUMMYFUNCTION("""COMPUTED_VALUE"""),"Perfect Your British English Accent - English Pronunciation")</f>
        <v>Perfect Your British English Accent - English Pronunciation</v>
      </c>
    </row>
    <row r="6566">
      <c r="A6566" s="140" t="str">
        <f>IFERROR(__xludf.DUMMYFUNCTION("""COMPUTED_VALUE"""),"en")</f>
        <v>en</v>
      </c>
      <c r="B6566">
        <f>IFERROR(__xludf.DUMMYFUNCTION("""COMPUTED_VALUE"""),1319746.0)</f>
        <v>1319746</v>
      </c>
      <c r="C6566" t="str">
        <f>IFERROR(__xludf.DUMMYFUNCTION("""COMPUTED_VALUE"""),"Automated Software Testing with Python")</f>
        <v>Automated Software Testing with Python</v>
      </c>
    </row>
    <row r="6567">
      <c r="A6567" s="140" t="str">
        <f>IFERROR(__xludf.DUMMYFUNCTION("""COMPUTED_VALUE"""),"tr")</f>
        <v>tr</v>
      </c>
      <c r="B6567">
        <f>IFERROR(__xludf.DUMMYFUNCTION("""COMPUTED_VALUE"""),2809567.0)</f>
        <v>2809567</v>
      </c>
      <c r="C6567" t="str">
        <f>IFERROR(__xludf.DUMMYFUNCTION("""COMPUTED_VALUE"""),"GPU Programlama")</f>
        <v>GPU Programlama</v>
      </c>
    </row>
    <row r="6568">
      <c r="A6568" s="140" t="str">
        <f>IFERROR(__xludf.DUMMYFUNCTION("""COMPUTED_VALUE"""),"ko")</f>
        <v>ko</v>
      </c>
      <c r="B6568">
        <f>IFERROR(__xludf.DUMMYFUNCTION("""COMPUTED_VALUE"""),4250570.0)</f>
        <v>4250570</v>
      </c>
      <c r="C6568" t="str">
        <f>IFERROR(__xludf.DUMMYFUNCTION("""COMPUTED_VALUE"""),"【글로벌 Best강의】 목표주가 산출을 위한 재무, 회계, 모델링, 기업가치평가 (한글자막)")</f>
        <v>【글로벌 Best강의】 목표주가 산출을 위한 재무, 회계, 모델링, 기업가치평가 (한글자막)</v>
      </c>
    </row>
    <row r="6569">
      <c r="A6569" s="140" t="str">
        <f>IFERROR(__xludf.DUMMYFUNCTION("""COMPUTED_VALUE"""),"tr")</f>
        <v>tr</v>
      </c>
      <c r="B6569">
        <f>IFERROR(__xludf.DUMMYFUNCTION("""COMPUTED_VALUE"""),3005000.0)</f>
        <v>3005000</v>
      </c>
      <c r="C6569" t="str">
        <f>IFERROR(__xludf.DUMMYFUNCTION("""COMPUTED_VALUE"""),"After Effects Temelleri")</f>
        <v>After Effects Temelleri</v>
      </c>
    </row>
    <row r="6570">
      <c r="A6570" s="140" t="str">
        <f>IFERROR(__xludf.DUMMYFUNCTION("""COMPUTED_VALUE"""),"en")</f>
        <v>en</v>
      </c>
      <c r="B6570">
        <f>IFERROR(__xludf.DUMMYFUNCTION("""COMPUTED_VALUE"""),992220.0)</f>
        <v>992220</v>
      </c>
      <c r="C6570" t="str">
        <f>IFERROR(__xludf.DUMMYFUNCTION("""COMPUTED_VALUE"""),"International Politics Mastery 2020: Levels of Analysis")</f>
        <v>International Politics Mastery 2020: Levels of Analysis</v>
      </c>
    </row>
    <row r="6571">
      <c r="A6571" s="140" t="str">
        <f>IFERROR(__xludf.DUMMYFUNCTION("""COMPUTED_VALUE"""),"en")</f>
        <v>en</v>
      </c>
      <c r="B6571">
        <f>IFERROR(__xludf.DUMMYFUNCTION("""COMPUTED_VALUE"""),537526.0)</f>
        <v>537526</v>
      </c>
      <c r="C6571" t="str">
        <f>IFERROR(__xludf.DUMMYFUNCTION("""COMPUTED_VALUE"""),"Udemy Course Creation for Passive Income (Unofficial)")</f>
        <v>Udemy Course Creation for Passive Income (Unofficial)</v>
      </c>
    </row>
    <row r="6572">
      <c r="A6572" s="140" t="str">
        <f>IFERROR(__xludf.DUMMYFUNCTION("""COMPUTED_VALUE"""),"en")</f>
        <v>en</v>
      </c>
      <c r="B6572">
        <f>IFERROR(__xludf.DUMMYFUNCTION("""COMPUTED_VALUE"""),3200226.0)</f>
        <v>3200226</v>
      </c>
      <c r="C6572" t="str">
        <f>IFERROR(__xludf.DUMMYFUNCTION("""COMPUTED_VALUE"""),"Automotive Radar")</f>
        <v>Automotive Radar</v>
      </c>
    </row>
    <row r="6573">
      <c r="A6573" s="140" t="str">
        <f>IFERROR(__xludf.DUMMYFUNCTION("""COMPUTED_VALUE"""),"de")</f>
        <v>de</v>
      </c>
      <c r="B6573">
        <f>IFERROR(__xludf.DUMMYFUNCTION("""COMPUTED_VALUE"""),1467160.0)</f>
        <v>1467160</v>
      </c>
      <c r="C6573" t="str">
        <f>IFERROR(__xludf.DUMMYFUNCTION("""COMPUTED_VALUE"""),"Excel Kurs: Formeln und Funktionen für Beginner")</f>
        <v>Excel Kurs: Formeln und Funktionen für Beginner</v>
      </c>
    </row>
    <row r="6574">
      <c r="A6574" s="140" t="str">
        <f>IFERROR(__xludf.DUMMYFUNCTION("""COMPUTED_VALUE"""),"en")</f>
        <v>en</v>
      </c>
      <c r="B6574">
        <f>IFERROR(__xludf.DUMMYFUNCTION("""COMPUTED_VALUE"""),3175574.0)</f>
        <v>3175574</v>
      </c>
      <c r="C6574" t="str">
        <f>IFERROR(__xludf.DUMMYFUNCTION("""COMPUTED_VALUE"""),"Microsoft 365 Messaging Administrator Course MS-203 200,201")</f>
        <v>Microsoft 365 Messaging Administrator Course MS-203 200,201</v>
      </c>
    </row>
    <row r="6575">
      <c r="A6575" s="140" t="str">
        <f>IFERROR(__xludf.DUMMYFUNCTION("""COMPUTED_VALUE"""),"tr")</f>
        <v>tr</v>
      </c>
      <c r="B6575">
        <f>IFERROR(__xludf.DUMMYFUNCTION("""COMPUTED_VALUE"""),3613766.0)</f>
        <v>3613766</v>
      </c>
      <c r="C6575" t="str">
        <f>IFERROR(__xludf.DUMMYFUNCTION("""COMPUTED_VALUE"""),"İngilizce Kelime Kursu: En Yaygın 6000+ Kelime - Aktiviteler")</f>
        <v>İngilizce Kelime Kursu: En Yaygın 6000+ Kelime - Aktiviteler</v>
      </c>
    </row>
    <row r="6576">
      <c r="A6576" s="140" t="str">
        <f>IFERROR(__xludf.DUMMYFUNCTION("""COMPUTED_VALUE"""),"en")</f>
        <v>en</v>
      </c>
      <c r="B6576">
        <f>IFERROR(__xludf.DUMMYFUNCTION("""COMPUTED_VALUE"""),2012588.0)</f>
        <v>2012588</v>
      </c>
      <c r="C6576" t="str">
        <f>IFERROR(__xludf.DUMMYFUNCTION("""COMPUTED_VALUE"""),"Microsoft Dynamics 365 (CRM) Workflows Mastery Course")</f>
        <v>Microsoft Dynamics 365 (CRM) Workflows Mastery Course</v>
      </c>
    </row>
    <row r="6577">
      <c r="A6577" s="140" t="str">
        <f>IFERROR(__xludf.DUMMYFUNCTION("""COMPUTED_VALUE"""),"es")</f>
        <v>es</v>
      </c>
      <c r="B6577">
        <f>IFERROR(__xludf.DUMMYFUNCTION("""COMPUTED_VALUE"""),1703424.0)</f>
        <v>1703424</v>
      </c>
      <c r="C6577" t="str">
        <f>IFERROR(__xludf.DUMMYFUNCTION("""COMPUTED_VALUE"""),"Curso completo de Oracle PL/SQL ""De Cero a Avanzado"" (2020)")</f>
        <v>Curso completo de Oracle PL/SQL "De Cero a Avanzado" (2020)</v>
      </c>
    </row>
    <row r="6578">
      <c r="A6578" s="140" t="str">
        <f>IFERROR(__xludf.DUMMYFUNCTION("""COMPUTED_VALUE"""),"pt")</f>
        <v>pt</v>
      </c>
      <c r="B6578">
        <f>IFERROR(__xludf.DUMMYFUNCTION("""COMPUTED_VALUE"""),2805523.0)</f>
        <v>2805523</v>
      </c>
      <c r="C6578" t="str">
        <f>IFERROR(__xludf.DUMMYFUNCTION("""COMPUTED_VALUE"""),"Analista de Finanças - Orçamento e Fluxo de Caixa em Excel")</f>
        <v>Analista de Finanças - Orçamento e Fluxo de Caixa em Excel</v>
      </c>
    </row>
    <row r="6579">
      <c r="A6579" s="140" t="str">
        <f>IFERROR(__xludf.DUMMYFUNCTION("""COMPUTED_VALUE"""),"en")</f>
        <v>en</v>
      </c>
      <c r="B6579">
        <f>IFERROR(__xludf.DUMMYFUNCTION("""COMPUTED_VALUE"""),3767510.0)</f>
        <v>3767510</v>
      </c>
      <c r="C6579" t="str">
        <f>IFERROR(__xludf.DUMMYFUNCTION("""COMPUTED_VALUE"""),"Clear and Simple NSX-T 3.0 (VCP-NV 2021 2V0-41.20)")</f>
        <v>Clear and Simple NSX-T 3.0 (VCP-NV 2021 2V0-41.20)</v>
      </c>
    </row>
    <row r="6580">
      <c r="A6580" s="140" t="str">
        <f>IFERROR(__xludf.DUMMYFUNCTION("""COMPUTED_VALUE"""),"tr")</f>
        <v>tr</v>
      </c>
      <c r="B6580">
        <f>IFERROR(__xludf.DUMMYFUNCTION("""COMPUTED_VALUE"""),1481852.0)</f>
        <v>1481852</v>
      </c>
      <c r="C6580" t="str">
        <f>IFERROR(__xludf.DUMMYFUNCTION("""COMPUTED_VALUE"""),"Her Seviyeye Uygun Uçtan Uca Veri Bilimi, Knime ile")</f>
        <v>Her Seviyeye Uygun Uçtan Uca Veri Bilimi, Knime ile</v>
      </c>
    </row>
    <row r="6581">
      <c r="A6581" s="140" t="str">
        <f>IFERROR(__xludf.DUMMYFUNCTION("""COMPUTED_VALUE"""),"en")</f>
        <v>en</v>
      </c>
      <c r="B6581">
        <f>IFERROR(__xludf.DUMMYFUNCTION("""COMPUTED_VALUE"""),2843012.0)</f>
        <v>2843012</v>
      </c>
      <c r="C6581" t="str">
        <f>IFERROR(__xludf.DUMMYFUNCTION("""COMPUTED_VALUE"""),"Node.js - The Complete RESTful API Masterclass (2021)")</f>
        <v>Node.js - The Complete RESTful API Masterclass (2021)</v>
      </c>
    </row>
    <row r="6582">
      <c r="A6582" s="140" t="str">
        <f>IFERROR(__xludf.DUMMYFUNCTION("""COMPUTED_VALUE"""),"ar")</f>
        <v>ar</v>
      </c>
      <c r="B6582">
        <f>IFERROR(__xludf.DUMMYFUNCTION("""COMPUTED_VALUE"""),2722264.0)</f>
        <v>2722264</v>
      </c>
      <c r="C6582" t="str">
        <f>IFERROR(__xludf.DUMMYFUNCTION("""COMPUTED_VALUE"""),"GSM,GPRS &amp; EDGE From A to Z in Arabic")</f>
        <v>GSM,GPRS &amp; EDGE From A to Z in Arabic</v>
      </c>
    </row>
    <row r="6583">
      <c r="A6583" s="140" t="str">
        <f>IFERROR(__xludf.DUMMYFUNCTION("""COMPUTED_VALUE"""),"tr")</f>
        <v>tr</v>
      </c>
      <c r="B6583">
        <f>IFERROR(__xludf.DUMMYFUNCTION("""COMPUTED_VALUE"""),2801466.0)</f>
        <v>2801466</v>
      </c>
      <c r="C6583" t="str">
        <f>IFERROR(__xludf.DUMMYFUNCTION("""COMPUTED_VALUE"""),"Ezber bozan satış teknikleri")</f>
        <v>Ezber bozan satış teknikleri</v>
      </c>
    </row>
    <row r="6584">
      <c r="A6584" s="140" t="str">
        <f>IFERROR(__xludf.DUMMYFUNCTION("""COMPUTED_VALUE"""),"ja")</f>
        <v>ja</v>
      </c>
      <c r="B6584">
        <f>IFERROR(__xludf.DUMMYFUNCTION("""COMPUTED_VALUE"""),3478486.0)</f>
        <v>3478486</v>
      </c>
      <c r="C6584" t="str">
        <f>IFERROR(__xludf.DUMMYFUNCTION("""COMPUTED_VALUE"""),"【初めてのKPI管理】エクセルで学ぶ重要指標マネジメント")</f>
        <v>【初めてのKPI管理】エクセルで学ぶ重要指標マネジメント</v>
      </c>
    </row>
    <row r="6585">
      <c r="A6585" s="140" t="str">
        <f>IFERROR(__xludf.DUMMYFUNCTION("""COMPUTED_VALUE"""),"de")</f>
        <v>de</v>
      </c>
      <c r="B6585">
        <f>IFERROR(__xludf.DUMMYFUNCTION("""COMPUTED_VALUE"""),3240598.0)</f>
        <v>3240598</v>
      </c>
      <c r="C6585" t="str">
        <f>IFERROR(__xludf.DUMMYFUNCTION("""COMPUTED_VALUE"""),"User Stories schreiben - aber richtig (agile/Scrum/Kanban)")</f>
        <v>User Stories schreiben - aber richtig (agile/Scrum/Kanban)</v>
      </c>
    </row>
    <row r="6586">
      <c r="A6586" s="140" t="str">
        <f>IFERROR(__xludf.DUMMYFUNCTION("""COMPUTED_VALUE"""),"ja")</f>
        <v>ja</v>
      </c>
      <c r="B6586">
        <f>IFERROR(__xludf.DUMMYFUNCTION("""COMPUTED_VALUE"""),2307940.0)</f>
        <v>2307940</v>
      </c>
      <c r="C6586" t="str">
        <f>IFERROR(__xludf.DUMMYFUNCTION("""COMPUTED_VALUE"""),"はじめての働き方改革")</f>
        <v>はじめての働き方改革</v>
      </c>
    </row>
    <row r="6587">
      <c r="A6587" s="140" t="str">
        <f>IFERROR(__xludf.DUMMYFUNCTION("""COMPUTED_VALUE"""),"en")</f>
        <v>en</v>
      </c>
      <c r="B6587">
        <f>IFERROR(__xludf.DUMMYFUNCTION("""COMPUTED_VALUE"""),3320564.0)</f>
        <v>3320564</v>
      </c>
      <c r="C6587" t="str">
        <f>IFERROR(__xludf.DUMMYFUNCTION("""COMPUTED_VALUE"""),"Ultimate Mulesoft Certified Platform Architect Course - MCPA")</f>
        <v>Ultimate Mulesoft Certified Platform Architect Course - MCPA</v>
      </c>
    </row>
    <row r="6588">
      <c r="A6588" s="140" t="str">
        <f>IFERROR(__xludf.DUMMYFUNCTION("""COMPUTED_VALUE"""),"en")</f>
        <v>en</v>
      </c>
      <c r="B6588">
        <f>IFERROR(__xludf.DUMMYFUNCTION("""COMPUTED_VALUE"""),755984.0)</f>
        <v>755984</v>
      </c>
      <c r="C6588" t="str">
        <f>IFERROR(__xludf.DUMMYFUNCTION("""COMPUTED_VALUE"""),"Linux Security and Hardening, The Practical Security Guide.")</f>
        <v>Linux Security and Hardening, The Practical Security Guide.</v>
      </c>
    </row>
    <row r="6589">
      <c r="A6589" s="140" t="str">
        <f>IFERROR(__xludf.DUMMYFUNCTION("""COMPUTED_VALUE"""),"en")</f>
        <v>en</v>
      </c>
      <c r="B6589">
        <f>IFERROR(__xludf.DUMMYFUNCTION("""COMPUTED_VALUE"""),1927496.0)</f>
        <v>1927496</v>
      </c>
      <c r="C6589" t="str">
        <f>IFERROR(__xludf.DUMMYFUNCTION("""COMPUTED_VALUE"""),"Docker for Node.js Projects From a Docker Captain")</f>
        <v>Docker for Node.js Projects From a Docker Captain</v>
      </c>
    </row>
    <row r="6590">
      <c r="A6590" s="140" t="str">
        <f>IFERROR(__xludf.DUMMYFUNCTION("""COMPUTED_VALUE"""),"en")</f>
        <v>en</v>
      </c>
      <c r="B6590">
        <f>IFERROR(__xludf.DUMMYFUNCTION("""COMPUTED_VALUE"""),2434816.0)</f>
        <v>2434816</v>
      </c>
      <c r="C6590" t="str">
        <f>IFERROR(__xludf.DUMMYFUNCTION("""COMPUTED_VALUE"""),"SAP Cloud for Customer (SAP C4C) - Functional Training")</f>
        <v>SAP Cloud for Customer (SAP C4C) - Functional Training</v>
      </c>
    </row>
    <row r="6591">
      <c r="A6591" s="140" t="str">
        <f>IFERROR(__xludf.DUMMYFUNCTION("""COMPUTED_VALUE"""),"en")</f>
        <v>en</v>
      </c>
      <c r="B6591">
        <f>IFERROR(__xludf.DUMMYFUNCTION("""COMPUTED_VALUE"""),2359452.0)</f>
        <v>2359452</v>
      </c>
      <c r="C6591" t="str">
        <f>IFERROR(__xludf.DUMMYFUNCTION("""COMPUTED_VALUE"""),"Film using ANY Camera! Basics of Shooting Video Correctly")</f>
        <v>Film using ANY Camera! Basics of Shooting Video Correctly</v>
      </c>
    </row>
    <row r="6592">
      <c r="A6592" s="140" t="str">
        <f>IFERROR(__xludf.DUMMYFUNCTION("""COMPUTED_VALUE"""),"en")</f>
        <v>en</v>
      </c>
      <c r="B6592">
        <f>IFERROR(__xludf.DUMMYFUNCTION("""COMPUTED_VALUE"""),2157860.0)</f>
        <v>2157860</v>
      </c>
      <c r="C6592" t="str">
        <f>IFERROR(__xludf.DUMMYFUNCTION("""COMPUTED_VALUE"""),"SAP PO: Java Mapping Training with 10 Programs")</f>
        <v>SAP PO: Java Mapping Training with 10 Programs</v>
      </c>
    </row>
    <row r="6593">
      <c r="A6593" s="140" t="str">
        <f>IFERROR(__xludf.DUMMYFUNCTION("""COMPUTED_VALUE"""),"tr")</f>
        <v>tr</v>
      </c>
      <c r="B6593">
        <f>IFERROR(__xludf.DUMMYFUNCTION("""COMPUTED_VALUE"""),2009062.0)</f>
        <v>2009062</v>
      </c>
      <c r="C6593" t="str">
        <f>IFERROR(__xludf.DUMMYFUNCTION("""COMPUTED_VALUE"""),"Php ile Api Oluşturma")</f>
        <v>Php ile Api Oluşturma</v>
      </c>
    </row>
    <row r="6594">
      <c r="A6594" s="140" t="str">
        <f>IFERROR(__xludf.DUMMYFUNCTION("""COMPUTED_VALUE"""),"en")</f>
        <v>en</v>
      </c>
      <c r="B6594">
        <f>IFERROR(__xludf.DUMMYFUNCTION("""COMPUTED_VALUE"""),2409322.0)</f>
        <v>2409322</v>
      </c>
      <c r="C6594" t="str">
        <f>IFERROR(__xludf.DUMMYFUNCTION("""COMPUTED_VALUE"""),"The Complete Course Of Labview 2020")</f>
        <v>The Complete Course Of Labview 2020</v>
      </c>
    </row>
    <row r="6595">
      <c r="A6595" s="140" t="str">
        <f>IFERROR(__xludf.DUMMYFUNCTION("""COMPUTED_VALUE"""),"ja")</f>
        <v>ja</v>
      </c>
      <c r="B6595">
        <f>IFERROR(__xludf.DUMMYFUNCTION("""COMPUTED_VALUE"""),4310442.0)</f>
        <v>4310442</v>
      </c>
      <c r="C6595" t="str">
        <f>IFERROR(__xludf.DUMMYFUNCTION("""COMPUTED_VALUE"""),"Python初学者のネクストステップ！FastAPIによるWeb API開発講座")</f>
        <v>Python初学者のネクストステップ！FastAPIによるWeb API開発講座</v>
      </c>
    </row>
    <row r="6596">
      <c r="A6596" s="140" t="str">
        <f>IFERROR(__xludf.DUMMYFUNCTION("""COMPUTED_VALUE"""),"en")</f>
        <v>en</v>
      </c>
      <c r="B6596">
        <f>IFERROR(__xludf.DUMMYFUNCTION("""COMPUTED_VALUE"""),1453872.0)</f>
        <v>1453872</v>
      </c>
      <c r="C6596" t="str">
        <f>IFERROR(__xludf.DUMMYFUNCTION("""COMPUTED_VALUE"""),"Java 8 New Features In Simple Way")</f>
        <v>Java 8 New Features In Simple Way</v>
      </c>
    </row>
    <row r="6597">
      <c r="A6597" s="140" t="str">
        <f>IFERROR(__xludf.DUMMYFUNCTION("""COMPUTED_VALUE"""),"en")</f>
        <v>en</v>
      </c>
      <c r="B6597">
        <f>IFERROR(__xludf.DUMMYFUNCTION("""COMPUTED_VALUE"""),2721942.0)</f>
        <v>2721942</v>
      </c>
      <c r="C6597" t="str">
        <f>IFERROR(__xludf.DUMMYFUNCTION("""COMPUTED_VALUE"""),"School Management System - Build With PHP CodeIgniter Part 2")</f>
        <v>School Management System - Build With PHP CodeIgniter Part 2</v>
      </c>
    </row>
    <row r="6598">
      <c r="A6598" s="140" t="str">
        <f>IFERROR(__xludf.DUMMYFUNCTION("""COMPUTED_VALUE"""),"en")</f>
        <v>en</v>
      </c>
      <c r="B6598">
        <f>IFERROR(__xludf.DUMMYFUNCTION("""COMPUTED_VALUE"""),326806.0)</f>
        <v>326806</v>
      </c>
      <c r="C6598" t="str">
        <f>IFERROR(__xludf.DUMMYFUNCTION("""COMPUTED_VALUE"""),"Data Modeling and Relational Database Design using ERwin")</f>
        <v>Data Modeling and Relational Database Design using ERwin</v>
      </c>
    </row>
    <row r="6599">
      <c r="A6599" s="140" t="str">
        <f>IFERROR(__xludf.DUMMYFUNCTION("""COMPUTED_VALUE"""),"en")</f>
        <v>en</v>
      </c>
      <c r="B6599">
        <f>IFERROR(__xludf.DUMMYFUNCTION("""COMPUTED_VALUE"""),1327004.0)</f>
        <v>1327004</v>
      </c>
      <c r="C6599" t="str">
        <f>IFERROR(__xludf.DUMMYFUNCTION("""COMPUTED_VALUE"""),"Develop Amazing Social Skills &amp; Connect With People")</f>
        <v>Develop Amazing Social Skills &amp; Connect With People</v>
      </c>
    </row>
    <row r="6600">
      <c r="A6600" s="140" t="str">
        <f>IFERROR(__xludf.DUMMYFUNCTION("""COMPUTED_VALUE"""),"es")</f>
        <v>es</v>
      </c>
      <c r="B6600">
        <f>IFERROR(__xludf.DUMMYFUNCTION("""COMPUTED_VALUE"""),1117281.0)</f>
        <v>1117281</v>
      </c>
      <c r="C6600" t="str">
        <f>IFERROR(__xludf.DUMMYFUNCTION("""COMPUTED_VALUE"""),"Modela en 3D con SketchUp Pro. 2021 Impartido por Arquitecto")</f>
        <v>Modela en 3D con SketchUp Pro. 2021 Impartido por Arquitecto</v>
      </c>
    </row>
    <row r="6601">
      <c r="A6601" s="140" t="str">
        <f>IFERROR(__xludf.DUMMYFUNCTION("""COMPUTED_VALUE"""),"en")</f>
        <v>en</v>
      </c>
      <c r="B6601">
        <f>IFERROR(__xludf.DUMMYFUNCTION("""COMPUTED_VALUE"""),1104118.0)</f>
        <v>1104118</v>
      </c>
      <c r="C6601" t="str">
        <f>IFERROR(__xludf.DUMMYFUNCTION("""COMPUTED_VALUE"""),"English Grammar Launch Advanced: Upgrade your speaking")</f>
        <v>English Grammar Launch Advanced: Upgrade your speaking</v>
      </c>
    </row>
    <row r="6602">
      <c r="A6602" s="140" t="str">
        <f>IFERROR(__xludf.DUMMYFUNCTION("""COMPUTED_VALUE"""),"pt")</f>
        <v>pt</v>
      </c>
      <c r="B6602">
        <f>IFERROR(__xludf.DUMMYFUNCTION("""COMPUTED_VALUE"""),2473946.0)</f>
        <v>2473946</v>
      </c>
      <c r="C6602" t="str">
        <f>IFERROR(__xludf.DUMMYFUNCTION("""COMPUTED_VALUE"""),"Blender 2.8 Formação Master Completa.")</f>
        <v>Blender 2.8 Formação Master Completa.</v>
      </c>
    </row>
    <row r="6603">
      <c r="A6603" s="140" t="str">
        <f>IFERROR(__xludf.DUMMYFUNCTION("""COMPUTED_VALUE"""),"en")</f>
        <v>en</v>
      </c>
      <c r="B6603">
        <f>IFERROR(__xludf.DUMMYFUNCTION("""COMPUTED_VALUE"""),2327016.0)</f>
        <v>2327016</v>
      </c>
      <c r="C6603" t="str">
        <f>IFERROR(__xludf.DUMMYFUNCTION("""COMPUTED_VALUE"""),"Run Your Trading Robot on a VPS or Raspberry Pi 24/7")</f>
        <v>Run Your Trading Robot on a VPS or Raspberry Pi 24/7</v>
      </c>
    </row>
    <row r="6604">
      <c r="A6604" s="140" t="str">
        <f>IFERROR(__xludf.DUMMYFUNCTION("""COMPUTED_VALUE"""),"fr")</f>
        <v>fr</v>
      </c>
      <c r="B6604">
        <f>IFERROR(__xludf.DUMMYFUNCTION("""COMPUTED_VALUE"""),2614836.0)</f>
        <v>2614836</v>
      </c>
      <c r="C6604" t="str">
        <f>IFERROR(__xludf.DUMMYFUNCTION("""COMPUTED_VALUE"""),"Cours d’anglais pour les professionnels - intermédiaire")</f>
        <v>Cours d’anglais pour les professionnels - intermédiaire</v>
      </c>
    </row>
    <row r="6605">
      <c r="A6605" s="140" t="str">
        <f>IFERROR(__xludf.DUMMYFUNCTION("""COMPUTED_VALUE"""),"en")</f>
        <v>en</v>
      </c>
      <c r="B6605">
        <f>IFERROR(__xludf.DUMMYFUNCTION("""COMPUTED_VALUE"""),1459342.0)</f>
        <v>1459342</v>
      </c>
      <c r="C6605" t="str">
        <f>IFERROR(__xludf.DUMMYFUNCTION("""COMPUTED_VALUE"""),"How to Facilitate Effective Communication and Engagement")</f>
        <v>How to Facilitate Effective Communication and Engagement</v>
      </c>
    </row>
    <row r="6606">
      <c r="A6606" s="140" t="str">
        <f>IFERROR(__xludf.DUMMYFUNCTION("""COMPUTED_VALUE"""),"es")</f>
        <v>es</v>
      </c>
      <c r="B6606">
        <f>IFERROR(__xludf.DUMMYFUNCTION("""COMPUTED_VALUE"""),2795210.0)</f>
        <v>2795210</v>
      </c>
      <c r="C6606" t="str">
        <f>IFERROR(__xludf.DUMMYFUNCTION("""COMPUTED_VALUE"""),".NET Core C# EF y MVC: Crea una WebApp completa desde cero")</f>
        <v>.NET Core C# EF y MVC: Crea una WebApp completa desde cero</v>
      </c>
    </row>
    <row r="6607">
      <c r="A6607" s="140" t="str">
        <f>IFERROR(__xludf.DUMMYFUNCTION("""COMPUTED_VALUE"""),"ja")</f>
        <v>ja</v>
      </c>
      <c r="B6607">
        <f>IFERROR(__xludf.DUMMYFUNCTION("""COMPUTED_VALUE"""),484050.0)</f>
        <v>484050</v>
      </c>
      <c r="C6607" t="str">
        <f>IFERROR(__xludf.DUMMYFUNCTION("""COMPUTED_VALUE"""),"【企画が通らないNG資料を大改善】元外資系トップコンサルが教える資料作成・インパクト図解術")</f>
        <v>【企画が通らないNG資料を大改善】元外資系トップコンサルが教える資料作成・インパクト図解術</v>
      </c>
    </row>
    <row r="6608">
      <c r="A6608" s="140" t="str">
        <f>IFERROR(__xludf.DUMMYFUNCTION("""COMPUTED_VALUE"""),"es")</f>
        <v>es</v>
      </c>
      <c r="B6608">
        <f>IFERROR(__xludf.DUMMYFUNCTION("""COMPUTED_VALUE"""),2824295.0)</f>
        <v>2824295</v>
      </c>
      <c r="C6608" t="str">
        <f>IFERROR(__xludf.DUMMYFUNCTION("""COMPUTED_VALUE"""),"Curso básico de gestión documental y organización de archivo")</f>
        <v>Curso básico de gestión documental y organización de archivo</v>
      </c>
    </row>
    <row r="6609">
      <c r="A6609" s="140" t="str">
        <f>IFERROR(__xludf.DUMMYFUNCTION("""COMPUTED_VALUE"""),"es")</f>
        <v>es</v>
      </c>
      <c r="B6609">
        <f>IFERROR(__xludf.DUMMYFUNCTION("""COMPUTED_VALUE"""),1996048.0)</f>
        <v>1996048</v>
      </c>
      <c r="C6609" t="str">
        <f>IFERROR(__xludf.DUMMYFUNCTION("""COMPUTED_VALUE"""),"Angular: Aplicaciones en tiempo real con sockets y rest")</f>
        <v>Angular: Aplicaciones en tiempo real con sockets y rest</v>
      </c>
    </row>
    <row r="6610">
      <c r="A6610" s="140" t="str">
        <f>IFERROR(__xludf.DUMMYFUNCTION("""COMPUTED_VALUE"""),"fr")</f>
        <v>fr</v>
      </c>
      <c r="B6610">
        <f>IFERROR(__xludf.DUMMYFUNCTION("""COMPUTED_VALUE"""),1252422.0)</f>
        <v>1252422</v>
      </c>
      <c r="C6610" t="str">
        <f>IFERROR(__xludf.DUMMYFUNCTION("""COMPUTED_VALUE"""),"Android &amp; Kotlin | Formation complète")</f>
        <v>Android &amp; Kotlin | Formation complète</v>
      </c>
    </row>
    <row r="6611">
      <c r="A6611" s="140" t="str">
        <f>IFERROR(__xludf.DUMMYFUNCTION("""COMPUTED_VALUE"""),"en")</f>
        <v>en</v>
      </c>
      <c r="B6611">
        <f>IFERROR(__xludf.DUMMYFUNCTION("""COMPUTED_VALUE"""),1802334.0)</f>
        <v>1802334</v>
      </c>
      <c r="C6611" t="str">
        <f>IFERROR(__xludf.DUMMYFUNCTION("""COMPUTED_VALUE"""),"Investment Analysis &amp; Portfolio Management - Core Finance")</f>
        <v>Investment Analysis &amp; Portfolio Management - Core Finance</v>
      </c>
    </row>
    <row r="6612">
      <c r="A6612" s="140" t="str">
        <f>IFERROR(__xludf.DUMMYFUNCTION("""COMPUTED_VALUE"""),"en")</f>
        <v>en</v>
      </c>
      <c r="B6612">
        <f>IFERROR(__xludf.DUMMYFUNCTION("""COMPUTED_VALUE"""),47285.0)</f>
        <v>47285</v>
      </c>
      <c r="C6612" t="str">
        <f>IFERROR(__xludf.DUMMYFUNCTION("""COMPUTED_VALUE"""),"Mind Mapping Mastery –&gt; Effective Mind Maps -&gt; Step by Step")</f>
        <v>Mind Mapping Mastery –&gt; Effective Mind Maps -&gt; Step by Step</v>
      </c>
    </row>
    <row r="6613">
      <c r="A6613" s="140" t="str">
        <f>IFERROR(__xludf.DUMMYFUNCTION("""COMPUTED_VALUE"""),"ar")</f>
        <v>ar</v>
      </c>
      <c r="B6613">
        <f>IFERROR(__xludf.DUMMYFUNCTION("""COMPUTED_VALUE"""),3629312.0)</f>
        <v>3629312</v>
      </c>
      <c r="C6613" t="str">
        <f>IFERROR(__xludf.DUMMYFUNCTION("""COMPUTED_VALUE"""),"Grow your business through channels-التوسع من خلال الشراكات")</f>
        <v>Grow your business through channels-التوسع من خلال الشراكات</v>
      </c>
    </row>
    <row r="6614">
      <c r="A6614" s="140" t="str">
        <f>IFERROR(__xludf.DUMMYFUNCTION("""COMPUTED_VALUE"""),"es")</f>
        <v>es</v>
      </c>
      <c r="B6614">
        <f>IFERROR(__xludf.DUMMYFUNCTION("""COMPUTED_VALUE"""),1479338.0)</f>
        <v>1479338</v>
      </c>
      <c r="C6614" t="str">
        <f>IFERROR(__xludf.DUMMYFUNCTION("""COMPUTED_VALUE"""),"Media Training para Candidatos, Funcionarios y Directivos")</f>
        <v>Media Training para Candidatos, Funcionarios y Directivos</v>
      </c>
    </row>
    <row r="6615">
      <c r="A6615" s="140" t="str">
        <f>IFERROR(__xludf.DUMMYFUNCTION("""COMPUTED_VALUE"""),"pt")</f>
        <v>pt</v>
      </c>
      <c r="B6615">
        <f>IFERROR(__xludf.DUMMYFUNCTION("""COMPUTED_VALUE"""),2629780.0)</f>
        <v>2629780</v>
      </c>
      <c r="C6615" t="str">
        <f>IFERROR(__xludf.DUMMYFUNCTION("""COMPUTED_VALUE"""),"Automatize suas Atividades no SAP - Curso 2")</f>
        <v>Automatize suas Atividades no SAP - Curso 2</v>
      </c>
    </row>
    <row r="6616">
      <c r="A6616" s="140" t="str">
        <f>IFERROR(__xludf.DUMMYFUNCTION("""COMPUTED_VALUE"""),"en")</f>
        <v>en</v>
      </c>
      <c r="B6616">
        <f>IFERROR(__xludf.DUMMYFUNCTION("""COMPUTED_VALUE"""),314352.0)</f>
        <v>314352</v>
      </c>
      <c r="C6616" t="str">
        <f>IFERROR(__xludf.DUMMYFUNCTION("""COMPUTED_VALUE"""),"Risk Management using Failure Modes Effects Analysis (Ed-2)")</f>
        <v>Risk Management using Failure Modes Effects Analysis (Ed-2)</v>
      </c>
    </row>
    <row r="6617">
      <c r="A6617" s="140" t="str">
        <f>IFERROR(__xludf.DUMMYFUNCTION("""COMPUTED_VALUE"""),"en")</f>
        <v>en</v>
      </c>
      <c r="B6617">
        <f>IFERROR(__xludf.DUMMYFUNCTION("""COMPUTED_VALUE"""),1398116.0)</f>
        <v>1398116</v>
      </c>
      <c r="C6617" t="str">
        <f>IFERROR(__xludf.DUMMYFUNCTION("""COMPUTED_VALUE"""),"Apache Spark 2 and 3 using Python 3 (Formerly CCA 175)")</f>
        <v>Apache Spark 2 and 3 using Python 3 (Formerly CCA 175)</v>
      </c>
    </row>
    <row r="6618">
      <c r="A6618" s="140" t="str">
        <f>IFERROR(__xludf.DUMMYFUNCTION("""COMPUTED_VALUE"""),"ja")</f>
        <v>ja</v>
      </c>
      <c r="B6618">
        <f>IFERROR(__xludf.DUMMYFUNCTION("""COMPUTED_VALUE"""),3214959.0)</f>
        <v>3214959</v>
      </c>
      <c r="C6618" t="str">
        <f>IFERROR(__xludf.DUMMYFUNCTION("""COMPUTED_VALUE"""),"シンプルで本質的！顧客ニーズをつかむリサーチの超基本")</f>
        <v>シンプルで本質的！顧客ニーズをつかむリサーチの超基本</v>
      </c>
    </row>
    <row r="6619">
      <c r="A6619" s="140" t="str">
        <f>IFERROR(__xludf.DUMMYFUNCTION("""COMPUTED_VALUE"""),"en")</f>
        <v>en</v>
      </c>
      <c r="B6619">
        <f>IFERROR(__xludf.DUMMYFUNCTION("""COMPUTED_VALUE"""),773214.0)</f>
        <v>773214</v>
      </c>
      <c r="C6619" t="str">
        <f>IFERROR(__xludf.DUMMYFUNCTION("""COMPUTED_VALUE"""),"Advanced Excel - Top Excel Tips &amp; Formulas")</f>
        <v>Advanced Excel - Top Excel Tips &amp; Formulas</v>
      </c>
    </row>
    <row r="6620">
      <c r="A6620" s="140" t="str">
        <f>IFERROR(__xludf.DUMMYFUNCTION("""COMPUTED_VALUE"""),"pt")</f>
        <v>pt</v>
      </c>
      <c r="B6620">
        <f>IFERROR(__xludf.DUMMYFUNCTION("""COMPUTED_VALUE"""),2807679.0)</f>
        <v>2807679</v>
      </c>
      <c r="C6620" t="str">
        <f>IFERROR(__xludf.DUMMYFUNCTION("""COMPUTED_VALUE"""),"Aprenda Mapeamento e Modelagem de Processos")</f>
        <v>Aprenda Mapeamento e Modelagem de Processos</v>
      </c>
    </row>
    <row r="6621">
      <c r="A6621" s="140" t="str">
        <f>IFERROR(__xludf.DUMMYFUNCTION("""COMPUTED_VALUE"""),"en")</f>
        <v>en</v>
      </c>
      <c r="B6621">
        <f>IFERROR(__xludf.DUMMYFUNCTION("""COMPUTED_VALUE"""),1105822.0)</f>
        <v>1105822</v>
      </c>
      <c r="C6621" t="str">
        <f>IFERROR(__xludf.DUMMYFUNCTION("""COMPUTED_VALUE"""),"The Full JavaScript &amp; ES6 Tutorial - (including ES7 &amp; React)")</f>
        <v>The Full JavaScript &amp; ES6 Tutorial - (including ES7 &amp; React)</v>
      </c>
    </row>
    <row r="6622">
      <c r="A6622" s="140" t="str">
        <f>IFERROR(__xludf.DUMMYFUNCTION("""COMPUTED_VALUE"""),"es")</f>
        <v>es</v>
      </c>
      <c r="B6622">
        <f>IFERROR(__xludf.DUMMYFUNCTION("""COMPUTED_VALUE"""),3615324.0)</f>
        <v>3615324</v>
      </c>
      <c r="C6622" t="str">
        <f>IFERROR(__xludf.DUMMYFUNCTION("""COMPUTED_VALUE"""),"Servicio al Cliente: Cómo Manejar Clientes Difíciles")</f>
        <v>Servicio al Cliente: Cómo Manejar Clientes Difíciles</v>
      </c>
    </row>
    <row r="6623">
      <c r="A6623" s="140" t="str">
        <f>IFERROR(__xludf.DUMMYFUNCTION("""COMPUTED_VALUE"""),"en")</f>
        <v>en</v>
      </c>
      <c r="B6623">
        <f>IFERROR(__xludf.DUMMYFUNCTION("""COMPUTED_VALUE"""),3839538.0)</f>
        <v>3839538</v>
      </c>
      <c r="C6623" t="str">
        <f>IFERROR(__xludf.DUMMYFUNCTION("""COMPUTED_VALUE"""),"Complete Android 11 Jetpack Masterclass")</f>
        <v>Complete Android 11 Jetpack Masterclass</v>
      </c>
    </row>
    <row r="6624">
      <c r="A6624" s="140" t="str">
        <f>IFERROR(__xludf.DUMMYFUNCTION("""COMPUTED_VALUE"""),"en")</f>
        <v>en</v>
      </c>
      <c r="B6624">
        <f>IFERROR(__xludf.DUMMYFUNCTION("""COMPUTED_VALUE"""),3024566.0)</f>
        <v>3024566</v>
      </c>
      <c r="C6624" t="str">
        <f>IFERROR(__xludf.DUMMYFUNCTION("""COMPUTED_VALUE"""),"Data science and Data preparation with KNIME")</f>
        <v>Data science and Data preparation with KNIME</v>
      </c>
    </row>
    <row r="6625">
      <c r="A6625" s="140" t="str">
        <f>IFERROR(__xludf.DUMMYFUNCTION("""COMPUTED_VALUE"""),"tr")</f>
        <v>tr</v>
      </c>
      <c r="B6625">
        <f>IFERROR(__xludf.DUMMYFUNCTION("""COMPUTED_VALUE"""),3723700.0)</f>
        <v>3723700</v>
      </c>
      <c r="C6625" t="str">
        <f>IFERROR(__xludf.DUMMYFUNCTION("""COMPUTED_VALUE"""),"Bilgisayar Öğretmeninden HTML5, CSS ve BOOTSTRAP Kursu")</f>
        <v>Bilgisayar Öğretmeninden HTML5, CSS ve BOOTSTRAP Kursu</v>
      </c>
    </row>
    <row r="6626">
      <c r="A6626" s="140" t="str">
        <f>IFERROR(__xludf.DUMMYFUNCTION("""COMPUTED_VALUE"""),"tr")</f>
        <v>tr</v>
      </c>
      <c r="B6626">
        <f>IFERROR(__xludf.DUMMYFUNCTION("""COMPUTED_VALUE"""),2714482.0)</f>
        <v>2714482</v>
      </c>
      <c r="C6626" t="str">
        <f>IFERROR(__xludf.DUMMYFUNCTION("""COMPUTED_VALUE"""),"Anlatımlı Muhasebe Kayıtları - Ay içi, Ay sonu ve Kapanış")</f>
        <v>Anlatımlı Muhasebe Kayıtları - Ay içi, Ay sonu ve Kapanış</v>
      </c>
    </row>
    <row r="6627">
      <c r="A6627" s="140" t="str">
        <f>IFERROR(__xludf.DUMMYFUNCTION("""COMPUTED_VALUE"""),"en")</f>
        <v>en</v>
      </c>
      <c r="B6627">
        <f>IFERROR(__xludf.DUMMYFUNCTION("""COMPUTED_VALUE"""),2346440.0)</f>
        <v>2346440</v>
      </c>
      <c r="C6627" t="str">
        <f>IFERROR(__xludf.DUMMYFUNCTION("""COMPUTED_VALUE"""),"OSHA Safety Training: Heat Stress Management")</f>
        <v>OSHA Safety Training: Heat Stress Management</v>
      </c>
    </row>
    <row r="6628">
      <c r="A6628" s="140" t="str">
        <f>IFERROR(__xludf.DUMMYFUNCTION("""COMPUTED_VALUE"""),"en")</f>
        <v>en</v>
      </c>
      <c r="B6628">
        <f>IFERROR(__xludf.DUMMYFUNCTION("""COMPUTED_VALUE"""),4242182.0)</f>
        <v>4242182</v>
      </c>
      <c r="C6628" t="str">
        <f>IFERROR(__xludf.DUMMYFUNCTION("""COMPUTED_VALUE"""),"GraphQL &amp; Flutter - Build GraphQL APIs &amp; Flutter Client Apps")</f>
        <v>GraphQL &amp; Flutter - Build GraphQL APIs &amp; Flutter Client Apps</v>
      </c>
    </row>
    <row r="6629">
      <c r="A6629" s="140" t="str">
        <f>IFERROR(__xludf.DUMMYFUNCTION("""COMPUTED_VALUE"""),"en")</f>
        <v>en</v>
      </c>
      <c r="B6629">
        <f>IFERROR(__xludf.DUMMYFUNCTION("""COMPUTED_VALUE"""),2699438.0)</f>
        <v>2699438</v>
      </c>
      <c r="C6629" t="str">
        <f>IFERROR(__xludf.DUMMYFUNCTION("""COMPUTED_VALUE"""),"Apache Airflow | A Real-Time &amp; Hands-On Course on Airflow")</f>
        <v>Apache Airflow | A Real-Time &amp; Hands-On Course on Airflow</v>
      </c>
    </row>
    <row r="6630">
      <c r="A6630" s="140" t="str">
        <f>IFERROR(__xludf.DUMMYFUNCTION("""COMPUTED_VALUE"""),"en")</f>
        <v>en</v>
      </c>
      <c r="B6630">
        <f>IFERROR(__xludf.DUMMYFUNCTION("""COMPUTED_VALUE"""),945320.0)</f>
        <v>945320</v>
      </c>
      <c r="C6630" t="str">
        <f>IFERROR(__xludf.DUMMYFUNCTION("""COMPUTED_VALUE"""),"Javascript Intermediate level 2 - All about functions")</f>
        <v>Javascript Intermediate level 2 - All about functions</v>
      </c>
    </row>
    <row r="6631">
      <c r="A6631" s="140" t="str">
        <f>IFERROR(__xludf.DUMMYFUNCTION("""COMPUTED_VALUE"""),"fr")</f>
        <v>fr</v>
      </c>
      <c r="B6631">
        <f>IFERROR(__xludf.DUMMYFUNCTION("""COMPUTED_VALUE"""),2563702.0)</f>
        <v>2563702</v>
      </c>
      <c r="C6631" t="str">
        <f>IFERROR(__xludf.DUMMYFUNCTION("""COMPUTED_VALUE"""),"Apprendre le HTML5 et CSS3 | Débutant à Expert Guide complet")</f>
        <v>Apprendre le HTML5 et CSS3 | Débutant à Expert Guide complet</v>
      </c>
    </row>
    <row r="6632">
      <c r="A6632" s="140" t="str">
        <f>IFERROR(__xludf.DUMMYFUNCTION("""COMPUTED_VALUE"""),"en")</f>
        <v>en</v>
      </c>
      <c r="B6632">
        <f>IFERROR(__xludf.DUMMYFUNCTION("""COMPUTED_VALUE"""),3934238.0)</f>
        <v>3934238</v>
      </c>
      <c r="C6632" t="str">
        <f>IFERROR(__xludf.DUMMYFUNCTION("""COMPUTED_VALUE"""),"Coaching Skills for Engagement &amp; Inclusion")</f>
        <v>Coaching Skills for Engagement &amp; Inclusion</v>
      </c>
    </row>
    <row r="6633">
      <c r="A6633" s="140" t="str">
        <f>IFERROR(__xludf.DUMMYFUNCTION("""COMPUTED_VALUE"""),"es")</f>
        <v>es</v>
      </c>
      <c r="B6633">
        <f>IFERROR(__xludf.DUMMYFUNCTION("""COMPUTED_VALUE"""),1100428.0)</f>
        <v>1100428</v>
      </c>
      <c r="C6633" t="str">
        <f>IFERROR(__xludf.DUMMYFUNCTION("""COMPUTED_VALUE"""),"Inteligencia Financiera y Crecimiento Personal")</f>
        <v>Inteligencia Financiera y Crecimiento Personal</v>
      </c>
    </row>
    <row r="6634">
      <c r="A6634" s="140" t="str">
        <f>IFERROR(__xludf.DUMMYFUNCTION("""COMPUTED_VALUE"""),"zh")</f>
        <v>zh</v>
      </c>
      <c r="B6634">
        <f>IFERROR(__xludf.DUMMYFUNCTION("""COMPUTED_VALUE"""),2236434.0)</f>
        <v>2236434</v>
      </c>
      <c r="C6634" t="str">
        <f>IFERROR(__xludf.DUMMYFUNCTION("""COMPUTED_VALUE"""),"Python数据科学必备工具包")</f>
        <v>Python数据科学必备工具包</v>
      </c>
    </row>
    <row r="6635">
      <c r="A6635" s="140" t="str">
        <f>IFERROR(__xludf.DUMMYFUNCTION("""COMPUTED_VALUE"""),"en")</f>
        <v>en</v>
      </c>
      <c r="B6635">
        <f>IFERROR(__xludf.DUMMYFUNCTION("""COMPUTED_VALUE"""),2907240.0)</f>
        <v>2907240</v>
      </c>
      <c r="C6635" t="str">
        <f>IFERROR(__xludf.DUMMYFUNCTION("""COMPUTED_VALUE"""),"AWS SageMaker Practical for Beginners | Build 6 Projects")</f>
        <v>AWS SageMaker Practical for Beginners | Build 6 Projects</v>
      </c>
    </row>
    <row r="6636">
      <c r="A6636" s="140" t="str">
        <f>IFERROR(__xludf.DUMMYFUNCTION("""COMPUTED_VALUE"""),"en")</f>
        <v>en</v>
      </c>
      <c r="B6636">
        <f>IFERROR(__xludf.DUMMYFUNCTION("""COMPUTED_VALUE"""),3310112.0)</f>
        <v>3310112</v>
      </c>
      <c r="C6636" t="str">
        <f>IFERROR(__xludf.DUMMYFUNCTION("""COMPUTED_VALUE"""),"Cypress V5+: UI + API Automation + CUCUMBER + Page Objects")</f>
        <v>Cypress V5+: UI + API Automation + CUCUMBER + Page Objects</v>
      </c>
    </row>
    <row r="6637">
      <c r="A6637" s="140" t="str">
        <f>IFERROR(__xludf.DUMMYFUNCTION("""COMPUTED_VALUE"""),"pt")</f>
        <v>pt</v>
      </c>
      <c r="B6637">
        <f>IFERROR(__xludf.DUMMYFUNCTION("""COMPUTED_VALUE"""),1883834.0)</f>
        <v>1883834</v>
      </c>
      <c r="C6637" t="str">
        <f>IFERROR(__xludf.DUMMYFUNCTION("""COMPUTED_VALUE"""),"Administração de redes - Linux 101 v2 | Essentials")</f>
        <v>Administração de redes - Linux 101 v2 | Essentials</v>
      </c>
    </row>
    <row r="6638">
      <c r="A6638" s="140" t="str">
        <f>IFERROR(__xludf.DUMMYFUNCTION("""COMPUTED_VALUE"""),"en")</f>
        <v>en</v>
      </c>
      <c r="B6638">
        <f>IFERROR(__xludf.DUMMYFUNCTION("""COMPUTED_VALUE"""),2827920.0)</f>
        <v>2827920</v>
      </c>
      <c r="C6638" t="str">
        <f>IFERROR(__xludf.DUMMYFUNCTION("""COMPUTED_VALUE"""),"AWS Certified Developer Associate Exam Training 2021 DVA-C01")</f>
        <v>AWS Certified Developer Associate Exam Training 2021 DVA-C01</v>
      </c>
    </row>
    <row r="6639">
      <c r="A6639" s="140" t="str">
        <f>IFERROR(__xludf.DUMMYFUNCTION("""COMPUTED_VALUE"""),"en")</f>
        <v>en</v>
      </c>
      <c r="B6639">
        <f>IFERROR(__xludf.DUMMYFUNCTION("""COMPUTED_VALUE"""),2313770.0)</f>
        <v>2313770</v>
      </c>
      <c r="C6639" t="str">
        <f>IFERROR(__xludf.DUMMYFUNCTION("""COMPUTED_VALUE"""),"Erlang: The Complete Beginner's Guide")</f>
        <v>Erlang: The Complete Beginner's Guide</v>
      </c>
    </row>
    <row r="6640">
      <c r="A6640" s="140" t="str">
        <f>IFERROR(__xludf.DUMMYFUNCTION("""COMPUTED_VALUE"""),"en")</f>
        <v>en</v>
      </c>
      <c r="B6640">
        <f>IFERROR(__xludf.DUMMYFUNCTION("""COMPUTED_VALUE"""),1335698.0)</f>
        <v>1335698</v>
      </c>
      <c r="C6640" t="str">
        <f>IFERROR(__xludf.DUMMYFUNCTION("""COMPUTED_VALUE"""),"Learn Microsoft OneNote 2016 the Easy Way")</f>
        <v>Learn Microsoft OneNote 2016 the Easy Way</v>
      </c>
    </row>
    <row r="6641">
      <c r="A6641" s="140" t="str">
        <f>IFERROR(__xludf.DUMMYFUNCTION("""COMPUTED_VALUE"""),"en")</f>
        <v>en</v>
      </c>
      <c r="B6641">
        <f>IFERROR(__xludf.DUMMYFUNCTION("""COMPUTED_VALUE"""),549518.0)</f>
        <v>549518</v>
      </c>
      <c r="C6641" t="str">
        <f>IFERROR(__xludf.DUMMYFUNCTION("""COMPUTED_VALUE"""),"Fitness For Beginners")</f>
        <v>Fitness For Beginners</v>
      </c>
    </row>
    <row r="6642">
      <c r="A6642" s="140" t="str">
        <f>IFERROR(__xludf.DUMMYFUNCTION("""COMPUTED_VALUE"""),"tr")</f>
        <v>tr</v>
      </c>
      <c r="B6642">
        <f>IFERROR(__xludf.DUMMYFUNCTION("""COMPUTED_VALUE"""),3014920.0)</f>
        <v>3014920</v>
      </c>
      <c r="C6642" t="str">
        <f>IFERROR(__xludf.DUMMYFUNCTION("""COMPUTED_VALUE"""),"Projelerle JAVA Eğitimi")</f>
        <v>Projelerle JAVA Eğitimi</v>
      </c>
    </row>
    <row r="6643">
      <c r="A6643" s="140" t="str">
        <f>IFERROR(__xludf.DUMMYFUNCTION("""COMPUTED_VALUE"""),"ar")</f>
        <v>ar</v>
      </c>
      <c r="B6643">
        <f>IFERROR(__xludf.DUMMYFUNCTION("""COMPUTED_VALUE"""),1910192.0)</f>
        <v>1910192</v>
      </c>
      <c r="C6643" t="str">
        <f>IFERROR(__xludf.DUMMYFUNCTION("""COMPUTED_VALUE"""),"GitHub و Git أساسيات")</f>
        <v>GitHub و Git أساسيات</v>
      </c>
    </row>
    <row r="6644">
      <c r="A6644" s="140" t="str">
        <f>IFERROR(__xludf.DUMMYFUNCTION("""COMPUTED_VALUE"""),"de")</f>
        <v>de</v>
      </c>
      <c r="B6644">
        <f>IFERROR(__xludf.DUMMYFUNCTION("""COMPUTED_VALUE"""),2818337.0)</f>
        <v>2818337</v>
      </c>
      <c r="C6644" t="str">
        <f>IFERROR(__xludf.DUMMYFUNCTION("""COMPUTED_VALUE"""),"Besser Verkaufen: Das komplette Sales-Training von A bis Z")</f>
        <v>Besser Verkaufen: Das komplette Sales-Training von A bis Z</v>
      </c>
    </row>
    <row r="6645">
      <c r="A6645" s="140" t="str">
        <f>IFERROR(__xludf.DUMMYFUNCTION("""COMPUTED_VALUE"""),"en")</f>
        <v>en</v>
      </c>
      <c r="B6645">
        <f>IFERROR(__xludf.DUMMYFUNCTION("""COMPUTED_VALUE"""),1955654.0)</f>
        <v>1955654</v>
      </c>
      <c r="C6645" t="str">
        <f>IFERROR(__xludf.DUMMYFUNCTION("""COMPUTED_VALUE"""),"Machine Learning with Javascript")</f>
        <v>Machine Learning with Javascript</v>
      </c>
    </row>
    <row r="6646">
      <c r="A6646" s="140" t="str">
        <f>IFERROR(__xludf.DUMMYFUNCTION("""COMPUTED_VALUE"""),"en")</f>
        <v>en</v>
      </c>
      <c r="B6646">
        <f>IFERROR(__xludf.DUMMYFUNCTION("""COMPUTED_VALUE"""),2367072.0)</f>
        <v>2367072</v>
      </c>
      <c r="C6646" t="str">
        <f>IFERROR(__xludf.DUMMYFUNCTION("""COMPUTED_VALUE"""),"Machine Learning Practical Workout | 8 Real-World Projects")</f>
        <v>Machine Learning Practical Workout | 8 Real-World Projects</v>
      </c>
    </row>
    <row r="6647">
      <c r="A6647" s="140" t="str">
        <f>IFERROR(__xludf.DUMMYFUNCTION("""COMPUTED_VALUE"""),"en")</f>
        <v>en</v>
      </c>
      <c r="B6647">
        <f>IFERROR(__xludf.DUMMYFUNCTION("""COMPUTED_VALUE"""),3244560.0)</f>
        <v>3244560</v>
      </c>
      <c r="C6647" t="str">
        <f>IFERROR(__xludf.DUMMYFUNCTION("""COMPUTED_VALUE"""),"CI/CD Pipelines using Azure DevOps")</f>
        <v>CI/CD Pipelines using Azure DevOps</v>
      </c>
    </row>
    <row r="6648">
      <c r="A6648" s="140" t="str">
        <f>IFERROR(__xludf.DUMMYFUNCTION("""COMPUTED_VALUE"""),"en")</f>
        <v>en</v>
      </c>
      <c r="B6648">
        <f>IFERROR(__xludf.DUMMYFUNCTION("""COMPUTED_VALUE"""),2313744.0)</f>
        <v>2313744</v>
      </c>
      <c r="C6648" t="str">
        <f>IFERROR(__xludf.DUMMYFUNCTION("""COMPUTED_VALUE"""),"Change Management: Design Successful Organizational Change")</f>
        <v>Change Management: Design Successful Organizational Change</v>
      </c>
    </row>
    <row r="6649">
      <c r="A6649" s="140" t="str">
        <f>IFERROR(__xludf.DUMMYFUNCTION("""COMPUTED_VALUE"""),"en")</f>
        <v>en</v>
      </c>
      <c r="B6649">
        <f>IFERROR(__xludf.DUMMYFUNCTION("""COMPUTED_VALUE"""),2489334.0)</f>
        <v>2489334</v>
      </c>
      <c r="C6649" t="str">
        <f>IFERROR(__xludf.DUMMYFUNCTION("""COMPUTED_VALUE"""),"The MBA Core Courses - With Real Business Case Studies")</f>
        <v>The MBA Core Courses - With Real Business Case Studies</v>
      </c>
    </row>
    <row r="6650">
      <c r="A6650" s="140" t="str">
        <f>IFERROR(__xludf.DUMMYFUNCTION("""COMPUTED_VALUE"""),"ja")</f>
        <v>ja</v>
      </c>
      <c r="B6650">
        <f>IFERROR(__xludf.DUMMYFUNCTION("""COMPUTED_VALUE"""),1746302.0)</f>
        <v>1746302</v>
      </c>
      <c r="C6650" t="str">
        <f>IFERROR(__xludf.DUMMYFUNCTION("""COMPUTED_VALUE"""),"【財務プロを目指す】エクセルで学ぶ財務三表モデル × 財務戦略シミュレーション")</f>
        <v>【財務プロを目指す】エクセルで学ぶ財務三表モデル × 財務戦略シミュレーション</v>
      </c>
    </row>
    <row r="6651">
      <c r="A6651" s="140" t="str">
        <f>IFERROR(__xludf.DUMMYFUNCTION("""COMPUTED_VALUE"""),"en")</f>
        <v>en</v>
      </c>
      <c r="B6651">
        <f>IFERROR(__xludf.DUMMYFUNCTION("""COMPUTED_VALUE"""),4181944.0)</f>
        <v>4181944</v>
      </c>
      <c r="C6651" t="str">
        <f>IFERROR(__xludf.DUMMYFUNCTION("""COMPUTED_VALUE"""),"Fraud Prevention and Dispute Resolution Masterclass")</f>
        <v>Fraud Prevention and Dispute Resolution Masterclass</v>
      </c>
    </row>
    <row r="6652">
      <c r="A6652" s="140" t="str">
        <f>IFERROR(__xludf.DUMMYFUNCTION("""COMPUTED_VALUE"""),"ar")</f>
        <v>ar</v>
      </c>
      <c r="B6652">
        <f>IFERROR(__xludf.DUMMYFUNCTION("""COMPUTED_VALUE"""),1904874.0)</f>
        <v>1904874</v>
      </c>
      <c r="C6652" t="str">
        <f>IFERROR(__xludf.DUMMYFUNCTION("""COMPUTED_VALUE"""),"Pivot Table in excel | الجداول المحورية في الاكسل")</f>
        <v>Pivot Table in excel | الجداول المحورية في الاكسل</v>
      </c>
    </row>
    <row r="6653">
      <c r="A6653" s="140" t="str">
        <f>IFERROR(__xludf.DUMMYFUNCTION("""COMPUTED_VALUE"""),"en")</f>
        <v>en</v>
      </c>
      <c r="B6653">
        <f>IFERROR(__xludf.DUMMYFUNCTION("""COMPUTED_VALUE"""),435882.0)</f>
        <v>435882</v>
      </c>
      <c r="C6653" t="str">
        <f>IFERROR(__xludf.DUMMYFUNCTION("""COMPUTED_VALUE"""),"Adobe Captivate - Focus on Simulations")</f>
        <v>Adobe Captivate - Focus on Simulations</v>
      </c>
    </row>
    <row r="6654">
      <c r="A6654" s="140" t="str">
        <f>IFERROR(__xludf.DUMMYFUNCTION("""COMPUTED_VALUE"""),"en")</f>
        <v>en</v>
      </c>
      <c r="B6654">
        <f>IFERROR(__xludf.DUMMYFUNCTION("""COMPUTED_VALUE"""),1855058.0)</f>
        <v>1855058</v>
      </c>
      <c r="C6654" t="str">
        <f>IFERROR(__xludf.DUMMYFUNCTION("""COMPUTED_VALUE"""),"Open a Non-Medical Home Care Agency - Home Based Business")</f>
        <v>Open a Non-Medical Home Care Agency - Home Based Business</v>
      </c>
    </row>
    <row r="6655">
      <c r="A6655" s="140" t="str">
        <f>IFERROR(__xludf.DUMMYFUNCTION("""COMPUTED_VALUE"""),"es")</f>
        <v>es</v>
      </c>
      <c r="B6655">
        <f>IFERROR(__xludf.DUMMYFUNCTION("""COMPUTED_VALUE"""),1658542.0)</f>
        <v>1658542</v>
      </c>
      <c r="C6655" t="str">
        <f>IFERROR(__xludf.DUMMYFUNCTION("""COMPUTED_VALUE"""),"Django y Flask - Desarrollo Web Profesional con Python")</f>
        <v>Django y Flask - Desarrollo Web Profesional con Python</v>
      </c>
    </row>
    <row r="6656">
      <c r="A6656" s="140" t="str">
        <f>IFERROR(__xludf.DUMMYFUNCTION("""COMPUTED_VALUE"""),"en")</f>
        <v>en</v>
      </c>
      <c r="B6656">
        <f>IFERROR(__xludf.DUMMYFUNCTION("""COMPUTED_VALUE"""),3374896.0)</f>
        <v>3374896</v>
      </c>
      <c r="C6656" t="str">
        <f>IFERROR(__xludf.DUMMYFUNCTION("""COMPUTED_VALUE"""),"How to Ace the Product Manager Interview")</f>
        <v>How to Ace the Product Manager Interview</v>
      </c>
    </row>
    <row r="6657">
      <c r="A6657" s="140" t="str">
        <f>IFERROR(__xludf.DUMMYFUNCTION("""COMPUTED_VALUE"""),"en")</f>
        <v>en</v>
      </c>
      <c r="B6657">
        <f>IFERROR(__xludf.DUMMYFUNCTION("""COMPUTED_VALUE"""),3681538.0)</f>
        <v>3681538</v>
      </c>
      <c r="C6657" t="str">
        <f>IFERROR(__xludf.DUMMYFUNCTION("""COMPUTED_VALUE"""),"Project Management Essentials: Ace Your Next Project!")</f>
        <v>Project Management Essentials: Ace Your Next Project!</v>
      </c>
    </row>
    <row r="6658">
      <c r="A6658" s="140" t="str">
        <f>IFERROR(__xludf.DUMMYFUNCTION("""COMPUTED_VALUE"""),"ar")</f>
        <v>ar</v>
      </c>
      <c r="B6658">
        <f>IFERROR(__xludf.DUMMYFUNCTION("""COMPUTED_VALUE"""),2669656.0)</f>
        <v>2669656</v>
      </c>
      <c r="C6658" t="str">
        <f>IFERROR(__xludf.DUMMYFUNCTION("""COMPUTED_VALUE"""),"الأدوات السبع الجديدة لإدارة الجودة")</f>
        <v>الأدوات السبع الجديدة لإدارة الجودة</v>
      </c>
    </row>
    <row r="6659">
      <c r="A6659" s="140" t="str">
        <f>IFERROR(__xludf.DUMMYFUNCTION("""COMPUTED_VALUE"""),"en")</f>
        <v>en</v>
      </c>
      <c r="B6659">
        <f>IFERROR(__xludf.DUMMYFUNCTION("""COMPUTED_VALUE"""),1313828.0)</f>
        <v>1313828</v>
      </c>
      <c r="C6659" t="str">
        <f>IFERROR(__xludf.DUMMYFUNCTION("""COMPUTED_VALUE"""),"Ansible Advanced - Hands-On - DevOps")</f>
        <v>Ansible Advanced - Hands-On - DevOps</v>
      </c>
    </row>
    <row r="6660">
      <c r="A6660" s="140" t="str">
        <f>IFERROR(__xludf.DUMMYFUNCTION("""COMPUTED_VALUE"""),"en")</f>
        <v>en</v>
      </c>
      <c r="B6660">
        <f>IFERROR(__xludf.DUMMYFUNCTION("""COMPUTED_VALUE"""),2322020.0)</f>
        <v>2322020</v>
      </c>
      <c r="C6660" t="str">
        <f>IFERROR(__xludf.DUMMYFUNCTION("""COMPUTED_VALUE"""),"Swift 5 Programming For Beginners")</f>
        <v>Swift 5 Programming For Beginners</v>
      </c>
    </row>
    <row r="6661">
      <c r="A6661" s="140" t="str">
        <f>IFERROR(__xludf.DUMMYFUNCTION("""COMPUTED_VALUE"""),"pt")</f>
        <v>pt</v>
      </c>
      <c r="B6661">
        <f>IFERROR(__xludf.DUMMYFUNCTION("""COMPUTED_VALUE"""),3103958.0)</f>
        <v>3103958</v>
      </c>
      <c r="C6661" t="str">
        <f>IFERROR(__xludf.DUMMYFUNCTION("""COMPUTED_VALUE"""),"Renda Fixa Expert - Renda Fixa na Prática")</f>
        <v>Renda Fixa Expert - Renda Fixa na Prática</v>
      </c>
    </row>
    <row r="6662">
      <c r="A6662" s="140" t="str">
        <f>IFERROR(__xludf.DUMMYFUNCTION("""COMPUTED_VALUE"""),"es")</f>
        <v>es</v>
      </c>
      <c r="B6662">
        <f>IFERROR(__xludf.DUMMYFUNCTION("""COMPUTED_VALUE"""),1712584.0)</f>
        <v>1712584</v>
      </c>
      <c r="C6662" t="str">
        <f>IFERROR(__xludf.DUMMYFUNCTION("""COMPUTED_VALUE"""),"Productividad al máximo: No manejo del tiempo; asertividad")</f>
        <v>Productividad al máximo: No manejo del tiempo; asertividad</v>
      </c>
    </row>
    <row r="6663">
      <c r="A6663" s="140" t="str">
        <f>IFERROR(__xludf.DUMMYFUNCTION("""COMPUTED_VALUE"""),"en")</f>
        <v>en</v>
      </c>
      <c r="B6663">
        <f>IFERROR(__xludf.DUMMYFUNCTION("""COMPUTED_VALUE"""),4176740.0)</f>
        <v>4176740</v>
      </c>
      <c r="C6663" t="str">
        <f>IFERROR(__xludf.DUMMYFUNCTION("""COMPUTED_VALUE"""),"SwiftUI Cookbook - Over 100 Recipes for Building iOS Apps")</f>
        <v>SwiftUI Cookbook - Over 100 Recipes for Building iOS Apps</v>
      </c>
    </row>
    <row r="6664">
      <c r="A6664" s="140" t="str">
        <f>IFERROR(__xludf.DUMMYFUNCTION("""COMPUTED_VALUE"""),"de")</f>
        <v>de</v>
      </c>
      <c r="B6664">
        <f>IFERROR(__xludf.DUMMYFUNCTION("""COMPUTED_VALUE"""),640446.0)</f>
        <v>640446</v>
      </c>
      <c r="C6664" t="str">
        <f>IFERROR(__xludf.DUMMYFUNCTION("""COMPUTED_VALUE"""),"SQL lernen, schnell und einfach")</f>
        <v>SQL lernen, schnell und einfach</v>
      </c>
    </row>
    <row r="6665">
      <c r="A6665" s="140" t="str">
        <f>IFERROR(__xludf.DUMMYFUNCTION("""COMPUTED_VALUE"""),"ar")</f>
        <v>ar</v>
      </c>
      <c r="B6665">
        <f>IFERROR(__xludf.DUMMYFUNCTION("""COMPUTED_VALUE"""),1223596.0)</f>
        <v>1223596</v>
      </c>
      <c r="C6665" t="str">
        <f>IFERROR(__xludf.DUMMYFUNCTION("""COMPUTED_VALUE"""),"Angular 4 with Typescript The Complete Guide in Arabic")</f>
        <v>Angular 4 with Typescript The Complete Guide in Arabic</v>
      </c>
    </row>
    <row r="6666">
      <c r="A6666" s="140" t="str">
        <f>IFERROR(__xludf.DUMMYFUNCTION("""COMPUTED_VALUE"""),"de")</f>
        <v>de</v>
      </c>
      <c r="B6666">
        <f>IFERROR(__xludf.DUMMYFUNCTION("""COMPUTED_VALUE"""),2013104.0)</f>
        <v>2013104</v>
      </c>
      <c r="C6666" t="str">
        <f>IFERROR(__xludf.DUMMYFUNCTION("""COMPUTED_VALUE"""),"E-Mails schreiben leicht gemacht - inkl. Shortbook")</f>
        <v>E-Mails schreiben leicht gemacht - inkl. Shortbook</v>
      </c>
    </row>
    <row r="6667">
      <c r="A6667" s="140" t="str">
        <f>IFERROR(__xludf.DUMMYFUNCTION("""COMPUTED_VALUE"""),"tr")</f>
        <v>tr</v>
      </c>
      <c r="B6667">
        <f>IFERROR(__xludf.DUMMYFUNCTION("""COMPUTED_VALUE"""),2759198.0)</f>
        <v>2759198</v>
      </c>
      <c r="C6667" t="str">
        <f>IFERROR(__xludf.DUMMYFUNCTION("""COMPUTED_VALUE"""),"Her Seviyeye Uygun Python Egzersizleri (Soru-Çözüm) : PYT102")</f>
        <v>Her Seviyeye Uygun Python Egzersizleri (Soru-Çözüm) : PYT102</v>
      </c>
    </row>
    <row r="6668">
      <c r="A6668" s="140" t="str">
        <f>IFERROR(__xludf.DUMMYFUNCTION("""COMPUTED_VALUE"""),"de")</f>
        <v>de</v>
      </c>
      <c r="B6668">
        <f>IFERROR(__xludf.DUMMYFUNCTION("""COMPUTED_VALUE"""),2032114.0)</f>
        <v>2032114</v>
      </c>
      <c r="C6668" t="str">
        <f>IFERROR(__xludf.DUMMYFUNCTION("""COMPUTED_VALUE"""),"Buchhaltung - Crashkurs")</f>
        <v>Buchhaltung - Crashkurs</v>
      </c>
    </row>
    <row r="6669">
      <c r="A6669" s="140" t="str">
        <f>IFERROR(__xludf.DUMMYFUNCTION("""COMPUTED_VALUE"""),"ja")</f>
        <v>ja</v>
      </c>
      <c r="B6669">
        <f>IFERROR(__xludf.DUMMYFUNCTION("""COMPUTED_VALUE"""),2443342.0)</f>
        <v>2443342</v>
      </c>
      <c r="C6669" t="str">
        <f>IFERROR(__xludf.DUMMYFUNCTION("""COMPUTED_VALUE"""),"【 キーワード速習！ 】実践MBAアカウンティング＆ファイナンス講座マスターコース")</f>
        <v>【 キーワード速習！ 】実践MBAアカウンティング＆ファイナンス講座マスターコース</v>
      </c>
    </row>
    <row r="6670">
      <c r="A6670" s="140" t="str">
        <f>IFERROR(__xludf.DUMMYFUNCTION("""COMPUTED_VALUE"""),"ja")</f>
        <v>ja</v>
      </c>
      <c r="B6670">
        <f>IFERROR(__xludf.DUMMYFUNCTION("""COMPUTED_VALUE"""),2348438.0)</f>
        <v>2348438</v>
      </c>
      <c r="C6670" t="str">
        <f>IFERROR(__xludf.DUMMYFUNCTION("""COMPUTED_VALUE"""),"【グローバル・ビジネスケースから学ぶ】マーケティング戦略入門（日本語字幕版）")</f>
        <v>【グローバル・ビジネスケースから学ぶ】マーケティング戦略入門（日本語字幕版）</v>
      </c>
    </row>
    <row r="6671">
      <c r="A6671" s="140" t="str">
        <f>IFERROR(__xludf.DUMMYFUNCTION("""COMPUTED_VALUE"""),"es")</f>
        <v>es</v>
      </c>
      <c r="B6671">
        <f>IFERROR(__xludf.DUMMYFUNCTION("""COMPUTED_VALUE"""),3483758.0)</f>
        <v>3483758</v>
      </c>
      <c r="C6671" t="str">
        <f>IFERROR(__xludf.DUMMYFUNCTION("""COMPUTED_VALUE"""),"Masterclass en Inteligencia Artificial: con Proyectos Reales")</f>
        <v>Masterclass en Inteligencia Artificial: con Proyectos Reales</v>
      </c>
    </row>
    <row r="6672">
      <c r="A6672" s="140" t="str">
        <f>IFERROR(__xludf.DUMMYFUNCTION("""COMPUTED_VALUE"""),"en")</f>
        <v>en</v>
      </c>
      <c r="B6672">
        <f>IFERROR(__xludf.DUMMYFUNCTION("""COMPUTED_VALUE"""),3276416.0)</f>
        <v>3276416</v>
      </c>
      <c r="C6672" t="str">
        <f>IFERROR(__xludf.DUMMYFUNCTION("""COMPUTED_VALUE"""),"Salesforce community/ Experience cloud With Live Project")</f>
        <v>Salesforce community/ Experience cloud With Live Project</v>
      </c>
    </row>
    <row r="6673">
      <c r="A6673" s="140" t="str">
        <f>IFERROR(__xludf.DUMMYFUNCTION("""COMPUTED_VALUE"""),"en")</f>
        <v>en</v>
      </c>
      <c r="B6673">
        <f>IFERROR(__xludf.DUMMYFUNCTION("""COMPUTED_VALUE"""),1305520.0)</f>
        <v>1305520</v>
      </c>
      <c r="C6673" t="str">
        <f>IFERROR(__xludf.DUMMYFUNCTION("""COMPUTED_VALUE"""),"Enhance your Emotional Intelligence; The Science of Emotions")</f>
        <v>Enhance your Emotional Intelligence; The Science of Emotions</v>
      </c>
    </row>
    <row r="6674">
      <c r="A6674" s="140" t="str">
        <f>IFERROR(__xludf.DUMMYFUNCTION("""COMPUTED_VALUE"""),"ja")</f>
        <v>ja</v>
      </c>
      <c r="B6674">
        <f>IFERROR(__xludf.DUMMYFUNCTION("""COMPUTED_VALUE"""),3502124.0)</f>
        <v>3502124</v>
      </c>
      <c r="C6674" t="str">
        <f>IFERROR(__xludf.DUMMYFUNCTION("""COMPUTED_VALUE"""),"最速で学ぶFirebase + React Hooks (TypeScript)")</f>
        <v>最速で学ぶFirebase + React Hooks (TypeScript)</v>
      </c>
    </row>
    <row r="6675">
      <c r="A6675" s="140" t="str">
        <f>IFERROR(__xludf.DUMMYFUNCTION("""COMPUTED_VALUE"""),"en")</f>
        <v>en</v>
      </c>
      <c r="B6675">
        <f>IFERROR(__xludf.DUMMYFUNCTION("""COMPUTED_VALUE"""),747304.0)</f>
        <v>747304</v>
      </c>
      <c r="C6675" t="str">
        <f>IFERROR(__xludf.DUMMYFUNCTION("""COMPUTED_VALUE"""),"QlikView Security Masterclass")</f>
        <v>QlikView Security Masterclass</v>
      </c>
    </row>
    <row r="6676">
      <c r="A6676" s="140" t="str">
        <f>IFERROR(__xludf.DUMMYFUNCTION("""COMPUTED_VALUE"""),"en")</f>
        <v>en</v>
      </c>
      <c r="B6676">
        <f>IFERROR(__xludf.DUMMYFUNCTION("""COMPUTED_VALUE"""),470752.0)</f>
        <v>470752</v>
      </c>
      <c r="C6676" t="str">
        <f>IFERROR(__xludf.DUMMYFUNCTION("""COMPUTED_VALUE"""),"IT Professional 2.0: Take Your Career To The Next Level")</f>
        <v>IT Professional 2.0: Take Your Career To The Next Level</v>
      </c>
    </row>
    <row r="6677">
      <c r="A6677" s="140" t="str">
        <f>IFERROR(__xludf.DUMMYFUNCTION("""COMPUTED_VALUE"""),"en")</f>
        <v>en</v>
      </c>
      <c r="B6677">
        <f>IFERROR(__xludf.DUMMYFUNCTION("""COMPUTED_VALUE"""),810058.0)</f>
        <v>810058</v>
      </c>
      <c r="C6677" t="str">
        <f>IFERROR(__xludf.DUMMYFUNCTION("""COMPUTED_VALUE"""),"Business Chinese")</f>
        <v>Business Chinese</v>
      </c>
    </row>
    <row r="6678">
      <c r="A6678" s="140" t="str">
        <f>IFERROR(__xludf.DUMMYFUNCTION("""COMPUTED_VALUE"""),"en")</f>
        <v>en</v>
      </c>
      <c r="B6678">
        <f>IFERROR(__xludf.DUMMYFUNCTION("""COMPUTED_VALUE"""),1397566.0)</f>
        <v>1397566</v>
      </c>
      <c r="C6678" t="str">
        <f>IFERROR(__xludf.DUMMYFUNCTION("""COMPUTED_VALUE"""),"Communication Skills every Manager should Master")</f>
        <v>Communication Skills every Manager should Master</v>
      </c>
    </row>
    <row r="6679">
      <c r="A6679" s="140" t="str">
        <f>IFERROR(__xludf.DUMMYFUNCTION("""COMPUTED_VALUE"""),"en")</f>
        <v>en</v>
      </c>
      <c r="B6679">
        <f>IFERROR(__xludf.DUMMYFUNCTION("""COMPUTED_VALUE"""),2689300.0)</f>
        <v>2689300</v>
      </c>
      <c r="C6679" t="str">
        <f>IFERROR(__xludf.DUMMYFUNCTION("""COMPUTED_VALUE"""),"Microsoft MS-900 Certification: M365 Fundamentals")</f>
        <v>Microsoft MS-900 Certification: M365 Fundamentals</v>
      </c>
    </row>
    <row r="6680">
      <c r="A6680" s="140" t="str">
        <f>IFERROR(__xludf.DUMMYFUNCTION("""COMPUTED_VALUE"""),"en")</f>
        <v>en</v>
      </c>
      <c r="B6680">
        <f>IFERROR(__xludf.DUMMYFUNCTION("""COMPUTED_VALUE"""),4165788.0)</f>
        <v>4165788</v>
      </c>
      <c r="C6680" t="str">
        <f>IFERROR(__xludf.DUMMYFUNCTION("""COMPUTED_VALUE"""),"CV Masterclass: Complete Guide To Writing A Job Winning CV")</f>
        <v>CV Masterclass: Complete Guide To Writing A Job Winning CV</v>
      </c>
    </row>
    <row r="6681">
      <c r="A6681" s="140" t="str">
        <f>IFERROR(__xludf.DUMMYFUNCTION("""COMPUTED_VALUE"""),"ja")</f>
        <v>ja</v>
      </c>
      <c r="B6681">
        <f>IFERROR(__xludf.DUMMYFUNCTION("""COMPUTED_VALUE"""),3515490.0)</f>
        <v>3515490</v>
      </c>
      <c r="C6681" t="str">
        <f>IFERROR(__xludf.DUMMYFUNCTION("""COMPUTED_VALUE"""),"オンラインで差がつく！声が変わると存在感が変わる！プロ養成のアナウンサーが教える発声・発音・滑舌のショートカット講座")</f>
        <v>オンラインで差がつく！声が変わると存在感が変わる！プロ養成のアナウンサーが教える発声・発音・滑舌のショートカット講座</v>
      </c>
    </row>
    <row r="6682">
      <c r="A6682" s="140" t="str">
        <f>IFERROR(__xludf.DUMMYFUNCTION("""COMPUTED_VALUE"""),"es")</f>
        <v>es</v>
      </c>
      <c r="B6682">
        <f>IFERROR(__xludf.DUMMYFUNCTION("""COMPUTED_VALUE"""),684114.0)</f>
        <v>684114</v>
      </c>
      <c r="C6682" t="str">
        <f>IFERROR(__xludf.DUMMYFUNCTION("""COMPUTED_VALUE"""),"Crear un API RESTful con Slim PHP y usarla con AJAX")</f>
        <v>Crear un API RESTful con Slim PHP y usarla con AJAX</v>
      </c>
    </row>
    <row r="6683">
      <c r="A6683" s="140" t="str">
        <f>IFERROR(__xludf.DUMMYFUNCTION("""COMPUTED_VALUE"""),"es")</f>
        <v>es</v>
      </c>
      <c r="B6683">
        <f>IFERROR(__xludf.DUMMYFUNCTION("""COMPUTED_VALUE"""),2588360.0)</f>
        <v>2588360</v>
      </c>
      <c r="C6683" t="str">
        <f>IFERROR(__xludf.DUMMYFUNCTION("""COMPUTED_VALUE"""),"Microsoft Excel Aplicado a la Contabilidad / Excel Contable")</f>
        <v>Microsoft Excel Aplicado a la Contabilidad / Excel Contable</v>
      </c>
    </row>
    <row r="6684">
      <c r="A6684" s="140" t="str">
        <f>IFERROR(__xludf.DUMMYFUNCTION("""COMPUTED_VALUE"""),"es")</f>
        <v>es</v>
      </c>
      <c r="B6684">
        <f>IFERROR(__xludf.DUMMYFUNCTION("""COMPUTED_VALUE"""),1444542.0)</f>
        <v>1444542</v>
      </c>
      <c r="C6684" t="str">
        <f>IFERROR(__xludf.DUMMYFUNCTION("""COMPUTED_VALUE"""),"Curso Práctico de Django con Python: Desarrollo Web Backend")</f>
        <v>Curso Práctico de Django con Python: Desarrollo Web Backend</v>
      </c>
    </row>
    <row r="6685">
      <c r="A6685" s="140" t="str">
        <f>IFERROR(__xludf.DUMMYFUNCTION("""COMPUTED_VALUE"""),"en")</f>
        <v>en</v>
      </c>
      <c r="B6685">
        <f>IFERROR(__xludf.DUMMYFUNCTION("""COMPUTED_VALUE"""),2253706.0)</f>
        <v>2253706</v>
      </c>
      <c r="C6685" t="str">
        <f>IFERROR(__xludf.DUMMYFUNCTION("""COMPUTED_VALUE"""),"AWS Certified Data Analytics Specialty 2021 - Hands On!")</f>
        <v>AWS Certified Data Analytics Specialty 2021 - Hands On!</v>
      </c>
    </row>
    <row r="6686">
      <c r="A6686" s="140" t="str">
        <f>IFERROR(__xludf.DUMMYFUNCTION("""COMPUTED_VALUE"""),"pt")</f>
        <v>pt</v>
      </c>
      <c r="B6686">
        <f>IFERROR(__xludf.DUMMYFUNCTION("""COMPUTED_VALUE"""),1465244.0)</f>
        <v>1465244</v>
      </c>
      <c r="C6686" t="str">
        <f>IFERROR(__xludf.DUMMYFUNCTION("""COMPUTED_VALUE"""),"Curso Web Moderno Completo com JavaScript 2021 + Projetos")</f>
        <v>Curso Web Moderno Completo com JavaScript 2021 + Projetos</v>
      </c>
    </row>
    <row r="6687">
      <c r="A6687" s="140" t="str">
        <f>IFERROR(__xludf.DUMMYFUNCTION("""COMPUTED_VALUE"""),"es")</f>
        <v>es</v>
      </c>
      <c r="B6687">
        <f>IFERROR(__xludf.DUMMYFUNCTION("""COMPUTED_VALUE"""),1837638.0)</f>
        <v>1837638</v>
      </c>
      <c r="C6687" t="str">
        <f>IFERROR(__xludf.DUMMYFUNCTION("""COMPUTED_VALUE"""),"Angular &amp; Spring Boot: Creando web app full stack")</f>
        <v>Angular &amp; Spring Boot: Creando web app full stack</v>
      </c>
    </row>
    <row r="6688">
      <c r="A6688" s="140" t="str">
        <f>IFERROR(__xludf.DUMMYFUNCTION("""COMPUTED_VALUE"""),"en")</f>
        <v>en</v>
      </c>
      <c r="B6688">
        <f>IFERROR(__xludf.DUMMYFUNCTION("""COMPUTED_VALUE"""),3373806.0)</f>
        <v>3373806</v>
      </c>
      <c r="C6688" t="str">
        <f>IFERROR(__xludf.DUMMYFUNCTION("""COMPUTED_VALUE"""),"98-364: Database Fundamentals")</f>
        <v>98-364: Database Fundamentals</v>
      </c>
    </row>
    <row r="6689">
      <c r="A6689" s="140" t="str">
        <f>IFERROR(__xludf.DUMMYFUNCTION("""COMPUTED_VALUE"""),"pt")</f>
        <v>pt</v>
      </c>
      <c r="B6689">
        <f>IFERROR(__xludf.DUMMYFUNCTION("""COMPUTED_VALUE"""),1376312.0)</f>
        <v>1376312</v>
      </c>
      <c r="C6689" t="str">
        <f>IFERROR(__xludf.DUMMYFUNCTION("""COMPUTED_VALUE"""),"Como Criar Imagens para as Redes Sociais")</f>
        <v>Como Criar Imagens para as Redes Sociais</v>
      </c>
    </row>
    <row r="6690">
      <c r="A6690" s="140" t="str">
        <f>IFERROR(__xludf.DUMMYFUNCTION("""COMPUTED_VALUE"""),"en")</f>
        <v>en</v>
      </c>
      <c r="B6690">
        <f>IFERROR(__xludf.DUMMYFUNCTION("""COMPUTED_VALUE"""),63799.0)</f>
        <v>63799</v>
      </c>
      <c r="C6690" t="str">
        <f>IFERROR(__xludf.DUMMYFUNCTION("""COMPUTED_VALUE"""),"Excel with Interactive Excel Dashboards")</f>
        <v>Excel with Interactive Excel Dashboards</v>
      </c>
    </row>
    <row r="6691">
      <c r="A6691" s="140" t="str">
        <f>IFERROR(__xludf.DUMMYFUNCTION("""COMPUTED_VALUE"""),"en")</f>
        <v>en</v>
      </c>
      <c r="B6691">
        <f>IFERROR(__xludf.DUMMYFUNCTION("""COMPUTED_VALUE"""),1352388.0)</f>
        <v>1352388</v>
      </c>
      <c r="C6691" t="str">
        <f>IFERROR(__xludf.DUMMYFUNCTION("""COMPUTED_VALUE"""),"Agile Business Analysis")</f>
        <v>Agile Business Analysis</v>
      </c>
    </row>
    <row r="6692">
      <c r="A6692" s="140" t="str">
        <f>IFERROR(__xludf.DUMMYFUNCTION("""COMPUTED_VALUE"""),"ar")</f>
        <v>ar</v>
      </c>
      <c r="B6692">
        <f>IFERROR(__xludf.DUMMYFUNCTION("""COMPUTED_VALUE"""),3329830.0)</f>
        <v>3329830</v>
      </c>
      <c r="C6692" t="str">
        <f>IFERROR(__xludf.DUMMYFUNCTION("""COMPUTED_VALUE"""),"FullStack Web Development: Node | Express | MongoDB")</f>
        <v>FullStack Web Development: Node | Express | MongoDB</v>
      </c>
    </row>
    <row r="6693">
      <c r="A6693" s="140" t="str">
        <f>IFERROR(__xludf.DUMMYFUNCTION("""COMPUTED_VALUE"""),"pt")</f>
        <v>pt</v>
      </c>
      <c r="B6693">
        <f>IFERROR(__xludf.DUMMYFUNCTION("""COMPUTED_VALUE"""),4173056.0)</f>
        <v>4173056</v>
      </c>
      <c r="C6693" t="str">
        <f>IFERROR(__xludf.DUMMYFUNCTION("""COMPUTED_VALUE"""),"Certificação AWS Cloud Practitioner - Simulados em Português")</f>
        <v>Certificação AWS Cloud Practitioner - Simulados em Português</v>
      </c>
    </row>
    <row r="6694">
      <c r="A6694" s="140" t="str">
        <f>IFERROR(__xludf.DUMMYFUNCTION("""COMPUTED_VALUE"""),"pt")</f>
        <v>pt</v>
      </c>
      <c r="B6694">
        <f>IFERROR(__xludf.DUMMYFUNCTION("""COMPUTED_VALUE"""),3048582.0)</f>
        <v>3048582</v>
      </c>
      <c r="C6694" t="str">
        <f>IFERROR(__xludf.DUMMYFUNCTION("""COMPUTED_VALUE"""),"Curso completo de  ADOBE XD 2021 [UI/UX Design APPs e Sites]")</f>
        <v>Curso completo de  ADOBE XD 2021 [UI/UX Design APPs e Sites]</v>
      </c>
    </row>
    <row r="6695">
      <c r="A6695" s="140" t="str">
        <f>IFERROR(__xludf.DUMMYFUNCTION("""COMPUTED_VALUE"""),"en")</f>
        <v>en</v>
      </c>
      <c r="B6695">
        <f>IFERROR(__xludf.DUMMYFUNCTION("""COMPUTED_VALUE"""),281138.0)</f>
        <v>281138</v>
      </c>
      <c r="C6695" t="str">
        <f>IFERROR(__xludf.DUMMYFUNCTION("""COMPUTED_VALUE"""),"Learn Network Hacking From Scratch (WiFi &amp; Wired)")</f>
        <v>Learn Network Hacking From Scratch (WiFi &amp; Wired)</v>
      </c>
    </row>
    <row r="6696">
      <c r="A6696" s="140" t="str">
        <f>IFERROR(__xludf.DUMMYFUNCTION("""COMPUTED_VALUE"""),"en")</f>
        <v>en</v>
      </c>
      <c r="B6696">
        <f>IFERROR(__xludf.DUMMYFUNCTION("""COMPUTED_VALUE"""),1178310.0)</f>
        <v>1178310</v>
      </c>
      <c r="C6696" t="str">
        <f>IFERROR(__xludf.DUMMYFUNCTION("""COMPUTED_VALUE"""),"Microsoft Access: Complete MS Access Mastery for Beginners")</f>
        <v>Microsoft Access: Complete MS Access Mastery for Beginners</v>
      </c>
    </row>
    <row r="6697">
      <c r="A6697" s="140" t="str">
        <f>IFERROR(__xludf.DUMMYFUNCTION("""COMPUTED_VALUE"""),"en")</f>
        <v>en</v>
      </c>
      <c r="B6697">
        <f>IFERROR(__xludf.DUMMYFUNCTION("""COMPUTED_VALUE"""),1278524.0)</f>
        <v>1278524</v>
      </c>
      <c r="C6697" t="str">
        <f>IFERROR(__xludf.DUMMYFUNCTION("""COMPUTED_VALUE"""),"AWS MasterClass: DevOps w/ AWS Command Line Interface (CLI)")</f>
        <v>AWS MasterClass: DevOps w/ AWS Command Line Interface (CLI)</v>
      </c>
    </row>
    <row r="6698">
      <c r="A6698" s="140" t="str">
        <f>IFERROR(__xludf.DUMMYFUNCTION("""COMPUTED_VALUE"""),"en")</f>
        <v>en</v>
      </c>
      <c r="B6698">
        <f>IFERROR(__xludf.DUMMYFUNCTION("""COMPUTED_VALUE"""),1614404.0)</f>
        <v>1614404</v>
      </c>
      <c r="C6698" t="str">
        <f>IFERROR(__xludf.DUMMYFUNCTION("""COMPUTED_VALUE"""),"Understanding 5G: The Next Evolution in Wireless")</f>
        <v>Understanding 5G: The Next Evolution in Wireless</v>
      </c>
    </row>
    <row r="6699">
      <c r="A6699" s="140" t="str">
        <f>IFERROR(__xludf.DUMMYFUNCTION("""COMPUTED_VALUE"""),"de")</f>
        <v>de</v>
      </c>
      <c r="B6699">
        <f>IFERROR(__xludf.DUMMYFUNCTION("""COMPUTED_VALUE"""),1514566.0)</f>
        <v>1514566</v>
      </c>
      <c r="C6699" t="str">
        <f>IFERROR(__xludf.DUMMYFUNCTION("""COMPUTED_VALUE"""),"EXCEL vom Einsteiger zum Profi - Formeln, Funktionen &amp; Pivot")</f>
        <v>EXCEL vom Einsteiger zum Profi - Formeln, Funktionen &amp; Pivot</v>
      </c>
    </row>
    <row r="6700">
      <c r="A6700" s="140" t="str">
        <f>IFERROR(__xludf.DUMMYFUNCTION("""COMPUTED_VALUE"""),"es")</f>
        <v>es</v>
      </c>
      <c r="B6700">
        <f>IFERROR(__xludf.DUMMYFUNCTION("""COMPUTED_VALUE"""),1186588.0)</f>
        <v>1186588</v>
      </c>
      <c r="C6700" t="str">
        <f>IFERROR(__xludf.DUMMYFUNCTION("""COMPUTED_VALUE"""),"Crea sistemas de juegos en línea con canvas y PHP 7")</f>
        <v>Crea sistemas de juegos en línea con canvas y PHP 7</v>
      </c>
    </row>
    <row r="6701">
      <c r="A6701" s="140" t="str">
        <f>IFERROR(__xludf.DUMMYFUNCTION("""COMPUTED_VALUE"""),"en")</f>
        <v>en</v>
      </c>
      <c r="B6701">
        <f>IFERROR(__xludf.DUMMYFUNCTION("""COMPUTED_VALUE"""),2719254.0)</f>
        <v>2719254</v>
      </c>
      <c r="C6701" t="str">
        <f>IFERROR(__xludf.DUMMYFUNCTION("""COMPUTED_VALUE"""),"React Next.js Node API AWS - Build Scaling MERN Stack App")</f>
        <v>React Next.js Node API AWS - Build Scaling MERN Stack App</v>
      </c>
    </row>
    <row r="6702">
      <c r="A6702" s="140" t="str">
        <f>IFERROR(__xludf.DUMMYFUNCTION("""COMPUTED_VALUE"""),"ar")</f>
        <v>ar</v>
      </c>
      <c r="B6702">
        <f>IFERROR(__xludf.DUMMYFUNCTION("""COMPUTED_VALUE"""),1540942.0)</f>
        <v>1540942</v>
      </c>
      <c r="C6702" t="str">
        <f>IFERROR(__xludf.DUMMYFUNCTION("""COMPUTED_VALUE"""),"Start In Software Defined Networking and Open Flow بالعربي")</f>
        <v>Start In Software Defined Networking and Open Flow بالعربي</v>
      </c>
    </row>
    <row r="6703">
      <c r="A6703" s="140" t="str">
        <f>IFERROR(__xludf.DUMMYFUNCTION("""COMPUTED_VALUE"""),"en")</f>
        <v>en</v>
      </c>
      <c r="B6703">
        <f>IFERROR(__xludf.DUMMYFUNCTION("""COMPUTED_VALUE"""),1523000.0)</f>
        <v>1523000</v>
      </c>
      <c r="C6703" t="str">
        <f>IFERROR(__xludf.DUMMYFUNCTION("""COMPUTED_VALUE"""),"Spring Boot Fundamentals")</f>
        <v>Spring Boot Fundamentals</v>
      </c>
    </row>
    <row r="6704">
      <c r="A6704" s="140" t="str">
        <f>IFERROR(__xludf.DUMMYFUNCTION("""COMPUTED_VALUE"""),"es")</f>
        <v>es</v>
      </c>
      <c r="B6704">
        <f>IFERROR(__xludf.DUMMYFUNCTION("""COMPUTED_VALUE"""),260352.0)</f>
        <v>260352</v>
      </c>
      <c r="C6704" t="str">
        <f>IFERROR(__xludf.DUMMYFUNCTION("""COMPUTED_VALUE"""),"Programación Panel View Plus desde cero")</f>
        <v>Programación Panel View Plus desde cero</v>
      </c>
    </row>
    <row r="6705">
      <c r="A6705" s="140" t="str">
        <f>IFERROR(__xludf.DUMMYFUNCTION("""COMPUTED_VALUE"""),"en")</f>
        <v>en</v>
      </c>
      <c r="B6705">
        <f>IFERROR(__xludf.DUMMYFUNCTION("""COMPUTED_VALUE"""),1527300.0)</f>
        <v>1527300</v>
      </c>
      <c r="C6705" t="str">
        <f>IFERROR(__xludf.DUMMYFUNCTION("""COMPUTED_VALUE"""),"Learn Python &amp; Ethical Hacking From Scratch")</f>
        <v>Learn Python &amp; Ethical Hacking From Scratch</v>
      </c>
    </row>
    <row r="6706">
      <c r="A6706" s="140" t="str">
        <f>IFERROR(__xludf.DUMMYFUNCTION("""COMPUTED_VALUE"""),"zh")</f>
        <v>zh</v>
      </c>
      <c r="B6706">
        <f>IFERROR(__xludf.DUMMYFUNCTION("""COMPUTED_VALUE"""),1931200.0)</f>
        <v>1931200</v>
      </c>
      <c r="C6706" t="str">
        <f>IFERROR(__xludf.DUMMYFUNCTION("""COMPUTED_VALUE"""),"After Effects高手之路---零基础入门篇")</f>
        <v>After Effects高手之路---零基础入门篇</v>
      </c>
    </row>
    <row r="6707">
      <c r="A6707" s="140" t="str">
        <f>IFERROR(__xludf.DUMMYFUNCTION("""COMPUTED_VALUE"""),"ja")</f>
        <v>ja</v>
      </c>
      <c r="B6707">
        <f>IFERROR(__xludf.DUMMYFUNCTION("""COMPUTED_VALUE"""),3497944.0)</f>
        <v>3497944</v>
      </c>
      <c r="C6707" t="str">
        <f>IFERROR(__xludf.DUMMYFUNCTION("""COMPUTED_VALUE"""),"Pythonとディープラーニングがわかる基礎講座（Windows10版）")</f>
        <v>Pythonとディープラーニングがわかる基礎講座（Windows10版）</v>
      </c>
    </row>
    <row r="6708">
      <c r="A6708" s="140" t="str">
        <f>IFERROR(__xludf.DUMMYFUNCTION("""COMPUTED_VALUE"""),"en")</f>
        <v>en</v>
      </c>
      <c r="B6708">
        <f>IFERROR(__xludf.DUMMYFUNCTION("""COMPUTED_VALUE"""),1115360.0)</f>
        <v>1115360</v>
      </c>
      <c r="C6708" t="str">
        <f>IFERROR(__xludf.DUMMYFUNCTION("""COMPUTED_VALUE"""),"Start and Run a Successful IT Support Company")</f>
        <v>Start and Run a Successful IT Support Company</v>
      </c>
    </row>
    <row r="6709">
      <c r="A6709" s="140" t="str">
        <f>IFERROR(__xludf.DUMMYFUNCTION("""COMPUTED_VALUE"""),"en")</f>
        <v>en</v>
      </c>
      <c r="B6709">
        <f>IFERROR(__xludf.DUMMYFUNCTION("""COMPUTED_VALUE"""),4144220.0)</f>
        <v>4144220</v>
      </c>
      <c r="C6709" t="str">
        <f>IFERROR(__xludf.DUMMYFUNCTION("""COMPUTED_VALUE"""),"Canva: Design Logos, Social Media Content &amp; More with Canva!")</f>
        <v>Canva: Design Logos, Social Media Content &amp; More with Canva!</v>
      </c>
    </row>
    <row r="6710">
      <c r="A6710" s="140" t="str">
        <f>IFERROR(__xludf.DUMMYFUNCTION("""COMPUTED_VALUE"""),"en")</f>
        <v>en</v>
      </c>
      <c r="B6710">
        <f>IFERROR(__xludf.DUMMYFUNCTION("""COMPUTED_VALUE"""),3728980.0)</f>
        <v>3728980</v>
      </c>
      <c r="C6710" t="str">
        <f>IFERROR(__xludf.DUMMYFUNCTION("""COMPUTED_VALUE"""),"MS-900 Course with Practice Sims. Microsoft 365 Fundamentals")</f>
        <v>MS-900 Course with Practice Sims. Microsoft 365 Fundamentals</v>
      </c>
    </row>
    <row r="6711">
      <c r="A6711" s="140" t="str">
        <f>IFERROR(__xludf.DUMMYFUNCTION("""COMPUTED_VALUE"""),"ja")</f>
        <v>ja</v>
      </c>
      <c r="B6711">
        <f>IFERROR(__xludf.DUMMYFUNCTION("""COMPUTED_VALUE"""),3675540.0)</f>
        <v>3675540</v>
      </c>
      <c r="C6711" t="str">
        <f>IFERROR(__xludf.DUMMYFUNCTION("""COMPUTED_VALUE"""),"scikit-learnで学ぶ機械学習")</f>
        <v>scikit-learnで学ぶ機械学習</v>
      </c>
    </row>
    <row r="6712">
      <c r="A6712" s="140" t="str">
        <f>IFERROR(__xludf.DUMMYFUNCTION("""COMPUTED_VALUE"""),"pt")</f>
        <v>pt</v>
      </c>
      <c r="B6712">
        <f>IFERROR(__xludf.DUMMYFUNCTION("""COMPUTED_VALUE"""),1680824.0)</f>
        <v>1680824</v>
      </c>
      <c r="C6712" t="str">
        <f>IFERROR(__xludf.DUMMYFUNCTION("""COMPUTED_VALUE"""),"Excel Básico Avançado 5 Cursos - Formação Especialista")</f>
        <v>Excel Básico Avançado 5 Cursos - Formação Especialista</v>
      </c>
    </row>
    <row r="6713">
      <c r="A6713" s="140" t="str">
        <f>IFERROR(__xludf.DUMMYFUNCTION("""COMPUTED_VALUE"""),"en")</f>
        <v>en</v>
      </c>
      <c r="B6713">
        <f>IFERROR(__xludf.DUMMYFUNCTION("""COMPUTED_VALUE"""),1091448.0)</f>
        <v>1091448</v>
      </c>
      <c r="C6713" t="str">
        <f>IFERROR(__xludf.DUMMYFUNCTION("""COMPUTED_VALUE"""),"Microsoft Access VBA, Design and Advanced Methods Workshop 2")</f>
        <v>Microsoft Access VBA, Design and Advanced Methods Workshop 2</v>
      </c>
    </row>
    <row r="6714">
      <c r="A6714" s="140" t="str">
        <f>IFERROR(__xludf.DUMMYFUNCTION("""COMPUTED_VALUE"""),"en")</f>
        <v>en</v>
      </c>
      <c r="B6714">
        <f>IFERROR(__xludf.DUMMYFUNCTION("""COMPUTED_VALUE"""),3721456.0)</f>
        <v>3721456</v>
      </c>
      <c r="C6714" t="str">
        <f>IFERROR(__xludf.DUMMYFUNCTION("""COMPUTED_VALUE"""),"Developing a Multithreaded Kernel From Scratch!")</f>
        <v>Developing a Multithreaded Kernel From Scratch!</v>
      </c>
    </row>
    <row r="6715">
      <c r="A6715" s="140" t="str">
        <f>IFERROR(__xludf.DUMMYFUNCTION("""COMPUTED_VALUE"""),"en")</f>
        <v>en</v>
      </c>
      <c r="B6715">
        <f>IFERROR(__xludf.DUMMYFUNCTION("""COMPUTED_VALUE"""),3025098.0)</f>
        <v>3025098</v>
      </c>
      <c r="C6715" t="str">
        <f>IFERROR(__xludf.DUMMYFUNCTION("""COMPUTED_VALUE"""),"DevOps Catalog, Patterns, And Blueprints")</f>
        <v>DevOps Catalog, Patterns, And Blueprints</v>
      </c>
    </row>
    <row r="6716">
      <c r="A6716" s="140" t="str">
        <f>IFERROR(__xludf.DUMMYFUNCTION("""COMPUTED_VALUE"""),"en")</f>
        <v>en</v>
      </c>
      <c r="B6716">
        <f>IFERROR(__xludf.DUMMYFUNCTION("""COMPUTED_VALUE"""),2207270.0)</f>
        <v>2207270</v>
      </c>
      <c r="C6716" t="str">
        <f>IFERROR(__xludf.DUMMYFUNCTION("""COMPUTED_VALUE"""),"Be a Great Mentor: A Practical Guide to Mentorship")</f>
        <v>Be a Great Mentor: A Practical Guide to Mentorship</v>
      </c>
    </row>
    <row r="6717">
      <c r="A6717" s="140" t="str">
        <f>IFERROR(__xludf.DUMMYFUNCTION("""COMPUTED_VALUE"""),"en")</f>
        <v>en</v>
      </c>
      <c r="B6717">
        <f>IFERROR(__xludf.DUMMYFUNCTION("""COMPUTED_VALUE"""),2580082.0)</f>
        <v>2580082</v>
      </c>
      <c r="C6717" t="str">
        <f>IFERROR(__xludf.DUMMYFUNCTION("""COMPUTED_VALUE"""),"NestJs in Practice (with MongoDB)")</f>
        <v>NestJs in Practice (with MongoDB)</v>
      </c>
    </row>
    <row r="6718">
      <c r="A6718" s="140" t="str">
        <f>IFERROR(__xludf.DUMMYFUNCTION("""COMPUTED_VALUE"""),"en")</f>
        <v>en</v>
      </c>
      <c r="B6718">
        <f>IFERROR(__xludf.DUMMYFUNCTION("""COMPUTED_VALUE"""),1466192.0)</f>
        <v>1466192</v>
      </c>
      <c r="C6718" t="str">
        <f>IFERROR(__xludf.DUMMYFUNCTION("""COMPUTED_VALUE"""),"Level Management in Unity")</f>
        <v>Level Management in Unity</v>
      </c>
    </row>
    <row r="6719">
      <c r="A6719" s="140" t="str">
        <f>IFERROR(__xludf.DUMMYFUNCTION("""COMPUTED_VALUE"""),"en")</f>
        <v>en</v>
      </c>
      <c r="B6719">
        <f>IFERROR(__xludf.DUMMYFUNCTION("""COMPUTED_VALUE"""),699036.0)</f>
        <v>699036</v>
      </c>
      <c r="C6719" t="str">
        <f>IFERROR(__xludf.DUMMYFUNCTION("""COMPUTED_VALUE"""),"Read and Write Japanese: Comprehensive Hiragana and Katakana")</f>
        <v>Read and Write Japanese: Comprehensive Hiragana and Katakana</v>
      </c>
    </row>
    <row r="6720">
      <c r="A6720" s="140" t="str">
        <f>IFERROR(__xludf.DUMMYFUNCTION("""COMPUTED_VALUE"""),"es")</f>
        <v>es</v>
      </c>
      <c r="B6720">
        <f>IFERROR(__xludf.DUMMYFUNCTION("""COMPUTED_VALUE"""),1960908.0)</f>
        <v>1960908</v>
      </c>
      <c r="C6720" t="str">
        <f>IFERROR(__xludf.DUMMYFUNCTION("""COMPUTED_VALUE"""),"Curso de Alemán para Principiantes")</f>
        <v>Curso de Alemán para Principiantes</v>
      </c>
    </row>
    <row r="6721">
      <c r="A6721" s="140" t="str">
        <f>IFERROR(__xludf.DUMMYFUNCTION("""COMPUTED_VALUE"""),"fr")</f>
        <v>fr</v>
      </c>
      <c r="B6721">
        <f>IFERROR(__xludf.DUMMYFUNCTION("""COMPUTED_VALUE"""),3320402.0)</f>
        <v>3320402</v>
      </c>
      <c r="C6721" t="str">
        <f>IFERROR(__xludf.DUMMYFUNCTION("""COMPUTED_VALUE"""),"Bootstrap 5 : Le guide complet")</f>
        <v>Bootstrap 5 : Le guide complet</v>
      </c>
    </row>
    <row r="6722">
      <c r="A6722" s="140" t="str">
        <f>IFERROR(__xludf.DUMMYFUNCTION("""COMPUTED_VALUE"""),"en")</f>
        <v>en</v>
      </c>
      <c r="B6722">
        <f>IFERROR(__xludf.DUMMYFUNCTION("""COMPUTED_VALUE"""),1475836.0)</f>
        <v>1475836</v>
      </c>
      <c r="C6722" t="str">
        <f>IFERROR(__xludf.DUMMYFUNCTION("""COMPUTED_VALUE"""),"Master Wix - Create a Wix Website in 1 hour")</f>
        <v>Master Wix - Create a Wix Website in 1 hour</v>
      </c>
    </row>
    <row r="6723">
      <c r="A6723" s="140" t="str">
        <f>IFERROR(__xludf.DUMMYFUNCTION("""COMPUTED_VALUE"""),"en")</f>
        <v>en</v>
      </c>
      <c r="B6723">
        <f>IFERROR(__xludf.DUMMYFUNCTION("""COMPUTED_VALUE"""),829086.0)</f>
        <v>829086</v>
      </c>
      <c r="C6723" t="str">
        <f>IFERROR(__xludf.DUMMYFUNCTION("""COMPUTED_VALUE"""),"How to Design a Website on Squarespace - No Coding Required")</f>
        <v>How to Design a Website on Squarespace - No Coding Required</v>
      </c>
    </row>
    <row r="6724">
      <c r="A6724" s="140" t="str">
        <f>IFERROR(__xludf.DUMMYFUNCTION("""COMPUTED_VALUE"""),"pt")</f>
        <v>pt</v>
      </c>
      <c r="B6724">
        <f>IFERROR(__xludf.DUMMYFUNCTION("""COMPUTED_VALUE"""),2905245.0)</f>
        <v>2905245</v>
      </c>
      <c r="C6724" t="str">
        <f>IFERROR(__xludf.DUMMYFUNCTION("""COMPUTED_VALUE"""),"Laboratórios CCNA 200-301 no Packet Tracer")</f>
        <v>Laboratórios CCNA 200-301 no Packet Tracer</v>
      </c>
    </row>
    <row r="6725">
      <c r="A6725" s="140" t="str">
        <f>IFERROR(__xludf.DUMMYFUNCTION("""COMPUTED_VALUE"""),"ja")</f>
        <v>ja</v>
      </c>
      <c r="B6725">
        <f>IFERROR(__xludf.DUMMYFUNCTION("""COMPUTED_VALUE"""),3719236.0)</f>
        <v>3719236</v>
      </c>
      <c r="C6725" t="str">
        <f>IFERROR(__xludf.DUMMYFUNCTION("""COMPUTED_VALUE"""),"みんなの強化学習講座 -PythonとGoogle Colaboratoryで基礎から少しずつ学ぶ強化学習の原理と実装-")</f>
        <v>みんなの強化学習講座 -PythonとGoogle Colaboratoryで基礎から少しずつ学ぶ強化学習の原理と実装-</v>
      </c>
    </row>
    <row r="6726">
      <c r="A6726" s="140" t="str">
        <f>IFERROR(__xludf.DUMMYFUNCTION("""COMPUTED_VALUE"""),"pt")</f>
        <v>pt</v>
      </c>
      <c r="B6726">
        <f>IFERROR(__xludf.DUMMYFUNCTION("""COMPUTED_VALUE"""),1138900.0)</f>
        <v>1138900</v>
      </c>
      <c r="C6726" t="str">
        <f>IFERROR(__xludf.DUMMYFUNCTION("""COMPUTED_VALUE"""),"Programação em Scratch 3 - Crie 9 Jogos Completos!")</f>
        <v>Programação em Scratch 3 - Crie 9 Jogos Completos!</v>
      </c>
    </row>
    <row r="6727">
      <c r="A6727" s="140" t="str">
        <f>IFERROR(__xludf.DUMMYFUNCTION("""COMPUTED_VALUE"""),"de")</f>
        <v>de</v>
      </c>
      <c r="B6727">
        <f>IFERROR(__xludf.DUMMYFUNCTION("""COMPUTED_VALUE"""),2789434.0)</f>
        <v>2789434</v>
      </c>
      <c r="C6727" t="str">
        <f>IFERROR(__xludf.DUMMYFUNCTION("""COMPUTED_VALUE"""),"Apache Kafka: Real-Time Streaming für Big Data")</f>
        <v>Apache Kafka: Real-Time Streaming für Big Data</v>
      </c>
    </row>
    <row r="6728">
      <c r="A6728" s="140" t="str">
        <f>IFERROR(__xludf.DUMMYFUNCTION("""COMPUTED_VALUE"""),"en")</f>
        <v>en</v>
      </c>
      <c r="B6728">
        <f>IFERROR(__xludf.DUMMYFUNCTION("""COMPUTED_VALUE"""),2800976.0)</f>
        <v>2800976</v>
      </c>
      <c r="C6728" t="str">
        <f>IFERROR(__xludf.DUMMYFUNCTION("""COMPUTED_VALUE"""),"Advanced C Programming Course")</f>
        <v>Advanced C Programming Course</v>
      </c>
    </row>
    <row r="6729">
      <c r="A6729" s="140" t="str">
        <f>IFERROR(__xludf.DUMMYFUNCTION("""COMPUTED_VALUE"""),"tr")</f>
        <v>tr</v>
      </c>
      <c r="B6729">
        <f>IFERROR(__xludf.DUMMYFUNCTION("""COMPUTED_VALUE"""),1885376.0)</f>
        <v>1885376</v>
      </c>
      <c r="C6729" t="str">
        <f>IFERROR(__xludf.DUMMYFUNCTION("""COMPUTED_VALUE"""),"Android Mobil Uygulama Geliştirme Eğitimi | Java | 2021")</f>
        <v>Android Mobil Uygulama Geliştirme Eğitimi | Java | 2021</v>
      </c>
    </row>
    <row r="6730">
      <c r="A6730" s="140" t="str">
        <f>IFERROR(__xludf.DUMMYFUNCTION("""COMPUTED_VALUE"""),"en")</f>
        <v>en</v>
      </c>
      <c r="B6730">
        <f>IFERROR(__xludf.DUMMYFUNCTION("""COMPUTED_VALUE"""),723250.0)</f>
        <v>723250</v>
      </c>
      <c r="C6730" t="str">
        <f>IFERROR(__xludf.DUMMYFUNCTION("""COMPUTED_VALUE"""),"Introduction to Kotlin for Java Developers")</f>
        <v>Introduction to Kotlin for Java Developers</v>
      </c>
    </row>
    <row r="6731">
      <c r="A6731" s="140" t="str">
        <f>IFERROR(__xludf.DUMMYFUNCTION("""COMPUTED_VALUE"""),"ja")</f>
        <v>ja</v>
      </c>
      <c r="B6731">
        <f>IFERROR(__xludf.DUMMYFUNCTION("""COMPUTED_VALUE"""),4185226.0)</f>
        <v>4185226</v>
      </c>
      <c r="C6731" t="str">
        <f>IFERROR(__xludf.DUMMYFUNCTION("""COMPUTED_VALUE"""),"チームの主体性をMAXに引き出す！メンバーを主役にする「チームビルディング・テクニック」大全")</f>
        <v>チームの主体性をMAXに引き出す！メンバーを主役にする「チームビルディング・テクニック」大全</v>
      </c>
    </row>
    <row r="6732">
      <c r="A6732" s="140" t="str">
        <f>IFERROR(__xludf.DUMMYFUNCTION("""COMPUTED_VALUE"""),"es")</f>
        <v>es</v>
      </c>
      <c r="B6732">
        <f>IFERROR(__xludf.DUMMYFUNCTION("""COMPUTED_VALUE"""),1694368.0)</f>
        <v>1694368</v>
      </c>
      <c r="C6732" t="str">
        <f>IFERROR(__xludf.DUMMYFUNCTION("""COMPUTED_VALUE"""),"Comandos de Linux: desde cero hasta programar Shell Script")</f>
        <v>Comandos de Linux: desde cero hasta programar Shell Script</v>
      </c>
    </row>
    <row r="6733">
      <c r="A6733" s="140" t="str">
        <f>IFERROR(__xludf.DUMMYFUNCTION("""COMPUTED_VALUE"""),"pt")</f>
        <v>pt</v>
      </c>
      <c r="B6733">
        <f>IFERROR(__xludf.DUMMYFUNCTION("""COMPUTED_VALUE"""),1594508.0)</f>
        <v>1594508</v>
      </c>
      <c r="C6733" t="str">
        <f>IFERROR(__xludf.DUMMYFUNCTION("""COMPUTED_VALUE"""),"Aprenda Unity - 2D Definitivo")</f>
        <v>Aprenda Unity - 2D Definitivo</v>
      </c>
    </row>
    <row r="6734">
      <c r="A6734" s="140" t="str">
        <f>IFERROR(__xludf.DUMMYFUNCTION("""COMPUTED_VALUE"""),"es")</f>
        <v>es</v>
      </c>
      <c r="B6734">
        <f>IFERROR(__xludf.DUMMYFUNCTION("""COMPUTED_VALUE"""),1235212.0)</f>
        <v>1235212</v>
      </c>
      <c r="C6734" t="str">
        <f>IFERROR(__xludf.DUMMYFUNCTION("""COMPUTED_VALUE"""),"GIT+GitHub: Todo un sistema de control de versiones de cero")</f>
        <v>GIT+GitHub: Todo un sistema de control de versiones de cero</v>
      </c>
    </row>
    <row r="6735">
      <c r="A6735" s="140" t="str">
        <f>IFERROR(__xludf.DUMMYFUNCTION("""COMPUTED_VALUE"""),"ja")</f>
        <v>ja</v>
      </c>
      <c r="B6735">
        <f>IFERROR(__xludf.DUMMYFUNCTION("""COMPUTED_VALUE"""),2443342.0)</f>
        <v>2443342</v>
      </c>
      <c r="C6735" t="str">
        <f>IFERROR(__xludf.DUMMYFUNCTION("""COMPUTED_VALUE"""),"【 キーワード速習！ 】実践MBAアカウンティング＆ファイナンス講座マスターコース")</f>
        <v>【 キーワード速習！ 】実践MBAアカウンティング＆ファイナンス講座マスターコース</v>
      </c>
    </row>
    <row r="6736">
      <c r="A6736" s="140" t="str">
        <f>IFERROR(__xludf.DUMMYFUNCTION("""COMPUTED_VALUE"""),"tr")</f>
        <v>tr</v>
      </c>
      <c r="B6736">
        <f>IFERROR(__xludf.DUMMYFUNCTION("""COMPUTED_VALUE"""),3677314.0)</f>
        <v>3677314</v>
      </c>
      <c r="C6736" t="str">
        <f>IFERROR(__xludf.DUMMYFUNCTION("""COMPUTED_VALUE"""),"Fransızca Eğitim Seti A-Z™")</f>
        <v>Fransızca Eğitim Seti A-Z™</v>
      </c>
    </row>
    <row r="6737">
      <c r="A6737" s="140" t="str">
        <f>IFERROR(__xludf.DUMMYFUNCTION("""COMPUTED_VALUE"""),"en")</f>
        <v>en</v>
      </c>
      <c r="B6737">
        <f>IFERROR(__xludf.DUMMYFUNCTION("""COMPUTED_VALUE"""),2351726.0)</f>
        <v>2351726</v>
      </c>
      <c r="C6737" t="str">
        <f>IFERROR(__xludf.DUMMYFUNCTION("""COMPUTED_VALUE"""),"OSHA Safety Training: Conducting Safety Meetings")</f>
        <v>OSHA Safety Training: Conducting Safety Meetings</v>
      </c>
    </row>
    <row r="6738">
      <c r="A6738" s="140" t="str">
        <f>IFERROR(__xludf.DUMMYFUNCTION("""COMPUTED_VALUE"""),"en")</f>
        <v>en</v>
      </c>
      <c r="B6738">
        <f>IFERROR(__xludf.DUMMYFUNCTION("""COMPUTED_VALUE"""),791836.0)</f>
        <v>791836</v>
      </c>
      <c r="C6738" t="str">
        <f>IFERROR(__xludf.DUMMYFUNCTION("""COMPUTED_VALUE"""),"Scala Applied, Part 2")</f>
        <v>Scala Applied, Part 2</v>
      </c>
    </row>
    <row r="6739">
      <c r="A6739" s="140" t="str">
        <f>IFERROR(__xludf.DUMMYFUNCTION("""COMPUTED_VALUE"""),"en")</f>
        <v>en</v>
      </c>
      <c r="B6739">
        <f>IFERROR(__xludf.DUMMYFUNCTION("""COMPUTED_VALUE"""),1587718.0)</f>
        <v>1587718</v>
      </c>
      <c r="C6739" t="str">
        <f>IFERROR(__xludf.DUMMYFUNCTION("""COMPUTED_VALUE"""),"Node JS: Advanced Concepts")</f>
        <v>Node JS: Advanced Concepts</v>
      </c>
    </row>
    <row r="6740">
      <c r="A6740" s="140" t="str">
        <f>IFERROR(__xludf.DUMMYFUNCTION("""COMPUTED_VALUE"""),"en")</f>
        <v>en</v>
      </c>
      <c r="B6740">
        <f>IFERROR(__xludf.DUMMYFUNCTION("""COMPUTED_VALUE"""),1641478.0)</f>
        <v>1641478</v>
      </c>
      <c r="C6740" t="str">
        <f>IFERROR(__xludf.DUMMYFUNCTION("""COMPUTED_VALUE"""),"Computer Graphics with Modern OpenGL and C++")</f>
        <v>Computer Graphics with Modern OpenGL and C++</v>
      </c>
    </row>
    <row r="6741">
      <c r="A6741" s="140" t="str">
        <f>IFERROR(__xludf.DUMMYFUNCTION("""COMPUTED_VALUE"""),"ja")</f>
        <v>ja</v>
      </c>
      <c r="B6741">
        <f>IFERROR(__xludf.DUMMYFUNCTION("""COMPUTED_VALUE"""),2366920.0)</f>
        <v>2366920</v>
      </c>
      <c r="C6741" t="str">
        <f>IFERROR(__xludf.DUMMYFUNCTION("""COMPUTED_VALUE"""),"Japanese for IT Business / ITビジネス日本語")</f>
        <v>Japanese for IT Business / ITビジネス日本語</v>
      </c>
    </row>
    <row r="6742">
      <c r="A6742" s="140" t="str">
        <f>IFERROR(__xludf.DUMMYFUNCTION("""COMPUTED_VALUE"""),"en")</f>
        <v>en</v>
      </c>
      <c r="B6742">
        <f>IFERROR(__xludf.DUMMYFUNCTION("""COMPUTED_VALUE"""),1017022.0)</f>
        <v>1017022</v>
      </c>
      <c r="C6742" t="str">
        <f>IFERROR(__xludf.DUMMYFUNCTION("""COMPUTED_VALUE"""),"3 Minute Spanish - Course 2 | Language lessons for beginners")</f>
        <v>3 Minute Spanish - Course 2 | Language lessons for beginners</v>
      </c>
    </row>
    <row r="6743">
      <c r="A6743" s="140" t="str">
        <f>IFERROR(__xludf.DUMMYFUNCTION("""COMPUTED_VALUE"""),"en")</f>
        <v>en</v>
      </c>
      <c r="B6743">
        <f>IFERROR(__xludf.DUMMYFUNCTION("""COMPUTED_VALUE"""),640026.0)</f>
        <v>640026</v>
      </c>
      <c r="C6743" t="str">
        <f>IFERROR(__xludf.DUMMYFUNCTION("""COMPUTED_VALUE"""),"Customer | How to Build a Customer Service Strategy")</f>
        <v>Customer | How to Build a Customer Service Strategy</v>
      </c>
    </row>
    <row r="6744">
      <c r="A6744" s="140" t="str">
        <f>IFERROR(__xludf.DUMMYFUNCTION("""COMPUTED_VALUE"""),"en")</f>
        <v>en</v>
      </c>
      <c r="B6744">
        <f>IFERROR(__xludf.DUMMYFUNCTION("""COMPUTED_VALUE"""),285610.0)</f>
        <v>285610</v>
      </c>
      <c r="C6744" t="str">
        <f>IFERROR(__xludf.DUMMYFUNCTION("""COMPUTED_VALUE"""),"A+ Essays: A Structured Approach to Successful Essay Writing")</f>
        <v>A+ Essays: A Structured Approach to Successful Essay Writing</v>
      </c>
    </row>
    <row r="6745">
      <c r="A6745" s="140" t="str">
        <f>IFERROR(__xludf.DUMMYFUNCTION("""COMPUTED_VALUE"""),"en")</f>
        <v>en</v>
      </c>
      <c r="B6745">
        <f>IFERROR(__xludf.DUMMYFUNCTION("""COMPUTED_VALUE"""),591930.0)</f>
        <v>591930</v>
      </c>
      <c r="C6745" t="str">
        <f>IFERROR(__xludf.DUMMYFUNCTION("""COMPUTED_VALUE"""),"Become a SuperLearner® 2: Learn Speed Reading &amp; Boost Memory")</f>
        <v>Become a SuperLearner® 2: Learn Speed Reading &amp; Boost Memory</v>
      </c>
    </row>
    <row r="6746">
      <c r="A6746" s="140" t="str">
        <f>IFERROR(__xludf.DUMMYFUNCTION("""COMPUTED_VALUE"""),"es")</f>
        <v>es</v>
      </c>
      <c r="B6746">
        <f>IFERROR(__xludf.DUMMYFUNCTION("""COMPUTED_VALUE"""),3325010.0)</f>
        <v>3325010</v>
      </c>
      <c r="C6746" t="str">
        <f>IFERROR(__xludf.DUMMYFUNCTION("""COMPUTED_VALUE"""),"Curso de Preparación de Agile Tester Extension Certification")</f>
        <v>Curso de Preparación de Agile Tester Extension Certification</v>
      </c>
    </row>
    <row r="6747">
      <c r="A6747" s="140" t="str">
        <f>IFERROR(__xludf.DUMMYFUNCTION("""COMPUTED_VALUE"""),"en")</f>
        <v>en</v>
      </c>
      <c r="B6747">
        <f>IFERROR(__xludf.DUMMYFUNCTION("""COMPUTED_VALUE"""),3622534.0)</f>
        <v>3622534</v>
      </c>
      <c r="C6747" t="str">
        <f>IFERROR(__xludf.DUMMYFUNCTION("""COMPUTED_VALUE"""),"PowerCLI Command to manage VMware ESXi, vCenter for beginner")</f>
        <v>PowerCLI Command to manage VMware ESXi, vCenter for beginner</v>
      </c>
    </row>
    <row r="6748">
      <c r="A6748" s="140" t="str">
        <f>IFERROR(__xludf.DUMMYFUNCTION("""COMPUTED_VALUE"""),"en")</f>
        <v>en</v>
      </c>
      <c r="B6748">
        <f>IFERROR(__xludf.DUMMYFUNCTION("""COMPUTED_VALUE"""),2521572.0)</f>
        <v>2521572</v>
      </c>
      <c r="C6748" t="str">
        <f>IFERROR(__xludf.DUMMYFUNCTION("""COMPUTED_VALUE"""),"SOLID Principles: Introducing Software Architecture &amp; Design")</f>
        <v>SOLID Principles: Introducing Software Architecture &amp; Design</v>
      </c>
    </row>
    <row r="6749">
      <c r="A6749" s="140" t="str">
        <f>IFERROR(__xludf.DUMMYFUNCTION("""COMPUTED_VALUE"""),"en")</f>
        <v>en</v>
      </c>
      <c r="B6749">
        <f>IFERROR(__xludf.DUMMYFUNCTION("""COMPUTED_VALUE"""),301442.0)</f>
        <v>301442</v>
      </c>
      <c r="C6749" t="str">
        <f>IFERROR(__xludf.DUMMYFUNCTION("""COMPUTED_VALUE"""),"AlgoTrading101- Black Algo Trading: Build Your Trading Robot")</f>
        <v>AlgoTrading101- Black Algo Trading: Build Your Trading Robot</v>
      </c>
    </row>
    <row r="6750">
      <c r="A6750" s="140" t="str">
        <f>IFERROR(__xludf.DUMMYFUNCTION("""COMPUTED_VALUE"""),"es")</f>
        <v>es</v>
      </c>
      <c r="B6750">
        <f>IFERROR(__xludf.DUMMYFUNCTION("""COMPUTED_VALUE"""),1552544.0)</f>
        <v>1552544</v>
      </c>
      <c r="C6750" t="str">
        <f>IFERROR(__xludf.DUMMYFUNCTION("""COMPUTED_VALUE"""),"Domina la Inteligencia Emocional | Psicología Aplicada")</f>
        <v>Domina la Inteligencia Emocional | Psicología Aplicada</v>
      </c>
    </row>
    <row r="6751">
      <c r="A6751" s="140" t="str">
        <f>IFERROR(__xludf.DUMMYFUNCTION("""COMPUTED_VALUE"""),"en")</f>
        <v>en</v>
      </c>
      <c r="B6751">
        <f>IFERROR(__xludf.DUMMYFUNCTION("""COMPUTED_VALUE"""),3824370.0)</f>
        <v>3824370</v>
      </c>
      <c r="C6751" t="str">
        <f>IFERROR(__xludf.DUMMYFUNCTION("""COMPUTED_VALUE"""),"Teradata SQL for Data Science and Data Analytics 2021")</f>
        <v>Teradata SQL for Data Science and Data Analytics 2021</v>
      </c>
    </row>
    <row r="6752">
      <c r="A6752" s="140" t="str">
        <f>IFERROR(__xludf.DUMMYFUNCTION("""COMPUTED_VALUE"""),"pt")</f>
        <v>pt</v>
      </c>
      <c r="B6752">
        <f>IFERROR(__xludf.DUMMYFUNCTION("""COMPUTED_VALUE"""),2276731.0)</f>
        <v>2276731</v>
      </c>
      <c r="C6752" t="str">
        <f>IFERROR(__xludf.DUMMYFUNCTION("""COMPUTED_VALUE"""),"Entendendo TypeScript")</f>
        <v>Entendendo TypeScript</v>
      </c>
    </row>
    <row r="6753">
      <c r="A6753" s="140" t="str">
        <f>IFERROR(__xludf.DUMMYFUNCTION("""COMPUTED_VALUE"""),"en")</f>
        <v>en</v>
      </c>
      <c r="B6753">
        <f>IFERROR(__xludf.DUMMYFUNCTION("""COMPUTED_VALUE"""),2385380.0)</f>
        <v>2385380</v>
      </c>
      <c r="C6753" t="str">
        <f>IFERROR(__xludf.DUMMYFUNCTION("""COMPUTED_VALUE"""),"Complete Game Character Workflow 02 Texturing and Rendering")</f>
        <v>Complete Game Character Workflow 02 Texturing and Rendering</v>
      </c>
    </row>
    <row r="6754">
      <c r="A6754" s="140" t="str">
        <f>IFERROR(__xludf.DUMMYFUNCTION("""COMPUTED_VALUE"""),"en")</f>
        <v>en</v>
      </c>
      <c r="B6754">
        <f>IFERROR(__xludf.DUMMYFUNCTION("""COMPUTED_VALUE"""),4161378.0)</f>
        <v>4161378</v>
      </c>
      <c r="C6754" t="str">
        <f>IFERROR(__xludf.DUMMYFUNCTION("""COMPUTED_VALUE"""),"Certificate of Cloud Security Knowledge (CCSK) V4")</f>
        <v>Certificate of Cloud Security Knowledge (CCSK) V4</v>
      </c>
    </row>
    <row r="6755">
      <c r="A6755" s="140" t="str">
        <f>IFERROR(__xludf.DUMMYFUNCTION("""COMPUTED_VALUE"""),"en")</f>
        <v>en</v>
      </c>
      <c r="B6755">
        <f>IFERROR(__xludf.DUMMYFUNCTION("""COMPUTED_VALUE"""),1419368.0)</f>
        <v>1419368</v>
      </c>
      <c r="C6755" t="str">
        <f>IFERROR(__xludf.DUMMYFUNCTION("""COMPUTED_VALUE"""),"Redux Saga with React: Fast-track Redux Saga intro course")</f>
        <v>Redux Saga with React: Fast-track Redux Saga intro course</v>
      </c>
    </row>
    <row r="6756">
      <c r="A6756" s="140" t="str">
        <f>IFERROR(__xludf.DUMMYFUNCTION("""COMPUTED_VALUE"""),"en")</f>
        <v>en</v>
      </c>
      <c r="B6756">
        <f>IFERROR(__xludf.DUMMYFUNCTION("""COMPUTED_VALUE"""),1466764.0)</f>
        <v>1466764</v>
      </c>
      <c r="C6756" t="str">
        <f>IFERROR(__xludf.DUMMYFUNCTION("""COMPUTED_VALUE"""),"MonoGame: Introduction to C# Game Programming")</f>
        <v>MonoGame: Introduction to C# Game Programming</v>
      </c>
    </row>
    <row r="6757">
      <c r="A6757" s="140" t="str">
        <f>IFERROR(__xludf.DUMMYFUNCTION("""COMPUTED_VALUE"""),"en")</f>
        <v>en</v>
      </c>
      <c r="B6757">
        <f>IFERROR(__xludf.DUMMYFUNCTION("""COMPUTED_VALUE"""),2222324.0)</f>
        <v>2222324</v>
      </c>
      <c r="C6757" t="str">
        <f>IFERROR(__xludf.DUMMYFUNCTION("""COMPUTED_VALUE"""),"Business Branding: The Complete Course Part 1 - Strategy")</f>
        <v>Business Branding: The Complete Course Part 1 - Strategy</v>
      </c>
    </row>
    <row r="6758">
      <c r="A6758" s="140" t="str">
        <f>IFERROR(__xludf.DUMMYFUNCTION("""COMPUTED_VALUE"""),"en")</f>
        <v>en</v>
      </c>
      <c r="B6758">
        <f>IFERROR(__xludf.DUMMYFUNCTION("""COMPUTED_VALUE"""),2337484.0)</f>
        <v>2337484</v>
      </c>
      <c r="C6758" t="str">
        <f>IFERROR(__xludf.DUMMYFUNCTION("""COMPUTED_VALUE"""),"Talent Development for Leaders: Develop Your High-Potentials")</f>
        <v>Talent Development for Leaders: Develop Your High-Potentials</v>
      </c>
    </row>
    <row r="6759">
      <c r="A6759" s="140" t="str">
        <f>IFERROR(__xludf.DUMMYFUNCTION("""COMPUTED_VALUE"""),"en")</f>
        <v>en</v>
      </c>
      <c r="B6759">
        <f>IFERROR(__xludf.DUMMYFUNCTION("""COMPUTED_VALUE"""),3723274.0)</f>
        <v>3723274</v>
      </c>
      <c r="C6759" t="str">
        <f>IFERROR(__xludf.DUMMYFUNCTION("""COMPUTED_VALUE"""),"Practice Exams: AWS Certified SysOps Administrator Associate")</f>
        <v>Practice Exams: AWS Certified SysOps Administrator Associate</v>
      </c>
    </row>
    <row r="6760">
      <c r="A6760" s="140" t="str">
        <f>IFERROR(__xludf.DUMMYFUNCTION("""COMPUTED_VALUE"""),"en")</f>
        <v>en</v>
      </c>
      <c r="B6760">
        <f>IFERROR(__xludf.DUMMYFUNCTION("""COMPUTED_VALUE"""),3292596.0)</f>
        <v>3292596</v>
      </c>
      <c r="C6760" t="str">
        <f>IFERROR(__xludf.DUMMYFUNCTION("""COMPUTED_VALUE"""),"Microsoft Azure Kubernetes Service Workshop")</f>
        <v>Microsoft Azure Kubernetes Service Workshop</v>
      </c>
    </row>
    <row r="6761">
      <c r="A6761" s="140" t="str">
        <f>IFERROR(__xludf.DUMMYFUNCTION("""COMPUTED_VALUE"""),"pt")</f>
        <v>pt</v>
      </c>
      <c r="B6761">
        <f>IFERROR(__xludf.DUMMYFUNCTION("""COMPUTED_VALUE"""),2981770.0)</f>
        <v>2981770</v>
      </c>
      <c r="C6761" t="str">
        <f>IFERROR(__xludf.DUMMYFUNCTION("""COMPUTED_VALUE"""),"Clube de Idiomas - O Método Extraordinário para Aprendizado")</f>
        <v>Clube de Idiomas - O Método Extraordinário para Aprendizado</v>
      </c>
    </row>
    <row r="6762">
      <c r="A6762" s="140" t="str">
        <f>IFERROR(__xludf.DUMMYFUNCTION("""COMPUTED_VALUE"""),"en")</f>
        <v>en</v>
      </c>
      <c r="B6762">
        <f>IFERROR(__xludf.DUMMYFUNCTION("""COMPUTED_VALUE"""),1366348.0)</f>
        <v>1366348</v>
      </c>
      <c r="C6762" t="str">
        <f>IFERROR(__xludf.DUMMYFUNCTION("""COMPUTED_VALUE"""),"Cross-Cultural Communication: How To Flex Your Style")</f>
        <v>Cross-Cultural Communication: How To Flex Your Style</v>
      </c>
    </row>
    <row r="6763">
      <c r="A6763" s="140" t="str">
        <f>IFERROR(__xludf.DUMMYFUNCTION("""COMPUTED_VALUE"""),"en")</f>
        <v>en</v>
      </c>
      <c r="B6763">
        <f>IFERROR(__xludf.DUMMYFUNCTION("""COMPUTED_VALUE"""),1248784.0)</f>
        <v>1248784</v>
      </c>
      <c r="C6763" t="str">
        <f>IFERROR(__xludf.DUMMYFUNCTION("""COMPUTED_VALUE"""),"REST API Testing, Automation using POSTMAN")</f>
        <v>REST API Testing, Automation using POSTMAN</v>
      </c>
    </row>
    <row r="6764">
      <c r="A6764" s="140" t="str">
        <f>IFERROR(__xludf.DUMMYFUNCTION("""COMPUTED_VALUE"""),"es")</f>
        <v>es</v>
      </c>
      <c r="B6764">
        <f>IFERROR(__xludf.DUMMYFUNCTION("""COMPUTED_VALUE"""),2301946.0)</f>
        <v>2301946</v>
      </c>
      <c r="C6764" t="str">
        <f>IFERROR(__xludf.DUMMYFUNCTION("""COMPUTED_VALUE"""),"Cómo Ganar Dinero con YouTube 2021 | Curso de YouTube 2021")</f>
        <v>Cómo Ganar Dinero con YouTube 2021 | Curso de YouTube 2021</v>
      </c>
    </row>
    <row r="6765">
      <c r="A6765" s="140" t="str">
        <f>IFERROR(__xludf.DUMMYFUNCTION("""COMPUTED_VALUE"""),"en")</f>
        <v>en</v>
      </c>
      <c r="B6765">
        <f>IFERROR(__xludf.DUMMYFUNCTION("""COMPUTED_VALUE"""),1743612.0)</f>
        <v>1743612</v>
      </c>
      <c r="C6765" t="str">
        <f>IFERROR(__xludf.DUMMYFUNCTION("""COMPUTED_VALUE"""),"XPath locators for Selenium")</f>
        <v>XPath locators for Selenium</v>
      </c>
    </row>
    <row r="6766">
      <c r="A6766" s="140" t="str">
        <f>IFERROR(__xludf.DUMMYFUNCTION("""COMPUTED_VALUE"""),"en")</f>
        <v>en</v>
      </c>
      <c r="B6766">
        <f>IFERROR(__xludf.DUMMYFUNCTION("""COMPUTED_VALUE"""),2377792.0)</f>
        <v>2377792</v>
      </c>
      <c r="C6766" t="str">
        <f>IFERROR(__xludf.DUMMYFUNCTION("""COMPUTED_VALUE"""),"Azure DevOps Boards for Project Managers/Analyst/Developers")</f>
        <v>Azure DevOps Boards for Project Managers/Analyst/Developers</v>
      </c>
    </row>
    <row r="6767">
      <c r="A6767" s="140" t="str">
        <f>IFERROR(__xludf.DUMMYFUNCTION("""COMPUTED_VALUE"""),"pt")</f>
        <v>pt</v>
      </c>
      <c r="B6767">
        <f>IFERROR(__xludf.DUMMYFUNCTION("""COMPUTED_VALUE"""),1094322.0)</f>
        <v>1094322</v>
      </c>
      <c r="C6767" t="str">
        <f>IFERROR(__xludf.DUMMYFUNCTION("""COMPUTED_VALUE"""),"DBA SQL Server Essencial - Aprenda do Zero!")</f>
        <v>DBA SQL Server Essencial - Aprenda do Zero!</v>
      </c>
    </row>
    <row r="6768">
      <c r="A6768" s="140" t="str">
        <f>IFERROR(__xludf.DUMMYFUNCTION("""COMPUTED_VALUE"""),"en")</f>
        <v>en</v>
      </c>
      <c r="B6768">
        <f>IFERROR(__xludf.DUMMYFUNCTION("""COMPUTED_VALUE"""),4006704.0)</f>
        <v>4006704</v>
      </c>
      <c r="C6768" t="str">
        <f>IFERROR(__xludf.DUMMYFUNCTION("""COMPUTED_VALUE"""),"PostgreSQL v12 Database Administration  on Win/Linux- Part 2")</f>
        <v>PostgreSQL v12 Database Administration  on Win/Linux- Part 2</v>
      </c>
    </row>
    <row r="6769">
      <c r="A6769" s="140" t="str">
        <f>IFERROR(__xludf.DUMMYFUNCTION("""COMPUTED_VALUE"""),"de")</f>
        <v>de</v>
      </c>
      <c r="B6769">
        <f>IFERROR(__xludf.DUMMYFUNCTION("""COMPUTED_VALUE"""),1148046.0)</f>
        <v>1148046</v>
      </c>
      <c r="C6769" t="str">
        <f>IFERROR(__xludf.DUMMYFUNCTION("""COMPUTED_VALUE"""),"Präsentieren mit PowerPoint: Präsentationstraining")</f>
        <v>Präsentieren mit PowerPoint: Präsentationstraining</v>
      </c>
    </row>
    <row r="6770">
      <c r="A6770" s="140" t="str">
        <f>IFERROR(__xludf.DUMMYFUNCTION("""COMPUTED_VALUE"""),"en")</f>
        <v>en</v>
      </c>
      <c r="B6770">
        <f>IFERROR(__xludf.DUMMYFUNCTION("""COMPUTED_VALUE"""),1495884.0)</f>
        <v>1495884</v>
      </c>
      <c r="C6770" t="str">
        <f>IFERROR(__xludf.DUMMYFUNCTION("""COMPUTED_VALUE"""),"Six Sigma: Certified Lean Six Sigma Green Belt (Accredited)")</f>
        <v>Six Sigma: Certified Lean Six Sigma Green Belt (Accredited)</v>
      </c>
    </row>
    <row r="6771">
      <c r="A6771" s="140" t="str">
        <f>IFERROR(__xludf.DUMMYFUNCTION("""COMPUTED_VALUE"""),"en")</f>
        <v>en</v>
      </c>
      <c r="B6771">
        <f>IFERROR(__xludf.DUMMYFUNCTION("""COMPUTED_VALUE"""),3127194.0)</f>
        <v>3127194</v>
      </c>
      <c r="C6771" t="str">
        <f>IFERROR(__xludf.DUMMYFUNCTION("""COMPUTED_VALUE"""),"COBIT® 2019 Foundation - official, accredited")</f>
        <v>COBIT® 2019 Foundation - official, accredited</v>
      </c>
    </row>
    <row r="6772">
      <c r="A6772" s="140" t="str">
        <f>IFERROR(__xludf.DUMMYFUNCTION("""COMPUTED_VALUE"""),"en")</f>
        <v>en</v>
      </c>
      <c r="B6772">
        <f>IFERROR(__xludf.DUMMYFUNCTION("""COMPUTED_VALUE"""),1320934.0)</f>
        <v>1320934</v>
      </c>
      <c r="C6772" t="str">
        <f>IFERROR(__xludf.DUMMYFUNCTION("""COMPUTED_VALUE"""),"TestNG - All in One (Crash Course), Interview question &amp; MCQ")</f>
        <v>TestNG - All in One (Crash Course), Interview question &amp; MCQ</v>
      </c>
    </row>
    <row r="6773">
      <c r="A6773" s="140" t="str">
        <f>IFERROR(__xludf.DUMMYFUNCTION("""COMPUTED_VALUE"""),"es")</f>
        <v>es</v>
      </c>
      <c r="B6773">
        <f>IFERROR(__xludf.DUMMYFUNCTION("""COMPUTED_VALUE"""),3457734.0)</f>
        <v>3457734</v>
      </c>
      <c r="C6773" t="str">
        <f>IFERROR(__xludf.DUMMYFUNCTION("""COMPUTED_VALUE"""),"Selenium con Java y Cucumber: El curso definitivo.")</f>
        <v>Selenium con Java y Cucumber: El curso definitivo.</v>
      </c>
    </row>
    <row r="6774">
      <c r="A6774" s="140" t="str">
        <f>IFERROR(__xludf.DUMMYFUNCTION("""COMPUTED_VALUE"""),"ja")</f>
        <v>ja</v>
      </c>
      <c r="B6774">
        <f>IFERROR(__xludf.DUMMYFUNCTION("""COMPUTED_VALUE"""),1663540.0)</f>
        <v>1663540</v>
      </c>
      <c r="C6774" t="str">
        <f>IFERROR(__xludf.DUMMYFUNCTION("""COMPUTED_VALUE"""),"これからの時代に必須！基礎から学ぶ「情報セキュリティ入門」")</f>
        <v>これからの時代に必須！基礎から学ぶ「情報セキュリティ入門」</v>
      </c>
    </row>
    <row r="6775">
      <c r="A6775" s="140" t="str">
        <f>IFERROR(__xludf.DUMMYFUNCTION("""COMPUTED_VALUE"""),"en")</f>
        <v>en</v>
      </c>
      <c r="B6775">
        <f>IFERROR(__xludf.DUMMYFUNCTION("""COMPUTED_VALUE"""),144714.0)</f>
        <v>144714</v>
      </c>
      <c r="C6775" t="str">
        <f>IFERROR(__xludf.DUMMYFUNCTION("""COMPUTED_VALUE"""),"Statistics / Data Analysis in SPSS: Factorial ANOVA")</f>
        <v>Statistics / Data Analysis in SPSS: Factorial ANOVA</v>
      </c>
    </row>
    <row r="6776">
      <c r="A6776" s="140" t="str">
        <f>IFERROR(__xludf.DUMMYFUNCTION("""COMPUTED_VALUE"""),"en")</f>
        <v>en</v>
      </c>
      <c r="B6776">
        <f>IFERROR(__xludf.DUMMYFUNCTION("""COMPUTED_VALUE"""),587144.0)</f>
        <v>587144</v>
      </c>
      <c r="C6776" t="str">
        <f>IFERROR(__xludf.DUMMYFUNCTION("""COMPUTED_VALUE"""),"C# Memory Tricks: Learn How To Master The Garbage Collector")</f>
        <v>C# Memory Tricks: Learn How To Master The Garbage Collector</v>
      </c>
    </row>
    <row r="6777">
      <c r="A6777" s="140" t="str">
        <f>IFERROR(__xludf.DUMMYFUNCTION("""COMPUTED_VALUE"""),"en")</f>
        <v>en</v>
      </c>
      <c r="B6777">
        <f>IFERROR(__xludf.DUMMYFUNCTION("""COMPUTED_VALUE"""),2090372.0)</f>
        <v>2090372</v>
      </c>
      <c r="C6777" t="str">
        <f>IFERROR(__xludf.DUMMYFUNCTION("""COMPUTED_VALUE"""),"Salesforce Development With Real-Time Project")</f>
        <v>Salesforce Development With Real-Time Project</v>
      </c>
    </row>
    <row r="6778">
      <c r="A6778" s="140" t="str">
        <f>IFERROR(__xludf.DUMMYFUNCTION("""COMPUTED_VALUE"""),"en")</f>
        <v>en</v>
      </c>
      <c r="B6778">
        <f>IFERROR(__xludf.DUMMYFUNCTION("""COMPUTED_VALUE"""),2343344.0)</f>
        <v>2343344</v>
      </c>
      <c r="C6778" t="str">
        <f>IFERROR(__xludf.DUMMYFUNCTION("""COMPUTED_VALUE"""),"Object Oriented PHP &amp; TDD with PHPUnit from Scratch")</f>
        <v>Object Oriented PHP &amp; TDD with PHPUnit from Scratch</v>
      </c>
    </row>
    <row r="6779">
      <c r="A6779" s="140" t="str">
        <f>IFERROR(__xludf.DUMMYFUNCTION("""COMPUTED_VALUE"""),"en")</f>
        <v>en</v>
      </c>
      <c r="B6779">
        <f>IFERROR(__xludf.DUMMYFUNCTION("""COMPUTED_VALUE"""),3501982.0)</f>
        <v>3501982</v>
      </c>
      <c r="C6779" t="str">
        <f>IFERROR(__xludf.DUMMYFUNCTION("""COMPUTED_VALUE"""),"The Complete Investor Bootcamp 2021")</f>
        <v>The Complete Investor Bootcamp 2021</v>
      </c>
    </row>
    <row r="6780">
      <c r="A6780" s="140" t="str">
        <f>IFERROR(__xludf.DUMMYFUNCTION("""COMPUTED_VALUE"""),"pt")</f>
        <v>pt</v>
      </c>
      <c r="B6780">
        <f>IFERROR(__xludf.DUMMYFUNCTION("""COMPUTED_VALUE"""),2137294.0)</f>
        <v>2137294</v>
      </c>
      <c r="C6780" t="str">
        <f>IFERROR(__xludf.DUMMYFUNCTION("""COMPUTED_VALUE"""),"Curso de Excel Construindo Dashboards Profissionais.")</f>
        <v>Curso de Excel Construindo Dashboards Profissionais.</v>
      </c>
    </row>
    <row r="6781">
      <c r="A6781" s="140" t="str">
        <f>IFERROR(__xludf.DUMMYFUNCTION("""COMPUTED_VALUE"""),"en")</f>
        <v>en</v>
      </c>
      <c r="B6781">
        <f>IFERROR(__xludf.DUMMYFUNCTION("""COMPUTED_VALUE"""),1235430.0)</f>
        <v>1235430</v>
      </c>
      <c r="C6781" t="str">
        <f>IFERROR(__xludf.DUMMYFUNCTION("""COMPUTED_VALUE"""),"Master Microsoft Word Beginner to Advanced")</f>
        <v>Master Microsoft Word Beginner to Advanced</v>
      </c>
    </row>
    <row r="6782">
      <c r="A6782" s="140" t="str">
        <f>IFERROR(__xludf.DUMMYFUNCTION("""COMPUTED_VALUE"""),"en")</f>
        <v>en</v>
      </c>
      <c r="B6782">
        <f>IFERROR(__xludf.DUMMYFUNCTION("""COMPUTED_VALUE"""),1899290.0)</f>
        <v>1899290</v>
      </c>
      <c r="C6782" t="str">
        <f>IFERROR(__xludf.DUMMYFUNCTION("""COMPUTED_VALUE"""),"Secure VPS in Ubuntu 18.04 with Letsencrypt Nginx PHP MySQL")</f>
        <v>Secure VPS in Ubuntu 18.04 with Letsencrypt Nginx PHP MySQL</v>
      </c>
    </row>
    <row r="6783">
      <c r="A6783" s="140" t="str">
        <f>IFERROR(__xludf.DUMMYFUNCTION("""COMPUTED_VALUE"""),"en")</f>
        <v>en</v>
      </c>
      <c r="B6783">
        <f>IFERROR(__xludf.DUMMYFUNCTION("""COMPUTED_VALUE"""),1618964.0)</f>
        <v>1618964</v>
      </c>
      <c r="C6783" t="str">
        <f>IFERROR(__xludf.DUMMYFUNCTION("""COMPUTED_VALUE"""),"Lead Auditor Tools for a Professional Internal Audit")</f>
        <v>Lead Auditor Tools for a Professional Internal Audit</v>
      </c>
    </row>
    <row r="6784">
      <c r="A6784" s="140" t="str">
        <f>IFERROR(__xludf.DUMMYFUNCTION("""COMPUTED_VALUE"""),"es")</f>
        <v>es</v>
      </c>
      <c r="B6784">
        <f>IFERROR(__xludf.DUMMYFUNCTION("""COMPUTED_VALUE"""),2376688.0)</f>
        <v>2376688</v>
      </c>
      <c r="C6784" t="str">
        <f>IFERROR(__xludf.DUMMYFUNCTION("""COMPUTED_VALUE"""),"Microservicios con Spring Boot y Spring Cloud Netflix Eureka")</f>
        <v>Microservicios con Spring Boot y Spring Cloud Netflix Eureka</v>
      </c>
    </row>
    <row r="6785">
      <c r="A6785" s="140" t="str">
        <f>IFERROR(__xludf.DUMMYFUNCTION("""COMPUTED_VALUE"""),"fr")</f>
        <v>fr</v>
      </c>
      <c r="B6785">
        <f>IFERROR(__xludf.DUMMYFUNCTION("""COMPUTED_VALUE"""),1422898.0)</f>
        <v>1422898</v>
      </c>
      <c r="C6785" t="str">
        <f>IFERROR(__xludf.DUMMYFUNCTION("""COMPUTED_VALUE"""),"Créer une application Android facilement sans programmation")</f>
        <v>Créer une application Android facilement sans programmation</v>
      </c>
    </row>
    <row r="6786">
      <c r="A6786" s="140" t="str">
        <f>IFERROR(__xludf.DUMMYFUNCTION("""COMPUTED_VALUE"""),"en")</f>
        <v>en</v>
      </c>
      <c r="B6786">
        <f>IFERROR(__xludf.DUMMYFUNCTION("""COMPUTED_VALUE"""),839424.0)</f>
        <v>839424</v>
      </c>
      <c r="C6786" t="str">
        <f>IFERROR(__xludf.DUMMYFUNCTION("""COMPUTED_VALUE"""),"The Entrepreneur's Guide to Storytelling in Marketing")</f>
        <v>The Entrepreneur's Guide to Storytelling in Marketing</v>
      </c>
    </row>
    <row r="6787">
      <c r="A6787" s="140" t="str">
        <f>IFERROR(__xludf.DUMMYFUNCTION("""COMPUTED_VALUE"""),"tr")</f>
        <v>tr</v>
      </c>
      <c r="B6787">
        <f>IFERROR(__xludf.DUMMYFUNCTION("""COMPUTED_VALUE"""),1837578.0)</f>
        <v>1837578</v>
      </c>
      <c r="C6787" t="str">
        <f>IFERROR(__xludf.DUMMYFUNCTION("""COMPUTED_VALUE"""),"Uzman MATLAB Programcısı Olun")</f>
        <v>Uzman MATLAB Programcısı Olun</v>
      </c>
    </row>
    <row r="6788">
      <c r="A6788" s="140" t="str">
        <f>IFERROR(__xludf.DUMMYFUNCTION("""COMPUTED_VALUE"""),"en")</f>
        <v>en</v>
      </c>
      <c r="B6788">
        <f>IFERROR(__xludf.DUMMYFUNCTION("""COMPUTED_VALUE"""),621408.0)</f>
        <v>621408</v>
      </c>
      <c r="C6788" t="str">
        <f>IFERROR(__xludf.DUMMYFUNCTION("""COMPUTED_VALUE"""),"New Manager's Five-week Success System: 25 Days &gt; Management")</f>
        <v>New Manager's Five-week Success System: 25 Days &gt; Management</v>
      </c>
    </row>
    <row r="6789">
      <c r="A6789" s="140" t="str">
        <f>IFERROR(__xludf.DUMMYFUNCTION("""COMPUTED_VALUE"""),"es")</f>
        <v>es</v>
      </c>
      <c r="B6789">
        <f>IFERROR(__xludf.DUMMYFUNCTION("""COMPUTED_VALUE"""),2852076.0)</f>
        <v>2852076</v>
      </c>
      <c r="C6789" t="str">
        <f>IFERROR(__xludf.DUMMYFUNCTION("""COMPUTED_VALUE"""),"Soporte Técnico a Computadoras en Entornos Corporativos")</f>
        <v>Soporte Técnico a Computadoras en Entornos Corporativos</v>
      </c>
    </row>
    <row r="6790">
      <c r="A6790" s="140" t="str">
        <f>IFERROR(__xludf.DUMMYFUNCTION("""COMPUTED_VALUE"""),"tr")</f>
        <v>tr</v>
      </c>
      <c r="B6790">
        <f>IFERROR(__xludf.DUMMYFUNCTION("""COMPUTED_VALUE"""),2584122.0)</f>
        <v>2584122</v>
      </c>
      <c r="C6790" t="str">
        <f>IFERROR(__xludf.DUMMYFUNCTION("""COMPUTED_VALUE"""),".NET Core 3.0 &amp; C# 7 Backend Frontend Geliştirici Kursu - 2")</f>
        <v>.NET Core 3.0 &amp; C# 7 Backend Frontend Geliştirici Kursu - 2</v>
      </c>
    </row>
    <row r="6791">
      <c r="A6791" s="140" t="str">
        <f>IFERROR(__xludf.DUMMYFUNCTION("""COMPUTED_VALUE"""),"en")</f>
        <v>en</v>
      </c>
      <c r="B6791">
        <f>IFERROR(__xludf.DUMMYFUNCTION("""COMPUTED_VALUE"""),787126.0)</f>
        <v>787126</v>
      </c>
      <c r="C6791" t="str">
        <f>IFERROR(__xludf.DUMMYFUNCTION("""COMPUTED_VALUE"""),"Build Your Own NetApp Storage Lab, For Free!")</f>
        <v>Build Your Own NetApp Storage Lab, For Free!</v>
      </c>
    </row>
    <row r="6792">
      <c r="A6792" s="140" t="str">
        <f>IFERROR(__xludf.DUMMYFUNCTION("""COMPUTED_VALUE"""),"en")</f>
        <v>en</v>
      </c>
      <c r="B6792">
        <f>IFERROR(__xludf.DUMMYFUNCTION("""COMPUTED_VALUE"""),1409440.0)</f>
        <v>1409440</v>
      </c>
      <c r="C6792" t="str">
        <f>IFERROR(__xludf.DUMMYFUNCTION("""COMPUTED_VALUE"""),"Master Salesforce Lightning Reports, Dashboards &amp; Listviews")</f>
        <v>Master Salesforce Lightning Reports, Dashboards &amp; Listviews</v>
      </c>
    </row>
    <row r="6793">
      <c r="A6793" s="140" t="str">
        <f>IFERROR(__xludf.DUMMYFUNCTION("""COMPUTED_VALUE"""),"en")</f>
        <v>en</v>
      </c>
      <c r="B6793">
        <f>IFERROR(__xludf.DUMMYFUNCTION("""COMPUTED_VALUE"""),1361324.0)</f>
        <v>1361324</v>
      </c>
      <c r="C6793" t="str">
        <f>IFERROR(__xludf.DUMMYFUNCTION("""COMPUTED_VALUE"""),"RF Design Architecture of Receiver Transmitter &amp; Transceiver")</f>
        <v>RF Design Architecture of Receiver Transmitter &amp; Transceiver</v>
      </c>
    </row>
    <row r="6794">
      <c r="A6794" s="140" t="str">
        <f>IFERROR(__xludf.DUMMYFUNCTION("""COMPUTED_VALUE"""),"en")</f>
        <v>en</v>
      </c>
      <c r="B6794">
        <f>IFERROR(__xludf.DUMMYFUNCTION("""COMPUTED_VALUE"""),2236020.0)</f>
        <v>2236020</v>
      </c>
      <c r="C6794" t="str">
        <f>IFERROR(__xludf.DUMMYFUNCTION("""COMPUTED_VALUE"""),"Apache NiFi - A Complete Guide | Big DataFlow | HDF &amp; CDF")</f>
        <v>Apache NiFi - A Complete Guide | Big DataFlow | HDF &amp; CDF</v>
      </c>
    </row>
    <row r="6795">
      <c r="A6795" s="140" t="str">
        <f>IFERROR(__xludf.DUMMYFUNCTION("""COMPUTED_VALUE"""),"en")</f>
        <v>en</v>
      </c>
      <c r="B6795">
        <f>IFERROR(__xludf.DUMMYFUNCTION("""COMPUTED_VALUE"""),1189760.0)</f>
        <v>1189760</v>
      </c>
      <c r="C6795" t="str">
        <f>IFERROR(__xludf.DUMMYFUNCTION("""COMPUTED_VALUE"""),"Learn ZBrush with this Beginners Compendium Online Course")</f>
        <v>Learn ZBrush with this Beginners Compendium Online Course</v>
      </c>
    </row>
    <row r="6796">
      <c r="A6796" s="140" t="str">
        <f>IFERROR(__xludf.DUMMYFUNCTION("""COMPUTED_VALUE"""),"tr")</f>
        <v>tr</v>
      </c>
      <c r="B6796">
        <f>IFERROR(__xludf.DUMMYFUNCTION("""COMPUTED_VALUE"""),3168564.0)</f>
        <v>3168564</v>
      </c>
      <c r="C6796" t="str">
        <f>IFERROR(__xludf.DUMMYFUNCTION("""COMPUTED_VALUE"""),"ARDUINO ile KAPSAMLI ROBOTİK KODLAMA")</f>
        <v>ARDUINO ile KAPSAMLI ROBOTİK KODLAMA</v>
      </c>
    </row>
    <row r="6797">
      <c r="A6797" s="140" t="str">
        <f>IFERROR(__xludf.DUMMYFUNCTION("""COMPUTED_VALUE"""),"en")</f>
        <v>en</v>
      </c>
      <c r="B6797">
        <f>IFERROR(__xludf.DUMMYFUNCTION("""COMPUTED_VALUE"""),620616.0)</f>
        <v>620616</v>
      </c>
      <c r="C6797" t="str">
        <f>IFERROR(__xludf.DUMMYFUNCTION("""COMPUTED_VALUE"""),"Develop your Self Awareness with Emotional Intelligence")</f>
        <v>Develop your Self Awareness with Emotional Intelligence</v>
      </c>
    </row>
    <row r="6798">
      <c r="A6798" s="140" t="str">
        <f>IFERROR(__xludf.DUMMYFUNCTION("""COMPUTED_VALUE"""),"pt")</f>
        <v>pt</v>
      </c>
      <c r="B6798">
        <f>IFERROR(__xludf.DUMMYFUNCTION("""COMPUTED_VALUE"""),1316326.0)</f>
        <v>1316326</v>
      </c>
      <c r="C6798" t="str">
        <f>IFERROR(__xludf.DUMMYFUNCTION("""COMPUTED_VALUE"""),"Python para Data Science e Machine Learning - COMPLETO")</f>
        <v>Python para Data Science e Machine Learning - COMPLETO</v>
      </c>
    </row>
    <row r="6799">
      <c r="A6799" s="140" t="str">
        <f>IFERROR(__xludf.DUMMYFUNCTION("""COMPUTED_VALUE"""),"en")</f>
        <v>en</v>
      </c>
      <c r="B6799">
        <f>IFERROR(__xludf.DUMMYFUNCTION("""COMPUTED_VALUE"""),1969224.0)</f>
        <v>1969224</v>
      </c>
      <c r="C6799" t="str">
        <f>IFERROR(__xludf.DUMMYFUNCTION("""COMPUTED_VALUE"""),"Stock Trading: Invest and Trade Safely with Stock Sector ETF")</f>
        <v>Stock Trading: Invest and Trade Safely with Stock Sector ETF</v>
      </c>
    </row>
    <row r="6800">
      <c r="A6800" s="140" t="str">
        <f>IFERROR(__xludf.DUMMYFUNCTION("""COMPUTED_VALUE"""),"en")</f>
        <v>en</v>
      </c>
      <c r="B6800">
        <f>IFERROR(__xludf.DUMMYFUNCTION("""COMPUTED_VALUE"""),3551426.0)</f>
        <v>3551426</v>
      </c>
      <c r="C6800" t="str">
        <f>IFERROR(__xludf.DUMMYFUNCTION("""COMPUTED_VALUE"""),"Data Structures and Algorithms: In Depth using C#")</f>
        <v>Data Structures and Algorithms: In Depth using C#</v>
      </c>
    </row>
    <row r="6801">
      <c r="A6801" s="140" t="str">
        <f>IFERROR(__xludf.DUMMYFUNCTION("""COMPUTED_VALUE"""),"es")</f>
        <v>es</v>
      </c>
      <c r="B6801">
        <f>IFERROR(__xludf.DUMMYFUNCTION("""COMPUTED_VALUE"""),1969048.0)</f>
        <v>1969048</v>
      </c>
      <c r="C6801" t="str">
        <f>IFERROR(__xludf.DUMMYFUNCTION("""COMPUTED_VALUE"""),"Crea tu Página Web y Tienda Virtual sin saber Programar.")</f>
        <v>Crea tu Página Web y Tienda Virtual sin saber Programar.</v>
      </c>
    </row>
    <row r="6802">
      <c r="A6802" s="140" t="str">
        <f>IFERROR(__xludf.DUMMYFUNCTION("""COMPUTED_VALUE"""),"tr")</f>
        <v>tr</v>
      </c>
      <c r="B6802">
        <f>IFERROR(__xludf.DUMMYFUNCTION("""COMPUTED_VALUE"""),1715302.0)</f>
        <v>1715302</v>
      </c>
      <c r="C6802" t="str">
        <f>IFERROR(__xludf.DUMMYFUNCTION("""COMPUTED_VALUE"""),"Derinlemesine Java 4 : Web Programlama")</f>
        <v>Derinlemesine Java 4 : Web Programlama</v>
      </c>
    </row>
    <row r="6803">
      <c r="A6803" s="140" t="str">
        <f>IFERROR(__xludf.DUMMYFUNCTION("""COMPUTED_VALUE"""),"en")</f>
        <v>en</v>
      </c>
      <c r="B6803">
        <f>IFERROR(__xludf.DUMMYFUNCTION("""COMPUTED_VALUE"""),221674.0)</f>
        <v>221674</v>
      </c>
      <c r="C6803" t="str">
        <f>IFERROR(__xludf.DUMMYFUNCTION("""COMPUTED_VALUE"""),"Git Complete: The definitive, step-by-step guide to Git")</f>
        <v>Git Complete: The definitive, step-by-step guide to Git</v>
      </c>
    </row>
    <row r="6804">
      <c r="A6804" s="140" t="str">
        <f>IFERROR(__xludf.DUMMYFUNCTION("""COMPUTED_VALUE"""),"en")</f>
        <v>en</v>
      </c>
      <c r="B6804">
        <f>IFERROR(__xludf.DUMMYFUNCTION("""COMPUTED_VALUE"""),481434.0)</f>
        <v>481434</v>
      </c>
      <c r="C6804" t="str">
        <f>IFERROR(__xludf.DUMMYFUNCTION("""COMPUTED_VALUE"""),"Communicate for Business: Write, Email, Close the Loop")</f>
        <v>Communicate for Business: Write, Email, Close the Loop</v>
      </c>
    </row>
    <row r="6805">
      <c r="A6805" s="140" t="str">
        <f>IFERROR(__xludf.DUMMYFUNCTION("""COMPUTED_VALUE"""),"tr")</f>
        <v>tr</v>
      </c>
      <c r="B6805">
        <f>IFERROR(__xludf.DUMMYFUNCTION("""COMPUTED_VALUE"""),3309142.0)</f>
        <v>3309142</v>
      </c>
      <c r="C6805" t="str">
        <f>IFERROR(__xludf.DUMMYFUNCTION("""COMPUTED_VALUE"""),"Zeynep Hocayla İngilizce Kursu Tahtada Anlatım Tüm Konular")</f>
        <v>Zeynep Hocayla İngilizce Kursu Tahtada Anlatım Tüm Konular</v>
      </c>
    </row>
    <row r="6806">
      <c r="A6806" s="140" t="str">
        <f>IFERROR(__xludf.DUMMYFUNCTION("""COMPUTED_VALUE"""),"pt")</f>
        <v>pt</v>
      </c>
      <c r="B6806">
        <f>IFERROR(__xludf.DUMMYFUNCTION("""COMPUTED_VALUE"""),1614570.0)</f>
        <v>1614570</v>
      </c>
      <c r="C6806" t="str">
        <f>IFERROR(__xludf.DUMMYFUNCTION("""COMPUTED_VALUE"""),"Curso Completo de Design Gráfico com Adobe Illustrator")</f>
        <v>Curso Completo de Design Gráfico com Adobe Illustrator</v>
      </c>
    </row>
    <row r="6807">
      <c r="A6807" s="140" t="str">
        <f>IFERROR(__xludf.DUMMYFUNCTION("""COMPUTED_VALUE"""),"ja")</f>
        <v>ja</v>
      </c>
      <c r="B6807">
        <f>IFERROR(__xludf.DUMMYFUNCTION("""COMPUTED_VALUE"""),3957148.0)</f>
        <v>3957148</v>
      </c>
      <c r="C6807" t="str">
        <f>IFERROR(__xludf.DUMMYFUNCTION("""COMPUTED_VALUE"""),"【はじめての物理演算】つくって学ぶ物理アニメーション")</f>
        <v>【はじめての物理演算】つくって学ぶ物理アニメーション</v>
      </c>
    </row>
    <row r="6808">
      <c r="A6808" s="140" t="str">
        <f>IFERROR(__xludf.DUMMYFUNCTION("""COMPUTED_VALUE"""),"es")</f>
        <v>es</v>
      </c>
      <c r="B6808">
        <f>IFERROR(__xludf.DUMMYFUNCTION("""COMPUTED_VALUE"""),1152156.0)</f>
        <v>1152156</v>
      </c>
      <c r="C6808" t="str">
        <f>IFERROR(__xludf.DUMMYFUNCTION("""COMPUTED_VALUE"""),"Bash - Intérprete de Comandos de Linux. Aprende desde cero")</f>
        <v>Bash - Intérprete de Comandos de Linux. Aprende desde cero</v>
      </c>
    </row>
    <row r="6809">
      <c r="A6809" s="140" t="str">
        <f>IFERROR(__xludf.DUMMYFUNCTION("""COMPUTED_VALUE"""),"en")</f>
        <v>en</v>
      </c>
      <c r="B6809">
        <f>IFERROR(__xludf.DUMMYFUNCTION("""COMPUTED_VALUE"""),1397390.0)</f>
        <v>1397390</v>
      </c>
      <c r="C6809" t="str">
        <f>IFERROR(__xludf.DUMMYFUNCTION("""COMPUTED_VALUE"""),"Cold Calling for B2B Sales: How to Prospect over the Phone")</f>
        <v>Cold Calling for B2B Sales: How to Prospect over the Phone</v>
      </c>
    </row>
    <row r="6810">
      <c r="A6810" s="140" t="str">
        <f>IFERROR(__xludf.DUMMYFUNCTION("""COMPUTED_VALUE"""),"en")</f>
        <v>en</v>
      </c>
      <c r="B6810">
        <f>IFERROR(__xludf.DUMMYFUNCTION("""COMPUTED_VALUE"""),3730682.0)</f>
        <v>3730682</v>
      </c>
      <c r="C6810" t="str">
        <f>IFERROR(__xludf.DUMMYFUNCTION("""COMPUTED_VALUE"""),"The Complete Machine Learning 2021 : 10 Real World Projects")</f>
        <v>The Complete Machine Learning 2021 : 10 Real World Projects</v>
      </c>
    </row>
    <row r="6811">
      <c r="A6811" s="140" t="str">
        <f>IFERROR(__xludf.DUMMYFUNCTION("""COMPUTED_VALUE"""),"ar")</f>
        <v>ar</v>
      </c>
      <c r="B6811">
        <f>IFERROR(__xludf.DUMMYFUNCTION("""COMPUTED_VALUE"""),3111966.0)</f>
        <v>3111966</v>
      </c>
      <c r="C6811" t="str">
        <f>IFERROR(__xludf.DUMMYFUNCTION("""COMPUTED_VALUE"""),"PCB كورس تصميم الدوائر المطبوعة")</f>
        <v>PCB كورس تصميم الدوائر المطبوعة</v>
      </c>
    </row>
    <row r="6812">
      <c r="A6812" s="140" t="str">
        <f>IFERROR(__xludf.DUMMYFUNCTION("""COMPUTED_VALUE"""),"en")</f>
        <v>en</v>
      </c>
      <c r="B6812">
        <f>IFERROR(__xludf.DUMMYFUNCTION("""COMPUTED_VALUE"""),166064.0)</f>
        <v>166064</v>
      </c>
      <c r="C6812" t="str">
        <f>IFERROR(__xludf.DUMMYFUNCTION("""COMPUTED_VALUE"""),"Statistics / Data Analysis in SPSS: MANOVA")</f>
        <v>Statistics / Data Analysis in SPSS: MANOVA</v>
      </c>
    </row>
    <row r="6813">
      <c r="A6813" s="140" t="str">
        <f>IFERROR(__xludf.DUMMYFUNCTION("""COMPUTED_VALUE"""),"fr")</f>
        <v>fr</v>
      </c>
      <c r="B6813">
        <f>IFERROR(__xludf.DUMMYFUNCTION("""COMPUTED_VALUE"""),1535560.0)</f>
        <v>1535560</v>
      </c>
      <c r="C6813" t="str">
        <f>IFERROR(__xludf.DUMMYFUNCTION("""COMPUTED_VALUE"""),"Apprendre à trader les Indices Boursiers - le guide complet")</f>
        <v>Apprendre à trader les Indices Boursiers - le guide complet</v>
      </c>
    </row>
    <row r="6814">
      <c r="A6814" s="140" t="str">
        <f>IFERROR(__xludf.DUMMYFUNCTION("""COMPUTED_VALUE"""),"ja")</f>
        <v>ja</v>
      </c>
      <c r="B6814">
        <f>IFERROR(__xludf.DUMMYFUNCTION("""COMPUTED_VALUE"""),2317370.0)</f>
        <v>2317370</v>
      </c>
      <c r="C6814" t="str">
        <f>IFERROR(__xludf.DUMMYFUNCTION("""COMPUTED_VALUE"""),"一週間で身につくC#言語")</f>
        <v>一週間で身につくC#言語</v>
      </c>
    </row>
    <row r="6815">
      <c r="A6815" s="140" t="str">
        <f>IFERROR(__xludf.DUMMYFUNCTION("""COMPUTED_VALUE"""),"en")</f>
        <v>en</v>
      </c>
      <c r="B6815">
        <f>IFERROR(__xludf.DUMMYFUNCTION("""COMPUTED_VALUE"""),3988716.0)</f>
        <v>3988716</v>
      </c>
      <c r="C6815" t="str">
        <f>IFERROR(__xludf.DUMMYFUNCTION("""COMPUTED_VALUE"""),"Helm 3 - Package Manager For Kubernetes for 2021")</f>
        <v>Helm 3 - Package Manager For Kubernetes for 2021</v>
      </c>
    </row>
    <row r="6816">
      <c r="A6816" s="140" t="str">
        <f>IFERROR(__xludf.DUMMYFUNCTION("""COMPUTED_VALUE"""),"en")</f>
        <v>en</v>
      </c>
      <c r="B6816">
        <f>IFERROR(__xludf.DUMMYFUNCTION("""COMPUTED_VALUE"""),600086.0)</f>
        <v>600086</v>
      </c>
      <c r="C6816" t="str">
        <f>IFERROR(__xludf.DUMMYFUNCTION("""COMPUTED_VALUE"""),"Excel Formulas &amp; Functions - Find Answers in Your Excel Data")</f>
        <v>Excel Formulas &amp; Functions - Find Answers in Your Excel Data</v>
      </c>
    </row>
    <row r="6817">
      <c r="A6817" s="140" t="str">
        <f>IFERROR(__xludf.DUMMYFUNCTION("""COMPUTED_VALUE"""),"en")</f>
        <v>en</v>
      </c>
      <c r="B6817">
        <f>IFERROR(__xludf.DUMMYFUNCTION("""COMPUTED_VALUE"""),3098072.0)</f>
        <v>3098072</v>
      </c>
      <c r="C6817" t="str">
        <f>IFERROR(__xludf.DUMMYFUNCTION("""COMPUTED_VALUE"""),"Complete Red Hat System Administration Boot Camp - RHCSA 8")</f>
        <v>Complete Red Hat System Administration Boot Camp - RHCSA 8</v>
      </c>
    </row>
    <row r="6818">
      <c r="A6818" s="140" t="str">
        <f>IFERROR(__xludf.DUMMYFUNCTION("""COMPUTED_VALUE"""),"fr")</f>
        <v>fr</v>
      </c>
      <c r="B6818">
        <f>IFERROR(__xludf.DUMMYFUNCTION("""COMPUTED_VALUE"""),4182274.0)</f>
        <v>4182274</v>
      </c>
      <c r="C6818" t="str">
        <f>IFERROR(__xludf.DUMMYFUNCTION("""COMPUTED_VALUE"""),"100% réussite pour la Certification Scrum Master PSM-I")</f>
        <v>100% réussite pour la Certification Scrum Master PSM-I</v>
      </c>
    </row>
    <row r="6819">
      <c r="A6819" s="140" t="str">
        <f>IFERROR(__xludf.DUMMYFUNCTION("""COMPUTED_VALUE"""),"en")</f>
        <v>en</v>
      </c>
      <c r="B6819">
        <f>IFERROR(__xludf.DUMMYFUNCTION("""COMPUTED_VALUE"""),1446866.0)</f>
        <v>1446866</v>
      </c>
      <c r="C6819" t="str">
        <f>IFERROR(__xludf.DUMMYFUNCTION("""COMPUTED_VALUE"""),"SQL Server Performance Tuning Part 2")</f>
        <v>SQL Server Performance Tuning Part 2</v>
      </c>
    </row>
    <row r="6820">
      <c r="A6820" s="140" t="str">
        <f>IFERROR(__xludf.DUMMYFUNCTION("""COMPUTED_VALUE"""),"en")</f>
        <v>en</v>
      </c>
      <c r="B6820">
        <f>IFERROR(__xludf.DUMMYFUNCTION("""COMPUTED_VALUE"""),1667390.0)</f>
        <v>1667390</v>
      </c>
      <c r="C6820" t="str">
        <f>IFERROR(__xludf.DUMMYFUNCTION("""COMPUTED_VALUE"""),"Content Marketing Masterclass: Create Content That Sells")</f>
        <v>Content Marketing Masterclass: Create Content That Sells</v>
      </c>
    </row>
    <row r="6821">
      <c r="A6821" s="140" t="str">
        <f>IFERROR(__xludf.DUMMYFUNCTION("""COMPUTED_VALUE"""),"en")</f>
        <v>en</v>
      </c>
      <c r="B6821">
        <f>IFERROR(__xludf.DUMMYFUNCTION("""COMPUTED_VALUE"""),1087656.0)</f>
        <v>1087656</v>
      </c>
      <c r="C6821" t="str">
        <f>IFERROR(__xludf.DUMMYFUNCTION("""COMPUTED_VALUE"""),"Robot Framework - Jenkins CI &amp; Git Version Control")</f>
        <v>Robot Framework - Jenkins CI &amp; Git Version Control</v>
      </c>
    </row>
    <row r="6822">
      <c r="A6822" s="140" t="str">
        <f>IFERROR(__xludf.DUMMYFUNCTION("""COMPUTED_VALUE"""),"en")</f>
        <v>en</v>
      </c>
      <c r="B6822">
        <f>IFERROR(__xludf.DUMMYFUNCTION("""COMPUTED_VALUE"""),4341438.0)</f>
        <v>4341438</v>
      </c>
      <c r="C6822" t="str">
        <f>IFERROR(__xludf.DUMMYFUNCTION("""COMPUTED_VALUE"""),"Build Web Apps with React &amp; Firebase")</f>
        <v>Build Web Apps with React &amp; Firebase</v>
      </c>
    </row>
    <row r="6823">
      <c r="A6823" s="140" t="str">
        <f>IFERROR(__xludf.DUMMYFUNCTION("""COMPUTED_VALUE"""),"de")</f>
        <v>de</v>
      </c>
      <c r="B6823">
        <f>IFERROR(__xludf.DUMMYFUNCTION("""COMPUTED_VALUE"""),1857524.0)</f>
        <v>1857524</v>
      </c>
      <c r="C6823" t="str">
        <f>IFERROR(__xludf.DUMMYFUNCTION("""COMPUTED_VALUE"""),"Meetingmarathon - Das Geheimnis produktiver Meetings")</f>
        <v>Meetingmarathon - Das Geheimnis produktiver Meetings</v>
      </c>
    </row>
    <row r="6824">
      <c r="A6824" s="140" t="str">
        <f>IFERROR(__xludf.DUMMYFUNCTION("""COMPUTED_VALUE"""),"en")</f>
        <v>en</v>
      </c>
      <c r="B6824">
        <f>IFERROR(__xludf.DUMMYFUNCTION("""COMPUTED_VALUE"""),375842.0)</f>
        <v>375842</v>
      </c>
      <c r="C6824" t="str">
        <f>IFERROR(__xludf.DUMMYFUNCTION("""COMPUTED_VALUE"""),"Introduction to Business Process Modeling")</f>
        <v>Introduction to Business Process Modeling</v>
      </c>
    </row>
    <row r="6825">
      <c r="A6825" s="140" t="str">
        <f>IFERROR(__xludf.DUMMYFUNCTION("""COMPUTED_VALUE"""),"en")</f>
        <v>en</v>
      </c>
      <c r="B6825">
        <f>IFERROR(__xludf.DUMMYFUNCTION("""COMPUTED_VALUE"""),665152.0)</f>
        <v>665152</v>
      </c>
      <c r="C6825" t="str">
        <f>IFERROR(__xludf.DUMMYFUNCTION("""COMPUTED_VALUE"""),"Mastering Agile Scrum Project Management")</f>
        <v>Mastering Agile Scrum Project Management</v>
      </c>
    </row>
    <row r="6826">
      <c r="A6826" s="140" t="str">
        <f>IFERROR(__xludf.DUMMYFUNCTION("""COMPUTED_VALUE"""),"pt")</f>
        <v>pt</v>
      </c>
      <c r="B6826">
        <f>IFERROR(__xludf.DUMMYFUNCTION("""COMPUTED_VALUE"""),2652978.0)</f>
        <v>2652978</v>
      </c>
      <c r="C6826" t="str">
        <f>IFERROR(__xludf.DUMMYFUNCTION("""COMPUTED_VALUE"""),"Business Intelligence Completo do ETL ao Power BI na Prática")</f>
        <v>Business Intelligence Completo do ETL ao Power BI na Prática</v>
      </c>
    </row>
    <row r="6827">
      <c r="A6827" s="140" t="str">
        <f>IFERROR(__xludf.DUMMYFUNCTION("""COMPUTED_VALUE"""),"fr")</f>
        <v>fr</v>
      </c>
      <c r="B6827">
        <f>IFERROR(__xludf.DUMMYFUNCTION("""COMPUTED_VALUE"""),3771968.0)</f>
        <v>3771968</v>
      </c>
      <c r="C6827" t="str">
        <f>IFERROR(__xludf.DUMMYFUNCTION("""COMPUTED_VALUE"""),"Communication écrite en entreprise : le guide complet")</f>
        <v>Communication écrite en entreprise : le guide complet</v>
      </c>
    </row>
    <row r="6828">
      <c r="A6828" s="140" t="str">
        <f>IFERROR(__xludf.DUMMYFUNCTION("""COMPUTED_VALUE"""),"ar")</f>
        <v>ar</v>
      </c>
      <c r="B6828">
        <f>IFERROR(__xludf.DUMMYFUNCTION("""COMPUTED_VALUE"""),817002.0)</f>
        <v>817002</v>
      </c>
      <c r="C6828" t="str">
        <f>IFERROR(__xludf.DUMMYFUNCTION("""COMPUTED_VALUE"""),"الصياغة الإبداعية التسويقية: كيف تتواصل الشركات مع جمهورها")</f>
        <v>الصياغة الإبداعية التسويقية: كيف تتواصل الشركات مع جمهورها</v>
      </c>
    </row>
    <row r="6829">
      <c r="A6829" s="140" t="str">
        <f>IFERROR(__xludf.DUMMYFUNCTION("""COMPUTED_VALUE"""),"en")</f>
        <v>en</v>
      </c>
      <c r="B6829">
        <f>IFERROR(__xludf.DUMMYFUNCTION("""COMPUTED_VALUE"""),2400268.0)</f>
        <v>2400268</v>
      </c>
      <c r="C6829" t="str">
        <f>IFERROR(__xludf.DUMMYFUNCTION("""COMPUTED_VALUE"""),"The Ultimate Face &amp; Head Drawing Course - for beginners")</f>
        <v>The Ultimate Face &amp; Head Drawing Course - for beginners</v>
      </c>
    </row>
    <row r="6830">
      <c r="A6830" s="140" t="str">
        <f>IFERROR(__xludf.DUMMYFUNCTION("""COMPUTED_VALUE"""),"en")</f>
        <v>en</v>
      </c>
      <c r="B6830">
        <f>IFERROR(__xludf.DUMMYFUNCTION("""COMPUTED_VALUE"""),1802404.0)</f>
        <v>1802404</v>
      </c>
      <c r="C6830" t="str">
        <f>IFERROR(__xludf.DUMMYFUNCTION("""COMPUTED_VALUE"""),"The Complete Communication Skills Master Class for Life")</f>
        <v>The Complete Communication Skills Master Class for Life</v>
      </c>
    </row>
    <row r="6831">
      <c r="A6831" s="140" t="str">
        <f>IFERROR(__xludf.DUMMYFUNCTION("""COMPUTED_VALUE"""),"en")</f>
        <v>en</v>
      </c>
      <c r="B6831">
        <f>IFERROR(__xludf.DUMMYFUNCTION("""COMPUTED_VALUE"""),1641996.0)</f>
        <v>1641996</v>
      </c>
      <c r="C6831" t="str">
        <f>IFERROR(__xludf.DUMMYFUNCTION("""COMPUTED_VALUE"""),"ISO 45001 Occupational Safety &amp; Health Management System")</f>
        <v>ISO 45001 Occupational Safety &amp; Health Management System</v>
      </c>
    </row>
    <row r="6832">
      <c r="A6832" s="140" t="str">
        <f>IFERROR(__xludf.DUMMYFUNCTION("""COMPUTED_VALUE"""),"es")</f>
        <v>es</v>
      </c>
      <c r="B6832">
        <f>IFERROR(__xludf.DUMMYFUNCTION("""COMPUTED_VALUE"""),130480.0)</f>
        <v>130480</v>
      </c>
      <c r="C6832" t="str">
        <f>IFERROR(__xludf.DUMMYFUNCTION("""COMPUTED_VALUE"""),"Comercio Exterior y Logística Internacional")</f>
        <v>Comercio Exterior y Logística Internacional</v>
      </c>
    </row>
    <row r="6833">
      <c r="A6833" s="140" t="str">
        <f>IFERROR(__xludf.DUMMYFUNCTION("""COMPUTED_VALUE"""),"ja")</f>
        <v>ja</v>
      </c>
      <c r="B6833">
        <f>IFERROR(__xludf.DUMMYFUNCTION("""COMPUTED_VALUE"""),1739202.0)</f>
        <v>1739202</v>
      </c>
      <c r="C6833" t="str">
        <f>IFERROR(__xludf.DUMMYFUNCTION("""COMPUTED_VALUE"""),"【キカガク流】プログラミング力向上のためのPythonで学ぶアルゴリズム論（前編）")</f>
        <v>【キカガク流】プログラミング力向上のためのPythonで学ぶアルゴリズム論（前編）</v>
      </c>
    </row>
    <row r="6834">
      <c r="A6834" s="140" t="str">
        <f>IFERROR(__xludf.DUMMYFUNCTION("""COMPUTED_VALUE"""),"es")</f>
        <v>es</v>
      </c>
      <c r="B6834">
        <f>IFERROR(__xludf.DUMMYFUNCTION("""COMPUTED_VALUE"""),3621482.0)</f>
        <v>3621482</v>
      </c>
      <c r="C6834" t="str">
        <f>IFERROR(__xludf.DUMMYFUNCTION("""COMPUTED_VALUE"""),"Adobe Photoshop en 2021: ¡De Cero a Avanzado!")</f>
        <v>Adobe Photoshop en 2021: ¡De Cero a Avanzado!</v>
      </c>
    </row>
    <row r="6835">
      <c r="A6835" s="140" t="str">
        <f>IFERROR(__xludf.DUMMYFUNCTION("""COMPUTED_VALUE"""),"en")</f>
        <v>en</v>
      </c>
      <c r="B6835">
        <f>IFERROR(__xludf.DUMMYFUNCTION("""COMPUTED_VALUE"""),298108.0)</f>
        <v>298108</v>
      </c>
      <c r="C6835" t="str">
        <f>IFERROR(__xludf.DUMMYFUNCTION("""COMPUTED_VALUE"""),"Vagrant Up! Comprehensive development system automation")</f>
        <v>Vagrant Up! Comprehensive development system automation</v>
      </c>
    </row>
    <row r="6836">
      <c r="A6836" s="140" t="str">
        <f>IFERROR(__xludf.DUMMYFUNCTION("""COMPUTED_VALUE"""),"es")</f>
        <v>es</v>
      </c>
      <c r="B6836">
        <f>IFERROR(__xludf.DUMMYFUNCTION("""COMPUTED_VALUE"""),1420540.0)</f>
        <v>1420540</v>
      </c>
      <c r="C6836" t="str">
        <f>IFERROR(__xludf.DUMMYFUNCTION("""COMPUTED_VALUE"""),"Desarrollo Web con Vue js 2, PHP 7 y MariaDB")</f>
        <v>Desarrollo Web con Vue js 2, PHP 7 y MariaDB</v>
      </c>
    </row>
    <row r="6837">
      <c r="A6837" s="140" t="str">
        <f>IFERROR(__xludf.DUMMYFUNCTION("""COMPUTED_VALUE"""),"en")</f>
        <v>en</v>
      </c>
      <c r="B6837">
        <f>IFERROR(__xludf.DUMMYFUNCTION("""COMPUTED_VALUE"""),1349250.0)</f>
        <v>1349250</v>
      </c>
      <c r="C6837" t="str">
        <f>IFERROR(__xludf.DUMMYFUNCTION("""COMPUTED_VALUE"""),"The Beginner's Guide to Artificial Intelligence in Unity")</f>
        <v>The Beginner's Guide to Artificial Intelligence in Unity</v>
      </c>
    </row>
    <row r="6838">
      <c r="A6838" s="140" t="str">
        <f>IFERROR(__xludf.DUMMYFUNCTION("""COMPUTED_VALUE"""),"pt")</f>
        <v>pt</v>
      </c>
      <c r="B6838">
        <f>IFERROR(__xludf.DUMMYFUNCTION("""COMPUTED_VALUE"""),3400980.0)</f>
        <v>3400980</v>
      </c>
      <c r="C6838" t="str">
        <f>IFERROR(__xludf.DUMMYFUNCTION("""COMPUTED_VALUE"""),"Curso de Social Media Design com Adobe Photoshop - COMPLETO")</f>
        <v>Curso de Social Media Design com Adobe Photoshop - COMPLETO</v>
      </c>
    </row>
    <row r="6839">
      <c r="A6839" s="140" t="str">
        <f>IFERROR(__xludf.DUMMYFUNCTION("""COMPUTED_VALUE"""),"zh")</f>
        <v>zh</v>
      </c>
      <c r="B6839">
        <f>IFERROR(__xludf.DUMMYFUNCTION("""COMPUTED_VALUE"""),2276701.0)</f>
        <v>2276701</v>
      </c>
      <c r="C6839" t="str">
        <f>IFERROR(__xludf.DUMMYFUNCTION("""COMPUTED_VALUE"""),"Python 3 Flask REST APIs入门与实战")</f>
        <v>Python 3 Flask REST APIs入门与实战</v>
      </c>
    </row>
    <row r="6840">
      <c r="A6840" s="140" t="str">
        <f>IFERROR(__xludf.DUMMYFUNCTION("""COMPUTED_VALUE"""),"es")</f>
        <v>es</v>
      </c>
      <c r="B6840">
        <f>IFERROR(__xludf.DUMMYFUNCTION("""COMPUTED_VALUE"""),4107486.0)</f>
        <v>4107486</v>
      </c>
      <c r="C6840" t="str">
        <f>IFERROR(__xludf.DUMMYFUNCTION("""COMPUTED_VALUE"""),"Arduino, sensores, lcd y programación C avanzada - Nivel 2")</f>
        <v>Arduino, sensores, lcd y programación C avanzada - Nivel 2</v>
      </c>
    </row>
    <row r="6841">
      <c r="A6841" s="140" t="str">
        <f>IFERROR(__xludf.DUMMYFUNCTION("""COMPUTED_VALUE"""),"en")</f>
        <v>en</v>
      </c>
      <c r="B6841">
        <f>IFERROR(__xludf.DUMMYFUNCTION("""COMPUTED_VALUE"""),2318404.0)</f>
        <v>2318404</v>
      </c>
      <c r="C6841" t="str">
        <f>IFERROR(__xludf.DUMMYFUNCTION("""COMPUTED_VALUE"""),"The Complete Drawing &amp; Painting Illustration Course")</f>
        <v>The Complete Drawing &amp; Painting Illustration Course</v>
      </c>
    </row>
    <row r="6842">
      <c r="A6842" s="140" t="str">
        <f>IFERROR(__xludf.DUMMYFUNCTION("""COMPUTED_VALUE"""),"en")</f>
        <v>en</v>
      </c>
      <c r="B6842">
        <f>IFERROR(__xludf.DUMMYFUNCTION("""COMPUTED_VALUE"""),17782.0)</f>
        <v>17782</v>
      </c>
      <c r="C6842" t="str">
        <f>IFERROR(__xludf.DUMMYFUNCTION("""COMPUTED_VALUE"""),"Master Your Mindset &amp; Brain: Framestorm Your Way to Success")</f>
        <v>Master Your Mindset &amp; Brain: Framestorm Your Way to Success</v>
      </c>
    </row>
    <row r="6843">
      <c r="A6843" s="140" t="str">
        <f>IFERROR(__xludf.DUMMYFUNCTION("""COMPUTED_VALUE"""),"en")</f>
        <v>en</v>
      </c>
      <c r="B6843">
        <f>IFERROR(__xludf.DUMMYFUNCTION("""COMPUTED_VALUE"""),1277856.0)</f>
        <v>1277856</v>
      </c>
      <c r="C6843" t="str">
        <f>IFERROR(__xludf.DUMMYFUNCTION("""COMPUTED_VALUE"""),"Step by Step Branding and Customizing Search in SharePoint")</f>
        <v>Step by Step Branding and Customizing Search in SharePoint</v>
      </c>
    </row>
    <row r="6844">
      <c r="A6844" s="140" t="str">
        <f>IFERROR(__xludf.DUMMYFUNCTION("""COMPUTED_VALUE"""),"en")</f>
        <v>en</v>
      </c>
      <c r="B6844">
        <f>IFERROR(__xludf.DUMMYFUNCTION("""COMPUTED_VALUE"""),1166450.0)</f>
        <v>1166450</v>
      </c>
      <c r="C6844" t="str">
        <f>IFERROR(__xludf.DUMMYFUNCTION("""COMPUTED_VALUE"""),"Raspberry Pi Workshop 2018 Become a Coder / Maker / Inventor")</f>
        <v>Raspberry Pi Workshop 2018 Become a Coder / Maker / Inventor</v>
      </c>
    </row>
    <row r="6845">
      <c r="A6845" s="140" t="str">
        <f>IFERROR(__xludf.DUMMYFUNCTION("""COMPUTED_VALUE"""),"fr")</f>
        <v>fr</v>
      </c>
      <c r="B6845">
        <f>IFERROR(__xludf.DUMMYFUNCTION("""COMPUTED_VALUE"""),414046.0)</f>
        <v>414046</v>
      </c>
      <c r="C6845" t="str">
        <f>IFERROR(__xludf.DUMMYFUNCTION("""COMPUTED_VALUE"""),"Parler en public : structurez votre message")</f>
        <v>Parler en public : structurez votre message</v>
      </c>
    </row>
    <row r="6846">
      <c r="A6846" s="140" t="str">
        <f>IFERROR(__xludf.DUMMYFUNCTION("""COMPUTED_VALUE"""),"en")</f>
        <v>en</v>
      </c>
      <c r="B6846">
        <f>IFERROR(__xludf.DUMMYFUNCTION("""COMPUTED_VALUE"""),1910506.0)</f>
        <v>1910506</v>
      </c>
      <c r="C6846" t="str">
        <f>IFERROR(__xludf.DUMMYFUNCTION("""COMPUTED_VALUE"""),"Tesla Company Analysis: Strategy, Marketing, Financials")</f>
        <v>Tesla Company Analysis: Strategy, Marketing, Financials</v>
      </c>
    </row>
    <row r="6847">
      <c r="A6847" s="140" t="str">
        <f>IFERROR(__xludf.DUMMYFUNCTION("""COMPUTED_VALUE"""),"pt")</f>
        <v>pt</v>
      </c>
      <c r="B6847">
        <f>IFERROR(__xludf.DUMMYFUNCTION("""COMPUTED_VALUE"""),1617560.0)</f>
        <v>1617560</v>
      </c>
      <c r="C6847" t="str">
        <f>IFERROR(__xludf.DUMMYFUNCTION("""COMPUTED_VALUE"""),"Formação em Redes de Computadores - Módulo 1")</f>
        <v>Formação em Redes de Computadores - Módulo 1</v>
      </c>
    </row>
    <row r="6848">
      <c r="A6848" s="140" t="str">
        <f>IFERROR(__xludf.DUMMYFUNCTION("""COMPUTED_VALUE"""),"fr")</f>
        <v>fr</v>
      </c>
      <c r="B6848">
        <f>IFERROR(__xludf.DUMMYFUNCTION("""COMPUTED_VALUE"""),2755060.0)</f>
        <v>2755060</v>
      </c>
      <c r="C6848" t="str">
        <f>IFERROR(__xludf.DUMMYFUNCTION("""COMPUTED_VALUE"""),"Développement Front - ReactJS, Redux et l'API Contexte")</f>
        <v>Développement Front - ReactJS, Redux et l'API Contexte</v>
      </c>
    </row>
    <row r="6849">
      <c r="A6849" s="140" t="str">
        <f>IFERROR(__xludf.DUMMYFUNCTION("""COMPUTED_VALUE"""),"en")</f>
        <v>en</v>
      </c>
      <c r="B6849">
        <f>IFERROR(__xludf.DUMMYFUNCTION("""COMPUTED_VALUE"""),2337452.0)</f>
        <v>2337452</v>
      </c>
      <c r="C6849" t="str">
        <f>IFERROR(__xludf.DUMMYFUNCTION("""COMPUTED_VALUE"""),"PowerShell version 5.1 and 6: Step-by-Step")</f>
        <v>PowerShell version 5.1 and 6: Step-by-Step</v>
      </c>
    </row>
    <row r="6850">
      <c r="A6850" s="140" t="str">
        <f>IFERROR(__xludf.DUMMYFUNCTION("""COMPUTED_VALUE"""),"en")</f>
        <v>en</v>
      </c>
      <c r="B6850">
        <f>IFERROR(__xludf.DUMMYFUNCTION("""COMPUTED_VALUE"""),1452908.0)</f>
        <v>1452908</v>
      </c>
      <c r="C6850" t="str">
        <f>IFERROR(__xludf.DUMMYFUNCTION("""COMPUTED_VALUE"""),"User Experience Design Essentials - Adobe XD UI UX Design")</f>
        <v>User Experience Design Essentials - Adobe XD UI UX Design</v>
      </c>
    </row>
    <row r="6851">
      <c r="A6851" s="140" t="str">
        <f>IFERROR(__xludf.DUMMYFUNCTION("""COMPUTED_VALUE"""),"en")</f>
        <v>en</v>
      </c>
      <c r="B6851">
        <f>IFERROR(__xludf.DUMMYFUNCTION("""COMPUTED_VALUE"""),847460.0)</f>
        <v>847460</v>
      </c>
      <c r="C6851" t="str">
        <f>IFERROR(__xludf.DUMMYFUNCTION("""COMPUTED_VALUE"""),"Alibaba The Complete Guide to Import from Alibaba to Amazon")</f>
        <v>Alibaba The Complete Guide to Import from Alibaba to Amazon</v>
      </c>
    </row>
    <row r="6852">
      <c r="A6852" s="140" t="str">
        <f>IFERROR(__xludf.DUMMYFUNCTION("""COMPUTED_VALUE"""),"en")</f>
        <v>en</v>
      </c>
      <c r="B6852">
        <f>IFERROR(__xludf.DUMMYFUNCTION("""COMPUTED_VALUE"""),508508.0)</f>
        <v>508508</v>
      </c>
      <c r="C6852" t="str">
        <f>IFERROR(__xludf.DUMMYFUNCTION("""COMPUTED_VALUE"""),"Understand the Mind: 15 Fascinating Psychology Studies")</f>
        <v>Understand the Mind: 15 Fascinating Psychology Studies</v>
      </c>
    </row>
    <row r="6853">
      <c r="A6853" s="140" t="str">
        <f>IFERROR(__xludf.DUMMYFUNCTION("""COMPUTED_VALUE"""),"en")</f>
        <v>en</v>
      </c>
      <c r="B6853">
        <f>IFERROR(__xludf.DUMMYFUNCTION("""COMPUTED_VALUE"""),1556638.0)</f>
        <v>1556638</v>
      </c>
      <c r="C6853" t="str">
        <f>IFERROR(__xludf.DUMMYFUNCTION("""COMPUTED_VALUE"""),"Accounting 101: Accounts Payable Best Practices For 2021")</f>
        <v>Accounting 101: Accounts Payable Best Practices For 2021</v>
      </c>
    </row>
    <row r="6854">
      <c r="A6854" s="140" t="str">
        <f>IFERROR(__xludf.DUMMYFUNCTION("""COMPUTED_VALUE"""),"en")</f>
        <v>en</v>
      </c>
      <c r="B6854">
        <f>IFERROR(__xludf.DUMMYFUNCTION("""COMPUTED_VALUE"""),655198.0)</f>
        <v>655198</v>
      </c>
      <c r="C6854" t="str">
        <f>IFERROR(__xludf.DUMMYFUNCTION("""COMPUTED_VALUE"""),"Siemens NX Unigraphics (UG) Fundamental 3D Modelling Course")</f>
        <v>Siemens NX Unigraphics (UG) Fundamental 3D Modelling Course</v>
      </c>
    </row>
    <row r="6855">
      <c r="A6855" s="140" t="str">
        <f>IFERROR(__xludf.DUMMYFUNCTION("""COMPUTED_VALUE"""),"en")</f>
        <v>en</v>
      </c>
      <c r="B6855">
        <f>IFERROR(__xludf.DUMMYFUNCTION("""COMPUTED_VALUE"""),2404458.0)</f>
        <v>2404458</v>
      </c>
      <c r="C6855" t="str">
        <f>IFERROR(__xludf.DUMMYFUNCTION("""COMPUTED_VALUE"""),"Spring Professional Certification Exam Tutorial - Module 02")</f>
        <v>Spring Professional Certification Exam Tutorial - Module 02</v>
      </c>
    </row>
    <row r="6856">
      <c r="A6856" s="140" t="str">
        <f>IFERROR(__xludf.DUMMYFUNCTION("""COMPUTED_VALUE"""),"ko")</f>
        <v>ko</v>
      </c>
      <c r="B6856">
        <f>IFERROR(__xludf.DUMMYFUNCTION("""COMPUTED_VALUE"""),2897556.0)</f>
        <v>2897556</v>
      </c>
      <c r="C6856" t="str">
        <f>IFERROR(__xludf.DUMMYFUNCTION("""COMPUTED_VALUE"""),"아빠가 들려주는 [엑셀 데이터 시각화] 따라하기")</f>
        <v>아빠가 들려주는 [엑셀 데이터 시각화] 따라하기</v>
      </c>
    </row>
    <row r="6857">
      <c r="A6857" s="140" t="str">
        <f>IFERROR(__xludf.DUMMYFUNCTION("""COMPUTED_VALUE"""),"ja")</f>
        <v>ja</v>
      </c>
      <c r="B6857">
        <f>IFERROR(__xludf.DUMMYFUNCTION("""COMPUTED_VALUE"""),2188142.0)</f>
        <v>2188142</v>
      </c>
      <c r="C6857" t="str">
        <f>IFERROR(__xludf.DUMMYFUNCTION("""COMPUTED_VALUE"""),"「エクセルVBA」超入門基礎コース！マクロをこれから学習したいという方に最適！超初心者向けコース！")</f>
        <v>「エクセルVBA」超入門基礎コース！マクロをこれから学習したいという方に最適！超初心者向けコース！</v>
      </c>
    </row>
    <row r="6858">
      <c r="A6858" s="140" t="str">
        <f>IFERROR(__xludf.DUMMYFUNCTION("""COMPUTED_VALUE"""),"en")</f>
        <v>en</v>
      </c>
      <c r="B6858">
        <f>IFERROR(__xludf.DUMMYFUNCTION("""COMPUTED_VALUE"""),3622320.0)</f>
        <v>3622320</v>
      </c>
      <c r="C6858" t="str">
        <f>IFERROR(__xludf.DUMMYFUNCTION("""COMPUTED_VALUE"""),"Professional Scrum Master 2 - 180 Questions with Explanation")</f>
        <v>Professional Scrum Master 2 - 180 Questions with Explanation</v>
      </c>
    </row>
    <row r="6859">
      <c r="A6859" s="140" t="str">
        <f>IFERROR(__xludf.DUMMYFUNCTION("""COMPUTED_VALUE"""),"es")</f>
        <v>es</v>
      </c>
      <c r="B6859">
        <f>IFERROR(__xludf.DUMMYFUNCTION("""COMPUTED_VALUE"""),1559396.0)</f>
        <v>1559396</v>
      </c>
      <c r="C6859" t="str">
        <f>IFERROR(__xludf.DUMMYFUNCTION("""COMPUTED_VALUE"""),"Adobe Illustrator CC Máster: De Básico a Profesional. 2021")</f>
        <v>Adobe Illustrator CC Máster: De Básico a Profesional. 2021</v>
      </c>
    </row>
    <row r="6860">
      <c r="A6860" s="140" t="str">
        <f>IFERROR(__xludf.DUMMYFUNCTION("""COMPUTED_VALUE"""),"en")</f>
        <v>en</v>
      </c>
      <c r="B6860">
        <f>IFERROR(__xludf.DUMMYFUNCTION("""COMPUTED_VALUE"""),1858318.0)</f>
        <v>1858318</v>
      </c>
      <c r="C6860" t="str">
        <f>IFERROR(__xludf.DUMMYFUNCTION("""COMPUTED_VALUE"""),"Linux System Programming Techniques &amp; Concepts")</f>
        <v>Linux System Programming Techniques &amp; Concepts</v>
      </c>
    </row>
    <row r="6861">
      <c r="A6861" s="140" t="str">
        <f>IFERROR(__xludf.DUMMYFUNCTION("""COMPUTED_VALUE"""),"en")</f>
        <v>en</v>
      </c>
      <c r="B6861">
        <f>IFERROR(__xludf.DUMMYFUNCTION("""COMPUTED_VALUE"""),1251104.0)</f>
        <v>1251104</v>
      </c>
      <c r="C6861" t="str">
        <f>IFERROR(__xludf.DUMMYFUNCTION("""COMPUTED_VALUE"""),"Fusion 360 for 3D Printing - Creating Curved Bodies")</f>
        <v>Fusion 360 for 3D Printing - Creating Curved Bodies</v>
      </c>
    </row>
    <row r="6862">
      <c r="A6862" s="140" t="str">
        <f>IFERROR(__xludf.DUMMYFUNCTION("""COMPUTED_VALUE"""),"en")</f>
        <v>en</v>
      </c>
      <c r="B6862">
        <f>IFERROR(__xludf.DUMMYFUNCTION("""COMPUTED_VALUE"""),4243686.0)</f>
        <v>4243686</v>
      </c>
      <c r="C6862" t="str">
        <f>IFERROR(__xludf.DUMMYFUNCTION("""COMPUTED_VALUE"""),"SC-300 Microsoft Identity and Access Administrator Exam Prep")</f>
        <v>SC-300 Microsoft Identity and Access Administrator Exam Prep</v>
      </c>
    </row>
    <row r="6863">
      <c r="A6863" s="140" t="str">
        <f>IFERROR(__xludf.DUMMYFUNCTION("""COMPUTED_VALUE"""),"pt")</f>
        <v>pt</v>
      </c>
      <c r="B6863">
        <f>IFERROR(__xludf.DUMMYFUNCTION("""COMPUTED_VALUE"""),2518440.0)</f>
        <v>2518440</v>
      </c>
      <c r="C6863" t="str">
        <f>IFERROR(__xludf.DUMMYFUNCTION("""COMPUTED_VALUE"""),"Curso Completo de YouTube Marketing")</f>
        <v>Curso Completo de YouTube Marketing</v>
      </c>
    </row>
    <row r="6864">
      <c r="A6864" s="140" t="str">
        <f>IFERROR(__xludf.DUMMYFUNCTION("""COMPUTED_VALUE"""),"en")</f>
        <v>en</v>
      </c>
      <c r="B6864">
        <f>IFERROR(__xludf.DUMMYFUNCTION("""COMPUTED_VALUE"""),1209910.0)</f>
        <v>1209910</v>
      </c>
      <c r="C6864" t="str">
        <f>IFERROR(__xludf.DUMMYFUNCTION("""COMPUTED_VALUE"""),"Supercharge Your Email Productivity")</f>
        <v>Supercharge Your Email Productivity</v>
      </c>
    </row>
    <row r="6865">
      <c r="A6865" s="140" t="str">
        <f>IFERROR(__xludf.DUMMYFUNCTION("""COMPUTED_VALUE"""),"en")</f>
        <v>en</v>
      </c>
      <c r="B6865">
        <f>IFERROR(__xludf.DUMMYFUNCTION("""COMPUTED_VALUE"""),3448856.0)</f>
        <v>3448856</v>
      </c>
      <c r="C6865" t="str">
        <f>IFERROR(__xludf.DUMMYFUNCTION("""COMPUTED_VALUE"""),"Complete Istio Service Mesh (1.8) Masterclass + AWS EKS 2021")</f>
        <v>Complete Istio Service Mesh (1.8) Masterclass + AWS EKS 2021</v>
      </c>
    </row>
    <row r="6866">
      <c r="A6866" s="140" t="str">
        <f>IFERROR(__xludf.DUMMYFUNCTION("""COMPUTED_VALUE"""),"en")</f>
        <v>en</v>
      </c>
      <c r="B6866">
        <f>IFERROR(__xludf.DUMMYFUNCTION("""COMPUTED_VALUE"""),2359992.0)</f>
        <v>2359992</v>
      </c>
      <c r="C6866" t="str">
        <f>IFERROR(__xludf.DUMMYFUNCTION("""COMPUTED_VALUE"""),"TOTAL: CompTIA A+ Certification (220-1001).")</f>
        <v>TOTAL: CompTIA A+ Certification (220-1001).</v>
      </c>
    </row>
    <row r="6867">
      <c r="A6867" s="140" t="str">
        <f>IFERROR(__xludf.DUMMYFUNCTION("""COMPUTED_VALUE"""),"en")</f>
        <v>en</v>
      </c>
      <c r="B6867">
        <f>IFERROR(__xludf.DUMMYFUNCTION("""COMPUTED_VALUE"""),2014026.0)</f>
        <v>2014026</v>
      </c>
      <c r="C6867" t="str">
        <f>IFERROR(__xludf.DUMMYFUNCTION("""COMPUTED_VALUE"""),"Distributed Systems &amp; Cloud Computing with Java")</f>
        <v>Distributed Systems &amp; Cloud Computing with Java</v>
      </c>
    </row>
    <row r="6868">
      <c r="A6868" s="140" t="str">
        <f>IFERROR(__xludf.DUMMYFUNCTION("""COMPUTED_VALUE"""),"ja")</f>
        <v>ja</v>
      </c>
      <c r="B6868">
        <f>IFERROR(__xludf.DUMMYFUNCTION("""COMPUTED_VALUE"""),4012740.0)</f>
        <v>4012740</v>
      </c>
      <c r="C6868" t="str">
        <f>IFERROR(__xludf.DUMMYFUNCTION("""COMPUTED_VALUE"""),"＜UB確認テスト＞初心者向け：ブロックチェーンの基礎知識、暗号通貨の仕組み、スマートコントラクトについて")</f>
        <v>＜UB確認テスト＞初心者向け：ブロックチェーンの基礎知識、暗号通貨の仕組み、スマートコントラクトについて</v>
      </c>
    </row>
    <row r="6869">
      <c r="A6869" s="140" t="str">
        <f>IFERROR(__xludf.DUMMYFUNCTION("""COMPUTED_VALUE"""),"en")</f>
        <v>en</v>
      </c>
      <c r="B6869">
        <f>IFERROR(__xludf.DUMMYFUNCTION("""COMPUTED_VALUE"""),2518066.0)</f>
        <v>2518066</v>
      </c>
      <c r="C6869" t="str">
        <f>IFERROR(__xludf.DUMMYFUNCTION("""COMPUTED_VALUE"""),"Modern Natural Language Processing in Python")</f>
        <v>Modern Natural Language Processing in Python</v>
      </c>
    </row>
    <row r="6870">
      <c r="A6870" s="140" t="str">
        <f>IFERROR(__xludf.DUMMYFUNCTION("""COMPUTED_VALUE"""),"en")</f>
        <v>en</v>
      </c>
      <c r="B6870">
        <f>IFERROR(__xludf.DUMMYFUNCTION("""COMPUTED_VALUE"""),552508.0)</f>
        <v>552508</v>
      </c>
      <c r="C6870" t="str">
        <f>IFERROR(__xludf.DUMMYFUNCTION("""COMPUTED_VALUE"""),"Introduction to Collections, Generics &amp; Reflection in Java")</f>
        <v>Introduction to Collections, Generics &amp; Reflection in Java</v>
      </c>
    </row>
    <row r="6871">
      <c r="A6871" s="140" t="str">
        <f>IFERROR(__xludf.DUMMYFUNCTION("""COMPUTED_VALUE"""),"ja")</f>
        <v>ja</v>
      </c>
      <c r="B6871">
        <f>IFERROR(__xludf.DUMMYFUNCTION("""COMPUTED_VALUE"""),3956018.0)</f>
        <v>3956018</v>
      </c>
      <c r="C6871" t="str">
        <f>IFERROR(__xludf.DUMMYFUNCTION("""COMPUTED_VALUE"""),"【超・初心者向け】いちばんわかりやすい簿記の基本")</f>
        <v>【超・初心者向け】いちばんわかりやすい簿記の基本</v>
      </c>
    </row>
    <row r="6872">
      <c r="A6872" s="140" t="str">
        <f>IFERROR(__xludf.DUMMYFUNCTION("""COMPUTED_VALUE"""),"en")</f>
        <v>en</v>
      </c>
      <c r="B6872">
        <f>IFERROR(__xludf.DUMMYFUNCTION("""COMPUTED_VALUE"""),3152478.0)</f>
        <v>3152478</v>
      </c>
      <c r="C6872" t="str">
        <f>IFERROR(__xludf.DUMMYFUNCTION("""COMPUTED_VALUE"""),"Modern Reinforcement Learning: Actor-Critic Algorithms")</f>
        <v>Modern Reinforcement Learning: Actor-Critic Algorithms</v>
      </c>
    </row>
    <row r="6873">
      <c r="A6873" s="140" t="str">
        <f>IFERROR(__xludf.DUMMYFUNCTION("""COMPUTED_VALUE"""),"tr")</f>
        <v>tr</v>
      </c>
      <c r="B6873">
        <f>IFERROR(__xludf.DUMMYFUNCTION("""COMPUTED_VALUE"""),2476362.0)</f>
        <v>2476362</v>
      </c>
      <c r="C6873" t="str">
        <f>IFERROR(__xludf.DUMMYFUNCTION("""COMPUTED_VALUE"""),"HIZLI İNGİLİZCE-3")</f>
        <v>HIZLI İNGİLİZCE-3</v>
      </c>
    </row>
    <row r="6874">
      <c r="A6874" s="140" t="str">
        <f>IFERROR(__xludf.DUMMYFUNCTION("""COMPUTED_VALUE"""),"ja")</f>
        <v>ja</v>
      </c>
      <c r="B6874">
        <f>IFERROR(__xludf.DUMMYFUNCTION("""COMPUTED_VALUE"""),3732934.0)</f>
        <v>3732934</v>
      </c>
      <c r="C6874" t="str">
        <f>IFERROR(__xludf.DUMMYFUNCTION("""COMPUTED_VALUE"""),"【グローバル人材の英会話】外資系1年目のビジネス英語 マスターコース")</f>
        <v>【グローバル人材の英会話】外資系1年目のビジネス英語 マスターコース</v>
      </c>
    </row>
    <row r="6875">
      <c r="A6875" s="140" t="str">
        <f>IFERROR(__xludf.DUMMYFUNCTION("""COMPUTED_VALUE"""),"pt")</f>
        <v>pt</v>
      </c>
      <c r="B6875">
        <f>IFERROR(__xludf.DUMMYFUNCTION("""COMPUTED_VALUE"""),799230.0)</f>
        <v>799230</v>
      </c>
      <c r="C6875" t="str">
        <f>IFERROR(__xludf.DUMMYFUNCTION("""COMPUTED_VALUE"""),"Crie sites do zero com HTML5 &amp; CSS3")</f>
        <v>Crie sites do zero com HTML5 &amp; CSS3</v>
      </c>
    </row>
    <row r="6876">
      <c r="A6876" s="140" t="str">
        <f>IFERROR(__xludf.DUMMYFUNCTION("""COMPUTED_VALUE"""),"en")</f>
        <v>en</v>
      </c>
      <c r="B6876">
        <f>IFERROR(__xludf.DUMMYFUNCTION("""COMPUTED_VALUE"""),855228.0)</f>
        <v>855228</v>
      </c>
      <c r="C6876" t="str">
        <f>IFERROR(__xludf.DUMMYFUNCTION("""COMPUTED_VALUE"""),"Certified ISTQB Agile Tester Foundation Level Exam - Updated")</f>
        <v>Certified ISTQB Agile Tester Foundation Level Exam - Updated</v>
      </c>
    </row>
    <row r="6877">
      <c r="A6877" s="140" t="str">
        <f>IFERROR(__xludf.DUMMYFUNCTION("""COMPUTED_VALUE"""),"fr")</f>
        <v>fr</v>
      </c>
      <c r="B6877">
        <f>IFERROR(__xludf.DUMMYFUNCTION("""COMPUTED_VALUE"""),3815484.0)</f>
        <v>3815484</v>
      </c>
      <c r="C6877" t="str">
        <f>IFERROR(__xludf.DUMMYFUNCTION("""COMPUTED_VALUE"""),"Passez au Full stack avec Node.js, Express et MongoDB (2021)")</f>
        <v>Passez au Full stack avec Node.js, Express et MongoDB (2021)</v>
      </c>
    </row>
    <row r="6878">
      <c r="A6878" s="140" t="str">
        <f>IFERROR(__xludf.DUMMYFUNCTION("""COMPUTED_VALUE"""),"ja")</f>
        <v>ja</v>
      </c>
      <c r="B6878">
        <f>IFERROR(__xludf.DUMMYFUNCTION("""COMPUTED_VALUE"""),2838882.0)</f>
        <v>2838882</v>
      </c>
      <c r="C6878" t="str">
        <f>IFERROR(__xludf.DUMMYFUNCTION("""COMPUTED_VALUE"""),"ブロック崩しを作って学ぶ！Unityゲーム開発入門")</f>
        <v>ブロック崩しを作って学ぶ！Unityゲーム開発入門</v>
      </c>
    </row>
    <row r="6879">
      <c r="A6879" s="140" t="str">
        <f>IFERROR(__xludf.DUMMYFUNCTION("""COMPUTED_VALUE"""),"en")</f>
        <v>en</v>
      </c>
      <c r="B6879">
        <f>IFERROR(__xludf.DUMMYFUNCTION("""COMPUTED_VALUE"""),2878006.0)</f>
        <v>2878006</v>
      </c>
      <c r="C6879" t="str">
        <f>IFERROR(__xludf.DUMMYFUNCTION("""COMPUTED_VALUE"""),"PgMP (Program Management Professional) Exam Prep Course")</f>
        <v>PgMP (Program Management Professional) Exam Prep Course</v>
      </c>
    </row>
    <row r="6880">
      <c r="A6880" s="140" t="str">
        <f>IFERROR(__xludf.DUMMYFUNCTION("""COMPUTED_VALUE"""),"en")</f>
        <v>en</v>
      </c>
      <c r="B6880">
        <f>IFERROR(__xludf.DUMMYFUNCTION("""COMPUTED_VALUE"""),864566.0)</f>
        <v>864566</v>
      </c>
      <c r="C6880" t="str">
        <f>IFERROR(__xludf.DUMMYFUNCTION("""COMPUTED_VALUE"""),"Complete Exchange 2013 and 2016 Practical Guide")</f>
        <v>Complete Exchange 2013 and 2016 Practical Guide</v>
      </c>
    </row>
    <row r="6881">
      <c r="A6881" s="140" t="str">
        <f>IFERROR(__xludf.DUMMYFUNCTION("""COMPUTED_VALUE"""),"en")</f>
        <v>en</v>
      </c>
      <c r="B6881">
        <f>IFERROR(__xludf.DUMMYFUNCTION("""COMPUTED_VALUE"""),2131092.0)</f>
        <v>2131092</v>
      </c>
      <c r="C6881" t="str">
        <f>IFERROR(__xludf.DUMMYFUNCTION("""COMPUTED_VALUE"""),"Build Library Management System | Python &amp; PyQt5")</f>
        <v>Build Library Management System | Python &amp; PyQt5</v>
      </c>
    </row>
    <row r="6882">
      <c r="A6882" s="140" t="str">
        <f>IFERROR(__xludf.DUMMYFUNCTION("""COMPUTED_VALUE"""),"en")</f>
        <v>en</v>
      </c>
      <c r="B6882">
        <f>IFERROR(__xludf.DUMMYFUNCTION("""COMPUTED_VALUE"""),2102548.0)</f>
        <v>2102548</v>
      </c>
      <c r="C6882" t="str">
        <f>IFERROR(__xludf.DUMMYFUNCTION("""COMPUTED_VALUE"""),"AZ-304 AZ-305 Azure Architect Design Exam Prep 2021")</f>
        <v>AZ-304 AZ-305 Azure Architect Design Exam Prep 2021</v>
      </c>
    </row>
    <row r="6883">
      <c r="A6883" s="140" t="str">
        <f>IFERROR(__xludf.DUMMYFUNCTION("""COMPUTED_VALUE"""),"es")</f>
        <v>es</v>
      </c>
      <c r="B6883">
        <f>IFERROR(__xludf.DUMMYFUNCTION("""COMPUTED_VALUE"""),1451342.0)</f>
        <v>1451342</v>
      </c>
      <c r="C6883" t="str">
        <f>IFERROR(__xludf.DUMMYFUNCTION("""COMPUTED_VALUE"""),"CHATBOT ManyChat 2020: Embudo de VENTAS Facebook Messenger")</f>
        <v>CHATBOT ManyChat 2020: Embudo de VENTAS Facebook Messenger</v>
      </c>
    </row>
    <row r="6884">
      <c r="A6884" s="140" t="str">
        <f>IFERROR(__xludf.DUMMYFUNCTION("""COMPUTED_VALUE"""),"en")</f>
        <v>en</v>
      </c>
      <c r="B6884">
        <f>IFERROR(__xludf.DUMMYFUNCTION("""COMPUTED_VALUE"""),3813770.0)</f>
        <v>3813770</v>
      </c>
      <c r="C6884" t="str">
        <f>IFERROR(__xludf.DUMMYFUNCTION("""COMPUTED_VALUE"""),"Smart Tips: Leadership")</f>
        <v>Smart Tips: Leadership</v>
      </c>
    </row>
    <row r="6885">
      <c r="A6885" s="140" t="str">
        <f>IFERROR(__xludf.DUMMYFUNCTION("""COMPUTED_VALUE"""),"en")</f>
        <v>en</v>
      </c>
      <c r="B6885">
        <f>IFERROR(__xludf.DUMMYFUNCTION("""COMPUTED_VALUE"""),882594.0)</f>
        <v>882594</v>
      </c>
      <c r="C6885" t="str">
        <f>IFERROR(__xludf.DUMMYFUNCTION("""COMPUTED_VALUE"""),"Music Theory Comprehensive Complete! (Parts 1, 2, &amp; 3)")</f>
        <v>Music Theory Comprehensive Complete! (Parts 1, 2, &amp; 3)</v>
      </c>
    </row>
    <row r="6886">
      <c r="A6886" s="140" t="str">
        <f>IFERROR(__xludf.DUMMYFUNCTION("""COMPUTED_VALUE"""),"pt")</f>
        <v>pt</v>
      </c>
      <c r="B6886">
        <f>IFERROR(__xludf.DUMMYFUNCTION("""COMPUTED_VALUE"""),3390504.0)</f>
        <v>3390504</v>
      </c>
      <c r="C6886" t="str">
        <f>IFERROR(__xludf.DUMMYFUNCTION("""COMPUTED_VALUE"""),"Métricas para Times Ágeis")</f>
        <v>Métricas para Times Ágeis</v>
      </c>
    </row>
    <row r="6887">
      <c r="A6887" s="140" t="str">
        <f>IFERROR(__xludf.DUMMYFUNCTION("""COMPUTED_VALUE"""),"en")</f>
        <v>en</v>
      </c>
      <c r="B6887">
        <f>IFERROR(__xludf.DUMMYFUNCTION("""COMPUTED_VALUE"""),1162306.0)</f>
        <v>1162306</v>
      </c>
      <c r="C6887" t="str">
        <f>IFERROR(__xludf.DUMMYFUNCTION("""COMPUTED_VALUE"""),"Complete Salesforce Certified Platform Developer I Course")</f>
        <v>Complete Salesforce Certified Platform Developer I Course</v>
      </c>
    </row>
    <row r="6888">
      <c r="A6888" s="140" t="str">
        <f>IFERROR(__xludf.DUMMYFUNCTION("""COMPUTED_VALUE"""),"tr")</f>
        <v>tr</v>
      </c>
      <c r="B6888">
        <f>IFERROR(__xludf.DUMMYFUNCTION("""COMPUTED_VALUE"""),2907528.0)</f>
        <v>2907528</v>
      </c>
      <c r="C6888" t="str">
        <f>IFERROR(__xludf.DUMMYFUNCTION("""COMPUTED_VALUE"""),"Sıfırdan Uygulamalı SQL Veri Tabanı Dersleri: MySQL &amp; MsSQL")</f>
        <v>Sıfırdan Uygulamalı SQL Veri Tabanı Dersleri: MySQL &amp; MsSQL</v>
      </c>
    </row>
    <row r="6889">
      <c r="A6889" s="140" t="str">
        <f>IFERROR(__xludf.DUMMYFUNCTION("""COMPUTED_VALUE"""),"ja")</f>
        <v>ja</v>
      </c>
      <c r="B6889">
        <f>IFERROR(__xludf.DUMMYFUNCTION("""COMPUTED_VALUE"""),3246832.0)</f>
        <v>3246832</v>
      </c>
      <c r="C6889" t="str">
        <f>IFERROR(__xludf.DUMMYFUNCTION("""COMPUTED_VALUE"""),"【E資格の前に】PyTorchで学ぶディープラーニング実装")</f>
        <v>【E資格の前に】PyTorchで学ぶディープラーニング実装</v>
      </c>
    </row>
    <row r="6890">
      <c r="A6890" s="140" t="str">
        <f>IFERROR(__xludf.DUMMYFUNCTION("""COMPUTED_VALUE"""),"en")</f>
        <v>en</v>
      </c>
      <c r="B6890">
        <f>IFERROR(__xludf.DUMMYFUNCTION("""COMPUTED_VALUE"""),3692328.0)</f>
        <v>3692328</v>
      </c>
      <c r="C6890" t="str">
        <f>IFERROR(__xludf.DUMMYFUNCTION("""COMPUTED_VALUE"""),"Certified in Information System Audit (CISA) by ISACA")</f>
        <v>Certified in Information System Audit (CISA) by ISACA</v>
      </c>
    </row>
    <row r="6891">
      <c r="A6891" s="140" t="str">
        <f>IFERROR(__xludf.DUMMYFUNCTION("""COMPUTED_VALUE"""),"en")</f>
        <v>en</v>
      </c>
      <c r="B6891">
        <f>IFERROR(__xludf.DUMMYFUNCTION("""COMPUTED_VALUE"""),339906.0)</f>
        <v>339906</v>
      </c>
      <c r="C6891" t="str">
        <f>IFERROR(__xludf.DUMMYFUNCTION("""COMPUTED_VALUE"""),"German Made Simple: A Complete Course for Serious Learners")</f>
        <v>German Made Simple: A Complete Course for Serious Learners</v>
      </c>
    </row>
    <row r="6892">
      <c r="A6892" s="140" t="str">
        <f>IFERROR(__xludf.DUMMYFUNCTION("""COMPUTED_VALUE"""),"ja")</f>
        <v>ja</v>
      </c>
      <c r="B6892">
        <f>IFERROR(__xludf.DUMMYFUNCTION("""COMPUTED_VALUE"""),1647852.0)</f>
        <v>1647852</v>
      </c>
      <c r="C6892" t="str">
        <f>IFERROR(__xludf.DUMMYFUNCTION("""COMPUTED_VALUE"""),"もう情報セキュリティ対策で悩まない！業務に直結する情報セキュリティの考え方・知識・常識・対策方法を習得しよう")</f>
        <v>もう情報セキュリティ対策で悩まない！業務に直結する情報セキュリティの考え方・知識・常識・対策方法を習得しよう</v>
      </c>
    </row>
    <row r="6893">
      <c r="A6893" s="140" t="str">
        <f>IFERROR(__xludf.DUMMYFUNCTION("""COMPUTED_VALUE"""),"ja")</f>
        <v>ja</v>
      </c>
      <c r="B6893">
        <f>IFERROR(__xludf.DUMMYFUNCTION("""COMPUTED_VALUE"""),2808343.0)</f>
        <v>2808343</v>
      </c>
      <c r="C6893" t="str">
        <f>IFERROR(__xludf.DUMMYFUNCTION("""COMPUTED_VALUE"""),"コレだけでOK！資料作成のためのPowerPoint時短操作講座")</f>
        <v>コレだけでOK！資料作成のためのPowerPoint時短操作講座</v>
      </c>
    </row>
    <row r="6894">
      <c r="A6894" s="140" t="str">
        <f>IFERROR(__xludf.DUMMYFUNCTION("""COMPUTED_VALUE"""),"en")</f>
        <v>en</v>
      </c>
      <c r="B6894">
        <f>IFERROR(__xludf.DUMMYFUNCTION("""COMPUTED_VALUE"""),992772.0)</f>
        <v>992772</v>
      </c>
      <c r="C6894" t="str">
        <f>IFERROR(__xludf.DUMMYFUNCTION("""COMPUTED_VALUE"""),"CompTIA Healthcare IT")</f>
        <v>CompTIA Healthcare IT</v>
      </c>
    </row>
    <row r="6895">
      <c r="A6895" s="140" t="str">
        <f>IFERROR(__xludf.DUMMYFUNCTION("""COMPUTED_VALUE"""),"en")</f>
        <v>en</v>
      </c>
      <c r="B6895">
        <f>IFERROR(__xludf.DUMMYFUNCTION("""COMPUTED_VALUE"""),199644.0)</f>
        <v>199644</v>
      </c>
      <c r="C6895" t="str">
        <f>IFERROR(__xludf.DUMMYFUNCTION("""COMPUTED_VALUE"""),"Dominate GMAT Verbal - Comprehensive GMAT Verbal Prep Course")</f>
        <v>Dominate GMAT Verbal - Comprehensive GMAT Verbal Prep Course</v>
      </c>
    </row>
    <row r="6896">
      <c r="A6896" s="140" t="str">
        <f>IFERROR(__xludf.DUMMYFUNCTION("""COMPUTED_VALUE"""),"ja")</f>
        <v>ja</v>
      </c>
      <c r="B6896">
        <f>IFERROR(__xludf.DUMMYFUNCTION("""COMPUTED_VALUE"""),2293021.0)</f>
        <v>2293021</v>
      </c>
      <c r="C6896" t="str">
        <f>IFERROR(__xludf.DUMMYFUNCTION("""COMPUTED_VALUE"""),"【ビジネスパーソン必見】機械学習の基礎・単回帰分析を中学数学で論理的に学び、重回帰分析をPythonで実行")</f>
        <v>【ビジネスパーソン必見】機械学習の基礎・単回帰分析を中学数学で論理的に学び、重回帰分析をPythonで実行</v>
      </c>
    </row>
    <row r="6897">
      <c r="A6897" s="140" t="str">
        <f>IFERROR(__xludf.DUMMYFUNCTION("""COMPUTED_VALUE"""),"de")</f>
        <v>de</v>
      </c>
      <c r="B6897">
        <f>IFERROR(__xludf.DUMMYFUNCTION("""COMPUTED_VALUE"""),3501722.0)</f>
        <v>3501722</v>
      </c>
      <c r="C6897" t="str">
        <f>IFERROR(__xludf.DUMMYFUNCTION("""COMPUTED_VALUE"""),"Die ultimative Power BI Masterclass 2022: Der Komplettkurs!")</f>
        <v>Die ultimative Power BI Masterclass 2022: Der Komplettkurs!</v>
      </c>
    </row>
    <row r="6898">
      <c r="A6898" s="140" t="str">
        <f>IFERROR(__xludf.DUMMYFUNCTION("""COMPUTED_VALUE"""),"pt")</f>
        <v>pt</v>
      </c>
      <c r="B6898">
        <f>IFERROR(__xludf.DUMMYFUNCTION("""COMPUTED_VALUE"""),3040276.0)</f>
        <v>3040276</v>
      </c>
      <c r="C6898" t="str">
        <f>IFERROR(__xludf.DUMMYFUNCTION("""COMPUTED_VALUE"""),"Trabalho Remoto: O Guia completo para o sucesso.")</f>
        <v>Trabalho Remoto: O Guia completo para o sucesso.</v>
      </c>
    </row>
    <row r="6899">
      <c r="A6899" s="140" t="str">
        <f>IFERROR(__xludf.DUMMYFUNCTION("""COMPUTED_VALUE"""),"ja")</f>
        <v>ja</v>
      </c>
      <c r="B6899">
        <f>IFERROR(__xludf.DUMMYFUNCTION("""COMPUTED_VALUE"""),2293021.0)</f>
        <v>2293021</v>
      </c>
      <c r="C6899" t="str">
        <f>IFERROR(__xludf.DUMMYFUNCTION("""COMPUTED_VALUE"""),"【ビジネスパーソン必見】機械学習の基礎・単回帰分析を中学数学で論理的に学び、重回帰分析をPythonで実行")</f>
        <v>【ビジネスパーソン必見】機械学習の基礎・単回帰分析を中学数学で論理的に学び、重回帰分析をPythonで実行</v>
      </c>
    </row>
    <row r="6900">
      <c r="A6900" s="140" t="str">
        <f>IFERROR(__xludf.DUMMYFUNCTION("""COMPUTED_VALUE"""),"en")</f>
        <v>en</v>
      </c>
      <c r="B6900">
        <f>IFERROR(__xludf.DUMMYFUNCTION("""COMPUTED_VALUE"""),417430.0)</f>
        <v>417430</v>
      </c>
      <c r="C6900" t="str">
        <f>IFERROR(__xludf.DUMMYFUNCTION("""COMPUTED_VALUE"""),"Surviving Digital Forensics: Windows Shellbags")</f>
        <v>Surviving Digital Forensics: Windows Shellbags</v>
      </c>
    </row>
    <row r="6901">
      <c r="A6901" s="140" t="str">
        <f>IFERROR(__xludf.DUMMYFUNCTION("""COMPUTED_VALUE"""),"es")</f>
        <v>es</v>
      </c>
      <c r="B6901">
        <f>IFERROR(__xludf.DUMMYFUNCTION("""COMPUTED_VALUE"""),1562312.0)</f>
        <v>1562312</v>
      </c>
      <c r="C6901" t="str">
        <f>IFERROR(__xludf.DUMMYFUNCTION("""COMPUTED_VALUE"""),"Final Cut Pro X Esencial: edición de video profesional")</f>
        <v>Final Cut Pro X Esencial: edición de video profesional</v>
      </c>
    </row>
    <row r="6902">
      <c r="A6902" s="140" t="str">
        <f>IFERROR(__xludf.DUMMYFUNCTION("""COMPUTED_VALUE"""),"en")</f>
        <v>en</v>
      </c>
      <c r="B6902">
        <f>IFERROR(__xludf.DUMMYFUNCTION("""COMPUTED_VALUE"""),189086.0)</f>
        <v>189086</v>
      </c>
      <c r="C6902" t="str">
        <f>IFERROR(__xludf.DUMMYFUNCTION("""COMPUTED_VALUE"""),"Productivity Hacks: Free Up Your Time &amp; Live Better")</f>
        <v>Productivity Hacks: Free Up Your Time &amp; Live Better</v>
      </c>
    </row>
    <row r="6903">
      <c r="A6903" s="140" t="str">
        <f>IFERROR(__xludf.DUMMYFUNCTION("""COMPUTED_VALUE"""),"en")</f>
        <v>en</v>
      </c>
      <c r="B6903">
        <f>IFERROR(__xludf.DUMMYFUNCTION("""COMPUTED_VALUE"""),1137808.0)</f>
        <v>1137808</v>
      </c>
      <c r="C6903" t="str">
        <f>IFERROR(__xludf.DUMMYFUNCTION("""COMPUTED_VALUE"""),"Create Your First React Native App")</f>
        <v>Create Your First React Native App</v>
      </c>
    </row>
    <row r="6904">
      <c r="A6904" s="140" t="str">
        <f>IFERROR(__xludf.DUMMYFUNCTION("""COMPUTED_VALUE"""),"en")</f>
        <v>en</v>
      </c>
      <c r="B6904">
        <f>IFERROR(__xludf.DUMMYFUNCTION("""COMPUTED_VALUE"""),274816.0)</f>
        <v>274816</v>
      </c>
      <c r="C6904" t="str">
        <f>IFERROR(__xludf.DUMMYFUNCTION("""COMPUTED_VALUE"""),"Conscious Business Module 1: True Success by Being Yourself")</f>
        <v>Conscious Business Module 1: True Success by Being Yourself</v>
      </c>
    </row>
    <row r="6905">
      <c r="A6905" s="140" t="str">
        <f>IFERROR(__xludf.DUMMYFUNCTION("""COMPUTED_VALUE"""),"en")</f>
        <v>en</v>
      </c>
      <c r="B6905">
        <f>IFERROR(__xludf.DUMMYFUNCTION("""COMPUTED_VALUE"""),1189288.0)</f>
        <v>1189288</v>
      </c>
      <c r="C6905" t="str">
        <f>IFERROR(__xludf.DUMMYFUNCTION("""COMPUTED_VALUE"""),"DRUPAL TUTORIAL: Drupal 8 Beginner to Advanced in 8 PROJECTS")</f>
        <v>DRUPAL TUTORIAL: Drupal 8 Beginner to Advanced in 8 PROJECTS</v>
      </c>
    </row>
    <row r="6906">
      <c r="A6906" s="140" t="str">
        <f>IFERROR(__xludf.DUMMYFUNCTION("""COMPUTED_VALUE"""),"es")</f>
        <v>es</v>
      </c>
      <c r="B6906">
        <f>IFERROR(__xludf.DUMMYFUNCTION("""COMPUTED_VALUE"""),1554558.0)</f>
        <v>1554558</v>
      </c>
      <c r="C6906" t="str">
        <f>IFERROR(__xludf.DUMMYFUNCTION("""COMPUTED_VALUE"""),"Impuestos para Personas Físicas con Declaración anual")</f>
        <v>Impuestos para Personas Físicas con Declaración anual</v>
      </c>
    </row>
    <row r="6907">
      <c r="A6907" s="140" t="str">
        <f>IFERROR(__xludf.DUMMYFUNCTION("""COMPUTED_VALUE"""),"es")</f>
        <v>es</v>
      </c>
      <c r="B6907">
        <f>IFERROR(__xludf.DUMMYFUNCTION("""COMPUTED_VALUE"""),1798680.0)</f>
        <v>1798680</v>
      </c>
      <c r="C6907" t="str">
        <f>IFERROR(__xludf.DUMMYFUNCTION("""COMPUTED_VALUE"""),"Especialización en Gestión de Proyectos [2021]")</f>
        <v>Especialización en Gestión de Proyectos [2021]</v>
      </c>
    </row>
    <row r="6908">
      <c r="A6908" s="140" t="str">
        <f>IFERROR(__xludf.DUMMYFUNCTION("""COMPUTED_VALUE"""),"en")</f>
        <v>en</v>
      </c>
      <c r="B6908">
        <f>IFERROR(__xludf.DUMMYFUNCTION("""COMPUTED_VALUE"""),4076934.0)</f>
        <v>4076934</v>
      </c>
      <c r="C6908" t="str">
        <f>IFERROR(__xludf.DUMMYFUNCTION("""COMPUTED_VALUE"""),"Introduction to Git for GitLab projects")</f>
        <v>Introduction to Git for GitLab projects</v>
      </c>
    </row>
    <row r="6909">
      <c r="A6909" s="140" t="str">
        <f>IFERROR(__xludf.DUMMYFUNCTION("""COMPUTED_VALUE"""),"ar")</f>
        <v>ar</v>
      </c>
      <c r="B6909">
        <f>IFERROR(__xludf.DUMMYFUNCTION("""COMPUTED_VALUE"""),2815399.0)</f>
        <v>2815399</v>
      </c>
      <c r="C6909" t="str">
        <f>IFERROR(__xludf.DUMMYFUNCTION("""COMPUTED_VALUE"""),"سيفيل ثرى دى : كورس التحضير لامتحان الاحتراف")</f>
        <v>سيفيل ثرى دى : كورس التحضير لامتحان الاحتراف</v>
      </c>
    </row>
    <row r="6910">
      <c r="A6910" s="140" t="str">
        <f>IFERROR(__xludf.DUMMYFUNCTION("""COMPUTED_VALUE"""),"pt")</f>
        <v>pt</v>
      </c>
      <c r="B6910">
        <f>IFERROR(__xludf.DUMMYFUNCTION("""COMPUTED_VALUE"""),939842.0)</f>
        <v>939842</v>
      </c>
      <c r="C6910" t="str">
        <f>IFERROR(__xludf.DUMMYFUNCTION("""COMPUTED_VALUE"""),"Liderança de Alta Performance")</f>
        <v>Liderança de Alta Performance</v>
      </c>
    </row>
    <row r="6911">
      <c r="A6911" s="140" t="str">
        <f>IFERROR(__xludf.DUMMYFUNCTION("""COMPUTED_VALUE"""),"en")</f>
        <v>en</v>
      </c>
      <c r="B6911">
        <f>IFERROR(__xludf.DUMMYFUNCTION("""COMPUTED_VALUE"""),733542.0)</f>
        <v>733542</v>
      </c>
      <c r="C6911" t="str">
        <f>IFERROR(__xludf.DUMMYFUNCTION("""COMPUTED_VALUE"""),"Making Sense of User Stories")</f>
        <v>Making Sense of User Stories</v>
      </c>
    </row>
    <row r="6912">
      <c r="A6912" s="140" t="str">
        <f>IFERROR(__xludf.DUMMYFUNCTION("""COMPUTED_VALUE"""),"es")</f>
        <v>es</v>
      </c>
      <c r="B6912">
        <f>IFERROR(__xludf.DUMMYFUNCTION("""COMPUTED_VALUE"""),1265942.0)</f>
        <v>1265942</v>
      </c>
      <c r="C6912" t="str">
        <f>IFERROR(__xludf.DUMMYFUNCTION("""COMPUTED_VALUE"""),"Universidad Java 2021 - De Cero a Experto! +106 hrs")</f>
        <v>Universidad Java 2021 - De Cero a Experto! +106 hrs</v>
      </c>
    </row>
    <row r="6913">
      <c r="A6913" s="140" t="str">
        <f>IFERROR(__xludf.DUMMYFUNCTION("""COMPUTED_VALUE"""),"pt")</f>
        <v>pt</v>
      </c>
      <c r="B6913">
        <f>IFERROR(__xludf.DUMMYFUNCTION("""COMPUTED_VALUE"""),2347650.0)</f>
        <v>2347650</v>
      </c>
      <c r="C6913" t="str">
        <f>IFERROR(__xludf.DUMMYFUNCTION("""COMPUTED_VALUE"""),"POWER BI completo + 65 soluções em DAX")</f>
        <v>POWER BI completo + 65 soluções em DAX</v>
      </c>
    </row>
    <row r="6914">
      <c r="A6914" s="140" t="str">
        <f>IFERROR(__xludf.DUMMYFUNCTION("""COMPUTED_VALUE"""),"en")</f>
        <v>en</v>
      </c>
      <c r="B6914">
        <f>IFERROR(__xludf.DUMMYFUNCTION("""COMPUTED_VALUE"""),2297652.0)</f>
        <v>2297652</v>
      </c>
      <c r="C6914" t="str">
        <f>IFERROR(__xludf.DUMMYFUNCTION("""COMPUTED_VALUE"""),"Complete Bash Shell Scripting")</f>
        <v>Complete Bash Shell Scripting</v>
      </c>
    </row>
    <row r="6915">
      <c r="A6915" s="140" t="str">
        <f>IFERROR(__xludf.DUMMYFUNCTION("""COMPUTED_VALUE"""),"fr")</f>
        <v>fr</v>
      </c>
      <c r="B6915">
        <f>IFERROR(__xludf.DUMMYFUNCTION("""COMPUTED_VALUE"""),3177992.0)</f>
        <v>3177992</v>
      </c>
      <c r="C6915" t="str">
        <f>IFERROR(__xludf.DUMMYFUNCTION("""COMPUTED_VALUE"""),"LeBonBoss: Comment manager une équipe? Leadership Management")</f>
        <v>LeBonBoss: Comment manager une équipe? Leadership Management</v>
      </c>
    </row>
    <row r="6916">
      <c r="A6916" s="140" t="str">
        <f>IFERROR(__xludf.DUMMYFUNCTION("""COMPUTED_VALUE"""),"en")</f>
        <v>en</v>
      </c>
      <c r="B6916">
        <f>IFERROR(__xludf.DUMMYFUNCTION("""COMPUTED_VALUE"""),3215853.0)</f>
        <v>3215853</v>
      </c>
      <c r="C6916" t="str">
        <f>IFERROR(__xludf.DUMMYFUNCTION("""COMPUTED_VALUE"""),"The AWS Course")</f>
        <v>The AWS Course</v>
      </c>
    </row>
    <row r="6917">
      <c r="A6917" s="140" t="str">
        <f>IFERROR(__xludf.DUMMYFUNCTION("""COMPUTED_VALUE"""),"es")</f>
        <v>es</v>
      </c>
      <c r="B6917">
        <f>IFERROR(__xludf.DUMMYFUNCTION("""COMPUTED_VALUE"""),3483734.0)</f>
        <v>3483734</v>
      </c>
      <c r="C6917" t="str">
        <f>IFERROR(__xludf.DUMMYFUNCTION("""COMPUTED_VALUE"""),"Data Science aplicado a Negocios | 6 Casos de Estudio Reales")</f>
        <v>Data Science aplicado a Negocios | 6 Casos de Estudio Reales</v>
      </c>
    </row>
    <row r="6918">
      <c r="A6918" s="140" t="str">
        <f>IFERROR(__xludf.DUMMYFUNCTION("""COMPUTED_VALUE"""),"ja")</f>
        <v>ja</v>
      </c>
      <c r="B6918">
        <f>IFERROR(__xludf.DUMMYFUNCTION("""COMPUTED_VALUE"""),2279840.0)</f>
        <v>2279840</v>
      </c>
      <c r="C6918" t="str">
        <f>IFERROR(__xludf.DUMMYFUNCTION("""COMPUTED_VALUE"""),"「新米マネージャーの教科書」KPI管理やOKR、タスク管理、部下マネジメントのコツまで管理職ノウハウを一通り学べる！")</f>
        <v>「新米マネージャーの教科書」KPI管理やOKR、タスク管理、部下マネジメントのコツまで管理職ノウハウを一通り学べる！</v>
      </c>
    </row>
    <row r="6919">
      <c r="A6919" s="140" t="str">
        <f>IFERROR(__xludf.DUMMYFUNCTION("""COMPUTED_VALUE"""),"de")</f>
        <v>de</v>
      </c>
      <c r="B6919">
        <f>IFERROR(__xludf.DUMMYFUNCTION("""COMPUTED_VALUE"""),1065450.0)</f>
        <v>1065450</v>
      </c>
      <c r="C6919" t="str">
        <f>IFERROR(__xludf.DUMMYFUNCTION("""COMPUTED_VALUE"""),"Teaser, die zum Weiterlesen animieren")</f>
        <v>Teaser, die zum Weiterlesen animieren</v>
      </c>
    </row>
    <row r="6920">
      <c r="A6920" s="140" t="str">
        <f>IFERROR(__xludf.DUMMYFUNCTION("""COMPUTED_VALUE"""),"en")</f>
        <v>en</v>
      </c>
      <c r="B6920">
        <f>IFERROR(__xludf.DUMMYFUNCTION("""COMPUTED_VALUE"""),2018828.0)</f>
        <v>2018828</v>
      </c>
      <c r="C6920" t="str">
        <f>IFERROR(__xludf.DUMMYFUNCTION("""COMPUTED_VALUE"""),"React Tutorial and Projects Course")</f>
        <v>React Tutorial and Projects Course</v>
      </c>
    </row>
    <row r="6921">
      <c r="A6921" s="140" t="str">
        <f>IFERROR(__xludf.DUMMYFUNCTION("""COMPUTED_VALUE"""),"en")</f>
        <v>en</v>
      </c>
      <c r="B6921">
        <f>IFERROR(__xludf.DUMMYFUNCTION("""COMPUTED_VALUE"""),1692684.0)</f>
        <v>1692684</v>
      </c>
      <c r="C6921" t="str">
        <f>IFERROR(__xludf.DUMMYFUNCTION("""COMPUTED_VALUE"""),"Instagram Marketing 2021: Hashtags, Live, Stories, Ads &amp;more")</f>
        <v>Instagram Marketing 2021: Hashtags, Live, Stories, Ads &amp;more</v>
      </c>
    </row>
    <row r="6922">
      <c r="A6922" s="140" t="str">
        <f>IFERROR(__xludf.DUMMYFUNCTION("""COMPUTED_VALUE"""),"en")</f>
        <v>en</v>
      </c>
      <c r="B6922">
        <f>IFERROR(__xludf.DUMMYFUNCTION("""COMPUTED_VALUE"""),2066221.0)</f>
        <v>2066221</v>
      </c>
      <c r="C6922" t="str">
        <f>IFERROR(__xludf.DUMMYFUNCTION("""COMPUTED_VALUE"""),"Apache Cassandra in 2 hours")</f>
        <v>Apache Cassandra in 2 hours</v>
      </c>
    </row>
    <row r="6923">
      <c r="A6923" s="140" t="str">
        <f>IFERROR(__xludf.DUMMYFUNCTION("""COMPUTED_VALUE"""),"en")</f>
        <v>en</v>
      </c>
      <c r="B6923">
        <f>IFERROR(__xludf.DUMMYFUNCTION("""COMPUTED_VALUE"""),137230.0)</f>
        <v>137230</v>
      </c>
      <c r="C6923" t="str">
        <f>IFERROR(__xludf.DUMMYFUNCTION("""COMPUTED_VALUE"""),"The Secrets to Drawing")</f>
        <v>The Secrets to Drawing</v>
      </c>
    </row>
    <row r="6924">
      <c r="A6924" s="140" t="str">
        <f>IFERROR(__xludf.DUMMYFUNCTION("""COMPUTED_VALUE"""),"tr")</f>
        <v>tr</v>
      </c>
      <c r="B6924">
        <f>IFERROR(__xludf.DUMMYFUNCTION("""COMPUTED_VALUE"""),3519576.0)</f>
        <v>3519576</v>
      </c>
      <c r="C6924" t="str">
        <f>IFERROR(__xludf.DUMMYFUNCTION("""COMPUTED_VALUE"""),"Asp.Net Core + IdentityServer4")</f>
        <v>Asp.Net Core + IdentityServer4</v>
      </c>
    </row>
    <row r="6925">
      <c r="A6925" s="140" t="str">
        <f>IFERROR(__xludf.DUMMYFUNCTION("""COMPUTED_VALUE"""),"fr")</f>
        <v>fr</v>
      </c>
      <c r="B6925">
        <f>IFERROR(__xludf.DUMMYFUNCTION("""COMPUTED_VALUE"""),1671328.0)</f>
        <v>1671328</v>
      </c>
      <c r="C6925" t="str">
        <f>IFERROR(__xludf.DUMMYFUNCTION("""COMPUTED_VALUE"""),"Apprendre Node.js &amp; Créer une API REST de A à Z !")</f>
        <v>Apprendre Node.js &amp; Créer une API REST de A à Z !</v>
      </c>
    </row>
    <row r="6926">
      <c r="A6926" s="140" t="str">
        <f>IFERROR(__xludf.DUMMYFUNCTION("""COMPUTED_VALUE"""),"en")</f>
        <v>en</v>
      </c>
      <c r="B6926">
        <f>IFERROR(__xludf.DUMMYFUNCTION("""COMPUTED_VALUE"""),561858.0)</f>
        <v>561858</v>
      </c>
      <c r="C6926" t="str">
        <f>IFERROR(__xludf.DUMMYFUNCTION("""COMPUTED_VALUE"""),"Understanding Performance Management as an HR Professional")</f>
        <v>Understanding Performance Management as an HR Professional</v>
      </c>
    </row>
    <row r="6927">
      <c r="A6927" s="140" t="str">
        <f>IFERROR(__xludf.DUMMYFUNCTION("""COMPUTED_VALUE"""),"pt")</f>
        <v>pt</v>
      </c>
      <c r="B6927">
        <f>IFERROR(__xludf.DUMMYFUNCTION("""COMPUTED_VALUE"""),2373158.0)</f>
        <v>2373158</v>
      </c>
      <c r="C6927" t="str">
        <f>IFERROR(__xludf.DUMMYFUNCTION("""COMPUTED_VALUE"""),"Google meu Negócio + Segredos do Posicionamento Local - 2021")</f>
        <v>Google meu Negócio + Segredos do Posicionamento Local - 2021</v>
      </c>
    </row>
    <row r="6928">
      <c r="A6928" s="140" t="str">
        <f>IFERROR(__xludf.DUMMYFUNCTION("""COMPUTED_VALUE"""),"es")</f>
        <v>es</v>
      </c>
      <c r="B6928">
        <f>IFERROR(__xludf.DUMMYFUNCTION("""COMPUTED_VALUE"""),3420350.0)</f>
        <v>3420350</v>
      </c>
      <c r="C6928" t="str">
        <f>IFERROR(__xludf.DUMMYFUNCTION("""COMPUTED_VALUE"""),"Testing &amp; Quality Assurance: Guía para Pruebas de Software")</f>
        <v>Testing &amp; Quality Assurance: Guía para Pruebas de Software</v>
      </c>
    </row>
    <row r="6929">
      <c r="A6929" s="140" t="str">
        <f>IFERROR(__xludf.DUMMYFUNCTION("""COMPUTED_VALUE"""),"pt")</f>
        <v>pt</v>
      </c>
      <c r="B6929">
        <f>IFERROR(__xludf.DUMMYFUNCTION("""COMPUTED_VALUE"""),2246456.0)</f>
        <v>2246456</v>
      </c>
      <c r="C6929" t="str">
        <f>IFERROR(__xludf.DUMMYFUNCTION("""COMPUTED_VALUE"""),"Comércio Exterior - Introdução à Importação")</f>
        <v>Comércio Exterior - Introdução à Importação</v>
      </c>
    </row>
    <row r="6930">
      <c r="A6930" s="140" t="str">
        <f>IFERROR(__xludf.DUMMYFUNCTION("""COMPUTED_VALUE"""),"es")</f>
        <v>es</v>
      </c>
      <c r="B6930">
        <f>IFERROR(__xludf.DUMMYFUNCTION("""COMPUTED_VALUE"""),2387242.0)</f>
        <v>2387242</v>
      </c>
      <c r="C6930" t="str">
        <f>IFERROR(__xludf.DUMMYFUNCTION("""COMPUTED_VALUE"""),"Master en C# de Cero (Windows Form - Xamarin - APP Consola )")</f>
        <v>Master en C# de Cero (Windows Form - Xamarin - APP Consola )</v>
      </c>
    </row>
    <row r="6931">
      <c r="A6931" s="140" t="str">
        <f>IFERROR(__xludf.DUMMYFUNCTION("""COMPUTED_VALUE"""),"pt")</f>
        <v>pt</v>
      </c>
      <c r="B6931">
        <f>IFERROR(__xludf.DUMMYFUNCTION("""COMPUTED_VALUE"""),3332460.0)</f>
        <v>3332460</v>
      </c>
      <c r="C6931" t="str">
        <f>IFERROR(__xludf.DUMMYFUNCTION("""COMPUTED_VALUE"""),"Gestão de Processos: Como implantar, conduzir e melhorá-los")</f>
        <v>Gestão de Processos: Como implantar, conduzir e melhorá-los</v>
      </c>
    </row>
    <row r="6932">
      <c r="A6932" s="140" t="str">
        <f>IFERROR(__xludf.DUMMYFUNCTION("""COMPUTED_VALUE"""),"pt")</f>
        <v>pt</v>
      </c>
      <c r="B6932">
        <f>IFERROR(__xludf.DUMMYFUNCTION("""COMPUTED_VALUE"""),1982932.0)</f>
        <v>1982932</v>
      </c>
      <c r="C6932" t="str">
        <f>IFERROR(__xludf.DUMMYFUNCTION("""COMPUTED_VALUE"""),"Curso Básico de Finanças")</f>
        <v>Curso Básico de Finanças</v>
      </c>
    </row>
    <row r="6933">
      <c r="A6933" s="140" t="str">
        <f>IFERROR(__xludf.DUMMYFUNCTION("""COMPUTED_VALUE"""),"en")</f>
        <v>en</v>
      </c>
      <c r="B6933">
        <f>IFERROR(__xludf.DUMMYFUNCTION("""COMPUTED_VALUE"""),2027444.0)</f>
        <v>2027444</v>
      </c>
      <c r="C6933" t="str">
        <f>IFERROR(__xludf.DUMMYFUNCTION("""COMPUTED_VALUE"""),"GNS3 Certified Associate Exam Official Course (GNS3A).")</f>
        <v>GNS3 Certified Associate Exam Official Course (GNS3A).</v>
      </c>
    </row>
    <row r="6934">
      <c r="A6934" s="140" t="str">
        <f>IFERROR(__xludf.DUMMYFUNCTION("""COMPUTED_VALUE"""),"en")</f>
        <v>en</v>
      </c>
      <c r="B6934">
        <f>IFERROR(__xludf.DUMMYFUNCTION("""COMPUTED_VALUE"""),2759300.0)</f>
        <v>2759300</v>
      </c>
      <c r="C6934" t="str">
        <f>IFERROR(__xludf.DUMMYFUNCTION("""COMPUTED_VALUE"""),"Design &amp; Prototype a Mobile UI/UX Experience - Learn Figma")</f>
        <v>Design &amp; Prototype a Mobile UI/UX Experience - Learn Figma</v>
      </c>
    </row>
    <row r="6935">
      <c r="A6935" s="140" t="str">
        <f>IFERROR(__xludf.DUMMYFUNCTION("""COMPUTED_VALUE"""),"en")</f>
        <v>en</v>
      </c>
      <c r="B6935">
        <f>IFERROR(__xludf.DUMMYFUNCTION("""COMPUTED_VALUE"""),3236235.0)</f>
        <v>3236235</v>
      </c>
      <c r="C6935" t="str">
        <f>IFERROR(__xludf.DUMMYFUNCTION("""COMPUTED_VALUE"""),"Devops Fundamentals - CI/CD with AWS +Docker+Ansible+Jenkins")</f>
        <v>Devops Fundamentals - CI/CD with AWS +Docker+Ansible+Jenkins</v>
      </c>
    </row>
    <row r="6936">
      <c r="A6936" s="140" t="str">
        <f>IFERROR(__xludf.DUMMYFUNCTION("""COMPUTED_VALUE"""),"ja")</f>
        <v>ja</v>
      </c>
      <c r="B6936">
        <f>IFERROR(__xludf.DUMMYFUNCTION("""COMPUTED_VALUE"""),3927936.0)</f>
        <v>3927936</v>
      </c>
      <c r="C6936" t="str">
        <f>IFERROR(__xludf.DUMMYFUNCTION("""COMPUTED_VALUE"""),"AIによる画像生成を学ぼう！【VAE / GAN】 -Google ColabとPyTorchで基礎から学ぶ生成モデル-")</f>
        <v>AIによる画像生成を学ぼう！【VAE / GAN】 -Google ColabとPyTorchで基礎から学ぶ生成モデル-</v>
      </c>
    </row>
    <row r="6937">
      <c r="A6937" s="140" t="str">
        <f>IFERROR(__xludf.DUMMYFUNCTION("""COMPUTED_VALUE"""),"en")</f>
        <v>en</v>
      </c>
      <c r="B6937">
        <f>IFERROR(__xludf.DUMMYFUNCTION("""COMPUTED_VALUE"""),2420386.0)</f>
        <v>2420386</v>
      </c>
      <c r="C6937" t="str">
        <f>IFERROR(__xludf.DUMMYFUNCTION("""COMPUTED_VALUE"""),"FRM Part 1 (2020) - Book 1 - Foundations of Risk Management")</f>
        <v>FRM Part 1 (2020) - Book 1 - Foundations of Risk Management</v>
      </c>
    </row>
    <row r="6938">
      <c r="A6938" s="140" t="str">
        <f>IFERROR(__xludf.DUMMYFUNCTION("""COMPUTED_VALUE"""),"pt")</f>
        <v>pt</v>
      </c>
      <c r="B6938">
        <f>IFERROR(__xludf.DUMMYFUNCTION("""COMPUTED_VALUE"""),2768092.0)</f>
        <v>2768092</v>
      </c>
      <c r="C6938" t="str">
        <f>IFERROR(__xludf.DUMMYFUNCTION("""COMPUTED_VALUE"""),"Java para Iniciantes ao Intermediário")</f>
        <v>Java para Iniciantes ao Intermediário</v>
      </c>
    </row>
    <row r="6939">
      <c r="A6939" s="140" t="str">
        <f>IFERROR(__xludf.DUMMYFUNCTION("""COMPUTED_VALUE"""),"en")</f>
        <v>en</v>
      </c>
      <c r="B6939">
        <f>IFERROR(__xludf.DUMMYFUNCTION("""COMPUTED_VALUE"""),2618840.0)</f>
        <v>2618840</v>
      </c>
      <c r="C6939" t="str">
        <f>IFERROR(__xludf.DUMMYFUNCTION("""COMPUTED_VALUE"""),"Complete Salesforce LIGHTNING Certified Administrator-2021")</f>
        <v>Complete Salesforce LIGHTNING Certified Administrator-2021</v>
      </c>
    </row>
    <row r="6940">
      <c r="A6940" s="140" t="str">
        <f>IFERROR(__xludf.DUMMYFUNCTION("""COMPUTED_VALUE"""),"en")</f>
        <v>en</v>
      </c>
      <c r="B6940">
        <f>IFERROR(__xludf.DUMMYFUNCTION("""COMPUTED_VALUE"""),3454890.0)</f>
        <v>3454890</v>
      </c>
      <c r="C6940" t="str">
        <f>IFERROR(__xludf.DUMMYFUNCTION("""COMPUTED_VALUE"""),"[Official] Rasa Certification Workshop")</f>
        <v>[Official] Rasa Certification Workshop</v>
      </c>
    </row>
    <row r="6941">
      <c r="A6941" s="140" t="str">
        <f>IFERROR(__xludf.DUMMYFUNCTION("""COMPUTED_VALUE"""),"en")</f>
        <v>en</v>
      </c>
      <c r="B6941">
        <f>IFERROR(__xludf.DUMMYFUNCTION("""COMPUTED_VALUE"""),3037586.0)</f>
        <v>3037586</v>
      </c>
      <c r="C6941" t="str">
        <f>IFERROR(__xludf.DUMMYFUNCTION("""COMPUTED_VALUE"""),"Houseplants 101: A Beginners Guide to Indoor Gardening")</f>
        <v>Houseplants 101: A Beginners Guide to Indoor Gardening</v>
      </c>
    </row>
    <row r="6942">
      <c r="A6942" s="140" t="str">
        <f>IFERROR(__xludf.DUMMYFUNCTION("""COMPUTED_VALUE"""),"en")</f>
        <v>en</v>
      </c>
      <c r="B6942">
        <f>IFERROR(__xludf.DUMMYFUNCTION("""COMPUTED_VALUE"""),904526.0)</f>
        <v>904526</v>
      </c>
      <c r="C6942" t="str">
        <f>IFERROR(__xludf.DUMMYFUNCTION("""COMPUTED_VALUE"""),"The Complete Resume, LinkedIn &amp; Get Your Dream Job Course!")</f>
        <v>The Complete Resume, LinkedIn &amp; Get Your Dream Job Course!</v>
      </c>
    </row>
    <row r="6943">
      <c r="A6943" s="140" t="str">
        <f>IFERROR(__xludf.DUMMYFUNCTION("""COMPUTED_VALUE"""),"es")</f>
        <v>es</v>
      </c>
      <c r="B6943">
        <f>IFERROR(__xludf.DUMMYFUNCTION("""COMPUTED_VALUE"""),1224984.0)</f>
        <v>1224984</v>
      </c>
      <c r="C6943" t="str">
        <f>IFERROR(__xludf.DUMMYFUNCTION("""COMPUTED_VALUE"""),"Inglés básico 2: Una sólida base, hablando.")</f>
        <v>Inglés básico 2: Una sólida base, hablando.</v>
      </c>
    </row>
    <row r="6944">
      <c r="A6944" s="140" t="str">
        <f>IFERROR(__xludf.DUMMYFUNCTION("""COMPUTED_VALUE"""),"ja")</f>
        <v>ja</v>
      </c>
      <c r="B6944">
        <f>IFERROR(__xludf.DUMMYFUNCTION("""COMPUTED_VALUE"""),3013726.0)</f>
        <v>3013726</v>
      </c>
      <c r="C6944" t="str">
        <f>IFERROR(__xludf.DUMMYFUNCTION("""COMPUTED_VALUE"""),"【完全初心者向け】絶対に挫折させないPython入門講座")</f>
        <v>【完全初心者向け】絶対に挫折させないPython入門講座</v>
      </c>
    </row>
    <row r="6945">
      <c r="A6945" s="140" t="str">
        <f>IFERROR(__xludf.DUMMYFUNCTION("""COMPUTED_VALUE"""),"es")</f>
        <v>es</v>
      </c>
      <c r="B6945">
        <f>IFERROR(__xludf.DUMMYFUNCTION("""COMPUTED_VALUE"""),1948402.0)</f>
        <v>1948402</v>
      </c>
      <c r="C6945" t="str">
        <f>IFERROR(__xludf.DUMMYFUNCTION("""COMPUTED_VALUE"""),"Domina los Grupos en Facebook : Crea tu tribu de seguidores")</f>
        <v>Domina los Grupos en Facebook : Crea tu tribu de seguidores</v>
      </c>
    </row>
    <row r="6946">
      <c r="A6946" s="140" t="str">
        <f>IFERROR(__xludf.DUMMYFUNCTION("""COMPUTED_VALUE"""),"en")</f>
        <v>en</v>
      </c>
      <c r="B6946">
        <f>IFERROR(__xludf.DUMMYFUNCTION("""COMPUTED_VALUE"""),909542.0)</f>
        <v>909542</v>
      </c>
      <c r="C6946" t="str">
        <f>IFERROR(__xludf.DUMMYFUNCTION("""COMPUTED_VALUE"""),"Perfect English Pronunciation: British English")</f>
        <v>Perfect English Pronunciation: British English</v>
      </c>
    </row>
    <row r="6947">
      <c r="A6947" s="140" t="str">
        <f>IFERROR(__xludf.DUMMYFUNCTION("""COMPUTED_VALUE"""),"es")</f>
        <v>es</v>
      </c>
      <c r="B6947">
        <f>IFERROR(__xludf.DUMMYFUNCTION("""COMPUTED_VALUE"""),1518044.0)</f>
        <v>1518044</v>
      </c>
      <c r="C6947" t="str">
        <f>IFERROR(__xludf.DUMMYFUNCTION("""COMPUTED_VALUE"""),"PACK de Desarrollo Web Front-End [HTML,CSS,LESS,JS,JQ,VUE]")</f>
        <v>PACK de Desarrollo Web Front-End [HTML,CSS,LESS,JS,JQ,VUE]</v>
      </c>
    </row>
    <row r="6948">
      <c r="A6948" s="140" t="str">
        <f>IFERROR(__xludf.DUMMYFUNCTION("""COMPUTED_VALUE"""),"en")</f>
        <v>en</v>
      </c>
      <c r="B6948">
        <f>IFERROR(__xludf.DUMMYFUNCTION("""COMPUTED_VALUE"""),1638522.0)</f>
        <v>1638522</v>
      </c>
      <c r="C6948" t="str">
        <f>IFERROR(__xludf.DUMMYFUNCTION("""COMPUTED_VALUE"""),"Node.js: The Complete Guide to Build RESTful APIs (2018)")</f>
        <v>Node.js: The Complete Guide to Build RESTful APIs (2018)</v>
      </c>
    </row>
    <row r="6949">
      <c r="A6949" s="140" t="str">
        <f>IFERROR(__xludf.DUMMYFUNCTION("""COMPUTED_VALUE"""),"en")</f>
        <v>en</v>
      </c>
      <c r="B6949">
        <f>IFERROR(__xludf.DUMMYFUNCTION("""COMPUTED_VALUE"""),292612.0)</f>
        <v>292612</v>
      </c>
      <c r="C6949" t="str">
        <f>IFERROR(__xludf.DUMMYFUNCTION("""COMPUTED_VALUE"""),"Project Management With MS Project - Scheduling Master Class")</f>
        <v>Project Management With MS Project - Scheduling Master Class</v>
      </c>
    </row>
    <row r="6950">
      <c r="A6950" s="140" t="str">
        <f>IFERROR(__xludf.DUMMYFUNCTION("""COMPUTED_VALUE"""),"ja")</f>
        <v>ja</v>
      </c>
      <c r="B6950">
        <f>IFERROR(__xludf.DUMMYFUNCTION("""COMPUTED_VALUE"""),2596890.0)</f>
        <v>2596890</v>
      </c>
      <c r="C6950" t="str">
        <f>IFERROR(__xludf.DUMMYFUNCTION("""COMPUTED_VALUE"""),"Affinity Designer（アフィニティデザイナー）の使い方〜基本編")</f>
        <v>Affinity Designer（アフィニティデザイナー）の使い方〜基本編</v>
      </c>
    </row>
    <row r="6951">
      <c r="A6951" s="140" t="str">
        <f>IFERROR(__xludf.DUMMYFUNCTION("""COMPUTED_VALUE"""),"en")</f>
        <v>en</v>
      </c>
      <c r="B6951">
        <f>IFERROR(__xludf.DUMMYFUNCTION("""COMPUTED_VALUE"""),1038568.0)</f>
        <v>1038568</v>
      </c>
      <c r="C6951" t="str">
        <f>IFERROR(__xludf.DUMMYFUNCTION("""COMPUTED_VALUE"""),"Adobe Muse CC Course - Design and Launch Websites")</f>
        <v>Adobe Muse CC Course - Design and Launch Websites</v>
      </c>
    </row>
    <row r="6952">
      <c r="A6952" s="140" t="str">
        <f>IFERROR(__xludf.DUMMYFUNCTION("""COMPUTED_VALUE"""),"pt")</f>
        <v>pt</v>
      </c>
      <c r="B6952">
        <f>IFERROR(__xludf.DUMMYFUNCTION("""COMPUTED_VALUE"""),1531494.0)</f>
        <v>1531494</v>
      </c>
      <c r="C6952" t="str">
        <f>IFERROR(__xludf.DUMMYFUNCTION("""COMPUTED_VALUE"""),"Curso Desenvolvedor Web Full Stack Jr. COMPLETO!")</f>
        <v>Curso Desenvolvedor Web Full Stack Jr. COMPLETO!</v>
      </c>
    </row>
    <row r="6953">
      <c r="A6953" s="140" t="str">
        <f>IFERROR(__xludf.DUMMYFUNCTION("""COMPUTED_VALUE"""),"es")</f>
        <v>es</v>
      </c>
      <c r="B6953">
        <f>IFERROR(__xludf.DUMMYFUNCTION("""COMPUTED_VALUE"""),2747652.0)</f>
        <v>2747652</v>
      </c>
      <c r="C6953" t="str">
        <f>IFERROR(__xludf.DUMMYFUNCTION("""COMPUTED_VALUE"""),"Gestión Estratégica del Capital Humano")</f>
        <v>Gestión Estratégica del Capital Humano</v>
      </c>
    </row>
    <row r="6954">
      <c r="A6954" s="140" t="str">
        <f>IFERROR(__xludf.DUMMYFUNCTION("""COMPUTED_VALUE"""),"ar")</f>
        <v>ar</v>
      </c>
      <c r="B6954">
        <f>IFERROR(__xludf.DUMMYFUNCTION("""COMPUTED_VALUE"""),2221884.0)</f>
        <v>2221884</v>
      </c>
      <c r="C6954" t="str">
        <f>IFERROR(__xludf.DUMMYFUNCTION("""COMPUTED_VALUE"""),"C++ Programming 2019 (عربي)")</f>
        <v>C++ Programming 2019 (عربي)</v>
      </c>
    </row>
    <row r="6955">
      <c r="A6955" s="140" t="str">
        <f>IFERROR(__xludf.DUMMYFUNCTION("""COMPUTED_VALUE"""),"es")</f>
        <v>es</v>
      </c>
      <c r="B6955">
        <f>IFERROR(__xludf.DUMMYFUNCTION("""COMPUTED_VALUE"""),1205998.0)</f>
        <v>1205998</v>
      </c>
      <c r="C6955" t="str">
        <f>IFERROR(__xludf.DUMMYFUNCTION("""COMPUTED_VALUE"""),"5 minutos al día para mejorar tu inglés: para gente ocupada")</f>
        <v>5 minutos al día para mejorar tu inglés: para gente ocupada</v>
      </c>
    </row>
    <row r="6956">
      <c r="A6956" s="140" t="str">
        <f>IFERROR(__xludf.DUMMYFUNCTION("""COMPUTED_VALUE"""),"pt")</f>
        <v>pt</v>
      </c>
      <c r="B6956">
        <f>IFERROR(__xludf.DUMMYFUNCTION("""COMPUTED_VALUE"""),1364796.0)</f>
        <v>1364796</v>
      </c>
      <c r="C6956" t="str">
        <f>IFERROR(__xludf.DUMMYFUNCTION("""COMPUTED_VALUE"""),"Laravel 5.5 com Vue JS")</f>
        <v>Laravel 5.5 com Vue JS</v>
      </c>
    </row>
    <row r="6957">
      <c r="A6957" s="140" t="str">
        <f>IFERROR(__xludf.DUMMYFUNCTION("""COMPUTED_VALUE"""),"ja")</f>
        <v>ja</v>
      </c>
      <c r="B6957">
        <f>IFERROR(__xludf.DUMMYFUNCTION("""COMPUTED_VALUE"""),3713682.0)</f>
        <v>3713682</v>
      </c>
      <c r="C6957" t="str">
        <f>IFERROR(__xludf.DUMMYFUNCTION("""COMPUTED_VALUE"""),"C#でラムダ式を書く方法Part2【LINQのクエリ構文とラムダ式マスター編】")</f>
        <v>C#でラムダ式を書く方法Part2【LINQのクエリ構文とラムダ式マスター編】</v>
      </c>
    </row>
    <row r="6958">
      <c r="A6958" s="140" t="str">
        <f>IFERROR(__xludf.DUMMYFUNCTION("""COMPUTED_VALUE"""),"pt")</f>
        <v>pt</v>
      </c>
      <c r="B6958">
        <f>IFERROR(__xludf.DUMMYFUNCTION("""COMPUTED_VALUE"""),2335338.0)</f>
        <v>2335338</v>
      </c>
      <c r="C6958" t="str">
        <f>IFERROR(__xludf.DUMMYFUNCTION("""COMPUTED_VALUE"""),"Marketing Essencial: o que de fato funciona em Marketing!")</f>
        <v>Marketing Essencial: o que de fato funciona em Marketing!</v>
      </c>
    </row>
    <row r="6959">
      <c r="A6959" s="140" t="str">
        <f>IFERROR(__xludf.DUMMYFUNCTION("""COMPUTED_VALUE"""),"fr")</f>
        <v>fr</v>
      </c>
      <c r="B6959">
        <f>IFERROR(__xludf.DUMMYFUNCTION("""COMPUTED_VALUE"""),1496634.0)</f>
        <v>1496634</v>
      </c>
      <c r="C6959" t="str">
        <f>IFERROR(__xludf.DUMMYFUNCTION("""COMPUTED_VALUE"""),"L'ART DIGITAL, le cours complet")</f>
        <v>L'ART DIGITAL, le cours complet</v>
      </c>
    </row>
    <row r="6960">
      <c r="A6960" s="140" t="str">
        <f>IFERROR(__xludf.DUMMYFUNCTION("""COMPUTED_VALUE"""),"es")</f>
        <v>es</v>
      </c>
      <c r="B6960">
        <f>IFERROR(__xludf.DUMMYFUNCTION("""COMPUTED_VALUE"""),1965144.0)</f>
        <v>1965144</v>
      </c>
      <c r="C6960" t="str">
        <f>IFERROR(__xludf.DUMMYFUNCTION("""COMPUTED_VALUE"""),"Gestión de tiempo para profesionales de alto desempeño")</f>
        <v>Gestión de tiempo para profesionales de alto desempeño</v>
      </c>
    </row>
    <row r="6961">
      <c r="A6961" s="140" t="str">
        <f>IFERROR(__xludf.DUMMYFUNCTION("""COMPUTED_VALUE"""),"en")</f>
        <v>en</v>
      </c>
      <c r="B6961">
        <f>IFERROR(__xludf.DUMMYFUNCTION("""COMPUTED_VALUE"""),1250114.0)</f>
        <v>1250114</v>
      </c>
      <c r="C6961" t="str">
        <f>IFERROR(__xludf.DUMMYFUNCTION("""COMPUTED_VALUE"""),"Microsoft Word for Mac - Office 365 on Mac OS")</f>
        <v>Microsoft Word for Mac - Office 365 on Mac OS</v>
      </c>
    </row>
    <row r="6962">
      <c r="A6962" s="140" t="str">
        <f>IFERROR(__xludf.DUMMYFUNCTION("""COMPUTED_VALUE"""),"en")</f>
        <v>en</v>
      </c>
      <c r="B6962">
        <f>IFERROR(__xludf.DUMMYFUNCTION("""COMPUTED_VALUE"""),3489908.0)</f>
        <v>3489908</v>
      </c>
      <c r="C6962" t="str">
        <f>IFERROR(__xludf.DUMMYFUNCTION("""COMPUTED_VALUE"""),"Complete Website Ethical Hacking and Penetration Testing")</f>
        <v>Complete Website Ethical Hacking and Penetration Testing</v>
      </c>
    </row>
    <row r="6963">
      <c r="A6963" s="140" t="str">
        <f>IFERROR(__xludf.DUMMYFUNCTION("""COMPUTED_VALUE"""),"es")</f>
        <v>es</v>
      </c>
      <c r="B6963">
        <f>IFERROR(__xludf.DUMMYFUNCTION("""COMPUTED_VALUE"""),1744408.0)</f>
        <v>1744408</v>
      </c>
      <c r="C6963" t="str">
        <f>IFERROR(__xludf.DUMMYFUNCTION("""COMPUTED_VALUE"""),"Liderazgo Sensorial - Un Nuevo Modelo de Liderazgo Integral")</f>
        <v>Liderazgo Sensorial - Un Nuevo Modelo de Liderazgo Integral</v>
      </c>
    </row>
    <row r="6964">
      <c r="A6964" s="140" t="str">
        <f>IFERROR(__xludf.DUMMYFUNCTION("""COMPUTED_VALUE"""),"en")</f>
        <v>en</v>
      </c>
      <c r="B6964">
        <f>IFERROR(__xludf.DUMMYFUNCTION("""COMPUTED_VALUE"""),1777616.0)</f>
        <v>1777616</v>
      </c>
      <c r="C6964" t="str">
        <f>IFERROR(__xludf.DUMMYFUNCTION("""COMPUTED_VALUE"""),"AWS Certifications Practice Tests")</f>
        <v>AWS Certifications Practice Tests</v>
      </c>
    </row>
    <row r="6965">
      <c r="A6965" s="140" t="str">
        <f>IFERROR(__xludf.DUMMYFUNCTION("""COMPUTED_VALUE"""),"en")</f>
        <v>en</v>
      </c>
      <c r="B6965">
        <f>IFERROR(__xludf.DUMMYFUNCTION("""COMPUTED_VALUE"""),3149814.0)</f>
        <v>3149814</v>
      </c>
      <c r="C6965" t="str">
        <f>IFERROR(__xludf.DUMMYFUNCTION("""COMPUTED_VALUE"""),"XGBoost for Business in Python and R")</f>
        <v>XGBoost for Business in Python and R</v>
      </c>
    </row>
    <row r="6966">
      <c r="A6966" s="140" t="str">
        <f>IFERROR(__xludf.DUMMYFUNCTION("""COMPUTED_VALUE"""),"pt")</f>
        <v>pt</v>
      </c>
      <c r="B6966">
        <f>IFERROR(__xludf.DUMMYFUNCTION("""COMPUTED_VALUE"""),1276878.0)</f>
        <v>1276878</v>
      </c>
      <c r="C6966" t="str">
        <f>IFERROR(__xludf.DUMMYFUNCTION("""COMPUTED_VALUE"""),"C# primeiros passos: Lógica de Programação e Algoritmos")</f>
        <v>C# primeiros passos: Lógica de Programação e Algoritmos</v>
      </c>
    </row>
    <row r="6967">
      <c r="A6967" s="140" t="str">
        <f>IFERROR(__xludf.DUMMYFUNCTION("""COMPUTED_VALUE"""),"en")</f>
        <v>en</v>
      </c>
      <c r="B6967">
        <f>IFERROR(__xludf.DUMMYFUNCTION("""COMPUTED_VALUE"""),2045310.0)</f>
        <v>2045310</v>
      </c>
      <c r="C6967" t="str">
        <f>IFERROR(__xludf.DUMMYFUNCTION("""COMPUTED_VALUE"""),"Build a Backend REST API with Python &amp; Django - Advanced")</f>
        <v>Build a Backend REST API with Python &amp; Django - Advanced</v>
      </c>
    </row>
    <row r="6968">
      <c r="A6968" s="140" t="str">
        <f>IFERROR(__xludf.DUMMYFUNCTION("""COMPUTED_VALUE"""),"en")</f>
        <v>en</v>
      </c>
      <c r="B6968">
        <f>IFERROR(__xludf.DUMMYFUNCTION("""COMPUTED_VALUE"""),849116.0)</f>
        <v>849116</v>
      </c>
      <c r="C6968" t="str">
        <f>IFERROR(__xludf.DUMMYFUNCTION("""COMPUTED_VALUE"""),"RSLogix/Studio 5000 PLC Ladder Logic Training. Basic.")</f>
        <v>RSLogix/Studio 5000 PLC Ladder Logic Training. Basic.</v>
      </c>
    </row>
    <row r="6969">
      <c r="A6969" s="140" t="str">
        <f>IFERROR(__xludf.DUMMYFUNCTION("""COMPUTED_VALUE"""),"en")</f>
        <v>en</v>
      </c>
      <c r="B6969">
        <f>IFERROR(__xludf.DUMMYFUNCTION("""COMPUTED_VALUE"""),394452.0)</f>
        <v>394452</v>
      </c>
      <c r="C6969" t="str">
        <f>IFERROR(__xludf.DUMMYFUNCTION("""COMPUTED_VALUE"""),"Health Coaching Certification Holistic Wellness Health Coach")</f>
        <v>Health Coaching Certification Holistic Wellness Health Coach</v>
      </c>
    </row>
    <row r="6970">
      <c r="A6970" s="140" t="str">
        <f>IFERROR(__xludf.DUMMYFUNCTION("""COMPUTED_VALUE"""),"en")</f>
        <v>en</v>
      </c>
      <c r="B6970">
        <f>IFERROR(__xludf.DUMMYFUNCTION("""COMPUTED_VALUE"""),1836390.0)</f>
        <v>1836390</v>
      </c>
      <c r="C6970" t="str">
        <f>IFERROR(__xludf.DUMMYFUNCTION("""COMPUTED_VALUE"""),"Apache Kafka Series - Kafka Monitoring &amp; Operations")</f>
        <v>Apache Kafka Series - Kafka Monitoring &amp; Operations</v>
      </c>
    </row>
    <row r="6971">
      <c r="A6971" s="140" t="str">
        <f>IFERROR(__xludf.DUMMYFUNCTION("""COMPUTED_VALUE"""),"pt")</f>
        <v>pt</v>
      </c>
      <c r="B6971">
        <f>IFERROR(__xludf.DUMMYFUNCTION("""COMPUTED_VALUE"""),1693348.0)</f>
        <v>1693348</v>
      </c>
      <c r="C6971" t="str">
        <f>IFERROR(__xludf.DUMMYFUNCTION("""COMPUTED_VALUE"""),"O Curso Completo de NoSQL e MongoDB para DEVs SQL [2021]")</f>
        <v>O Curso Completo de NoSQL e MongoDB para DEVs SQL [2021]</v>
      </c>
    </row>
    <row r="6972">
      <c r="A6972" s="140" t="str">
        <f>IFERROR(__xludf.DUMMYFUNCTION("""COMPUTED_VALUE"""),"en")</f>
        <v>en</v>
      </c>
      <c r="B6972">
        <f>IFERROR(__xludf.DUMMYFUNCTION("""COMPUTED_VALUE"""),2624900.0)</f>
        <v>2624900</v>
      </c>
      <c r="C6972" t="str">
        <f>IFERROR(__xludf.DUMMYFUNCTION("""COMPUTED_VALUE"""),"Basic Electricity and Electronics")</f>
        <v>Basic Electricity and Electronics</v>
      </c>
    </row>
    <row r="6973">
      <c r="A6973" s="140" t="str">
        <f>IFERROR(__xludf.DUMMYFUNCTION("""COMPUTED_VALUE"""),"en")</f>
        <v>en</v>
      </c>
      <c r="B6973">
        <f>IFERROR(__xludf.DUMMYFUNCTION("""COMPUTED_VALUE"""),358722.0)</f>
        <v>358722</v>
      </c>
      <c r="C6973" t="str">
        <f>IFERROR(__xludf.DUMMYFUNCTION("""COMPUTED_VALUE"""),"Technology for Airlines: a Fresh Look at the Ecosystem")</f>
        <v>Technology for Airlines: a Fresh Look at the Ecosystem</v>
      </c>
    </row>
    <row r="6974">
      <c r="A6974" s="140" t="str">
        <f>IFERROR(__xludf.DUMMYFUNCTION("""COMPUTED_VALUE"""),"en")</f>
        <v>en</v>
      </c>
      <c r="B6974">
        <f>IFERROR(__xludf.DUMMYFUNCTION("""COMPUTED_VALUE"""),359550.0)</f>
        <v>359550</v>
      </c>
      <c r="C6974" t="str">
        <f>IFERROR(__xludf.DUMMYFUNCTION("""COMPUTED_VALUE"""),"Master Object Oriented Design in Java - Homework + Solutions")</f>
        <v>Master Object Oriented Design in Java - Homework + Solutions</v>
      </c>
    </row>
    <row r="6975">
      <c r="A6975" s="140" t="str">
        <f>IFERROR(__xludf.DUMMYFUNCTION("""COMPUTED_VALUE"""),"fr")</f>
        <v>fr</v>
      </c>
      <c r="B6975">
        <f>IFERROR(__xludf.DUMMYFUNCTION("""COMPUTED_VALUE"""),2323290.0)</f>
        <v>2323290</v>
      </c>
      <c r="C6975" t="str">
        <f>IFERROR(__xludf.DUMMYFUNCTION("""COMPUTED_VALUE"""),"ReactJS pour débutants (+ React Router)")</f>
        <v>ReactJS pour débutants (+ React Router)</v>
      </c>
    </row>
    <row r="6976">
      <c r="A6976" s="140" t="str">
        <f>IFERROR(__xludf.DUMMYFUNCTION("""COMPUTED_VALUE"""),"pt")</f>
        <v>pt</v>
      </c>
      <c r="B6976">
        <f>IFERROR(__xludf.DUMMYFUNCTION("""COMPUTED_VALUE"""),2559308.0)</f>
        <v>2559308</v>
      </c>
      <c r="C6976" t="str">
        <f>IFERROR(__xludf.DUMMYFUNCTION("""COMPUTED_VALUE"""),"Grego na Ponta da Língua - Curso de Grego Antigo (Módulo 2)")</f>
        <v>Grego na Ponta da Língua - Curso de Grego Antigo (Módulo 2)</v>
      </c>
    </row>
    <row r="6977">
      <c r="A6977" s="140" t="str">
        <f>IFERROR(__xludf.DUMMYFUNCTION("""COMPUTED_VALUE"""),"es")</f>
        <v>es</v>
      </c>
      <c r="B6977">
        <f>IFERROR(__xludf.DUMMYFUNCTION("""COMPUTED_VALUE"""),2876082.0)</f>
        <v>2876082</v>
      </c>
      <c r="C6977" t="str">
        <f>IFERROR(__xludf.DUMMYFUNCTION("""COMPUTED_VALUE"""),"Xamarin Forms: CollectionView a Fondo")</f>
        <v>Xamarin Forms: CollectionView a Fondo</v>
      </c>
    </row>
    <row r="6978">
      <c r="A6978" s="140" t="str">
        <f>IFERROR(__xludf.DUMMYFUNCTION("""COMPUTED_VALUE"""),"en")</f>
        <v>en</v>
      </c>
      <c r="B6978">
        <f>IFERROR(__xludf.DUMMYFUNCTION("""COMPUTED_VALUE"""),1004034.0)</f>
        <v>1004034</v>
      </c>
      <c r="C6978" t="str">
        <f>IFERROR(__xludf.DUMMYFUNCTION("""COMPUTED_VALUE"""),"Learn to Code with Ruby")</f>
        <v>Learn to Code with Ruby</v>
      </c>
    </row>
    <row r="6979">
      <c r="A6979" s="140" t="str">
        <f>IFERROR(__xludf.DUMMYFUNCTION("""COMPUTED_VALUE"""),"es")</f>
        <v>es</v>
      </c>
      <c r="B6979">
        <f>IFERROR(__xludf.DUMMYFUNCTION("""COMPUTED_VALUE"""),2777206.0)</f>
        <v>2777206</v>
      </c>
      <c r="C6979" t="str">
        <f>IFERROR(__xludf.DUMMYFUNCTION("""COMPUTED_VALUE"""),"Adobe Illustrator CC  |  Diseño Gráfico, Ilustración digital")</f>
        <v>Adobe Illustrator CC  |  Diseño Gráfico, Ilustración digital</v>
      </c>
    </row>
    <row r="6980">
      <c r="A6980" s="140" t="str">
        <f>IFERROR(__xludf.DUMMYFUNCTION("""COMPUTED_VALUE"""),"en")</f>
        <v>en</v>
      </c>
      <c r="B6980">
        <f>IFERROR(__xludf.DUMMYFUNCTION("""COMPUTED_VALUE"""),2776746.0)</f>
        <v>2776746</v>
      </c>
      <c r="C6980" t="str">
        <f>IFERROR(__xludf.DUMMYFUNCTION("""COMPUTED_VALUE"""),"Salesforce Admin &amp; Platform App Builder For Beginners")</f>
        <v>Salesforce Admin &amp; Platform App Builder For Beginners</v>
      </c>
    </row>
    <row r="6981">
      <c r="A6981" s="140" t="str">
        <f>IFERROR(__xludf.DUMMYFUNCTION("""COMPUTED_VALUE"""),"en")</f>
        <v>en</v>
      </c>
      <c r="B6981">
        <f>IFERROR(__xludf.DUMMYFUNCTION("""COMPUTED_VALUE"""),626548.0)</f>
        <v>626548</v>
      </c>
      <c r="C6981" t="str">
        <f>IFERROR(__xludf.DUMMYFUNCTION("""COMPUTED_VALUE"""),"SEO For WordPress [Beginners]: #1 Step-by-Step SEO System")</f>
        <v>SEO For WordPress [Beginners]: #1 Step-by-Step SEO System</v>
      </c>
    </row>
    <row r="6982">
      <c r="A6982" s="140" t="str">
        <f>IFERROR(__xludf.DUMMYFUNCTION("""COMPUTED_VALUE"""),"en")</f>
        <v>en</v>
      </c>
      <c r="B6982">
        <f>IFERROR(__xludf.DUMMYFUNCTION("""COMPUTED_VALUE"""),397930.0)</f>
        <v>397930</v>
      </c>
      <c r="C6982" t="str">
        <f>IFERROR(__xludf.DUMMYFUNCTION("""COMPUTED_VALUE"""),"Learn Wi-Fi Password Penetration Testing (WEP/WPA/WPA2)")</f>
        <v>Learn Wi-Fi Password Penetration Testing (WEP/WPA/WPA2)</v>
      </c>
    </row>
    <row r="6983">
      <c r="A6983" s="140" t="str">
        <f>IFERROR(__xludf.DUMMYFUNCTION("""COMPUTED_VALUE"""),"en")</f>
        <v>en</v>
      </c>
      <c r="B6983">
        <f>IFERROR(__xludf.DUMMYFUNCTION("""COMPUTED_VALUE"""),2849230.0)</f>
        <v>2849230</v>
      </c>
      <c r="C6983" t="str">
        <f>IFERROR(__xludf.DUMMYFUNCTION("""COMPUTED_VALUE"""),"Become a DBT Practitioner and boom your counseling skills")</f>
        <v>Become a DBT Practitioner and boom your counseling skills</v>
      </c>
    </row>
    <row r="6984">
      <c r="A6984" s="140" t="str">
        <f>IFERROR(__xludf.DUMMYFUNCTION("""COMPUTED_VALUE"""),"en")</f>
        <v>en</v>
      </c>
      <c r="B6984">
        <f>IFERROR(__xludf.DUMMYFUNCTION("""COMPUTED_VALUE"""),1971936.0)</f>
        <v>1971936</v>
      </c>
      <c r="C6984" t="str">
        <f>IFERROR(__xludf.DUMMYFUNCTION("""COMPUTED_VALUE"""),"The Complete Body Language for Business Course")</f>
        <v>The Complete Body Language for Business Course</v>
      </c>
    </row>
    <row r="6985">
      <c r="A6985" s="140" t="str">
        <f>IFERROR(__xludf.DUMMYFUNCTION("""COMPUTED_VALUE"""),"es")</f>
        <v>es</v>
      </c>
      <c r="B6985">
        <f>IFERROR(__xludf.DUMMYFUNCTION("""COMPUTED_VALUE"""),115204.0)</f>
        <v>115204</v>
      </c>
      <c r="C6985" t="str">
        <f>IFERROR(__xludf.DUMMYFUNCTION("""COMPUTED_VALUE"""),"Scrum: un marco para el desarrollo ágil de proyectos")</f>
        <v>Scrum: un marco para el desarrollo ágil de proyectos</v>
      </c>
    </row>
    <row r="6986">
      <c r="A6986" s="140" t="str">
        <f>IFERROR(__xludf.DUMMYFUNCTION("""COMPUTED_VALUE"""),"es")</f>
        <v>es</v>
      </c>
      <c r="B6986">
        <f>IFERROR(__xludf.DUMMYFUNCTION("""COMPUTED_VALUE"""),325086.0)</f>
        <v>325086</v>
      </c>
      <c r="C6986" t="str">
        <f>IFERROR(__xludf.DUMMYFUNCTION("""COMPUTED_VALUE"""),"Autoliderazgo- Logra tus Metas con tu Poder Personal")</f>
        <v>Autoliderazgo- Logra tus Metas con tu Poder Personal</v>
      </c>
    </row>
    <row r="6987">
      <c r="A6987" s="140" t="str">
        <f>IFERROR(__xludf.DUMMYFUNCTION("""COMPUTED_VALUE"""),"zh")</f>
        <v>zh</v>
      </c>
      <c r="B6987">
        <f>IFERROR(__xludf.DUMMYFUNCTION("""COMPUTED_VALUE"""),1733494.0)</f>
        <v>1733494</v>
      </c>
      <c r="C6987" t="str">
        <f>IFERROR(__xludf.DUMMYFUNCTION("""COMPUTED_VALUE"""),"Kubernetes技术入门与实战")</f>
        <v>Kubernetes技术入门与实战</v>
      </c>
    </row>
    <row r="6988">
      <c r="A6988" s="140" t="str">
        <f>IFERROR(__xludf.DUMMYFUNCTION("""COMPUTED_VALUE"""),"en")</f>
        <v>en</v>
      </c>
      <c r="B6988">
        <f>IFERROR(__xludf.DUMMYFUNCTION("""COMPUTED_VALUE"""),28636.0)</f>
        <v>28636</v>
      </c>
      <c r="C6988" t="str">
        <f>IFERROR(__xludf.DUMMYFUNCTION("""COMPUTED_VALUE"""),"Art History Renaissance to 20th Century")</f>
        <v>Art History Renaissance to 20th Century</v>
      </c>
    </row>
    <row r="6989">
      <c r="A6989" s="140" t="str">
        <f>IFERROR(__xludf.DUMMYFUNCTION("""COMPUTED_VALUE"""),"de")</f>
        <v>de</v>
      </c>
      <c r="B6989">
        <f>IFERROR(__xludf.DUMMYFUNCTION("""COMPUTED_VALUE"""),2117294.0)</f>
        <v>2117294</v>
      </c>
      <c r="C6989" t="str">
        <f>IFERROR(__xludf.DUMMYFUNCTION("""COMPUTED_VALUE"""),"Masterclass Redshift Cinema 4D (Update Nov. 2020)")</f>
        <v>Masterclass Redshift Cinema 4D (Update Nov. 2020)</v>
      </c>
    </row>
    <row r="6990">
      <c r="A6990" s="140" t="str">
        <f>IFERROR(__xludf.DUMMYFUNCTION("""COMPUTED_VALUE"""),"es")</f>
        <v>es</v>
      </c>
      <c r="B6990">
        <f>IFERROR(__xludf.DUMMYFUNCTION("""COMPUTED_VALUE"""),3255210.0)</f>
        <v>3255210</v>
      </c>
      <c r="C6990" t="str">
        <f>IFERROR(__xludf.DUMMYFUNCTION("""COMPUTED_VALUE"""),"Curso de Mainframe completo, z/OS, desde 0")</f>
        <v>Curso de Mainframe completo, z/OS, desde 0</v>
      </c>
    </row>
    <row r="6991">
      <c r="A6991" s="140" t="str">
        <f>IFERROR(__xludf.DUMMYFUNCTION("""COMPUTED_VALUE"""),"en")</f>
        <v>en</v>
      </c>
      <c r="B6991">
        <f>IFERROR(__xludf.DUMMYFUNCTION("""COMPUTED_VALUE"""),2964272.0)</f>
        <v>2964272</v>
      </c>
      <c r="C6991" t="str">
        <f>IFERROR(__xludf.DUMMYFUNCTION("""COMPUTED_VALUE"""),"Excel Power Query Beginner to Advanced (including M)")</f>
        <v>Excel Power Query Beginner to Advanced (including M)</v>
      </c>
    </row>
    <row r="6992">
      <c r="A6992" s="140" t="str">
        <f>IFERROR(__xludf.DUMMYFUNCTION("""COMPUTED_VALUE"""),"tr")</f>
        <v>tr</v>
      </c>
      <c r="B6992">
        <f>IFERROR(__xludf.DUMMYFUNCTION("""COMPUTED_VALUE"""),3632926.0)</f>
        <v>3632926</v>
      </c>
      <c r="C6992" t="str">
        <f>IFERROR(__xludf.DUMMYFUNCTION("""COMPUTED_VALUE"""),"KVKK İdari ve Teknik Tedbirler Bilgilendirme Eğitimi")</f>
        <v>KVKK İdari ve Teknik Tedbirler Bilgilendirme Eğitimi</v>
      </c>
    </row>
    <row r="6993">
      <c r="A6993" s="140" t="str">
        <f>IFERROR(__xludf.DUMMYFUNCTION("""COMPUTED_VALUE"""),"en")</f>
        <v>en</v>
      </c>
      <c r="B6993">
        <f>IFERROR(__xludf.DUMMYFUNCTION("""COMPUTED_VALUE"""),4144670.0)</f>
        <v>4144670</v>
      </c>
      <c r="C6993" t="str">
        <f>IFERROR(__xludf.DUMMYFUNCTION("""COMPUTED_VALUE"""),"How to Build and Implement a Winning Pricing Strategy")</f>
        <v>How to Build and Implement a Winning Pricing Strategy</v>
      </c>
    </row>
    <row r="6994">
      <c r="A6994" s="140" t="str">
        <f>IFERROR(__xludf.DUMMYFUNCTION("""COMPUTED_VALUE"""),"es")</f>
        <v>es</v>
      </c>
      <c r="B6994">
        <f>IFERROR(__xludf.DUMMYFUNCTION("""COMPUTED_VALUE"""),1341936.0)</f>
        <v>1341936</v>
      </c>
      <c r="C6994" t="str">
        <f>IFERROR(__xludf.DUMMYFUNCTION("""COMPUTED_VALUE"""),"Excel Completo - Desde Principiante Hasta Avanzado")</f>
        <v>Excel Completo - Desde Principiante Hasta Avanzado</v>
      </c>
    </row>
    <row r="6995">
      <c r="A6995" s="140" t="str">
        <f>IFERROR(__xludf.DUMMYFUNCTION("""COMPUTED_VALUE"""),"en")</f>
        <v>en</v>
      </c>
      <c r="B6995">
        <f>IFERROR(__xludf.DUMMYFUNCTION("""COMPUTED_VALUE"""),3095622.0)</f>
        <v>3095622</v>
      </c>
      <c r="C6995" t="str">
        <f>IFERROR(__xludf.DUMMYFUNCTION("""COMPUTED_VALUE"""),"ISO/IEC 27001 : Information Security Controls Explained")</f>
        <v>ISO/IEC 27001 : Information Security Controls Explained</v>
      </c>
    </row>
    <row r="6996">
      <c r="A6996" s="140" t="str">
        <f>IFERROR(__xludf.DUMMYFUNCTION("""COMPUTED_VALUE"""),"en")</f>
        <v>en</v>
      </c>
      <c r="B6996">
        <f>IFERROR(__xludf.DUMMYFUNCTION("""COMPUTED_VALUE"""),2126948.0)</f>
        <v>2126948</v>
      </c>
      <c r="C6996" t="str">
        <f>IFERROR(__xludf.DUMMYFUNCTION("""COMPUTED_VALUE"""),"NativeScript + Angular: Build Native iOS, Android &amp; Web Apps")</f>
        <v>NativeScript + Angular: Build Native iOS, Android &amp; Web Apps</v>
      </c>
    </row>
    <row r="6997">
      <c r="A6997" s="140" t="str">
        <f>IFERROR(__xludf.DUMMYFUNCTION("""COMPUTED_VALUE"""),"en")</f>
        <v>en</v>
      </c>
      <c r="B6997">
        <f>IFERROR(__xludf.DUMMYFUNCTION("""COMPUTED_VALUE"""),501238.0)</f>
        <v>501238</v>
      </c>
      <c r="C6997" t="str">
        <f>IFERROR(__xludf.DUMMYFUNCTION("""COMPUTED_VALUE"""),"Agile PM 201 - Understanding Agile at a Deeper Level")</f>
        <v>Agile PM 201 - Understanding Agile at a Deeper Level</v>
      </c>
    </row>
    <row r="6998">
      <c r="A6998" s="140" t="str">
        <f>IFERROR(__xludf.DUMMYFUNCTION("""COMPUTED_VALUE"""),"pt")</f>
        <v>pt</v>
      </c>
      <c r="B6998">
        <f>IFERROR(__xludf.DUMMYFUNCTION("""COMPUTED_VALUE"""),1467388.0)</f>
        <v>1467388</v>
      </c>
      <c r="C6998" t="str">
        <f>IFERROR(__xludf.DUMMYFUNCTION("""COMPUTED_VALUE"""),"Curso MYSQL  Developer Expert  - Básico ao Avançado")</f>
        <v>Curso MYSQL  Developer Expert  - Básico ao Avançado</v>
      </c>
    </row>
    <row r="6999">
      <c r="A6999" s="140" t="str">
        <f>IFERROR(__xludf.DUMMYFUNCTION("""COMPUTED_VALUE"""),"ja")</f>
        <v>ja</v>
      </c>
      <c r="B6999">
        <f>IFERROR(__xludf.DUMMYFUNCTION("""COMPUTED_VALUE"""),3201750.0)</f>
        <v>3201750</v>
      </c>
      <c r="C6999" t="str">
        <f>IFERROR(__xludf.DUMMYFUNCTION("""COMPUTED_VALUE"""),"【iOS開発】SwiftUIで実践的なiPhoneアプリを作成しながらプロの技術を学ぶ！Todoアプリを完成させよう！")</f>
        <v>【iOS開発】SwiftUIで実践的なiPhoneアプリを作成しながらプロの技術を学ぶ！Todoアプリを完成させよう！</v>
      </c>
    </row>
    <row r="7000">
      <c r="A7000" s="140" t="str">
        <f>IFERROR(__xludf.DUMMYFUNCTION("""COMPUTED_VALUE"""),"de")</f>
        <v>de</v>
      </c>
      <c r="B7000">
        <f>IFERROR(__xludf.DUMMYFUNCTION("""COMPUTED_VALUE"""),1019810.0)</f>
        <v>1019810</v>
      </c>
      <c r="C7000" t="str">
        <f>IFERROR(__xludf.DUMMYFUNCTION("""COMPUTED_VALUE"""),"Java leicht gemacht - Der umfassende Java Einsteigerkurs A-Z")</f>
        <v>Java leicht gemacht - Der umfassende Java Einsteigerkurs A-Z</v>
      </c>
    </row>
    <row r="7001">
      <c r="A7001" s="140" t="str">
        <f>IFERROR(__xludf.DUMMYFUNCTION("""COMPUTED_VALUE"""),"de")</f>
        <v>de</v>
      </c>
      <c r="B7001">
        <f>IFERROR(__xludf.DUMMYFUNCTION("""COMPUTED_VALUE"""),2190604.0)</f>
        <v>2190604</v>
      </c>
      <c r="C7001" t="str">
        <f>IFERROR(__xludf.DUMMYFUNCTION("""COMPUTED_VALUE"""),"Autodesk Inventor 2019 - Aufbaukurs KONSTRUKTION")</f>
        <v>Autodesk Inventor 2019 - Aufbaukurs KONSTRUKTION</v>
      </c>
    </row>
    <row r="7002">
      <c r="A7002" s="140" t="str">
        <f>IFERROR(__xludf.DUMMYFUNCTION("""COMPUTED_VALUE"""),"en")</f>
        <v>en</v>
      </c>
      <c r="B7002">
        <f>IFERROR(__xludf.DUMMYFUNCTION("""COMPUTED_VALUE"""),1121520.0)</f>
        <v>1121520</v>
      </c>
      <c r="C7002" t="str">
        <f>IFERROR(__xludf.DUMMYFUNCTION("""COMPUTED_VALUE"""),"The Complete Splunk Beginner Course [2021]")</f>
        <v>The Complete Splunk Beginner Course [2021]</v>
      </c>
    </row>
    <row r="7003">
      <c r="A7003" s="140" t="str">
        <f>IFERROR(__xludf.DUMMYFUNCTION("""COMPUTED_VALUE"""),"en")</f>
        <v>en</v>
      </c>
      <c r="B7003">
        <f>IFERROR(__xludf.DUMMYFUNCTION("""COMPUTED_VALUE"""),1459342.0)</f>
        <v>1459342</v>
      </c>
      <c r="C7003" t="str">
        <f>IFERROR(__xludf.DUMMYFUNCTION("""COMPUTED_VALUE"""),"How to Facilitate Effective Communication and Engagement")</f>
        <v>How to Facilitate Effective Communication and Engagement</v>
      </c>
    </row>
    <row r="7004">
      <c r="A7004" s="140" t="str">
        <f>IFERROR(__xludf.DUMMYFUNCTION("""COMPUTED_VALUE"""),"ar")</f>
        <v>ar</v>
      </c>
      <c r="B7004">
        <f>IFERROR(__xludf.DUMMYFUNCTION("""COMPUTED_VALUE"""),3148370.0)</f>
        <v>3148370</v>
      </c>
      <c r="C7004" t="str">
        <f>IFERROR(__xludf.DUMMYFUNCTION("""COMPUTED_VALUE"""),"Revit structure: Essentials.")</f>
        <v>Revit structure: Essentials.</v>
      </c>
    </row>
    <row r="7005">
      <c r="A7005" s="140" t="str">
        <f>IFERROR(__xludf.DUMMYFUNCTION("""COMPUTED_VALUE"""),"en")</f>
        <v>en</v>
      </c>
      <c r="B7005">
        <f>IFERROR(__xludf.DUMMYFUNCTION("""COMPUTED_VALUE"""),1468572.0)</f>
        <v>1468572</v>
      </c>
      <c r="C7005" t="str">
        <f>IFERROR(__xludf.DUMMYFUNCTION("""COMPUTED_VALUE"""),"Google Assistant development with Actions on Google")</f>
        <v>Google Assistant development with Actions on Google</v>
      </c>
    </row>
    <row r="7006">
      <c r="A7006" s="140" t="str">
        <f>IFERROR(__xludf.DUMMYFUNCTION("""COMPUTED_VALUE"""),"en")</f>
        <v>en</v>
      </c>
      <c r="B7006">
        <f>IFERROR(__xludf.DUMMYFUNCTION("""COMPUTED_VALUE"""),3499600.0)</f>
        <v>3499600</v>
      </c>
      <c r="C7006" t="str">
        <f>IFERROR(__xludf.DUMMYFUNCTION("""COMPUTED_VALUE"""),"PostgreSQL Bootcamp : Go From Beginner to Advanced, 60+hours")</f>
        <v>PostgreSQL Bootcamp : Go From Beginner to Advanced, 60+hours</v>
      </c>
    </row>
    <row r="7007">
      <c r="A7007" s="140" t="str">
        <f>IFERROR(__xludf.DUMMYFUNCTION("""COMPUTED_VALUE"""),"en")</f>
        <v>en</v>
      </c>
      <c r="B7007">
        <f>IFERROR(__xludf.DUMMYFUNCTION("""COMPUTED_VALUE"""),1897892.0)</f>
        <v>1897892</v>
      </c>
      <c r="C7007" t="str">
        <f>IFERROR(__xludf.DUMMYFUNCTION("""COMPUTED_VALUE"""),"Solid Waste Mangement")</f>
        <v>Solid Waste Mangement</v>
      </c>
    </row>
    <row r="7008">
      <c r="A7008" s="140" t="str">
        <f>IFERROR(__xludf.DUMMYFUNCTION("""COMPUTED_VALUE"""),"en")</f>
        <v>en</v>
      </c>
      <c r="B7008">
        <f>IFERROR(__xludf.DUMMYFUNCTION("""COMPUTED_VALUE"""),2200368.0)</f>
        <v>2200368</v>
      </c>
      <c r="C7008" t="str">
        <f>IFERROR(__xludf.DUMMYFUNCTION("""COMPUTED_VALUE"""),"Azure Active Directory And Azure AD Domain Services")</f>
        <v>Azure Active Directory And Azure AD Domain Services</v>
      </c>
    </row>
    <row r="7009">
      <c r="A7009" s="140" t="str">
        <f>IFERROR(__xludf.DUMMYFUNCTION("""COMPUTED_VALUE"""),"fr")</f>
        <v>fr</v>
      </c>
      <c r="B7009">
        <f>IFERROR(__xludf.DUMMYFUNCTION("""COMPUTED_VALUE"""),2229616.0)</f>
        <v>2229616</v>
      </c>
      <c r="C7009" t="str">
        <f>IFERROR(__xludf.DUMMYFUNCTION("""COMPUTED_VALUE"""),"Créez des sites &amp; thèmes WordPress avec Elementor sans coder")</f>
        <v>Créez des sites &amp; thèmes WordPress avec Elementor sans coder</v>
      </c>
    </row>
    <row r="7010">
      <c r="A7010" s="140" t="str">
        <f>IFERROR(__xludf.DUMMYFUNCTION("""COMPUTED_VALUE"""),"en")</f>
        <v>en</v>
      </c>
      <c r="B7010">
        <f>IFERROR(__xludf.DUMMYFUNCTION("""COMPUTED_VALUE"""),921474.0)</f>
        <v>921474</v>
      </c>
      <c r="C7010" t="str">
        <f>IFERROR(__xludf.DUMMYFUNCTION("""COMPUTED_VALUE"""),"The Complete DevOps Engineer Course 2.0 - Java &amp; Kubernetes")</f>
        <v>The Complete DevOps Engineer Course 2.0 - Java &amp; Kubernetes</v>
      </c>
    </row>
    <row r="7011">
      <c r="A7011" s="140" t="str">
        <f>IFERROR(__xludf.DUMMYFUNCTION("""COMPUTED_VALUE"""),"tr")</f>
        <v>tr</v>
      </c>
      <c r="B7011">
        <f>IFERROR(__xludf.DUMMYFUNCTION("""COMPUTED_VALUE"""),3175498.0)</f>
        <v>3175498</v>
      </c>
      <c r="C7011" t="str">
        <f>IFERROR(__xludf.DUMMYFUNCTION("""COMPUTED_VALUE"""),"PUKÖ-PDCA Çevrimi &amp; Problem Çözme Teknikleri")</f>
        <v>PUKÖ-PDCA Çevrimi &amp; Problem Çözme Teknikleri</v>
      </c>
    </row>
    <row r="7012">
      <c r="A7012" s="140" t="str">
        <f>IFERROR(__xludf.DUMMYFUNCTION("""COMPUTED_VALUE"""),"de")</f>
        <v>de</v>
      </c>
      <c r="B7012">
        <f>IFERROR(__xludf.DUMMYFUNCTION("""COMPUTED_VALUE"""),1175340.0)</f>
        <v>1175340</v>
      </c>
      <c r="C7012" t="str">
        <f>IFERROR(__xludf.DUMMYFUNCTION("""COMPUTED_VALUE"""),"Python-Entwicklung für Einsteiger")</f>
        <v>Python-Entwicklung für Einsteiger</v>
      </c>
    </row>
    <row r="7013">
      <c r="A7013" s="140" t="str">
        <f>IFERROR(__xludf.DUMMYFUNCTION("""COMPUTED_VALUE"""),"en")</f>
        <v>en</v>
      </c>
      <c r="B7013">
        <f>IFERROR(__xludf.DUMMYFUNCTION("""COMPUTED_VALUE"""),432446.0)</f>
        <v>432446</v>
      </c>
      <c r="C7013" t="str">
        <f>IFERROR(__xludf.DUMMYFUNCTION("""COMPUTED_VALUE"""),"Learn API Technical Writing 2: REST for Writers")</f>
        <v>Learn API Technical Writing 2: REST for Writers</v>
      </c>
    </row>
    <row r="7014">
      <c r="A7014" s="140" t="str">
        <f>IFERROR(__xludf.DUMMYFUNCTION("""COMPUTED_VALUE"""),"en")</f>
        <v>en</v>
      </c>
      <c r="B7014">
        <f>IFERROR(__xludf.DUMMYFUNCTION("""COMPUTED_VALUE"""),3244800.0)</f>
        <v>3244800</v>
      </c>
      <c r="C7014" t="str">
        <f>IFERROR(__xludf.DUMMYFUNCTION("""COMPUTED_VALUE"""),"Reactive Programming in Modern Java using Project Reactor")</f>
        <v>Reactive Programming in Modern Java using Project Reactor</v>
      </c>
    </row>
    <row r="7015">
      <c r="A7015" s="140" t="str">
        <f>IFERROR(__xludf.DUMMYFUNCTION("""COMPUTED_VALUE"""),"fr")</f>
        <v>fr</v>
      </c>
      <c r="B7015">
        <f>IFERROR(__xludf.DUMMYFUNCTION("""COMPUTED_VALUE"""),2888292.0)</f>
        <v>2888292</v>
      </c>
      <c r="C7015" t="str">
        <f>IFERROR(__xludf.DUMMYFUNCTION("""COMPUTED_VALUE"""),"Les bases de Laravel 7")</f>
        <v>Les bases de Laravel 7</v>
      </c>
    </row>
    <row r="7016">
      <c r="A7016" s="140" t="str">
        <f>IFERROR(__xludf.DUMMYFUNCTION("""COMPUTED_VALUE"""),"en")</f>
        <v>en</v>
      </c>
      <c r="B7016">
        <f>IFERROR(__xludf.DUMMYFUNCTION("""COMPUTED_VALUE"""),3811642.0)</f>
        <v>3811642</v>
      </c>
      <c r="C7016" t="str">
        <f>IFERROR(__xludf.DUMMYFUNCTION("""COMPUTED_VALUE"""),"Prep for the LPIC-1 Exam 101-500: Linux System Administrator")</f>
        <v>Prep for the LPIC-1 Exam 101-500: Linux System Administrator</v>
      </c>
    </row>
    <row r="7017">
      <c r="A7017" s="140" t="str">
        <f>IFERROR(__xludf.DUMMYFUNCTION("""COMPUTED_VALUE"""),"en")</f>
        <v>en</v>
      </c>
      <c r="B7017">
        <f>IFERROR(__xludf.DUMMYFUNCTION("""COMPUTED_VALUE"""),1923342.0)</f>
        <v>1923342</v>
      </c>
      <c r="C7017" t="str">
        <f>IFERROR(__xludf.DUMMYFUNCTION("""COMPUTED_VALUE"""),"The Complete Personal Productivity Course - Business &amp; Life")</f>
        <v>The Complete Personal Productivity Course - Business &amp; Life</v>
      </c>
    </row>
    <row r="7018">
      <c r="A7018" s="140" t="str">
        <f>IFERROR(__xludf.DUMMYFUNCTION("""COMPUTED_VALUE"""),"en")</f>
        <v>en</v>
      </c>
      <c r="B7018">
        <f>IFERROR(__xludf.DUMMYFUNCTION("""COMPUTED_VALUE"""),1550684.0)</f>
        <v>1550684</v>
      </c>
      <c r="C7018" t="str">
        <f>IFERROR(__xludf.DUMMYFUNCTION("""COMPUTED_VALUE"""),"Tableau Certified in 1 hour (Practice Exam Included)")</f>
        <v>Tableau Certified in 1 hour (Practice Exam Included)</v>
      </c>
    </row>
    <row r="7019">
      <c r="A7019" s="140" t="str">
        <f>IFERROR(__xludf.DUMMYFUNCTION("""COMPUTED_VALUE"""),"zh")</f>
        <v>zh</v>
      </c>
      <c r="B7019">
        <f>IFERROR(__xludf.DUMMYFUNCTION("""COMPUTED_VALUE"""),1447380.0)</f>
        <v>1447380</v>
      </c>
      <c r="C7019" t="str">
        <f>IFERROR(__xludf.DUMMYFUNCTION("""COMPUTED_VALUE"""),"学习 OpenCV 3.2+ QT 5+ ffmpeg 实战开发视频编辑器视频教程")</f>
        <v>学习 OpenCV 3.2+ QT 5+ ffmpeg 实战开发视频编辑器视频教程</v>
      </c>
    </row>
    <row r="7020">
      <c r="A7020" s="140" t="str">
        <f>IFERROR(__xludf.DUMMYFUNCTION("""COMPUTED_VALUE"""),"es")</f>
        <v>es</v>
      </c>
      <c r="B7020">
        <f>IFERROR(__xludf.DUMMYFUNCTION("""COMPUTED_VALUE"""),908106.0)</f>
        <v>908106</v>
      </c>
      <c r="C7020" t="str">
        <f>IFERROR(__xludf.DUMMYFUNCTION("""COMPUTED_VALUE"""),"Aprender a programar con Java. De cero hasta hacer sistemas")</f>
        <v>Aprender a programar con Java. De cero hasta hacer sistemas</v>
      </c>
    </row>
    <row r="7021">
      <c r="A7021" s="140" t="str">
        <f>IFERROR(__xludf.DUMMYFUNCTION("""COMPUTED_VALUE"""),"ar")</f>
        <v>ar</v>
      </c>
      <c r="B7021">
        <f>IFERROR(__xludf.DUMMYFUNCTION("""COMPUTED_VALUE"""),3662916.0)</f>
        <v>3662916</v>
      </c>
      <c r="C7021" t="str">
        <f>IFERROR(__xludf.DUMMYFUNCTION("""COMPUTED_VALUE"""),"Master C/Embedded C for embedded system learn-in-depth .com")</f>
        <v>Master C/Embedded C for embedded system learn-in-depth .com</v>
      </c>
    </row>
    <row r="7022">
      <c r="A7022" s="140" t="str">
        <f>IFERROR(__xludf.DUMMYFUNCTION("""COMPUTED_VALUE"""),"ja")</f>
        <v>ja</v>
      </c>
      <c r="B7022">
        <f>IFERROR(__xludf.DUMMYFUNCTION("""COMPUTED_VALUE"""),1988724.0)</f>
        <v>1988724</v>
      </c>
      <c r="C7022" t="str">
        <f>IFERROR(__xludf.DUMMYFUNCTION("""COMPUTED_VALUE"""),"現役クリエイターが教える！After Effects モーショングラフィックス「超」入門")</f>
        <v>現役クリエイターが教える！After Effects モーショングラフィックス「超」入門</v>
      </c>
    </row>
    <row r="7023">
      <c r="A7023" s="140" t="str">
        <f>IFERROR(__xludf.DUMMYFUNCTION("""COMPUTED_VALUE"""),"en")</f>
        <v>en</v>
      </c>
      <c r="B7023">
        <f>IFERROR(__xludf.DUMMYFUNCTION("""COMPUTED_VALUE"""),3616770.0)</f>
        <v>3616770</v>
      </c>
      <c r="C7023" t="str">
        <f>IFERROR(__xludf.DUMMYFUNCTION("""COMPUTED_VALUE"""),"Flowgear Technical Certification")</f>
        <v>Flowgear Technical Certification</v>
      </c>
    </row>
    <row r="7024">
      <c r="A7024" s="140" t="str">
        <f>IFERROR(__xludf.DUMMYFUNCTION("""COMPUTED_VALUE"""),"en")</f>
        <v>en</v>
      </c>
      <c r="B7024">
        <f>IFERROR(__xludf.DUMMYFUNCTION("""COMPUTED_VALUE"""),1848540.0)</f>
        <v>1848540</v>
      </c>
      <c r="C7024" t="str">
        <f>IFERROR(__xludf.DUMMYFUNCTION("""COMPUTED_VALUE"""),"Start &amp; Grow Your Successful Career in Cyber Security")</f>
        <v>Start &amp; Grow Your Successful Career in Cyber Security</v>
      </c>
    </row>
    <row r="7025">
      <c r="A7025" s="140" t="str">
        <f>IFERROR(__xludf.DUMMYFUNCTION("""COMPUTED_VALUE"""),"ja")</f>
        <v>ja</v>
      </c>
      <c r="B7025">
        <f>IFERROR(__xludf.DUMMYFUNCTION("""COMPUTED_VALUE"""),3548106.0)</f>
        <v>3548106</v>
      </c>
      <c r="C7025" t="str">
        <f>IFERROR(__xludf.DUMMYFUNCTION("""COMPUTED_VALUE"""),"WordPress開発マスター講座")</f>
        <v>WordPress開発マスター講座</v>
      </c>
    </row>
    <row r="7026">
      <c r="A7026" s="140" t="str">
        <f>IFERROR(__xludf.DUMMYFUNCTION("""COMPUTED_VALUE"""),"en")</f>
        <v>en</v>
      </c>
      <c r="B7026">
        <f>IFERROR(__xludf.DUMMYFUNCTION("""COMPUTED_VALUE"""),513776.0)</f>
        <v>513776</v>
      </c>
      <c r="C7026" t="str">
        <f>IFERROR(__xludf.DUMMYFUNCTION("""COMPUTED_VALUE"""),"CentOS 7 Linux Server: Alternative to Red Hat Enterprise")</f>
        <v>CentOS 7 Linux Server: Alternative to Red Hat Enterprise</v>
      </c>
    </row>
    <row r="7027">
      <c r="A7027" s="140" t="str">
        <f>IFERROR(__xludf.DUMMYFUNCTION("""COMPUTED_VALUE"""),"en")</f>
        <v>en</v>
      </c>
      <c r="B7027">
        <f>IFERROR(__xludf.DUMMYFUNCTION("""COMPUTED_VALUE"""),507714.0)</f>
        <v>507714</v>
      </c>
      <c r="C7027" t="str">
        <f>IFERROR(__xludf.DUMMYFUNCTION("""COMPUTED_VALUE"""),"Certificate in Qlik Sense Analytics Development")</f>
        <v>Certificate in Qlik Sense Analytics Development</v>
      </c>
    </row>
    <row r="7028">
      <c r="A7028" s="140" t="str">
        <f>IFERROR(__xludf.DUMMYFUNCTION("""COMPUTED_VALUE"""),"pt")</f>
        <v>pt</v>
      </c>
      <c r="B7028">
        <f>IFERROR(__xludf.DUMMYFUNCTION("""COMPUTED_VALUE"""),3054654.0)</f>
        <v>3054654</v>
      </c>
      <c r="C7028" t="str">
        <f>IFERROR(__xludf.DUMMYFUNCTION("""COMPUTED_VALUE"""),"Excel Dashboard para Análise de Dados")</f>
        <v>Excel Dashboard para Análise de Dados</v>
      </c>
    </row>
    <row r="7029">
      <c r="A7029" s="140" t="str">
        <f>IFERROR(__xludf.DUMMYFUNCTION("""COMPUTED_VALUE"""),"en")</f>
        <v>en</v>
      </c>
      <c r="B7029">
        <f>IFERROR(__xludf.DUMMYFUNCTION("""COMPUTED_VALUE"""),532536.0)</f>
        <v>532536</v>
      </c>
      <c r="C7029" t="str">
        <f>IFERROR(__xludf.DUMMYFUNCTION("""COMPUTED_VALUE"""),"PowerPoint &amp; Camtasia Video Fusion")</f>
        <v>PowerPoint &amp; Camtasia Video Fusion</v>
      </c>
    </row>
    <row r="7030">
      <c r="A7030" s="140" t="str">
        <f>IFERROR(__xludf.DUMMYFUNCTION("""COMPUTED_VALUE"""),"en")</f>
        <v>en</v>
      </c>
      <c r="B7030">
        <f>IFERROR(__xludf.DUMMYFUNCTION("""COMPUTED_VALUE"""),3703210.0)</f>
        <v>3703210</v>
      </c>
      <c r="C7030" t="str">
        <f>IFERROR(__xludf.DUMMYFUNCTION("""COMPUTED_VALUE"""),"AWS Networking Masterclass - Amazon VPC and Hybrid Cloud")</f>
        <v>AWS Networking Masterclass - Amazon VPC and Hybrid Cloud</v>
      </c>
    </row>
    <row r="7031">
      <c r="A7031" s="140" t="str">
        <f>IFERROR(__xludf.DUMMYFUNCTION("""COMPUTED_VALUE"""),"en")</f>
        <v>en</v>
      </c>
      <c r="B7031">
        <f>IFERROR(__xludf.DUMMYFUNCTION("""COMPUTED_VALUE"""),1271196.0)</f>
        <v>1271196</v>
      </c>
      <c r="C7031" t="str">
        <f>IFERROR(__xludf.DUMMYFUNCTION("""COMPUTED_VALUE"""),"The complete AutoCAD 2018-21 course")</f>
        <v>The complete AutoCAD 2018-21 course</v>
      </c>
    </row>
    <row r="7032">
      <c r="A7032" s="140" t="str">
        <f>IFERROR(__xludf.DUMMYFUNCTION("""COMPUTED_VALUE"""),"en")</f>
        <v>en</v>
      </c>
      <c r="B7032">
        <f>IFERROR(__xludf.DUMMYFUNCTION("""COMPUTED_VALUE"""),3856546.0)</f>
        <v>3856546</v>
      </c>
      <c r="C7032" t="str">
        <f>IFERROR(__xludf.DUMMYFUNCTION("""COMPUTED_VALUE"""),"HubSpot for Beginners - 2021 Edition")</f>
        <v>HubSpot for Beginners - 2021 Edition</v>
      </c>
    </row>
    <row r="7033">
      <c r="A7033" s="140" t="str">
        <f>IFERROR(__xludf.DUMMYFUNCTION("""COMPUTED_VALUE"""),"en")</f>
        <v>en</v>
      </c>
      <c r="B7033">
        <f>IFERROR(__xludf.DUMMYFUNCTION("""COMPUTED_VALUE"""),2732152.0)</f>
        <v>2732152</v>
      </c>
      <c r="C7033" t="str">
        <f>IFERROR(__xludf.DUMMYFUNCTION("""COMPUTED_VALUE"""),"Six Sigma: Lean Six Sigma Black Belt (Part 1) (Accredited)")</f>
        <v>Six Sigma: Lean Six Sigma Black Belt (Part 1) (Accredited)</v>
      </c>
    </row>
    <row r="7034">
      <c r="A7034" s="140" t="str">
        <f>IFERROR(__xludf.DUMMYFUNCTION("""COMPUTED_VALUE"""),"en")</f>
        <v>en</v>
      </c>
      <c r="B7034">
        <f>IFERROR(__xludf.DUMMYFUNCTION("""COMPUTED_VALUE"""),2144654.0)</f>
        <v>2144654</v>
      </c>
      <c r="C7034" t="str">
        <f>IFERROR(__xludf.DUMMYFUNCTION("""COMPUTED_VALUE"""),"Learn Manual Software Testing with Live Project + Jira Tool")</f>
        <v>Learn Manual Software Testing with Live Project + Jira Tool</v>
      </c>
    </row>
    <row r="7035">
      <c r="A7035" s="140" t="str">
        <f>IFERROR(__xludf.DUMMYFUNCTION("""COMPUTED_VALUE"""),"en")</f>
        <v>en</v>
      </c>
      <c r="B7035">
        <f>IFERROR(__xludf.DUMMYFUNCTION("""COMPUTED_VALUE"""),1271962.0)</f>
        <v>1271962</v>
      </c>
      <c r="C7035" t="str">
        <f>IFERROR(__xludf.DUMMYFUNCTION("""COMPUTED_VALUE"""),"Internet of Things Business Impact")</f>
        <v>Internet of Things Business Impact</v>
      </c>
    </row>
    <row r="7036">
      <c r="A7036" s="140" t="str">
        <f>IFERROR(__xludf.DUMMYFUNCTION("""COMPUTED_VALUE"""),"en")</f>
        <v>en</v>
      </c>
      <c r="B7036">
        <f>IFERROR(__xludf.DUMMYFUNCTION("""COMPUTED_VALUE"""),118284.0)</f>
        <v>118284</v>
      </c>
      <c r="C7036" t="str">
        <f>IFERROR(__xludf.DUMMYFUNCTION("""COMPUTED_VALUE"""),"Learn QuickBooks Pro 2014 the Easy Way")</f>
        <v>Learn QuickBooks Pro 2014 the Easy Way</v>
      </c>
    </row>
    <row r="7037">
      <c r="A7037" s="140" t="str">
        <f>IFERROR(__xludf.DUMMYFUNCTION("""COMPUTED_VALUE"""),"en")</f>
        <v>en</v>
      </c>
      <c r="B7037">
        <f>IFERROR(__xludf.DUMMYFUNCTION("""COMPUTED_VALUE"""),846270.0)</f>
        <v>846270</v>
      </c>
      <c r="C7037" t="str">
        <f>IFERROR(__xludf.DUMMYFUNCTION("""COMPUTED_VALUE"""),"JavaScript JSON and AJAX Explained JavaScript Objects")</f>
        <v>JavaScript JSON and AJAX Explained JavaScript Objects</v>
      </c>
    </row>
    <row r="7038">
      <c r="A7038" s="140" t="str">
        <f>IFERROR(__xludf.DUMMYFUNCTION("""COMPUTED_VALUE"""),"pt")</f>
        <v>pt</v>
      </c>
      <c r="B7038">
        <f>IFERROR(__xludf.DUMMYFUNCTION("""COMPUTED_VALUE"""),996216.0)</f>
        <v>996216</v>
      </c>
      <c r="C7038" t="str">
        <f>IFERROR(__xludf.DUMMYFUNCTION("""COMPUTED_VALUE"""),"Produção e Edição de Vídeos com Camtasia Studio 9.")</f>
        <v>Produção e Edição de Vídeos com Camtasia Studio 9.</v>
      </c>
    </row>
    <row r="7039">
      <c r="A7039" s="140" t="str">
        <f>IFERROR(__xludf.DUMMYFUNCTION("""COMPUTED_VALUE"""),"fr")</f>
        <v>fr</v>
      </c>
      <c r="B7039">
        <f>IFERROR(__xludf.DUMMYFUNCTION("""COMPUTED_VALUE"""),3371142.0)</f>
        <v>3371142</v>
      </c>
      <c r="C7039" t="str">
        <f>IFERROR(__xludf.DUMMYFUNCTION("""COMPUTED_VALUE"""),"SAP-C01 AWS Solutions Architect Professional Certification")</f>
        <v>SAP-C01 AWS Solutions Architect Professional Certification</v>
      </c>
    </row>
    <row r="7040">
      <c r="A7040" s="140" t="str">
        <f>IFERROR(__xludf.DUMMYFUNCTION("""COMPUTED_VALUE"""),"es")</f>
        <v>es</v>
      </c>
      <c r="B7040">
        <f>IFERROR(__xludf.DUMMYFUNCTION("""COMPUTED_VALUE"""),3401882.0)</f>
        <v>3401882</v>
      </c>
      <c r="C7040" t="str">
        <f>IFERROR(__xludf.DUMMYFUNCTION("""COMPUTED_VALUE"""),"Portugués de Brasil básico para hispanohablantes")</f>
        <v>Portugués de Brasil básico para hispanohablantes</v>
      </c>
    </row>
    <row r="7041">
      <c r="A7041" s="140" t="str">
        <f>IFERROR(__xludf.DUMMYFUNCTION("""COMPUTED_VALUE"""),"en")</f>
        <v>en</v>
      </c>
      <c r="B7041">
        <f>IFERROR(__xludf.DUMMYFUNCTION("""COMPUTED_VALUE"""),739942.0)</f>
        <v>739942</v>
      </c>
      <c r="C7041" t="str">
        <f>IFERROR(__xludf.DUMMYFUNCTION("""COMPUTED_VALUE"""),"Master Microsoft Excel 2013 &amp; 2016 for Beginners")</f>
        <v>Master Microsoft Excel 2013 &amp; 2016 for Beginners</v>
      </c>
    </row>
    <row r="7042">
      <c r="A7042" s="140" t="str">
        <f>IFERROR(__xludf.DUMMYFUNCTION("""COMPUTED_VALUE"""),"en")</f>
        <v>en</v>
      </c>
      <c r="B7042">
        <f>IFERROR(__xludf.DUMMYFUNCTION("""COMPUTED_VALUE"""),2266662.0)</f>
        <v>2266662</v>
      </c>
      <c r="C7042" t="str">
        <f>IFERROR(__xludf.DUMMYFUNCTION("""COMPUTED_VALUE"""),"CHANGE MANAGEMENT FOR ORGANIZATIONS: Drive Strategic Results")</f>
        <v>CHANGE MANAGEMENT FOR ORGANIZATIONS: Drive Strategic Results</v>
      </c>
    </row>
    <row r="7043">
      <c r="A7043" s="140" t="str">
        <f>IFERROR(__xludf.DUMMYFUNCTION("""COMPUTED_VALUE"""),"en")</f>
        <v>en</v>
      </c>
      <c r="B7043">
        <f>IFERROR(__xludf.DUMMYFUNCTION("""COMPUTED_VALUE"""),816772.0)</f>
        <v>816772</v>
      </c>
      <c r="C7043" t="str">
        <f>IFERROR(__xludf.DUMMYFUNCTION("""COMPUTED_VALUE"""),"Make a low poly scene in Blender and Unity in 30 minutes")</f>
        <v>Make a low poly scene in Blender and Unity in 30 minutes</v>
      </c>
    </row>
    <row r="7044">
      <c r="A7044" s="140" t="str">
        <f>IFERROR(__xludf.DUMMYFUNCTION("""COMPUTED_VALUE"""),"pt")</f>
        <v>pt</v>
      </c>
      <c r="B7044">
        <f>IFERROR(__xludf.DUMMYFUNCTION("""COMPUTED_VALUE"""),1266468.0)</f>
        <v>1266468</v>
      </c>
      <c r="C7044" t="str">
        <f>IFERROR(__xludf.DUMMYFUNCTION("""COMPUTED_VALUE"""),"Indesign CC 2017, 2018 Completo - do Iniciante ao Avançado")</f>
        <v>Indesign CC 2017, 2018 Completo - do Iniciante ao Avançado</v>
      </c>
    </row>
    <row r="7045">
      <c r="A7045" s="140" t="str">
        <f>IFERROR(__xludf.DUMMYFUNCTION("""COMPUTED_VALUE"""),"en")</f>
        <v>en</v>
      </c>
      <c r="B7045">
        <f>IFERROR(__xludf.DUMMYFUNCTION("""COMPUTED_VALUE"""),529444.0)</f>
        <v>529444</v>
      </c>
      <c r="C7045" t="str">
        <f>IFERROR(__xludf.DUMMYFUNCTION("""COMPUTED_VALUE"""),"Java from Beginner to Expert")</f>
        <v>Java from Beginner to Expert</v>
      </c>
    </row>
    <row r="7046">
      <c r="A7046" s="140" t="str">
        <f>IFERROR(__xludf.DUMMYFUNCTION("""COMPUTED_VALUE"""),"en")</f>
        <v>en</v>
      </c>
      <c r="B7046">
        <f>IFERROR(__xludf.DUMMYFUNCTION("""COMPUTED_VALUE"""),1483206.0)</f>
        <v>1483206</v>
      </c>
      <c r="C7046" t="str">
        <f>IFERROR(__xludf.DUMMYFUNCTION("""COMPUTED_VALUE"""),"Certified Ethical Hacker (CEHv11) Exams #UNOFFICIAL#")</f>
        <v>Certified Ethical Hacker (CEHv11) Exams #UNOFFICIAL#</v>
      </c>
    </row>
    <row r="7047">
      <c r="A7047" s="140" t="str">
        <f>IFERROR(__xludf.DUMMYFUNCTION("""COMPUTED_VALUE"""),"en")</f>
        <v>en</v>
      </c>
      <c r="B7047">
        <f>IFERROR(__xludf.DUMMYFUNCTION("""COMPUTED_VALUE"""),3225617.0)</f>
        <v>3225617</v>
      </c>
      <c r="C7047" t="str">
        <f>IFERROR(__xludf.DUMMYFUNCTION("""COMPUTED_VALUE"""),"HIPAA Training for the 2020s")</f>
        <v>HIPAA Training for the 2020s</v>
      </c>
    </row>
    <row r="7048">
      <c r="A7048" s="140" t="str">
        <f>IFERROR(__xludf.DUMMYFUNCTION("""COMPUTED_VALUE"""),"en")</f>
        <v>en</v>
      </c>
      <c r="B7048">
        <f>IFERROR(__xludf.DUMMYFUNCTION("""COMPUTED_VALUE"""),1449262.0)</f>
        <v>1449262</v>
      </c>
      <c r="C7048" t="str">
        <f>IFERROR(__xludf.DUMMYFUNCTION("""COMPUTED_VALUE"""),"REST API Testing Automation with Java + PostMan + Framework")</f>
        <v>REST API Testing Automation with Java + PostMan + Framework</v>
      </c>
    </row>
    <row r="7049">
      <c r="A7049" s="140" t="str">
        <f>IFERROR(__xludf.DUMMYFUNCTION("""COMPUTED_VALUE"""),"tr")</f>
        <v>tr</v>
      </c>
      <c r="B7049">
        <f>IFERROR(__xludf.DUMMYFUNCTION("""COMPUTED_VALUE"""),2293331.0)</f>
        <v>2293331</v>
      </c>
      <c r="C7049" t="str">
        <f>IFERROR(__xludf.DUMMYFUNCTION("""COMPUTED_VALUE"""),"C# ve  JAVA Geliştiricileri için Clean Code Yazma Sanatı")</f>
        <v>C# ve  JAVA Geliştiricileri için Clean Code Yazma Sanatı</v>
      </c>
    </row>
    <row r="7050">
      <c r="A7050" s="140" t="str">
        <f>IFERROR(__xludf.DUMMYFUNCTION("""COMPUTED_VALUE"""),"en")</f>
        <v>en</v>
      </c>
      <c r="B7050">
        <f>IFERROR(__xludf.DUMMYFUNCTION("""COMPUTED_VALUE"""),661114.0)</f>
        <v>661114</v>
      </c>
      <c r="C7050" t="str">
        <f>IFERROR(__xludf.DUMMYFUNCTION("""COMPUTED_VALUE"""),"Be A Better Manager 3 - Team Building Management Training")</f>
        <v>Be A Better Manager 3 - Team Building Management Training</v>
      </c>
    </row>
    <row r="7051">
      <c r="A7051" s="140" t="str">
        <f>IFERROR(__xludf.DUMMYFUNCTION("""COMPUTED_VALUE"""),"en")</f>
        <v>en</v>
      </c>
      <c r="B7051">
        <f>IFERROR(__xludf.DUMMYFUNCTION("""COMPUTED_VALUE"""),1058386.0)</f>
        <v>1058386</v>
      </c>
      <c r="C7051" t="str">
        <f>IFERROR(__xludf.DUMMYFUNCTION("""COMPUTED_VALUE"""),"Management Consulting Project – Behind the Scenes")</f>
        <v>Management Consulting Project – Behind the Scenes</v>
      </c>
    </row>
    <row r="7052">
      <c r="A7052" s="140" t="str">
        <f>IFERROR(__xludf.DUMMYFUNCTION("""COMPUTED_VALUE"""),"es")</f>
        <v>es</v>
      </c>
      <c r="B7052">
        <f>IFERROR(__xludf.DUMMYFUNCTION("""COMPUTED_VALUE"""),1918446.0)</f>
        <v>1918446</v>
      </c>
      <c r="C7052" t="str">
        <f>IFERROR(__xludf.DUMMYFUNCTION("""COMPUTED_VALUE"""),"Cómo atraer clientes con Google Mi Negocio - 2021")</f>
        <v>Cómo atraer clientes con Google Mi Negocio - 2021</v>
      </c>
    </row>
    <row r="7053">
      <c r="A7053" s="140" t="str">
        <f>IFERROR(__xludf.DUMMYFUNCTION("""COMPUTED_VALUE"""),"en")</f>
        <v>en</v>
      </c>
      <c r="B7053">
        <f>IFERROR(__xludf.DUMMYFUNCTION("""COMPUTED_VALUE"""),304490.0)</f>
        <v>304490</v>
      </c>
      <c r="C7053" t="str">
        <f>IFERROR(__xludf.DUMMYFUNCTION("""COMPUTED_VALUE"""),"A 18 Hour SQL/SQL Server 2014/Visual Studio 2017 Course")</f>
        <v>A 18 Hour SQL/SQL Server 2014/Visual Studio 2017 Course</v>
      </c>
    </row>
    <row r="7054">
      <c r="A7054" s="140" t="str">
        <f>IFERROR(__xludf.DUMMYFUNCTION("""COMPUTED_VALUE"""),"zh")</f>
        <v>zh</v>
      </c>
      <c r="B7054">
        <f>IFERROR(__xludf.DUMMYFUNCTION("""COMPUTED_VALUE"""),2766628.0)</f>
        <v>2766628</v>
      </c>
      <c r="C7054" t="str">
        <f>IFERROR(__xludf.DUMMYFUNCTION("""COMPUTED_VALUE"""),"高效有趣學Excel，輕鬆入門到高階")</f>
        <v>高效有趣學Excel，輕鬆入門到高階</v>
      </c>
    </row>
    <row r="7055">
      <c r="A7055" s="140" t="str">
        <f>IFERROR(__xludf.DUMMYFUNCTION("""COMPUTED_VALUE"""),"pt")</f>
        <v>pt</v>
      </c>
      <c r="B7055">
        <f>IFERROR(__xludf.DUMMYFUNCTION("""COMPUTED_VALUE"""),1443670.0)</f>
        <v>1443670</v>
      </c>
      <c r="C7055" t="str">
        <f>IFERROR(__xludf.DUMMYFUNCTION("""COMPUTED_VALUE"""),"Machine Learning e Data Science com R de A à Z")</f>
        <v>Machine Learning e Data Science com R de A à Z</v>
      </c>
    </row>
    <row r="7056">
      <c r="A7056" s="140" t="str">
        <f>IFERROR(__xludf.DUMMYFUNCTION("""COMPUTED_VALUE"""),"tr")</f>
        <v>tr</v>
      </c>
      <c r="B7056">
        <f>IFERROR(__xludf.DUMMYFUNCTION("""COMPUTED_VALUE"""),1355492.0)</f>
        <v>1355492</v>
      </c>
      <c r="C7056" t="str">
        <f>IFERROR(__xludf.DUMMYFUNCTION("""COMPUTED_VALUE"""),"Sourcetree ile Git ve GitHub Kullanımı")</f>
        <v>Sourcetree ile Git ve GitHub Kullanımı</v>
      </c>
    </row>
    <row r="7057">
      <c r="A7057" s="140" t="str">
        <f>IFERROR(__xludf.DUMMYFUNCTION("""COMPUTED_VALUE"""),"en")</f>
        <v>en</v>
      </c>
      <c r="B7057">
        <f>IFERROR(__xludf.DUMMYFUNCTION("""COMPUTED_VALUE"""),338998.0)</f>
        <v>338998</v>
      </c>
      <c r="C7057" t="str">
        <f>IFERROR(__xludf.DUMMYFUNCTION("""COMPUTED_VALUE"""),"Learn the Mac Terminal Today")</f>
        <v>Learn the Mac Terminal Today</v>
      </c>
    </row>
    <row r="7058">
      <c r="A7058" s="140" t="str">
        <f>IFERROR(__xludf.DUMMYFUNCTION("""COMPUTED_VALUE"""),"tr")</f>
        <v>tr</v>
      </c>
      <c r="B7058">
        <f>IFERROR(__xludf.DUMMYFUNCTION("""COMPUTED_VALUE"""),1833058.0)</f>
        <v>1833058</v>
      </c>
      <c r="C7058" t="str">
        <f>IFERROR(__xludf.DUMMYFUNCTION("""COMPUTED_VALUE"""),"XCode 11 , Swift 5 ve IOS13 ile Mobil Uygulamalar")</f>
        <v>XCode 11 , Swift 5 ve IOS13 ile Mobil Uygulamalar</v>
      </c>
    </row>
    <row r="7059">
      <c r="A7059" s="140" t="str">
        <f>IFERROR(__xludf.DUMMYFUNCTION("""COMPUTED_VALUE"""),"pt")</f>
        <v>pt</v>
      </c>
      <c r="B7059">
        <f>IFERROR(__xludf.DUMMYFUNCTION("""COMPUTED_VALUE"""),3183136.0)</f>
        <v>3183136</v>
      </c>
      <c r="C7059" t="str">
        <f>IFERROR(__xludf.DUMMYFUNCTION("""COMPUTED_VALUE"""),"Destrava! O método para falar em público sem medo")</f>
        <v>Destrava! O método para falar em público sem medo</v>
      </c>
    </row>
    <row r="7060">
      <c r="A7060" s="140" t="str">
        <f>IFERROR(__xludf.DUMMYFUNCTION("""COMPUTED_VALUE"""),"en")</f>
        <v>en</v>
      </c>
      <c r="B7060">
        <f>IFERROR(__xludf.DUMMYFUNCTION("""COMPUTED_VALUE"""),4126398.0)</f>
        <v>4126398</v>
      </c>
      <c r="C7060" t="str">
        <f>IFERROR(__xludf.DUMMYFUNCTION("""COMPUTED_VALUE"""),"Google Professional Cloud Security Engineer Certification")</f>
        <v>Google Professional Cloud Security Engineer Certification</v>
      </c>
    </row>
    <row r="7061">
      <c r="A7061" s="140" t="str">
        <f>IFERROR(__xludf.DUMMYFUNCTION("""COMPUTED_VALUE"""),"en")</f>
        <v>en</v>
      </c>
      <c r="B7061">
        <f>IFERROR(__xludf.DUMMYFUNCTION("""COMPUTED_VALUE"""),2013284.0)</f>
        <v>2013284</v>
      </c>
      <c r="C7061" t="str">
        <f>IFERROR(__xludf.DUMMYFUNCTION("""COMPUTED_VALUE"""),"Microsoft Python Certification Exam (98-381): Practice Tests")</f>
        <v>Microsoft Python Certification Exam (98-381): Practice Tests</v>
      </c>
    </row>
    <row r="7062">
      <c r="A7062" s="140" t="str">
        <f>IFERROR(__xludf.DUMMYFUNCTION("""COMPUTED_VALUE"""),"pt")</f>
        <v>pt</v>
      </c>
      <c r="B7062">
        <f>IFERROR(__xludf.DUMMYFUNCTION("""COMPUTED_VALUE"""),2940390.0)</f>
        <v>2940390</v>
      </c>
      <c r="C7062" t="str">
        <f>IFERROR(__xludf.DUMMYFUNCTION("""COMPUTED_VALUE"""),"Gestão de pessoas.")</f>
        <v>Gestão de pessoas.</v>
      </c>
    </row>
    <row r="7063">
      <c r="A7063" s="140" t="str">
        <f>IFERROR(__xludf.DUMMYFUNCTION("""COMPUTED_VALUE"""),"es")</f>
        <v>es</v>
      </c>
      <c r="B7063">
        <f>IFERROR(__xludf.DUMMYFUNCTION("""COMPUTED_VALUE"""),1696802.0)</f>
        <v>1696802</v>
      </c>
      <c r="C7063" t="str">
        <f>IFERROR(__xludf.DUMMYFUNCTION("""COMPUTED_VALUE"""),"Fundamentos de Programación, Algoritmos en 5 Lenguajes.")</f>
        <v>Fundamentos de Programación, Algoritmos en 5 Lenguajes.</v>
      </c>
    </row>
    <row r="7064">
      <c r="A7064" s="140" t="str">
        <f>IFERROR(__xludf.DUMMYFUNCTION("""COMPUTED_VALUE"""),"en")</f>
        <v>en</v>
      </c>
      <c r="B7064">
        <f>IFERROR(__xludf.DUMMYFUNCTION("""COMPUTED_VALUE"""),1433316.0)</f>
        <v>1433316</v>
      </c>
      <c r="C7064" t="str">
        <f>IFERROR(__xludf.DUMMYFUNCTION("""COMPUTED_VALUE"""),"Webservices API Testing with Rest Assured API &amp; POSTMAN 2020")</f>
        <v>Webservices API Testing with Rest Assured API &amp; POSTMAN 2020</v>
      </c>
    </row>
    <row r="7065">
      <c r="A7065" s="140" t="str">
        <f>IFERROR(__xludf.DUMMYFUNCTION("""COMPUTED_VALUE"""),"en")</f>
        <v>en</v>
      </c>
      <c r="B7065">
        <f>IFERROR(__xludf.DUMMYFUNCTION("""COMPUTED_VALUE"""),632782.0)</f>
        <v>632782</v>
      </c>
      <c r="C7065" t="str">
        <f>IFERROR(__xludf.DUMMYFUNCTION("""COMPUTED_VALUE"""),"Best Practices in Document Management")</f>
        <v>Best Practices in Document Management</v>
      </c>
    </row>
    <row r="7066">
      <c r="A7066" s="140" t="str">
        <f>IFERROR(__xludf.DUMMYFUNCTION("""COMPUTED_VALUE"""),"ja")</f>
        <v>ja</v>
      </c>
      <c r="B7066">
        <f>IFERROR(__xludf.DUMMYFUNCTION("""COMPUTED_VALUE"""),701468.0)</f>
        <v>701468</v>
      </c>
      <c r="C7066" t="str">
        <f>IFERROR(__xludf.DUMMYFUNCTION("""COMPUTED_VALUE"""),"Photoshopマスターコース　基礎から上級まで　ステップバイステップでPhotoshopのすべてを学ぼう")</f>
        <v>Photoshopマスターコース　基礎から上級まで　ステップバイステップでPhotoshopのすべてを学ぼう</v>
      </c>
    </row>
    <row r="7067">
      <c r="A7067" s="140" t="str">
        <f>IFERROR(__xludf.DUMMYFUNCTION("""COMPUTED_VALUE"""),"en")</f>
        <v>en</v>
      </c>
      <c r="B7067">
        <f>IFERROR(__xludf.DUMMYFUNCTION("""COMPUTED_VALUE"""),1915496.0)</f>
        <v>1915496</v>
      </c>
      <c r="C7067" t="str">
        <f>IFERROR(__xludf.DUMMYFUNCTION("""COMPUTED_VALUE"""),"Facebook Marketing -  Build Facebook Messenger Chatbots")</f>
        <v>Facebook Marketing -  Build Facebook Messenger Chatbots</v>
      </c>
    </row>
    <row r="7068">
      <c r="A7068" s="140" t="str">
        <f>IFERROR(__xludf.DUMMYFUNCTION("""COMPUTED_VALUE"""),"ja")</f>
        <v>ja</v>
      </c>
      <c r="B7068">
        <f>IFERROR(__xludf.DUMMYFUNCTION("""COMPUTED_VALUE"""),2860694.0)</f>
        <v>2860694</v>
      </c>
      <c r="C7068" t="str">
        <f>IFERROR(__xludf.DUMMYFUNCTION("""COMPUTED_VALUE"""),"【世界で74万人が受講】基礎から理解し、Pythonで実装！機械学習26のアルゴリズムを理論と実践を通じてマスターしよう")</f>
        <v>【世界で74万人が受講】基礎から理解し、Pythonで実装！機械学習26のアルゴリズムを理論と実践を通じてマスターしよう</v>
      </c>
    </row>
    <row r="7069">
      <c r="A7069" s="140" t="str">
        <f>IFERROR(__xludf.DUMMYFUNCTION("""COMPUTED_VALUE"""),"en")</f>
        <v>en</v>
      </c>
      <c r="B7069">
        <f>IFERROR(__xludf.DUMMYFUNCTION("""COMPUTED_VALUE"""),426196.0)</f>
        <v>426196</v>
      </c>
      <c r="C7069" t="str">
        <f>IFERROR(__xludf.DUMMYFUNCTION("""COMPUTED_VALUE"""),"JavaScript from Beginner to Expert")</f>
        <v>JavaScript from Beginner to Expert</v>
      </c>
    </row>
    <row r="7070">
      <c r="A7070" s="140" t="str">
        <f>IFERROR(__xludf.DUMMYFUNCTION("""COMPUTED_VALUE"""),"en")</f>
        <v>en</v>
      </c>
      <c r="B7070">
        <f>IFERROR(__xludf.DUMMYFUNCTION("""COMPUTED_VALUE"""),3134552.0)</f>
        <v>3134552</v>
      </c>
      <c r="C7070" t="str">
        <f>IFERROR(__xludf.DUMMYFUNCTION("""COMPUTED_VALUE"""),"Microservices Architecture and Implementation on .NET 5")</f>
        <v>Microservices Architecture and Implementation on .NET 5</v>
      </c>
    </row>
    <row r="7071">
      <c r="A7071" s="140" t="str">
        <f>IFERROR(__xludf.DUMMYFUNCTION("""COMPUTED_VALUE"""),"es")</f>
        <v>es</v>
      </c>
      <c r="B7071">
        <f>IFERROR(__xludf.DUMMYFUNCTION("""COMPUTED_VALUE"""),1303122.0)</f>
        <v>1303122</v>
      </c>
      <c r="C7071" t="str">
        <f>IFERROR(__xludf.DUMMYFUNCTION("""COMPUTED_VALUE"""),"Java EE - Desde cero a Experto (EJB, JPA, Web Services, JSF)")</f>
        <v>Java EE - Desde cero a Experto (EJB, JPA, Web Services, JSF)</v>
      </c>
    </row>
    <row r="7072">
      <c r="A7072" s="140" t="str">
        <f>IFERROR(__xludf.DUMMYFUNCTION("""COMPUTED_VALUE"""),"en")</f>
        <v>en</v>
      </c>
      <c r="B7072">
        <f>IFERROR(__xludf.DUMMYFUNCTION("""COMPUTED_VALUE"""),1009226.0)</f>
        <v>1009226</v>
      </c>
      <c r="C7072" t="str">
        <f>IFERROR(__xludf.DUMMYFUNCTION("""COMPUTED_VALUE"""),"Mobile Product Design: From Napkin to Launch")</f>
        <v>Mobile Product Design: From Napkin to Launch</v>
      </c>
    </row>
    <row r="7073">
      <c r="A7073" s="140" t="str">
        <f>IFERROR(__xludf.DUMMYFUNCTION("""COMPUTED_VALUE"""),"de")</f>
        <v>de</v>
      </c>
      <c r="B7073">
        <f>IFERROR(__xludf.DUMMYFUNCTION("""COMPUTED_VALUE"""),1315502.0)</f>
        <v>1315502</v>
      </c>
      <c r="C7073" t="str">
        <f>IFERROR(__xludf.DUMMYFUNCTION("""COMPUTED_VALUE"""),"JavaFX  - Java Programme mit Oberflächen / GUIs erstellen")</f>
        <v>JavaFX  - Java Programme mit Oberflächen / GUIs erstellen</v>
      </c>
    </row>
    <row r="7074">
      <c r="A7074" s="140" t="str">
        <f>IFERROR(__xludf.DUMMYFUNCTION("""COMPUTED_VALUE"""),"ar")</f>
        <v>ar</v>
      </c>
      <c r="B7074">
        <f>IFERROR(__xludf.DUMMYFUNCTION("""COMPUTED_VALUE"""),3635810.0)</f>
        <v>3635810</v>
      </c>
      <c r="C7074" t="str">
        <f>IFERROR(__xludf.DUMMYFUNCTION("""COMPUTED_VALUE"""),"كورس الاكسيل المحاسبى والقوائم المالية  الشامل")</f>
        <v>كورس الاكسيل المحاسبى والقوائم المالية  الشامل</v>
      </c>
    </row>
    <row r="7075">
      <c r="A7075" s="140" t="str">
        <f>IFERROR(__xludf.DUMMYFUNCTION("""COMPUTED_VALUE"""),"ja")</f>
        <v>ja</v>
      </c>
      <c r="B7075">
        <f>IFERROR(__xludf.DUMMYFUNCTION("""COMPUTED_VALUE"""),1973926.0)</f>
        <v>1973926</v>
      </c>
      <c r="C7075" t="str">
        <f>IFERROR(__xludf.DUMMYFUNCTION("""COMPUTED_VALUE"""),"【Kaggleで学ぼう】Python と Keras で学ぶディープラーニング開発入門")</f>
        <v>【Kaggleで学ぼう】Python と Keras で学ぶディープラーニング開発入門</v>
      </c>
    </row>
    <row r="7076">
      <c r="A7076" s="140" t="str">
        <f>IFERROR(__xludf.DUMMYFUNCTION("""COMPUTED_VALUE"""),"en")</f>
        <v>en</v>
      </c>
      <c r="B7076">
        <f>IFERROR(__xludf.DUMMYFUNCTION("""COMPUTED_VALUE"""),1151304.0)</f>
        <v>1151304</v>
      </c>
      <c r="C7076" t="str">
        <f>IFERROR(__xludf.DUMMYFUNCTION("""COMPUTED_VALUE"""),"The Complete Job Control Language (JCL) Course.")</f>
        <v>The Complete Job Control Language (JCL) Course.</v>
      </c>
    </row>
    <row r="7077">
      <c r="A7077" s="140" t="str">
        <f>IFERROR(__xludf.DUMMYFUNCTION("""COMPUTED_VALUE"""),"es")</f>
        <v>es</v>
      </c>
      <c r="B7077">
        <f>IFERROR(__xludf.DUMMYFUNCTION("""COMPUTED_VALUE"""),632188.0)</f>
        <v>632188</v>
      </c>
      <c r="C7077" t="str">
        <f>IFERROR(__xludf.DUMMYFUNCTION("""COMPUTED_VALUE"""),"Condicionales en Inglés: la Guía Definitiva")</f>
        <v>Condicionales en Inglés: la Guía Definitiva</v>
      </c>
    </row>
    <row r="7078">
      <c r="A7078" s="140" t="str">
        <f>IFERROR(__xludf.DUMMYFUNCTION("""COMPUTED_VALUE"""),"tr")</f>
        <v>tr</v>
      </c>
      <c r="B7078">
        <f>IFERROR(__xludf.DUMMYFUNCTION("""COMPUTED_VALUE"""),2647476.0)</f>
        <v>2647476</v>
      </c>
      <c r="C7078" t="str">
        <f>IFERROR(__xludf.DUMMYFUNCTION("""COMPUTED_VALUE"""),"Başlangıçtan İleri Seviyeye Kapsamlı İspanyolca Eğitim Seti")</f>
        <v>Başlangıçtan İleri Seviyeye Kapsamlı İspanyolca Eğitim Seti</v>
      </c>
    </row>
    <row r="7079">
      <c r="A7079" s="140" t="str">
        <f>IFERROR(__xludf.DUMMYFUNCTION("""COMPUTED_VALUE"""),"es")</f>
        <v>es</v>
      </c>
      <c r="B7079">
        <f>IFERROR(__xludf.DUMMYFUNCTION("""COMPUTED_VALUE"""),3343630.0)</f>
        <v>3343630</v>
      </c>
      <c r="C7079" t="str">
        <f>IFERROR(__xludf.DUMMYFUNCTION("""COMPUTED_VALUE"""),"La Guía de Jenkins: ¡De Cero a Experto! | Diciembre 2021")</f>
        <v>La Guía de Jenkins: ¡De Cero a Experto! | Diciembre 2021</v>
      </c>
    </row>
    <row r="7080">
      <c r="A7080" s="140" t="str">
        <f>IFERROR(__xludf.DUMMYFUNCTION("""COMPUTED_VALUE"""),"en")</f>
        <v>en</v>
      </c>
      <c r="B7080">
        <f>IFERROR(__xludf.DUMMYFUNCTION("""COMPUTED_VALUE"""),2652724.0)</f>
        <v>2652724</v>
      </c>
      <c r="C7080" t="str">
        <f>IFERROR(__xludf.DUMMYFUNCTION("""COMPUTED_VALUE"""),"Dividend Growth Investing: The Complete Dividend Course")</f>
        <v>Dividend Growth Investing: The Complete Dividend Course</v>
      </c>
    </row>
    <row r="7081">
      <c r="A7081" s="140" t="str">
        <f>IFERROR(__xludf.DUMMYFUNCTION("""COMPUTED_VALUE"""),"ja")</f>
        <v>ja</v>
      </c>
      <c r="B7081">
        <f>IFERROR(__xludf.DUMMYFUNCTION("""COMPUTED_VALUE"""),3751432.0)</f>
        <v>3751432</v>
      </c>
      <c r="C7081" t="str">
        <f>IFERROR(__xludf.DUMMYFUNCTION("""COMPUTED_VALUE"""),"【PHP中級】Webアプリケーション開発　実践講座")</f>
        <v>【PHP中級】Webアプリケーション開発　実践講座</v>
      </c>
    </row>
    <row r="7082">
      <c r="A7082" s="140" t="str">
        <f>IFERROR(__xludf.DUMMYFUNCTION("""COMPUTED_VALUE"""),"tr")</f>
        <v>tr</v>
      </c>
      <c r="B7082">
        <f>IFERROR(__xludf.DUMMYFUNCTION("""COMPUTED_VALUE"""),3213511.0)</f>
        <v>3213511</v>
      </c>
      <c r="C7082" t="str">
        <f>IFERROR(__xludf.DUMMYFUNCTION("""COMPUTED_VALUE"""),"Sıfırdan İleri Seviye  Php  Web Geliştirme Eğitimi 2021 PHP")</f>
        <v>Sıfırdan İleri Seviye  Php  Web Geliştirme Eğitimi 2021 PHP</v>
      </c>
    </row>
    <row r="7083">
      <c r="A7083" s="140" t="str">
        <f>IFERROR(__xludf.DUMMYFUNCTION("""COMPUTED_VALUE"""),"en")</f>
        <v>en</v>
      </c>
      <c r="B7083">
        <f>IFERROR(__xludf.DUMMYFUNCTION("""COMPUTED_VALUE"""),3368146.0)</f>
        <v>3368146</v>
      </c>
      <c r="C7083" t="str">
        <f>IFERROR(__xludf.DUMMYFUNCTION("""COMPUTED_VALUE"""),"Red Team Ethical Hacking - Beginner")</f>
        <v>Red Team Ethical Hacking - Beginner</v>
      </c>
    </row>
    <row r="7084">
      <c r="A7084" s="140" t="str">
        <f>IFERROR(__xludf.DUMMYFUNCTION("""COMPUTED_VALUE"""),"en")</f>
        <v>en</v>
      </c>
      <c r="B7084">
        <f>IFERROR(__xludf.DUMMYFUNCTION("""COMPUTED_VALUE"""),559976.0)</f>
        <v>559976</v>
      </c>
      <c r="C7084" t="str">
        <f>IFERROR(__xludf.DUMMYFUNCTION("""COMPUTED_VALUE"""),"Sensu - Intermediate")</f>
        <v>Sensu - Intermediate</v>
      </c>
    </row>
    <row r="7085">
      <c r="A7085" s="140" t="str">
        <f>IFERROR(__xludf.DUMMYFUNCTION("""COMPUTED_VALUE"""),"en")</f>
        <v>en</v>
      </c>
      <c r="B7085">
        <f>IFERROR(__xludf.DUMMYFUNCTION("""COMPUTED_VALUE"""),1673538.0)</f>
        <v>1673538</v>
      </c>
      <c r="C7085" t="str">
        <f>IFERROR(__xludf.DUMMYFUNCTION("""COMPUTED_VALUE"""),"CISSP Certification: CISSP Domain 5 &amp; 6 Boot Camp UPDATED 22")</f>
        <v>CISSP Certification: CISSP Domain 5 &amp; 6 Boot Camp UPDATED 22</v>
      </c>
    </row>
    <row r="7086">
      <c r="A7086" s="140" t="str">
        <f>IFERROR(__xludf.DUMMYFUNCTION("""COMPUTED_VALUE"""),"en")</f>
        <v>en</v>
      </c>
      <c r="B7086">
        <f>IFERROR(__xludf.DUMMYFUNCTION("""COMPUTED_VALUE"""),3292616.0)</f>
        <v>3292616</v>
      </c>
      <c r="C7086" t="str">
        <f>IFERROR(__xludf.DUMMYFUNCTION("""COMPUTED_VALUE"""),"ISTQB Foundation Level 2021 Complete Training")</f>
        <v>ISTQB Foundation Level 2021 Complete Training</v>
      </c>
    </row>
    <row r="7087">
      <c r="A7087" s="140" t="str">
        <f>IFERROR(__xludf.DUMMYFUNCTION("""COMPUTED_VALUE"""),"tr")</f>
        <v>tr</v>
      </c>
      <c r="B7087">
        <f>IFERROR(__xludf.DUMMYFUNCTION("""COMPUTED_VALUE"""),3699380.0)</f>
        <v>3699380</v>
      </c>
      <c r="C7087" t="str">
        <f>IFERROR(__xludf.DUMMYFUNCTION("""COMPUTED_VALUE"""),"Pratik Rusça A0-A1 + 400 kelime + basit gramer")</f>
        <v>Pratik Rusça A0-A1 + 400 kelime + basit gramer</v>
      </c>
    </row>
    <row r="7088">
      <c r="A7088" s="140" t="str">
        <f>IFERROR(__xludf.DUMMYFUNCTION("""COMPUTED_VALUE"""),"en")</f>
        <v>en</v>
      </c>
      <c r="B7088">
        <f>IFERROR(__xludf.DUMMYFUNCTION("""COMPUTED_VALUE"""),1682932.0)</f>
        <v>1682932</v>
      </c>
      <c r="C7088" t="str">
        <f>IFERROR(__xludf.DUMMYFUNCTION("""COMPUTED_VALUE"""),"Intro to Airplane Physics in Unity 3D - 2017 &amp; 2018")</f>
        <v>Intro to Airplane Physics in Unity 3D - 2017 &amp; 2018</v>
      </c>
    </row>
    <row r="7089">
      <c r="A7089" s="140" t="str">
        <f>IFERROR(__xludf.DUMMYFUNCTION("""COMPUTED_VALUE"""),"en")</f>
        <v>en</v>
      </c>
      <c r="B7089">
        <f>IFERROR(__xludf.DUMMYFUNCTION("""COMPUTED_VALUE"""),2134190.0)</f>
        <v>2134190</v>
      </c>
      <c r="C7089" t="str">
        <f>IFERROR(__xludf.DUMMYFUNCTION("""COMPUTED_VALUE"""),"Learn Selenium with Java, Cucumber + Live Project")</f>
        <v>Learn Selenium with Java, Cucumber + Live Project</v>
      </c>
    </row>
    <row r="7090">
      <c r="A7090" s="140" t="str">
        <f>IFERROR(__xludf.DUMMYFUNCTION("""COMPUTED_VALUE"""),"en")</f>
        <v>en</v>
      </c>
      <c r="B7090">
        <f>IFERROR(__xludf.DUMMYFUNCTION("""COMPUTED_VALUE"""),1329554.0)</f>
        <v>1329554</v>
      </c>
      <c r="C7090" t="str">
        <f>IFERROR(__xludf.DUMMYFUNCTION("""COMPUTED_VALUE"""),"Network Hacking Continued - Intermediate to Advanced")</f>
        <v>Network Hacking Continued - Intermediate to Advanced</v>
      </c>
    </row>
    <row r="7091">
      <c r="A7091" s="140" t="str">
        <f>IFERROR(__xludf.DUMMYFUNCTION("""COMPUTED_VALUE"""),"ja")</f>
        <v>ja</v>
      </c>
      <c r="B7091">
        <f>IFERROR(__xludf.DUMMYFUNCTION("""COMPUTED_VALUE"""),2933896.0)</f>
        <v>2933896</v>
      </c>
      <c r="C7091" t="str">
        <f>IFERROR(__xludf.DUMMYFUNCTION("""COMPUTED_VALUE"""),"現役シリコンバレーエンジニアが教えるPythonでFXのシストレFintechアプリの開発")</f>
        <v>現役シリコンバレーエンジニアが教えるPythonでFXのシストレFintechアプリの開発</v>
      </c>
    </row>
    <row r="7092">
      <c r="A7092" s="140" t="str">
        <f>IFERROR(__xludf.DUMMYFUNCTION("""COMPUTED_VALUE"""),"en")</f>
        <v>en</v>
      </c>
      <c r="B7092">
        <f>IFERROR(__xludf.DUMMYFUNCTION("""COMPUTED_VALUE"""),4128316.0)</f>
        <v>4128316</v>
      </c>
      <c r="C7092" t="str">
        <f>IFERROR(__xludf.DUMMYFUNCTION("""COMPUTED_VALUE"""),"Git &amp; Github Master Course (2021)")</f>
        <v>Git &amp; Github Master Course (2021)</v>
      </c>
    </row>
    <row r="7093">
      <c r="A7093" s="140" t="str">
        <f>IFERROR(__xludf.DUMMYFUNCTION("""COMPUTED_VALUE"""),"de")</f>
        <v>de</v>
      </c>
      <c r="B7093">
        <f>IFERROR(__xludf.DUMMYFUNCTION("""COMPUTED_VALUE"""),1567028.0)</f>
        <v>1567028</v>
      </c>
      <c r="C7093" t="str">
        <f>IFERROR(__xludf.DUMMYFUNCTION("""COMPUTED_VALUE"""),"Agile Transformation")</f>
        <v>Agile Transformation</v>
      </c>
    </row>
    <row r="7094">
      <c r="A7094" s="140" t="str">
        <f>IFERROR(__xludf.DUMMYFUNCTION("""COMPUTED_VALUE"""),"pt")</f>
        <v>pt</v>
      </c>
      <c r="B7094">
        <f>IFERROR(__xludf.DUMMYFUNCTION("""COMPUTED_VALUE"""),2318230.0)</f>
        <v>2318230</v>
      </c>
      <c r="C7094" t="str">
        <f>IFERROR(__xludf.DUMMYFUNCTION("""COMPUTED_VALUE"""),"Simulados para Certificações Scrum Master")</f>
        <v>Simulados para Certificações Scrum Master</v>
      </c>
    </row>
    <row r="7095">
      <c r="A7095" s="140" t="str">
        <f>IFERROR(__xludf.DUMMYFUNCTION("""COMPUTED_VALUE"""),"fr")</f>
        <v>fr</v>
      </c>
      <c r="B7095">
        <f>IFERROR(__xludf.DUMMYFUNCTION("""COMPUTED_VALUE"""),851792.0)</f>
        <v>851792</v>
      </c>
      <c r="C7095" t="str">
        <f>IFERROR(__xludf.DUMMYFUNCTION("""COMPUTED_VALUE"""),"PHP - Le Cours Complet")</f>
        <v>PHP - Le Cours Complet</v>
      </c>
    </row>
    <row r="7096">
      <c r="A7096" s="140" t="str">
        <f>IFERROR(__xludf.DUMMYFUNCTION("""COMPUTED_VALUE"""),"en")</f>
        <v>en</v>
      </c>
      <c r="B7096">
        <f>IFERROR(__xludf.DUMMYFUNCTION("""COMPUTED_VALUE"""),723508.0)</f>
        <v>723508</v>
      </c>
      <c r="C7096" t="str">
        <f>IFERROR(__xludf.DUMMYFUNCTION("""COMPUTED_VALUE"""),"Nmap: Network Security Scanning Basics &amp; Advanced Techniques")</f>
        <v>Nmap: Network Security Scanning Basics &amp; Advanced Techniques</v>
      </c>
    </row>
    <row r="7097">
      <c r="A7097" s="140" t="str">
        <f>IFERROR(__xludf.DUMMYFUNCTION("""COMPUTED_VALUE"""),"ko")</f>
        <v>ko</v>
      </c>
      <c r="B7097">
        <f>IFERROR(__xludf.DUMMYFUNCTION("""COMPUTED_VALUE"""),1080152.0)</f>
        <v>1080152</v>
      </c>
      <c r="C7097" t="str">
        <f>IFERROR(__xludf.DUMMYFUNCTION("""COMPUTED_VALUE"""),"모던 리액트(React)와 리덕스(Redux)")</f>
        <v>모던 리액트(React)와 리덕스(Redux)</v>
      </c>
    </row>
    <row r="7098">
      <c r="A7098" s="140" t="str">
        <f>IFERROR(__xludf.DUMMYFUNCTION("""COMPUTED_VALUE"""),"en")</f>
        <v>en</v>
      </c>
      <c r="B7098">
        <f>IFERROR(__xludf.DUMMYFUNCTION("""COMPUTED_VALUE"""),1054260.0)</f>
        <v>1054260</v>
      </c>
      <c r="C7098" t="str">
        <f>IFERROR(__xludf.DUMMYFUNCTION("""COMPUTED_VALUE"""),"Create Responsive HTML5 eLearning with Articulate 360 Rise")</f>
        <v>Create Responsive HTML5 eLearning with Articulate 360 Rise</v>
      </c>
    </row>
    <row r="7099">
      <c r="A7099" s="140" t="str">
        <f>IFERROR(__xludf.DUMMYFUNCTION("""COMPUTED_VALUE"""),"en")</f>
        <v>en</v>
      </c>
      <c r="B7099">
        <f>IFERROR(__xludf.DUMMYFUNCTION("""COMPUTED_VALUE"""),2347694.0)</f>
        <v>2347694</v>
      </c>
      <c r="C7099" t="str">
        <f>IFERROR(__xludf.DUMMYFUNCTION("""COMPUTED_VALUE"""),"SAP MM Pricing Procedure")</f>
        <v>SAP MM Pricing Procedure</v>
      </c>
    </row>
    <row r="7100">
      <c r="A7100" s="140" t="str">
        <f>IFERROR(__xludf.DUMMYFUNCTION("""COMPUTED_VALUE"""),"pt")</f>
        <v>pt</v>
      </c>
      <c r="B7100">
        <f>IFERROR(__xludf.DUMMYFUNCTION("""COMPUTED_VALUE"""),845014.0)</f>
        <v>845014</v>
      </c>
      <c r="C7100" t="str">
        <f>IFERROR(__xludf.DUMMYFUNCTION("""COMPUTED_VALUE"""),"Apresentações  e Slides Criativos com o Canva")</f>
        <v>Apresentações  e Slides Criativos com o Canva</v>
      </c>
    </row>
    <row r="7101">
      <c r="A7101" s="140" t="str">
        <f>IFERROR(__xludf.DUMMYFUNCTION("""COMPUTED_VALUE"""),"ja")</f>
        <v>ja</v>
      </c>
      <c r="B7101">
        <f>IFERROR(__xludf.DUMMYFUNCTION("""COMPUTED_VALUE"""),2000022.0)</f>
        <v>2000022</v>
      </c>
      <c r="C7101" t="str">
        <f>IFERROR(__xludf.DUMMYFUNCTION("""COMPUTED_VALUE"""),"ディープラーニング : Pythonでゼロから構築し学ぶ人工知能（AI）と深層学習の原理")</f>
        <v>ディープラーニング : Pythonでゼロから構築し学ぶ人工知能（AI）と深層学習の原理</v>
      </c>
    </row>
    <row r="7102">
      <c r="A7102" s="140" t="str">
        <f>IFERROR(__xludf.DUMMYFUNCTION("""COMPUTED_VALUE"""),"fr")</f>
        <v>fr</v>
      </c>
      <c r="B7102">
        <f>IFERROR(__xludf.DUMMYFUNCTION("""COMPUTED_VALUE"""),2252868.0)</f>
        <v>2252868</v>
      </c>
      <c r="C7102" t="str">
        <f>IFERROR(__xludf.DUMMYFUNCTION("""COMPUTED_VALUE"""),"Enscape pour SketchUp")</f>
        <v>Enscape pour SketchUp</v>
      </c>
    </row>
    <row r="7103">
      <c r="A7103" s="140" t="str">
        <f>IFERROR(__xludf.DUMMYFUNCTION("""COMPUTED_VALUE"""),"es")</f>
        <v>es</v>
      </c>
      <c r="B7103">
        <f>IFERROR(__xludf.DUMMYFUNCTION("""COMPUTED_VALUE"""),2267876.0)</f>
        <v>2267876</v>
      </c>
      <c r="C7103" t="str">
        <f>IFERROR(__xludf.DUMMYFUNCTION("""COMPUTED_VALUE"""),"Robótica : Programación de Robots con ROS")</f>
        <v>Robótica : Programación de Robots con ROS</v>
      </c>
    </row>
    <row r="7104">
      <c r="A7104" s="140" t="str">
        <f>IFERROR(__xludf.DUMMYFUNCTION("""COMPUTED_VALUE"""),"pt")</f>
        <v>pt</v>
      </c>
      <c r="B7104">
        <f>IFERROR(__xludf.DUMMYFUNCTION("""COMPUTED_VALUE"""),2193064.0)</f>
        <v>2193064</v>
      </c>
      <c r="C7104" t="str">
        <f>IFERROR(__xludf.DUMMYFUNCTION("""COMPUTED_VALUE"""),"Docker essencial para a plataforma .NET")</f>
        <v>Docker essencial para a plataforma .NET</v>
      </c>
    </row>
    <row r="7105">
      <c r="A7105" s="140" t="str">
        <f>IFERROR(__xludf.DUMMYFUNCTION("""COMPUTED_VALUE"""),"en")</f>
        <v>en</v>
      </c>
      <c r="B7105">
        <f>IFERROR(__xludf.DUMMYFUNCTION("""COMPUTED_VALUE"""),1283676.0)</f>
        <v>1283676</v>
      </c>
      <c r="C7105" t="str">
        <f>IFERROR(__xludf.DUMMYFUNCTION("""COMPUTED_VALUE"""),"Adobe XD UI/UX Design, prototype, and handoff from scratch")</f>
        <v>Adobe XD UI/UX Design, prototype, and handoff from scratch</v>
      </c>
    </row>
    <row r="7106">
      <c r="A7106" s="140" t="str">
        <f>IFERROR(__xludf.DUMMYFUNCTION("""COMPUTED_VALUE"""),"pt")</f>
        <v>pt</v>
      </c>
      <c r="B7106">
        <f>IFERROR(__xludf.DUMMYFUNCTION("""COMPUTED_VALUE"""),3929638.0)</f>
        <v>3929638</v>
      </c>
      <c r="C7106" t="str">
        <f>IFERROR(__xludf.DUMMYFUNCTION("""COMPUTED_VALUE"""),"Null-Safety no Dart/Flutter 2.0 - Aprenda em Detalhes - 2021")</f>
        <v>Null-Safety no Dart/Flutter 2.0 - Aprenda em Detalhes - 2021</v>
      </c>
    </row>
    <row r="7107">
      <c r="A7107" s="140" t="str">
        <f>IFERROR(__xludf.DUMMYFUNCTION("""COMPUTED_VALUE"""),"ja")</f>
        <v>ja</v>
      </c>
      <c r="B7107">
        <f>IFERROR(__xludf.DUMMYFUNCTION("""COMPUTED_VALUE"""),2301814.0)</f>
        <v>2301814</v>
      </c>
      <c r="C7107" t="str">
        <f>IFERROR(__xludf.DUMMYFUNCTION("""COMPUTED_VALUE"""),"C#を勉強する順番")</f>
        <v>C#を勉強する順番</v>
      </c>
    </row>
    <row r="7108">
      <c r="A7108" s="140" t="str">
        <f>IFERROR(__xludf.DUMMYFUNCTION("""COMPUTED_VALUE"""),"en")</f>
        <v>en</v>
      </c>
      <c r="B7108">
        <f>IFERROR(__xludf.DUMMYFUNCTION("""COMPUTED_VALUE"""),935870.0)</f>
        <v>935870</v>
      </c>
      <c r="C7108" t="str">
        <f>IFERROR(__xludf.DUMMYFUNCTION("""COMPUTED_VALUE"""),"UX Strategy Fundamentals")</f>
        <v>UX Strategy Fundamentals</v>
      </c>
    </row>
    <row r="7109">
      <c r="A7109" s="140" t="str">
        <f>IFERROR(__xludf.DUMMYFUNCTION("""COMPUTED_VALUE"""),"es")</f>
        <v>es</v>
      </c>
      <c r="B7109">
        <f>IFERROR(__xludf.DUMMYFUNCTION("""COMPUTED_VALUE"""),535696.0)</f>
        <v>535696</v>
      </c>
      <c r="C7109" t="str">
        <f>IFERROR(__xludf.DUMMYFUNCTION("""COMPUTED_VALUE"""),"Diseño Web Responsive con Foundation for Sites SASS y XYGrid")</f>
        <v>Diseño Web Responsive con Foundation for Sites SASS y XYGrid</v>
      </c>
    </row>
    <row r="7110">
      <c r="A7110" s="140" t="str">
        <f>IFERROR(__xludf.DUMMYFUNCTION("""COMPUTED_VALUE"""),"es")</f>
        <v>es</v>
      </c>
      <c r="B7110">
        <f>IFERROR(__xludf.DUMMYFUNCTION("""COMPUTED_VALUE"""),3659876.0)</f>
        <v>3659876</v>
      </c>
      <c r="C7110" t="str">
        <f>IFERROR(__xludf.DUMMYFUNCTION("""COMPUTED_VALUE"""),"Introducción a la Programación con el Lenguaje C desde Cero.")</f>
        <v>Introducción a la Programación con el Lenguaje C desde Cero.</v>
      </c>
    </row>
    <row r="7111">
      <c r="A7111" s="140" t="str">
        <f>IFERROR(__xludf.DUMMYFUNCTION("""COMPUTED_VALUE"""),"en")</f>
        <v>en</v>
      </c>
      <c r="B7111">
        <f>IFERROR(__xludf.DUMMYFUNCTION("""COMPUTED_VALUE"""),950614.0)</f>
        <v>950614</v>
      </c>
      <c r="C7111" t="str">
        <f>IFERROR(__xludf.DUMMYFUNCTION("""COMPUTED_VALUE"""),"Master Computer Vision™ OpenCV4 in Python with Deep Learning")</f>
        <v>Master Computer Vision™ OpenCV4 in Python with Deep Learning</v>
      </c>
    </row>
    <row r="7112">
      <c r="A7112" s="140" t="str">
        <f>IFERROR(__xludf.DUMMYFUNCTION("""COMPUTED_VALUE"""),"en")</f>
        <v>en</v>
      </c>
      <c r="B7112">
        <f>IFERROR(__xludf.DUMMYFUNCTION("""COMPUTED_VALUE"""),2763304.0)</f>
        <v>2763304</v>
      </c>
      <c r="C7112" t="str">
        <f>IFERROR(__xludf.DUMMYFUNCTION("""COMPUTED_VALUE"""),"QuickBooks Online Complex Issues And Advanced Techniques")</f>
        <v>QuickBooks Online Complex Issues And Advanced Techniques</v>
      </c>
    </row>
    <row r="7113">
      <c r="A7113" s="140" t="str">
        <f>IFERROR(__xludf.DUMMYFUNCTION("""COMPUTED_VALUE"""),"en")</f>
        <v>en</v>
      </c>
      <c r="B7113">
        <f>IFERROR(__xludf.DUMMYFUNCTION("""COMPUTED_VALUE"""),3702822.0)</f>
        <v>3702822</v>
      </c>
      <c r="C7113" t="str">
        <f>IFERROR(__xludf.DUMMYFUNCTION("""COMPUTED_VALUE"""),"Design Patterns &amp; Best Practices- Selenium Framework Design")</f>
        <v>Design Patterns &amp; Best Practices- Selenium Framework Design</v>
      </c>
    </row>
    <row r="7114">
      <c r="A7114" s="140" t="str">
        <f>IFERROR(__xludf.DUMMYFUNCTION("""COMPUTED_VALUE"""),"tr")</f>
        <v>tr</v>
      </c>
      <c r="B7114">
        <f>IFERROR(__xludf.DUMMYFUNCTION("""COMPUTED_VALUE"""),2252484.0)</f>
        <v>2252484</v>
      </c>
      <c r="C7114" t="str">
        <f>IFERROR(__xludf.DUMMYFUNCTION("""COMPUTED_VALUE"""),"Maya ile Retopoloji Uygulama ve UV Açma Teknikleri")</f>
        <v>Maya ile Retopoloji Uygulama ve UV Açma Teknikleri</v>
      </c>
    </row>
    <row r="7115">
      <c r="A7115" s="140" t="str">
        <f>IFERROR(__xludf.DUMMYFUNCTION("""COMPUTED_VALUE"""),"ja")</f>
        <v>ja</v>
      </c>
      <c r="B7115">
        <f>IFERROR(__xludf.DUMMYFUNCTION("""COMPUTED_VALUE"""),51539.0)</f>
        <v>51539</v>
      </c>
      <c r="C7115" t="str">
        <f>IFERROR(__xludf.DUMMYFUNCTION("""COMPUTED_VALUE"""),"電気回路理論入門")</f>
        <v>電気回路理論入門</v>
      </c>
    </row>
    <row r="7116">
      <c r="A7116" s="140" t="str">
        <f>IFERROR(__xludf.DUMMYFUNCTION("""COMPUTED_VALUE"""),"en")</f>
        <v>en</v>
      </c>
      <c r="B7116">
        <f>IFERROR(__xludf.DUMMYFUNCTION("""COMPUTED_VALUE"""),2384032.0)</f>
        <v>2384032</v>
      </c>
      <c r="C7116" t="str">
        <f>IFERROR(__xludf.DUMMYFUNCTION("""COMPUTED_VALUE"""),"Learn Cold calling like the Wolf of Wall Street in 3 days")</f>
        <v>Learn Cold calling like the Wolf of Wall Street in 3 days</v>
      </c>
    </row>
    <row r="7117">
      <c r="A7117" s="140" t="str">
        <f>IFERROR(__xludf.DUMMYFUNCTION("""COMPUTED_VALUE"""),"en")</f>
        <v>en</v>
      </c>
      <c r="B7117">
        <f>IFERROR(__xludf.DUMMYFUNCTION("""COMPUTED_VALUE"""),1007250.0)</f>
        <v>1007250</v>
      </c>
      <c r="C7117" t="str">
        <f>IFERROR(__xludf.DUMMYFUNCTION("""COMPUTED_VALUE"""),"Learn DevOps: The Complete Kubernetes Course")</f>
        <v>Learn DevOps: The Complete Kubernetes Course</v>
      </c>
    </row>
    <row r="7118">
      <c r="A7118" s="140" t="str">
        <f>IFERROR(__xludf.DUMMYFUNCTION("""COMPUTED_VALUE"""),"ja")</f>
        <v>ja</v>
      </c>
      <c r="B7118">
        <f>IFERROR(__xludf.DUMMYFUNCTION("""COMPUTED_VALUE"""),667608.0)</f>
        <v>667608</v>
      </c>
      <c r="C7118" t="str">
        <f>IFERROR(__xludf.DUMMYFUNCTION("""COMPUTED_VALUE"""),"【1日15分でTOEIC150点UP】カナダ留学TOEIC専門学校レッスン")</f>
        <v>【1日15分でTOEIC150点UP】カナダ留学TOEIC専門学校レッスン</v>
      </c>
    </row>
    <row r="7119">
      <c r="A7119" s="140" t="str">
        <f>IFERROR(__xludf.DUMMYFUNCTION("""COMPUTED_VALUE"""),"en")</f>
        <v>en</v>
      </c>
      <c r="B7119">
        <f>IFERROR(__xludf.DUMMYFUNCTION("""COMPUTED_VALUE"""),1078520.0)</f>
        <v>1078520</v>
      </c>
      <c r="C7119" t="str">
        <f>IFERROR(__xludf.DUMMYFUNCTION("""COMPUTED_VALUE"""),"Internal Controls - Design, Implementation and Monitoring")</f>
        <v>Internal Controls - Design, Implementation and Monitoring</v>
      </c>
    </row>
    <row r="7120">
      <c r="A7120" s="140" t="str">
        <f>IFERROR(__xludf.DUMMYFUNCTION("""COMPUTED_VALUE"""),"en")</f>
        <v>en</v>
      </c>
      <c r="B7120">
        <f>IFERROR(__xludf.DUMMYFUNCTION("""COMPUTED_VALUE"""),3183172.0)</f>
        <v>3183172</v>
      </c>
      <c r="C7120" t="str">
        <f>IFERROR(__xludf.DUMMYFUNCTION("""COMPUTED_VALUE"""),"Salesforce Development for Intermediate Developers")</f>
        <v>Salesforce Development for Intermediate Developers</v>
      </c>
    </row>
    <row r="7121">
      <c r="A7121" s="140" t="str">
        <f>IFERROR(__xludf.DUMMYFUNCTION("""COMPUTED_VALUE"""),"en")</f>
        <v>en</v>
      </c>
      <c r="B7121">
        <f>IFERROR(__xludf.DUMMYFUNCTION("""COMPUTED_VALUE"""),1312466.0)</f>
        <v>1312466</v>
      </c>
      <c r="C7121" t="str">
        <f>IFERROR(__xludf.DUMMYFUNCTION("""COMPUTED_VALUE"""),"The Complete PL/SQL Bootcamp : ""Beginner to Advanced PL/SQL""")</f>
        <v>The Complete PL/SQL Bootcamp : "Beginner to Advanced PL/SQL"</v>
      </c>
    </row>
    <row r="7122">
      <c r="A7122" s="140" t="str">
        <f>IFERROR(__xludf.DUMMYFUNCTION("""COMPUTED_VALUE"""),"es")</f>
        <v>es</v>
      </c>
      <c r="B7122">
        <f>IFERROR(__xludf.DUMMYFUNCTION("""COMPUTED_VALUE"""),2357794.0)</f>
        <v>2357794</v>
      </c>
      <c r="C7122" t="str">
        <f>IFERROR(__xludf.DUMMYFUNCTION("""COMPUTED_VALUE"""),"Curso de Diseño Web: HTML y CSS desde cero hasta avanzado.")</f>
        <v>Curso de Diseño Web: HTML y CSS desde cero hasta avanzado.</v>
      </c>
    </row>
    <row r="7123">
      <c r="A7123" s="140" t="str">
        <f>IFERROR(__xludf.DUMMYFUNCTION("""COMPUTED_VALUE"""),"en")</f>
        <v>en</v>
      </c>
      <c r="B7123">
        <f>IFERROR(__xludf.DUMMYFUNCTION("""COMPUTED_VALUE"""),3854976.0)</f>
        <v>3854976</v>
      </c>
      <c r="C7123" t="str">
        <f>IFERROR(__xludf.DUMMYFUNCTION("""COMPUTED_VALUE"""),"SAPUI5( FIORI ) In-depth  App development Boot camp[2021]")</f>
        <v>SAPUI5( FIORI ) In-depth  App development Boot camp[2021]</v>
      </c>
    </row>
    <row r="7124">
      <c r="A7124" s="140" t="str">
        <f>IFERROR(__xludf.DUMMYFUNCTION("""COMPUTED_VALUE"""),"en")</f>
        <v>en</v>
      </c>
      <c r="B7124">
        <f>IFERROR(__xludf.DUMMYFUNCTION("""COMPUTED_VALUE"""),1655950.0)</f>
        <v>1655950</v>
      </c>
      <c r="C7124" t="str">
        <f>IFERROR(__xludf.DUMMYFUNCTION("""COMPUTED_VALUE"""),"PMI RMP Exam Preparation Course, 30 Contact Hours for PMI")</f>
        <v>PMI RMP Exam Preparation Course, 30 Contact Hours for PMI</v>
      </c>
    </row>
    <row r="7125">
      <c r="A7125" s="140" t="str">
        <f>IFERROR(__xludf.DUMMYFUNCTION("""COMPUTED_VALUE"""),"en")</f>
        <v>en</v>
      </c>
      <c r="B7125">
        <f>IFERROR(__xludf.DUMMYFUNCTION("""COMPUTED_VALUE"""),3079220.0)</f>
        <v>3079220</v>
      </c>
      <c r="C7125" t="str">
        <f>IFERROR(__xludf.DUMMYFUNCTION("""COMPUTED_VALUE"""),"Becoming an Agile Coach | Mindset, Frameworks, Tools, Skills")</f>
        <v>Becoming an Agile Coach | Mindset, Frameworks, Tools, Skills</v>
      </c>
    </row>
    <row r="7126">
      <c r="A7126" s="140" t="str">
        <f>IFERROR(__xludf.DUMMYFUNCTION("""COMPUTED_VALUE"""),"ja")</f>
        <v>ja</v>
      </c>
      <c r="B7126">
        <f>IFERROR(__xludf.DUMMYFUNCTION("""COMPUTED_VALUE"""),3814890.0)</f>
        <v>3814890</v>
      </c>
      <c r="C7126" t="str">
        <f>IFERROR(__xludf.DUMMYFUNCTION("""COMPUTED_VALUE"""),"【はじめてのフラグ獲得】Boot2Root CTFチャレンジで学ぶハッキングの手口とローカル特権昇格")</f>
        <v>【はじめてのフラグ獲得】Boot2Root CTFチャレンジで学ぶハッキングの手口とローカル特権昇格</v>
      </c>
    </row>
    <row r="7127">
      <c r="A7127" s="140" t="str">
        <f>IFERROR(__xludf.DUMMYFUNCTION("""COMPUTED_VALUE"""),"en")</f>
        <v>en</v>
      </c>
      <c r="B7127">
        <f>IFERROR(__xludf.DUMMYFUNCTION("""COMPUTED_VALUE"""),45119.0)</f>
        <v>45119</v>
      </c>
      <c r="C7127" t="str">
        <f>IFERROR(__xludf.DUMMYFUNCTION("""COMPUTED_VALUE"""),"Improve your Handwriting - Improve your Life")</f>
        <v>Improve your Handwriting - Improve your Life</v>
      </c>
    </row>
    <row r="7128">
      <c r="A7128" s="140" t="str">
        <f>IFERROR(__xludf.DUMMYFUNCTION("""COMPUTED_VALUE"""),"en")</f>
        <v>en</v>
      </c>
      <c r="B7128">
        <f>IFERROR(__xludf.DUMMYFUNCTION("""COMPUTED_VALUE"""),2340252.0)</f>
        <v>2340252</v>
      </c>
      <c r="C7128" t="str">
        <f>IFERROR(__xludf.DUMMYFUNCTION("""COMPUTED_VALUE"""),"Basic Grant Proposal Writing for Nonprofits")</f>
        <v>Basic Grant Proposal Writing for Nonprofits</v>
      </c>
    </row>
    <row r="7129">
      <c r="A7129" s="140" t="str">
        <f>IFERROR(__xludf.DUMMYFUNCTION("""COMPUTED_VALUE"""),"en")</f>
        <v>en</v>
      </c>
      <c r="B7129">
        <f>IFERROR(__xludf.DUMMYFUNCTION("""COMPUTED_VALUE"""),2831578.0)</f>
        <v>2831578</v>
      </c>
      <c r="C7129" t="str">
        <f>IFERROR(__xludf.DUMMYFUNCTION("""COMPUTED_VALUE"""),"The Grey Wolf Optimizer")</f>
        <v>The Grey Wolf Optimizer</v>
      </c>
    </row>
    <row r="7130">
      <c r="A7130" s="140" t="str">
        <f>IFERROR(__xludf.DUMMYFUNCTION("""COMPUTED_VALUE"""),"es")</f>
        <v>es</v>
      </c>
      <c r="B7130">
        <f>IFERROR(__xludf.DUMMYFUNCTION("""COMPUTED_VALUE"""),1619714.0)</f>
        <v>1619714</v>
      </c>
      <c r="C7130" t="str">
        <f>IFERROR(__xludf.DUMMYFUNCTION("""COMPUTED_VALUE"""),"Curso Android UI - Mejora la Interfaz de Usuario de tus Apps")</f>
        <v>Curso Android UI - Mejora la Interfaz de Usuario de tus Apps</v>
      </c>
    </row>
    <row r="7131">
      <c r="A7131" s="140" t="str">
        <f>IFERROR(__xludf.DUMMYFUNCTION("""COMPUTED_VALUE"""),"en")</f>
        <v>en</v>
      </c>
      <c r="B7131">
        <f>IFERROR(__xludf.DUMMYFUNCTION("""COMPUTED_VALUE"""),1460764.0)</f>
        <v>1460764</v>
      </c>
      <c r="C7131" t="str">
        <f>IFERROR(__xludf.DUMMYFUNCTION("""COMPUTED_VALUE"""),"Deep Learning and NLP A-Z™: How to create a ChatBot")</f>
        <v>Deep Learning and NLP A-Z™: How to create a ChatBot</v>
      </c>
    </row>
    <row r="7132">
      <c r="A7132" s="140" t="str">
        <f>IFERROR(__xludf.DUMMYFUNCTION("""COMPUTED_VALUE"""),"fr")</f>
        <v>fr</v>
      </c>
      <c r="B7132">
        <f>IFERROR(__xludf.DUMMYFUNCTION("""COMPUTED_VALUE"""),2766028.0)</f>
        <v>2766028</v>
      </c>
      <c r="C7132" t="str">
        <f>IFERROR(__xludf.DUMMYFUNCTION("""COMPUTED_VALUE"""),"Le C par la pratique : plus de 100 exercices corrigés")</f>
        <v>Le C par la pratique : plus de 100 exercices corrigés</v>
      </c>
    </row>
    <row r="7133">
      <c r="A7133" s="140" t="str">
        <f>IFERROR(__xludf.DUMMYFUNCTION("""COMPUTED_VALUE"""),"es")</f>
        <v>es</v>
      </c>
      <c r="B7133">
        <f>IFERROR(__xludf.DUMMYFUNCTION("""COMPUTED_VALUE"""),2146572.0)</f>
        <v>2146572</v>
      </c>
      <c r="C7133" t="str">
        <f>IFERROR(__xludf.DUMMYFUNCTION("""COMPUTED_VALUE"""),"Aprende Angular 8+ desde 0 con 10 proyectos completos")</f>
        <v>Aprende Angular 8+ desde 0 con 10 proyectos completos</v>
      </c>
    </row>
    <row r="7134">
      <c r="A7134" s="140" t="str">
        <f>IFERROR(__xludf.DUMMYFUNCTION("""COMPUTED_VALUE"""),"pt")</f>
        <v>pt</v>
      </c>
      <c r="B7134">
        <f>IFERROR(__xludf.DUMMYFUNCTION("""COMPUTED_VALUE"""),2706938.0)</f>
        <v>2706938</v>
      </c>
      <c r="C7134" t="str">
        <f>IFERROR(__xludf.DUMMYFUNCTION("""COMPUTED_VALUE"""),"SuperProdutividade : Defina, Planeje e Alcance suas Metas")</f>
        <v>SuperProdutividade : Defina, Planeje e Alcance suas Metas</v>
      </c>
    </row>
    <row r="7135">
      <c r="A7135" s="140" t="str">
        <f>IFERROR(__xludf.DUMMYFUNCTION("""COMPUTED_VALUE"""),"de")</f>
        <v>de</v>
      </c>
      <c r="B7135">
        <f>IFERROR(__xludf.DUMMYFUNCTION("""COMPUTED_VALUE"""),1096818.0)</f>
        <v>1096818</v>
      </c>
      <c r="C7135" t="str">
        <f>IFERROR(__xludf.DUMMYFUNCTION("""COMPUTED_VALUE"""),"Projektmanagement: Schritt für Schritt erklärt mit Software")</f>
        <v>Projektmanagement: Schritt für Schritt erklärt mit Software</v>
      </c>
    </row>
    <row r="7136">
      <c r="A7136" s="140" t="str">
        <f>IFERROR(__xludf.DUMMYFUNCTION("""COMPUTED_VALUE"""),"en")</f>
        <v>en</v>
      </c>
      <c r="B7136">
        <f>IFERROR(__xludf.DUMMYFUNCTION("""COMPUTED_VALUE"""),2019010.0)</f>
        <v>2019010</v>
      </c>
      <c r="C7136" t="str">
        <f>IFERROR(__xludf.DUMMYFUNCTION("""COMPUTED_VALUE"""),"Fastlane for React Native: Deploy your app autonomously!")</f>
        <v>Fastlane for React Native: Deploy your app autonomously!</v>
      </c>
    </row>
    <row r="7137">
      <c r="A7137" s="140" t="str">
        <f>IFERROR(__xludf.DUMMYFUNCTION("""COMPUTED_VALUE"""),"en")</f>
        <v>en</v>
      </c>
      <c r="B7137">
        <f>IFERROR(__xludf.DUMMYFUNCTION("""COMPUTED_VALUE"""),854280.0)</f>
        <v>854280</v>
      </c>
      <c r="C7137" t="str">
        <f>IFERROR(__xludf.DUMMYFUNCTION("""COMPUTED_VALUE"""),"Traits of the Best by Molly Fletcher")</f>
        <v>Traits of the Best by Molly Fletcher</v>
      </c>
    </row>
    <row r="7138">
      <c r="A7138" s="140" t="str">
        <f>IFERROR(__xludf.DUMMYFUNCTION("""COMPUTED_VALUE"""),"en")</f>
        <v>en</v>
      </c>
      <c r="B7138">
        <f>IFERROR(__xludf.DUMMYFUNCTION("""COMPUTED_VALUE"""),1657792.0)</f>
        <v>1657792</v>
      </c>
      <c r="C7138" t="str">
        <f>IFERROR(__xludf.DUMMYFUNCTION("""COMPUTED_VALUE"""),"English for IT Professionals")</f>
        <v>English for IT Professionals</v>
      </c>
    </row>
    <row r="7139">
      <c r="A7139" s="140" t="str">
        <f>IFERROR(__xludf.DUMMYFUNCTION("""COMPUTED_VALUE"""),"en")</f>
        <v>en</v>
      </c>
      <c r="B7139">
        <f>IFERROR(__xludf.DUMMYFUNCTION("""COMPUTED_VALUE"""),675740.0)</f>
        <v>675740</v>
      </c>
      <c r="C7139" t="str">
        <f>IFERROR(__xludf.DUMMYFUNCTION("""COMPUTED_VALUE"""),"Premiere Pro Lumetri: Color Correct like a Pro")</f>
        <v>Premiere Pro Lumetri: Color Correct like a Pro</v>
      </c>
    </row>
    <row r="7140">
      <c r="A7140" s="140" t="str">
        <f>IFERROR(__xludf.DUMMYFUNCTION("""COMPUTED_VALUE"""),"en")</f>
        <v>en</v>
      </c>
      <c r="B7140">
        <f>IFERROR(__xludf.DUMMYFUNCTION("""COMPUTED_VALUE"""),113312.0)</f>
        <v>113312</v>
      </c>
      <c r="C7140" t="str">
        <f>IFERROR(__xludf.DUMMYFUNCTION("""COMPUTED_VALUE"""),"Introduction to Microsoft Project 2010")</f>
        <v>Introduction to Microsoft Project 2010</v>
      </c>
    </row>
    <row r="7141">
      <c r="A7141" s="140" t="str">
        <f>IFERROR(__xludf.DUMMYFUNCTION("""COMPUTED_VALUE"""),"es")</f>
        <v>es</v>
      </c>
      <c r="B7141">
        <f>IFERROR(__xludf.DUMMYFUNCTION("""COMPUTED_VALUE"""),2680160.0)</f>
        <v>2680160</v>
      </c>
      <c r="C7141" t="str">
        <f>IFERROR(__xludf.DUMMYFUNCTION("""COMPUTED_VALUE"""),"JavaScript Moderno: Guía para dominar el lenguaje")</f>
        <v>JavaScript Moderno: Guía para dominar el lenguaje</v>
      </c>
    </row>
    <row r="7142">
      <c r="A7142" s="140" t="str">
        <f>IFERROR(__xludf.DUMMYFUNCTION("""COMPUTED_VALUE"""),"es")</f>
        <v>es</v>
      </c>
      <c r="B7142">
        <f>IFERROR(__xludf.DUMMYFUNCTION("""COMPUTED_VALUE"""),2337088.0)</f>
        <v>2337088</v>
      </c>
      <c r="C7142" t="str">
        <f>IFERROR(__xludf.DUMMYFUNCTION("""COMPUTED_VALUE"""),"Curso Completo de Growth Hacking &amp; Growth Marketing")</f>
        <v>Curso Completo de Growth Hacking &amp; Growth Marketing</v>
      </c>
    </row>
    <row r="7143">
      <c r="A7143" s="140" t="str">
        <f>IFERROR(__xludf.DUMMYFUNCTION("""COMPUTED_VALUE"""),"en")</f>
        <v>en</v>
      </c>
      <c r="B7143">
        <f>IFERROR(__xludf.DUMMYFUNCTION("""COMPUTED_VALUE"""),2459618.0)</f>
        <v>2459618</v>
      </c>
      <c r="C7143" t="str">
        <f>IFERROR(__xludf.DUMMYFUNCTION("""COMPUTED_VALUE"""),"Responsive Web Design Essentials - HTML5 CSS3 Bootstrap")</f>
        <v>Responsive Web Design Essentials - HTML5 CSS3 Bootstrap</v>
      </c>
    </row>
    <row r="7144">
      <c r="A7144" s="140" t="str">
        <f>IFERROR(__xludf.DUMMYFUNCTION("""COMPUTED_VALUE"""),"de")</f>
        <v>de</v>
      </c>
      <c r="B7144">
        <f>IFERROR(__xludf.DUMMYFUNCTION("""COMPUTED_VALUE"""),1287782.0)</f>
        <v>1287782</v>
      </c>
      <c r="C7144" t="str">
        <f>IFERROR(__xludf.DUMMYFUNCTION("""COMPUTED_VALUE"""),"Ziele erreichen wie ein Profi - mit OKRs (Google-Methode)")</f>
        <v>Ziele erreichen wie ein Profi - mit OKRs (Google-Methode)</v>
      </c>
    </row>
    <row r="7145">
      <c r="A7145" s="140" t="str">
        <f>IFERROR(__xludf.DUMMYFUNCTION("""COMPUTED_VALUE"""),"tr")</f>
        <v>tr</v>
      </c>
      <c r="B7145">
        <f>IFERROR(__xludf.DUMMYFUNCTION("""COMPUTED_VALUE"""),3900046.0)</f>
        <v>3900046</v>
      </c>
      <c r="C7145" t="str">
        <f>IFERROR(__xludf.DUMMYFUNCTION("""COMPUTED_VALUE"""),"Kubernetes'e Başlarken")</f>
        <v>Kubernetes'e Başlarken</v>
      </c>
    </row>
    <row r="7146">
      <c r="A7146" s="140" t="str">
        <f>IFERROR(__xludf.DUMMYFUNCTION("""COMPUTED_VALUE"""),"en")</f>
        <v>en</v>
      </c>
      <c r="B7146">
        <f>IFERROR(__xludf.DUMMYFUNCTION("""COMPUTED_VALUE"""),2051741.0)</f>
        <v>2051741</v>
      </c>
      <c r="C7146" t="str">
        <f>IFERROR(__xludf.DUMMYFUNCTION("""COMPUTED_VALUE"""),"Ultimate AWS Certified SysOps Administrator Associate 2021")</f>
        <v>Ultimate AWS Certified SysOps Administrator Associate 2021</v>
      </c>
    </row>
    <row r="7147">
      <c r="A7147" s="140" t="str">
        <f>IFERROR(__xludf.DUMMYFUNCTION("""COMPUTED_VALUE"""),"en")</f>
        <v>en</v>
      </c>
      <c r="B7147">
        <f>IFERROR(__xludf.DUMMYFUNCTION("""COMPUTED_VALUE"""),2321154.0)</f>
        <v>2321154</v>
      </c>
      <c r="C7147" t="str">
        <f>IFERROR(__xludf.DUMMYFUNCTION("""COMPUTED_VALUE"""),"Using TypeScript with React")</f>
        <v>Using TypeScript with React</v>
      </c>
    </row>
    <row r="7148">
      <c r="A7148" s="140" t="str">
        <f>IFERROR(__xludf.DUMMYFUNCTION("""COMPUTED_VALUE"""),"tr")</f>
        <v>tr</v>
      </c>
      <c r="B7148">
        <f>IFERROR(__xludf.DUMMYFUNCTION("""COMPUTED_VALUE"""),3748604.0)</f>
        <v>3748604</v>
      </c>
      <c r="C7148" t="str">
        <f>IFERROR(__xludf.DUMMYFUNCTION("""COMPUTED_VALUE"""),"BEDEN DİLİ")</f>
        <v>BEDEN DİLİ</v>
      </c>
    </row>
    <row r="7149">
      <c r="A7149" s="140" t="str">
        <f>IFERROR(__xludf.DUMMYFUNCTION("""COMPUTED_VALUE"""),"en")</f>
        <v>en</v>
      </c>
      <c r="B7149">
        <f>IFERROR(__xludf.DUMMYFUNCTION("""COMPUTED_VALUE"""),3791520.0)</f>
        <v>3791520</v>
      </c>
      <c r="C7149" t="str">
        <f>IFERROR(__xludf.DUMMYFUNCTION("""COMPUTED_VALUE"""),"Smartsheet for Project Management - Earn 3.25 PDUs!")</f>
        <v>Smartsheet for Project Management - Earn 3.25 PDUs!</v>
      </c>
    </row>
    <row r="7150">
      <c r="A7150" s="140" t="str">
        <f>IFERROR(__xludf.DUMMYFUNCTION("""COMPUTED_VALUE"""),"en")</f>
        <v>en</v>
      </c>
      <c r="B7150">
        <f>IFERROR(__xludf.DUMMYFUNCTION("""COMPUTED_VALUE"""),2102800.0)</f>
        <v>2102800</v>
      </c>
      <c r="C7150" t="str">
        <f>IFERROR(__xludf.DUMMYFUNCTION("""COMPUTED_VALUE"""),"Serverless React with AWS Amplify - The Complete Guide")</f>
        <v>Serverless React with AWS Amplify - The Complete Guide</v>
      </c>
    </row>
    <row r="7151">
      <c r="A7151" s="140" t="str">
        <f>IFERROR(__xludf.DUMMYFUNCTION("""COMPUTED_VALUE"""),"de")</f>
        <v>de</v>
      </c>
      <c r="B7151">
        <f>IFERROR(__xludf.DUMMYFUNCTION("""COMPUTED_VALUE"""),735854.0)</f>
        <v>735854</v>
      </c>
      <c r="C7151" t="str">
        <f>IFERROR(__xludf.DUMMYFUNCTION("""COMPUTED_VALUE"""),"Embarcadero Delphi für Anfänger und Fortgeschrittene")</f>
        <v>Embarcadero Delphi für Anfänger und Fortgeschrittene</v>
      </c>
    </row>
    <row r="7152">
      <c r="A7152" s="140" t="str">
        <f>IFERROR(__xludf.DUMMYFUNCTION("""COMPUTED_VALUE"""),"es")</f>
        <v>es</v>
      </c>
      <c r="B7152">
        <f>IFERROR(__xludf.DUMMYFUNCTION("""COMPUTED_VALUE"""),1483710.0)</f>
        <v>1483710</v>
      </c>
      <c r="C7152" t="str">
        <f>IFERROR(__xludf.DUMMYFUNCTION("""COMPUTED_VALUE"""),"Curso completo de Machine Learning: Data Science con RStudio")</f>
        <v>Curso completo de Machine Learning: Data Science con RStudio</v>
      </c>
    </row>
    <row r="7153">
      <c r="A7153" s="140" t="str">
        <f>IFERROR(__xludf.DUMMYFUNCTION("""COMPUTED_VALUE"""),"en")</f>
        <v>en</v>
      </c>
      <c r="B7153">
        <f>IFERROR(__xludf.DUMMYFUNCTION("""COMPUTED_VALUE"""),2891890.0)</f>
        <v>2891890</v>
      </c>
      <c r="C7153" t="str">
        <f>IFERROR(__xludf.DUMMYFUNCTION("""COMPUTED_VALUE"""),"Azure SQL Data Warehouse Synapse Analytics Service")</f>
        <v>Azure SQL Data Warehouse Synapse Analytics Service</v>
      </c>
    </row>
    <row r="7154">
      <c r="A7154" s="140" t="str">
        <f>IFERROR(__xludf.DUMMYFUNCTION("""COMPUTED_VALUE"""),"en")</f>
        <v>en</v>
      </c>
      <c r="B7154">
        <f>IFERROR(__xludf.DUMMYFUNCTION("""COMPUTED_VALUE"""),1824816.0)</f>
        <v>1824816</v>
      </c>
      <c r="C7154" t="str">
        <f>IFERROR(__xludf.DUMMYFUNCTION("""COMPUTED_VALUE"""),"Kaizen - Continuous Improvement Practitioner Course")</f>
        <v>Kaizen - Continuous Improvement Practitioner Course</v>
      </c>
    </row>
    <row r="7155">
      <c r="A7155" s="140" t="str">
        <f>IFERROR(__xludf.DUMMYFUNCTION("""COMPUTED_VALUE"""),"es")</f>
        <v>es</v>
      </c>
      <c r="B7155">
        <f>IFERROR(__xludf.DUMMYFUNCTION("""COMPUTED_VALUE"""),1321194.0)</f>
        <v>1321194</v>
      </c>
      <c r="C7155" t="str">
        <f>IFERROR(__xludf.DUMMYFUNCTION("""COMPUTED_VALUE"""),"PNL para Líderes, Managers y Formadores")</f>
        <v>PNL para Líderes, Managers y Formadores</v>
      </c>
    </row>
    <row r="7156">
      <c r="A7156" s="140" t="str">
        <f>IFERROR(__xludf.DUMMYFUNCTION("""COMPUTED_VALUE"""),"en")</f>
        <v>en</v>
      </c>
      <c r="B7156">
        <f>IFERROR(__xludf.DUMMYFUNCTION("""COMPUTED_VALUE"""),1382630.0)</f>
        <v>1382630</v>
      </c>
      <c r="C7156" t="str">
        <f>IFERROR(__xludf.DUMMYFUNCTION("""COMPUTED_VALUE"""),"GMAT Data Sufficiency : The ULTIMATE GUIDE")</f>
        <v>GMAT Data Sufficiency : The ULTIMATE GUIDE</v>
      </c>
    </row>
    <row r="7157">
      <c r="A7157" s="140" t="str">
        <f>IFERROR(__xludf.DUMMYFUNCTION("""COMPUTED_VALUE"""),"ja")</f>
        <v>ja</v>
      </c>
      <c r="B7157">
        <f>IFERROR(__xludf.DUMMYFUNCTION("""COMPUTED_VALUE"""),2729260.0)</f>
        <v>2729260</v>
      </c>
      <c r="C7157" t="str">
        <f>IFERROR(__xludf.DUMMYFUNCTION("""COMPUTED_VALUE"""),"【初級編】RPAコンサルタントが教えるUiPath Studio ～RPA概要、無料のCommunity版導入も解説～")</f>
        <v>【初級編】RPAコンサルタントが教えるUiPath Studio ～RPA概要、無料のCommunity版導入も解説～</v>
      </c>
    </row>
    <row r="7158">
      <c r="A7158" s="140" t="str">
        <f>IFERROR(__xludf.DUMMYFUNCTION("""COMPUTED_VALUE"""),"en")</f>
        <v>en</v>
      </c>
      <c r="B7158">
        <f>IFERROR(__xludf.DUMMYFUNCTION("""COMPUTED_VALUE"""),2619084.0)</f>
        <v>2619084</v>
      </c>
      <c r="C7158" t="str">
        <f>IFERROR(__xludf.DUMMYFUNCTION("""COMPUTED_VALUE"""),"Multi-Threading and IPC with Qt 5 C++")</f>
        <v>Multi-Threading and IPC with Qt 5 C++</v>
      </c>
    </row>
    <row r="7159">
      <c r="A7159" s="140" t="str">
        <f>IFERROR(__xludf.DUMMYFUNCTION("""COMPUTED_VALUE"""),"tr")</f>
        <v>tr</v>
      </c>
      <c r="B7159">
        <f>IFERROR(__xludf.DUMMYFUNCTION("""COMPUTED_VALUE"""),3847988.0)</f>
        <v>3847988</v>
      </c>
      <c r="C7159" t="str">
        <f>IFERROR(__xludf.DUMMYFUNCTION("""COMPUTED_VALUE"""),"PYTHON | Sıfırdan İleri Seviyeye Programlama Kursu (2021)")</f>
        <v>PYTHON | Sıfırdan İleri Seviyeye Programlama Kursu (2021)</v>
      </c>
    </row>
    <row r="7160">
      <c r="A7160" s="140" t="str">
        <f>IFERROR(__xludf.DUMMYFUNCTION("""COMPUTED_VALUE"""),"ko")</f>
        <v>ko</v>
      </c>
      <c r="B7160">
        <f>IFERROR(__xludf.DUMMYFUNCTION("""COMPUTED_VALUE"""),3711078.0)</f>
        <v>3711078</v>
      </c>
      <c r="C7160" t="str">
        <f>IFERROR(__xludf.DUMMYFUNCTION("""COMPUTED_VALUE"""),"문제는 영업이다 – 매출을 높이는 실전 세일즈 프로젝트")</f>
        <v>문제는 영업이다 – 매출을 높이는 실전 세일즈 프로젝트</v>
      </c>
    </row>
    <row r="7161">
      <c r="A7161" s="140" t="str">
        <f>IFERROR(__xludf.DUMMYFUNCTION("""COMPUTED_VALUE"""),"en")</f>
        <v>en</v>
      </c>
      <c r="B7161">
        <f>IFERROR(__xludf.DUMMYFUNCTION("""COMPUTED_VALUE"""),3872552.0)</f>
        <v>3872552</v>
      </c>
      <c r="C7161" t="str">
        <f>IFERROR(__xludf.DUMMYFUNCTION("""COMPUTED_VALUE"""),"Essential Non Technical Skills of Effective Data Scientists")</f>
        <v>Essential Non Technical Skills of Effective Data Scientists</v>
      </c>
    </row>
    <row r="7162">
      <c r="A7162" s="140" t="str">
        <f>IFERROR(__xludf.DUMMYFUNCTION("""COMPUTED_VALUE"""),"pt")</f>
        <v>pt</v>
      </c>
      <c r="B7162">
        <f>IFERROR(__xludf.DUMMYFUNCTION("""COMPUTED_VALUE"""),799250.0)</f>
        <v>799250</v>
      </c>
      <c r="C7162" t="str">
        <f>IFERROR(__xludf.DUMMYFUNCTION("""COMPUTED_VALUE"""),"Cisco CCNP / CCDP SWITCH v2 (300-115)")</f>
        <v>Cisco CCNP / CCDP SWITCH v2 (300-115)</v>
      </c>
    </row>
    <row r="7163">
      <c r="A7163" s="140" t="str">
        <f>IFERROR(__xludf.DUMMYFUNCTION("""COMPUTED_VALUE"""),"zh")</f>
        <v>zh</v>
      </c>
      <c r="B7163">
        <f>IFERROR(__xludf.DUMMYFUNCTION("""COMPUTED_VALUE"""),1393738.0)</f>
        <v>1393738</v>
      </c>
      <c r="C7163" t="str">
        <f>IFERROR(__xludf.DUMMYFUNCTION("""COMPUTED_VALUE"""),"机器学习 A-Z (Machine Learning A-Z in Chinese)")</f>
        <v>机器学习 A-Z (Machine Learning A-Z in Chinese)</v>
      </c>
    </row>
    <row r="7164">
      <c r="A7164" s="140" t="str">
        <f>IFERROR(__xludf.DUMMYFUNCTION("""COMPUTED_VALUE"""),"en")</f>
        <v>en</v>
      </c>
      <c r="B7164">
        <f>IFERROR(__xludf.DUMMYFUNCTION("""COMPUTED_VALUE"""),2642574.0)</f>
        <v>2642574</v>
      </c>
      <c r="C7164" t="str">
        <f>IFERROR(__xludf.DUMMYFUNCTION("""COMPUTED_VALUE"""),"The Complete Android 12 &amp; Kotlin Development Masterclass")</f>
        <v>The Complete Android 12 &amp; Kotlin Development Masterclass</v>
      </c>
    </row>
    <row r="7165">
      <c r="A7165" s="140" t="str">
        <f>IFERROR(__xludf.DUMMYFUNCTION("""COMPUTED_VALUE"""),"ja")</f>
        <v>ja</v>
      </c>
      <c r="B7165">
        <f>IFERROR(__xludf.DUMMYFUNCTION("""COMPUTED_VALUE"""),2845914.0)</f>
        <v>2845914</v>
      </c>
      <c r="C7165" t="str">
        <f>IFERROR(__xludf.DUMMYFUNCTION("""COMPUTED_VALUE"""),"ゼロから学ぶSQL　最も実践的にSQLクエリとSQLデータ解析を学べる講座！")</f>
        <v>ゼロから学ぶSQL　最も実践的にSQLクエリとSQLデータ解析を学べる講座！</v>
      </c>
    </row>
    <row r="7166">
      <c r="A7166" s="140" t="str">
        <f>IFERROR(__xludf.DUMMYFUNCTION("""COMPUTED_VALUE"""),"en")</f>
        <v>en</v>
      </c>
      <c r="B7166">
        <f>IFERROR(__xludf.DUMMYFUNCTION("""COMPUTED_VALUE"""),1792960.0)</f>
        <v>1792960</v>
      </c>
      <c r="C7166" t="str">
        <f>IFERROR(__xludf.DUMMYFUNCTION("""COMPUTED_VALUE"""),"gRPC [Golang] Master Class: Build Modern API &amp; Microservices")</f>
        <v>gRPC [Golang] Master Class: Build Modern API &amp; Microservices</v>
      </c>
    </row>
    <row r="7167">
      <c r="A7167" s="140" t="str">
        <f>IFERROR(__xludf.DUMMYFUNCTION("""COMPUTED_VALUE"""),"en")</f>
        <v>en</v>
      </c>
      <c r="B7167">
        <f>IFERROR(__xludf.DUMMYFUNCTION("""COMPUTED_VALUE"""),302746.0)</f>
        <v>302746</v>
      </c>
      <c r="C7167" t="str">
        <f>IFERROR(__xludf.DUMMYFUNCTION("""COMPUTED_VALUE"""),"Digital Marketing: How to Generate Sales Leads")</f>
        <v>Digital Marketing: How to Generate Sales Leads</v>
      </c>
    </row>
    <row r="7168">
      <c r="A7168" s="140" t="str">
        <f>IFERROR(__xludf.DUMMYFUNCTION("""COMPUTED_VALUE"""),"en")</f>
        <v>en</v>
      </c>
      <c r="B7168">
        <f>IFERROR(__xludf.DUMMYFUNCTION("""COMPUTED_VALUE"""),1151110.0)</f>
        <v>1151110</v>
      </c>
      <c r="C7168" t="str">
        <f>IFERROR(__xludf.DUMMYFUNCTION("""COMPUTED_VALUE"""),"Double your business - Marketing blueprint/pricing strategy")</f>
        <v>Double your business - Marketing blueprint/pricing strategy</v>
      </c>
    </row>
    <row r="7169">
      <c r="A7169" s="140" t="str">
        <f>IFERROR(__xludf.DUMMYFUNCTION("""COMPUTED_VALUE"""),"en")</f>
        <v>en</v>
      </c>
      <c r="B7169">
        <f>IFERROR(__xludf.DUMMYFUNCTION("""COMPUTED_VALUE"""),1562530.0)</f>
        <v>1562530</v>
      </c>
      <c r="C7169" t="str">
        <f>IFERROR(__xludf.DUMMYFUNCTION("""COMPUTED_VALUE"""),"Elegant Automation Frameworks with Python and Pytest")</f>
        <v>Elegant Automation Frameworks with Python and Pytest</v>
      </c>
    </row>
    <row r="7170">
      <c r="A7170" s="140" t="str">
        <f>IFERROR(__xludf.DUMMYFUNCTION("""COMPUTED_VALUE"""),"en")</f>
        <v>en</v>
      </c>
      <c r="B7170">
        <f>IFERROR(__xludf.DUMMYFUNCTION("""COMPUTED_VALUE"""),383576.0)</f>
        <v>383576</v>
      </c>
      <c r="C7170" t="str">
        <f>IFERROR(__xludf.DUMMYFUNCTION("""COMPUTED_VALUE"""),"C# Intermediate: Classes, Interfaces and OOP")</f>
        <v>C# Intermediate: Classes, Interfaces and OOP</v>
      </c>
    </row>
    <row r="7171">
      <c r="A7171" s="140" t="str">
        <f>IFERROR(__xludf.DUMMYFUNCTION("""COMPUTED_VALUE"""),"en")</f>
        <v>en</v>
      </c>
      <c r="B7171">
        <f>IFERROR(__xludf.DUMMYFUNCTION("""COMPUTED_VALUE"""),2620848.0)</f>
        <v>2620848</v>
      </c>
      <c r="C7171" t="str">
        <f>IFERROR(__xludf.DUMMYFUNCTION("""COMPUTED_VALUE"""),"Ecology in R")</f>
        <v>Ecology in R</v>
      </c>
    </row>
    <row r="7172">
      <c r="A7172" s="140" t="str">
        <f>IFERROR(__xludf.DUMMYFUNCTION("""COMPUTED_VALUE"""),"en")</f>
        <v>en</v>
      </c>
      <c r="B7172">
        <f>IFERROR(__xludf.DUMMYFUNCTION("""COMPUTED_VALUE"""),1001496.0)</f>
        <v>1001496</v>
      </c>
      <c r="C7172" t="str">
        <f>IFERROR(__xludf.DUMMYFUNCTION("""COMPUTED_VALUE"""),"Git &amp; GitHub with Eclipse, Android studio &amp; IntelliJ")</f>
        <v>Git &amp; GitHub with Eclipse, Android studio &amp; IntelliJ</v>
      </c>
    </row>
    <row r="7173">
      <c r="A7173" s="140" t="str">
        <f>IFERROR(__xludf.DUMMYFUNCTION("""COMPUTED_VALUE"""),"en")</f>
        <v>en</v>
      </c>
      <c r="B7173">
        <f>IFERROR(__xludf.DUMMYFUNCTION("""COMPUTED_VALUE"""),1259404.0)</f>
        <v>1259404</v>
      </c>
      <c r="C7173" t="str">
        <f>IFERROR(__xludf.DUMMYFUNCTION("""COMPUTED_VALUE"""),"Character Art School: Complete Character Drawing Course")</f>
        <v>Character Art School: Complete Character Drawing Course</v>
      </c>
    </row>
    <row r="7174">
      <c r="A7174" s="140" t="str">
        <f>IFERROR(__xludf.DUMMYFUNCTION("""COMPUTED_VALUE"""),"pt")</f>
        <v>pt</v>
      </c>
      <c r="B7174">
        <f>IFERROR(__xludf.DUMMYFUNCTION("""COMPUTED_VALUE"""),1222412.0)</f>
        <v>1222412</v>
      </c>
      <c r="C7174" t="str">
        <f>IFERROR(__xludf.DUMMYFUNCTION("""COMPUTED_VALUE"""),"Curso Completo de Kotlin para Desenvolvimento Android")</f>
        <v>Curso Completo de Kotlin para Desenvolvimento Android</v>
      </c>
    </row>
    <row r="7175">
      <c r="A7175" s="140" t="str">
        <f>IFERROR(__xludf.DUMMYFUNCTION("""COMPUTED_VALUE"""),"tr")</f>
        <v>tr</v>
      </c>
      <c r="B7175">
        <f>IFERROR(__xludf.DUMMYFUNCTION("""COMPUTED_VALUE"""),2293849.0)</f>
        <v>2293849</v>
      </c>
      <c r="C7175" t="str">
        <f>IFERROR(__xludf.DUMMYFUNCTION("""COMPUTED_VALUE"""),"İNGİLİZCE CÜMLE KURMA TEKNİKLERİ")</f>
        <v>İNGİLİZCE CÜMLE KURMA TEKNİKLERİ</v>
      </c>
    </row>
    <row r="7176">
      <c r="A7176" s="140" t="str">
        <f>IFERROR(__xludf.DUMMYFUNCTION("""COMPUTED_VALUE"""),"pt")</f>
        <v>pt</v>
      </c>
      <c r="B7176">
        <f>IFERROR(__xludf.DUMMYFUNCTION("""COMPUTED_VALUE"""),2558174.0)</f>
        <v>2558174</v>
      </c>
      <c r="C7176" t="str">
        <f>IFERROR(__xludf.DUMMYFUNCTION("""COMPUTED_VALUE"""),"Construa aplicações web completas com React e Redux!")</f>
        <v>Construa aplicações web completas com React e Redux!</v>
      </c>
    </row>
    <row r="7177">
      <c r="A7177" s="140" t="str">
        <f>IFERROR(__xludf.DUMMYFUNCTION("""COMPUTED_VALUE"""),"es")</f>
        <v>es</v>
      </c>
      <c r="B7177">
        <f>IFERROR(__xludf.DUMMYFUNCTION("""COMPUTED_VALUE"""),1724954.0)</f>
        <v>1724954</v>
      </c>
      <c r="C7177" t="str">
        <f>IFERROR(__xludf.DUMMYFUNCTION("""COMPUTED_VALUE"""),"[2020] COBIT version 5 Fundamentos")</f>
        <v>[2020] COBIT version 5 Fundamentos</v>
      </c>
    </row>
    <row r="7178">
      <c r="A7178" s="140" t="str">
        <f>IFERROR(__xludf.DUMMYFUNCTION("""COMPUTED_VALUE"""),"en")</f>
        <v>en</v>
      </c>
      <c r="B7178">
        <f>IFERROR(__xludf.DUMMYFUNCTION("""COMPUTED_VALUE"""),1649714.0)</f>
        <v>1649714</v>
      </c>
      <c r="C7178" t="str">
        <f>IFERROR(__xludf.DUMMYFUNCTION("""COMPUTED_VALUE"""),"Windows Presentation Foundation Masterclass")</f>
        <v>Windows Presentation Foundation Masterclass</v>
      </c>
    </row>
    <row r="7179">
      <c r="A7179" s="140" t="str">
        <f>IFERROR(__xludf.DUMMYFUNCTION("""COMPUTED_VALUE"""),"en")</f>
        <v>en</v>
      </c>
      <c r="B7179">
        <f>IFERROR(__xludf.DUMMYFUNCTION("""COMPUTED_VALUE"""),260470.0)</f>
        <v>260470</v>
      </c>
      <c r="C7179" t="str">
        <f>IFERROR(__xludf.DUMMYFUNCTION("""COMPUTED_VALUE"""),"Forex Robots: Automate Your Trading - Practice EA Included!")</f>
        <v>Forex Robots: Automate Your Trading - Practice EA Included!</v>
      </c>
    </row>
    <row r="7180">
      <c r="A7180" s="140" t="str">
        <f>IFERROR(__xludf.DUMMYFUNCTION("""COMPUTED_VALUE"""),"en")</f>
        <v>en</v>
      </c>
      <c r="B7180">
        <f>IFERROR(__xludf.DUMMYFUNCTION("""COMPUTED_VALUE"""),2251584.0)</f>
        <v>2251584</v>
      </c>
      <c r="C7180" t="str">
        <f>IFERROR(__xludf.DUMMYFUNCTION("""COMPUTED_VALUE"""),"Becoming a Cloud Expert - Microsoft Azure IaaS - Level 3")</f>
        <v>Becoming a Cloud Expert - Microsoft Azure IaaS - Level 3</v>
      </c>
    </row>
    <row r="7181">
      <c r="A7181" s="140" t="str">
        <f>IFERROR(__xludf.DUMMYFUNCTION("""COMPUTED_VALUE"""),"en")</f>
        <v>en</v>
      </c>
      <c r="B7181">
        <f>IFERROR(__xludf.DUMMYFUNCTION("""COMPUTED_VALUE"""),4243686.0)</f>
        <v>4243686</v>
      </c>
      <c r="C7181" t="str">
        <f>IFERROR(__xludf.DUMMYFUNCTION("""COMPUTED_VALUE"""),"SC-300 Microsoft Identity and Access Administrator Exam Prep")</f>
        <v>SC-300 Microsoft Identity and Access Administrator Exam Prep</v>
      </c>
    </row>
    <row r="7182">
      <c r="A7182" s="140" t="str">
        <f>IFERROR(__xludf.DUMMYFUNCTION("""COMPUTED_VALUE"""),"en")</f>
        <v>en</v>
      </c>
      <c r="B7182">
        <f>IFERROR(__xludf.DUMMYFUNCTION("""COMPUTED_VALUE"""),1412930.0)</f>
        <v>1412930</v>
      </c>
      <c r="C7182" t="str">
        <f>IFERROR(__xludf.DUMMYFUNCTION("""COMPUTED_VALUE"""),"MATLAB onramp 2021: coding, concepts, confidence, and style")</f>
        <v>MATLAB onramp 2021: coding, concepts, confidence, and style</v>
      </c>
    </row>
    <row r="7183">
      <c r="A7183" s="140" t="str">
        <f>IFERROR(__xludf.DUMMYFUNCTION("""COMPUTED_VALUE"""),"ja")</f>
        <v>ja</v>
      </c>
      <c r="B7183">
        <f>IFERROR(__xludf.DUMMYFUNCTION("""COMPUTED_VALUE"""),1476436.0)</f>
        <v>1476436</v>
      </c>
      <c r="C7183" t="str">
        <f>IFERROR(__xludf.DUMMYFUNCTION("""COMPUTED_VALUE"""),"一週間で身につくC/C++言語")</f>
        <v>一週間で身につくC/C++言語</v>
      </c>
    </row>
    <row r="7184">
      <c r="A7184" s="140" t="str">
        <f>IFERROR(__xludf.DUMMYFUNCTION("""COMPUTED_VALUE"""),"en")</f>
        <v>en</v>
      </c>
      <c r="B7184">
        <f>IFERROR(__xludf.DUMMYFUNCTION("""COMPUTED_VALUE"""),1703390.0)</f>
        <v>1703390</v>
      </c>
      <c r="C7184" t="str">
        <f>IFERROR(__xludf.DUMMYFUNCTION("""COMPUTED_VALUE"""),"Scrum Master Professional Cert,Real Case,2021 Exam Questions")</f>
        <v>Scrum Master Professional Cert,Real Case,2021 Exam Questions</v>
      </c>
    </row>
    <row r="7185">
      <c r="A7185" s="140" t="str">
        <f>IFERROR(__xludf.DUMMYFUNCTION("""COMPUTED_VALUE"""),"en")</f>
        <v>en</v>
      </c>
      <c r="B7185">
        <f>IFERROR(__xludf.DUMMYFUNCTION("""COMPUTED_VALUE"""),1279990.0)</f>
        <v>1279990</v>
      </c>
      <c r="C7185" t="str">
        <f>IFERROR(__xludf.DUMMYFUNCTION("""COMPUTED_VALUE"""),"PMP Certification Practice Test Exam-High Quality Questions")</f>
        <v>PMP Certification Practice Test Exam-High Quality Questions</v>
      </c>
    </row>
    <row r="7186">
      <c r="A7186" s="140" t="str">
        <f>IFERROR(__xludf.DUMMYFUNCTION("""COMPUTED_VALUE"""),"en")</f>
        <v>en</v>
      </c>
      <c r="B7186">
        <f>IFERROR(__xludf.DUMMYFUNCTION("""COMPUTED_VALUE"""),332140.0)</f>
        <v>332140</v>
      </c>
      <c r="C7186" t="str">
        <f>IFERROR(__xludf.DUMMYFUNCTION("""COMPUTED_VALUE"""),"Effective Delegation")</f>
        <v>Effective Delegation</v>
      </c>
    </row>
    <row r="7187">
      <c r="A7187" s="140" t="str">
        <f>IFERROR(__xludf.DUMMYFUNCTION("""COMPUTED_VALUE"""),"en")</f>
        <v>en</v>
      </c>
      <c r="B7187">
        <f>IFERROR(__xludf.DUMMYFUNCTION("""COMPUTED_VALUE"""),4147694.0)</f>
        <v>4147694</v>
      </c>
      <c r="C7187" t="str">
        <f>IFERROR(__xludf.DUMMYFUNCTION("""COMPUTED_VALUE"""),"Forex Trading: Forex Fundamental &amp; Technical Complete Course")</f>
        <v>Forex Trading: Forex Fundamental &amp; Technical Complete Course</v>
      </c>
    </row>
    <row r="7188">
      <c r="A7188" s="140" t="str">
        <f>IFERROR(__xludf.DUMMYFUNCTION("""COMPUTED_VALUE"""),"en")</f>
        <v>en</v>
      </c>
      <c r="B7188">
        <f>IFERROR(__xludf.DUMMYFUNCTION("""COMPUTED_VALUE"""),2548629.0)</f>
        <v>2548629</v>
      </c>
      <c r="C7188" t="str">
        <f>IFERROR(__xludf.DUMMYFUNCTION("""COMPUTED_VALUE"""),"The Complete Electronics Course 2021: Analog Hardware Design")</f>
        <v>The Complete Electronics Course 2021: Analog Hardware Design</v>
      </c>
    </row>
    <row r="7189">
      <c r="A7189" s="140" t="str">
        <f>IFERROR(__xludf.DUMMYFUNCTION("""COMPUTED_VALUE"""),"es")</f>
        <v>es</v>
      </c>
      <c r="B7189">
        <f>IFERROR(__xludf.DUMMYFUNCTION("""COMPUTED_VALUE"""),322174.0)</f>
        <v>322174</v>
      </c>
      <c r="C7189" t="str">
        <f>IFERROR(__xludf.DUMMYFUNCTION("""COMPUTED_VALUE"""),"Google Adwords para anunciarse con éxito (Actualizado 2017)")</f>
        <v>Google Adwords para anunciarse con éxito (Actualizado 2017)</v>
      </c>
    </row>
    <row r="7190">
      <c r="A7190" s="140" t="str">
        <f>IFERROR(__xludf.DUMMYFUNCTION("""COMPUTED_VALUE"""),"en")</f>
        <v>en</v>
      </c>
      <c r="B7190">
        <f>IFERROR(__xludf.DUMMYFUNCTION("""COMPUTED_VALUE"""),509454.0)</f>
        <v>509454</v>
      </c>
      <c r="C7190" t="str">
        <f>IFERROR(__xludf.DUMMYFUNCTION("""COMPUTED_VALUE"""),"Essentials of Developing Windows Store Apps Using C#")</f>
        <v>Essentials of Developing Windows Store Apps Using C#</v>
      </c>
    </row>
    <row r="7191">
      <c r="A7191" s="140" t="str">
        <f>IFERROR(__xludf.DUMMYFUNCTION("""COMPUTED_VALUE"""),"pt")</f>
        <v>pt</v>
      </c>
      <c r="B7191">
        <f>IFERROR(__xludf.DUMMYFUNCTION("""COMPUTED_VALUE"""),2272426.0)</f>
        <v>2272426</v>
      </c>
      <c r="C7191" t="str">
        <f>IFERROR(__xludf.DUMMYFUNCTION("""COMPUTED_VALUE"""),"Curso de LIBRAS 2021 - Aprenda facilmente Língua de Sinais!")</f>
        <v>Curso de LIBRAS 2021 - Aprenda facilmente Língua de Sinais!</v>
      </c>
    </row>
    <row r="7192">
      <c r="A7192" s="140" t="str">
        <f>IFERROR(__xludf.DUMMYFUNCTION("""COMPUTED_VALUE"""),"en")</f>
        <v>en</v>
      </c>
      <c r="B7192">
        <f>IFERROR(__xludf.DUMMYFUNCTION("""COMPUTED_VALUE"""),529444.0)</f>
        <v>529444</v>
      </c>
      <c r="C7192" t="str">
        <f>IFERROR(__xludf.DUMMYFUNCTION("""COMPUTED_VALUE"""),"Java from Beginner to Expert")</f>
        <v>Java from Beginner to Expert</v>
      </c>
    </row>
    <row r="7193">
      <c r="A7193" s="140" t="str">
        <f>IFERROR(__xludf.DUMMYFUNCTION("""COMPUTED_VALUE"""),"en")</f>
        <v>en</v>
      </c>
      <c r="B7193">
        <f>IFERROR(__xludf.DUMMYFUNCTION("""COMPUTED_VALUE"""),1511582.0)</f>
        <v>1511582</v>
      </c>
      <c r="C7193" t="str">
        <f>IFERROR(__xludf.DUMMYFUNCTION("""COMPUTED_VALUE"""),"Preparing to Certified OpenStack Administrator (COA) Exam")</f>
        <v>Preparing to Certified OpenStack Administrator (COA) Exam</v>
      </c>
    </row>
    <row r="7194">
      <c r="A7194" s="140" t="str">
        <f>IFERROR(__xludf.DUMMYFUNCTION("""COMPUTED_VALUE"""),"tr")</f>
        <v>tr</v>
      </c>
      <c r="B7194">
        <f>IFERROR(__xludf.DUMMYFUNCTION("""COMPUTED_VALUE"""),1804712.0)</f>
        <v>1804712</v>
      </c>
      <c r="C7194" t="str">
        <f>IFERROR(__xludf.DUMMYFUNCTION("""COMPUTED_VALUE"""),"Adım Adım Packet Tracer Uygulamaları | 35 Günde 35 Uygulama")</f>
        <v>Adım Adım Packet Tracer Uygulamaları | 35 Günde 35 Uygulama</v>
      </c>
    </row>
    <row r="7195">
      <c r="A7195" s="140" t="str">
        <f>IFERROR(__xludf.DUMMYFUNCTION("""COMPUTED_VALUE"""),"en")</f>
        <v>en</v>
      </c>
      <c r="B7195">
        <f>IFERROR(__xludf.DUMMYFUNCTION("""COMPUTED_VALUE"""),2046188.0)</f>
        <v>2046188</v>
      </c>
      <c r="C7195" t="str">
        <f>IFERROR(__xludf.DUMMYFUNCTION("""COMPUTED_VALUE"""),"Learn MSBI , SSIS , SSRS and SSAS Step by Step")</f>
        <v>Learn MSBI , SSIS , SSRS and SSAS Step by Step</v>
      </c>
    </row>
    <row r="7196">
      <c r="A7196" s="140" t="str">
        <f>IFERROR(__xludf.DUMMYFUNCTION("""COMPUTED_VALUE"""),"ar")</f>
        <v>ar</v>
      </c>
      <c r="B7196">
        <f>IFERROR(__xludf.DUMMYFUNCTION("""COMPUTED_VALUE"""),3336194.0)</f>
        <v>3336194</v>
      </c>
      <c r="C7196" t="str">
        <f>IFERROR(__xludf.DUMMYFUNCTION("""COMPUTED_VALUE"""),"Basic CSS for Absolute Beginners to Advanced Level")</f>
        <v>Basic CSS for Absolute Beginners to Advanced Level</v>
      </c>
    </row>
    <row r="7197">
      <c r="A7197" s="140" t="str">
        <f>IFERROR(__xludf.DUMMYFUNCTION("""COMPUTED_VALUE"""),"es")</f>
        <v>es</v>
      </c>
      <c r="B7197">
        <f>IFERROR(__xludf.DUMMYFUNCTION("""COMPUTED_VALUE"""),834866.0)</f>
        <v>834866</v>
      </c>
      <c r="C7197" t="str">
        <f>IFERROR(__xludf.DUMMYFUNCTION("""COMPUTED_VALUE"""),"Curso de Desarrollo Web Completo 2.0")</f>
        <v>Curso de Desarrollo Web Completo 2.0</v>
      </c>
    </row>
    <row r="7198">
      <c r="A7198" s="140" t="str">
        <f>IFERROR(__xludf.DUMMYFUNCTION("""COMPUTED_VALUE"""),"pt")</f>
        <v>pt</v>
      </c>
      <c r="B7198">
        <f>IFERROR(__xludf.DUMMYFUNCTION("""COMPUTED_VALUE"""),2277439.0)</f>
        <v>2277439</v>
      </c>
      <c r="C7198" t="str">
        <f>IFERROR(__xludf.DUMMYFUNCTION("""COMPUTED_VALUE"""),"Automação de Testes Com Selenium WebDriver e C# - COMPLETO")</f>
        <v>Automação de Testes Com Selenium WebDriver e C# - COMPLETO</v>
      </c>
    </row>
    <row r="7199">
      <c r="A7199" s="140" t="str">
        <f>IFERROR(__xludf.DUMMYFUNCTION("""COMPUTED_VALUE"""),"en")</f>
        <v>en</v>
      </c>
      <c r="B7199">
        <f>IFERROR(__xludf.DUMMYFUNCTION("""COMPUTED_VALUE"""),1423232.0)</f>
        <v>1423232</v>
      </c>
      <c r="C7199" t="str">
        <f>IFERROR(__xludf.DUMMYFUNCTION("""COMPUTED_VALUE"""),"Fifteen Great CTO Leadership Hacks")</f>
        <v>Fifteen Great CTO Leadership Hacks</v>
      </c>
    </row>
    <row r="7200">
      <c r="A7200" s="140" t="str">
        <f>IFERROR(__xludf.DUMMYFUNCTION("""COMPUTED_VALUE"""),"pt")</f>
        <v>pt</v>
      </c>
      <c r="B7200">
        <f>IFERROR(__xludf.DUMMYFUNCTION("""COMPUTED_VALUE"""),2592790.0)</f>
        <v>2592790</v>
      </c>
      <c r="C7200" t="str">
        <f>IFERROR(__xludf.DUMMYFUNCTION("""COMPUTED_VALUE"""),"Desenvolvimento de aplicações para web e sites com Django 3")</f>
        <v>Desenvolvimento de aplicações para web e sites com Django 3</v>
      </c>
    </row>
    <row r="7201">
      <c r="A7201" s="140" t="str">
        <f>IFERROR(__xludf.DUMMYFUNCTION("""COMPUTED_VALUE"""),"en")</f>
        <v>en</v>
      </c>
      <c r="B7201">
        <f>IFERROR(__xludf.DUMMYFUNCTION("""COMPUTED_VALUE"""),956254.0)</f>
        <v>956254</v>
      </c>
      <c r="C7201" t="str">
        <f>IFERROR(__xludf.DUMMYFUNCTION("""COMPUTED_VALUE"""),"Interactive Data Visualization with Python and Bokeh")</f>
        <v>Interactive Data Visualization with Python and Bokeh</v>
      </c>
    </row>
    <row r="7202">
      <c r="A7202" s="140" t="str">
        <f>IFERROR(__xludf.DUMMYFUNCTION("""COMPUTED_VALUE"""),"es")</f>
        <v>es</v>
      </c>
      <c r="B7202">
        <f>IFERROR(__xludf.DUMMYFUNCTION("""COMPUTED_VALUE"""),2081442.0)</f>
        <v>2081442</v>
      </c>
      <c r="C7202" t="str">
        <f>IFERROR(__xludf.DUMMYFUNCTION("""COMPUTED_VALUE"""),"Sistema punto de venta en Windows UWP con C# full stack")</f>
        <v>Sistema punto de venta en Windows UWP con C# full stack</v>
      </c>
    </row>
    <row r="7203">
      <c r="A7203" s="140" t="str">
        <f>IFERROR(__xludf.DUMMYFUNCTION("""COMPUTED_VALUE"""),"en")</f>
        <v>en</v>
      </c>
      <c r="B7203">
        <f>IFERROR(__xludf.DUMMYFUNCTION("""COMPUTED_VALUE"""),1686908.0)</f>
        <v>1686908</v>
      </c>
      <c r="C7203" t="str">
        <f>IFERROR(__xludf.DUMMYFUNCTION("""COMPUTED_VALUE"""),"Getting Started with Azure Virtual Machines")</f>
        <v>Getting Started with Azure Virtual Machines</v>
      </c>
    </row>
    <row r="7204">
      <c r="A7204" s="140" t="str">
        <f>IFERROR(__xludf.DUMMYFUNCTION("""COMPUTED_VALUE"""),"en")</f>
        <v>en</v>
      </c>
      <c r="B7204">
        <f>IFERROR(__xludf.DUMMYFUNCTION("""COMPUTED_VALUE"""),1998606.0)</f>
        <v>1998606</v>
      </c>
      <c r="C7204" t="str">
        <f>IFERROR(__xludf.DUMMYFUNCTION("""COMPUTED_VALUE"""),"The Complete English Grammar Course - Perfect Your English")</f>
        <v>The Complete English Grammar Course - Perfect Your English</v>
      </c>
    </row>
    <row r="7205">
      <c r="A7205" s="140" t="str">
        <f>IFERROR(__xludf.DUMMYFUNCTION("""COMPUTED_VALUE"""),"en")</f>
        <v>en</v>
      </c>
      <c r="B7205">
        <f>IFERROR(__xludf.DUMMYFUNCTION("""COMPUTED_VALUE"""),2916422.0)</f>
        <v>2916422</v>
      </c>
      <c r="C7205" t="str">
        <f>IFERROR(__xludf.DUMMYFUNCTION("""COMPUTED_VALUE"""),"Data Science/MachineLearning Project Deployment Mastery 2022")</f>
        <v>Data Science/MachineLearning Project Deployment Mastery 2022</v>
      </c>
    </row>
    <row r="7206">
      <c r="A7206" s="140" t="str">
        <f>IFERROR(__xludf.DUMMYFUNCTION("""COMPUTED_VALUE"""),"en")</f>
        <v>en</v>
      </c>
      <c r="B7206">
        <f>IFERROR(__xludf.DUMMYFUNCTION("""COMPUTED_VALUE"""),2419050.0)</f>
        <v>2419050</v>
      </c>
      <c r="C7206" t="str">
        <f>IFERROR(__xludf.DUMMYFUNCTION("""COMPUTED_VALUE"""),"Android Jetpack masterclass in Kotlin")</f>
        <v>Android Jetpack masterclass in Kotlin</v>
      </c>
    </row>
    <row r="7207">
      <c r="A7207" s="140" t="str">
        <f>IFERROR(__xludf.DUMMYFUNCTION("""COMPUTED_VALUE"""),"en")</f>
        <v>en</v>
      </c>
      <c r="B7207">
        <f>IFERROR(__xludf.DUMMYFUNCTION("""COMPUTED_VALUE"""),576054.0)</f>
        <v>576054</v>
      </c>
      <c r="C7207" t="str">
        <f>IFERROR(__xludf.DUMMYFUNCTION("""COMPUTED_VALUE"""),"Complete WordPress Developer Course - Plugins &amp; Themes")</f>
        <v>Complete WordPress Developer Course - Plugins &amp; Themes</v>
      </c>
    </row>
    <row r="7208">
      <c r="A7208" s="140" t="str">
        <f>IFERROR(__xludf.DUMMYFUNCTION("""COMPUTED_VALUE"""),"fr")</f>
        <v>fr</v>
      </c>
      <c r="B7208">
        <f>IFERROR(__xludf.DUMMYFUNCTION("""COMPUTED_VALUE"""),1134644.0)</f>
        <v>1134644</v>
      </c>
      <c r="C7208" t="str">
        <f>IFERROR(__xludf.DUMMYFUNCTION("""COMPUTED_VALUE"""),"JavaScript : le Guide Ultime (ES6 et ES7 inclus)")</f>
        <v>JavaScript : le Guide Ultime (ES6 et ES7 inclus)</v>
      </c>
    </row>
    <row r="7209">
      <c r="A7209" s="140" t="str">
        <f>IFERROR(__xludf.DUMMYFUNCTION("""COMPUTED_VALUE"""),"en")</f>
        <v>en</v>
      </c>
      <c r="B7209">
        <f>IFERROR(__xludf.DUMMYFUNCTION("""COMPUTED_VALUE"""),1758096.0)</f>
        <v>1758096</v>
      </c>
      <c r="C7209" t="str">
        <f>IFERROR(__xludf.DUMMYFUNCTION("""COMPUTED_VALUE"""),"Photorealistic Lighting with 3ds Max + Vray")</f>
        <v>Photorealistic Lighting with 3ds Max + Vray</v>
      </c>
    </row>
    <row r="7210">
      <c r="A7210" s="140" t="str">
        <f>IFERROR(__xludf.DUMMYFUNCTION("""COMPUTED_VALUE"""),"en")</f>
        <v>en</v>
      </c>
      <c r="B7210">
        <f>IFERROR(__xludf.DUMMYFUNCTION("""COMPUTED_VALUE"""),425504.0)</f>
        <v>425504</v>
      </c>
      <c r="C7210" t="str">
        <f>IFERROR(__xludf.DUMMYFUNCTION("""COMPUTED_VALUE"""),"Microsoft SQL Server Integration Services (SSIS) Training")</f>
        <v>Microsoft SQL Server Integration Services (SSIS) Training</v>
      </c>
    </row>
    <row r="7211">
      <c r="A7211" s="140" t="str">
        <f>IFERROR(__xludf.DUMMYFUNCTION("""COMPUTED_VALUE"""),"zh")</f>
        <v>zh</v>
      </c>
      <c r="B7211">
        <f>IFERROR(__xludf.DUMMYFUNCTION("""COMPUTED_VALUE"""),1779142.0)</f>
        <v>1779142</v>
      </c>
      <c r="C7211" t="str">
        <f>IFERROR(__xludf.DUMMYFUNCTION("""COMPUTED_VALUE"""),"Web网站安全测试（Penetration Testing）- 从初学到精通")</f>
        <v>Web网站安全测试（Penetration Testing）- 从初学到精通</v>
      </c>
    </row>
    <row r="7212">
      <c r="A7212" s="140" t="str">
        <f>IFERROR(__xludf.DUMMYFUNCTION("""COMPUTED_VALUE"""),"en")</f>
        <v>en</v>
      </c>
      <c r="B7212">
        <f>IFERROR(__xludf.DUMMYFUNCTION("""COMPUTED_VALUE"""),3343864.0)</f>
        <v>3343864</v>
      </c>
      <c r="C7212" t="str">
        <f>IFERROR(__xludf.DUMMYFUNCTION("""COMPUTED_VALUE"""),"Azure Active Directory for .NET Developers (AD and B2C)")</f>
        <v>Azure Active Directory for .NET Developers (AD and B2C)</v>
      </c>
    </row>
    <row r="7213">
      <c r="A7213" s="140" t="str">
        <f>IFERROR(__xludf.DUMMYFUNCTION("""COMPUTED_VALUE"""),"en")</f>
        <v>en</v>
      </c>
      <c r="B7213">
        <f>IFERROR(__xludf.DUMMYFUNCTION("""COMPUTED_VALUE"""),2692962.0)</f>
        <v>2692962</v>
      </c>
      <c r="C7213" t="str">
        <f>IFERROR(__xludf.DUMMYFUNCTION("""COMPUTED_VALUE"""),"Fostering Psychological Safety &amp; Belonging on Teams")</f>
        <v>Fostering Psychological Safety &amp; Belonging on Teams</v>
      </c>
    </row>
    <row r="7214">
      <c r="A7214" s="140" t="str">
        <f>IFERROR(__xludf.DUMMYFUNCTION("""COMPUTED_VALUE"""),"es")</f>
        <v>es</v>
      </c>
      <c r="B7214">
        <f>IFERROR(__xludf.DUMMYFUNCTION("""COMPUTED_VALUE"""),1376722.0)</f>
        <v>1376722</v>
      </c>
      <c r="C7214" t="str">
        <f>IFERROR(__xludf.DUMMYFUNCTION("""COMPUTED_VALUE"""),"Bootcamp de videojuegos 2D en Unity 5 desde cero con JB (I)")</f>
        <v>Bootcamp de videojuegos 2D en Unity 5 desde cero con JB (I)</v>
      </c>
    </row>
    <row r="7215">
      <c r="A7215" s="140" t="str">
        <f>IFERROR(__xludf.DUMMYFUNCTION("""COMPUTED_VALUE"""),"es")</f>
        <v>es</v>
      </c>
      <c r="B7215">
        <f>IFERROR(__xludf.DUMMYFUNCTION("""COMPUTED_VALUE"""),636204.0)</f>
        <v>636204</v>
      </c>
      <c r="C7215" t="str">
        <f>IFERROR(__xludf.DUMMYFUNCTION("""COMPUTED_VALUE"""),"Google Earth Pro. Llega a experto desde cero.")</f>
        <v>Google Earth Pro. Llega a experto desde cero.</v>
      </c>
    </row>
    <row r="7216">
      <c r="A7216" s="140" t="str">
        <f>IFERROR(__xludf.DUMMYFUNCTION("""COMPUTED_VALUE"""),"en")</f>
        <v>en</v>
      </c>
      <c r="B7216">
        <f>IFERROR(__xludf.DUMMYFUNCTION("""COMPUTED_VALUE"""),3212627.0)</f>
        <v>3212627</v>
      </c>
      <c r="C7216" t="str">
        <f>IFERROR(__xludf.DUMMYFUNCTION("""COMPUTED_VALUE"""),"UiPath Advanced REFramework - Everything Explained")</f>
        <v>UiPath Advanced REFramework - Everything Explained</v>
      </c>
    </row>
    <row r="7217">
      <c r="A7217" s="140" t="str">
        <f>IFERROR(__xludf.DUMMYFUNCTION("""COMPUTED_VALUE"""),"es")</f>
        <v>es</v>
      </c>
      <c r="B7217">
        <f>IFERROR(__xludf.DUMMYFUNCTION("""COMPUTED_VALUE"""),1535282.0)</f>
        <v>1535282</v>
      </c>
      <c r="C7217" t="str">
        <f>IFERROR(__xludf.DUMMYFUNCTION("""COMPUTED_VALUE"""),"Desarrollo de Plugins para WordPress con PHP, JS, CSS y HTML")</f>
        <v>Desarrollo de Plugins para WordPress con PHP, JS, CSS y HTML</v>
      </c>
    </row>
    <row r="7218">
      <c r="A7218" s="140" t="str">
        <f>IFERROR(__xludf.DUMMYFUNCTION("""COMPUTED_VALUE"""),"es")</f>
        <v>es</v>
      </c>
      <c r="B7218">
        <f>IFERROR(__xludf.DUMMYFUNCTION("""COMPUTED_VALUE"""),2305852.0)</f>
        <v>2305852</v>
      </c>
      <c r="C7218" t="str">
        <f>IFERROR(__xludf.DUMMYFUNCTION("""COMPUTED_VALUE"""),"Crea sistemas de Reservas y Alquiler con PHP 7 y MercadoPago")</f>
        <v>Crea sistemas de Reservas y Alquiler con PHP 7 y MercadoPago</v>
      </c>
    </row>
    <row r="7219">
      <c r="A7219" s="140" t="str">
        <f>IFERROR(__xludf.DUMMYFUNCTION("""COMPUTED_VALUE"""),"es")</f>
        <v>es</v>
      </c>
      <c r="B7219">
        <f>IFERROR(__xludf.DUMMYFUNCTION("""COMPUTED_VALUE"""),1984698.0)</f>
        <v>1984698</v>
      </c>
      <c r="C7219" t="str">
        <f>IFERROR(__xludf.DUMMYFUNCTION("""COMPUTED_VALUE"""),"Inversión en Acciones y Bolsa de Valores (De 0 a Avanzado)")</f>
        <v>Inversión en Acciones y Bolsa de Valores (De 0 a Avanzado)</v>
      </c>
    </row>
    <row r="7220">
      <c r="A7220" s="140" t="str">
        <f>IFERROR(__xludf.DUMMYFUNCTION("""COMPUTED_VALUE"""),"fr")</f>
        <v>fr</v>
      </c>
      <c r="B7220">
        <f>IFERROR(__xludf.DUMMYFUNCTION("""COMPUTED_VALUE"""),2328250.0)</f>
        <v>2328250</v>
      </c>
      <c r="C7220" t="str">
        <f>IFERROR(__xludf.DUMMYFUNCTION("""COMPUTED_VALUE"""),"Google Sheets : Les Fondamentaux")</f>
        <v>Google Sheets : Les Fondamentaux</v>
      </c>
    </row>
    <row r="7221">
      <c r="A7221" s="140" t="str">
        <f>IFERROR(__xludf.DUMMYFUNCTION("""COMPUTED_VALUE"""),"en")</f>
        <v>en</v>
      </c>
      <c r="B7221">
        <f>IFERROR(__xludf.DUMMYFUNCTION("""COMPUTED_VALUE"""),1283168.0)</f>
        <v>1283168</v>
      </c>
      <c r="C7221" t="str">
        <f>IFERROR(__xludf.DUMMYFUNCTION("""COMPUTED_VALUE"""),"Videoscribe Whiteboard Animations: The Complete Guide")</f>
        <v>Videoscribe Whiteboard Animations: The Complete Guide</v>
      </c>
    </row>
    <row r="7222">
      <c r="A7222" s="140" t="str">
        <f>IFERROR(__xludf.DUMMYFUNCTION("""COMPUTED_VALUE"""),"en")</f>
        <v>en</v>
      </c>
      <c r="B7222">
        <f>IFERROR(__xludf.DUMMYFUNCTION("""COMPUTED_VALUE"""),3143872.0)</f>
        <v>3143872</v>
      </c>
      <c r="C7222" t="str">
        <f>IFERROR(__xludf.DUMMYFUNCTION("""COMPUTED_VALUE"""),"MD-101 Microsoft Modern Desktop Admin Instructor Led Course")</f>
        <v>MD-101 Microsoft Modern Desktop Admin Instructor Led Course</v>
      </c>
    </row>
    <row r="7223">
      <c r="A7223" s="140" t="str">
        <f>IFERROR(__xludf.DUMMYFUNCTION("""COMPUTED_VALUE"""),"de")</f>
        <v>de</v>
      </c>
      <c r="B7223">
        <f>IFERROR(__xludf.DUMMYFUNCTION("""COMPUTED_VALUE"""),2864726.0)</f>
        <v>2864726</v>
      </c>
      <c r="C7223" t="str">
        <f>IFERROR(__xludf.DUMMYFUNCTION("""COMPUTED_VALUE"""),"Storytelling")</f>
        <v>Storytelling</v>
      </c>
    </row>
    <row r="7224">
      <c r="A7224" s="140" t="str">
        <f>IFERROR(__xludf.DUMMYFUNCTION("""COMPUTED_VALUE"""),"tr")</f>
        <v>tr</v>
      </c>
      <c r="B7224">
        <f>IFERROR(__xludf.DUMMYFUNCTION("""COMPUTED_VALUE"""),2041866.0)</f>
        <v>2041866</v>
      </c>
      <c r="C7224" t="str">
        <f>IFERROR(__xludf.DUMMYFUNCTION("""COMPUTED_VALUE"""),"Excel(VBA) Userform-Access Veritabanlı")</f>
        <v>Excel(VBA) Userform-Access Veritabanlı</v>
      </c>
    </row>
    <row r="7225">
      <c r="A7225" s="140" t="str">
        <f>IFERROR(__xludf.DUMMYFUNCTION("""COMPUTED_VALUE"""),"en")</f>
        <v>en</v>
      </c>
      <c r="B7225">
        <f>IFERROR(__xludf.DUMMYFUNCTION("""COMPUTED_VALUE"""),1885262.0)</f>
        <v>1885262</v>
      </c>
      <c r="C7225" t="str">
        <f>IFERROR(__xludf.DUMMYFUNCTION("""COMPUTED_VALUE"""),"Angular Core Deep Dive - Beginner to Advanced")</f>
        <v>Angular Core Deep Dive - Beginner to Advanced</v>
      </c>
    </row>
    <row r="7226">
      <c r="A7226" s="140" t="str">
        <f>IFERROR(__xludf.DUMMYFUNCTION("""COMPUTED_VALUE"""),"en")</f>
        <v>en</v>
      </c>
      <c r="B7226">
        <f>IFERROR(__xludf.DUMMYFUNCTION("""COMPUTED_VALUE"""),1512990.0)</f>
        <v>1512990</v>
      </c>
      <c r="C7226" t="str">
        <f>IFERROR(__xludf.DUMMYFUNCTION("""COMPUTED_VALUE"""),"Adobe InDesign CC - Advanced Training Course")</f>
        <v>Adobe InDesign CC - Advanced Training Course</v>
      </c>
    </row>
    <row r="7227">
      <c r="A7227" s="140" t="str">
        <f>IFERROR(__xludf.DUMMYFUNCTION("""COMPUTED_VALUE"""),"tr")</f>
        <v>tr</v>
      </c>
      <c r="B7227">
        <f>IFERROR(__xludf.DUMMYFUNCTION("""COMPUTED_VALUE"""),2455960.0)</f>
        <v>2455960</v>
      </c>
      <c r="C7227" t="str">
        <f>IFERROR(__xludf.DUMMYFUNCTION("""COMPUTED_VALUE"""),"Etik Hacker Olma: Web Uygulamaları ve Uygulamalı Sızma Testi")</f>
        <v>Etik Hacker Olma: Web Uygulamaları ve Uygulamalı Sızma Testi</v>
      </c>
    </row>
    <row r="7228">
      <c r="A7228" s="140" t="str">
        <f>IFERROR(__xludf.DUMMYFUNCTION("""COMPUTED_VALUE"""),"en")</f>
        <v>en</v>
      </c>
      <c r="B7228">
        <f>IFERROR(__xludf.DUMMYFUNCTION("""COMPUTED_VALUE"""),770656.0)</f>
        <v>770656</v>
      </c>
      <c r="C7228" t="str">
        <f>IFERROR(__xludf.DUMMYFUNCTION("""COMPUTED_VALUE"""),"The Core Four of Personal Finance including Recession Basics")</f>
        <v>The Core Four of Personal Finance including Recession Basics</v>
      </c>
    </row>
    <row r="7229">
      <c r="A7229" s="140" t="str">
        <f>IFERROR(__xludf.DUMMYFUNCTION("""COMPUTED_VALUE"""),"en")</f>
        <v>en</v>
      </c>
      <c r="B7229">
        <f>IFERROR(__xludf.DUMMYFUNCTION("""COMPUTED_VALUE"""),386242.0)</f>
        <v>386242</v>
      </c>
      <c r="C7229" t="str">
        <f>IFERROR(__xludf.DUMMYFUNCTION("""COMPUTED_VALUE"""),"Software testing and Automation of APIs with UFT/QTP")</f>
        <v>Software testing and Automation of APIs with UFT/QTP</v>
      </c>
    </row>
    <row r="7230">
      <c r="A7230" s="140" t="str">
        <f>IFERROR(__xludf.DUMMYFUNCTION("""COMPUTED_VALUE"""),"es")</f>
        <v>es</v>
      </c>
      <c r="B7230">
        <f>IFERROR(__xludf.DUMMYFUNCTION("""COMPUTED_VALUE"""),3059920.0)</f>
        <v>3059920</v>
      </c>
      <c r="C7230" t="str">
        <f>IFERROR(__xludf.DUMMYFUNCTION("""COMPUTED_VALUE"""),"Curso de REXX completo, desde 0, para Windows y z/OS")</f>
        <v>Curso de REXX completo, desde 0, para Windows y z/OS</v>
      </c>
    </row>
    <row r="7231">
      <c r="A7231" s="140" t="str">
        <f>IFERROR(__xludf.DUMMYFUNCTION("""COMPUTED_VALUE"""),"es")</f>
        <v>es</v>
      </c>
      <c r="B7231">
        <f>IFERROR(__xludf.DUMMYFUNCTION("""COMPUTED_VALUE"""),2714352.0)</f>
        <v>2714352</v>
      </c>
      <c r="C7231" t="str">
        <f>IFERROR(__xludf.DUMMYFUNCTION("""COMPUTED_VALUE"""),"Kotlin Coroutines - Aprende programación Asíncrona en Kotlin")</f>
        <v>Kotlin Coroutines - Aprende programación Asíncrona en Kotlin</v>
      </c>
    </row>
    <row r="7232">
      <c r="A7232" s="140" t="str">
        <f>IFERROR(__xludf.DUMMYFUNCTION("""COMPUTED_VALUE"""),"en")</f>
        <v>en</v>
      </c>
      <c r="B7232">
        <f>IFERROR(__xludf.DUMMYFUNCTION("""COMPUTED_VALUE"""),3526120.0)</f>
        <v>3526120</v>
      </c>
      <c r="C7232" t="str">
        <f>IFERROR(__xludf.DUMMYFUNCTION("""COMPUTED_VALUE"""),"Hyper-V and Clustering on Microsoft Windows Server 2019")</f>
        <v>Hyper-V and Clustering on Microsoft Windows Server 2019</v>
      </c>
    </row>
    <row r="7233">
      <c r="A7233" s="140" t="str">
        <f>IFERROR(__xludf.DUMMYFUNCTION("""COMPUTED_VALUE"""),"de")</f>
        <v>de</v>
      </c>
      <c r="B7233">
        <f>IFERROR(__xludf.DUMMYFUNCTION("""COMPUTED_VALUE"""),639240.0)</f>
        <v>639240</v>
      </c>
      <c r="C7233" t="str">
        <f>IFERROR(__xludf.DUMMYFUNCTION("""COMPUTED_VALUE"""),"Befreie deine Stimme! Gesangsunterricht für alle Level")</f>
        <v>Befreie deine Stimme! Gesangsunterricht für alle Level</v>
      </c>
    </row>
    <row r="7234">
      <c r="A7234" s="140" t="str">
        <f>IFERROR(__xludf.DUMMYFUNCTION("""COMPUTED_VALUE"""),"en")</f>
        <v>en</v>
      </c>
      <c r="B7234">
        <f>IFERROR(__xludf.DUMMYFUNCTION("""COMPUTED_VALUE"""),276904.0)</f>
        <v>276904</v>
      </c>
      <c r="C7234" t="str">
        <f>IFERROR(__xludf.DUMMYFUNCTION("""COMPUTED_VALUE"""),"Become a Geometry Master")</f>
        <v>Become a Geometry Master</v>
      </c>
    </row>
    <row r="7235">
      <c r="A7235" s="140" t="str">
        <f>IFERROR(__xludf.DUMMYFUNCTION("""COMPUTED_VALUE"""),"zh")</f>
        <v>zh</v>
      </c>
      <c r="B7235">
        <f>IFERROR(__xludf.DUMMYFUNCTION("""COMPUTED_VALUE"""),1242424.0)</f>
        <v>1242424</v>
      </c>
      <c r="C7235" t="str">
        <f>IFERROR(__xludf.DUMMYFUNCTION("""COMPUTED_VALUE"""),"Python 3零基础完全入门与提高（面向2021, Python3.7/3.8,不断更新ing）")</f>
        <v>Python 3零基础完全入门与提高（面向2021, Python3.7/3.8,不断更新ing）</v>
      </c>
    </row>
    <row r="7236">
      <c r="A7236" s="140" t="str">
        <f>IFERROR(__xludf.DUMMYFUNCTION("""COMPUTED_VALUE"""),"en")</f>
        <v>en</v>
      </c>
      <c r="B7236">
        <f>IFERROR(__xludf.DUMMYFUNCTION("""COMPUTED_VALUE"""),1319436.0)</f>
        <v>1319436</v>
      </c>
      <c r="C7236" t="str">
        <f>IFERROR(__xludf.DUMMYFUNCTION("""COMPUTED_VALUE"""),"The Complete Kotlin Developer Course")</f>
        <v>The Complete Kotlin Developer Course</v>
      </c>
    </row>
    <row r="7237">
      <c r="A7237" s="140" t="str">
        <f>IFERROR(__xludf.DUMMYFUNCTION("""COMPUTED_VALUE"""),"en")</f>
        <v>en</v>
      </c>
      <c r="B7237">
        <f>IFERROR(__xludf.DUMMYFUNCTION("""COMPUTED_VALUE"""),3766346.0)</f>
        <v>3766346</v>
      </c>
      <c r="C7237" t="str">
        <f>IFERROR(__xludf.DUMMYFUNCTION("""COMPUTED_VALUE"""),"Step-by-Step DCF Valuation!")</f>
        <v>Step-by-Step DCF Valuation!</v>
      </c>
    </row>
    <row r="7238">
      <c r="A7238" s="140" t="str">
        <f>IFERROR(__xludf.DUMMYFUNCTION("""COMPUTED_VALUE"""),"pt")</f>
        <v>pt</v>
      </c>
      <c r="B7238">
        <f>IFERROR(__xludf.DUMMYFUNCTION("""COMPUTED_VALUE"""),4186070.0)</f>
        <v>4186070</v>
      </c>
      <c r="C7238" t="str">
        <f>IFERROR(__xludf.DUMMYFUNCTION("""COMPUTED_VALUE"""),"O Poder da Escuta Ativa: Pare de Ouvir e Comece a Escutar")</f>
        <v>O Poder da Escuta Ativa: Pare de Ouvir e Comece a Escutar</v>
      </c>
    </row>
    <row r="7239">
      <c r="A7239" s="140" t="str">
        <f>IFERROR(__xludf.DUMMYFUNCTION("""COMPUTED_VALUE"""),"en")</f>
        <v>en</v>
      </c>
      <c r="B7239">
        <f>IFERROR(__xludf.DUMMYFUNCTION("""COMPUTED_VALUE"""),3709784.0)</f>
        <v>3709784</v>
      </c>
      <c r="C7239" t="str">
        <f>IFERROR(__xludf.DUMMYFUNCTION("""COMPUTED_VALUE"""),"Agile Project Management in 30 Minutes")</f>
        <v>Agile Project Management in 30 Minutes</v>
      </c>
    </row>
    <row r="7240">
      <c r="A7240" s="140" t="str">
        <f>IFERROR(__xludf.DUMMYFUNCTION("""COMPUTED_VALUE"""),"en")</f>
        <v>en</v>
      </c>
      <c r="B7240">
        <f>IFERROR(__xludf.DUMMYFUNCTION("""COMPUTED_VALUE"""),908418.0)</f>
        <v>908418</v>
      </c>
      <c r="C7240" t="str">
        <f>IFERROR(__xludf.DUMMYFUNCTION("""COMPUTED_VALUE"""),"Programming in Mathematica")</f>
        <v>Programming in Mathematica</v>
      </c>
    </row>
    <row r="7241">
      <c r="A7241" s="140" t="str">
        <f>IFERROR(__xludf.DUMMYFUNCTION("""COMPUTED_VALUE"""),"en")</f>
        <v>en</v>
      </c>
      <c r="B7241">
        <f>IFERROR(__xludf.DUMMYFUNCTION("""COMPUTED_VALUE"""),1538348.0)</f>
        <v>1538348</v>
      </c>
      <c r="C7241" t="str">
        <f>IFERROR(__xludf.DUMMYFUNCTION("""COMPUTED_VALUE"""),"Web Security and Hacking for Beginners")</f>
        <v>Web Security and Hacking for Beginners</v>
      </c>
    </row>
    <row r="7242">
      <c r="A7242" s="140" t="str">
        <f>IFERROR(__xludf.DUMMYFUNCTION("""COMPUTED_VALUE"""),"tr")</f>
        <v>tr</v>
      </c>
      <c r="B7242">
        <f>IFERROR(__xludf.DUMMYFUNCTION("""COMPUTED_VALUE"""),3599912.0)</f>
        <v>3599912</v>
      </c>
      <c r="C7242" t="str">
        <f>IFERROR(__xludf.DUMMYFUNCTION("""COMPUTED_VALUE"""),"TEMEL ANALİZ İLE FİRMA TANIMAK ( Hisse Değerlendirme )")</f>
        <v>TEMEL ANALİZ İLE FİRMA TANIMAK ( Hisse Değerlendirme )</v>
      </c>
    </row>
    <row r="7243">
      <c r="A7243" s="140" t="str">
        <f>IFERROR(__xludf.DUMMYFUNCTION("""COMPUTED_VALUE"""),"en")</f>
        <v>en</v>
      </c>
      <c r="B7243">
        <f>IFERROR(__xludf.DUMMYFUNCTION("""COMPUTED_VALUE"""),965528.0)</f>
        <v>965528</v>
      </c>
      <c r="C7243" t="str">
        <f>IFERROR(__xludf.DUMMYFUNCTION("""COMPUTED_VALUE"""),"Web Development Masterclass - Complete Certificate Course")</f>
        <v>Web Development Masterclass - Complete Certificate Course</v>
      </c>
    </row>
    <row r="7244">
      <c r="A7244" s="140" t="str">
        <f>IFERROR(__xludf.DUMMYFUNCTION("""COMPUTED_VALUE"""),"en")</f>
        <v>en</v>
      </c>
      <c r="B7244">
        <f>IFERROR(__xludf.DUMMYFUNCTION("""COMPUTED_VALUE"""),611936.0)</f>
        <v>611936</v>
      </c>
      <c r="C7244" t="str">
        <f>IFERROR(__xludf.DUMMYFUNCTION("""COMPUTED_VALUE"""),"Apple TV App &amp; Game Development for tvOS")</f>
        <v>Apple TV App &amp; Game Development for tvOS</v>
      </c>
    </row>
    <row r="7245">
      <c r="A7245" s="140" t="str">
        <f>IFERROR(__xludf.DUMMYFUNCTION("""COMPUTED_VALUE"""),"tr")</f>
        <v>tr</v>
      </c>
      <c r="B7245">
        <f>IFERROR(__xludf.DUMMYFUNCTION("""COMPUTED_VALUE"""),3265802.0)</f>
        <v>3265802</v>
      </c>
      <c r="C7245" t="str">
        <f>IFERROR(__xludf.DUMMYFUNCTION("""COMPUTED_VALUE"""),"A'dan Z'ye Android Mobil Programlama Kursu: Java &amp; Kotlin")</f>
        <v>A'dan Z'ye Android Mobil Programlama Kursu: Java &amp; Kotlin</v>
      </c>
    </row>
    <row r="7246">
      <c r="A7246" s="140" t="str">
        <f>IFERROR(__xludf.DUMMYFUNCTION("""COMPUTED_VALUE"""),"es")</f>
        <v>es</v>
      </c>
      <c r="B7246">
        <f>IFERROR(__xludf.DUMMYFUNCTION("""COMPUTED_VALUE"""),3118120.0)</f>
        <v>3118120</v>
      </c>
      <c r="C7246" t="str">
        <f>IFERROR(__xludf.DUMMYFUNCTION("""COMPUTED_VALUE"""),"[A-Z] Visualización y Analítica de datos con Power BI")</f>
        <v>[A-Z] Visualización y Analítica de datos con Power BI</v>
      </c>
    </row>
    <row r="7247">
      <c r="A7247" s="140" t="str">
        <f>IFERROR(__xludf.DUMMYFUNCTION("""COMPUTED_VALUE"""),"en")</f>
        <v>en</v>
      </c>
      <c r="B7247">
        <f>IFERROR(__xludf.DUMMYFUNCTION("""COMPUTED_VALUE"""),3430412.0)</f>
        <v>3430412</v>
      </c>
      <c r="C7247" t="str">
        <f>IFERROR(__xludf.DUMMYFUNCTION("""COMPUTED_VALUE"""),"GraphQL API with Java Spring Boot &amp; Spring Framework")</f>
        <v>GraphQL API with Java Spring Boot &amp; Spring Framework</v>
      </c>
    </row>
    <row r="7248">
      <c r="A7248" s="140" t="str">
        <f>IFERROR(__xludf.DUMMYFUNCTION("""COMPUTED_VALUE"""),"fr")</f>
        <v>fr</v>
      </c>
      <c r="B7248">
        <f>IFERROR(__xludf.DUMMYFUNCTION("""COMPUTED_VALUE"""),1770808.0)</f>
        <v>1770808</v>
      </c>
      <c r="C7248" t="str">
        <f>IFERROR(__xludf.DUMMYFUNCTION("""COMPUTED_VALUE"""),"Sketchup - formation complète")</f>
        <v>Sketchup - formation complète</v>
      </c>
    </row>
    <row r="7249">
      <c r="A7249" s="140" t="str">
        <f>IFERROR(__xludf.DUMMYFUNCTION("""COMPUTED_VALUE"""),"en")</f>
        <v>en</v>
      </c>
      <c r="B7249">
        <f>IFERROR(__xludf.DUMMYFUNCTION("""COMPUTED_VALUE"""),1283676.0)</f>
        <v>1283676</v>
      </c>
      <c r="C7249" t="str">
        <f>IFERROR(__xludf.DUMMYFUNCTION("""COMPUTED_VALUE"""),"Adobe XD UI/UX Design, prototype, and handoff from scratch")</f>
        <v>Adobe XD UI/UX Design, prototype, and handoff from scratch</v>
      </c>
    </row>
    <row r="7250">
      <c r="A7250" s="140" t="str">
        <f>IFERROR(__xludf.DUMMYFUNCTION("""COMPUTED_VALUE"""),"ja")</f>
        <v>ja</v>
      </c>
      <c r="B7250">
        <f>IFERROR(__xludf.DUMMYFUNCTION("""COMPUTED_VALUE"""),2691724.0)</f>
        <v>2691724</v>
      </c>
      <c r="C7250" t="str">
        <f>IFERROR(__xludf.DUMMYFUNCTION("""COMPUTED_VALUE"""),"Kotlin と JUnit で学ぶ、はじめてのユニットテスト【丁寧な解説＋演習問題で プログラミング 中級者になろう】")</f>
        <v>Kotlin と JUnit で学ぶ、はじめてのユニットテスト【丁寧な解説＋演習問題で プログラミング 中級者になろう】</v>
      </c>
    </row>
    <row r="7251">
      <c r="A7251" s="140" t="str">
        <f>IFERROR(__xludf.DUMMYFUNCTION("""COMPUTED_VALUE"""),"es")</f>
        <v>es</v>
      </c>
      <c r="B7251">
        <f>IFERROR(__xludf.DUMMYFUNCTION("""COMPUTED_VALUE"""),2544807.0)</f>
        <v>2544807</v>
      </c>
      <c r="C7251" t="str">
        <f>IFERROR(__xludf.DUMMYFUNCTION("""COMPUTED_VALUE"""),"Curso de HTML5 desde cero: El más completo en Español")</f>
        <v>Curso de HTML5 desde cero: El más completo en Español</v>
      </c>
    </row>
    <row r="7252">
      <c r="A7252" s="140" t="str">
        <f>IFERROR(__xludf.DUMMYFUNCTION("""COMPUTED_VALUE"""),"en")</f>
        <v>en</v>
      </c>
      <c r="B7252">
        <f>IFERROR(__xludf.DUMMYFUNCTION("""COMPUTED_VALUE"""),276058.0)</f>
        <v>276058</v>
      </c>
      <c r="C7252" t="str">
        <f>IFERROR(__xludf.DUMMYFUNCTION("""COMPUTED_VALUE"""),"The Complete Public Speaking Certification Program (Part 2)")</f>
        <v>The Complete Public Speaking Certification Program (Part 2)</v>
      </c>
    </row>
    <row r="7253">
      <c r="A7253" s="140" t="str">
        <f>IFERROR(__xludf.DUMMYFUNCTION("""COMPUTED_VALUE"""),"de")</f>
        <v>de</v>
      </c>
      <c r="B7253">
        <f>IFERROR(__xludf.DUMMYFUNCTION("""COMPUTED_VALUE"""),2538854.0)</f>
        <v>2538854</v>
      </c>
      <c r="C7253" t="str">
        <f>IFERROR(__xludf.DUMMYFUNCTION("""COMPUTED_VALUE"""),"Projektmanagement für agile, klassische und hybride Projekte")</f>
        <v>Projektmanagement für agile, klassische und hybride Projekte</v>
      </c>
    </row>
    <row r="7254">
      <c r="A7254" s="140" t="str">
        <f>IFERROR(__xludf.DUMMYFUNCTION("""COMPUTED_VALUE"""),"en")</f>
        <v>en</v>
      </c>
      <c r="B7254">
        <f>IFERROR(__xludf.DUMMYFUNCTION("""COMPUTED_VALUE"""),1592094.0)</f>
        <v>1592094</v>
      </c>
      <c r="C7254" t="str">
        <f>IFERROR(__xludf.DUMMYFUNCTION("""COMPUTED_VALUE"""),"MATLAB/SIMULINK Bible|Go From Zero to Hero!")</f>
        <v>MATLAB/SIMULINK Bible|Go From Zero to Hero!</v>
      </c>
    </row>
    <row r="7255">
      <c r="A7255" s="140" t="str">
        <f>IFERROR(__xludf.DUMMYFUNCTION("""COMPUTED_VALUE"""),"es")</f>
        <v>es</v>
      </c>
      <c r="B7255">
        <f>IFERROR(__xludf.DUMMYFUNCTION("""COMPUTED_VALUE"""),3979984.0)</f>
        <v>3979984</v>
      </c>
      <c r="C7255" t="str">
        <f>IFERROR(__xludf.DUMMYFUNCTION("""COMPUTED_VALUE"""),"PowerPoint TOTAL Avanzado - Crea Presentaciones Impactantes")</f>
        <v>PowerPoint TOTAL Avanzado - Crea Presentaciones Impactantes</v>
      </c>
    </row>
    <row r="7256">
      <c r="A7256" s="140" t="str">
        <f>IFERROR(__xludf.DUMMYFUNCTION("""COMPUTED_VALUE"""),"en")</f>
        <v>en</v>
      </c>
      <c r="B7256">
        <f>IFERROR(__xludf.DUMMYFUNCTION("""COMPUTED_VALUE"""),1733814.0)</f>
        <v>1733814</v>
      </c>
      <c r="C7256" t="str">
        <f>IFERROR(__xludf.DUMMYFUNCTION("""COMPUTED_VALUE"""),"New Relic APM: Application Performance Management for DevOps")</f>
        <v>New Relic APM: Application Performance Management for DevOps</v>
      </c>
    </row>
    <row r="7257">
      <c r="A7257" s="140" t="str">
        <f>IFERROR(__xludf.DUMMYFUNCTION("""COMPUTED_VALUE"""),"en")</f>
        <v>en</v>
      </c>
      <c r="B7257">
        <f>IFERROR(__xludf.DUMMYFUNCTION("""COMPUTED_VALUE"""),2717648.0)</f>
        <v>2717648</v>
      </c>
      <c r="C7257" t="str">
        <f>IFERROR(__xludf.DUMMYFUNCTION("""COMPUTED_VALUE"""),"Introduction to Nuke VFX Compositing: The Essentials - NK101")</f>
        <v>Introduction to Nuke VFX Compositing: The Essentials - NK101</v>
      </c>
    </row>
    <row r="7258">
      <c r="A7258" s="140" t="str">
        <f>IFERROR(__xludf.DUMMYFUNCTION("""COMPUTED_VALUE"""),"pt")</f>
        <v>pt</v>
      </c>
      <c r="B7258">
        <f>IFERROR(__xludf.DUMMYFUNCTION("""COMPUTED_VALUE"""),1071772.0)</f>
        <v>1071772</v>
      </c>
      <c r="C7258" t="str">
        <f>IFERROR(__xludf.DUMMYFUNCTION("""COMPUTED_VALUE"""),"Ms Project COMPLETO + CERTIFICADO - Básico e Avançado")</f>
        <v>Ms Project COMPLETO + CERTIFICADO - Básico e Avançado</v>
      </c>
    </row>
    <row r="7259">
      <c r="A7259" s="140" t="str">
        <f>IFERROR(__xludf.DUMMYFUNCTION("""COMPUTED_VALUE"""),"en")</f>
        <v>en</v>
      </c>
      <c r="B7259">
        <f>IFERROR(__xludf.DUMMYFUNCTION("""COMPUTED_VALUE"""),3248264.0)</f>
        <v>3248264</v>
      </c>
      <c r="C7259" t="str">
        <f>IFERROR(__xludf.DUMMYFUNCTION("""COMPUTED_VALUE"""),"Spring Boot Fundamentals with Unit Testing (MockMVC/Mockito)")</f>
        <v>Spring Boot Fundamentals with Unit Testing (MockMVC/Mockito)</v>
      </c>
    </row>
    <row r="7260">
      <c r="A7260" s="140" t="str">
        <f>IFERROR(__xludf.DUMMYFUNCTION("""COMPUTED_VALUE"""),"pt")</f>
        <v>pt</v>
      </c>
      <c r="B7260">
        <f>IFERROR(__xludf.DUMMYFUNCTION("""COMPUTED_VALUE"""),1412376.0)</f>
        <v>1412376</v>
      </c>
      <c r="C7260" t="str">
        <f>IFERROR(__xludf.DUMMYFUNCTION("""COMPUTED_VALUE"""),"Servicedesk e Inventário com GLPI")</f>
        <v>Servicedesk e Inventário com GLPI</v>
      </c>
    </row>
    <row r="7261">
      <c r="A7261" s="140" t="str">
        <f>IFERROR(__xludf.DUMMYFUNCTION("""COMPUTED_VALUE"""),"ko")</f>
        <v>ko</v>
      </c>
      <c r="B7261">
        <f>IFERROR(__xludf.DUMMYFUNCTION("""COMPUTED_VALUE"""),4278906.0)</f>
        <v>4278906</v>
      </c>
      <c r="C7261" t="str">
        <f>IFERROR(__xludf.DUMMYFUNCTION("""COMPUTED_VALUE"""),"가장 가볍게, 왕초보 영어 문법")</f>
        <v>가장 가볍게, 왕초보 영어 문법</v>
      </c>
    </row>
    <row r="7262">
      <c r="A7262" s="140" t="str">
        <f>IFERROR(__xludf.DUMMYFUNCTION("""COMPUTED_VALUE"""),"fr")</f>
        <v>fr</v>
      </c>
      <c r="B7262">
        <f>IFERROR(__xludf.DUMMYFUNCTION("""COMPUTED_VALUE"""),3569209.0)</f>
        <v>3569209</v>
      </c>
      <c r="C7262" t="str">
        <f>IFERROR(__xludf.DUMMYFUNCTION("""COMPUTED_VALUE"""),"Photographie : Sublimez vos photos avec Adobe Lightroom 2021")</f>
        <v>Photographie : Sublimez vos photos avec Adobe Lightroom 2021</v>
      </c>
    </row>
    <row r="7263">
      <c r="A7263" s="140" t="str">
        <f>IFERROR(__xludf.DUMMYFUNCTION("""COMPUTED_VALUE"""),"pt")</f>
        <v>pt</v>
      </c>
      <c r="B7263">
        <f>IFERROR(__xludf.DUMMYFUNCTION("""COMPUTED_VALUE"""),2373778.0)</f>
        <v>2373778</v>
      </c>
      <c r="C7263" t="str">
        <f>IFERROR(__xludf.DUMMYFUNCTION("""COMPUTED_VALUE"""),"Curso de Recursos Humanos")</f>
        <v>Curso de Recursos Humanos</v>
      </c>
    </row>
    <row r="7264">
      <c r="A7264" s="140" t="str">
        <f>IFERROR(__xludf.DUMMYFUNCTION("""COMPUTED_VALUE"""),"en")</f>
        <v>en</v>
      </c>
      <c r="B7264">
        <f>IFERROR(__xludf.DUMMYFUNCTION("""COMPUTED_VALUE"""),808622.0)</f>
        <v>808622</v>
      </c>
      <c r="C7264" t="str">
        <f>IFERROR(__xludf.DUMMYFUNCTION("""COMPUTED_VALUE"""),"AngularJS Authentication: Secure Your App with Auth0")</f>
        <v>AngularJS Authentication: Secure Your App with Auth0</v>
      </c>
    </row>
    <row r="7265">
      <c r="A7265" s="140" t="str">
        <f>IFERROR(__xludf.DUMMYFUNCTION("""COMPUTED_VALUE"""),"en")</f>
        <v>en</v>
      </c>
      <c r="B7265">
        <f>IFERROR(__xludf.DUMMYFUNCTION("""COMPUTED_VALUE"""),1337450.0)</f>
        <v>1337450</v>
      </c>
      <c r="C7265" t="str">
        <f>IFERROR(__xludf.DUMMYFUNCTION("""COMPUTED_VALUE"""),"Conflict Management at Work: Real World Strategies &amp; Tools")</f>
        <v>Conflict Management at Work: Real World Strategies &amp; Tools</v>
      </c>
    </row>
    <row r="7266">
      <c r="A7266" s="140" t="str">
        <f>IFERROR(__xludf.DUMMYFUNCTION("""COMPUTED_VALUE"""),"en")</f>
        <v>en</v>
      </c>
      <c r="B7266">
        <f>IFERROR(__xludf.DUMMYFUNCTION("""COMPUTED_VALUE"""),3520590.0)</f>
        <v>3520590</v>
      </c>
      <c r="C7266" t="str">
        <f>IFERROR(__xludf.DUMMYFUNCTION("""COMPUTED_VALUE"""),"SAP COPA  Controlling &amp; Profitability Analysis S/4 HANA 1909")</f>
        <v>SAP COPA  Controlling &amp; Profitability Analysis S/4 HANA 1909</v>
      </c>
    </row>
    <row r="7267">
      <c r="A7267" s="140" t="str">
        <f>IFERROR(__xludf.DUMMYFUNCTION("""COMPUTED_VALUE"""),"en")</f>
        <v>en</v>
      </c>
      <c r="B7267">
        <f>IFERROR(__xludf.DUMMYFUNCTION("""COMPUTED_VALUE"""),1263186.0)</f>
        <v>1263186</v>
      </c>
      <c r="C7267" t="str">
        <f>IFERROR(__xludf.DUMMYFUNCTION("""COMPUTED_VALUE"""),"Adobe Captivate - Responsive Custom Quiz Questions")</f>
        <v>Adobe Captivate - Responsive Custom Quiz Questions</v>
      </c>
    </row>
    <row r="7268">
      <c r="A7268" s="140" t="str">
        <f>IFERROR(__xludf.DUMMYFUNCTION("""COMPUTED_VALUE"""),"pt")</f>
        <v>pt</v>
      </c>
      <c r="B7268">
        <f>IFERROR(__xludf.DUMMYFUNCTION("""COMPUTED_VALUE"""),2630310.0)</f>
        <v>2630310</v>
      </c>
      <c r="C7268" t="str">
        <f>IFERROR(__xludf.DUMMYFUNCTION("""COMPUTED_VALUE"""),"Simulado Exame AZ-303 Microsoft Azure Architect Technologies")</f>
        <v>Simulado Exame AZ-303 Microsoft Azure Architect Technologies</v>
      </c>
    </row>
    <row r="7269">
      <c r="A7269" s="140" t="str">
        <f>IFERROR(__xludf.DUMMYFUNCTION("""COMPUTED_VALUE"""),"ja")</f>
        <v>ja</v>
      </c>
      <c r="B7269">
        <f>IFERROR(__xludf.DUMMYFUNCTION("""COMPUTED_VALUE"""),2543363.0)</f>
        <v>2543363</v>
      </c>
      <c r="C7269" t="str">
        <f>IFERROR(__xludf.DUMMYFUNCTION("""COMPUTED_VALUE"""),"【初級エンジニア必須スキル Linux コマンド】複雑な環境構築を AWS に任せてLinuxの基本操作を手軽にマスター")</f>
        <v>【初級エンジニア必須スキル Linux コマンド】複雑な環境構築を AWS に任せてLinuxの基本操作を手軽にマスター</v>
      </c>
    </row>
    <row r="7270">
      <c r="A7270" s="140" t="str">
        <f>IFERROR(__xludf.DUMMYFUNCTION("""COMPUTED_VALUE"""),"es")</f>
        <v>es</v>
      </c>
      <c r="B7270">
        <f>IFERROR(__xludf.DUMMYFUNCTION("""COMPUTED_VALUE"""),1506872.0)</f>
        <v>1506872</v>
      </c>
      <c r="C7270" t="str">
        <f>IFERROR(__xludf.DUMMYFUNCTION("""COMPUTED_VALUE"""),"Aprende RPA (Robotic Process Automation) con UIPath")</f>
        <v>Aprende RPA (Robotic Process Automation) con UIPath</v>
      </c>
    </row>
    <row r="7271">
      <c r="A7271" s="140" t="str">
        <f>IFERROR(__xludf.DUMMYFUNCTION("""COMPUTED_VALUE"""),"pt")</f>
        <v>pt</v>
      </c>
      <c r="B7271">
        <f>IFERROR(__xludf.DUMMYFUNCTION("""COMPUTED_VALUE"""),2742812.0)</f>
        <v>2742812</v>
      </c>
      <c r="C7271" t="str">
        <f>IFERROR(__xludf.DUMMYFUNCTION("""COMPUTED_VALUE"""),"ASANA - Gestão de Tarefas e Projetos")</f>
        <v>ASANA - Gestão de Tarefas e Projetos</v>
      </c>
    </row>
    <row r="7272">
      <c r="A7272" s="140" t="str">
        <f>IFERROR(__xludf.DUMMYFUNCTION("""COMPUTED_VALUE"""),"de")</f>
        <v>de</v>
      </c>
      <c r="B7272">
        <f>IFERROR(__xludf.DUMMYFUNCTION("""COMPUTED_VALUE"""),1241046.0)</f>
        <v>1241046</v>
      </c>
      <c r="C7272" t="str">
        <f>IFERROR(__xludf.DUMMYFUNCTION("""COMPUTED_VALUE"""),"Adobe Premiere Pro CC: Vom Anfänger zum Fortgeschrittenen!")</f>
        <v>Adobe Premiere Pro CC: Vom Anfänger zum Fortgeschrittenen!</v>
      </c>
    </row>
    <row r="7273">
      <c r="A7273" s="140" t="str">
        <f>IFERROR(__xludf.DUMMYFUNCTION("""COMPUTED_VALUE"""),"en")</f>
        <v>en</v>
      </c>
      <c r="B7273">
        <f>IFERROR(__xludf.DUMMYFUNCTION("""COMPUTED_VALUE"""),1025702.0)</f>
        <v>1025702</v>
      </c>
      <c r="C7273" t="str">
        <f>IFERROR(__xludf.DUMMYFUNCTION("""COMPUTED_VALUE"""),"CompTIA Network+ (N10-007) Full Course &amp; Practice Exam")</f>
        <v>CompTIA Network+ (N10-007) Full Course &amp; Practice Exam</v>
      </c>
    </row>
    <row r="7274">
      <c r="A7274" s="140" t="str">
        <f>IFERROR(__xludf.DUMMYFUNCTION("""COMPUTED_VALUE"""),"en")</f>
        <v>en</v>
      </c>
      <c r="B7274">
        <f>IFERROR(__xludf.DUMMYFUNCTION("""COMPUTED_VALUE"""),1473446.0)</f>
        <v>1473446</v>
      </c>
      <c r="C7274" t="str">
        <f>IFERROR(__xludf.DUMMYFUNCTION("""COMPUTED_VALUE"""),"Oracle PL/SQL is My Game: EXAM 1Z0-149")</f>
        <v>Oracle PL/SQL is My Game: EXAM 1Z0-149</v>
      </c>
    </row>
    <row r="7275">
      <c r="A7275" s="140" t="str">
        <f>IFERROR(__xludf.DUMMYFUNCTION("""COMPUTED_VALUE"""),"en")</f>
        <v>en</v>
      </c>
      <c r="B7275">
        <f>IFERROR(__xludf.DUMMYFUNCTION("""COMPUTED_VALUE"""),844132.0)</f>
        <v>844132</v>
      </c>
      <c r="C7275" t="str">
        <f>IFERROR(__xludf.DUMMYFUNCTION("""COMPUTED_VALUE"""),"Sound Like a Native - French Pronunciation Full Course (HD)")</f>
        <v>Sound Like a Native - French Pronunciation Full Course (HD)</v>
      </c>
    </row>
    <row r="7276">
      <c r="A7276" s="140" t="str">
        <f>IFERROR(__xludf.DUMMYFUNCTION("""COMPUTED_VALUE"""),"en")</f>
        <v>en</v>
      </c>
      <c r="B7276">
        <f>IFERROR(__xludf.DUMMYFUNCTION("""COMPUTED_VALUE"""),1051008.0)</f>
        <v>1051008</v>
      </c>
      <c r="C7276" t="str">
        <f>IFERROR(__xludf.DUMMYFUNCTION("""COMPUTED_VALUE"""),"MongoDB 3.2: Professional Developer")</f>
        <v>MongoDB 3.2: Professional Developer</v>
      </c>
    </row>
    <row r="7277">
      <c r="A7277" s="140" t="str">
        <f>IFERROR(__xludf.DUMMYFUNCTION("""COMPUTED_VALUE"""),"en")</f>
        <v>en</v>
      </c>
      <c r="B7277">
        <f>IFERROR(__xludf.DUMMYFUNCTION("""COMPUTED_VALUE"""),832750.0)</f>
        <v>832750</v>
      </c>
      <c r="C7277" t="str">
        <f>IFERROR(__xludf.DUMMYFUNCTION("""COMPUTED_VALUE"""),"Level 1 Intelligence Analyst Certification")</f>
        <v>Level 1 Intelligence Analyst Certification</v>
      </c>
    </row>
    <row r="7278">
      <c r="A7278" s="140" t="str">
        <f>IFERROR(__xludf.DUMMYFUNCTION("""COMPUTED_VALUE"""),"es")</f>
        <v>es</v>
      </c>
      <c r="B7278">
        <f>IFERROR(__xludf.DUMMYFUNCTION("""COMPUTED_VALUE"""),1174400.0)</f>
        <v>1174400</v>
      </c>
      <c r="C7278" t="str">
        <f>IFERROR(__xludf.DUMMYFUNCTION("""COMPUTED_VALUE"""),"Patrones de diseño de software y principios SOLID.")</f>
        <v>Patrones de diseño de software y principios SOLID.</v>
      </c>
    </row>
    <row r="7279">
      <c r="A7279" s="140" t="str">
        <f>IFERROR(__xludf.DUMMYFUNCTION("""COMPUTED_VALUE"""),"en")</f>
        <v>en</v>
      </c>
      <c r="B7279">
        <f>IFERROR(__xludf.DUMMYFUNCTION("""COMPUTED_VALUE"""),369340.0)</f>
        <v>369340</v>
      </c>
      <c r="C7279" t="str">
        <f>IFERROR(__xludf.DUMMYFUNCTION("""COMPUTED_VALUE"""),"High Availability for the LAMP Stack, Step-by-Step")</f>
        <v>High Availability for the LAMP Stack, Step-by-Step</v>
      </c>
    </row>
    <row r="7280">
      <c r="A7280" s="140" t="str">
        <f>IFERROR(__xludf.DUMMYFUNCTION("""COMPUTED_VALUE"""),"de")</f>
        <v>de</v>
      </c>
      <c r="B7280">
        <f>IFERROR(__xludf.DUMMYFUNCTION("""COMPUTED_VALUE"""),706518.0)</f>
        <v>706518</v>
      </c>
      <c r="C7280" t="str">
        <f>IFERROR(__xludf.DUMMYFUNCTION("""COMPUTED_VALUE"""),"Online-Nackenkur - Selbsthilfe bei Nacken- &amp; Rückenschmerzen")</f>
        <v>Online-Nackenkur - Selbsthilfe bei Nacken- &amp; Rückenschmerzen</v>
      </c>
    </row>
    <row r="7281">
      <c r="A7281" s="140" t="str">
        <f>IFERROR(__xludf.DUMMYFUNCTION("""COMPUTED_VALUE"""),"en")</f>
        <v>en</v>
      </c>
      <c r="B7281">
        <f>IFERROR(__xludf.DUMMYFUNCTION("""COMPUTED_VALUE"""),3780696.0)</f>
        <v>3780696</v>
      </c>
      <c r="C7281" t="str">
        <f>IFERROR(__xludf.DUMMYFUNCTION("""COMPUTED_VALUE"""),"Machine Learning, Deep Learning and Bayesian Learning")</f>
        <v>Machine Learning, Deep Learning and Bayesian Learning</v>
      </c>
    </row>
    <row r="7282">
      <c r="A7282" s="140" t="str">
        <f>IFERROR(__xludf.DUMMYFUNCTION("""COMPUTED_VALUE"""),"en")</f>
        <v>en</v>
      </c>
      <c r="B7282">
        <f>IFERROR(__xludf.DUMMYFUNCTION("""COMPUTED_VALUE"""),2536576.0)</f>
        <v>2536576</v>
      </c>
      <c r="C7282" t="str">
        <f>IFERROR(__xludf.DUMMYFUNCTION("""COMPUTED_VALUE"""),"FMEA Training | FMEA Specialist Certification (Accredited)")</f>
        <v>FMEA Training | FMEA Specialist Certification (Accredited)</v>
      </c>
    </row>
    <row r="7283">
      <c r="A7283" s="140" t="str">
        <f>IFERROR(__xludf.DUMMYFUNCTION("""COMPUTED_VALUE"""),"en")</f>
        <v>en</v>
      </c>
      <c r="B7283">
        <f>IFERROR(__xludf.DUMMYFUNCTION("""COMPUTED_VALUE"""),2311352.0)</f>
        <v>2311352</v>
      </c>
      <c r="C7283" t="str">
        <f>IFERROR(__xludf.DUMMYFUNCTION("""COMPUTED_VALUE"""),"Microsoft AZ-304 Certification: Azure Architect Design")</f>
        <v>Microsoft AZ-304 Certification: Azure Architect Design</v>
      </c>
    </row>
    <row r="7284">
      <c r="A7284" s="140" t="str">
        <f>IFERROR(__xludf.DUMMYFUNCTION("""COMPUTED_VALUE"""),"en")</f>
        <v>en</v>
      </c>
      <c r="B7284">
        <f>IFERROR(__xludf.DUMMYFUNCTION("""COMPUTED_VALUE"""),840264.0)</f>
        <v>840264</v>
      </c>
      <c r="C7284" t="str">
        <f>IFERROR(__xludf.DUMMYFUNCTION("""COMPUTED_VALUE"""),"RSLogix/Studio 5000 PLC Ladder Logic Training. Advanced")</f>
        <v>RSLogix/Studio 5000 PLC Ladder Logic Training. Advanced</v>
      </c>
    </row>
    <row r="7285">
      <c r="A7285" s="140" t="str">
        <f>IFERROR(__xludf.DUMMYFUNCTION("""COMPUTED_VALUE"""),"fr")</f>
        <v>fr</v>
      </c>
      <c r="B7285">
        <f>IFERROR(__xludf.DUMMYFUNCTION("""COMPUTED_VALUE"""),2388936.0)</f>
        <v>2388936</v>
      </c>
      <c r="C7285" t="str">
        <f>IFERROR(__xludf.DUMMYFUNCTION("""COMPUTED_VALUE"""),"API REST avec Symfony 4 et API Platform + App Windev Mobile")</f>
        <v>API REST avec Symfony 4 et API Platform + App Windev Mobile</v>
      </c>
    </row>
    <row r="7286">
      <c r="A7286" s="140" t="str">
        <f>IFERROR(__xludf.DUMMYFUNCTION("""COMPUTED_VALUE"""),"pt")</f>
        <v>pt</v>
      </c>
      <c r="B7286">
        <f>IFERROR(__xludf.DUMMYFUNCTION("""COMPUTED_VALUE"""),3571819.0)</f>
        <v>3571819</v>
      </c>
      <c r="C7286" t="str">
        <f>IFERROR(__xludf.DUMMYFUNCTION("""COMPUTED_VALUE"""),"Fundamentos de Finanças Corporativas")</f>
        <v>Fundamentos de Finanças Corporativas</v>
      </c>
    </row>
    <row r="7287">
      <c r="A7287" s="140" t="str">
        <f>IFERROR(__xludf.DUMMYFUNCTION("""COMPUTED_VALUE"""),"tr")</f>
        <v>tr</v>
      </c>
      <c r="B7287">
        <f>IFERROR(__xludf.DUMMYFUNCTION("""COMPUTED_VALUE"""),1563444.0)</f>
        <v>1563444</v>
      </c>
      <c r="C7287" t="str">
        <f>IFERROR(__xludf.DUMMYFUNCTION("""COMPUTED_VALUE"""),"A'dan Z'ye Cisco CCNA 200-301 Eğitimi")</f>
        <v>A'dan Z'ye Cisco CCNA 200-301 Eğitimi</v>
      </c>
    </row>
    <row r="7288">
      <c r="A7288" s="140" t="str">
        <f>IFERROR(__xludf.DUMMYFUNCTION("""COMPUTED_VALUE"""),"en")</f>
        <v>en</v>
      </c>
      <c r="B7288">
        <f>IFERROR(__xludf.DUMMYFUNCTION("""COMPUTED_VALUE"""),2249344.0)</f>
        <v>2249344</v>
      </c>
      <c r="C7288" t="str">
        <f>IFERROR(__xludf.DUMMYFUNCTION("""COMPUTED_VALUE"""),"Psychodynamic Psychotherapy: Advanced Level -ACCREDITED CERT")</f>
        <v>Psychodynamic Psychotherapy: Advanced Level -ACCREDITED CERT</v>
      </c>
    </row>
    <row r="7289">
      <c r="A7289" s="140" t="str">
        <f>IFERROR(__xludf.DUMMYFUNCTION("""COMPUTED_VALUE"""),"es")</f>
        <v>es</v>
      </c>
      <c r="B7289">
        <f>IFERROR(__xludf.DUMMYFUNCTION("""COMPUTED_VALUE"""),3169264.0)</f>
        <v>3169264</v>
      </c>
      <c r="C7289" t="str">
        <f>IFERROR(__xludf.DUMMYFUNCTION("""COMPUTED_VALUE"""),"Deep Learning aplicado: Diagnóstico de Covid-19 en Rayos X")</f>
        <v>Deep Learning aplicado: Diagnóstico de Covid-19 en Rayos X</v>
      </c>
    </row>
    <row r="7290">
      <c r="A7290" s="140" t="str">
        <f>IFERROR(__xludf.DUMMYFUNCTION("""COMPUTED_VALUE"""),"ja")</f>
        <v>ja</v>
      </c>
      <c r="B7290">
        <f>IFERROR(__xludf.DUMMYFUNCTION("""COMPUTED_VALUE"""),1813998.0)</f>
        <v>1813998</v>
      </c>
      <c r="C7290" t="str">
        <f>IFERROR(__xludf.DUMMYFUNCTION("""COMPUTED_VALUE"""),"非エンジニア／超初心者のための人工知能 (AI / 機械学習 ) を活用したビジネスモデル立案講座 -基礎編-")</f>
        <v>非エンジニア／超初心者のための人工知能 (AI / 機械学習 ) を活用したビジネスモデル立案講座 -基礎編-</v>
      </c>
    </row>
    <row r="7291">
      <c r="A7291" s="140" t="str">
        <f>IFERROR(__xludf.DUMMYFUNCTION("""COMPUTED_VALUE"""),"de")</f>
        <v>de</v>
      </c>
      <c r="B7291">
        <f>IFERROR(__xludf.DUMMYFUNCTION("""COMPUTED_VALUE"""),1603358.0)</f>
        <v>1603358</v>
      </c>
      <c r="C7291" t="str">
        <f>IFERROR(__xludf.DUMMYFUNCTION("""COMPUTED_VALUE"""),"Die komplette C# Masterclass - von 0 auf 100 in 6 Wochen")</f>
        <v>Die komplette C# Masterclass - von 0 auf 100 in 6 Wochen</v>
      </c>
    </row>
    <row r="7292">
      <c r="A7292" s="140" t="str">
        <f>IFERROR(__xludf.DUMMYFUNCTION("""COMPUTED_VALUE"""),"en")</f>
        <v>en</v>
      </c>
      <c r="B7292">
        <f>IFERROR(__xludf.DUMMYFUNCTION("""COMPUTED_VALUE"""),1921058.0)</f>
        <v>1921058</v>
      </c>
      <c r="C7292" t="str">
        <f>IFERROR(__xludf.DUMMYFUNCTION("""COMPUTED_VALUE"""),"Microsoft Azure, DevOps and MicroServices with .NET")</f>
        <v>Microsoft Azure, DevOps and MicroServices with .NET</v>
      </c>
    </row>
    <row r="7293">
      <c r="A7293" s="140" t="str">
        <f>IFERROR(__xludf.DUMMYFUNCTION("""COMPUTED_VALUE"""),"pt")</f>
        <v>pt</v>
      </c>
      <c r="B7293">
        <f>IFERROR(__xludf.DUMMYFUNCTION("""COMPUTED_VALUE"""),2640528.0)</f>
        <v>2640528</v>
      </c>
      <c r="C7293" t="str">
        <f>IFERROR(__xludf.DUMMYFUNCTION("""COMPUTED_VALUE"""),"Curso de Revit do Básico ao Avançado Rápido + V-Ray e Lumion")</f>
        <v>Curso de Revit do Básico ao Avançado Rápido + V-Ray e Lumion</v>
      </c>
    </row>
    <row r="7294">
      <c r="A7294" s="140" t="str">
        <f>IFERROR(__xludf.DUMMYFUNCTION("""COMPUTED_VALUE"""),"en")</f>
        <v>en</v>
      </c>
      <c r="B7294">
        <f>IFERROR(__xludf.DUMMYFUNCTION("""COMPUTED_VALUE"""),3451458.0)</f>
        <v>3451458</v>
      </c>
      <c r="C7294" t="str">
        <f>IFERROR(__xludf.DUMMYFUNCTION("""COMPUTED_VALUE"""),"High-Level Synthesis for FPGA, Part 1-Combinational Circuits")</f>
        <v>High-Level Synthesis for FPGA, Part 1-Combinational Circuits</v>
      </c>
    </row>
    <row r="7295">
      <c r="A7295" s="140" t="str">
        <f>IFERROR(__xludf.DUMMYFUNCTION("""COMPUTED_VALUE"""),"ko")</f>
        <v>ko</v>
      </c>
      <c r="B7295">
        <f>IFERROR(__xludf.DUMMYFUNCTION("""COMPUTED_VALUE"""),4278692.0)</f>
        <v>4278692</v>
      </c>
      <c r="C7295" t="str">
        <f>IFERROR(__xludf.DUMMYFUNCTION("""COMPUTED_VALUE"""),"원어민 영어 Copy &amp; Paste (원카페)")</f>
        <v>원어민 영어 Copy &amp; Paste (원카페)</v>
      </c>
    </row>
    <row r="7296">
      <c r="A7296" s="140" t="str">
        <f>IFERROR(__xludf.DUMMYFUNCTION("""COMPUTED_VALUE"""),"en")</f>
        <v>en</v>
      </c>
      <c r="B7296">
        <f>IFERROR(__xludf.DUMMYFUNCTION("""COMPUTED_VALUE"""),618296.0)</f>
        <v>618296</v>
      </c>
      <c r="C7296" t="str">
        <f>IFERROR(__xludf.DUMMYFUNCTION("""COMPUTED_VALUE"""),"IT Management: Essential Principles and Skills")</f>
        <v>IT Management: Essential Principles and Skills</v>
      </c>
    </row>
    <row r="7297">
      <c r="A7297" s="140" t="str">
        <f>IFERROR(__xludf.DUMMYFUNCTION("""COMPUTED_VALUE"""),"tr")</f>
        <v>tr</v>
      </c>
      <c r="B7297">
        <f>IFERROR(__xludf.DUMMYFUNCTION("""COMPUTED_VALUE"""),3861486.0)</f>
        <v>3861486</v>
      </c>
      <c r="C7297" t="str">
        <f>IFERROR(__xludf.DUMMYFUNCTION("""COMPUTED_VALUE"""),"Sıfırdan İleri Seviye Kapsamlı Rusça Eğitimi")</f>
        <v>Sıfırdan İleri Seviye Kapsamlı Rusça Eğitimi</v>
      </c>
    </row>
    <row r="7298">
      <c r="A7298" s="140" t="str">
        <f>IFERROR(__xludf.DUMMYFUNCTION("""COMPUTED_VALUE"""),"fr")</f>
        <v>fr</v>
      </c>
      <c r="B7298">
        <f>IFERROR(__xludf.DUMMYFUNCTION("""COMPUTED_VALUE"""),1463052.0)</f>
        <v>1463052</v>
      </c>
      <c r="C7298" t="str">
        <f>IFERROR(__xludf.DUMMYFUNCTION("""COMPUTED_VALUE"""),"Le Deep Learning de A à Z")</f>
        <v>Le Deep Learning de A à Z</v>
      </c>
    </row>
    <row r="7299">
      <c r="A7299" s="140" t="str">
        <f>IFERROR(__xludf.DUMMYFUNCTION("""COMPUTED_VALUE"""),"ja")</f>
        <v>ja</v>
      </c>
      <c r="B7299">
        <f>IFERROR(__xludf.DUMMYFUNCTION("""COMPUTED_VALUE"""),1553680.0)</f>
        <v>1553680</v>
      </c>
      <c r="C7299" t="str">
        <f>IFERROR(__xludf.DUMMYFUNCTION("""COMPUTED_VALUE"""),"はじめてのSQL ・データ分析入門 -データベースのデータをビジネスパーソンが現場で活用するためのSQL初心者向コース")</f>
        <v>はじめてのSQL ・データ分析入門 -データベースのデータをビジネスパーソンが現場で活用するためのSQL初心者向コース</v>
      </c>
    </row>
    <row r="7300">
      <c r="A7300" s="140" t="str">
        <f>IFERROR(__xludf.DUMMYFUNCTION("""COMPUTED_VALUE"""),"pt")</f>
        <v>pt</v>
      </c>
      <c r="B7300">
        <f>IFERROR(__xludf.DUMMYFUNCTION("""COMPUTED_VALUE"""),1707576.0)</f>
        <v>1707576</v>
      </c>
      <c r="C7300" t="str">
        <f>IFERROR(__xludf.DUMMYFUNCTION("""COMPUTED_VALUE"""),"Curso de Google Analytics - do básico ao avançado!")</f>
        <v>Curso de Google Analytics - do básico ao avançado!</v>
      </c>
    </row>
    <row r="7301">
      <c r="A7301" s="140" t="str">
        <f>IFERROR(__xludf.DUMMYFUNCTION("""COMPUTED_VALUE"""),"en")</f>
        <v>en</v>
      </c>
      <c r="B7301">
        <f>IFERROR(__xludf.DUMMYFUNCTION("""COMPUTED_VALUE"""),1049438.0)</f>
        <v>1049438</v>
      </c>
      <c r="C7301" t="str">
        <f>IFERROR(__xludf.DUMMYFUNCTION("""COMPUTED_VALUE"""),"Let's Learn Hindi through English")</f>
        <v>Let's Learn Hindi through English</v>
      </c>
    </row>
    <row r="7302">
      <c r="A7302" s="140" t="str">
        <f>IFERROR(__xludf.DUMMYFUNCTION("""COMPUTED_VALUE"""),"tr")</f>
        <v>tr</v>
      </c>
      <c r="B7302">
        <f>IFERROR(__xludf.DUMMYFUNCTION("""COMPUTED_VALUE"""),2371950.0)</f>
        <v>2371950</v>
      </c>
      <c r="C7302" t="str">
        <f>IFERROR(__xludf.DUMMYFUNCTION("""COMPUTED_VALUE"""),"HIZLI İNGİLİZCE-1")</f>
        <v>HIZLI İNGİLİZCE-1</v>
      </c>
    </row>
    <row r="7303">
      <c r="A7303" s="140" t="str">
        <f>IFERROR(__xludf.DUMMYFUNCTION("""COMPUTED_VALUE"""),"en")</f>
        <v>en</v>
      </c>
      <c r="B7303">
        <f>IFERROR(__xludf.DUMMYFUNCTION("""COMPUTED_VALUE"""),2823945.0)</f>
        <v>2823945</v>
      </c>
      <c r="C7303" t="str">
        <f>IFERROR(__xludf.DUMMYFUNCTION("""COMPUTED_VALUE"""),"Automation Anywhere Certified Advanced RPA Professional v11")</f>
        <v>Automation Anywhere Certified Advanced RPA Professional v11</v>
      </c>
    </row>
    <row r="7304">
      <c r="A7304" s="140" t="str">
        <f>IFERROR(__xludf.DUMMYFUNCTION("""COMPUTED_VALUE"""),"en")</f>
        <v>en</v>
      </c>
      <c r="B7304">
        <f>IFERROR(__xludf.DUMMYFUNCTION("""COMPUTED_VALUE"""),741466.0)</f>
        <v>741466</v>
      </c>
      <c r="C7304" t="str">
        <f>IFERROR(__xludf.DUMMYFUNCTION("""COMPUTED_VALUE"""),"Ontologies for Business Analysis")</f>
        <v>Ontologies for Business Analysis</v>
      </c>
    </row>
    <row r="7305">
      <c r="A7305" s="140" t="str">
        <f>IFERROR(__xludf.DUMMYFUNCTION("""COMPUTED_VALUE"""),"en")</f>
        <v>en</v>
      </c>
      <c r="B7305">
        <f>IFERROR(__xludf.DUMMYFUNCTION("""COMPUTED_VALUE"""),2351866.0)</f>
        <v>2351866</v>
      </c>
      <c r="C7305" t="str">
        <f>IFERROR(__xludf.DUMMYFUNCTION("""COMPUTED_VALUE"""),"Certified Quality Auditor Training")</f>
        <v>Certified Quality Auditor Training</v>
      </c>
    </row>
    <row r="7306">
      <c r="A7306" s="140" t="str">
        <f>IFERROR(__xludf.DUMMYFUNCTION("""COMPUTED_VALUE"""),"pt")</f>
        <v>pt</v>
      </c>
      <c r="B7306">
        <f>IFERROR(__xludf.DUMMYFUNCTION("""COMPUTED_VALUE"""),2077388.0)</f>
        <v>2077388</v>
      </c>
      <c r="C7306" t="str">
        <f>IFERROR(__xludf.DUMMYFUNCTION("""COMPUTED_VALUE"""),"Simulador EVE-NG Para Certificações Cisco CCNA e CCNP")</f>
        <v>Simulador EVE-NG Para Certificações Cisco CCNA e CCNP</v>
      </c>
    </row>
    <row r="7307">
      <c r="A7307" s="140" t="str">
        <f>IFERROR(__xludf.DUMMYFUNCTION("""COMPUTED_VALUE"""),"de")</f>
        <v>de</v>
      </c>
      <c r="B7307">
        <f>IFERROR(__xludf.DUMMYFUNCTION("""COMPUTED_VALUE"""),1186234.0)</f>
        <v>1186234</v>
      </c>
      <c r="C7307" t="str">
        <f>IFERROR(__xludf.DUMMYFUNCTION("""COMPUTED_VALUE"""),"E-Mail-Sicherheit - verschlüsselt und sicher kommunizieren")</f>
        <v>E-Mail-Sicherheit - verschlüsselt und sicher kommunizieren</v>
      </c>
    </row>
    <row r="7308">
      <c r="A7308" s="140" t="str">
        <f>IFERROR(__xludf.DUMMYFUNCTION("""COMPUTED_VALUE"""),"en")</f>
        <v>en</v>
      </c>
      <c r="B7308">
        <f>IFERROR(__xludf.DUMMYFUNCTION("""COMPUTED_VALUE"""),1459282.0)</f>
        <v>1459282</v>
      </c>
      <c r="C7308" t="str">
        <f>IFERROR(__xludf.DUMMYFUNCTION("""COMPUTED_VALUE"""),"Management of WSH Incidents")</f>
        <v>Management of WSH Incidents</v>
      </c>
    </row>
    <row r="7309">
      <c r="A7309" s="140" t="str">
        <f>IFERROR(__xludf.DUMMYFUNCTION("""COMPUTED_VALUE"""),"de")</f>
        <v>de</v>
      </c>
      <c r="B7309">
        <f>IFERROR(__xludf.DUMMYFUNCTION("""COMPUTED_VALUE"""),4005392.0)</f>
        <v>4005392</v>
      </c>
      <c r="C7309" t="str">
        <f>IFERROR(__xludf.DUMMYFUNCTION("""COMPUTED_VALUE"""),"Automatisierung mit PowerShell (2/3): Advanced")</f>
        <v>Automatisierung mit PowerShell (2/3): Advanced</v>
      </c>
    </row>
    <row r="7310">
      <c r="A7310" s="140" t="str">
        <f>IFERROR(__xludf.DUMMYFUNCTION("""COMPUTED_VALUE"""),"de")</f>
        <v>de</v>
      </c>
      <c r="B7310">
        <f>IFERROR(__xludf.DUMMYFUNCTION("""COMPUTED_VALUE"""),1807614.0)</f>
        <v>1807614</v>
      </c>
      <c r="C7310" t="str">
        <f>IFERROR(__xludf.DUMMYFUNCTION("""COMPUTED_VALUE"""),"Schwarze Rhetorik der Profis: Versteckte Beeinflussung")</f>
        <v>Schwarze Rhetorik der Profis: Versteckte Beeinflussung</v>
      </c>
    </row>
    <row r="7311">
      <c r="A7311" s="140" t="str">
        <f>IFERROR(__xludf.DUMMYFUNCTION("""COMPUTED_VALUE"""),"tr")</f>
        <v>tr</v>
      </c>
      <c r="B7311">
        <f>IFERROR(__xludf.DUMMYFUNCTION("""COMPUTED_VALUE"""),3659312.0)</f>
        <v>3659312</v>
      </c>
      <c r="C7311" t="str">
        <f>IFERROR(__xludf.DUMMYFUNCTION("""COMPUTED_VALUE"""),"Java ile Nesne-Merkezli Programlamaya Giriş")</f>
        <v>Java ile Nesne-Merkezli Programlamaya Giriş</v>
      </c>
    </row>
    <row r="7312">
      <c r="A7312" s="140" t="str">
        <f>IFERROR(__xludf.DUMMYFUNCTION("""COMPUTED_VALUE"""),"fr")</f>
        <v>fr</v>
      </c>
      <c r="B7312">
        <f>IFERROR(__xludf.DUMMYFUNCTION("""COMPUTED_VALUE"""),2037912.0)</f>
        <v>2037912</v>
      </c>
      <c r="C7312" t="str">
        <f>IFERROR(__xludf.DUMMYFUNCTION("""COMPUTED_VALUE"""),"PowerShell - Maitrisez les bases fondamentales")</f>
        <v>PowerShell - Maitrisez les bases fondamentales</v>
      </c>
    </row>
    <row r="7313">
      <c r="A7313" s="140" t="str">
        <f>IFERROR(__xludf.DUMMYFUNCTION("""COMPUTED_VALUE"""),"en")</f>
        <v>en</v>
      </c>
      <c r="B7313">
        <f>IFERROR(__xludf.DUMMYFUNCTION("""COMPUTED_VALUE"""),1522184.0)</f>
        <v>1522184</v>
      </c>
      <c r="C7313" t="str">
        <f>IFERROR(__xludf.DUMMYFUNCTION("""COMPUTED_VALUE"""),"IPv6 Internetworking Masterclass - Beginner to Advanced")</f>
        <v>IPv6 Internetworking Masterclass - Beginner to Advanced</v>
      </c>
    </row>
    <row r="7314">
      <c r="A7314" s="140" t="str">
        <f>IFERROR(__xludf.DUMMYFUNCTION("""COMPUTED_VALUE"""),"en")</f>
        <v>en</v>
      </c>
      <c r="B7314">
        <f>IFERROR(__xludf.DUMMYFUNCTION("""COMPUTED_VALUE"""),1931752.0)</f>
        <v>1931752</v>
      </c>
      <c r="C7314" t="str">
        <f>IFERROR(__xludf.DUMMYFUNCTION("""COMPUTED_VALUE"""),"Mega Digital Marketing Course A-Z: 12 Courses in 1 + Updates")</f>
        <v>Mega Digital Marketing Course A-Z: 12 Courses in 1 + Updates</v>
      </c>
    </row>
    <row r="7315">
      <c r="A7315" s="140" t="str">
        <f>IFERROR(__xludf.DUMMYFUNCTION("""COMPUTED_VALUE"""),"en")</f>
        <v>en</v>
      </c>
      <c r="B7315">
        <f>IFERROR(__xludf.DUMMYFUNCTION("""COMPUTED_VALUE"""),1962026.0)</f>
        <v>1962026</v>
      </c>
      <c r="C7315" t="str">
        <f>IFERROR(__xludf.DUMMYFUNCTION("""COMPUTED_VALUE"""),"FL Studio 20 - Music Production + Mixing Music in FL Studio")</f>
        <v>FL Studio 20 - Music Production + Mixing Music in FL Studio</v>
      </c>
    </row>
    <row r="7316">
      <c r="A7316" s="140" t="str">
        <f>IFERROR(__xludf.DUMMYFUNCTION("""COMPUTED_VALUE"""),"en")</f>
        <v>en</v>
      </c>
      <c r="B7316">
        <f>IFERROR(__xludf.DUMMYFUNCTION("""COMPUTED_VALUE"""),723250.0)</f>
        <v>723250</v>
      </c>
      <c r="C7316" t="str">
        <f>IFERROR(__xludf.DUMMYFUNCTION("""COMPUTED_VALUE"""),"Introduction to Kotlin for Java Developers")</f>
        <v>Introduction to Kotlin for Java Developers</v>
      </c>
    </row>
    <row r="7317">
      <c r="A7317" s="140" t="str">
        <f>IFERROR(__xludf.DUMMYFUNCTION("""COMPUTED_VALUE"""),"es")</f>
        <v>es</v>
      </c>
      <c r="B7317">
        <f>IFERROR(__xludf.DUMMYFUNCTION("""COMPUTED_VALUE"""),3820290.0)</f>
        <v>3820290</v>
      </c>
      <c r="C7317" t="str">
        <f>IFERROR(__xludf.DUMMYFUNCTION("""COMPUTED_VALUE"""),"Programación Orientada a Objetos")</f>
        <v>Programación Orientada a Objetos</v>
      </c>
    </row>
    <row r="7318">
      <c r="A7318" s="140" t="str">
        <f>IFERROR(__xludf.DUMMYFUNCTION("""COMPUTED_VALUE"""),"en")</f>
        <v>en</v>
      </c>
      <c r="B7318">
        <f>IFERROR(__xludf.DUMMYFUNCTION("""COMPUTED_VALUE"""),438522.0)</f>
        <v>438522</v>
      </c>
      <c r="C7318" t="str">
        <f>IFERROR(__xludf.DUMMYFUNCTION("""COMPUTED_VALUE"""),"Complete Blender Creator: Learn 3D Modelling for Beginners")</f>
        <v>Complete Blender Creator: Learn 3D Modelling for Beginners</v>
      </c>
    </row>
    <row r="7319">
      <c r="A7319" s="140" t="str">
        <f>IFERROR(__xludf.DUMMYFUNCTION("""COMPUTED_VALUE"""),"ja")</f>
        <v>ja</v>
      </c>
      <c r="B7319">
        <f>IFERROR(__xludf.DUMMYFUNCTION("""COMPUTED_VALUE"""),3628094.0)</f>
        <v>3628094</v>
      </c>
      <c r="C7319" t="str">
        <f>IFERROR(__xludf.DUMMYFUNCTION("""COMPUTED_VALUE"""),"新CCNA（200-301）完全未経験からの合格講座（下）")</f>
        <v>新CCNA（200-301）完全未経験からの合格講座（下）</v>
      </c>
    </row>
    <row r="7320">
      <c r="A7320" s="140" t="str">
        <f>IFERROR(__xludf.DUMMYFUNCTION("""COMPUTED_VALUE"""),"en")</f>
        <v>en</v>
      </c>
      <c r="B7320">
        <f>IFERROR(__xludf.DUMMYFUNCTION("""COMPUTED_VALUE"""),1393266.0)</f>
        <v>1393266</v>
      </c>
      <c r="C7320" t="str">
        <f>IFERROR(__xludf.DUMMYFUNCTION("""COMPUTED_VALUE"""),"Lead Generation Machine: Cold Email B2B Sales Master Course")</f>
        <v>Lead Generation Machine: Cold Email B2B Sales Master Course</v>
      </c>
    </row>
    <row r="7321">
      <c r="A7321" s="140" t="str">
        <f>IFERROR(__xludf.DUMMYFUNCTION("""COMPUTED_VALUE"""),"en")</f>
        <v>en</v>
      </c>
      <c r="B7321">
        <f>IFERROR(__xludf.DUMMYFUNCTION("""COMPUTED_VALUE"""),695952.0)</f>
        <v>695952</v>
      </c>
      <c r="C7321" t="str">
        <f>IFERROR(__xludf.DUMMYFUNCTION("""COMPUTED_VALUE"""),"Git for Geeks: Quick Git Training for Developers")</f>
        <v>Git for Geeks: Quick Git Training for Developers</v>
      </c>
    </row>
    <row r="7322">
      <c r="A7322" s="140" t="str">
        <f>IFERROR(__xludf.DUMMYFUNCTION("""COMPUTED_VALUE"""),"ja")</f>
        <v>ja</v>
      </c>
      <c r="B7322">
        <f>IFERROR(__xludf.DUMMYFUNCTION("""COMPUTED_VALUE"""),2481036.0)</f>
        <v>2481036</v>
      </c>
      <c r="C7322" t="str">
        <f>IFERROR(__xludf.DUMMYFUNCTION("""COMPUTED_VALUE"""),"【徹底的に解説！】人工知能・機械学習エンジニア養成講座（初級編～統計学から数字認識まで～）")</f>
        <v>【徹底的に解説！】人工知能・機械学習エンジニア養成講座（初級編～統計学から数字認識まで～）</v>
      </c>
    </row>
    <row r="7323">
      <c r="A7323" s="140" t="str">
        <f>IFERROR(__xludf.DUMMYFUNCTION("""COMPUTED_VALUE"""),"en")</f>
        <v>en</v>
      </c>
      <c r="B7323">
        <f>IFERROR(__xludf.DUMMYFUNCTION("""COMPUTED_VALUE"""),30732.0)</f>
        <v>30732</v>
      </c>
      <c r="C7323" t="str">
        <f>IFERROR(__xludf.DUMMYFUNCTION("""COMPUTED_VALUE"""),"Adobe CS6 New Features")</f>
        <v>Adobe CS6 New Features</v>
      </c>
    </row>
    <row r="7324">
      <c r="A7324" s="140" t="str">
        <f>IFERROR(__xludf.DUMMYFUNCTION("""COMPUTED_VALUE"""),"fr")</f>
        <v>fr</v>
      </c>
      <c r="B7324">
        <f>IFERROR(__xludf.DUMMYFUNCTION("""COMPUTED_VALUE"""),2456562.0)</f>
        <v>2456562</v>
      </c>
      <c r="C7324" t="str">
        <f>IFERROR(__xludf.DUMMYFUNCTION("""COMPUTED_VALUE"""),"Comment réaliser un montage ultra dynamique sur Premiere Pro")</f>
        <v>Comment réaliser un montage ultra dynamique sur Premiere Pro</v>
      </c>
    </row>
    <row r="7325">
      <c r="A7325" s="140" t="str">
        <f>IFERROR(__xludf.DUMMYFUNCTION("""COMPUTED_VALUE"""),"en")</f>
        <v>en</v>
      </c>
      <c r="B7325">
        <f>IFERROR(__xludf.DUMMYFUNCTION("""COMPUTED_VALUE"""),1801904.0)</f>
        <v>1801904</v>
      </c>
      <c r="C7325" t="str">
        <f>IFERROR(__xludf.DUMMYFUNCTION("""COMPUTED_VALUE"""),"Complete Linux Troubleshooting Course (Practical Examples)")</f>
        <v>Complete Linux Troubleshooting Course (Practical Examples)</v>
      </c>
    </row>
    <row r="7326">
      <c r="A7326" s="140" t="str">
        <f>IFERROR(__xludf.DUMMYFUNCTION("""COMPUTED_VALUE"""),"en")</f>
        <v>en</v>
      </c>
      <c r="B7326">
        <f>IFERROR(__xludf.DUMMYFUNCTION("""COMPUTED_VALUE"""),1647080.0)</f>
        <v>1647080</v>
      </c>
      <c r="C7326" t="str">
        <f>IFERROR(__xludf.DUMMYFUNCTION("""COMPUTED_VALUE"""),"Machine Learning in Healthcare (no coding required!)")</f>
        <v>Machine Learning in Healthcare (no coding required!)</v>
      </c>
    </row>
    <row r="7327">
      <c r="A7327" s="140" t="str">
        <f>IFERROR(__xludf.DUMMYFUNCTION("""COMPUTED_VALUE"""),"pt")</f>
        <v>pt</v>
      </c>
      <c r="B7327">
        <f>IFERROR(__xludf.DUMMYFUNCTION("""COMPUTED_VALUE"""),1663412.0)</f>
        <v>1663412</v>
      </c>
      <c r="C7327" t="str">
        <f>IFERROR(__xludf.DUMMYFUNCTION("""COMPUTED_VALUE"""),"Oratória e Comunicação (como expor suas ideias em público)")</f>
        <v>Oratória e Comunicação (como expor suas ideias em público)</v>
      </c>
    </row>
    <row r="7328">
      <c r="A7328" s="140" t="str">
        <f>IFERROR(__xludf.DUMMYFUNCTION("""COMPUTED_VALUE"""),"pt")</f>
        <v>pt</v>
      </c>
      <c r="B7328">
        <f>IFERROR(__xludf.DUMMYFUNCTION("""COMPUTED_VALUE"""),1724444.0)</f>
        <v>1724444</v>
      </c>
      <c r="C7328" t="str">
        <f>IFERROR(__xludf.DUMMYFUNCTION("""COMPUTED_VALUE"""),"SEO e Marketing de Conteúdo - Redator Hacker")</f>
        <v>SEO e Marketing de Conteúdo - Redator Hacker</v>
      </c>
    </row>
    <row r="7329">
      <c r="A7329" s="140" t="str">
        <f>IFERROR(__xludf.DUMMYFUNCTION("""COMPUTED_VALUE"""),"en")</f>
        <v>en</v>
      </c>
      <c r="B7329">
        <f>IFERROR(__xludf.DUMMYFUNCTION("""COMPUTED_VALUE"""),65830.0)</f>
        <v>65830</v>
      </c>
      <c r="C7329" t="str">
        <f>IFERROR(__xludf.DUMMYFUNCTION("""COMPUTED_VALUE"""),"The Java Spring Tutorial: Learn Java's Popular Web Framework")</f>
        <v>The Java Spring Tutorial: Learn Java's Popular Web Framework</v>
      </c>
    </row>
    <row r="7330">
      <c r="A7330" s="140" t="str">
        <f>IFERROR(__xludf.DUMMYFUNCTION("""COMPUTED_VALUE"""),"en")</f>
        <v>en</v>
      </c>
      <c r="B7330">
        <f>IFERROR(__xludf.DUMMYFUNCTION("""COMPUTED_VALUE"""),2272466.0)</f>
        <v>2272466</v>
      </c>
      <c r="C7330" t="str">
        <f>IFERROR(__xludf.DUMMYFUNCTION("""COMPUTED_VALUE"""),"Prep to Pass the Professional in Human Resources (PHR)® Exam")</f>
        <v>Prep to Pass the Professional in Human Resources (PHR)® Exam</v>
      </c>
    </row>
    <row r="7331">
      <c r="A7331" s="140" t="str">
        <f>IFERROR(__xludf.DUMMYFUNCTION("""COMPUTED_VALUE"""),"ko")</f>
        <v>ko</v>
      </c>
      <c r="B7331">
        <f>IFERROR(__xludf.DUMMYFUNCTION("""COMPUTED_VALUE"""),1532468.0)</f>
        <v>1532468</v>
      </c>
      <c r="C7331" t="str">
        <f>IFERROR(__xludf.DUMMYFUNCTION("""COMPUTED_VALUE"""),"Do it! 코틀린 프로그래밍 (Kotlin Programming)")</f>
        <v>Do it! 코틀린 프로그래밍 (Kotlin Programming)</v>
      </c>
    </row>
    <row r="7332">
      <c r="A7332" s="140" t="str">
        <f>IFERROR(__xludf.DUMMYFUNCTION("""COMPUTED_VALUE"""),"de")</f>
        <v>de</v>
      </c>
      <c r="B7332">
        <f>IFERROR(__xludf.DUMMYFUNCTION("""COMPUTED_VALUE"""),1759390.0)</f>
        <v>1759390</v>
      </c>
      <c r="C7332" t="str">
        <f>IFERROR(__xludf.DUMMYFUNCTION("""COMPUTED_VALUE"""),"Spring Boot")</f>
        <v>Spring Boot</v>
      </c>
    </row>
    <row r="7333">
      <c r="A7333" s="140" t="str">
        <f>IFERROR(__xludf.DUMMYFUNCTION("""COMPUTED_VALUE"""),"en")</f>
        <v>en</v>
      </c>
      <c r="B7333">
        <f>IFERROR(__xludf.DUMMYFUNCTION("""COMPUTED_VALUE"""),1445848.0)</f>
        <v>1445848</v>
      </c>
      <c r="C7333" t="str">
        <f>IFERROR(__xludf.DUMMYFUNCTION("""COMPUTED_VALUE"""),"Hosting Websites with Amazon Lightsail | AWS for 2020")</f>
        <v>Hosting Websites with Amazon Lightsail | AWS for 2020</v>
      </c>
    </row>
    <row r="7334">
      <c r="A7334" s="140" t="str">
        <f>IFERROR(__xludf.DUMMYFUNCTION("""COMPUTED_VALUE"""),"en")</f>
        <v>en</v>
      </c>
      <c r="B7334">
        <f>IFERROR(__xludf.DUMMYFUNCTION("""COMPUTED_VALUE"""),1271904.0)</f>
        <v>1271904</v>
      </c>
      <c r="C7334" t="str">
        <f>IFERROR(__xludf.DUMMYFUNCTION("""COMPUTED_VALUE"""),"Complete Kubernetes Tutorial by School of Devops®")</f>
        <v>Complete Kubernetes Tutorial by School of Devops®</v>
      </c>
    </row>
    <row r="7335">
      <c r="A7335" s="140" t="str">
        <f>IFERROR(__xludf.DUMMYFUNCTION("""COMPUTED_VALUE"""),"en")</f>
        <v>en</v>
      </c>
      <c r="B7335">
        <f>IFERROR(__xludf.DUMMYFUNCTION("""COMPUTED_VALUE"""),484606.0)</f>
        <v>484606</v>
      </c>
      <c r="C7335" t="str">
        <f>IFERROR(__xludf.DUMMYFUNCTION("""COMPUTED_VALUE"""),"Instagram Marketing 2021: Complete Guide To Instagram Growth")</f>
        <v>Instagram Marketing 2021: Complete Guide To Instagram Growth</v>
      </c>
    </row>
    <row r="7336">
      <c r="A7336" s="140" t="str">
        <f>IFERROR(__xludf.DUMMYFUNCTION("""COMPUTED_VALUE"""),"fr")</f>
        <v>fr</v>
      </c>
      <c r="B7336">
        <f>IFERROR(__xludf.DUMMYFUNCTION("""COMPUTED_VALUE"""),3032744.0)</f>
        <v>3032744</v>
      </c>
      <c r="C7336" t="str">
        <f>IFERROR(__xludf.DUMMYFUNCTION("""COMPUTED_VALUE"""),"YouTube 2022 - Partir De Zéro et Créer une Chaîne à Succès")</f>
        <v>YouTube 2022 - Partir De Zéro et Créer une Chaîne à Succès</v>
      </c>
    </row>
    <row r="7337">
      <c r="A7337" s="140" t="str">
        <f>IFERROR(__xludf.DUMMYFUNCTION("""COMPUTED_VALUE"""),"en")</f>
        <v>en</v>
      </c>
      <c r="B7337">
        <f>IFERROR(__xludf.DUMMYFUNCTION("""COMPUTED_VALUE"""),2880998.0)</f>
        <v>2880998</v>
      </c>
      <c r="C7337" t="str">
        <f>IFERROR(__xludf.DUMMYFUNCTION("""COMPUTED_VALUE"""),"Practical OpenShift for Developers - OpenShift 4")</f>
        <v>Practical OpenShift for Developers - OpenShift 4</v>
      </c>
    </row>
    <row r="7338">
      <c r="A7338" s="140" t="str">
        <f>IFERROR(__xludf.DUMMYFUNCTION("""COMPUTED_VALUE"""),"ja")</f>
        <v>ja</v>
      </c>
      <c r="B7338">
        <f>IFERROR(__xludf.DUMMYFUNCTION("""COMPUTED_VALUE"""),1340912.0)</f>
        <v>1340912</v>
      </c>
      <c r="C7338" t="str">
        <f>IFERROR(__xludf.DUMMYFUNCTION("""COMPUTED_VALUE"""),"成約率の高いLP構築法 × 爆発的に売り上がるWeb広告運用術")</f>
        <v>成約率の高いLP構築法 × 爆発的に売り上がるWeb広告運用術</v>
      </c>
    </row>
    <row r="7339">
      <c r="A7339" s="140" t="str">
        <f>IFERROR(__xludf.DUMMYFUNCTION("""COMPUTED_VALUE"""),"en")</f>
        <v>en</v>
      </c>
      <c r="B7339">
        <f>IFERROR(__xludf.DUMMYFUNCTION("""COMPUTED_VALUE"""),3111754.0)</f>
        <v>3111754</v>
      </c>
      <c r="C7339" t="str">
        <f>IFERROR(__xludf.DUMMYFUNCTION("""COMPUTED_VALUE"""),"The Complete Spanish Method. Intermediate. Course 2.")</f>
        <v>The Complete Spanish Method. Intermediate. Course 2.</v>
      </c>
    </row>
    <row r="7340">
      <c r="A7340" s="140" t="str">
        <f>IFERROR(__xludf.DUMMYFUNCTION("""COMPUTED_VALUE"""),"zh")</f>
        <v>zh</v>
      </c>
      <c r="B7340">
        <f>IFERROR(__xludf.DUMMYFUNCTION("""COMPUTED_VALUE"""),2748176.0)</f>
        <v>2748176</v>
      </c>
      <c r="C7340" t="str">
        <f>IFERROR(__xludf.DUMMYFUNCTION("""COMPUTED_VALUE"""),"Python深度学习与Tensorflow2实战（2020新版）")</f>
        <v>Python深度学习与Tensorflow2实战（2020新版）</v>
      </c>
    </row>
    <row r="7341">
      <c r="A7341" s="140" t="str">
        <f>IFERROR(__xludf.DUMMYFUNCTION("""COMPUTED_VALUE"""),"es")</f>
        <v>es</v>
      </c>
      <c r="B7341">
        <f>IFERROR(__xludf.DUMMYFUNCTION("""COMPUTED_VALUE"""),2025748.0)</f>
        <v>2025748</v>
      </c>
      <c r="C7341" t="str">
        <f>IFERROR(__xludf.DUMMYFUNCTION("""COMPUTED_VALUE"""),"Metas Estratégicas. Tu Guía Avanzada sobre Fijación de Metas")</f>
        <v>Metas Estratégicas. Tu Guía Avanzada sobre Fijación de Metas</v>
      </c>
    </row>
    <row r="7342">
      <c r="A7342" s="140" t="str">
        <f>IFERROR(__xludf.DUMMYFUNCTION("""COMPUTED_VALUE"""),"en")</f>
        <v>en</v>
      </c>
      <c r="B7342">
        <f>IFERROR(__xludf.DUMMYFUNCTION("""COMPUTED_VALUE"""),2414236.0)</f>
        <v>2414236</v>
      </c>
      <c r="C7342" t="str">
        <f>IFERROR(__xludf.DUMMYFUNCTION("""COMPUTED_VALUE"""),"Become a Linear Algebra Master")</f>
        <v>Become a Linear Algebra Master</v>
      </c>
    </row>
    <row r="7343">
      <c r="A7343" s="140" t="str">
        <f>IFERROR(__xludf.DUMMYFUNCTION("""COMPUTED_VALUE"""),"ar")</f>
        <v>ar</v>
      </c>
      <c r="B7343">
        <f>IFERROR(__xludf.DUMMYFUNCTION("""COMPUTED_VALUE"""),2538638.0)</f>
        <v>2538638</v>
      </c>
      <c r="C7343" t="str">
        <f>IFERROR(__xludf.DUMMYFUNCTION("""COMPUTED_VALUE"""),"The Complete Dart Learning Guide")</f>
        <v>The Complete Dart Learning Guide</v>
      </c>
    </row>
    <row r="7344">
      <c r="A7344" s="140" t="str">
        <f>IFERROR(__xludf.DUMMYFUNCTION("""COMPUTED_VALUE"""),"en")</f>
        <v>en</v>
      </c>
      <c r="B7344">
        <f>IFERROR(__xludf.DUMMYFUNCTION("""COMPUTED_VALUE"""),1136898.0)</f>
        <v>1136898</v>
      </c>
      <c r="C7344" t="str">
        <f>IFERROR(__xludf.DUMMYFUNCTION("""COMPUTED_VALUE"""),"Transformational Leadership &amp; Leading Corporate Culture")</f>
        <v>Transformational Leadership &amp; Leading Corporate Culture</v>
      </c>
    </row>
    <row r="7345">
      <c r="A7345" s="140" t="str">
        <f>IFERROR(__xludf.DUMMYFUNCTION("""COMPUTED_VALUE"""),"de")</f>
        <v>de</v>
      </c>
      <c r="B7345">
        <f>IFERROR(__xludf.DUMMYFUNCTION("""COMPUTED_VALUE"""),859804.0)</f>
        <v>859804</v>
      </c>
      <c r="C7345" t="str">
        <f>IFERROR(__xludf.DUMMYFUNCTION("""COMPUTED_VALUE"""),"Quellenverwaltung mit Zotero automatisieren: Praxiskurs")</f>
        <v>Quellenverwaltung mit Zotero automatisieren: Praxiskurs</v>
      </c>
    </row>
    <row r="7346">
      <c r="A7346" s="140" t="str">
        <f>IFERROR(__xludf.DUMMYFUNCTION("""COMPUTED_VALUE"""),"en")</f>
        <v>en</v>
      </c>
      <c r="B7346">
        <f>IFERROR(__xludf.DUMMYFUNCTION("""COMPUTED_VALUE"""),479440.0)</f>
        <v>479440</v>
      </c>
      <c r="C7346" t="str">
        <f>IFERROR(__xludf.DUMMYFUNCTION("""COMPUTED_VALUE"""),"Standard 9.1- Part 2 Certified Enterprise Architect Course")</f>
        <v>Standard 9.1- Part 2 Certified Enterprise Architect Course</v>
      </c>
    </row>
    <row r="7347">
      <c r="A7347" s="140" t="str">
        <f>IFERROR(__xludf.DUMMYFUNCTION("""COMPUTED_VALUE"""),"de")</f>
        <v>de</v>
      </c>
      <c r="B7347">
        <f>IFERROR(__xludf.DUMMYFUNCTION("""COMPUTED_VALUE"""),808904.0)</f>
        <v>808904</v>
      </c>
      <c r="C7347" t="str">
        <f>IFERROR(__xludf.DUMMYFUNCTION("""COMPUTED_VALUE"""),"PHP-Bootcamp: Vom Anfänger zum PHP-Entwickler")</f>
        <v>PHP-Bootcamp: Vom Anfänger zum PHP-Entwickler</v>
      </c>
    </row>
    <row r="7348">
      <c r="A7348" s="140" t="str">
        <f>IFERROR(__xludf.DUMMYFUNCTION("""COMPUTED_VALUE"""),"es")</f>
        <v>es</v>
      </c>
      <c r="B7348">
        <f>IFERROR(__xludf.DUMMYFUNCTION("""COMPUTED_VALUE"""),466018.0)</f>
        <v>466018</v>
      </c>
      <c r="C7348" t="str">
        <f>IFERROR(__xludf.DUMMYFUNCTION("""COMPUTED_VALUE"""),"Las 4 Claves Para Priorizar Tareas y Actuar - Método FAST®")</f>
        <v>Las 4 Claves Para Priorizar Tareas y Actuar - Método FAST®</v>
      </c>
    </row>
    <row r="7349">
      <c r="A7349" s="140" t="str">
        <f>IFERROR(__xludf.DUMMYFUNCTION("""COMPUTED_VALUE"""),"en")</f>
        <v>en</v>
      </c>
      <c r="B7349">
        <f>IFERROR(__xludf.DUMMYFUNCTION("""COMPUTED_VALUE"""),2399802.0)</f>
        <v>2399802</v>
      </c>
      <c r="C7349" t="str">
        <f>IFERROR(__xludf.DUMMYFUNCTION("""COMPUTED_VALUE"""),"Calculus 1 with the Math Sorcerer")</f>
        <v>Calculus 1 with the Math Sorcerer</v>
      </c>
    </row>
    <row r="7350">
      <c r="A7350" s="140" t="str">
        <f>IFERROR(__xludf.DUMMYFUNCTION("""COMPUTED_VALUE"""),"es")</f>
        <v>es</v>
      </c>
      <c r="B7350">
        <f>IFERROR(__xludf.DUMMYFUNCTION("""COMPUTED_VALUE"""),1980928.0)</f>
        <v>1980928</v>
      </c>
      <c r="C7350" t="str">
        <f>IFERROR(__xludf.DUMMYFUNCTION("""COMPUTED_VALUE"""),"Incoterms®: El lenguaje del Comercio Internacional")</f>
        <v>Incoterms®: El lenguaje del Comercio Internacional</v>
      </c>
    </row>
    <row r="7351">
      <c r="A7351" s="140" t="str">
        <f>IFERROR(__xludf.DUMMYFUNCTION("""COMPUTED_VALUE"""),"es")</f>
        <v>es</v>
      </c>
      <c r="B7351">
        <f>IFERROR(__xludf.DUMMYFUNCTION("""COMPUTED_VALUE"""),1335864.0)</f>
        <v>1335864</v>
      </c>
      <c r="C7351" t="str">
        <f>IFERROR(__xludf.DUMMYFUNCTION("""COMPUTED_VALUE"""),"Oracle SQL: domina lo necesario para el trabajo")</f>
        <v>Oracle SQL: domina lo necesario para el trabajo</v>
      </c>
    </row>
    <row r="7352">
      <c r="A7352" s="140" t="str">
        <f>IFERROR(__xludf.DUMMYFUNCTION("""COMPUTED_VALUE"""),"en")</f>
        <v>en</v>
      </c>
      <c r="B7352">
        <f>IFERROR(__xludf.DUMMYFUNCTION("""COMPUTED_VALUE"""),2245880.0)</f>
        <v>2245880</v>
      </c>
      <c r="C7352" t="str">
        <f>IFERROR(__xludf.DUMMYFUNCTION("""COMPUTED_VALUE"""),"PTE Academic (English Test) - Mastering Listening -Score 79+")</f>
        <v>PTE Academic (English Test) - Mastering Listening -Score 79+</v>
      </c>
    </row>
    <row r="7353">
      <c r="A7353" s="140" t="str">
        <f>IFERROR(__xludf.DUMMYFUNCTION("""COMPUTED_VALUE"""),"en")</f>
        <v>en</v>
      </c>
      <c r="B7353">
        <f>IFERROR(__xludf.DUMMYFUNCTION("""COMPUTED_VALUE"""),1008962.0)</f>
        <v>1008962</v>
      </c>
      <c r="C7353" t="str">
        <f>IFERROR(__xludf.DUMMYFUNCTION("""COMPUTED_VALUE"""),"Learn Hebrew for Beginners: The Ultimate 98-Lesson Course")</f>
        <v>Learn Hebrew for Beginners: The Ultimate 98-Lesson Course</v>
      </c>
    </row>
    <row r="7354">
      <c r="A7354" s="140" t="str">
        <f>IFERROR(__xludf.DUMMYFUNCTION("""COMPUTED_VALUE"""),"en")</f>
        <v>en</v>
      </c>
      <c r="B7354">
        <f>IFERROR(__xludf.DUMMYFUNCTION("""COMPUTED_VALUE"""),2601070.0)</f>
        <v>2601070</v>
      </c>
      <c r="C7354" t="str">
        <f>IFERROR(__xludf.DUMMYFUNCTION("""COMPUTED_VALUE"""),"Collaboration and Crawling W/ Golang - Google's Go Language")</f>
        <v>Collaboration and Crawling W/ Golang - Google's Go Language</v>
      </c>
    </row>
    <row r="7355">
      <c r="A7355" s="140" t="str">
        <f>IFERROR(__xludf.DUMMYFUNCTION("""COMPUTED_VALUE"""),"en")</f>
        <v>en</v>
      </c>
      <c r="B7355">
        <f>IFERROR(__xludf.DUMMYFUNCTION("""COMPUTED_VALUE"""),750914.0)</f>
        <v>750914</v>
      </c>
      <c r="C7355" t="str">
        <f>IFERROR(__xludf.DUMMYFUNCTION("""COMPUTED_VALUE"""),"LEED Green Associate V4 | Exam Preparation Course | English")</f>
        <v>LEED Green Associate V4 | Exam Preparation Course | English</v>
      </c>
    </row>
    <row r="7356">
      <c r="A7356" s="140" t="str">
        <f>IFERROR(__xludf.DUMMYFUNCTION("""COMPUTED_VALUE"""),"en")</f>
        <v>en</v>
      </c>
      <c r="B7356">
        <f>IFERROR(__xludf.DUMMYFUNCTION("""COMPUTED_VALUE"""),1053672.0)</f>
        <v>1053672</v>
      </c>
      <c r="C7356" t="str">
        <f>IFERROR(__xludf.DUMMYFUNCTION("""COMPUTED_VALUE"""),"The Practical Guide to Mac Security")</f>
        <v>The Practical Guide to Mac Security</v>
      </c>
    </row>
    <row r="7357">
      <c r="A7357" s="140" t="str">
        <f>IFERROR(__xludf.DUMMYFUNCTION("""COMPUTED_VALUE"""),"ja")</f>
        <v>ja</v>
      </c>
      <c r="B7357">
        <f>IFERROR(__xludf.DUMMYFUNCTION("""COMPUTED_VALUE"""),1553680.0)</f>
        <v>1553680</v>
      </c>
      <c r="C7357" t="str">
        <f>IFERROR(__xludf.DUMMYFUNCTION("""COMPUTED_VALUE"""),"はじめてのSQL ・データ分析入門 -データベースのデータをビジネスパーソンが現場で活用するためのSQL初心者向コース")</f>
        <v>はじめてのSQL ・データ分析入門 -データベースのデータをビジネスパーソンが現場で活用するためのSQL初心者向コース</v>
      </c>
    </row>
    <row r="7358">
      <c r="A7358" s="140" t="str">
        <f>IFERROR(__xludf.DUMMYFUNCTION("""COMPUTED_VALUE"""),"en")</f>
        <v>en</v>
      </c>
      <c r="B7358">
        <f>IFERROR(__xludf.DUMMYFUNCTION("""COMPUTED_VALUE"""),4062064.0)</f>
        <v>4062064</v>
      </c>
      <c r="C7358" t="str">
        <f>IFERROR(__xludf.DUMMYFUNCTION("""COMPUTED_VALUE"""),".NET Core Microservices - The Complete Guide (.NET 6 MVC)")</f>
        <v>.NET Core Microservices - The Complete Guide (.NET 6 MVC)</v>
      </c>
    </row>
    <row r="7359">
      <c r="A7359" s="140" t="str">
        <f>IFERROR(__xludf.DUMMYFUNCTION("""COMPUTED_VALUE"""),"es")</f>
        <v>es</v>
      </c>
      <c r="B7359">
        <f>IFERROR(__xludf.DUMMYFUNCTION("""COMPUTED_VALUE"""),2617968.0)</f>
        <v>2617968</v>
      </c>
      <c r="C7359" t="str">
        <f>IFERROR(__xludf.DUMMYFUNCTION("""COMPUTED_VALUE"""),"C# TOTAL - Programador Experto en 28 días")</f>
        <v>C# TOTAL - Programador Experto en 28 días</v>
      </c>
    </row>
    <row r="7360">
      <c r="A7360" s="140" t="str">
        <f>IFERROR(__xludf.DUMMYFUNCTION("""COMPUTED_VALUE"""),"ar")</f>
        <v>ar</v>
      </c>
      <c r="B7360">
        <f>IFERROR(__xludf.DUMMYFUNCTION("""COMPUTED_VALUE"""),3588770.0)</f>
        <v>3588770</v>
      </c>
      <c r="C7360" t="str">
        <f>IFERROR(__xludf.DUMMYFUNCTION("""COMPUTED_VALUE"""),"Data Structures with C programming in Arabic")</f>
        <v>Data Structures with C programming in Arabic</v>
      </c>
    </row>
    <row r="7361">
      <c r="A7361" s="140" t="str">
        <f>IFERROR(__xludf.DUMMYFUNCTION("""COMPUTED_VALUE"""),"de")</f>
        <v>de</v>
      </c>
      <c r="B7361">
        <f>IFERROR(__xludf.DUMMYFUNCTION("""COMPUTED_VALUE"""),1592594.0)</f>
        <v>1592594</v>
      </c>
      <c r="C7361" t="str">
        <f>IFERROR(__xludf.DUMMYFUNCTION("""COMPUTED_VALUE"""),"Facebook Marketing Meisterkurs: Der Komplette Facebook Kurs")</f>
        <v>Facebook Marketing Meisterkurs: Der Komplette Facebook Kurs</v>
      </c>
    </row>
    <row r="7362">
      <c r="A7362" s="140" t="str">
        <f>IFERROR(__xludf.DUMMYFUNCTION("""COMPUTED_VALUE"""),"en")</f>
        <v>en</v>
      </c>
      <c r="B7362">
        <f>IFERROR(__xludf.DUMMYFUNCTION("""COMPUTED_VALUE"""),948452.0)</f>
        <v>948452</v>
      </c>
      <c r="C7362" t="str">
        <f>IFERROR(__xludf.DUMMYFUNCTION("""COMPUTED_VALUE"""),"How to Sell Anything to Anyone")</f>
        <v>How to Sell Anything to Anyone</v>
      </c>
    </row>
    <row r="7363">
      <c r="A7363" s="140" t="str">
        <f>IFERROR(__xludf.DUMMYFUNCTION("""COMPUTED_VALUE"""),"pt")</f>
        <v>pt</v>
      </c>
      <c r="B7363">
        <f>IFERROR(__xludf.DUMMYFUNCTION("""COMPUTED_VALUE"""),1679146.0)</f>
        <v>1679146</v>
      </c>
      <c r="C7363" t="str">
        <f>IFERROR(__xludf.DUMMYFUNCTION("""COMPUTED_VALUE"""),"Programação para Leigos e informática do básico ao avançado")</f>
        <v>Programação para Leigos e informática do básico ao avançado</v>
      </c>
    </row>
    <row r="7364">
      <c r="A7364" s="140" t="str">
        <f>IFERROR(__xludf.DUMMYFUNCTION("""COMPUTED_VALUE"""),"en")</f>
        <v>en</v>
      </c>
      <c r="B7364">
        <f>IFERROR(__xludf.DUMMYFUNCTION("""COMPUTED_VALUE"""),945390.0)</f>
        <v>945390</v>
      </c>
      <c r="C7364" t="str">
        <f>IFERROR(__xludf.DUMMYFUNCTION("""COMPUTED_VALUE"""),"How to Improve your Memory And Learning Skills")</f>
        <v>How to Improve your Memory And Learning Skills</v>
      </c>
    </row>
    <row r="7365">
      <c r="A7365" s="140" t="str">
        <f>IFERROR(__xludf.DUMMYFUNCTION("""COMPUTED_VALUE"""),"en")</f>
        <v>en</v>
      </c>
      <c r="B7365">
        <f>IFERROR(__xludf.DUMMYFUNCTION("""COMPUTED_VALUE"""),1283470.0)</f>
        <v>1283470</v>
      </c>
      <c r="C7365" t="str">
        <f>IFERROR(__xludf.DUMMYFUNCTION("""COMPUTED_VALUE"""),"Modern C++ Concurrency in Depth ( C++17/20)")</f>
        <v>Modern C++ Concurrency in Depth ( C++17/20)</v>
      </c>
    </row>
    <row r="7366">
      <c r="A7366" s="140" t="str">
        <f>IFERROR(__xludf.DUMMYFUNCTION("""COMPUTED_VALUE"""),"en")</f>
        <v>en</v>
      </c>
      <c r="B7366">
        <f>IFERROR(__xludf.DUMMYFUNCTION("""COMPUTED_VALUE"""),1399390.0)</f>
        <v>1399390</v>
      </c>
      <c r="C7366" t="str">
        <f>IFERROR(__xludf.DUMMYFUNCTION("""COMPUTED_VALUE"""),"Object Oriented PHP &amp; MVC")</f>
        <v>Object Oriented PHP &amp; MVC</v>
      </c>
    </row>
    <row r="7367">
      <c r="A7367" s="140" t="str">
        <f>IFERROR(__xludf.DUMMYFUNCTION("""COMPUTED_VALUE"""),"en")</f>
        <v>en</v>
      </c>
      <c r="B7367">
        <f>IFERROR(__xludf.DUMMYFUNCTION("""COMPUTED_VALUE"""),2690676.0)</f>
        <v>2690676</v>
      </c>
      <c r="C7367" t="str">
        <f>IFERROR(__xludf.DUMMYFUNCTION("""COMPUTED_VALUE"""),"PMP® Certification: PMP Exam Recap - Get your PMP! / 18 PDUs")</f>
        <v>PMP® Certification: PMP Exam Recap - Get your PMP! / 18 PDUs</v>
      </c>
    </row>
    <row r="7368">
      <c r="A7368" s="140" t="str">
        <f>IFERROR(__xludf.DUMMYFUNCTION("""COMPUTED_VALUE"""),"es")</f>
        <v>es</v>
      </c>
      <c r="B7368">
        <f>IFERROR(__xludf.DUMMYFUNCTION("""COMPUTED_VALUE"""),1061676.0)</f>
        <v>1061676</v>
      </c>
      <c r="C7368" t="str">
        <f>IFERROR(__xludf.DUMMYFUNCTION("""COMPUTED_VALUE"""),"Cisco CCNA 200-125 en Español: Certificate Ya!")</f>
        <v>Cisco CCNA 200-125 en Español: Certificate Ya!</v>
      </c>
    </row>
    <row r="7369">
      <c r="A7369" s="140" t="str">
        <f>IFERROR(__xludf.DUMMYFUNCTION("""COMPUTED_VALUE"""),"en")</f>
        <v>en</v>
      </c>
      <c r="B7369">
        <f>IFERROR(__xludf.DUMMYFUNCTION("""COMPUTED_VALUE"""),2798218.0)</f>
        <v>2798218</v>
      </c>
      <c r="C7369" t="str">
        <f>IFERROR(__xludf.DUMMYFUNCTION("""COMPUTED_VALUE"""),"Node JS Cluster with PM2, RabbitMQ, Redis and Nginx")</f>
        <v>Node JS Cluster with PM2, RabbitMQ, Redis and Nginx</v>
      </c>
    </row>
    <row r="7370">
      <c r="A7370" s="140" t="str">
        <f>IFERROR(__xludf.DUMMYFUNCTION("""COMPUTED_VALUE"""),"en")</f>
        <v>en</v>
      </c>
      <c r="B7370">
        <f>IFERROR(__xludf.DUMMYFUNCTION("""COMPUTED_VALUE"""),1352388.0)</f>
        <v>1352388</v>
      </c>
      <c r="C7370" t="str">
        <f>IFERROR(__xludf.DUMMYFUNCTION("""COMPUTED_VALUE"""),"Agile Business Analysis")</f>
        <v>Agile Business Analysis</v>
      </c>
    </row>
    <row r="7371">
      <c r="A7371" s="140" t="str">
        <f>IFERROR(__xludf.DUMMYFUNCTION("""COMPUTED_VALUE"""),"tr")</f>
        <v>tr</v>
      </c>
      <c r="B7371">
        <f>IFERROR(__xludf.DUMMYFUNCTION("""COMPUTED_VALUE"""),2148368.0)</f>
        <v>2148368</v>
      </c>
      <c r="C7371" t="str">
        <f>IFERROR(__xludf.DUMMYFUNCTION("""COMPUTED_VALUE"""),"Arduino ile Robotik Kodlama Başlangıç Eğitimi (15 Proje )")</f>
        <v>Arduino ile Robotik Kodlama Başlangıç Eğitimi (15 Proje )</v>
      </c>
    </row>
    <row r="7372">
      <c r="A7372" s="140" t="str">
        <f>IFERROR(__xludf.DUMMYFUNCTION("""COMPUTED_VALUE"""),"en")</f>
        <v>en</v>
      </c>
      <c r="B7372">
        <f>IFERROR(__xludf.DUMMYFUNCTION("""COMPUTED_VALUE"""),610546.0)</f>
        <v>610546</v>
      </c>
      <c r="C7372" t="str">
        <f>IFERROR(__xludf.DUMMYFUNCTION("""COMPUTED_VALUE"""),"Learning Linux Essentials: Taking your first steps in Linux")</f>
        <v>Learning Linux Essentials: Taking your first steps in Linux</v>
      </c>
    </row>
    <row r="7373">
      <c r="A7373" s="140" t="str">
        <f>IFERROR(__xludf.DUMMYFUNCTION("""COMPUTED_VALUE"""),"en")</f>
        <v>en</v>
      </c>
      <c r="B7373">
        <f>IFERROR(__xludf.DUMMYFUNCTION("""COMPUTED_VALUE"""),801952.0)</f>
        <v>801952</v>
      </c>
      <c r="C7373" t="str">
        <f>IFERROR(__xludf.DUMMYFUNCTION("""COMPUTED_VALUE"""),"Performance Testing Course with JMeter and Blazemeter")</f>
        <v>Performance Testing Course with JMeter and Blazemeter</v>
      </c>
    </row>
    <row r="7374">
      <c r="A7374" s="140" t="str">
        <f>IFERROR(__xludf.DUMMYFUNCTION("""COMPUTED_VALUE"""),"tr")</f>
        <v>tr</v>
      </c>
      <c r="B7374">
        <f>IFERROR(__xludf.DUMMYFUNCTION("""COMPUTED_VALUE"""),3068434.0)</f>
        <v>3068434</v>
      </c>
      <c r="C7374" t="str">
        <f>IFERROR(__xludf.DUMMYFUNCTION("""COMPUTED_VALUE"""),"Türkçe JavaScript Bootcamp")</f>
        <v>Türkçe JavaScript Bootcamp</v>
      </c>
    </row>
    <row r="7375">
      <c r="A7375" s="140" t="str">
        <f>IFERROR(__xludf.DUMMYFUNCTION("""COMPUTED_VALUE"""),"tr")</f>
        <v>tr</v>
      </c>
      <c r="B7375">
        <f>IFERROR(__xludf.DUMMYFUNCTION("""COMPUTED_VALUE"""),2804685.0)</f>
        <v>2804685</v>
      </c>
      <c r="C7375" t="str">
        <f>IFERROR(__xludf.DUMMYFUNCTION("""COMPUTED_VALUE"""),"Arapça Dil Eğitim Seti | YDS'ye Hazırlık | Güncel Müfredat")</f>
        <v>Arapça Dil Eğitim Seti | YDS'ye Hazırlık | Güncel Müfredat</v>
      </c>
    </row>
    <row r="7376">
      <c r="A7376" s="140" t="str">
        <f>IFERROR(__xludf.DUMMYFUNCTION("""COMPUTED_VALUE"""),"pt")</f>
        <v>pt</v>
      </c>
      <c r="B7376">
        <f>IFERROR(__xludf.DUMMYFUNCTION("""COMPUTED_VALUE"""),2465268.0)</f>
        <v>2465268</v>
      </c>
      <c r="C7376" t="str">
        <f>IFERROR(__xludf.DUMMYFUNCTION("""COMPUTED_VALUE"""),"Curso De Persuasão Em Vendas")</f>
        <v>Curso De Persuasão Em Vendas</v>
      </c>
    </row>
    <row r="7377">
      <c r="A7377" s="140" t="str">
        <f>IFERROR(__xludf.DUMMYFUNCTION("""COMPUTED_VALUE"""),"fr")</f>
        <v>fr</v>
      </c>
      <c r="B7377">
        <f>IFERROR(__xludf.DUMMYFUNCTION("""COMPUTED_VALUE"""),2493768.0)</f>
        <v>2493768</v>
      </c>
      <c r="C7377" t="str">
        <f>IFERROR(__xludf.DUMMYFUNCTION("""COMPUTED_VALUE"""),"Développement Front-End - React.js 16.8")</f>
        <v>Développement Front-End - React.js 16.8</v>
      </c>
    </row>
    <row r="7378">
      <c r="A7378" s="140" t="str">
        <f>IFERROR(__xludf.DUMMYFUNCTION("""COMPUTED_VALUE"""),"tr")</f>
        <v>tr</v>
      </c>
      <c r="B7378">
        <f>IFERROR(__xludf.DUMMYFUNCTION("""COMPUTED_VALUE"""),2455010.0)</f>
        <v>2455010</v>
      </c>
      <c r="C7378" t="str">
        <f>IFERROR(__xludf.DUMMYFUNCTION("""COMPUTED_VALUE"""),"Trello ile Proje Yönetimi : Başlangıçtan İleri Seviyeye")</f>
        <v>Trello ile Proje Yönetimi : Başlangıçtan İleri Seviyeye</v>
      </c>
    </row>
    <row r="7379">
      <c r="A7379" s="140" t="str">
        <f>IFERROR(__xludf.DUMMYFUNCTION("""COMPUTED_VALUE"""),"en")</f>
        <v>en</v>
      </c>
      <c r="B7379">
        <f>IFERROR(__xludf.DUMMYFUNCTION("""COMPUTED_VALUE"""),535540.0)</f>
        <v>535540</v>
      </c>
      <c r="C7379" t="str">
        <f>IFERROR(__xludf.DUMMYFUNCTION("""COMPUTED_VALUE"""),"Sales Training Pro: The Complete Sales Presentation Course")</f>
        <v>Sales Training Pro: The Complete Sales Presentation Course</v>
      </c>
    </row>
    <row r="7380">
      <c r="A7380" s="140" t="str">
        <f>IFERROR(__xludf.DUMMYFUNCTION("""COMPUTED_VALUE"""),"en")</f>
        <v>en</v>
      </c>
      <c r="B7380">
        <f>IFERROR(__xludf.DUMMYFUNCTION("""COMPUTED_VALUE"""),2101214.0)</f>
        <v>2101214</v>
      </c>
      <c r="C7380" t="str">
        <f>IFERROR(__xludf.DUMMYFUNCTION("""COMPUTED_VALUE"""),"Make Your Ideas Happen: 8 Proven Steps for Taking Action")</f>
        <v>Make Your Ideas Happen: 8 Proven Steps for Taking Action</v>
      </c>
    </row>
    <row r="7381">
      <c r="A7381" s="140" t="str">
        <f>IFERROR(__xludf.DUMMYFUNCTION("""COMPUTED_VALUE"""),"en")</f>
        <v>en</v>
      </c>
      <c r="B7381">
        <f>IFERROR(__xludf.DUMMYFUNCTION("""COMPUTED_VALUE"""),666914.0)</f>
        <v>666914</v>
      </c>
      <c r="C7381" t="str">
        <f>IFERROR(__xludf.DUMMYFUNCTION("""COMPUTED_VALUE"""),"Python for Beginners: Learn Python Programming (Python 3)")</f>
        <v>Python for Beginners: Learn Python Programming (Python 3)</v>
      </c>
    </row>
    <row r="7382">
      <c r="A7382" s="140" t="str">
        <f>IFERROR(__xludf.DUMMYFUNCTION("""COMPUTED_VALUE"""),"es")</f>
        <v>es</v>
      </c>
      <c r="B7382">
        <f>IFERROR(__xludf.DUMMYFUNCTION("""COMPUTED_VALUE"""),2337206.0)</f>
        <v>2337206</v>
      </c>
      <c r="C7382" t="str">
        <f>IFERROR(__xludf.DUMMYFUNCTION("""COMPUTED_VALUE"""),"Sistema de Compra y Facturación con Python usando Django LTS")</f>
        <v>Sistema de Compra y Facturación con Python usando Django LTS</v>
      </c>
    </row>
    <row r="7383">
      <c r="A7383" s="140" t="str">
        <f>IFERROR(__xludf.DUMMYFUNCTION("""COMPUTED_VALUE"""),"en")</f>
        <v>en</v>
      </c>
      <c r="B7383">
        <f>IFERROR(__xludf.DUMMYFUNCTION("""COMPUTED_VALUE"""),1084894.0)</f>
        <v>1084894</v>
      </c>
      <c r="C7383" t="str">
        <f>IFERROR(__xludf.DUMMYFUNCTION("""COMPUTED_VALUE"""),"Chrome Extensions : Develop 5 chrome extensions from scratch")</f>
        <v>Chrome Extensions : Develop 5 chrome extensions from scratch</v>
      </c>
    </row>
    <row r="7384">
      <c r="A7384" s="140" t="str">
        <f>IFERROR(__xludf.DUMMYFUNCTION("""COMPUTED_VALUE"""),"en")</f>
        <v>en</v>
      </c>
      <c r="B7384">
        <f>IFERROR(__xludf.DUMMYFUNCTION("""COMPUTED_VALUE"""),972974.0)</f>
        <v>972974</v>
      </c>
      <c r="C7384" t="str">
        <f>IFERROR(__xludf.DUMMYFUNCTION("""COMPUTED_VALUE"""),"Microsoft Windows Server 2016 Training for Beginners")</f>
        <v>Microsoft Windows Server 2016 Training for Beginners</v>
      </c>
    </row>
    <row r="7385">
      <c r="A7385" s="140" t="str">
        <f>IFERROR(__xludf.DUMMYFUNCTION("""COMPUTED_VALUE"""),"en")</f>
        <v>en</v>
      </c>
      <c r="B7385">
        <f>IFERROR(__xludf.DUMMYFUNCTION("""COMPUTED_VALUE"""),709236.0)</f>
        <v>709236</v>
      </c>
      <c r="C7385" t="str">
        <f>IFERROR(__xludf.DUMMYFUNCTION("""COMPUTED_VALUE"""),"New SAT Reading 800: Guaranteed Results")</f>
        <v>New SAT Reading 800: Guaranteed Results</v>
      </c>
    </row>
    <row r="7386">
      <c r="A7386" s="140" t="str">
        <f>IFERROR(__xludf.DUMMYFUNCTION("""COMPUTED_VALUE"""),"en")</f>
        <v>en</v>
      </c>
      <c r="B7386">
        <f>IFERROR(__xludf.DUMMYFUNCTION("""COMPUTED_VALUE"""),2399896.0)</f>
        <v>2399896</v>
      </c>
      <c r="C7386" t="str">
        <f>IFERROR(__xludf.DUMMYFUNCTION("""COMPUTED_VALUE"""),"Advanced Calculus/Real Analysis with the Math Sorcerer")</f>
        <v>Advanced Calculus/Real Analysis with the Math Sorcerer</v>
      </c>
    </row>
    <row r="7387">
      <c r="A7387" s="140" t="str">
        <f>IFERROR(__xludf.DUMMYFUNCTION("""COMPUTED_VALUE"""),"es")</f>
        <v>es</v>
      </c>
      <c r="B7387">
        <f>IFERROR(__xludf.DUMMYFUNCTION("""COMPUTED_VALUE"""),2535300.0)</f>
        <v>2535300</v>
      </c>
      <c r="C7387" t="str">
        <f>IFERROR(__xludf.DUMMYFUNCTION("""COMPUTED_VALUE"""),"Curso Completo sobre Desarrollo desde 0. Año 2021 +50 Horas.")</f>
        <v>Curso Completo sobre Desarrollo desde 0. Año 2021 +50 Horas.</v>
      </c>
    </row>
    <row r="7388">
      <c r="A7388" s="140" t="str">
        <f>IFERROR(__xludf.DUMMYFUNCTION("""COMPUTED_VALUE"""),"fr")</f>
        <v>fr</v>
      </c>
      <c r="B7388">
        <f>IFERROR(__xludf.DUMMYFUNCTION("""COMPUTED_VALUE"""),3627204.0)</f>
        <v>3627204</v>
      </c>
      <c r="C7388" t="str">
        <f>IFERROR(__xludf.DUMMYFUNCTION("""COMPUTED_VALUE"""),"L'intelligence émotionnelle")</f>
        <v>L'intelligence émotionnelle</v>
      </c>
    </row>
    <row r="7389">
      <c r="A7389" s="140" t="str">
        <f>IFERROR(__xludf.DUMMYFUNCTION("""COMPUTED_VALUE"""),"en")</f>
        <v>en</v>
      </c>
      <c r="B7389">
        <f>IFERROR(__xludf.DUMMYFUNCTION("""COMPUTED_VALUE"""),3249320.0)</f>
        <v>3249320</v>
      </c>
      <c r="C7389" t="str">
        <f>IFERROR(__xludf.DUMMYFUNCTION("""COMPUTED_VALUE"""),"Nmap For Penetration Testing: Beginner To Advanced")</f>
        <v>Nmap For Penetration Testing: Beginner To Advanced</v>
      </c>
    </row>
    <row r="7390">
      <c r="A7390" s="140" t="str">
        <f>IFERROR(__xludf.DUMMYFUNCTION("""COMPUTED_VALUE"""),"en")</f>
        <v>en</v>
      </c>
      <c r="B7390">
        <f>IFERROR(__xludf.DUMMYFUNCTION("""COMPUTED_VALUE"""),2201496.0)</f>
        <v>2201496</v>
      </c>
      <c r="C7390" t="str">
        <f>IFERROR(__xludf.DUMMYFUNCTION("""COMPUTED_VALUE"""),"Beginner Statistics for Data Analytics - Learn the Easy Way!")</f>
        <v>Beginner Statistics for Data Analytics - Learn the Easy Way!</v>
      </c>
    </row>
    <row r="7391">
      <c r="A7391" s="140" t="str">
        <f>IFERROR(__xludf.DUMMYFUNCTION("""COMPUTED_VALUE"""),"en")</f>
        <v>en</v>
      </c>
      <c r="B7391">
        <f>IFERROR(__xludf.DUMMYFUNCTION("""COMPUTED_VALUE"""),2014820.0)</f>
        <v>2014820</v>
      </c>
      <c r="C7391" t="str">
        <f>IFERROR(__xludf.DUMMYFUNCTION("""COMPUTED_VALUE"""),"Master Python Programming: The Complete Python Bootcamp 2022")</f>
        <v>Master Python Programming: The Complete Python Bootcamp 2022</v>
      </c>
    </row>
    <row r="7392">
      <c r="A7392" s="140" t="str">
        <f>IFERROR(__xludf.DUMMYFUNCTION("""COMPUTED_VALUE"""),"en")</f>
        <v>en</v>
      </c>
      <c r="B7392">
        <f>IFERROR(__xludf.DUMMYFUNCTION("""COMPUTED_VALUE"""),1941270.0)</f>
        <v>1941270</v>
      </c>
      <c r="C7392" t="str">
        <f>IFERROR(__xludf.DUMMYFUNCTION("""COMPUTED_VALUE"""),"CCIE Enterprise Infrastructure - Transport Technologies")</f>
        <v>CCIE Enterprise Infrastructure - Transport Technologies</v>
      </c>
    </row>
    <row r="7393">
      <c r="A7393" s="140" t="str">
        <f>IFERROR(__xludf.DUMMYFUNCTION("""COMPUTED_VALUE"""),"ja")</f>
        <v>ja</v>
      </c>
      <c r="B7393">
        <f>IFERROR(__xludf.DUMMYFUNCTION("""COMPUTED_VALUE"""),4095954.0)</f>
        <v>4095954</v>
      </c>
      <c r="C7393" t="str">
        <f>IFERROR(__xludf.DUMMYFUNCTION("""COMPUTED_VALUE"""),"【入門から実践まで】Webマーケティングの全体像とデータ活用を短時間で学び実際にSEO集客ツールを作ってみよう！")</f>
        <v>【入門から実践まで】Webマーケティングの全体像とデータ活用を短時間で学び実際にSEO集客ツールを作ってみよう！</v>
      </c>
    </row>
    <row r="7394">
      <c r="A7394" s="140" t="str">
        <f>IFERROR(__xludf.DUMMYFUNCTION("""COMPUTED_VALUE"""),"tr")</f>
        <v>tr</v>
      </c>
      <c r="B7394">
        <f>IFERROR(__xludf.DUMMYFUNCTION("""COMPUTED_VALUE"""),3681430.0)</f>
        <v>3681430</v>
      </c>
      <c r="C7394" t="str">
        <f>IFERROR(__xludf.DUMMYFUNCTION("""COMPUTED_VALUE"""),"Bitcoin Eğitim Programı: Sıfırdan İleri Düzeye")</f>
        <v>Bitcoin Eğitim Programı: Sıfırdan İleri Düzeye</v>
      </c>
    </row>
    <row r="7395">
      <c r="A7395" s="140" t="str">
        <f>IFERROR(__xludf.DUMMYFUNCTION("""COMPUTED_VALUE"""),"en")</f>
        <v>en</v>
      </c>
      <c r="B7395">
        <f>IFERROR(__xludf.DUMMYFUNCTION("""COMPUTED_VALUE"""),1424398.0)</f>
        <v>1424398</v>
      </c>
      <c r="C7395" t="str">
        <f>IFERROR(__xludf.DUMMYFUNCTION("""COMPUTED_VALUE"""),"Microsoft Project: MS Project 2013, 2016 &amp;2019 comp./ 8 pdus")</f>
        <v>Microsoft Project: MS Project 2013, 2016 &amp;2019 comp./ 8 pdus</v>
      </c>
    </row>
    <row r="7396">
      <c r="A7396" s="140" t="str">
        <f>IFERROR(__xludf.DUMMYFUNCTION("""COMPUTED_VALUE"""),"en")</f>
        <v>en</v>
      </c>
      <c r="B7396">
        <f>IFERROR(__xludf.DUMMYFUNCTION("""COMPUTED_VALUE"""),1789268.0)</f>
        <v>1789268</v>
      </c>
      <c r="C7396" t="str">
        <f>IFERROR(__xludf.DUMMYFUNCTION("""COMPUTED_VALUE"""),"Java Enterprise Edition 8 for Beginners course")</f>
        <v>Java Enterprise Edition 8 for Beginners course</v>
      </c>
    </row>
    <row r="7397">
      <c r="A7397" s="140" t="str">
        <f>IFERROR(__xludf.DUMMYFUNCTION("""COMPUTED_VALUE"""),"es")</f>
        <v>es</v>
      </c>
      <c r="B7397">
        <f>IFERROR(__xludf.DUMMYFUNCTION("""COMPUTED_VALUE"""),1883116.0)</f>
        <v>1883116</v>
      </c>
      <c r="C7397" t="str">
        <f>IFERROR(__xludf.DUMMYFUNCTION("""COMPUTED_VALUE"""),"HABLAR EN PÚBLICO: Oratoria avanzada; pierde miedo escénico")</f>
        <v>HABLAR EN PÚBLICO: Oratoria avanzada; pierde miedo escénico</v>
      </c>
    </row>
    <row r="7398">
      <c r="A7398" s="140" t="str">
        <f>IFERROR(__xludf.DUMMYFUNCTION("""COMPUTED_VALUE"""),"es")</f>
        <v>es</v>
      </c>
      <c r="B7398">
        <f>IFERROR(__xludf.DUMMYFUNCTION("""COMPUTED_VALUE"""),2637926.0)</f>
        <v>2637926</v>
      </c>
      <c r="C7398" t="str">
        <f>IFERROR(__xludf.DUMMYFUNCTION("""COMPUTED_VALUE"""),"Hotspot con MikroTik para WISP")</f>
        <v>Hotspot con MikroTik para WISP</v>
      </c>
    </row>
    <row r="7399">
      <c r="A7399" s="140" t="str">
        <f>IFERROR(__xludf.DUMMYFUNCTION("""COMPUTED_VALUE"""),"pt")</f>
        <v>pt</v>
      </c>
      <c r="B7399">
        <f>IFERROR(__xludf.DUMMYFUNCTION("""COMPUTED_VALUE"""),1225478.0)</f>
        <v>1225478</v>
      </c>
      <c r="C7399" t="str">
        <f>IFERROR(__xludf.DUMMYFUNCTION("""COMPUTED_VALUE"""),"Desenvolvimento de Aplicativos Android usando Kotlin")</f>
        <v>Desenvolvimento de Aplicativos Android usando Kotlin</v>
      </c>
    </row>
    <row r="7400">
      <c r="A7400" s="140" t="str">
        <f>IFERROR(__xludf.DUMMYFUNCTION("""COMPUTED_VALUE"""),"en")</f>
        <v>en</v>
      </c>
      <c r="B7400">
        <f>IFERROR(__xludf.DUMMYFUNCTION("""COMPUTED_VALUE"""),412738.0)</f>
        <v>412738</v>
      </c>
      <c r="C7400" t="str">
        <f>IFERROR(__xludf.DUMMYFUNCTION("""COMPUTED_VALUE"""),"UX &amp; Web Design Master Course: Strategy, Design, Development")</f>
        <v>UX &amp; Web Design Master Course: Strategy, Design, Development</v>
      </c>
    </row>
    <row r="7401">
      <c r="A7401" s="140" t="str">
        <f>IFERROR(__xludf.DUMMYFUNCTION("""COMPUTED_VALUE"""),"en")</f>
        <v>en</v>
      </c>
      <c r="B7401">
        <f>IFERROR(__xludf.DUMMYFUNCTION("""COMPUTED_VALUE"""),1016734.0)</f>
        <v>1016734</v>
      </c>
      <c r="C7401" t="str">
        <f>IFERROR(__xludf.DUMMYFUNCTION("""COMPUTED_VALUE"""),"Cisco CCNA 200-301 Exam: Complete Course with practical labs")</f>
        <v>Cisco CCNA 200-301 Exam: Complete Course with practical labs</v>
      </c>
    </row>
    <row r="7402">
      <c r="A7402" s="140" t="str">
        <f>IFERROR(__xludf.DUMMYFUNCTION("""COMPUTED_VALUE"""),"en")</f>
        <v>en</v>
      </c>
      <c r="B7402">
        <f>IFERROR(__xludf.DUMMYFUNCTION("""COMPUTED_VALUE"""),2377464.0)</f>
        <v>2377464</v>
      </c>
      <c r="C7402" t="str">
        <f>IFERROR(__xludf.DUMMYFUNCTION("""COMPUTED_VALUE"""),"JavaScript &amp; LeetCode | The Interview Bootcamp")</f>
        <v>JavaScript &amp; LeetCode | The Interview Bootcamp</v>
      </c>
    </row>
    <row r="7403">
      <c r="A7403" s="140" t="str">
        <f>IFERROR(__xludf.DUMMYFUNCTION("""COMPUTED_VALUE"""),"en")</f>
        <v>en</v>
      </c>
      <c r="B7403">
        <f>IFERROR(__xludf.DUMMYFUNCTION("""COMPUTED_VALUE"""),606336.0)</f>
        <v>606336</v>
      </c>
      <c r="C7403" t="str">
        <f>IFERROR(__xludf.DUMMYFUNCTION("""COMPUTED_VALUE"""),"Ubuntu Desktop for Beginners: Start Using Linux Today!")</f>
        <v>Ubuntu Desktop for Beginners: Start Using Linux Today!</v>
      </c>
    </row>
    <row r="7404">
      <c r="A7404" s="140" t="str">
        <f>IFERROR(__xludf.DUMMYFUNCTION("""COMPUTED_VALUE"""),"en")</f>
        <v>en</v>
      </c>
      <c r="B7404">
        <f>IFERROR(__xludf.DUMMYFUNCTION("""COMPUTED_VALUE"""),1014014.0)</f>
        <v>1014014</v>
      </c>
      <c r="C7404" t="str">
        <f>IFERROR(__xludf.DUMMYFUNCTION("""COMPUTED_VALUE"""),"Introduction to IP Addressing and Subnetting the Easy Way")</f>
        <v>Introduction to IP Addressing and Subnetting the Easy Way</v>
      </c>
    </row>
    <row r="7405">
      <c r="A7405" s="140" t="str">
        <f>IFERROR(__xludf.DUMMYFUNCTION("""COMPUTED_VALUE"""),"de")</f>
        <v>de</v>
      </c>
      <c r="B7405">
        <f>IFERROR(__xludf.DUMMYFUNCTION("""COMPUTED_VALUE"""),2043514.0)</f>
        <v>2043514</v>
      </c>
      <c r="C7405" t="str">
        <f>IFERROR(__xludf.DUMMYFUNCTION("""COMPUTED_VALUE"""),"Die Kunst des Pitchens – Wie man eine Idee präsentiert")</f>
        <v>Die Kunst des Pitchens – Wie man eine Idee präsentiert</v>
      </c>
    </row>
    <row r="7406">
      <c r="A7406" s="140" t="str">
        <f>IFERROR(__xludf.DUMMYFUNCTION("""COMPUTED_VALUE"""),"de")</f>
        <v>de</v>
      </c>
      <c r="B7406">
        <f>IFERROR(__xludf.DUMMYFUNCTION("""COMPUTED_VALUE"""),2045342.0)</f>
        <v>2045342</v>
      </c>
      <c r="C7406" t="str">
        <f>IFERROR(__xludf.DUMMYFUNCTION("""COMPUTED_VALUE"""),"Einführung in Berechnungen mit Microsoft Power BI Desktop")</f>
        <v>Einführung in Berechnungen mit Microsoft Power BI Desktop</v>
      </c>
    </row>
    <row r="7407">
      <c r="A7407" s="140" t="str">
        <f>IFERROR(__xludf.DUMMYFUNCTION("""COMPUTED_VALUE"""),"tr")</f>
        <v>tr</v>
      </c>
      <c r="B7407">
        <f>IFERROR(__xludf.DUMMYFUNCTION("""COMPUTED_VALUE"""),2593128.0)</f>
        <v>2593128</v>
      </c>
      <c r="C7407" t="str">
        <f>IFERROR(__xludf.DUMMYFUNCTION("""COMPUTED_VALUE"""),"A'dan Z'ye Docker")</f>
        <v>A'dan Z'ye Docker</v>
      </c>
    </row>
    <row r="7408">
      <c r="A7408" s="140" t="str">
        <f>IFERROR(__xludf.DUMMYFUNCTION("""COMPUTED_VALUE"""),"es")</f>
        <v>es</v>
      </c>
      <c r="B7408">
        <f>IFERROR(__xludf.DUMMYFUNCTION("""COMPUTED_VALUE"""),2098030.0)</f>
        <v>2098030</v>
      </c>
      <c r="C7408" t="str">
        <f>IFERROR(__xludf.DUMMYFUNCTION("""COMPUTED_VALUE"""),"Fundamentos &amp; Sistema Dashboard de Seguimiento de Proyectos")</f>
        <v>Fundamentos &amp; Sistema Dashboard de Seguimiento de Proyectos</v>
      </c>
    </row>
    <row r="7409">
      <c r="A7409" s="140" t="str">
        <f>IFERROR(__xludf.DUMMYFUNCTION("""COMPUTED_VALUE"""),"de")</f>
        <v>de</v>
      </c>
      <c r="B7409">
        <f>IFERROR(__xludf.DUMMYFUNCTION("""COMPUTED_VALUE"""),3668340.0)</f>
        <v>3668340</v>
      </c>
      <c r="C7409" t="str">
        <f>IFERROR(__xludf.DUMMYFUNCTION("""COMPUTED_VALUE"""),"Der Google Ads (AdWords) Meisterkurs: Google Ads von A bis Z")</f>
        <v>Der Google Ads (AdWords) Meisterkurs: Google Ads von A bis Z</v>
      </c>
    </row>
    <row r="7410">
      <c r="A7410" s="140" t="str">
        <f>IFERROR(__xludf.DUMMYFUNCTION("""COMPUTED_VALUE"""),"en")</f>
        <v>en</v>
      </c>
      <c r="B7410">
        <f>IFERROR(__xludf.DUMMYFUNCTION("""COMPUTED_VALUE"""),897338.0)</f>
        <v>897338</v>
      </c>
      <c r="C7410" t="str">
        <f>IFERROR(__xludf.DUMMYFUNCTION("""COMPUTED_VALUE"""),"Python for Programmers")</f>
        <v>Python for Programmers</v>
      </c>
    </row>
    <row r="7411">
      <c r="A7411" s="140" t="str">
        <f>IFERROR(__xludf.DUMMYFUNCTION("""COMPUTED_VALUE"""),"es")</f>
        <v>es</v>
      </c>
      <c r="B7411">
        <f>IFERROR(__xludf.DUMMYFUNCTION("""COMPUTED_VALUE"""),1865994.0)</f>
        <v>1865994</v>
      </c>
      <c r="C7411" t="str">
        <f>IFERROR(__xludf.DUMMYFUNCTION("""COMPUTED_VALUE"""),"Desarrolla 1 Chatbot Messenger y aprende Python en el camino")</f>
        <v>Desarrolla 1 Chatbot Messenger y aprende Python en el camino</v>
      </c>
    </row>
    <row r="7412">
      <c r="A7412" s="140" t="str">
        <f>IFERROR(__xludf.DUMMYFUNCTION("""COMPUTED_VALUE"""),"en")</f>
        <v>en</v>
      </c>
      <c r="B7412">
        <f>IFERROR(__xludf.DUMMYFUNCTION("""COMPUTED_VALUE"""),1424398.0)</f>
        <v>1424398</v>
      </c>
      <c r="C7412" t="str">
        <f>IFERROR(__xludf.DUMMYFUNCTION("""COMPUTED_VALUE"""),"Microsoft Project: MS Project 2013, 2016 &amp;2019 comp./ 8 pdus")</f>
        <v>Microsoft Project: MS Project 2013, 2016 &amp;2019 comp./ 8 pdus</v>
      </c>
    </row>
    <row r="7413">
      <c r="A7413" s="140" t="str">
        <f>IFERROR(__xludf.DUMMYFUNCTION("""COMPUTED_VALUE"""),"en")</f>
        <v>en</v>
      </c>
      <c r="B7413">
        <f>IFERROR(__xludf.DUMMYFUNCTION("""COMPUTED_VALUE"""),1284384.0)</f>
        <v>1284384</v>
      </c>
      <c r="C7413" t="str">
        <f>IFERROR(__xludf.DUMMYFUNCTION("""COMPUTED_VALUE"""),"Google Cloud Platform (GCP) - For Techs")</f>
        <v>Google Cloud Platform (GCP) - For Techs</v>
      </c>
    </row>
    <row r="7414">
      <c r="A7414" s="140" t="str">
        <f>IFERROR(__xludf.DUMMYFUNCTION("""COMPUTED_VALUE"""),"en")</f>
        <v>en</v>
      </c>
      <c r="B7414">
        <f>IFERROR(__xludf.DUMMYFUNCTION("""COMPUTED_VALUE"""),480068.0)</f>
        <v>480068</v>
      </c>
      <c r="C7414" t="str">
        <f>IFERROR(__xludf.DUMMYFUNCTION("""COMPUTED_VALUE"""),"Mobile App Design: From Sketches to Interactive Prototypes")</f>
        <v>Mobile App Design: From Sketches to Interactive Prototypes</v>
      </c>
    </row>
    <row r="7415">
      <c r="A7415" s="140" t="str">
        <f>IFERROR(__xludf.DUMMYFUNCTION("""COMPUTED_VALUE"""),"en")</f>
        <v>en</v>
      </c>
      <c r="B7415">
        <f>IFERROR(__xludf.DUMMYFUNCTION("""COMPUTED_VALUE"""),49068.0)</f>
        <v>49068</v>
      </c>
      <c r="C7415" t="str">
        <f>IFERROR(__xludf.DUMMYFUNCTION("""COMPUTED_VALUE"""),"Learn SAP BEx Analyzer - Training Course")</f>
        <v>Learn SAP BEx Analyzer - Training Course</v>
      </c>
    </row>
    <row r="7416">
      <c r="A7416" s="140" t="str">
        <f>IFERROR(__xludf.DUMMYFUNCTION("""COMPUTED_VALUE"""),"en")</f>
        <v>en</v>
      </c>
      <c r="B7416">
        <f>IFERROR(__xludf.DUMMYFUNCTION("""COMPUTED_VALUE"""),553454.0)</f>
        <v>553454</v>
      </c>
      <c r="C7416" t="str">
        <f>IFERROR(__xludf.DUMMYFUNCTION("""COMPUTED_VALUE"""),"Selenium WebDriver with C# for Beginners + Live Testing Site")</f>
        <v>Selenium WebDriver with C# for Beginners + Live Testing Site</v>
      </c>
    </row>
    <row r="7417">
      <c r="A7417" s="140" t="str">
        <f>IFERROR(__xludf.DUMMYFUNCTION("""COMPUTED_VALUE"""),"en")</f>
        <v>en</v>
      </c>
      <c r="B7417">
        <f>IFERROR(__xludf.DUMMYFUNCTION("""COMPUTED_VALUE"""),2343574.0)</f>
        <v>2343574</v>
      </c>
      <c r="C7417" t="str">
        <f>IFERROR(__xludf.DUMMYFUNCTION("""COMPUTED_VALUE"""),"Assertive Communication Skills Masterclass")</f>
        <v>Assertive Communication Skills Masterclass</v>
      </c>
    </row>
    <row r="7418">
      <c r="A7418" s="140" t="str">
        <f>IFERROR(__xludf.DUMMYFUNCTION("""COMPUTED_VALUE"""),"en")</f>
        <v>en</v>
      </c>
      <c r="B7418">
        <f>IFERROR(__xludf.DUMMYFUNCTION("""COMPUTED_VALUE"""),1019276.0)</f>
        <v>1019276</v>
      </c>
      <c r="C7418" t="str">
        <f>IFERROR(__xludf.DUMMYFUNCTION("""COMPUTED_VALUE"""),"The Ultimate Beginner's Guide to Django 1.11")</f>
        <v>The Ultimate Beginner's Guide to Django 1.11</v>
      </c>
    </row>
    <row r="7419">
      <c r="A7419" s="140" t="str">
        <f>IFERROR(__xludf.DUMMYFUNCTION("""COMPUTED_VALUE"""),"pt")</f>
        <v>pt</v>
      </c>
      <c r="B7419">
        <f>IFERROR(__xludf.DUMMYFUNCTION("""COMPUTED_VALUE"""),3315574.0)</f>
        <v>3315574</v>
      </c>
      <c r="C7419" t="str">
        <f>IFERROR(__xludf.DUMMYFUNCTION("""COMPUTED_VALUE"""),"Ciência de Dados para Negócios usando Excel")</f>
        <v>Ciência de Dados para Negócios usando Excel</v>
      </c>
    </row>
    <row r="7420">
      <c r="A7420" s="140" t="str">
        <f>IFERROR(__xludf.DUMMYFUNCTION("""COMPUTED_VALUE"""),"fr")</f>
        <v>fr</v>
      </c>
      <c r="B7420">
        <f>IFERROR(__xludf.DUMMYFUNCTION("""COMPUTED_VALUE"""),1547048.0)</f>
        <v>1547048</v>
      </c>
      <c r="C7420" t="str">
        <f>IFERROR(__xludf.DUMMYFUNCTION("""COMPUTED_VALUE"""),"Illustrator CC 2020 Débutant-Techniques de base + Ateliers")</f>
        <v>Illustrator CC 2020 Débutant-Techniques de base + Ateliers</v>
      </c>
    </row>
    <row r="7421">
      <c r="A7421" s="140" t="str">
        <f>IFERROR(__xludf.DUMMYFUNCTION("""COMPUTED_VALUE"""),"en")</f>
        <v>en</v>
      </c>
      <c r="B7421">
        <f>IFERROR(__xludf.DUMMYFUNCTION("""COMPUTED_VALUE"""),2131850.0)</f>
        <v>2131850</v>
      </c>
      <c r="C7421" t="str">
        <f>IFERROR(__xludf.DUMMYFUNCTION("""COMPUTED_VALUE"""),"CISM Certification: CISM Domain 2 Video Boot Camp 2022")</f>
        <v>CISM Certification: CISM Domain 2 Video Boot Camp 2022</v>
      </c>
    </row>
    <row r="7422">
      <c r="A7422" s="140" t="str">
        <f>IFERROR(__xludf.DUMMYFUNCTION("""COMPUTED_VALUE"""),"en")</f>
        <v>en</v>
      </c>
      <c r="B7422">
        <f>IFERROR(__xludf.DUMMYFUNCTION("""COMPUTED_VALUE"""),1238972.0)</f>
        <v>1238972</v>
      </c>
      <c r="C7422" t="str">
        <f>IFERROR(__xludf.DUMMYFUNCTION("""COMPUTED_VALUE"""),"ArcSWAT Model with ArcGIS  - Run for any Study Area - GIS")</f>
        <v>ArcSWAT Model with ArcGIS  - Run for any Study Area - GIS</v>
      </c>
    </row>
    <row r="7423">
      <c r="A7423" s="140" t="str">
        <f>IFERROR(__xludf.DUMMYFUNCTION("""COMPUTED_VALUE"""),"es")</f>
        <v>es</v>
      </c>
      <c r="B7423">
        <f>IFERROR(__xludf.DUMMYFUNCTION("""COMPUTED_VALUE"""),2421388.0)</f>
        <v>2421388</v>
      </c>
      <c r="C7423" t="str">
        <f>IFERROR(__xludf.DUMMYFUNCTION("""COMPUTED_VALUE"""),"Creando Web APIs Profesionales con .NET Core")</f>
        <v>Creando Web APIs Profesionales con .NET Core</v>
      </c>
    </row>
    <row r="7424">
      <c r="A7424" s="140" t="str">
        <f>IFERROR(__xludf.DUMMYFUNCTION("""COMPUTED_VALUE"""),"pt")</f>
        <v>pt</v>
      </c>
      <c r="B7424">
        <f>IFERROR(__xludf.DUMMYFUNCTION("""COMPUTED_VALUE"""),804158.0)</f>
        <v>804158</v>
      </c>
      <c r="C7424" t="str">
        <f>IFERROR(__xludf.DUMMYFUNCTION("""COMPUTED_VALUE"""),"Curso de Algoritmo: Completo e Passo a Passo")</f>
        <v>Curso de Algoritmo: Completo e Passo a Passo</v>
      </c>
    </row>
    <row r="7425">
      <c r="A7425" s="140" t="str">
        <f>IFERROR(__xludf.DUMMYFUNCTION("""COMPUTED_VALUE"""),"pt")</f>
        <v>pt</v>
      </c>
      <c r="B7425">
        <f>IFERROR(__xludf.DUMMYFUNCTION("""COMPUTED_VALUE"""),3783246.0)</f>
        <v>3783246</v>
      </c>
      <c r="C7425" t="str">
        <f>IFERROR(__xludf.DUMMYFUNCTION("""COMPUTED_VALUE"""),"Gestão de Conflitos para Equipes (Liderança e Gerenciamento)")</f>
        <v>Gestão de Conflitos para Equipes (Liderança e Gerenciamento)</v>
      </c>
    </row>
    <row r="7426">
      <c r="A7426" s="140" t="str">
        <f>IFERROR(__xludf.DUMMYFUNCTION("""COMPUTED_VALUE"""),"en")</f>
        <v>en</v>
      </c>
      <c r="B7426">
        <f>IFERROR(__xludf.DUMMYFUNCTION("""COMPUTED_VALUE"""),2108272.0)</f>
        <v>2108272</v>
      </c>
      <c r="C7426" t="str">
        <f>IFERROR(__xludf.DUMMYFUNCTION("""COMPUTED_VALUE"""),"Time Management Mastery: Do More, Stress Less")</f>
        <v>Time Management Mastery: Do More, Stress Less</v>
      </c>
    </row>
    <row r="7427">
      <c r="A7427" s="140" t="str">
        <f>IFERROR(__xludf.DUMMYFUNCTION("""COMPUTED_VALUE"""),"en")</f>
        <v>en</v>
      </c>
      <c r="B7427">
        <f>IFERROR(__xludf.DUMMYFUNCTION("""COMPUTED_VALUE"""),1292182.0)</f>
        <v>1292182</v>
      </c>
      <c r="C7427" t="str">
        <f>IFERROR(__xludf.DUMMYFUNCTION("""COMPUTED_VALUE"""),"Fully Accredited Reflexology Diploma - Heal Via Your Feet!")</f>
        <v>Fully Accredited Reflexology Diploma - Heal Via Your Feet!</v>
      </c>
    </row>
    <row r="7428">
      <c r="A7428" s="140" t="str">
        <f>IFERROR(__xludf.DUMMYFUNCTION("""COMPUTED_VALUE"""),"ja")</f>
        <v>ja</v>
      </c>
      <c r="B7428">
        <f>IFERROR(__xludf.DUMMYFUNCTION("""COMPUTED_VALUE"""),4025860.0)</f>
        <v>4025860</v>
      </c>
      <c r="C7428" t="str">
        <f>IFERROR(__xludf.DUMMYFUNCTION("""COMPUTED_VALUE"""),"【世界で5万人が受講】AZ-900: Microsoft Azure Fundamentals オリジナル模擬試験")</f>
        <v>【世界で5万人が受講】AZ-900: Microsoft Azure Fundamentals オリジナル模擬試験</v>
      </c>
    </row>
    <row r="7429">
      <c r="A7429" s="140" t="str">
        <f>IFERROR(__xludf.DUMMYFUNCTION("""COMPUTED_VALUE"""),"en")</f>
        <v>en</v>
      </c>
      <c r="B7429">
        <f>IFERROR(__xludf.DUMMYFUNCTION("""COMPUTED_VALUE"""),378912.0)</f>
        <v>378912</v>
      </c>
      <c r="C7429" t="str">
        <f>IFERROR(__xludf.DUMMYFUNCTION("""COMPUTED_VALUE"""),"CRUSH IT !!! – Sales Strategies")</f>
        <v>CRUSH IT !!! – Sales Strategies</v>
      </c>
    </row>
    <row r="7430">
      <c r="A7430" s="140" t="str">
        <f>IFERROR(__xludf.DUMMYFUNCTION("""COMPUTED_VALUE"""),"es")</f>
        <v>es</v>
      </c>
      <c r="B7430">
        <f>IFERROR(__xludf.DUMMYFUNCTION("""COMPUTED_VALUE"""),1805100.0)</f>
        <v>1805100</v>
      </c>
      <c r="C7430" t="str">
        <f>IFERROR(__xludf.DUMMYFUNCTION("""COMPUTED_VALUE"""),"Laravel y OAuth 2: Login con Facebook, Twitter, Google+, etc")</f>
        <v>Laravel y OAuth 2: Login con Facebook, Twitter, Google+, etc</v>
      </c>
    </row>
    <row r="7431">
      <c r="A7431" s="140" t="str">
        <f>IFERROR(__xludf.DUMMYFUNCTION("""COMPUTED_VALUE"""),"en")</f>
        <v>en</v>
      </c>
      <c r="B7431">
        <f>IFERROR(__xludf.DUMMYFUNCTION("""COMPUTED_VALUE"""),866196.0)</f>
        <v>866196</v>
      </c>
      <c r="C7431" t="str">
        <f>IFERROR(__xludf.DUMMYFUNCTION("""COMPUTED_VALUE"""),"The Complete Oracle SQL Certification Course")</f>
        <v>The Complete Oracle SQL Certification Course</v>
      </c>
    </row>
    <row r="7432">
      <c r="A7432" s="140" t="str">
        <f>IFERROR(__xludf.DUMMYFUNCTION("""COMPUTED_VALUE"""),"es")</f>
        <v>es</v>
      </c>
      <c r="B7432">
        <f>IFERROR(__xludf.DUMMYFUNCTION("""COMPUTED_VALUE"""),2785952.0)</f>
        <v>2785952</v>
      </c>
      <c r="C7432" t="str">
        <f>IFERROR(__xludf.DUMMYFUNCTION("""COMPUTED_VALUE"""),"Aplicaciones real-time con Meteor y Vue")</f>
        <v>Aplicaciones real-time con Meteor y Vue</v>
      </c>
    </row>
    <row r="7433">
      <c r="A7433" s="140" t="str">
        <f>IFERROR(__xludf.DUMMYFUNCTION("""COMPUTED_VALUE"""),"en")</f>
        <v>en</v>
      </c>
      <c r="B7433">
        <f>IFERROR(__xludf.DUMMYFUNCTION("""COMPUTED_VALUE"""),1331082.0)</f>
        <v>1331082</v>
      </c>
      <c r="C7433" t="str">
        <f>IFERROR(__xludf.DUMMYFUNCTION("""COMPUTED_VALUE"""),"Augmented Reality Portal using Apple ARKit framework for AR")</f>
        <v>Augmented Reality Portal using Apple ARKit framework for AR</v>
      </c>
    </row>
    <row r="7434">
      <c r="A7434" s="140" t="str">
        <f>IFERROR(__xludf.DUMMYFUNCTION("""COMPUTED_VALUE"""),"ja")</f>
        <v>ja</v>
      </c>
      <c r="B7434">
        <f>IFERROR(__xludf.DUMMYFUNCTION("""COMPUTED_VALUE"""),3954606.0)</f>
        <v>3954606</v>
      </c>
      <c r="C7434" t="str">
        <f>IFERROR(__xludf.DUMMYFUNCTION("""COMPUTED_VALUE"""),"独学者のための統計学基礎講座　「重要14項目」")</f>
        <v>独学者のための統計学基礎講座　「重要14項目」</v>
      </c>
    </row>
    <row r="7435">
      <c r="A7435" s="140" t="str">
        <f>IFERROR(__xludf.DUMMYFUNCTION("""COMPUTED_VALUE"""),"en")</f>
        <v>en</v>
      </c>
      <c r="B7435">
        <f>IFERROR(__xludf.DUMMYFUNCTION("""COMPUTED_VALUE"""),2573128.0)</f>
        <v>2573128</v>
      </c>
      <c r="C7435" t="str">
        <f>IFERROR(__xludf.DUMMYFUNCTION("""COMPUTED_VALUE"""),"Master CI/CD for React Native")</f>
        <v>Master CI/CD for React Native</v>
      </c>
    </row>
    <row r="7436">
      <c r="A7436" s="140" t="str">
        <f>IFERROR(__xludf.DUMMYFUNCTION("""COMPUTED_VALUE"""),"pt")</f>
        <v>pt</v>
      </c>
      <c r="B7436">
        <f>IFERROR(__xludf.DUMMYFUNCTION("""COMPUTED_VALUE"""),1876688.0)</f>
        <v>1876688</v>
      </c>
      <c r="C7436" t="str">
        <f>IFERROR(__xludf.DUMMYFUNCTION("""COMPUTED_VALUE"""),"Educação Financeira para não Financeiros")</f>
        <v>Educação Financeira para não Financeiros</v>
      </c>
    </row>
    <row r="7437">
      <c r="A7437" s="140" t="str">
        <f>IFERROR(__xludf.DUMMYFUNCTION("""COMPUTED_VALUE"""),"de")</f>
        <v>de</v>
      </c>
      <c r="B7437">
        <f>IFERROR(__xludf.DUMMYFUNCTION("""COMPUTED_VALUE"""),1428680.0)</f>
        <v>1428680</v>
      </c>
      <c r="C7437" t="str">
        <f>IFERROR(__xludf.DUMMYFUNCTION("""COMPUTED_VALUE"""),"Lerne Französisch auf Französisch 1: Sprachkurs für Anfänger")</f>
        <v>Lerne Französisch auf Französisch 1: Sprachkurs für Anfänger</v>
      </c>
    </row>
    <row r="7438">
      <c r="A7438" s="140" t="str">
        <f>IFERROR(__xludf.DUMMYFUNCTION("""COMPUTED_VALUE"""),"fr")</f>
        <v>fr</v>
      </c>
      <c r="B7438">
        <f>IFERROR(__xludf.DUMMYFUNCTION("""COMPUTED_VALUE"""),2248898.0)</f>
        <v>2248898</v>
      </c>
      <c r="C7438" t="str">
        <f>IFERROR(__xludf.DUMMYFUNCTION("""COMPUTED_VALUE"""),"Gestion des conflits avec confiance et élégance")</f>
        <v>Gestion des conflits avec confiance et élégance</v>
      </c>
    </row>
    <row r="7439">
      <c r="A7439" s="140" t="str">
        <f>IFERROR(__xludf.DUMMYFUNCTION("""COMPUTED_VALUE"""),"en")</f>
        <v>en</v>
      </c>
      <c r="B7439">
        <f>IFERROR(__xludf.DUMMYFUNCTION("""COMPUTED_VALUE"""),401708.0)</f>
        <v>401708</v>
      </c>
      <c r="C7439" t="str">
        <f>IFERROR(__xludf.DUMMYFUNCTION("""COMPUTED_VALUE"""),"Microsoft Visio 13/16/19 Like a Boss - The Definitive Course")</f>
        <v>Microsoft Visio 13/16/19 Like a Boss - The Definitive Course</v>
      </c>
    </row>
    <row r="7440">
      <c r="A7440" s="140" t="str">
        <f>IFERROR(__xludf.DUMMYFUNCTION("""COMPUTED_VALUE"""),"de")</f>
        <v>de</v>
      </c>
      <c r="B7440">
        <f>IFERROR(__xludf.DUMMYFUNCTION("""COMPUTED_VALUE"""),1229146.0)</f>
        <v>1229146</v>
      </c>
      <c r="C7440" t="str">
        <f>IFERROR(__xludf.DUMMYFUNCTION("""COMPUTED_VALUE"""),"Adobe Lightroom CC Meisterkurs: Der Komplette Lightroom Kurs")</f>
        <v>Adobe Lightroom CC Meisterkurs: Der Komplette Lightroom Kurs</v>
      </c>
    </row>
    <row r="7441">
      <c r="A7441" s="140" t="str">
        <f>IFERROR(__xludf.DUMMYFUNCTION("""COMPUTED_VALUE"""),"fr")</f>
        <v>fr</v>
      </c>
      <c r="B7441">
        <f>IFERROR(__xludf.DUMMYFUNCTION("""COMPUTED_VALUE"""),1273150.0)</f>
        <v>1273150</v>
      </c>
      <c r="C7441" t="str">
        <f>IFERROR(__xludf.DUMMYFUNCTION("""COMPUTED_VALUE"""),"French course beginner DELF A1 CEFRL official certificate")</f>
        <v>French course beginner DELF A1 CEFRL official certificate</v>
      </c>
    </row>
    <row r="7442">
      <c r="A7442" s="140" t="str">
        <f>IFERROR(__xludf.DUMMYFUNCTION("""COMPUTED_VALUE"""),"pt")</f>
        <v>pt</v>
      </c>
      <c r="B7442">
        <f>IFERROR(__xludf.DUMMYFUNCTION("""COMPUTED_VALUE"""),1676602.0)</f>
        <v>1676602</v>
      </c>
      <c r="C7442" t="str">
        <f>IFERROR(__xludf.DUMMYFUNCTION("""COMPUTED_VALUE"""),"SuperProdutividade : Produtividade, GTD e Gestão do Tempo")</f>
        <v>SuperProdutividade : Produtividade, GTD e Gestão do Tempo</v>
      </c>
    </row>
    <row r="7443">
      <c r="A7443" s="140" t="str">
        <f>IFERROR(__xludf.DUMMYFUNCTION("""COMPUTED_VALUE"""),"en")</f>
        <v>en</v>
      </c>
      <c r="B7443">
        <f>IFERROR(__xludf.DUMMYFUNCTION("""COMPUTED_VALUE"""),693476.0)</f>
        <v>693476</v>
      </c>
      <c r="C7443" t="str">
        <f>IFERROR(__xludf.DUMMYFUNCTION("""COMPUTED_VALUE"""),"2d Bitmap art for video games")</f>
        <v>2d Bitmap art for video games</v>
      </c>
    </row>
    <row r="7444">
      <c r="A7444" s="140" t="str">
        <f>IFERROR(__xludf.DUMMYFUNCTION("""COMPUTED_VALUE"""),"es")</f>
        <v>es</v>
      </c>
      <c r="B7444">
        <f>IFERROR(__xludf.DUMMYFUNCTION("""COMPUTED_VALUE"""),2350032.0)</f>
        <v>2350032</v>
      </c>
      <c r="C7444" t="str">
        <f>IFERROR(__xludf.DUMMYFUNCTION("""COMPUTED_VALUE"""),"Aprende Linux desde 0 y prepara la Certificación LPIC-1.")</f>
        <v>Aprende Linux desde 0 y prepara la Certificación LPIC-1.</v>
      </c>
    </row>
    <row r="7445">
      <c r="A7445" s="140" t="str">
        <f>IFERROR(__xludf.DUMMYFUNCTION("""COMPUTED_VALUE"""),"pt")</f>
        <v>pt</v>
      </c>
      <c r="B7445">
        <f>IFERROR(__xludf.DUMMYFUNCTION("""COMPUTED_VALUE"""),1308982.0)</f>
        <v>1308982</v>
      </c>
      <c r="C7445" t="str">
        <f>IFERROR(__xludf.DUMMYFUNCTION("""COMPUTED_VALUE"""),"Mineração de Regras de Associação com Python, Apriori e SQL")</f>
        <v>Mineração de Regras de Associação com Python, Apriori e SQL</v>
      </c>
    </row>
    <row r="7446">
      <c r="A7446" s="140" t="str">
        <f>IFERROR(__xludf.DUMMYFUNCTION("""COMPUTED_VALUE"""),"tr")</f>
        <v>tr</v>
      </c>
      <c r="B7446">
        <f>IFERROR(__xludf.DUMMYFUNCTION("""COMPUTED_VALUE"""),2332172.0)</f>
        <v>2332172</v>
      </c>
      <c r="C7446" t="str">
        <f>IFERROR(__xludf.DUMMYFUNCTION("""COMPUTED_VALUE"""),"Deep Learning ve Python: İleri Seviye Derin Öğrenme (5.1)")</f>
        <v>Deep Learning ve Python: İleri Seviye Derin Öğrenme (5.1)</v>
      </c>
    </row>
    <row r="7447">
      <c r="A7447" s="140" t="str">
        <f>IFERROR(__xludf.DUMMYFUNCTION("""COMPUTED_VALUE"""),"ja")</f>
        <v>ja</v>
      </c>
      <c r="B7447">
        <f>IFERROR(__xludf.DUMMYFUNCTION("""COMPUTED_VALUE"""),3939188.0)</f>
        <v>3939188</v>
      </c>
      <c r="C7447" t="str">
        <f>IFERROR(__xludf.DUMMYFUNCTION("""COMPUTED_VALUE"""),"メンバーの主体性を引き出す「1on1 ミーティング」")</f>
        <v>メンバーの主体性を引き出す「1on1 ミーティング」</v>
      </c>
    </row>
    <row r="7448">
      <c r="A7448" s="140" t="str">
        <f>IFERROR(__xludf.DUMMYFUNCTION("""COMPUTED_VALUE"""),"es")</f>
        <v>es</v>
      </c>
      <c r="B7448">
        <f>IFERROR(__xludf.DUMMYFUNCTION("""COMPUTED_VALUE"""),1779670.0)</f>
        <v>1779670</v>
      </c>
      <c r="C7448" t="str">
        <f>IFERROR(__xludf.DUMMYFUNCTION("""COMPUTED_VALUE"""),"Serverless en Español con AWS y Serverless Framework")</f>
        <v>Serverless en Español con AWS y Serverless Framework</v>
      </c>
    </row>
    <row r="7449">
      <c r="A7449" s="140" t="str">
        <f>IFERROR(__xludf.DUMMYFUNCTION("""COMPUTED_VALUE"""),"ja")</f>
        <v>ja</v>
      </c>
      <c r="B7449">
        <f>IFERROR(__xludf.DUMMYFUNCTION("""COMPUTED_VALUE"""),831426.0)</f>
        <v>831426</v>
      </c>
      <c r="C7449" t="str">
        <f>IFERROR(__xludf.DUMMYFUNCTION("""COMPUTED_VALUE"""),"【日商簿記対応・プロが教える・最速】会計・簿記の基礎知識をわかりやすく、 図・動画・グラフィックを駆使して学ぶ講座")</f>
        <v>【日商簿記対応・プロが教える・最速】会計・簿記の基礎知識をわかりやすく、 図・動画・グラフィックを駆使して学ぶ講座</v>
      </c>
    </row>
    <row r="7450">
      <c r="A7450" s="140" t="str">
        <f>IFERROR(__xludf.DUMMYFUNCTION("""COMPUTED_VALUE"""),"ja")</f>
        <v>ja</v>
      </c>
      <c r="B7450">
        <f>IFERROR(__xludf.DUMMYFUNCTION("""COMPUTED_VALUE"""),3062302.0)</f>
        <v>3062302</v>
      </c>
      <c r="C7450" t="str">
        <f>IFERROR(__xludf.DUMMYFUNCTION("""COMPUTED_VALUE"""),"たっぷりの練習問題を楽しみながら学ぶPython講座")</f>
        <v>たっぷりの練習問題を楽しみながら学ぶPython講座</v>
      </c>
    </row>
    <row r="7451">
      <c r="A7451" s="140" t="str">
        <f>IFERROR(__xludf.DUMMYFUNCTION("""COMPUTED_VALUE"""),"en")</f>
        <v>en</v>
      </c>
      <c r="B7451">
        <f>IFERROR(__xludf.DUMMYFUNCTION("""COMPUTED_VALUE"""),3816886.0)</f>
        <v>3816886</v>
      </c>
      <c r="C7451" t="str">
        <f>IFERROR(__xludf.DUMMYFUNCTION("""COMPUTED_VALUE"""),"Fraud Risk Analytics (Excel &amp; AI based tools) and Prevention")</f>
        <v>Fraud Risk Analytics (Excel &amp; AI based tools) and Prevention</v>
      </c>
    </row>
    <row r="7452">
      <c r="A7452" s="140" t="str">
        <f>IFERROR(__xludf.DUMMYFUNCTION("""COMPUTED_VALUE"""),"en")</f>
        <v>en</v>
      </c>
      <c r="B7452">
        <f>IFERROR(__xludf.DUMMYFUNCTION("""COMPUTED_VALUE"""),1967226.0)</f>
        <v>1967226</v>
      </c>
      <c r="C7452" t="str">
        <f>IFERROR(__xludf.DUMMYFUNCTION("""COMPUTED_VALUE"""),"Loadrunner 12.50 SAPGUI Protocol scripting")</f>
        <v>Loadrunner 12.50 SAPGUI Protocol scripting</v>
      </c>
    </row>
    <row r="7453">
      <c r="A7453" s="140" t="str">
        <f>IFERROR(__xludf.DUMMYFUNCTION("""COMPUTED_VALUE"""),"de")</f>
        <v>de</v>
      </c>
      <c r="B7453">
        <f>IFERROR(__xludf.DUMMYFUNCTION("""COMPUTED_VALUE"""),904186.0)</f>
        <v>904186</v>
      </c>
      <c r="C7453" t="str">
        <f>IFERROR(__xludf.DUMMYFUNCTION("""COMPUTED_VALUE"""),"IT-Sicherheit: Entwickle sicherere Anwendungen!")</f>
        <v>IT-Sicherheit: Entwickle sicherere Anwendungen!</v>
      </c>
    </row>
    <row r="7454">
      <c r="A7454" s="140" t="str">
        <f>IFERROR(__xludf.DUMMYFUNCTION("""COMPUTED_VALUE"""),"en")</f>
        <v>en</v>
      </c>
      <c r="B7454">
        <f>IFERROR(__xludf.DUMMYFUNCTION("""COMPUTED_VALUE"""),1387534.0)</f>
        <v>1387534</v>
      </c>
      <c r="C7454" t="str">
        <f>IFERROR(__xludf.DUMMYFUNCTION("""COMPUTED_VALUE"""),"GIT: Advanced commands")</f>
        <v>GIT: Advanced commands</v>
      </c>
    </row>
    <row r="7455">
      <c r="A7455" s="140" t="str">
        <f>IFERROR(__xludf.DUMMYFUNCTION("""COMPUTED_VALUE"""),"en")</f>
        <v>en</v>
      </c>
      <c r="B7455">
        <f>IFERROR(__xludf.DUMMYFUNCTION("""COMPUTED_VALUE"""),352440.0)</f>
        <v>352440</v>
      </c>
      <c r="C7455" t="str">
        <f>IFERROR(__xludf.DUMMYFUNCTION("""COMPUTED_VALUE"""),"Agile PM 101 - Learn the Truth About Agile versus Waterfall")</f>
        <v>Agile PM 101 - Learn the Truth About Agile versus Waterfall</v>
      </c>
    </row>
    <row r="7456">
      <c r="A7456" s="140" t="str">
        <f>IFERROR(__xludf.DUMMYFUNCTION("""COMPUTED_VALUE"""),"en")</f>
        <v>en</v>
      </c>
      <c r="B7456">
        <f>IFERROR(__xludf.DUMMYFUNCTION("""COMPUTED_VALUE"""),1860210.0)</f>
        <v>1860210</v>
      </c>
      <c r="C7456" t="str">
        <f>IFERROR(__xludf.DUMMYFUNCTION("""COMPUTED_VALUE"""),"Master Dynamics 365 Solutions, Forms, Views &amp; Visualizations")</f>
        <v>Master Dynamics 365 Solutions, Forms, Views &amp; Visualizations</v>
      </c>
    </row>
    <row r="7457">
      <c r="A7457" s="140" t="str">
        <f>IFERROR(__xludf.DUMMYFUNCTION("""COMPUTED_VALUE"""),"en")</f>
        <v>en</v>
      </c>
      <c r="B7457">
        <f>IFERROR(__xludf.DUMMYFUNCTION("""COMPUTED_VALUE"""),3744496.0)</f>
        <v>3744496</v>
      </c>
      <c r="C7457" t="str">
        <f>IFERROR(__xludf.DUMMYFUNCTION("""COMPUTED_VALUE"""),"Azure SQL Server for Beginners part 2 of 2")</f>
        <v>Azure SQL Server for Beginners part 2 of 2</v>
      </c>
    </row>
    <row r="7458">
      <c r="A7458" s="140" t="str">
        <f>IFERROR(__xludf.DUMMYFUNCTION("""COMPUTED_VALUE"""),"pt")</f>
        <v>pt</v>
      </c>
      <c r="B7458">
        <f>IFERROR(__xludf.DUMMYFUNCTION("""COMPUTED_VALUE"""),1590710.0)</f>
        <v>1590710</v>
      </c>
      <c r="C7458" t="str">
        <f>IFERROR(__xludf.DUMMYFUNCTION("""COMPUTED_VALUE"""),"PNL em Vendas - Como Vender Valor (e não o preço)")</f>
        <v>PNL em Vendas - Como Vender Valor (e não o preço)</v>
      </c>
    </row>
    <row r="7459">
      <c r="A7459" s="140" t="str">
        <f>IFERROR(__xludf.DUMMYFUNCTION("""COMPUTED_VALUE"""),"pt")</f>
        <v>pt</v>
      </c>
      <c r="B7459">
        <f>IFERROR(__xludf.DUMMYFUNCTION("""COMPUTED_VALUE"""),2454284.0)</f>
        <v>2454284</v>
      </c>
      <c r="C7459" t="str">
        <f>IFERROR(__xludf.DUMMYFUNCTION("""COMPUTED_VALUE"""),"EAP - Estrutura Analítica de um Projeto")</f>
        <v>EAP - Estrutura Analítica de um Projeto</v>
      </c>
    </row>
    <row r="7460">
      <c r="A7460" s="140" t="str">
        <f>IFERROR(__xludf.DUMMYFUNCTION("""COMPUTED_VALUE"""),"ja")</f>
        <v>ja</v>
      </c>
      <c r="B7460">
        <f>IFERROR(__xludf.DUMMYFUNCTION("""COMPUTED_VALUE"""),4012716.0)</f>
        <v>4012716</v>
      </c>
      <c r="C7460" t="str">
        <f>IFERROR(__xludf.DUMMYFUNCTION("""COMPUTED_VALUE"""),"＜UB確認テスト＞【数字を味方につける：初級編】ビジネスの現場で使えるデータ分析")</f>
        <v>＜UB確認テスト＞【数字を味方につける：初級編】ビジネスの現場で使えるデータ分析</v>
      </c>
    </row>
    <row r="7461">
      <c r="A7461" s="140" t="str">
        <f>IFERROR(__xludf.DUMMYFUNCTION("""COMPUTED_VALUE"""),"es")</f>
        <v>es</v>
      </c>
      <c r="B7461">
        <f>IFERROR(__xludf.DUMMYFUNCTION("""COMPUTED_VALUE"""),1286938.0)</f>
        <v>1286938</v>
      </c>
      <c r="C7461" t="str">
        <f>IFERROR(__xludf.DUMMYFUNCTION("""COMPUTED_VALUE"""),"jQuery Avanzado - 100 trucos profesionales")</f>
        <v>jQuery Avanzado - 100 trucos profesionales</v>
      </c>
    </row>
    <row r="7462">
      <c r="A7462" s="140" t="str">
        <f>IFERROR(__xludf.DUMMYFUNCTION("""COMPUTED_VALUE"""),"en")</f>
        <v>en</v>
      </c>
      <c r="B7462">
        <f>IFERROR(__xludf.DUMMYFUNCTION("""COMPUTED_VALUE"""),963844.0)</f>
        <v>963844</v>
      </c>
      <c r="C7462" t="str">
        <f>IFERROR(__xludf.DUMMYFUNCTION("""COMPUTED_VALUE"""),"Editing Mastery: How To Edit Writing To Perfection")</f>
        <v>Editing Mastery: How To Edit Writing To Perfection</v>
      </c>
    </row>
    <row r="7463">
      <c r="A7463" s="140" t="str">
        <f>IFERROR(__xludf.DUMMYFUNCTION("""COMPUTED_VALUE"""),"pt")</f>
        <v>pt</v>
      </c>
      <c r="B7463">
        <f>IFERROR(__xludf.DUMMYFUNCTION("""COMPUTED_VALUE"""),1742940.0)</f>
        <v>1742940</v>
      </c>
      <c r="C7463" t="str">
        <f>IFERROR(__xludf.DUMMYFUNCTION("""COMPUTED_VALUE"""),"Acelerador de Vendas - Argumentos que Vendem Mais")</f>
        <v>Acelerador de Vendas - Argumentos que Vendem Mais</v>
      </c>
    </row>
    <row r="7464">
      <c r="A7464" s="140" t="str">
        <f>IFERROR(__xludf.DUMMYFUNCTION("""COMPUTED_VALUE"""),"es")</f>
        <v>es</v>
      </c>
      <c r="B7464">
        <f>IFERROR(__xludf.DUMMYFUNCTION("""COMPUTED_VALUE"""),448168.0)</f>
        <v>448168</v>
      </c>
      <c r="C7464" t="str">
        <f>IFERROR(__xludf.DUMMYFUNCTION("""COMPUTED_VALUE"""),"Introducción al Testing de Software: para Principiantes!")</f>
        <v>Introducción al Testing de Software: para Principiantes!</v>
      </c>
    </row>
    <row r="7465">
      <c r="A7465" s="140" t="str">
        <f>IFERROR(__xludf.DUMMYFUNCTION("""COMPUTED_VALUE"""),"ko")</f>
        <v>ko</v>
      </c>
      <c r="B7465">
        <f>IFERROR(__xludf.DUMMYFUNCTION("""COMPUTED_VALUE"""),805184.0)</f>
        <v>805184</v>
      </c>
      <c r="C7465" t="str">
        <f>IFERROR(__xludf.DUMMYFUNCTION("""COMPUTED_VALUE"""),"프로그래밍 입문자를 위한 오브젝티브C")</f>
        <v>프로그래밍 입문자를 위한 오브젝티브C</v>
      </c>
    </row>
    <row r="7466">
      <c r="A7466" s="140" t="str">
        <f>IFERROR(__xludf.DUMMYFUNCTION("""COMPUTED_VALUE"""),"es")</f>
        <v>es</v>
      </c>
      <c r="B7466">
        <f>IFERROR(__xludf.DUMMYFUNCTION("""COMPUTED_VALUE"""),2605244.0)</f>
        <v>2605244</v>
      </c>
      <c r="C7466" t="str">
        <f>IFERROR(__xludf.DUMMYFUNCTION("""COMPUTED_VALUE"""),"Introduccion a la Estructura de Datos y Algoritmos con Java")</f>
        <v>Introduccion a la Estructura de Datos y Algoritmos con Java</v>
      </c>
    </row>
    <row r="7467">
      <c r="A7467" s="140" t="str">
        <f>IFERROR(__xludf.DUMMYFUNCTION("""COMPUTED_VALUE"""),"en")</f>
        <v>en</v>
      </c>
      <c r="B7467">
        <f>IFERROR(__xludf.DUMMYFUNCTION("""COMPUTED_VALUE"""),4098796.0)</f>
        <v>4098796</v>
      </c>
      <c r="C7467" t="str">
        <f>IFERROR(__xludf.DUMMYFUNCTION("""COMPUTED_VALUE"""),"Smart Tips: Manager as Coach")</f>
        <v>Smart Tips: Manager as Coach</v>
      </c>
    </row>
    <row r="7468">
      <c r="A7468" s="140" t="str">
        <f>IFERROR(__xludf.DUMMYFUNCTION("""COMPUTED_VALUE"""),"en")</f>
        <v>en</v>
      </c>
      <c r="B7468">
        <f>IFERROR(__xludf.DUMMYFUNCTION("""COMPUTED_VALUE"""),919190.0)</f>
        <v>919190</v>
      </c>
      <c r="C7468" t="str">
        <f>IFERROR(__xludf.DUMMYFUNCTION("""COMPUTED_VALUE"""),"IT Contracting Bootcamp")</f>
        <v>IT Contracting Bootcamp</v>
      </c>
    </row>
    <row r="7469">
      <c r="A7469" s="140" t="str">
        <f>IFERROR(__xludf.DUMMYFUNCTION("""COMPUTED_VALUE"""),"en")</f>
        <v>en</v>
      </c>
      <c r="B7469">
        <f>IFERROR(__xludf.DUMMYFUNCTION("""COMPUTED_VALUE"""),921168.0)</f>
        <v>921168</v>
      </c>
      <c r="C7469" t="str">
        <f>IFERROR(__xludf.DUMMYFUNCTION("""COMPUTED_VALUE"""),"Android Material Design")</f>
        <v>Android Material Design</v>
      </c>
    </row>
    <row r="7470">
      <c r="A7470" s="140" t="str">
        <f>IFERROR(__xludf.DUMMYFUNCTION("""COMPUTED_VALUE"""),"en")</f>
        <v>en</v>
      </c>
      <c r="B7470">
        <f>IFERROR(__xludf.DUMMYFUNCTION("""COMPUTED_VALUE"""),384458.0)</f>
        <v>384458</v>
      </c>
      <c r="C7470" t="str">
        <f>IFERROR(__xludf.DUMMYFUNCTION("""COMPUTED_VALUE"""),"Hadoop Developer In Real World")</f>
        <v>Hadoop Developer In Real World</v>
      </c>
    </row>
    <row r="7471">
      <c r="A7471" s="140" t="str">
        <f>IFERROR(__xludf.DUMMYFUNCTION("""COMPUTED_VALUE"""),"en")</f>
        <v>en</v>
      </c>
      <c r="B7471">
        <f>IFERROR(__xludf.DUMMYFUNCTION("""COMPUTED_VALUE"""),2022294.0)</f>
        <v>2022294</v>
      </c>
      <c r="C7471" t="str">
        <f>IFERROR(__xludf.DUMMYFUNCTION("""COMPUTED_VALUE"""),"Jenkins, From Zero To Hero: Become a DevOps Jenkins Master")</f>
        <v>Jenkins, From Zero To Hero: Become a DevOps Jenkins Master</v>
      </c>
    </row>
    <row r="7472">
      <c r="A7472" s="140" t="str">
        <f>IFERROR(__xludf.DUMMYFUNCTION("""COMPUTED_VALUE"""),"fr")</f>
        <v>fr</v>
      </c>
      <c r="B7472">
        <f>IFERROR(__xludf.DUMMYFUNCTION("""COMPUTED_VALUE"""),1965698.0)</f>
        <v>1965698</v>
      </c>
      <c r="C7472" t="str">
        <f>IFERROR(__xludf.DUMMYFUNCTION("""COMPUTED_VALUE"""),"CCNA3 : Route Statique - OSPF - Adressage IPv6 - Wifi")</f>
        <v>CCNA3 : Route Statique - OSPF - Adressage IPv6 - Wifi</v>
      </c>
    </row>
    <row r="7473">
      <c r="A7473" s="140" t="str">
        <f>IFERROR(__xludf.DUMMYFUNCTION("""COMPUTED_VALUE"""),"de")</f>
        <v>de</v>
      </c>
      <c r="B7473">
        <f>IFERROR(__xludf.DUMMYFUNCTION("""COMPUTED_VALUE"""),1573650.0)</f>
        <v>1573650</v>
      </c>
      <c r="C7473" t="str">
        <f>IFERROR(__xludf.DUMMYFUNCTION("""COMPUTED_VALUE"""),"Webinar Marketing: Erstelle Professionelle Webinar Funnels")</f>
        <v>Webinar Marketing: Erstelle Professionelle Webinar Funnels</v>
      </c>
    </row>
    <row r="7474">
      <c r="A7474" s="140" t="str">
        <f>IFERROR(__xludf.DUMMYFUNCTION("""COMPUTED_VALUE"""),"en")</f>
        <v>en</v>
      </c>
      <c r="B7474">
        <f>IFERROR(__xludf.DUMMYFUNCTION("""COMPUTED_VALUE"""),2501808.0)</f>
        <v>2501808</v>
      </c>
      <c r="C7474" t="str">
        <f>IFERROR(__xludf.DUMMYFUNCTION("""COMPUTED_VALUE"""),"Complete Eye Yoga Course: Improve Your Eyesight - Face Yoga")</f>
        <v>Complete Eye Yoga Course: Improve Your Eyesight - Face Yoga</v>
      </c>
    </row>
    <row r="7475">
      <c r="A7475" s="140" t="str">
        <f>IFERROR(__xludf.DUMMYFUNCTION("""COMPUTED_VALUE"""),"en")</f>
        <v>en</v>
      </c>
      <c r="B7475">
        <f>IFERROR(__xludf.DUMMYFUNCTION("""COMPUTED_VALUE"""),1573940.0)</f>
        <v>1573940</v>
      </c>
      <c r="C7475" t="str">
        <f>IFERROR(__xludf.DUMMYFUNCTION("""COMPUTED_VALUE"""),"Oracle Database Administration Cloud Backup and Recovery")</f>
        <v>Oracle Database Administration Cloud Backup and Recovery</v>
      </c>
    </row>
    <row r="7476">
      <c r="A7476" s="140" t="str">
        <f>IFERROR(__xludf.DUMMYFUNCTION("""COMPUTED_VALUE"""),"en")</f>
        <v>en</v>
      </c>
      <c r="B7476">
        <f>IFERROR(__xludf.DUMMYFUNCTION("""COMPUTED_VALUE"""),1919064.0)</f>
        <v>1919064</v>
      </c>
      <c r="C7476" t="str">
        <f>IFERROR(__xludf.DUMMYFUNCTION("""COMPUTED_VALUE"""),"The Complete Hands-On Introduction to Apache Airflow")</f>
        <v>The Complete Hands-On Introduction to Apache Airflow</v>
      </c>
    </row>
    <row r="7477">
      <c r="A7477" s="140" t="str">
        <f>IFERROR(__xludf.DUMMYFUNCTION("""COMPUTED_VALUE"""),"en")</f>
        <v>en</v>
      </c>
      <c r="B7477">
        <f>IFERROR(__xludf.DUMMYFUNCTION("""COMPUTED_VALUE"""),695212.0)</f>
        <v>695212</v>
      </c>
      <c r="C7477" t="str">
        <f>IFERROR(__xludf.DUMMYFUNCTION("""COMPUTED_VALUE"""),"Soft Skills: The Complete Guide to Become a Respected Leader")</f>
        <v>Soft Skills: The Complete Guide to Become a Respected Leader</v>
      </c>
    </row>
    <row r="7478">
      <c r="A7478" s="140" t="str">
        <f>IFERROR(__xludf.DUMMYFUNCTION("""COMPUTED_VALUE"""),"en")</f>
        <v>en</v>
      </c>
      <c r="B7478">
        <f>IFERROR(__xludf.DUMMYFUNCTION("""COMPUTED_VALUE"""),2084006.0)</f>
        <v>2084006</v>
      </c>
      <c r="C7478" t="str">
        <f>IFERROR(__xludf.DUMMYFUNCTION("""COMPUTED_VALUE"""),"Health Data 101")</f>
        <v>Health Data 101</v>
      </c>
    </row>
    <row r="7479">
      <c r="A7479" s="140" t="str">
        <f>IFERROR(__xludf.DUMMYFUNCTION("""COMPUTED_VALUE"""),"tr")</f>
        <v>tr</v>
      </c>
      <c r="B7479">
        <f>IFERROR(__xludf.DUMMYFUNCTION("""COMPUTED_VALUE"""),2879528.0)</f>
        <v>2879528</v>
      </c>
      <c r="C7479" t="str">
        <f>IFERROR(__xludf.DUMMYFUNCTION("""COMPUTED_VALUE"""),"0'dan İleri Seviyeye Tam Paket Dart+Flutter+Firebase Eğitimi")</f>
        <v>0'dan İleri Seviyeye Tam Paket Dart+Flutter+Firebase Eğitimi</v>
      </c>
    </row>
    <row r="7480">
      <c r="A7480" s="140" t="str">
        <f>IFERROR(__xludf.DUMMYFUNCTION("""COMPUTED_VALUE"""),"tr")</f>
        <v>tr</v>
      </c>
      <c r="B7480">
        <f>IFERROR(__xludf.DUMMYFUNCTION("""COMPUTED_VALUE"""),3573075.0)</f>
        <v>3573075</v>
      </c>
      <c r="C7480" t="str">
        <f>IFERROR(__xludf.DUMMYFUNCTION("""COMPUTED_VALUE"""),"A'dan Z'ye Finans Eğitimi")</f>
        <v>A'dan Z'ye Finans Eğitimi</v>
      </c>
    </row>
    <row r="7481">
      <c r="A7481" s="140" t="str">
        <f>IFERROR(__xludf.DUMMYFUNCTION("""COMPUTED_VALUE"""),"de")</f>
        <v>de</v>
      </c>
      <c r="B7481">
        <f>IFERROR(__xludf.DUMMYFUNCTION("""COMPUTED_VALUE"""),3821144.0)</f>
        <v>3821144</v>
      </c>
      <c r="C7481" t="str">
        <f>IFERROR(__xludf.DUMMYFUNCTION("""COMPUTED_VALUE"""),"Digitale Zusammenarbeit im Homeoffice | Überblick &amp; 15 Tools")</f>
        <v>Digitale Zusammenarbeit im Homeoffice | Überblick &amp; 15 Tools</v>
      </c>
    </row>
    <row r="7482">
      <c r="A7482" s="140" t="str">
        <f>IFERROR(__xludf.DUMMYFUNCTION("""COMPUTED_VALUE"""),"en")</f>
        <v>en</v>
      </c>
      <c r="B7482">
        <f>IFERROR(__xludf.DUMMYFUNCTION("""COMPUTED_VALUE"""),1068974.0)</f>
        <v>1068974</v>
      </c>
      <c r="C7482" t="str">
        <f>IFERROR(__xludf.DUMMYFUNCTION("""COMPUTED_VALUE"""),"Basic Cellular Networks Operator Course")</f>
        <v>Basic Cellular Networks Operator Course</v>
      </c>
    </row>
    <row r="7483">
      <c r="A7483" s="140" t="str">
        <f>IFERROR(__xludf.DUMMYFUNCTION("""COMPUTED_VALUE"""),"en")</f>
        <v>en</v>
      </c>
      <c r="B7483">
        <f>IFERROR(__xludf.DUMMYFUNCTION("""COMPUTED_VALUE"""),1094964.0)</f>
        <v>1094964</v>
      </c>
      <c r="C7483" t="str">
        <f>IFERROR(__xludf.DUMMYFUNCTION("""COMPUTED_VALUE"""),"Build a Backend REST API with Python &amp; Django - Beginner")</f>
        <v>Build a Backend REST API with Python &amp; Django - Beginner</v>
      </c>
    </row>
    <row r="7484">
      <c r="A7484" s="140" t="str">
        <f>IFERROR(__xludf.DUMMYFUNCTION("""COMPUTED_VALUE"""),"en")</f>
        <v>en</v>
      </c>
      <c r="B7484">
        <f>IFERROR(__xludf.DUMMYFUNCTION("""COMPUTED_VALUE"""),1329846.0)</f>
        <v>1329846</v>
      </c>
      <c r="C7484" t="str">
        <f>IFERROR(__xludf.DUMMYFUNCTION("""COMPUTED_VALUE"""),"How to Manage by Delegating (So You Can Achieve Your Goals)!")</f>
        <v>How to Manage by Delegating (So You Can Achieve Your Goals)!</v>
      </c>
    </row>
    <row r="7485">
      <c r="A7485" s="140" t="str">
        <f>IFERROR(__xludf.DUMMYFUNCTION("""COMPUTED_VALUE"""),"en")</f>
        <v>en</v>
      </c>
      <c r="B7485">
        <f>IFERROR(__xludf.DUMMYFUNCTION("""COMPUTED_VALUE"""),3140430.0)</f>
        <v>3140430</v>
      </c>
      <c r="C7485" t="str">
        <f>IFERROR(__xludf.DUMMYFUNCTION("""COMPUTED_VALUE"""),"Supply Chain mistakes to avoid in a Manufacturing Industry")</f>
        <v>Supply Chain mistakes to avoid in a Manufacturing Industry</v>
      </c>
    </row>
    <row r="7486">
      <c r="A7486" s="140" t="str">
        <f>IFERROR(__xludf.DUMMYFUNCTION("""COMPUTED_VALUE"""),"es")</f>
        <v>es</v>
      </c>
      <c r="B7486">
        <f>IFERROR(__xludf.DUMMYFUNCTION("""COMPUTED_VALUE"""),1302904.0)</f>
        <v>1302904</v>
      </c>
      <c r="C7486" t="str">
        <f>IFERROR(__xludf.DUMMYFUNCTION("""COMPUTED_VALUE"""),"Google Hacking - Aprende Búsquedas Avanzadas con Google")</f>
        <v>Google Hacking - Aprende Búsquedas Avanzadas con Google</v>
      </c>
    </row>
    <row r="7487">
      <c r="A7487" s="140" t="str">
        <f>IFERROR(__xludf.DUMMYFUNCTION("""COMPUTED_VALUE"""),"ja")</f>
        <v>ja</v>
      </c>
      <c r="B7487">
        <f>IFERROR(__xludf.DUMMYFUNCTION("""COMPUTED_VALUE"""),2436834.0)</f>
        <v>2436834</v>
      </c>
      <c r="C7487" t="str">
        <f>IFERROR(__xludf.DUMMYFUNCTION("""COMPUTED_VALUE"""),"Raspberry PiとPythonでIoTはじめの一歩～IoTキッチンガーデン講座～")</f>
        <v>Raspberry PiとPythonでIoTはじめの一歩～IoTキッチンガーデン講座～</v>
      </c>
    </row>
    <row r="7488">
      <c r="A7488" s="140" t="str">
        <f>IFERROR(__xludf.DUMMYFUNCTION("""COMPUTED_VALUE"""),"en")</f>
        <v>en</v>
      </c>
      <c r="B7488">
        <f>IFERROR(__xludf.DUMMYFUNCTION("""COMPUTED_VALUE"""),1682628.0)</f>
        <v>1682628</v>
      </c>
      <c r="C7488" t="str">
        <f>IFERROR(__xludf.DUMMYFUNCTION("""COMPUTED_VALUE"""),"Become An Expert At Microsoft Dynamics 365 Online Deployment")</f>
        <v>Become An Expert At Microsoft Dynamics 365 Online Deployment</v>
      </c>
    </row>
    <row r="7489">
      <c r="A7489" s="140" t="str">
        <f>IFERROR(__xludf.DUMMYFUNCTION("""COMPUTED_VALUE"""),"en")</f>
        <v>en</v>
      </c>
      <c r="B7489">
        <f>IFERROR(__xludf.DUMMYFUNCTION("""COMPUTED_VALUE"""),1573728.0)</f>
        <v>1573728</v>
      </c>
      <c r="C7489" t="str">
        <f>IFERROR(__xludf.DUMMYFUNCTION("""COMPUTED_VALUE"""),"Biotechnology Law: GMOs to Designer Babies")</f>
        <v>Biotechnology Law: GMOs to Designer Babies</v>
      </c>
    </row>
    <row r="7490">
      <c r="A7490" s="140" t="str">
        <f>IFERROR(__xludf.DUMMYFUNCTION("""COMPUTED_VALUE"""),"de")</f>
        <v>de</v>
      </c>
      <c r="B7490">
        <f>IFERROR(__xludf.DUMMYFUNCTION("""COMPUTED_VALUE"""),3269630.0)</f>
        <v>3269630</v>
      </c>
      <c r="C7490" t="str">
        <f>IFERROR(__xludf.DUMMYFUNCTION("""COMPUTED_VALUE"""),"Python: Data Science, Machine Learning, AI &amp; Neuronale Netze")</f>
        <v>Python: Data Science, Machine Learning, AI &amp; Neuronale Netze</v>
      </c>
    </row>
    <row r="7491">
      <c r="A7491" s="140" t="str">
        <f>IFERROR(__xludf.DUMMYFUNCTION("""COMPUTED_VALUE"""),"en")</f>
        <v>en</v>
      </c>
      <c r="B7491">
        <f>IFERROR(__xludf.DUMMYFUNCTION("""COMPUTED_VALUE"""),3881744.0)</f>
        <v>3881744</v>
      </c>
      <c r="C7491" t="str">
        <f>IFERROR(__xludf.DUMMYFUNCTION("""COMPUTED_VALUE"""),"Communication Skills - Learn How To Communicate Effectively")</f>
        <v>Communication Skills - Learn How To Communicate Effectively</v>
      </c>
    </row>
    <row r="7492">
      <c r="A7492" s="140" t="str">
        <f>IFERROR(__xludf.DUMMYFUNCTION("""COMPUTED_VALUE"""),"en")</f>
        <v>en</v>
      </c>
      <c r="B7492">
        <f>IFERROR(__xludf.DUMMYFUNCTION("""COMPUTED_VALUE"""),4051480.0)</f>
        <v>4051480</v>
      </c>
      <c r="C7492" t="str">
        <f>IFERROR(__xludf.DUMMYFUNCTION("""COMPUTED_VALUE"""),"Database Engineer/DBA - (PostgreSQL, IBM-DB2, MariaDB,NoSQL)")</f>
        <v>Database Engineer/DBA - (PostgreSQL, IBM-DB2, MariaDB,NoSQL)</v>
      </c>
    </row>
    <row r="7493">
      <c r="A7493" s="140" t="str">
        <f>IFERROR(__xludf.DUMMYFUNCTION("""COMPUTED_VALUE"""),"en")</f>
        <v>en</v>
      </c>
      <c r="B7493">
        <f>IFERROR(__xludf.DUMMYFUNCTION("""COMPUTED_VALUE"""),1829188.0)</f>
        <v>1829188</v>
      </c>
      <c r="C7493" t="str">
        <f>IFERROR(__xludf.DUMMYFUNCTION("""COMPUTED_VALUE"""),"70-462: SQL Server Database Administration (DBA)")</f>
        <v>70-462: SQL Server Database Administration (DBA)</v>
      </c>
    </row>
    <row r="7494">
      <c r="A7494" s="140" t="str">
        <f>IFERROR(__xludf.DUMMYFUNCTION("""COMPUTED_VALUE"""),"en")</f>
        <v>en</v>
      </c>
      <c r="B7494">
        <f>IFERROR(__xludf.DUMMYFUNCTION("""COMPUTED_VALUE"""),2235470.0)</f>
        <v>2235470</v>
      </c>
      <c r="C7494" t="str">
        <f>IFERROR(__xludf.DUMMYFUNCTION("""COMPUTED_VALUE"""),"Python for Time Series Data Analysis")</f>
        <v>Python for Time Series Data Analysis</v>
      </c>
    </row>
    <row r="7495">
      <c r="A7495" s="140" t="str">
        <f>IFERROR(__xludf.DUMMYFUNCTION("""COMPUTED_VALUE"""),"fr")</f>
        <v>fr</v>
      </c>
      <c r="B7495">
        <f>IFERROR(__xludf.DUMMYFUNCTION("""COMPUTED_VALUE"""),875724.0)</f>
        <v>875724</v>
      </c>
      <c r="C7495" t="str">
        <f>IFERROR(__xludf.DUMMYFUNCTION("""COMPUTED_VALUE"""),"Marketing Digital et Réseaux Sociaux : le Guide Complet 2021")</f>
        <v>Marketing Digital et Réseaux Sociaux : le Guide Complet 2021</v>
      </c>
    </row>
    <row r="7496">
      <c r="A7496" s="140" t="str">
        <f>IFERROR(__xludf.DUMMYFUNCTION("""COMPUTED_VALUE"""),"en")</f>
        <v>en</v>
      </c>
      <c r="B7496">
        <f>IFERROR(__xludf.DUMMYFUNCTION("""COMPUTED_VALUE"""),863086.0)</f>
        <v>863086</v>
      </c>
      <c r="C7496" t="str">
        <f>IFERROR(__xludf.DUMMYFUNCTION("""COMPUTED_VALUE"""),"SAP Crystal Reports 2016 - An Introduction")</f>
        <v>SAP Crystal Reports 2016 - An Introduction</v>
      </c>
    </row>
    <row r="7497">
      <c r="A7497" s="140" t="str">
        <f>IFERROR(__xludf.DUMMYFUNCTION("""COMPUTED_VALUE"""),"es")</f>
        <v>es</v>
      </c>
      <c r="B7497">
        <f>IFERROR(__xludf.DUMMYFUNCTION("""COMPUTED_VALUE"""),3683272.0)</f>
        <v>3683272</v>
      </c>
      <c r="C7497" t="str">
        <f>IFERROR(__xludf.DUMMYFUNCTION("""COMPUTED_VALUE"""),"Inteligencia Artificial y Deep Learning desde cero en Python")</f>
        <v>Inteligencia Artificial y Deep Learning desde cero en Python</v>
      </c>
    </row>
    <row r="7498">
      <c r="A7498" s="140" t="str">
        <f>IFERROR(__xludf.DUMMYFUNCTION("""COMPUTED_VALUE"""),"en")</f>
        <v>en</v>
      </c>
      <c r="B7498">
        <f>IFERROR(__xludf.DUMMYFUNCTION("""COMPUTED_VALUE"""),1612318.0)</f>
        <v>1612318</v>
      </c>
      <c r="C7498" t="str">
        <f>IFERROR(__xludf.DUMMYFUNCTION("""COMPUTED_VALUE"""),"Introduction to CNC Programming")</f>
        <v>Introduction to CNC Programming</v>
      </c>
    </row>
    <row r="7499">
      <c r="A7499" s="140" t="str">
        <f>IFERROR(__xludf.DUMMYFUNCTION("""COMPUTED_VALUE"""),"en")</f>
        <v>en</v>
      </c>
      <c r="B7499">
        <f>IFERROR(__xludf.DUMMYFUNCTION("""COMPUTED_VALUE"""),736606.0)</f>
        <v>736606</v>
      </c>
      <c r="C7499" t="str">
        <f>IFERROR(__xludf.DUMMYFUNCTION("""COMPUTED_VALUE"""),"Hebrew Grammar - Verbs Master Course")</f>
        <v>Hebrew Grammar - Verbs Master Course</v>
      </c>
    </row>
    <row r="7500">
      <c r="A7500" s="140" t="str">
        <f>IFERROR(__xludf.DUMMYFUNCTION("""COMPUTED_VALUE"""),"en")</f>
        <v>en</v>
      </c>
      <c r="B7500">
        <f>IFERROR(__xludf.DUMMYFUNCTION("""COMPUTED_VALUE"""),2079358.0)</f>
        <v>2079358</v>
      </c>
      <c r="C7500" t="str">
        <f>IFERROR(__xludf.DUMMYFUNCTION("""COMPUTED_VALUE"""),"Complete Data Wrangling &amp; Data Visualisation With Python")</f>
        <v>Complete Data Wrangling &amp; Data Visualisation With Python</v>
      </c>
    </row>
    <row r="7501">
      <c r="A7501" s="140" t="str">
        <f>IFERROR(__xludf.DUMMYFUNCTION("""COMPUTED_VALUE"""),"tr")</f>
        <v>tr</v>
      </c>
      <c r="B7501">
        <f>IFERROR(__xludf.DUMMYFUNCTION("""COMPUTED_VALUE"""),2653562.0)</f>
        <v>2653562</v>
      </c>
      <c r="C7501" t="str">
        <f>IFERROR(__xludf.DUMMYFUNCTION("""COMPUTED_VALUE"""),"OLASILIK")</f>
        <v>OLASILIK</v>
      </c>
    </row>
    <row r="7502">
      <c r="A7502" s="140" t="str">
        <f>IFERROR(__xludf.DUMMYFUNCTION("""COMPUTED_VALUE"""),"en")</f>
        <v>en</v>
      </c>
      <c r="B7502">
        <f>IFERROR(__xludf.DUMMYFUNCTION("""COMPUTED_VALUE"""),179820.0)</f>
        <v>179820</v>
      </c>
      <c r="C7502" t="str">
        <f>IFERROR(__xludf.DUMMYFUNCTION("""COMPUTED_VALUE"""),"Introduction to Futures &amp; Options")</f>
        <v>Introduction to Futures &amp; Options</v>
      </c>
    </row>
    <row r="7503">
      <c r="A7503" s="140" t="str">
        <f>IFERROR(__xludf.DUMMYFUNCTION("""COMPUTED_VALUE"""),"en")</f>
        <v>en</v>
      </c>
      <c r="B7503">
        <f>IFERROR(__xludf.DUMMYFUNCTION("""COMPUTED_VALUE"""),1040480.0)</f>
        <v>1040480</v>
      </c>
      <c r="C7503" t="str">
        <f>IFERROR(__xludf.DUMMYFUNCTION("""COMPUTED_VALUE"""),"Alteryx: Self-Service Analytics In Your Hands")</f>
        <v>Alteryx: Self-Service Analytics In Your Hands</v>
      </c>
    </row>
    <row r="7504">
      <c r="A7504" s="140" t="str">
        <f>IFERROR(__xludf.DUMMYFUNCTION("""COMPUTED_VALUE"""),"en")</f>
        <v>en</v>
      </c>
      <c r="B7504">
        <f>IFERROR(__xludf.DUMMYFUNCTION("""COMPUTED_VALUE"""),1387532.0)</f>
        <v>1387532</v>
      </c>
      <c r="C7504" t="str">
        <f>IFERROR(__xludf.DUMMYFUNCTION("""COMPUTED_VALUE"""),"GIT: Branching and Merging")</f>
        <v>GIT: Branching and Merging</v>
      </c>
    </row>
    <row r="7505">
      <c r="A7505" s="140" t="str">
        <f>IFERROR(__xludf.DUMMYFUNCTION("""COMPUTED_VALUE"""),"tr")</f>
        <v>tr</v>
      </c>
      <c r="B7505">
        <f>IFERROR(__xludf.DUMMYFUNCTION("""COMPUTED_VALUE"""),1699072.0)</f>
        <v>1699072</v>
      </c>
      <c r="C7505" t="str">
        <f>IFERROR(__xludf.DUMMYFUNCTION("""COMPUTED_VALUE"""),"Polyworks Modeler ile tersine mühendisliğe giriş! 1.kısım")</f>
        <v>Polyworks Modeler ile tersine mühendisliğe giriş! 1.kısım</v>
      </c>
    </row>
    <row r="7506">
      <c r="A7506" s="140" t="str">
        <f>IFERROR(__xludf.DUMMYFUNCTION("""COMPUTED_VALUE"""),"en")</f>
        <v>en</v>
      </c>
      <c r="B7506">
        <f>IFERROR(__xludf.DUMMYFUNCTION("""COMPUTED_VALUE"""),3573825.0)</f>
        <v>3573825</v>
      </c>
      <c r="C7506" t="str">
        <f>IFERROR(__xludf.DUMMYFUNCTION("""COMPUTED_VALUE"""),"Snowflake SnowPro Core Certification Exam Practice Sets")</f>
        <v>Snowflake SnowPro Core Certification Exam Practice Sets</v>
      </c>
    </row>
    <row r="7507">
      <c r="A7507" s="140" t="str">
        <f>IFERROR(__xludf.DUMMYFUNCTION("""COMPUTED_VALUE"""),"es")</f>
        <v>es</v>
      </c>
      <c r="B7507">
        <f>IFERROR(__xludf.DUMMYFUNCTION("""COMPUTED_VALUE"""),1917610.0)</f>
        <v>1917610</v>
      </c>
      <c r="C7507" t="str">
        <f>IFERROR(__xludf.DUMMYFUNCTION("""COMPUTED_VALUE"""),"Modelización y análisis de inundaciones con Hec-RAS y ArcGIS")</f>
        <v>Modelización y análisis de inundaciones con Hec-RAS y ArcGIS</v>
      </c>
    </row>
    <row r="7508">
      <c r="A7508" s="140" t="str">
        <f>IFERROR(__xludf.DUMMYFUNCTION("""COMPUTED_VALUE"""),"en")</f>
        <v>en</v>
      </c>
      <c r="B7508">
        <f>IFERROR(__xludf.DUMMYFUNCTION("""COMPUTED_VALUE"""),704582.0)</f>
        <v>704582</v>
      </c>
      <c r="C7508" t="str">
        <f>IFERROR(__xludf.DUMMYFUNCTION("""COMPUTED_VALUE"""),"Jekyll: make fast, secure static sites and blogs with Jekyll")</f>
        <v>Jekyll: make fast, secure static sites and blogs with Jekyll</v>
      </c>
    </row>
    <row r="7509">
      <c r="A7509" s="140" t="str">
        <f>IFERROR(__xludf.DUMMYFUNCTION("""COMPUTED_VALUE"""),"de")</f>
        <v>de</v>
      </c>
      <c r="B7509">
        <f>IFERROR(__xludf.DUMMYFUNCTION("""COMPUTED_VALUE"""),1256794.0)</f>
        <v>1256794</v>
      </c>
      <c r="C7509" t="str">
        <f>IFERROR(__xludf.DUMMYFUNCTION("""COMPUTED_VALUE"""),"Umstieg auf Mac - macOS für Einsteiger")</f>
        <v>Umstieg auf Mac - macOS für Einsteiger</v>
      </c>
    </row>
    <row r="7510">
      <c r="A7510" s="140" t="str">
        <f>IFERROR(__xludf.DUMMYFUNCTION("""COMPUTED_VALUE"""),"es")</f>
        <v>es</v>
      </c>
      <c r="B7510">
        <f>IFERROR(__xludf.DUMMYFUNCTION("""COMPUTED_VALUE"""),1095436.0)</f>
        <v>1095436</v>
      </c>
      <c r="C7510" t="str">
        <f>IFERROR(__xludf.DUMMYFUNCTION("""COMPUTED_VALUE"""),"Aprende MacOS a Fondo")</f>
        <v>Aprende MacOS a Fondo</v>
      </c>
    </row>
    <row r="7511">
      <c r="A7511" s="140" t="str">
        <f>IFERROR(__xludf.DUMMYFUNCTION("""COMPUTED_VALUE"""),"de")</f>
        <v>de</v>
      </c>
      <c r="B7511">
        <f>IFERROR(__xludf.DUMMYFUNCTION("""COMPUTED_VALUE"""),1918966.0)</f>
        <v>1918966</v>
      </c>
      <c r="C7511" t="str">
        <f>IFERROR(__xludf.DUMMYFUNCTION("""COMPUTED_VALUE"""),"Der komplette Blender Kurs - Erstelle hochwertige 3D Modelle")</f>
        <v>Der komplette Blender Kurs - Erstelle hochwertige 3D Modelle</v>
      </c>
    </row>
    <row r="7512">
      <c r="A7512" s="140" t="str">
        <f>IFERROR(__xludf.DUMMYFUNCTION("""COMPUTED_VALUE"""),"en")</f>
        <v>en</v>
      </c>
      <c r="B7512">
        <f>IFERROR(__xludf.DUMMYFUNCTION("""COMPUTED_VALUE"""),1897848.0)</f>
        <v>1897848</v>
      </c>
      <c r="C7512" t="str">
        <f>IFERROR(__xludf.DUMMYFUNCTION("""COMPUTED_VALUE"""),"Teaching English as a Foreign Language TEFL")</f>
        <v>Teaching English as a Foreign Language TEFL</v>
      </c>
    </row>
    <row r="7513">
      <c r="A7513" s="140" t="str">
        <f>IFERROR(__xludf.DUMMYFUNCTION("""COMPUTED_VALUE"""),"en")</f>
        <v>en</v>
      </c>
      <c r="B7513">
        <f>IFERROR(__xludf.DUMMYFUNCTION("""COMPUTED_VALUE"""),1782908.0)</f>
        <v>1782908</v>
      </c>
      <c r="C7513" t="str">
        <f>IFERROR(__xludf.DUMMYFUNCTION("""COMPUTED_VALUE"""),"Communication Skills Machine: Master Persuasion &amp; Influence")</f>
        <v>Communication Skills Machine: Master Persuasion &amp; Influence</v>
      </c>
    </row>
    <row r="7514">
      <c r="A7514" s="140" t="str">
        <f>IFERROR(__xludf.DUMMYFUNCTION("""COMPUTED_VALUE"""),"en")</f>
        <v>en</v>
      </c>
      <c r="B7514">
        <f>IFERROR(__xludf.DUMMYFUNCTION("""COMPUTED_VALUE"""),1071124.0)</f>
        <v>1071124</v>
      </c>
      <c r="C7514" t="str">
        <f>IFERROR(__xludf.DUMMYFUNCTION("""COMPUTED_VALUE"""),"Quality Management Essentials Simplified")</f>
        <v>Quality Management Essentials Simplified</v>
      </c>
    </row>
    <row r="7515">
      <c r="A7515" s="140" t="str">
        <f>IFERROR(__xludf.DUMMYFUNCTION("""COMPUTED_VALUE"""),"en")</f>
        <v>en</v>
      </c>
      <c r="B7515">
        <f>IFERROR(__xludf.DUMMYFUNCTION("""COMPUTED_VALUE"""),2151486.0)</f>
        <v>2151486</v>
      </c>
      <c r="C7515" t="str">
        <f>IFERROR(__xludf.DUMMYFUNCTION("""COMPUTED_VALUE"""),"Software Testing Masterclass (2021) - From Novice to Expert")</f>
        <v>Software Testing Masterclass (2021) - From Novice to Expert</v>
      </c>
    </row>
    <row r="7516">
      <c r="A7516" s="140" t="str">
        <f>IFERROR(__xludf.DUMMYFUNCTION("""COMPUTED_VALUE"""),"en")</f>
        <v>en</v>
      </c>
      <c r="B7516">
        <f>IFERROR(__xludf.DUMMYFUNCTION("""COMPUTED_VALUE"""),1395566.0)</f>
        <v>1395566</v>
      </c>
      <c r="C7516" t="str">
        <f>IFERROR(__xludf.DUMMYFUNCTION("""COMPUTED_VALUE"""),"Cryptocurrency Investment Fundamentals | Buy, Sell &amp; Store")</f>
        <v>Cryptocurrency Investment Fundamentals | Buy, Sell &amp; Store</v>
      </c>
    </row>
    <row r="7517">
      <c r="A7517" s="140" t="str">
        <f>IFERROR(__xludf.DUMMYFUNCTION("""COMPUTED_VALUE"""),"en")</f>
        <v>en</v>
      </c>
      <c r="B7517">
        <f>IFERROR(__xludf.DUMMYFUNCTION("""COMPUTED_VALUE"""),260284.0)</f>
        <v>260284</v>
      </c>
      <c r="C7517" t="str">
        <f>IFERROR(__xludf.DUMMYFUNCTION("""COMPUTED_VALUE"""),"Chinese In 9 Weeks | Introduction Course")</f>
        <v>Chinese In 9 Weeks | Introduction Course</v>
      </c>
    </row>
    <row r="7518">
      <c r="A7518" s="140" t="str">
        <f>IFERROR(__xludf.DUMMYFUNCTION("""COMPUTED_VALUE"""),"pt")</f>
        <v>pt</v>
      </c>
      <c r="B7518">
        <f>IFERROR(__xludf.DUMMYFUNCTION("""COMPUTED_VALUE"""),3492690.0)</f>
        <v>3492690</v>
      </c>
      <c r="C7518" t="str">
        <f>IFERROR(__xludf.DUMMYFUNCTION("""COMPUTED_VALUE"""),"Estatística para Ciência de Dados e Machine Learning")</f>
        <v>Estatística para Ciência de Dados e Machine Learning</v>
      </c>
    </row>
    <row r="7519">
      <c r="A7519" s="140" t="str">
        <f>IFERROR(__xludf.DUMMYFUNCTION("""COMPUTED_VALUE"""),"pt")</f>
        <v>pt</v>
      </c>
      <c r="B7519">
        <f>IFERROR(__xludf.DUMMYFUNCTION("""COMPUTED_VALUE"""),3613650.0)</f>
        <v>3613650</v>
      </c>
      <c r="C7519" t="str">
        <f>IFERROR(__xludf.DUMMYFUNCTION("""COMPUTED_VALUE"""),"Comunicação e Oratória | O Guia COMPLETO + 3 Cursos Extras")</f>
        <v>Comunicação e Oratória | O Guia COMPLETO + 3 Cursos Extras</v>
      </c>
    </row>
    <row r="7520">
      <c r="A7520" s="140" t="str">
        <f>IFERROR(__xludf.DUMMYFUNCTION("""COMPUTED_VALUE"""),"en")</f>
        <v>en</v>
      </c>
      <c r="B7520">
        <f>IFERROR(__xludf.DUMMYFUNCTION("""COMPUTED_VALUE"""),665152.0)</f>
        <v>665152</v>
      </c>
      <c r="C7520" t="str">
        <f>IFERROR(__xludf.DUMMYFUNCTION("""COMPUTED_VALUE"""),"Mastering Agile Scrum Project Management")</f>
        <v>Mastering Agile Scrum Project Management</v>
      </c>
    </row>
    <row r="7521">
      <c r="A7521" s="140" t="str">
        <f>IFERROR(__xludf.DUMMYFUNCTION("""COMPUTED_VALUE"""),"en")</f>
        <v>en</v>
      </c>
      <c r="B7521">
        <f>IFERROR(__xludf.DUMMYFUNCTION("""COMPUTED_VALUE"""),798018.0)</f>
        <v>798018</v>
      </c>
      <c r="C7521" t="str">
        <f>IFERROR(__xludf.DUMMYFUNCTION("""COMPUTED_VALUE"""),"Become a Trigonometry &amp; Precalculus Master")</f>
        <v>Become a Trigonometry &amp; Precalculus Master</v>
      </c>
    </row>
    <row r="7522">
      <c r="A7522" s="140" t="str">
        <f>IFERROR(__xludf.DUMMYFUNCTION("""COMPUTED_VALUE"""),"tr")</f>
        <v>tr</v>
      </c>
      <c r="B7522">
        <f>IFERROR(__xludf.DUMMYFUNCTION("""COMPUTED_VALUE"""),2052421.0)</f>
        <v>2052421</v>
      </c>
      <c r="C7522" t="str">
        <f>IFERROR(__xludf.DUMMYFUNCTION("""COMPUTED_VALUE"""),"Sıfırdan Ustalığa Microsoft Excel Türkçe - Her Seviye")</f>
        <v>Sıfırdan Ustalığa Microsoft Excel Türkçe - Her Seviye</v>
      </c>
    </row>
    <row r="7523">
      <c r="A7523" s="140" t="str">
        <f>IFERROR(__xludf.DUMMYFUNCTION("""COMPUTED_VALUE"""),"en")</f>
        <v>en</v>
      </c>
      <c r="B7523">
        <f>IFERROR(__xludf.DUMMYFUNCTION("""COMPUTED_VALUE"""),181524.0)</f>
        <v>181524</v>
      </c>
      <c r="C7523" t="str">
        <f>IFERROR(__xludf.DUMMYFUNCTION("""COMPUTED_VALUE"""),"Eye-catching presentations using PowerPoint 2013")</f>
        <v>Eye-catching presentations using PowerPoint 2013</v>
      </c>
    </row>
    <row r="7524">
      <c r="A7524" s="140" t="str">
        <f>IFERROR(__xludf.DUMMYFUNCTION("""COMPUTED_VALUE"""),"en")</f>
        <v>en</v>
      </c>
      <c r="B7524">
        <f>IFERROR(__xludf.DUMMYFUNCTION("""COMPUTED_VALUE"""),869448.0)</f>
        <v>869448</v>
      </c>
      <c r="C7524" t="str">
        <f>IFERROR(__xludf.DUMMYFUNCTION("""COMPUTED_VALUE"""),"Creating Interactive HTML5 Video")</f>
        <v>Creating Interactive HTML5 Video</v>
      </c>
    </row>
    <row r="7525">
      <c r="A7525" s="140" t="str">
        <f>IFERROR(__xludf.DUMMYFUNCTION("""COMPUTED_VALUE"""),"es")</f>
        <v>es</v>
      </c>
      <c r="B7525">
        <f>IFERROR(__xludf.DUMMYFUNCTION("""COMPUTED_VALUE"""),1827544.0)</f>
        <v>1827544</v>
      </c>
      <c r="C7525" t="str">
        <f>IFERROR(__xludf.DUMMYFUNCTION("""COMPUTED_VALUE"""),"Finanzas Basicas: Aprende usando Excel")</f>
        <v>Finanzas Basicas: Aprende usando Excel</v>
      </c>
    </row>
    <row r="7526">
      <c r="A7526" s="140" t="str">
        <f>IFERROR(__xludf.DUMMYFUNCTION("""COMPUTED_VALUE"""),"tr")</f>
        <v>tr</v>
      </c>
      <c r="B7526">
        <f>IFERROR(__xludf.DUMMYFUNCTION("""COMPUTED_VALUE"""),1380990.0)</f>
        <v>1380990</v>
      </c>
      <c r="C7526" t="str">
        <f>IFERROR(__xludf.DUMMYFUNCTION("""COMPUTED_VALUE"""),"Adobe Illustrator CC 2021: En Temelden İleri Seviyeye")</f>
        <v>Adobe Illustrator CC 2021: En Temelden İleri Seviyeye</v>
      </c>
    </row>
    <row r="7527">
      <c r="A7527" s="140" t="str">
        <f>IFERROR(__xludf.DUMMYFUNCTION("""COMPUTED_VALUE"""),"fr")</f>
        <v>fr</v>
      </c>
      <c r="B7527">
        <f>IFERROR(__xludf.DUMMYFUNCTION("""COMPUTED_VALUE"""),2777804.0)</f>
        <v>2777804</v>
      </c>
      <c r="C7527" t="str">
        <f>IFERROR(__xludf.DUMMYFUNCTION("""COMPUTED_VALUE"""),"Spark avec Scala - Pratique avec le Big Data pour Débutants")</f>
        <v>Spark avec Scala - Pratique avec le Big Data pour Débutants</v>
      </c>
    </row>
    <row r="7528">
      <c r="A7528" s="140" t="str">
        <f>IFERROR(__xludf.DUMMYFUNCTION("""COMPUTED_VALUE"""),"ja")</f>
        <v>ja</v>
      </c>
      <c r="B7528">
        <f>IFERROR(__xludf.DUMMYFUNCTION("""COMPUTED_VALUE"""),3916784.0)</f>
        <v>3916784</v>
      </c>
      <c r="C7528" t="str">
        <f>IFERROR(__xludf.DUMMYFUNCTION("""COMPUTED_VALUE"""),"いちばん理解できる統計学ベーシック講座その２【相関分析・回帰分析】")</f>
        <v>いちばん理解できる統計学ベーシック講座その２【相関分析・回帰分析】</v>
      </c>
    </row>
    <row r="7529">
      <c r="A7529" s="140" t="str">
        <f>IFERROR(__xludf.DUMMYFUNCTION("""COMPUTED_VALUE"""),"fr")</f>
        <v>fr</v>
      </c>
      <c r="B7529">
        <f>IFERROR(__xludf.DUMMYFUNCTION("""COMPUTED_VALUE"""),3042628.0)</f>
        <v>3042628</v>
      </c>
      <c r="C7529" t="str">
        <f>IFERROR(__xludf.DUMMYFUNCTION("""COMPUTED_VALUE"""),"CakePHP 4 : Créer son site e-commerce à partir de zéro")</f>
        <v>CakePHP 4 : Créer son site e-commerce à partir de zéro</v>
      </c>
    </row>
    <row r="7530">
      <c r="A7530" s="140" t="str">
        <f>IFERROR(__xludf.DUMMYFUNCTION("""COMPUTED_VALUE"""),"en")</f>
        <v>en</v>
      </c>
      <c r="B7530">
        <f>IFERROR(__xludf.DUMMYFUNCTION("""COMPUTED_VALUE"""),2246852.0)</f>
        <v>2246852</v>
      </c>
      <c r="C7530" t="str">
        <f>IFERROR(__xludf.DUMMYFUNCTION("""COMPUTED_VALUE"""),"Emotional Intelligence at Work: Learn from Your Emotions")</f>
        <v>Emotional Intelligence at Work: Learn from Your Emotions</v>
      </c>
    </row>
    <row r="7531">
      <c r="A7531" s="140" t="str">
        <f>IFERROR(__xludf.DUMMYFUNCTION("""COMPUTED_VALUE"""),"en")</f>
        <v>en</v>
      </c>
      <c r="B7531">
        <f>IFERROR(__xludf.DUMMYFUNCTION("""COMPUTED_VALUE"""),288590.0)</f>
        <v>288590</v>
      </c>
      <c r="C7531" t="str">
        <f>IFERROR(__xludf.DUMMYFUNCTION("""COMPUTED_VALUE"""),"Business Analysis: Functional &amp; Non-Functional Requirements")</f>
        <v>Business Analysis: Functional &amp; Non-Functional Requirements</v>
      </c>
    </row>
    <row r="7532">
      <c r="A7532" s="140" t="str">
        <f>IFERROR(__xludf.DUMMYFUNCTION("""COMPUTED_VALUE"""),"pt")</f>
        <v>pt</v>
      </c>
      <c r="B7532">
        <f>IFERROR(__xludf.DUMMYFUNCTION("""COMPUTED_VALUE"""),2231672.0)</f>
        <v>2231672</v>
      </c>
      <c r="C7532" t="str">
        <f>IFERROR(__xludf.DUMMYFUNCTION("""COMPUTED_VALUE"""),"Curso de HTML 5 COMPLETO e com Projetos Práticos para WEB")</f>
        <v>Curso de HTML 5 COMPLETO e com Projetos Práticos para WEB</v>
      </c>
    </row>
    <row r="7533">
      <c r="A7533" s="140" t="str">
        <f>IFERROR(__xludf.DUMMYFUNCTION("""COMPUTED_VALUE"""),"ja")</f>
        <v>ja</v>
      </c>
      <c r="B7533">
        <f>IFERROR(__xludf.DUMMYFUNCTION("""COMPUTED_VALUE"""),3353014.0)</f>
        <v>3353014</v>
      </c>
      <c r="C7533" t="str">
        <f>IFERROR(__xludf.DUMMYFUNCTION("""COMPUTED_VALUE"""),"【世界で8万人が受講：Python for Finance】Pythonを使って学ぶ現代ファイナンス理論と実践")</f>
        <v>【世界で8万人が受講：Python for Finance】Pythonを使って学ぶ現代ファイナンス理論と実践</v>
      </c>
    </row>
    <row r="7534">
      <c r="A7534" s="140" t="str">
        <f>IFERROR(__xludf.DUMMYFUNCTION("""COMPUTED_VALUE"""),"es")</f>
        <v>es</v>
      </c>
      <c r="B7534">
        <f>IFERROR(__xludf.DUMMYFUNCTION("""COMPUTED_VALUE"""),2851496.0)</f>
        <v>2851496</v>
      </c>
      <c r="C7534" t="str">
        <f>IFERROR(__xludf.DUMMYFUNCTION("""COMPUTED_VALUE"""),"Flutter Intermedio: Diseños profesionales y animaciones")</f>
        <v>Flutter Intermedio: Diseños profesionales y animaciones</v>
      </c>
    </row>
    <row r="7535">
      <c r="A7535" s="140" t="str">
        <f>IFERROR(__xludf.DUMMYFUNCTION("""COMPUTED_VALUE"""),"tr")</f>
        <v>tr</v>
      </c>
      <c r="B7535">
        <f>IFERROR(__xludf.DUMMYFUNCTION("""COMPUTED_VALUE"""),3330230.0)</f>
        <v>3330230</v>
      </c>
      <c r="C7535" t="str">
        <f>IFERROR(__xludf.DUMMYFUNCTION("""COMPUTED_VALUE"""),"Sıfırdan İleri Seviyeye Microsoft Word Eğitimi")</f>
        <v>Sıfırdan İleri Seviyeye Microsoft Word Eğitimi</v>
      </c>
    </row>
    <row r="7536">
      <c r="A7536" s="140" t="str">
        <f>IFERROR(__xludf.DUMMYFUNCTION("""COMPUTED_VALUE"""),"en")</f>
        <v>en</v>
      </c>
      <c r="B7536">
        <f>IFERROR(__xludf.DUMMYFUNCTION("""COMPUTED_VALUE"""),1927536.0)</f>
        <v>1927536</v>
      </c>
      <c r="C7536" t="str">
        <f>IFERROR(__xludf.DUMMYFUNCTION("""COMPUTED_VALUE"""),"Quantity Surveying Building Estimation With Cad And Excel")</f>
        <v>Quantity Surveying Building Estimation With Cad And Excel</v>
      </c>
    </row>
    <row r="7537">
      <c r="A7537" s="140" t="str">
        <f>IFERROR(__xludf.DUMMYFUNCTION("""COMPUTED_VALUE"""),"de")</f>
        <v>de</v>
      </c>
      <c r="B7537">
        <f>IFERROR(__xludf.DUMMYFUNCTION("""COMPUTED_VALUE"""),3379528.0)</f>
        <v>3379528</v>
      </c>
      <c r="C7537" t="str">
        <f>IFERROR(__xludf.DUMMYFUNCTION("""COMPUTED_VALUE"""),"Divi Masterclass: Website erstellen mit WordPress Theme Divi")</f>
        <v>Divi Masterclass: Website erstellen mit WordPress Theme Divi</v>
      </c>
    </row>
    <row r="7538">
      <c r="A7538" s="140" t="str">
        <f>IFERROR(__xludf.DUMMYFUNCTION("""COMPUTED_VALUE"""),"en")</f>
        <v>en</v>
      </c>
      <c r="B7538">
        <f>IFERROR(__xludf.DUMMYFUNCTION("""COMPUTED_VALUE"""),2796938.0)</f>
        <v>2796938</v>
      </c>
      <c r="C7538" t="str">
        <f>IFERROR(__xludf.DUMMYFUNCTION("""COMPUTED_VALUE"""),"Clear and Simple AWS Advanced Security 2020")</f>
        <v>Clear and Simple AWS Advanced Security 2020</v>
      </c>
    </row>
    <row r="7539">
      <c r="A7539" s="140" t="str">
        <f>IFERROR(__xludf.DUMMYFUNCTION("""COMPUTED_VALUE"""),"ar")</f>
        <v>ar</v>
      </c>
      <c r="B7539">
        <f>IFERROR(__xludf.DUMMYFUNCTION("""COMPUTED_VALUE"""),2981062.0)</f>
        <v>2981062</v>
      </c>
      <c r="C7539" t="str">
        <f>IFERROR(__xludf.DUMMYFUNCTION("""COMPUTED_VALUE"""),"Public speaking مهارات الإلقاء والخطابة")</f>
        <v>Public speaking مهارات الإلقاء والخطابة</v>
      </c>
    </row>
    <row r="7540">
      <c r="A7540" s="140" t="str">
        <f>IFERROR(__xludf.DUMMYFUNCTION("""COMPUTED_VALUE"""),"en")</f>
        <v>en</v>
      </c>
      <c r="B7540">
        <f>IFERROR(__xludf.DUMMYFUNCTION("""COMPUTED_VALUE"""),3838236.0)</f>
        <v>3838236</v>
      </c>
      <c r="C7540" t="str">
        <f>IFERROR(__xludf.DUMMYFUNCTION("""COMPUTED_VALUE"""),"SC-300 Course: Microsoft Identity and Access Administrator")</f>
        <v>SC-300 Course: Microsoft Identity and Access Administrator</v>
      </c>
    </row>
    <row r="7541">
      <c r="A7541" s="140" t="str">
        <f>IFERROR(__xludf.DUMMYFUNCTION("""COMPUTED_VALUE"""),"en")</f>
        <v>en</v>
      </c>
      <c r="B7541">
        <f>IFERROR(__xludf.DUMMYFUNCTION("""COMPUTED_VALUE"""),486990.0)</f>
        <v>486990</v>
      </c>
      <c r="C7541" t="str">
        <f>IFERROR(__xludf.DUMMYFUNCTION("""COMPUTED_VALUE"""),"How To Quickly Diffuse Another Person's Anger")</f>
        <v>How To Quickly Diffuse Another Person's Anger</v>
      </c>
    </row>
    <row r="7542">
      <c r="A7542" s="140" t="str">
        <f>IFERROR(__xludf.DUMMYFUNCTION("""COMPUTED_VALUE"""),"de")</f>
        <v>de</v>
      </c>
      <c r="B7542">
        <f>IFERROR(__xludf.DUMMYFUNCTION("""COMPUTED_VALUE"""),1129448.0)</f>
        <v>1129448</v>
      </c>
      <c r="C7542" t="str">
        <f>IFERROR(__xludf.DUMMYFUNCTION("""COMPUTED_VALUE"""),"Wunschkunden-Strategie - Gewinne leichter Kunden")</f>
        <v>Wunschkunden-Strategie - Gewinne leichter Kunden</v>
      </c>
    </row>
    <row r="7543">
      <c r="A7543" s="140" t="str">
        <f>IFERROR(__xludf.DUMMYFUNCTION("""COMPUTED_VALUE"""),"en")</f>
        <v>en</v>
      </c>
      <c r="B7543">
        <f>IFERROR(__xludf.DUMMYFUNCTION("""COMPUTED_VALUE"""),2310440.0)</f>
        <v>2310440</v>
      </c>
      <c r="C7543" t="str">
        <f>IFERROR(__xludf.DUMMYFUNCTION("""COMPUTED_VALUE"""),"Cutting-Edge AI: Deep Reinforcement Learning in Python")</f>
        <v>Cutting-Edge AI: Deep Reinforcement Learning in Python</v>
      </c>
    </row>
    <row r="7544">
      <c r="A7544" s="140" t="str">
        <f>IFERROR(__xludf.DUMMYFUNCTION("""COMPUTED_VALUE"""),"en")</f>
        <v>en</v>
      </c>
      <c r="B7544">
        <f>IFERROR(__xludf.DUMMYFUNCTION("""COMPUTED_VALUE"""),460604.0)</f>
        <v>460604</v>
      </c>
      <c r="C7544" t="str">
        <f>IFERROR(__xludf.DUMMYFUNCTION("""COMPUTED_VALUE"""),"Introduction to Natural Language Processing (NLP)")</f>
        <v>Introduction to Natural Language Processing (NLP)</v>
      </c>
    </row>
    <row r="7545">
      <c r="A7545" s="140" t="str">
        <f>IFERROR(__xludf.DUMMYFUNCTION("""COMPUTED_VALUE"""),"es")</f>
        <v>es</v>
      </c>
      <c r="B7545">
        <f>IFERROR(__xludf.DUMMYFUNCTION("""COMPUTED_VALUE"""),255564.0)</f>
        <v>255564</v>
      </c>
      <c r="C7545" t="str">
        <f>IFERROR(__xludf.DUMMYFUNCTION("""COMPUTED_VALUE"""),"Aprende a solucionar conflictos y discrepencias")</f>
        <v>Aprende a solucionar conflictos y discrepencias</v>
      </c>
    </row>
    <row r="7546">
      <c r="A7546" s="140" t="str">
        <f>IFERROR(__xludf.DUMMYFUNCTION("""COMPUTED_VALUE"""),"en")</f>
        <v>en</v>
      </c>
      <c r="B7546">
        <f>IFERROR(__xludf.DUMMYFUNCTION("""COMPUTED_VALUE"""),2792118.0)</f>
        <v>2792118</v>
      </c>
      <c r="C7546" t="str">
        <f>IFERROR(__xludf.DUMMYFUNCTION("""COMPUTED_VALUE"""),"Machine Learning for Absolute Beginners - Level 1")</f>
        <v>Machine Learning for Absolute Beginners - Level 1</v>
      </c>
    </row>
    <row r="7547">
      <c r="A7547" s="140" t="str">
        <f>IFERROR(__xludf.DUMMYFUNCTION("""COMPUTED_VALUE"""),"es")</f>
        <v>es</v>
      </c>
      <c r="B7547">
        <f>IFERROR(__xludf.DUMMYFUNCTION("""COMPUTED_VALUE"""),932454.0)</f>
        <v>932454</v>
      </c>
      <c r="C7547" t="str">
        <f>IFERROR(__xludf.DUMMYFUNCTION("""COMPUTED_VALUE"""),"Contabilidad rápida y eficaz")</f>
        <v>Contabilidad rápida y eficaz</v>
      </c>
    </row>
    <row r="7548">
      <c r="A7548" s="140" t="str">
        <f>IFERROR(__xludf.DUMMYFUNCTION("""COMPUTED_VALUE"""),"en")</f>
        <v>en</v>
      </c>
      <c r="B7548">
        <f>IFERROR(__xludf.DUMMYFUNCTION("""COMPUTED_VALUE"""),3759560.0)</f>
        <v>3759560</v>
      </c>
      <c r="C7548" t="str">
        <f>IFERROR(__xludf.DUMMYFUNCTION("""COMPUTED_VALUE"""),"Data Science Real World Projects in Python")</f>
        <v>Data Science Real World Projects in Python</v>
      </c>
    </row>
    <row r="7549">
      <c r="A7549" s="140" t="str">
        <f>IFERROR(__xludf.DUMMYFUNCTION("""COMPUTED_VALUE"""),"pt")</f>
        <v>pt</v>
      </c>
      <c r="B7549">
        <f>IFERROR(__xludf.DUMMYFUNCTION("""COMPUTED_VALUE"""),1445688.0)</f>
        <v>1445688</v>
      </c>
      <c r="C7549" t="str">
        <f>IFERROR(__xludf.DUMMYFUNCTION("""COMPUTED_VALUE"""),"Desenvolvimento Responsivo com HTML5, CSS3 e Javascript")</f>
        <v>Desenvolvimento Responsivo com HTML5, CSS3 e Javascript</v>
      </c>
    </row>
    <row r="7550">
      <c r="A7550" s="140" t="str">
        <f>IFERROR(__xludf.DUMMYFUNCTION("""COMPUTED_VALUE"""),"en")</f>
        <v>en</v>
      </c>
      <c r="B7550">
        <f>IFERROR(__xludf.DUMMYFUNCTION("""COMPUTED_VALUE"""),2294275.0)</f>
        <v>2294275</v>
      </c>
      <c r="C7550" t="str">
        <f>IFERROR(__xludf.DUMMYFUNCTION("""COMPUTED_VALUE"""),"Make A Responsive Website Project #2: HTML, CSS &amp; Javascript")</f>
        <v>Make A Responsive Website Project #2: HTML, CSS &amp; Javascript</v>
      </c>
    </row>
    <row r="7551">
      <c r="A7551" s="140" t="str">
        <f>IFERROR(__xludf.DUMMYFUNCTION("""COMPUTED_VALUE"""),"es")</f>
        <v>es</v>
      </c>
      <c r="B7551">
        <f>IFERROR(__xludf.DUMMYFUNCTION("""COMPUTED_VALUE"""),1388250.0)</f>
        <v>1388250</v>
      </c>
      <c r="C7551" t="str">
        <f>IFERROR(__xludf.DUMMYFUNCTION("""COMPUTED_VALUE"""),"Spring Framework 5: Creando webapp de cero a experto 2021")</f>
        <v>Spring Framework 5: Creando webapp de cero a experto 2021</v>
      </c>
    </row>
    <row r="7552">
      <c r="A7552" s="140" t="str">
        <f>IFERROR(__xludf.DUMMYFUNCTION("""COMPUTED_VALUE"""),"en")</f>
        <v>en</v>
      </c>
      <c r="B7552">
        <f>IFERROR(__xludf.DUMMYFUNCTION("""COMPUTED_VALUE"""),3414732.0)</f>
        <v>3414732</v>
      </c>
      <c r="C7552" t="str">
        <f>IFERROR(__xludf.DUMMYFUNCTION("""COMPUTED_VALUE"""),"Learn Multithreading in C++")</f>
        <v>Learn Multithreading in C++</v>
      </c>
    </row>
    <row r="7553">
      <c r="A7553" s="140" t="str">
        <f>IFERROR(__xludf.DUMMYFUNCTION("""COMPUTED_VALUE"""),"tr")</f>
        <v>tr</v>
      </c>
      <c r="B7553">
        <f>IFERROR(__xludf.DUMMYFUNCTION("""COMPUTED_VALUE"""),1099896.0)</f>
        <v>1099896</v>
      </c>
      <c r="C7553" t="str">
        <f>IFERROR(__xludf.DUMMYFUNCTION("""COMPUTED_VALUE"""),"Microsoft Word | Sıfırdan Zirveye |2021|")</f>
        <v>Microsoft Word | Sıfırdan Zirveye |2021|</v>
      </c>
    </row>
    <row r="7554">
      <c r="A7554" s="140" t="str">
        <f>IFERROR(__xludf.DUMMYFUNCTION("""COMPUTED_VALUE"""),"en")</f>
        <v>en</v>
      </c>
      <c r="B7554">
        <f>IFERROR(__xludf.DUMMYFUNCTION("""COMPUTED_VALUE"""),1432018.0)</f>
        <v>1432018</v>
      </c>
      <c r="C7554" t="str">
        <f>IFERROR(__xludf.DUMMYFUNCTION("""COMPUTED_VALUE"""),"Brief Intro to Commercial Real Estate")</f>
        <v>Brief Intro to Commercial Real Estate</v>
      </c>
    </row>
    <row r="7555">
      <c r="A7555" s="140" t="str">
        <f>IFERROR(__xludf.DUMMYFUNCTION("""COMPUTED_VALUE"""),"es")</f>
        <v>es</v>
      </c>
      <c r="B7555">
        <f>IFERROR(__xludf.DUMMYFUNCTION("""COMPUTED_VALUE"""),1346902.0)</f>
        <v>1346902</v>
      </c>
      <c r="C7555" t="str">
        <f>IFERROR(__xludf.DUMMYFUNCTION("""COMPUTED_VALUE"""),"EXCEL para principiantes enfocado a los  negocios")</f>
        <v>EXCEL para principiantes enfocado a los  negocios</v>
      </c>
    </row>
    <row r="7556">
      <c r="A7556" s="140" t="str">
        <f>IFERROR(__xludf.DUMMYFUNCTION("""COMPUTED_VALUE"""),"en")</f>
        <v>en</v>
      </c>
      <c r="B7556">
        <f>IFERROR(__xludf.DUMMYFUNCTION("""COMPUTED_VALUE"""),2440128.0)</f>
        <v>2440128</v>
      </c>
      <c r="C7556" t="str">
        <f>IFERROR(__xludf.DUMMYFUNCTION("""COMPUTED_VALUE"""),"Scrum 101- A fundamental look at the agile Scrum Master role")</f>
        <v>Scrum 101- A fundamental look at the agile Scrum Master role</v>
      </c>
    </row>
    <row r="7557">
      <c r="A7557" s="140" t="str">
        <f>IFERROR(__xludf.DUMMYFUNCTION("""COMPUTED_VALUE"""),"ja")</f>
        <v>ja</v>
      </c>
      <c r="B7557">
        <f>IFERROR(__xludf.DUMMYFUNCTION("""COMPUTED_VALUE"""),3949806.0)</f>
        <v>3949806</v>
      </c>
      <c r="C7557" t="str">
        <f>IFERROR(__xludf.DUMMYFUNCTION("""COMPUTED_VALUE"""),"【ベストセラー著者と実践！】大人こそ受けたい 「アート思考」の授業 ─瀬戸内海に浮かぶアートの島・直島で3つの力を磨く─")</f>
        <v>【ベストセラー著者と実践！】大人こそ受けたい 「アート思考」の授業 ─瀬戸内海に浮かぶアートの島・直島で3つの力を磨く─</v>
      </c>
    </row>
    <row r="7558">
      <c r="A7558" s="140" t="str">
        <f>IFERROR(__xludf.DUMMYFUNCTION("""COMPUTED_VALUE"""),"ar")</f>
        <v>ar</v>
      </c>
      <c r="B7558">
        <f>IFERROR(__xludf.DUMMYFUNCTION("""COMPUTED_VALUE"""),1133988.0)</f>
        <v>1133988</v>
      </c>
      <c r="C7558" t="str">
        <f>IFERROR(__xludf.DUMMYFUNCTION("""COMPUTED_VALUE"""),"How to be Java programmer in Arabic")</f>
        <v>How to be Java programmer in Arabic</v>
      </c>
    </row>
    <row r="7559">
      <c r="A7559" s="140" t="str">
        <f>IFERROR(__xludf.DUMMYFUNCTION("""COMPUTED_VALUE"""),"de")</f>
        <v>de</v>
      </c>
      <c r="B7559">
        <f>IFERROR(__xludf.DUMMYFUNCTION("""COMPUTED_VALUE"""),790642.0)</f>
        <v>790642</v>
      </c>
      <c r="C7559" t="str">
        <f>IFERROR(__xludf.DUMMYFUNCTION("""COMPUTED_VALUE"""),"Facebook+Instagram Ads Crashkurs für Selbstständige und KMUs")</f>
        <v>Facebook+Instagram Ads Crashkurs für Selbstständige und KMUs</v>
      </c>
    </row>
    <row r="7560">
      <c r="A7560" s="140" t="str">
        <f>IFERROR(__xludf.DUMMYFUNCTION("""COMPUTED_VALUE"""),"fr")</f>
        <v>fr</v>
      </c>
      <c r="B7560">
        <f>IFERROR(__xludf.DUMMYFUNCTION("""COMPUTED_VALUE"""),1876494.0)</f>
        <v>1876494</v>
      </c>
      <c r="C7560" t="str">
        <f>IFERROR(__xludf.DUMMYFUNCTION("""COMPUTED_VALUE"""),"Formation Meteor: Maîtrisez et créez vos sites de A à Z")</f>
        <v>Formation Meteor: Maîtrisez et créez vos sites de A à Z</v>
      </c>
    </row>
    <row r="7561">
      <c r="A7561" s="140" t="str">
        <f>IFERROR(__xludf.DUMMYFUNCTION("""COMPUTED_VALUE"""),"ko")</f>
        <v>ko</v>
      </c>
      <c r="B7561">
        <f>IFERROR(__xludf.DUMMYFUNCTION("""COMPUTED_VALUE"""),717322.0)</f>
        <v>717322</v>
      </c>
      <c r="C7561" t="str">
        <f>IFERROR(__xludf.DUMMYFUNCTION("""COMPUTED_VALUE"""),"HTML 배우기")</f>
        <v>HTML 배우기</v>
      </c>
    </row>
    <row r="7562">
      <c r="A7562" s="140" t="str">
        <f>IFERROR(__xludf.DUMMYFUNCTION("""COMPUTED_VALUE"""),"en")</f>
        <v>en</v>
      </c>
      <c r="B7562">
        <f>IFERROR(__xludf.DUMMYFUNCTION("""COMPUTED_VALUE"""),3381074.0)</f>
        <v>3381074</v>
      </c>
      <c r="C7562" t="str">
        <f>IFERROR(__xludf.DUMMYFUNCTION("""COMPUTED_VALUE"""),"Azure Kubernetes Service with Azure DevOps and Terraform")</f>
        <v>Azure Kubernetes Service with Azure DevOps and Terraform</v>
      </c>
    </row>
    <row r="7563">
      <c r="A7563" s="140" t="str">
        <f>IFERROR(__xludf.DUMMYFUNCTION("""COMPUTED_VALUE"""),"ja")</f>
        <v>ja</v>
      </c>
      <c r="B7563">
        <f>IFERROR(__xludf.DUMMYFUNCTION("""COMPUTED_VALUE"""),1734714.0)</f>
        <v>1734714</v>
      </c>
      <c r="C7563" t="str">
        <f>IFERROR(__xludf.DUMMYFUNCTION("""COMPUTED_VALUE"""),"フロントエンドエンジニアのためのGraphQL with React 入門")</f>
        <v>フロントエンドエンジニアのためのGraphQL with React 入門</v>
      </c>
    </row>
    <row r="7564">
      <c r="A7564" s="140" t="str">
        <f>IFERROR(__xludf.DUMMYFUNCTION("""COMPUTED_VALUE"""),"pt")</f>
        <v>pt</v>
      </c>
      <c r="B7564">
        <f>IFERROR(__xludf.DUMMYFUNCTION("""COMPUTED_VALUE"""),1901024.0)</f>
        <v>1901024</v>
      </c>
      <c r="C7564" t="str">
        <f>IFERROR(__xludf.DUMMYFUNCTION("""COMPUTED_VALUE"""),"Criando Slides e Apresentações Interativas no PowerPoint")</f>
        <v>Criando Slides e Apresentações Interativas no PowerPoint</v>
      </c>
    </row>
    <row r="7565">
      <c r="A7565" s="140" t="str">
        <f>IFERROR(__xludf.DUMMYFUNCTION("""COMPUTED_VALUE"""),"en")</f>
        <v>en</v>
      </c>
      <c r="B7565">
        <f>IFERROR(__xludf.DUMMYFUNCTION("""COMPUTED_VALUE"""),1612490.0)</f>
        <v>1612490</v>
      </c>
      <c r="C7565" t="str">
        <f>IFERROR(__xludf.DUMMYFUNCTION("""COMPUTED_VALUE"""),"Customer Service")</f>
        <v>Customer Service</v>
      </c>
    </row>
    <row r="7566">
      <c r="A7566" s="140" t="str">
        <f>IFERROR(__xludf.DUMMYFUNCTION("""COMPUTED_VALUE"""),"en")</f>
        <v>en</v>
      </c>
      <c r="B7566">
        <f>IFERROR(__xludf.DUMMYFUNCTION("""COMPUTED_VALUE"""),1576854.0)</f>
        <v>1576854</v>
      </c>
      <c r="C7566" t="str">
        <f>IFERROR(__xludf.DUMMYFUNCTION("""COMPUTED_VALUE"""),"Beginning C++ Programming - From Beginner to Beyond")</f>
        <v>Beginning C++ Programming - From Beginner to Beyond</v>
      </c>
    </row>
    <row r="7567">
      <c r="A7567" s="140" t="str">
        <f>IFERROR(__xludf.DUMMYFUNCTION("""COMPUTED_VALUE"""),"es")</f>
        <v>es</v>
      </c>
      <c r="B7567">
        <f>IFERROR(__xludf.DUMMYFUNCTION("""COMPUTED_VALUE"""),1507980.0)</f>
        <v>1507980</v>
      </c>
      <c r="C7567" t="str">
        <f>IFERROR(__xludf.DUMMYFUNCTION("""COMPUTED_VALUE"""),"Curso completo de Bitcoin, la era Blockchain ha llegado.")</f>
        <v>Curso completo de Bitcoin, la era Blockchain ha llegado.</v>
      </c>
    </row>
    <row r="7568">
      <c r="A7568" s="140" t="str">
        <f>IFERROR(__xludf.DUMMYFUNCTION("""COMPUTED_VALUE"""),"en")</f>
        <v>en</v>
      </c>
      <c r="B7568">
        <f>IFERROR(__xludf.DUMMYFUNCTION("""COMPUTED_VALUE"""),1187864.0)</f>
        <v>1187864</v>
      </c>
      <c r="C7568" t="str">
        <f>IFERROR(__xludf.DUMMYFUNCTION("""COMPUTED_VALUE"""),"PCB/Electronics: Thermal Management, Cooling and Derating")</f>
        <v>PCB/Electronics: Thermal Management, Cooling and Derating</v>
      </c>
    </row>
    <row r="7569">
      <c r="A7569" s="140" t="str">
        <f>IFERROR(__xludf.DUMMYFUNCTION("""COMPUTED_VALUE"""),"fr")</f>
        <v>fr</v>
      </c>
      <c r="B7569">
        <f>IFERROR(__xludf.DUMMYFUNCTION("""COMPUTED_VALUE"""),2208570.0)</f>
        <v>2208570</v>
      </c>
      <c r="C7569" t="str">
        <f>IFERROR(__xludf.DUMMYFUNCTION("""COMPUTED_VALUE"""),"Le fonctionnement du système d'information en entreprise")</f>
        <v>Le fonctionnement du système d'information en entreprise</v>
      </c>
    </row>
    <row r="7570">
      <c r="A7570" s="140" t="str">
        <f>IFERROR(__xludf.DUMMYFUNCTION("""COMPUTED_VALUE"""),"en")</f>
        <v>en</v>
      </c>
      <c r="B7570">
        <f>IFERROR(__xludf.DUMMYFUNCTION("""COMPUTED_VALUE"""),628796.0)</f>
        <v>628796</v>
      </c>
      <c r="C7570" t="str">
        <f>IFERROR(__xludf.DUMMYFUNCTION("""COMPUTED_VALUE"""),"Mastering Ansible")</f>
        <v>Mastering Ansible</v>
      </c>
    </row>
    <row r="7571">
      <c r="A7571" s="140" t="str">
        <f>IFERROR(__xludf.DUMMYFUNCTION("""COMPUTED_VALUE"""),"en")</f>
        <v>en</v>
      </c>
      <c r="B7571">
        <f>IFERROR(__xludf.DUMMYFUNCTION("""COMPUTED_VALUE"""),1485486.0)</f>
        <v>1485486</v>
      </c>
      <c r="C7571" t="str">
        <f>IFERROR(__xludf.DUMMYFUNCTION("""COMPUTED_VALUE"""),"3 Minute Italian - Course 3 | Language lessons for beginners")</f>
        <v>3 Minute Italian - Course 3 | Language lessons for beginners</v>
      </c>
    </row>
    <row r="7572">
      <c r="A7572" s="140" t="str">
        <f>IFERROR(__xludf.DUMMYFUNCTION("""COMPUTED_VALUE"""),"en")</f>
        <v>en</v>
      </c>
      <c r="B7572">
        <f>IFERROR(__xludf.DUMMYFUNCTION("""COMPUTED_VALUE"""),1565240.0)</f>
        <v>1565240</v>
      </c>
      <c r="C7572" t="str">
        <f>IFERROR(__xludf.DUMMYFUNCTION("""COMPUTED_VALUE"""),"Build Reactive MicroServices using Spring WebFlux/SpringBoot")</f>
        <v>Build Reactive MicroServices using Spring WebFlux/SpringBoot</v>
      </c>
    </row>
    <row r="7573">
      <c r="A7573" s="140" t="str">
        <f>IFERROR(__xludf.DUMMYFUNCTION("""COMPUTED_VALUE"""),"en")</f>
        <v>en</v>
      </c>
      <c r="B7573">
        <f>IFERROR(__xludf.DUMMYFUNCTION("""COMPUTED_VALUE"""),169662.0)</f>
        <v>169662</v>
      </c>
      <c r="C7573" t="str">
        <f>IFERROR(__xludf.DUMMYFUNCTION("""COMPUTED_VALUE"""),"Capital Market Immersion")</f>
        <v>Capital Market Immersion</v>
      </c>
    </row>
    <row r="7574">
      <c r="A7574" s="140" t="str">
        <f>IFERROR(__xludf.DUMMYFUNCTION("""COMPUTED_VALUE"""),"fr")</f>
        <v>fr</v>
      </c>
      <c r="B7574">
        <f>IFERROR(__xludf.DUMMYFUNCTION("""COMPUTED_VALUE"""),2860286.0)</f>
        <v>2860286</v>
      </c>
      <c r="C7574" t="str">
        <f>IFERROR(__xludf.DUMMYFUNCTION("""COMPUTED_VALUE"""),"Leadership – devenez un leader inspirant")</f>
        <v>Leadership – devenez un leader inspirant</v>
      </c>
    </row>
    <row r="7575">
      <c r="A7575" s="140" t="str">
        <f>IFERROR(__xludf.DUMMYFUNCTION("""COMPUTED_VALUE"""),"ja")</f>
        <v>ja</v>
      </c>
      <c r="B7575">
        <f>IFERROR(__xludf.DUMMYFUNCTION("""COMPUTED_VALUE"""),3245362.0)</f>
        <v>3245362</v>
      </c>
      <c r="C7575" t="str">
        <f>IFERROR(__xludf.DUMMYFUNCTION("""COMPUTED_VALUE"""),"【3000フォロワー増】7つのツイートの型とTwitter運用事例完全ガイド〜人とつながる・仕事が広がる方法を徹底解説〜")</f>
        <v>【3000フォロワー増】7つのツイートの型とTwitter運用事例完全ガイド〜人とつながる・仕事が広がる方法を徹底解説〜</v>
      </c>
    </row>
    <row r="7576">
      <c r="A7576" s="140" t="str">
        <f>IFERROR(__xludf.DUMMYFUNCTION("""COMPUTED_VALUE"""),"es")</f>
        <v>es</v>
      </c>
      <c r="B7576">
        <f>IFERROR(__xludf.DUMMYFUNCTION("""COMPUTED_VALUE"""),1723712.0)</f>
        <v>1723712</v>
      </c>
      <c r="C7576" t="str">
        <f>IFERROR(__xludf.DUMMYFUNCTION("""COMPUTED_VALUE"""),"Gestionar la Calidad del Código Fuente con SonarQube")</f>
        <v>Gestionar la Calidad del Código Fuente con SonarQube</v>
      </c>
    </row>
    <row r="7577">
      <c r="A7577" s="140" t="str">
        <f>IFERROR(__xludf.DUMMYFUNCTION("""COMPUTED_VALUE"""),"en")</f>
        <v>en</v>
      </c>
      <c r="B7577">
        <f>IFERROR(__xludf.DUMMYFUNCTION("""COMPUTED_VALUE"""),3580551.0)</f>
        <v>3580551</v>
      </c>
      <c r="C7577" t="str">
        <f>IFERROR(__xludf.DUMMYFUNCTION("""COMPUTED_VALUE"""),"The Essentials of Private Equity - What You Need to Know!")</f>
        <v>The Essentials of Private Equity - What You Need to Know!</v>
      </c>
    </row>
    <row r="7578">
      <c r="A7578" s="140" t="str">
        <f>IFERROR(__xludf.DUMMYFUNCTION("""COMPUTED_VALUE"""),"en")</f>
        <v>en</v>
      </c>
      <c r="B7578">
        <f>IFERROR(__xludf.DUMMYFUNCTION("""COMPUTED_VALUE"""),1409030.0)</f>
        <v>1409030</v>
      </c>
      <c r="C7578" t="str">
        <f>IFERROR(__xludf.DUMMYFUNCTION("""COMPUTED_VALUE"""),"Learn Figma - UI/UX Design Essential Training")</f>
        <v>Learn Figma - UI/UX Design Essential Training</v>
      </c>
    </row>
    <row r="7579">
      <c r="A7579" s="140" t="str">
        <f>IFERROR(__xludf.DUMMYFUNCTION("""COMPUTED_VALUE"""),"en")</f>
        <v>en</v>
      </c>
      <c r="B7579">
        <f>IFERROR(__xludf.DUMMYFUNCTION("""COMPUTED_VALUE"""),2074534.0)</f>
        <v>2074534</v>
      </c>
      <c r="C7579" t="str">
        <f>IFERROR(__xludf.DUMMYFUNCTION("""COMPUTED_VALUE"""),"Docker Certified Associate 2021")</f>
        <v>Docker Certified Associate 2021</v>
      </c>
    </row>
    <row r="7580">
      <c r="A7580" s="140" t="str">
        <f>IFERROR(__xludf.DUMMYFUNCTION("""COMPUTED_VALUE"""),"ja")</f>
        <v>ja</v>
      </c>
      <c r="B7580">
        <f>IFERROR(__xludf.DUMMYFUNCTION("""COMPUTED_VALUE"""),1475808.0)</f>
        <v>1475808</v>
      </c>
      <c r="C7580" t="str">
        <f>IFERROR(__xludf.DUMMYFUNCTION("""COMPUTED_VALUE"""),"【画像判定AIアプリ開発・パート1】TensorFlow・Python・Flaskで作る画像判定AIアプリ開発入門")</f>
        <v>【画像判定AIアプリ開発・パート1】TensorFlow・Python・Flaskで作る画像判定AIアプリ開発入門</v>
      </c>
    </row>
    <row r="7581">
      <c r="A7581" s="140" t="str">
        <f>IFERROR(__xludf.DUMMYFUNCTION("""COMPUTED_VALUE"""),"ja")</f>
        <v>ja</v>
      </c>
      <c r="B7581">
        <f>IFERROR(__xludf.DUMMYFUNCTION("""COMPUTED_VALUE"""),3173464.0)</f>
        <v>3173464</v>
      </c>
      <c r="C7581" t="str">
        <f>IFERROR(__xludf.DUMMYFUNCTION("""COMPUTED_VALUE"""),"ロジカルシンキング＆ライティング基礎編")</f>
        <v>ロジカルシンキング＆ライティング基礎編</v>
      </c>
    </row>
    <row r="7582">
      <c r="A7582" s="140" t="str">
        <f>IFERROR(__xludf.DUMMYFUNCTION("""COMPUTED_VALUE"""),"de")</f>
        <v>de</v>
      </c>
      <c r="B7582">
        <f>IFERROR(__xludf.DUMMYFUNCTION("""COMPUTED_VALUE"""),2228746.0)</f>
        <v>2228746</v>
      </c>
      <c r="C7582" t="str">
        <f>IFERROR(__xludf.DUMMYFUNCTION("""COMPUTED_VALUE"""),"Standortanalyse Crashkurs")</f>
        <v>Standortanalyse Crashkurs</v>
      </c>
    </row>
    <row r="7583">
      <c r="A7583" s="140" t="str">
        <f>IFERROR(__xludf.DUMMYFUNCTION("""COMPUTED_VALUE"""),"en")</f>
        <v>en</v>
      </c>
      <c r="B7583">
        <f>IFERROR(__xludf.DUMMYFUNCTION("""COMPUTED_VALUE"""),1238720.0)</f>
        <v>1238720</v>
      </c>
      <c r="C7583" t="str">
        <f>IFERROR(__xludf.DUMMYFUNCTION("""COMPUTED_VALUE"""),"Statistics for Data Analysis Using Excel 2016")</f>
        <v>Statistics for Data Analysis Using Excel 2016</v>
      </c>
    </row>
    <row r="7584">
      <c r="A7584" s="140" t="str">
        <f>IFERROR(__xludf.DUMMYFUNCTION("""COMPUTED_VALUE"""),"en")</f>
        <v>en</v>
      </c>
      <c r="B7584">
        <f>IFERROR(__xludf.DUMMYFUNCTION("""COMPUTED_VALUE"""),927360.0)</f>
        <v>927360</v>
      </c>
      <c r="C7584" t="str">
        <f>IFERROR(__xludf.DUMMYFUNCTION("""COMPUTED_VALUE"""),"After Effects CC Masterclass: Complete After Effects Course")</f>
        <v>After Effects CC Masterclass: Complete After Effects Course</v>
      </c>
    </row>
    <row r="7585">
      <c r="A7585" s="140" t="str">
        <f>IFERROR(__xludf.DUMMYFUNCTION("""COMPUTED_VALUE"""),"ja")</f>
        <v>ja</v>
      </c>
      <c r="B7585">
        <f>IFERROR(__xludf.DUMMYFUNCTION("""COMPUTED_VALUE"""),2596020.0)</f>
        <v>2596020</v>
      </c>
      <c r="C7585" t="str">
        <f>IFERROR(__xludf.DUMMYFUNCTION("""COMPUTED_VALUE"""),"現役シリコンバレーエンジニアが教えるGoで始めるスクラッチからのブロックチェーン開発入門")</f>
        <v>現役シリコンバレーエンジニアが教えるGoで始めるスクラッチからのブロックチェーン開発入門</v>
      </c>
    </row>
    <row r="7586">
      <c r="A7586" s="140" t="str">
        <f>IFERROR(__xludf.DUMMYFUNCTION("""COMPUTED_VALUE"""),"ja")</f>
        <v>ja</v>
      </c>
      <c r="B7586">
        <f>IFERROR(__xludf.DUMMYFUNCTION("""COMPUTED_VALUE"""),3407144.0)</f>
        <v>3407144</v>
      </c>
      <c r="C7586" t="str">
        <f>IFERROR(__xludf.DUMMYFUNCTION("""COMPUTED_VALUE"""),"2Dシューティングゲーム開発入門：Unityインストラクターが教えるゲーム開発ハンズオンコース【スタジオしまづ】")</f>
        <v>2Dシューティングゲーム開発入門：Unityインストラクターが教えるゲーム開発ハンズオンコース【スタジオしまづ】</v>
      </c>
    </row>
    <row r="7587">
      <c r="A7587" s="140" t="str">
        <f>IFERROR(__xludf.DUMMYFUNCTION("""COMPUTED_VALUE"""),"en")</f>
        <v>en</v>
      </c>
      <c r="B7587">
        <f>IFERROR(__xludf.DUMMYFUNCTION("""COMPUTED_VALUE"""),594926.0)</f>
        <v>594926</v>
      </c>
      <c r="C7587" t="str">
        <f>IFERROR(__xludf.DUMMYFUNCTION("""COMPUTED_VALUE"""),"Siemens NX 10 Essential Training")</f>
        <v>Siemens NX 10 Essential Training</v>
      </c>
    </row>
    <row r="7588">
      <c r="A7588" s="140" t="str">
        <f>IFERROR(__xludf.DUMMYFUNCTION("""COMPUTED_VALUE"""),"es")</f>
        <v>es</v>
      </c>
      <c r="B7588">
        <f>IFERROR(__xludf.DUMMYFUNCTION("""COMPUTED_VALUE"""),3000842.0)</f>
        <v>3000842</v>
      </c>
      <c r="C7588" t="str">
        <f>IFERROR(__xludf.DUMMYFUNCTION("""COMPUTED_VALUE"""),"Mejores Prácticas de Trabajo Remoto-Remote Worker CertiProf")</f>
        <v>Mejores Prácticas de Trabajo Remoto-Remote Worker CertiProf</v>
      </c>
    </row>
    <row r="7589">
      <c r="A7589" s="140" t="str">
        <f>IFERROR(__xludf.DUMMYFUNCTION("""COMPUTED_VALUE"""),"en")</f>
        <v>en</v>
      </c>
      <c r="B7589">
        <f>IFERROR(__xludf.DUMMYFUNCTION("""COMPUTED_VALUE"""),1488956.0)</f>
        <v>1488956</v>
      </c>
      <c r="C7589" t="str">
        <f>IFERROR(__xludf.DUMMYFUNCTION("""COMPUTED_VALUE"""),"Cinematography Course: Shoot Expert Video on Any Camera")</f>
        <v>Cinematography Course: Shoot Expert Video on Any Camera</v>
      </c>
    </row>
    <row r="7590">
      <c r="A7590" s="140" t="str">
        <f>IFERROR(__xludf.DUMMYFUNCTION("""COMPUTED_VALUE"""),"es")</f>
        <v>es</v>
      </c>
      <c r="B7590">
        <f>IFERROR(__xludf.DUMMYFUNCTION("""COMPUTED_VALUE"""),4150142.0)</f>
        <v>4150142</v>
      </c>
      <c r="C7590" t="str">
        <f>IFERROR(__xludf.DUMMYFUNCTION("""COMPUTED_VALUE"""),"Curso de Inglés para Hispanos - Nivel B1.2/B2.1 garantizado")</f>
        <v>Curso de Inglés para Hispanos - Nivel B1.2/B2.1 garantizado</v>
      </c>
    </row>
    <row r="7591">
      <c r="A7591" s="140" t="str">
        <f>IFERROR(__xludf.DUMMYFUNCTION("""COMPUTED_VALUE"""),"en")</f>
        <v>en</v>
      </c>
      <c r="B7591">
        <f>IFERROR(__xludf.DUMMYFUNCTION("""COMPUTED_VALUE"""),312934.0)</f>
        <v>312934</v>
      </c>
      <c r="C7591" t="str">
        <f>IFERROR(__xludf.DUMMYFUNCTION("""COMPUTED_VALUE"""),"Train the Trainer Virtual: Virtual Training Master Class")</f>
        <v>Train the Trainer Virtual: Virtual Training Master Class</v>
      </c>
    </row>
    <row r="7592">
      <c r="A7592" s="140" t="str">
        <f>IFERROR(__xludf.DUMMYFUNCTION("""COMPUTED_VALUE"""),"en")</f>
        <v>en</v>
      </c>
      <c r="B7592">
        <f>IFERROR(__xludf.DUMMYFUNCTION("""COMPUTED_VALUE"""),3078684.0)</f>
        <v>3078684</v>
      </c>
      <c r="C7592" t="str">
        <f>IFERROR(__xludf.DUMMYFUNCTION("""COMPUTED_VALUE"""),"Fundamentals of CG VFX Compositing in Nuke - NK303")</f>
        <v>Fundamentals of CG VFX Compositing in Nuke - NK303</v>
      </c>
    </row>
    <row r="7593">
      <c r="A7593" s="140" t="str">
        <f>IFERROR(__xludf.DUMMYFUNCTION("""COMPUTED_VALUE"""),"en")</f>
        <v>en</v>
      </c>
      <c r="B7593">
        <f>IFERROR(__xludf.DUMMYFUNCTION("""COMPUTED_VALUE"""),638404.0)</f>
        <v>638404</v>
      </c>
      <c r="C7593" t="str">
        <f>IFERROR(__xludf.DUMMYFUNCTION("""COMPUTED_VALUE"""),"Oracle 11g Certified Professional Exam Prep I")</f>
        <v>Oracle 11g Certified Professional Exam Prep I</v>
      </c>
    </row>
    <row r="7594">
      <c r="A7594" s="140" t="str">
        <f>IFERROR(__xludf.DUMMYFUNCTION("""COMPUTED_VALUE"""),"en")</f>
        <v>en</v>
      </c>
      <c r="B7594">
        <f>IFERROR(__xludf.DUMMYFUNCTION("""COMPUTED_VALUE"""),3123572.0)</f>
        <v>3123572</v>
      </c>
      <c r="C7594" t="str">
        <f>IFERROR(__xludf.DUMMYFUNCTION("""COMPUTED_VALUE"""),"Oracle SOA Suite 12c - Advanced")</f>
        <v>Oracle SOA Suite 12c - Advanced</v>
      </c>
    </row>
    <row r="7595">
      <c r="A7595" s="140" t="str">
        <f>IFERROR(__xludf.DUMMYFUNCTION("""COMPUTED_VALUE"""),"en")</f>
        <v>en</v>
      </c>
      <c r="B7595">
        <f>IFERROR(__xludf.DUMMYFUNCTION("""COMPUTED_VALUE"""),667880.0)</f>
        <v>667880</v>
      </c>
      <c r="C7595" t="str">
        <f>IFERROR(__xludf.DUMMYFUNCTION("""COMPUTED_VALUE"""),"Multifamily Real Estate Investing Rules of Thumb")</f>
        <v>Multifamily Real Estate Investing Rules of Thumb</v>
      </c>
    </row>
    <row r="7596">
      <c r="A7596" s="140" t="str">
        <f>IFERROR(__xludf.DUMMYFUNCTION("""COMPUTED_VALUE"""),"en")</f>
        <v>en</v>
      </c>
      <c r="B7596">
        <f>IFERROR(__xludf.DUMMYFUNCTION("""COMPUTED_VALUE"""),33524.0)</f>
        <v>33524</v>
      </c>
      <c r="C7596" t="str">
        <f>IFERROR(__xludf.DUMMYFUNCTION("""COMPUTED_VALUE"""),"GMail, IFTTT, Virtual Assistant - Ultimate Productivity Trio")</f>
        <v>GMail, IFTTT, Virtual Assistant - Ultimate Productivity Trio</v>
      </c>
    </row>
    <row r="7597">
      <c r="A7597" s="140" t="str">
        <f>IFERROR(__xludf.DUMMYFUNCTION("""COMPUTED_VALUE"""),"pt")</f>
        <v>pt</v>
      </c>
      <c r="B7597">
        <f>IFERROR(__xludf.DUMMYFUNCTION("""COMPUTED_VALUE"""),1842114.0)</f>
        <v>1842114</v>
      </c>
      <c r="C7597" t="str">
        <f>IFERROR(__xludf.DUMMYFUNCTION("""COMPUTED_VALUE"""),"Flutter e Dart - Curso Completo de Criação de Apps")</f>
        <v>Flutter e Dart - Curso Completo de Criação de Apps</v>
      </c>
    </row>
    <row r="7598">
      <c r="A7598" s="140" t="str">
        <f>IFERROR(__xludf.DUMMYFUNCTION("""COMPUTED_VALUE"""),"en")</f>
        <v>en</v>
      </c>
      <c r="B7598">
        <f>IFERROR(__xludf.DUMMYFUNCTION("""COMPUTED_VALUE"""),2774302.0)</f>
        <v>2774302</v>
      </c>
      <c r="C7598" t="str">
        <f>IFERROR(__xludf.DUMMYFUNCTION("""COMPUTED_VALUE"""),"Create a Simple Landing Page with Flutter Web and Firebase")</f>
        <v>Create a Simple Landing Page with Flutter Web and Firebase</v>
      </c>
    </row>
    <row r="7599">
      <c r="A7599" s="140" t="str">
        <f>IFERROR(__xludf.DUMMYFUNCTION("""COMPUTED_VALUE"""),"en")</f>
        <v>en</v>
      </c>
      <c r="B7599">
        <f>IFERROR(__xludf.DUMMYFUNCTION("""COMPUTED_VALUE"""),906690.0)</f>
        <v>906690</v>
      </c>
      <c r="C7599" t="str">
        <f>IFERROR(__xludf.DUMMYFUNCTION("""COMPUTED_VALUE"""),"MikroTik LABS for Beginners")</f>
        <v>MikroTik LABS for Beginners</v>
      </c>
    </row>
    <row r="7600">
      <c r="A7600" s="140" t="str">
        <f>IFERROR(__xludf.DUMMYFUNCTION("""COMPUTED_VALUE"""),"en")</f>
        <v>en</v>
      </c>
      <c r="B7600">
        <f>IFERROR(__xludf.DUMMYFUNCTION("""COMPUTED_VALUE"""),3528176.0)</f>
        <v>3528176</v>
      </c>
      <c r="C7600" t="str">
        <f>IFERROR(__xludf.DUMMYFUNCTION("""COMPUTED_VALUE"""),"Marketing Communication | Integrated Marketing Communication")</f>
        <v>Marketing Communication | Integrated Marketing Communication</v>
      </c>
    </row>
    <row r="7601">
      <c r="A7601" s="140" t="str">
        <f>IFERROR(__xludf.DUMMYFUNCTION("""COMPUTED_VALUE"""),"ja")</f>
        <v>ja</v>
      </c>
      <c r="B7601">
        <f>IFERROR(__xludf.DUMMYFUNCTION("""COMPUTED_VALUE"""),2399412.0)</f>
        <v>2399412</v>
      </c>
      <c r="C7601" t="str">
        <f>IFERROR(__xludf.DUMMYFUNCTION("""COMPUTED_VALUE"""),"Ansible入門")</f>
        <v>Ansible入門</v>
      </c>
    </row>
    <row r="7602">
      <c r="A7602" s="140" t="str">
        <f>IFERROR(__xludf.DUMMYFUNCTION("""COMPUTED_VALUE"""),"fr")</f>
        <v>fr</v>
      </c>
      <c r="B7602">
        <f>IFERROR(__xludf.DUMMYFUNCTION("""COMPUTED_VALUE"""),3250670.0)</f>
        <v>3250670</v>
      </c>
      <c r="C7602" t="str">
        <f>IFERROR(__xludf.DUMMYFUNCTION("""COMPUTED_VALUE"""),"Hacking Éthique : Apprendre à programmer en Python")</f>
        <v>Hacking Éthique : Apprendre à programmer en Python</v>
      </c>
    </row>
    <row r="7603">
      <c r="A7603" s="140" t="str">
        <f>IFERROR(__xludf.DUMMYFUNCTION("""COMPUTED_VALUE"""),"de")</f>
        <v>de</v>
      </c>
      <c r="B7603">
        <f>IFERROR(__xludf.DUMMYFUNCTION("""COMPUTED_VALUE"""),3761818.0)</f>
        <v>3761818</v>
      </c>
      <c r="C7603" t="str">
        <f>IFERROR(__xludf.DUMMYFUNCTION("""COMPUTED_VALUE"""),"Train the Trainer - Blended Learning")</f>
        <v>Train the Trainer - Blended Learning</v>
      </c>
    </row>
    <row r="7604">
      <c r="A7604" s="140" t="str">
        <f>IFERROR(__xludf.DUMMYFUNCTION("""COMPUTED_VALUE"""),"en")</f>
        <v>en</v>
      </c>
      <c r="B7604">
        <f>IFERROR(__xludf.DUMMYFUNCTION("""COMPUTED_VALUE"""),3340850.0)</f>
        <v>3340850</v>
      </c>
      <c r="C7604" t="str">
        <f>IFERROR(__xludf.DUMMYFUNCTION("""COMPUTED_VALUE"""),"Introduction to Financial Ratio Analysis")</f>
        <v>Introduction to Financial Ratio Analysis</v>
      </c>
    </row>
    <row r="7605">
      <c r="A7605" s="140" t="str">
        <f>IFERROR(__xludf.DUMMYFUNCTION("""COMPUTED_VALUE"""),"en")</f>
        <v>en</v>
      </c>
      <c r="B7605">
        <f>IFERROR(__xludf.DUMMYFUNCTION("""COMPUTED_VALUE"""),4269024.0)</f>
        <v>4269024</v>
      </c>
      <c r="C7605" t="str">
        <f>IFERROR(__xludf.DUMMYFUNCTION("""COMPUTED_VALUE"""),"Microservices Security - The Complete Guide")</f>
        <v>Microservices Security - The Complete Guide</v>
      </c>
    </row>
    <row r="7606">
      <c r="A7606" s="140" t="str">
        <f>IFERROR(__xludf.DUMMYFUNCTION("""COMPUTED_VALUE"""),"es")</f>
        <v>es</v>
      </c>
      <c r="B7606">
        <f>IFERROR(__xludf.DUMMYFUNCTION("""COMPUTED_VALUE"""),2440844.0)</f>
        <v>2440844</v>
      </c>
      <c r="C7606" t="str">
        <f>IFERROR(__xludf.DUMMYFUNCTION("""COMPUTED_VALUE"""),"JavaScript y ES6: Lo último en JS con Proyectos Reales")</f>
        <v>JavaScript y ES6: Lo último en JS con Proyectos Reales</v>
      </c>
    </row>
    <row r="7607">
      <c r="A7607" s="140" t="str">
        <f>IFERROR(__xludf.DUMMYFUNCTION("""COMPUTED_VALUE"""),"en")</f>
        <v>en</v>
      </c>
      <c r="B7607">
        <f>IFERROR(__xludf.DUMMYFUNCTION("""COMPUTED_VALUE"""),2539632.0)</f>
        <v>2539632</v>
      </c>
      <c r="C7607" t="str">
        <f>IFERROR(__xludf.DUMMYFUNCTION("""COMPUTED_VALUE"""),"Master Laravel with Vue.js Fullstack Development")</f>
        <v>Master Laravel with Vue.js Fullstack Development</v>
      </c>
    </row>
    <row r="7608">
      <c r="A7608" s="140" t="str">
        <f>IFERROR(__xludf.DUMMYFUNCTION("""COMPUTED_VALUE"""),"en")</f>
        <v>en</v>
      </c>
      <c r="B7608">
        <f>IFERROR(__xludf.DUMMYFUNCTION("""COMPUTED_VALUE"""),1984658.0)</f>
        <v>1984658</v>
      </c>
      <c r="C7608" t="str">
        <f>IFERROR(__xludf.DUMMYFUNCTION("""COMPUTED_VALUE"""),"Adobe CC Masterclass: Photoshop, Illustrator, XD &amp; InDesign")</f>
        <v>Adobe CC Masterclass: Photoshop, Illustrator, XD &amp; InDesign</v>
      </c>
    </row>
    <row r="7609">
      <c r="A7609" s="140" t="str">
        <f>IFERROR(__xludf.DUMMYFUNCTION("""COMPUTED_VALUE"""),"en")</f>
        <v>en</v>
      </c>
      <c r="B7609">
        <f>IFERROR(__xludf.DUMMYFUNCTION("""COMPUTED_VALUE"""),860812.0)</f>
        <v>860812</v>
      </c>
      <c r="C7609" t="str">
        <f>IFERROR(__xludf.DUMMYFUNCTION("""COMPUTED_VALUE"""),"JavaScript Beginner Bootcamp (2021)")</f>
        <v>JavaScript Beginner Bootcamp (2021)</v>
      </c>
    </row>
    <row r="7610">
      <c r="A7610" s="140" t="str">
        <f>IFERROR(__xludf.DUMMYFUNCTION("""COMPUTED_VALUE"""),"en")</f>
        <v>en</v>
      </c>
      <c r="B7610">
        <f>IFERROR(__xludf.DUMMYFUNCTION("""COMPUTED_VALUE"""),355662.0)</f>
        <v>355662</v>
      </c>
      <c r="C7610" t="str">
        <f>IFERROR(__xludf.DUMMYFUNCTION("""COMPUTED_VALUE"""),"Read Music FAST!")</f>
        <v>Read Music FAST!</v>
      </c>
    </row>
    <row r="7611">
      <c r="A7611" s="140" t="str">
        <f>IFERROR(__xludf.DUMMYFUNCTION("""COMPUTED_VALUE"""),"en")</f>
        <v>en</v>
      </c>
      <c r="B7611">
        <f>IFERROR(__xludf.DUMMYFUNCTION("""COMPUTED_VALUE"""),1636824.0)</f>
        <v>1636824</v>
      </c>
      <c r="C7611" t="str">
        <f>IFERROR(__xludf.DUMMYFUNCTION("""COMPUTED_VALUE"""),"SINGING SIMPLIFIED #2: Greater Range, Power and Control")</f>
        <v>SINGING SIMPLIFIED #2: Greater Range, Power and Control</v>
      </c>
    </row>
    <row r="7612">
      <c r="A7612" s="140" t="str">
        <f>IFERROR(__xludf.DUMMYFUNCTION("""COMPUTED_VALUE"""),"es")</f>
        <v>es</v>
      </c>
      <c r="B7612">
        <f>IFERROR(__xludf.DUMMYFUNCTION("""COMPUTED_VALUE"""),2150756.0)</f>
        <v>2150756</v>
      </c>
      <c r="C7612" t="str">
        <f>IFERROR(__xludf.DUMMYFUNCTION("""COMPUTED_VALUE"""),"Curso completo de Python 2021-De cero a Master con Python 3")</f>
        <v>Curso completo de Python 2021-De cero a Master con Python 3</v>
      </c>
    </row>
    <row r="7613">
      <c r="A7613" s="140" t="str">
        <f>IFERROR(__xludf.DUMMYFUNCTION("""COMPUTED_VALUE"""),"en")</f>
        <v>en</v>
      </c>
      <c r="B7613">
        <f>IFERROR(__xludf.DUMMYFUNCTION("""COMPUTED_VALUE"""),1263966.0)</f>
        <v>1263966</v>
      </c>
      <c r="C7613" t="str">
        <f>IFERROR(__xludf.DUMMYFUNCTION("""COMPUTED_VALUE"""),"Advanced Technical Analysis PART1!")</f>
        <v>Advanced Technical Analysis PART1!</v>
      </c>
    </row>
    <row r="7614">
      <c r="A7614" s="140" t="str">
        <f>IFERROR(__xludf.DUMMYFUNCTION("""COMPUTED_VALUE"""),"en")</f>
        <v>en</v>
      </c>
      <c r="B7614">
        <f>IFERROR(__xludf.DUMMYFUNCTION("""COMPUTED_VALUE"""),1333914.0)</f>
        <v>1333914</v>
      </c>
      <c r="C7614" t="str">
        <f>IFERROR(__xludf.DUMMYFUNCTION("""COMPUTED_VALUE"""),"Business Fundamentals: Marketing Strategy")</f>
        <v>Business Fundamentals: Marketing Strategy</v>
      </c>
    </row>
    <row r="7615">
      <c r="A7615" s="140" t="str">
        <f>IFERROR(__xludf.DUMMYFUNCTION("""COMPUTED_VALUE"""),"en")</f>
        <v>en</v>
      </c>
      <c r="B7615">
        <f>IFERROR(__xludf.DUMMYFUNCTION("""COMPUTED_VALUE"""),1258722.0)</f>
        <v>1258722</v>
      </c>
      <c r="C7615" t="str">
        <f>IFERROR(__xludf.DUMMYFUNCTION("""COMPUTED_VALUE"""),"Presenting with Confidence: Prepare, Practice and Perform!")</f>
        <v>Presenting with Confidence: Prepare, Practice and Perform!</v>
      </c>
    </row>
    <row r="7616">
      <c r="A7616" s="140" t="str">
        <f>IFERROR(__xludf.DUMMYFUNCTION("""COMPUTED_VALUE"""),"es")</f>
        <v>es</v>
      </c>
      <c r="B7616">
        <f>IFERROR(__xludf.DUMMYFUNCTION("""COMPUTED_VALUE"""),378726.0)</f>
        <v>378726</v>
      </c>
      <c r="C7616" t="str">
        <f>IFERROR(__xludf.DUMMYFUNCTION("""COMPUTED_VALUE"""),"Desarrollo Profesional de Temas y Plugins de WordPress")</f>
        <v>Desarrollo Profesional de Temas y Plugins de WordPress</v>
      </c>
    </row>
    <row r="7617">
      <c r="A7617" s="140" t="str">
        <f>IFERROR(__xludf.DUMMYFUNCTION("""COMPUTED_VALUE"""),"pt")</f>
        <v>pt</v>
      </c>
      <c r="B7617">
        <f>IFERROR(__xludf.DUMMYFUNCTION("""COMPUTED_VALUE"""),3257332.0)</f>
        <v>3257332</v>
      </c>
      <c r="C7617" t="str">
        <f>IFERROR(__xludf.DUMMYFUNCTION("""COMPUTED_VALUE"""),"Treinamento Eletrônica &amp; TI -1 - 100 Aulas para  Downloads")</f>
        <v>Treinamento Eletrônica &amp; TI -1 - 100 Aulas para  Downloads</v>
      </c>
    </row>
    <row r="7618">
      <c r="A7618" s="140" t="str">
        <f>IFERROR(__xludf.DUMMYFUNCTION("""COMPUTED_VALUE"""),"en")</f>
        <v>en</v>
      </c>
      <c r="B7618">
        <f>IFERROR(__xludf.DUMMYFUNCTION("""COMPUTED_VALUE"""),875976.0)</f>
        <v>875976</v>
      </c>
      <c r="C7618" t="str">
        <f>IFERROR(__xludf.DUMMYFUNCTION("""COMPUTED_VALUE"""),"The Complete Cyber Security Course : Anonymous Browsing!")</f>
        <v>The Complete Cyber Security Course : Anonymous Browsing!</v>
      </c>
    </row>
    <row r="7619">
      <c r="A7619" s="140" t="str">
        <f>IFERROR(__xludf.DUMMYFUNCTION("""COMPUTED_VALUE"""),"en")</f>
        <v>en</v>
      </c>
      <c r="B7619">
        <f>IFERROR(__xludf.DUMMYFUNCTION("""COMPUTED_VALUE"""),2907160.0)</f>
        <v>2907160</v>
      </c>
      <c r="C7619" t="str">
        <f>IFERROR(__xludf.DUMMYFUNCTION("""COMPUTED_VALUE"""),"Data Science for Business | 6 Real-world Case Studies")</f>
        <v>Data Science for Business | 6 Real-world Case Studies</v>
      </c>
    </row>
    <row r="7620">
      <c r="A7620" s="140" t="str">
        <f>IFERROR(__xludf.DUMMYFUNCTION("""COMPUTED_VALUE"""),"en")</f>
        <v>en</v>
      </c>
      <c r="B7620">
        <f>IFERROR(__xludf.DUMMYFUNCTION("""COMPUTED_VALUE"""),4315528.0)</f>
        <v>4315528</v>
      </c>
      <c r="C7620" t="str">
        <f>IFERROR(__xludf.DUMMYFUNCTION("""COMPUTED_VALUE"""),"Communicating with Empathy")</f>
        <v>Communicating with Empathy</v>
      </c>
    </row>
    <row r="7621">
      <c r="A7621" s="140" t="str">
        <f>IFERROR(__xludf.DUMMYFUNCTION("""COMPUTED_VALUE"""),"en")</f>
        <v>en</v>
      </c>
      <c r="B7621">
        <f>IFERROR(__xludf.DUMMYFUNCTION("""COMPUTED_VALUE"""),2045296.0)</f>
        <v>2045296</v>
      </c>
      <c r="C7621" t="str">
        <f>IFERROR(__xludf.DUMMYFUNCTION("""COMPUTED_VALUE"""),"Systems Innovation")</f>
        <v>Systems Innovation</v>
      </c>
    </row>
    <row r="7622">
      <c r="A7622" s="140" t="str">
        <f>IFERROR(__xludf.DUMMYFUNCTION("""COMPUTED_VALUE"""),"en")</f>
        <v>en</v>
      </c>
      <c r="B7622">
        <f>IFERROR(__xludf.DUMMYFUNCTION("""COMPUTED_VALUE"""),3388294.0)</f>
        <v>3388294</v>
      </c>
      <c r="C7622" t="str">
        <f>IFERROR(__xludf.DUMMYFUNCTION("""COMPUTED_VALUE"""),"iOS 14 &amp; Swift Chat Application Like Whatsapp Viber Telegram")</f>
        <v>iOS 14 &amp; Swift Chat Application Like Whatsapp Viber Telegram</v>
      </c>
    </row>
    <row r="7623">
      <c r="A7623" s="140" t="str">
        <f>IFERROR(__xludf.DUMMYFUNCTION("""COMPUTED_VALUE"""),"es")</f>
        <v>es</v>
      </c>
      <c r="B7623">
        <f>IFERROR(__xludf.DUMMYFUNCTION("""COMPUTED_VALUE"""),536328.0)</f>
        <v>536328</v>
      </c>
      <c r="C7623" t="str">
        <f>IFERROR(__xludf.DUMMYFUNCTION("""COMPUTED_VALUE"""),"Marketing de Afiliados: Como Generar Ingresos Pasivos Online")</f>
        <v>Marketing de Afiliados: Como Generar Ingresos Pasivos Online</v>
      </c>
    </row>
    <row r="7624">
      <c r="A7624" s="140" t="str">
        <f>IFERROR(__xludf.DUMMYFUNCTION("""COMPUTED_VALUE"""),"en")</f>
        <v>en</v>
      </c>
      <c r="B7624">
        <f>IFERROR(__xludf.DUMMYFUNCTION("""COMPUTED_VALUE"""),1165258.0)</f>
        <v>1165258</v>
      </c>
      <c r="C7624" t="str">
        <f>IFERROR(__xludf.DUMMYFUNCTION("""COMPUTED_VALUE"""),"Salesforce Admin Certification Practice Tests [UPDATED]")</f>
        <v>Salesforce Admin Certification Practice Tests [UPDATED]</v>
      </c>
    </row>
    <row r="7625">
      <c r="A7625" s="140" t="str">
        <f>IFERROR(__xludf.DUMMYFUNCTION("""COMPUTED_VALUE"""),"en")</f>
        <v>en</v>
      </c>
      <c r="B7625">
        <f>IFERROR(__xludf.DUMMYFUNCTION("""COMPUTED_VALUE"""),119866.0)</f>
        <v>119866</v>
      </c>
      <c r="C7625" t="str">
        <f>IFERROR(__xludf.DUMMYFUNCTION("""COMPUTED_VALUE"""),"Intermediate Computer Forensics")</f>
        <v>Intermediate Computer Forensics</v>
      </c>
    </row>
    <row r="7626">
      <c r="A7626" s="140" t="str">
        <f>IFERROR(__xludf.DUMMYFUNCTION("""COMPUTED_VALUE"""),"pt")</f>
        <v>pt</v>
      </c>
      <c r="B7626">
        <f>IFERROR(__xludf.DUMMYFUNCTION("""COMPUTED_VALUE"""),1025436.0)</f>
        <v>1025436</v>
      </c>
      <c r="C7626" t="str">
        <f>IFERROR(__xludf.DUMMYFUNCTION("""COMPUTED_VALUE"""),"Como se tornar um Vendedor Profissional")</f>
        <v>Como se tornar um Vendedor Profissional</v>
      </c>
    </row>
    <row r="7627">
      <c r="A7627" s="140" t="str">
        <f>IFERROR(__xludf.DUMMYFUNCTION("""COMPUTED_VALUE"""),"en")</f>
        <v>en</v>
      </c>
      <c r="B7627">
        <f>IFERROR(__xludf.DUMMYFUNCTION("""COMPUTED_VALUE"""),1177200.0)</f>
        <v>1177200</v>
      </c>
      <c r="C7627" t="str">
        <f>IFERROR(__xludf.DUMMYFUNCTION("""COMPUTED_VALUE"""),"Service Cloud Exam: Contact Center Industry Knowledge")</f>
        <v>Service Cloud Exam: Contact Center Industry Knowledge</v>
      </c>
    </row>
    <row r="7628">
      <c r="A7628" s="140" t="str">
        <f>IFERROR(__xludf.DUMMYFUNCTION("""COMPUTED_VALUE"""),"es")</f>
        <v>es</v>
      </c>
      <c r="B7628">
        <f>IFERROR(__xludf.DUMMYFUNCTION("""COMPUTED_VALUE"""),1682960.0)</f>
        <v>1682960</v>
      </c>
      <c r="C7628" t="str">
        <f>IFERROR(__xludf.DUMMYFUNCTION("""COMPUTED_VALUE"""),"Google Ads - Curso Completo Desde lo Básico Hasta Avanzado")</f>
        <v>Google Ads - Curso Completo Desde lo Básico Hasta Avanzado</v>
      </c>
    </row>
    <row r="7629">
      <c r="A7629" s="140" t="str">
        <f>IFERROR(__xludf.DUMMYFUNCTION("""COMPUTED_VALUE"""),"en")</f>
        <v>en</v>
      </c>
      <c r="B7629">
        <f>IFERROR(__xludf.DUMMYFUNCTION("""COMPUTED_VALUE"""),3791404.0)</f>
        <v>3791404</v>
      </c>
      <c r="C7629" t="str">
        <f>IFERROR(__xludf.DUMMYFUNCTION("""COMPUTED_VALUE"""),"The Manager's Guide to Driving High Performance")</f>
        <v>The Manager's Guide to Driving High Performance</v>
      </c>
    </row>
    <row r="7630">
      <c r="A7630" s="140" t="str">
        <f>IFERROR(__xludf.DUMMYFUNCTION("""COMPUTED_VALUE"""),"ja")</f>
        <v>ja</v>
      </c>
      <c r="B7630">
        <f>IFERROR(__xludf.DUMMYFUNCTION("""COMPUTED_VALUE"""),3747522.0)</f>
        <v>3747522</v>
      </c>
      <c r="C7630" t="str">
        <f>IFERROR(__xludf.DUMMYFUNCTION("""COMPUTED_VALUE"""),"AWS と Terraformで実現するInfrastructure as Code")</f>
        <v>AWS と Terraformで実現するInfrastructure as Code</v>
      </c>
    </row>
    <row r="7631">
      <c r="A7631" s="140" t="str">
        <f>IFERROR(__xludf.DUMMYFUNCTION("""COMPUTED_VALUE"""),"en")</f>
        <v>en</v>
      </c>
      <c r="B7631">
        <f>IFERROR(__xludf.DUMMYFUNCTION("""COMPUTED_VALUE"""),1599662.0)</f>
        <v>1599662</v>
      </c>
      <c r="C7631" t="str">
        <f>IFERROR(__xludf.DUMMYFUNCTION("""COMPUTED_VALUE"""),"Deploy Java Spring Apps Online to Amazon Cloud (AWS)")</f>
        <v>Deploy Java Spring Apps Online to Amazon Cloud (AWS)</v>
      </c>
    </row>
    <row r="7632">
      <c r="A7632" s="140" t="str">
        <f>IFERROR(__xludf.DUMMYFUNCTION("""COMPUTED_VALUE"""),"en")</f>
        <v>en</v>
      </c>
      <c r="B7632">
        <f>IFERROR(__xludf.DUMMYFUNCTION("""COMPUTED_VALUE"""),1791362.0)</f>
        <v>1791362</v>
      </c>
      <c r="C7632" t="str">
        <f>IFERROR(__xludf.DUMMYFUNCTION("""COMPUTED_VALUE"""),"AWS Certified Solution Architect Associate - Preparation")</f>
        <v>AWS Certified Solution Architect Associate - Preparation</v>
      </c>
    </row>
    <row r="7633">
      <c r="A7633" s="140" t="str">
        <f>IFERROR(__xludf.DUMMYFUNCTION("""COMPUTED_VALUE"""),"en")</f>
        <v>en</v>
      </c>
      <c r="B7633">
        <f>IFERROR(__xludf.DUMMYFUNCTION("""COMPUTED_VALUE"""),546882.0)</f>
        <v>546882</v>
      </c>
      <c r="C7633" t="str">
        <f>IFERROR(__xludf.DUMMYFUNCTION("""COMPUTED_VALUE"""),"Small or new business? Want to grow by 46%?")</f>
        <v>Small or new business? Want to grow by 46%?</v>
      </c>
    </row>
    <row r="7634">
      <c r="A7634" s="140" t="str">
        <f>IFERROR(__xludf.DUMMYFUNCTION("""COMPUTED_VALUE"""),"en")</f>
        <v>en</v>
      </c>
      <c r="B7634">
        <f>IFERROR(__xludf.DUMMYFUNCTION("""COMPUTED_VALUE"""),3259046.0)</f>
        <v>3259046</v>
      </c>
      <c r="C7634" t="str">
        <f>IFERROR(__xludf.DUMMYFUNCTION("""COMPUTED_VALUE"""),"Prometheus | The Complete Hands-On for Monitoring &amp; Alerting")</f>
        <v>Prometheus | The Complete Hands-On for Monitoring &amp; Alerting</v>
      </c>
    </row>
    <row r="7635">
      <c r="A7635" s="140" t="str">
        <f>IFERROR(__xludf.DUMMYFUNCTION("""COMPUTED_VALUE"""),"ja")</f>
        <v>ja</v>
      </c>
      <c r="B7635">
        <f>IFERROR(__xludf.DUMMYFUNCTION("""COMPUTED_VALUE"""),1062156.0)</f>
        <v>1062156</v>
      </c>
      <c r="C7635" t="str">
        <f>IFERROR(__xludf.DUMMYFUNCTION("""COMPUTED_VALUE"""),"センス不要！伝わるプレゼン資料のデザインルール【入門編】")</f>
        <v>センス不要！伝わるプレゼン資料のデザインルール【入門編】</v>
      </c>
    </row>
    <row r="7636">
      <c r="A7636" s="140" t="str">
        <f>IFERROR(__xludf.DUMMYFUNCTION("""COMPUTED_VALUE"""),"en")</f>
        <v>en</v>
      </c>
      <c r="B7636">
        <f>IFERROR(__xludf.DUMMYFUNCTION("""COMPUTED_VALUE"""),311528.0)</f>
        <v>311528</v>
      </c>
      <c r="C7636" t="str">
        <f>IFERROR(__xludf.DUMMYFUNCTION("""COMPUTED_VALUE"""),"Sage 300 ERP: Installation and Setup Guide for Beginners")</f>
        <v>Sage 300 ERP: Installation and Setup Guide for Beginners</v>
      </c>
    </row>
    <row r="7637">
      <c r="A7637" s="140" t="str">
        <f>IFERROR(__xludf.DUMMYFUNCTION("""COMPUTED_VALUE"""),"ja")</f>
        <v>ja</v>
      </c>
      <c r="B7637">
        <f>IFERROR(__xludf.DUMMYFUNCTION("""COMPUTED_VALUE"""),4192378.0)</f>
        <v>4192378</v>
      </c>
      <c r="C7637" t="str">
        <f>IFERROR(__xludf.DUMMYFUNCTION("""COMPUTED_VALUE"""),"【Blender総合学習の決定版!!】Blenderアクアリウム講座")</f>
        <v>【Blender総合学習の決定版!!】Blenderアクアリウム講座</v>
      </c>
    </row>
    <row r="7638">
      <c r="A7638" s="140" t="str">
        <f>IFERROR(__xludf.DUMMYFUNCTION("""COMPUTED_VALUE"""),"en")</f>
        <v>en</v>
      </c>
      <c r="B7638">
        <f>IFERROR(__xludf.DUMMYFUNCTION("""COMPUTED_VALUE"""),446608.0)</f>
        <v>446608</v>
      </c>
      <c r="C7638" t="str">
        <f>IFERROR(__xludf.DUMMYFUNCTION("""COMPUTED_VALUE"""),"AJAX : Let's build a COOL project")</f>
        <v>AJAX : Let's build a COOL project</v>
      </c>
    </row>
    <row r="7639">
      <c r="A7639" s="140" t="str">
        <f>IFERROR(__xludf.DUMMYFUNCTION("""COMPUTED_VALUE"""),"en")</f>
        <v>en</v>
      </c>
      <c r="B7639">
        <f>IFERROR(__xludf.DUMMYFUNCTION("""COMPUTED_VALUE"""),2881378.0)</f>
        <v>2881378</v>
      </c>
      <c r="C7639" t="str">
        <f>IFERROR(__xludf.DUMMYFUNCTION("""COMPUTED_VALUE"""),"Level 4 Diploma - Supplier Relationships (L4M6)")</f>
        <v>Level 4 Diploma - Supplier Relationships (L4M6)</v>
      </c>
    </row>
    <row r="7640">
      <c r="A7640" s="140" t="str">
        <f>IFERROR(__xludf.DUMMYFUNCTION("""COMPUTED_VALUE"""),"en")</f>
        <v>en</v>
      </c>
      <c r="B7640">
        <f>IFERROR(__xludf.DUMMYFUNCTION("""COMPUTED_VALUE"""),3580811.0)</f>
        <v>3580811</v>
      </c>
      <c r="C7640" t="str">
        <f>IFERROR(__xludf.DUMMYFUNCTION("""COMPUTED_VALUE"""),"Illustrator on the iPad MasterClass")</f>
        <v>Illustrator on the iPad MasterClass</v>
      </c>
    </row>
    <row r="7641">
      <c r="A7641" s="140" t="str">
        <f>IFERROR(__xludf.DUMMYFUNCTION("""COMPUTED_VALUE"""),"en")</f>
        <v>en</v>
      </c>
      <c r="B7641">
        <f>IFERROR(__xludf.DUMMYFUNCTION("""COMPUTED_VALUE"""),627730.0)</f>
        <v>627730</v>
      </c>
      <c r="C7641" t="str">
        <f>IFERROR(__xludf.DUMMYFUNCTION("""COMPUTED_VALUE"""),"Adobe After Effects: Complete Course from Novice to Expert")</f>
        <v>Adobe After Effects: Complete Course from Novice to Expert</v>
      </c>
    </row>
    <row r="7642">
      <c r="A7642" s="140" t="str">
        <f>IFERROR(__xludf.DUMMYFUNCTION("""COMPUTED_VALUE"""),"en")</f>
        <v>en</v>
      </c>
      <c r="B7642">
        <f>IFERROR(__xludf.DUMMYFUNCTION("""COMPUTED_VALUE"""),768670.0)</f>
        <v>768670</v>
      </c>
      <c r="C7642" t="str">
        <f>IFERROR(__xludf.DUMMYFUNCTION("""COMPUTED_VALUE"""),"Learn Big Data: The Hadoop Ecosystem Masterclass")</f>
        <v>Learn Big Data: The Hadoop Ecosystem Masterclass</v>
      </c>
    </row>
    <row r="7643">
      <c r="A7643" s="140" t="str">
        <f>IFERROR(__xludf.DUMMYFUNCTION("""COMPUTED_VALUE"""),"en")</f>
        <v>en</v>
      </c>
      <c r="B7643">
        <f>IFERROR(__xludf.DUMMYFUNCTION("""COMPUTED_VALUE"""),1355158.0)</f>
        <v>1355158</v>
      </c>
      <c r="C7643" t="str">
        <f>IFERROR(__xludf.DUMMYFUNCTION("""COMPUTED_VALUE"""),"Creativity, Design Thinking, and Innovation for Business")</f>
        <v>Creativity, Design Thinking, and Innovation for Business</v>
      </c>
    </row>
    <row r="7644">
      <c r="A7644" s="140" t="str">
        <f>IFERROR(__xludf.DUMMYFUNCTION("""COMPUTED_VALUE"""),"en")</f>
        <v>en</v>
      </c>
      <c r="B7644">
        <f>IFERROR(__xludf.DUMMYFUNCTION("""COMPUTED_VALUE"""),1693610.0)</f>
        <v>1693610</v>
      </c>
      <c r="C7644" t="str">
        <f>IFERROR(__xludf.DUMMYFUNCTION("""COMPUTED_VALUE"""),"Learn DevOps: On-Prem or Cloud Agnostic Kubernetes")</f>
        <v>Learn DevOps: On-Prem or Cloud Agnostic Kubernetes</v>
      </c>
    </row>
    <row r="7645">
      <c r="A7645" s="140" t="str">
        <f>IFERROR(__xludf.DUMMYFUNCTION("""COMPUTED_VALUE"""),"pt")</f>
        <v>pt</v>
      </c>
      <c r="B7645">
        <f>IFERROR(__xludf.DUMMYFUNCTION("""COMPUTED_VALUE"""),2058291.0)</f>
        <v>2058291</v>
      </c>
      <c r="C7645" t="str">
        <f>IFERROR(__xludf.DUMMYFUNCTION("""COMPUTED_VALUE"""),"Photoshop CC COMPLETO - Design Gráfico do Zero ao Avançado")</f>
        <v>Photoshop CC COMPLETO - Design Gráfico do Zero ao Avançado</v>
      </c>
    </row>
    <row r="7646">
      <c r="A7646" s="140" t="str">
        <f>IFERROR(__xludf.DUMMYFUNCTION("""COMPUTED_VALUE"""),"en")</f>
        <v>en</v>
      </c>
      <c r="B7646">
        <f>IFERROR(__xludf.DUMMYFUNCTION("""COMPUTED_VALUE"""),4258538.0)</f>
        <v>4258538</v>
      </c>
      <c r="C7646" t="str">
        <f>IFERROR(__xludf.DUMMYFUNCTION("""COMPUTED_VALUE"""),"Low Poly Landscapes - Blender Bite Sized Course")</f>
        <v>Low Poly Landscapes - Blender Bite Sized Course</v>
      </c>
    </row>
    <row r="7647">
      <c r="A7647" s="140" t="str">
        <f>IFERROR(__xludf.DUMMYFUNCTION("""COMPUTED_VALUE"""),"ja")</f>
        <v>ja</v>
      </c>
      <c r="B7647">
        <f>IFERROR(__xludf.DUMMYFUNCTION("""COMPUTED_VALUE"""),4086814.0)</f>
        <v>4086814</v>
      </c>
      <c r="C7647" t="str">
        <f>IFERROR(__xludf.DUMMYFUNCTION("""COMPUTED_VALUE"""),"SY0-601: CompTIA  Security+ 模擬試験問題集(6回分440問)")</f>
        <v>SY0-601: CompTIA  Security+ 模擬試験問題集(6回分440問)</v>
      </c>
    </row>
    <row r="7648">
      <c r="A7648" s="140" t="str">
        <f>IFERROR(__xludf.DUMMYFUNCTION("""COMPUTED_VALUE"""),"es")</f>
        <v>es</v>
      </c>
      <c r="B7648">
        <f>IFERROR(__xludf.DUMMYFUNCTION("""COMPUTED_VALUE"""),1265998.0)</f>
        <v>1265998</v>
      </c>
      <c r="C7648" t="str">
        <f>IFERROR(__xludf.DUMMYFUNCTION("""COMPUTED_VALUE"""),"System Center Configuration Manager MECM SCCM Current Branch")</f>
        <v>System Center Configuration Manager MECM SCCM Current Branch</v>
      </c>
    </row>
    <row r="7649">
      <c r="A7649" s="140" t="str">
        <f>IFERROR(__xludf.DUMMYFUNCTION("""COMPUTED_VALUE"""),"fr")</f>
        <v>fr</v>
      </c>
      <c r="B7649">
        <f>IFERROR(__xludf.DUMMYFUNCTION("""COMPUTED_VALUE"""),3296904.0)</f>
        <v>3296904</v>
      </c>
      <c r="C7649" t="str">
        <f>IFERROR(__xludf.DUMMYFUNCTION("""COMPUTED_VALUE"""),"Masterclass - Production musicale sur FL Studio 20")</f>
        <v>Masterclass - Production musicale sur FL Studio 20</v>
      </c>
    </row>
    <row r="7650">
      <c r="A7650" s="140" t="str">
        <f>IFERROR(__xludf.DUMMYFUNCTION("""COMPUTED_VALUE"""),"fr")</f>
        <v>fr</v>
      </c>
      <c r="B7650">
        <f>IFERROR(__xludf.DUMMYFUNCTION("""COMPUTED_VALUE"""),3055758.0)</f>
        <v>3055758</v>
      </c>
      <c r="C7650" t="str">
        <f>IFERROR(__xludf.DUMMYFUNCTION("""COMPUTED_VALUE"""),"Vue.js de A à Z")</f>
        <v>Vue.js de A à Z</v>
      </c>
    </row>
    <row r="7651">
      <c r="A7651" s="140" t="str">
        <f>IFERROR(__xludf.DUMMYFUNCTION("""COMPUTED_VALUE"""),"de")</f>
        <v>de</v>
      </c>
      <c r="B7651">
        <f>IFERROR(__xludf.DUMMYFUNCTION("""COMPUTED_VALUE"""),957790.0)</f>
        <v>957790</v>
      </c>
      <c r="C7651" t="str">
        <f>IFERROR(__xludf.DUMMYFUNCTION("""COMPUTED_VALUE"""),"macOS Sierra – Das große Einsteiger-Training in der Praxis")</f>
        <v>macOS Sierra – Das große Einsteiger-Training in der Praxis</v>
      </c>
    </row>
    <row r="7652">
      <c r="A7652" s="140" t="str">
        <f>IFERROR(__xludf.DUMMYFUNCTION("""COMPUTED_VALUE"""),"es")</f>
        <v>es</v>
      </c>
      <c r="B7652">
        <f>IFERROR(__xludf.DUMMYFUNCTION("""COMPUTED_VALUE"""),3425570.0)</f>
        <v>3425570</v>
      </c>
      <c r="C7652" t="str">
        <f>IFERROR(__xludf.DUMMYFUNCTION("""COMPUTED_VALUE"""),"Node JS: APIs poderosas con TypeScript + Repository Pattern")</f>
        <v>Node JS: APIs poderosas con TypeScript + Repository Pattern</v>
      </c>
    </row>
    <row r="7653">
      <c r="A7653" s="140" t="str">
        <f>IFERROR(__xludf.DUMMYFUNCTION("""COMPUTED_VALUE"""),"en")</f>
        <v>en</v>
      </c>
      <c r="B7653">
        <f>IFERROR(__xludf.DUMMYFUNCTION("""COMPUTED_VALUE"""),1413832.0)</f>
        <v>1413832</v>
      </c>
      <c r="C7653" t="str">
        <f>IFERROR(__xludf.DUMMYFUNCTION("""COMPUTED_VALUE"""),"Become Top Banker With Complete Bank Teller Training - 2020")</f>
        <v>Become Top Banker With Complete Bank Teller Training - 2020</v>
      </c>
    </row>
    <row r="7654">
      <c r="A7654" s="140" t="str">
        <f>IFERROR(__xludf.DUMMYFUNCTION("""COMPUTED_VALUE"""),"en")</f>
        <v>en</v>
      </c>
      <c r="B7654">
        <f>IFERROR(__xludf.DUMMYFUNCTION("""COMPUTED_VALUE"""),2014026.0)</f>
        <v>2014026</v>
      </c>
      <c r="C7654" t="str">
        <f>IFERROR(__xludf.DUMMYFUNCTION("""COMPUTED_VALUE"""),"Distributed Systems &amp; Cloud Computing with Java")</f>
        <v>Distributed Systems &amp; Cloud Computing with Java</v>
      </c>
    </row>
    <row r="7655">
      <c r="A7655" s="140" t="str">
        <f>IFERROR(__xludf.DUMMYFUNCTION("""COMPUTED_VALUE"""),"en")</f>
        <v>en</v>
      </c>
      <c r="B7655">
        <f>IFERROR(__xludf.DUMMYFUNCTION("""COMPUTED_VALUE"""),3905734.0)</f>
        <v>3905734</v>
      </c>
      <c r="C7655" t="str">
        <f>IFERROR(__xludf.DUMMYFUNCTION("""COMPUTED_VALUE"""),"Spring Boot for Automation Testing - UI and Microservices")</f>
        <v>Spring Boot for Automation Testing - UI and Microservices</v>
      </c>
    </row>
    <row r="7656">
      <c r="A7656" s="140" t="str">
        <f>IFERROR(__xludf.DUMMYFUNCTION("""COMPUTED_VALUE"""),"en")</f>
        <v>en</v>
      </c>
      <c r="B7656">
        <f>IFERROR(__xludf.DUMMYFUNCTION("""COMPUTED_VALUE"""),2107052.0)</f>
        <v>2107052</v>
      </c>
      <c r="C7656" t="str">
        <f>IFERROR(__xludf.DUMMYFUNCTION("""COMPUTED_VALUE"""),"Microsoft Dynamics 365 &amp; PowerApps Developer Course - Part 2")</f>
        <v>Microsoft Dynamics 365 &amp; PowerApps Developer Course - Part 2</v>
      </c>
    </row>
    <row r="7657">
      <c r="A7657" s="140" t="str">
        <f>IFERROR(__xludf.DUMMYFUNCTION("""COMPUTED_VALUE"""),"es")</f>
        <v>es</v>
      </c>
      <c r="B7657">
        <f>IFERROR(__xludf.DUMMYFUNCTION("""COMPUTED_VALUE"""),2555994.0)</f>
        <v>2555994</v>
      </c>
      <c r="C7657" t="str">
        <f>IFERROR(__xludf.DUMMYFUNCTION("""COMPUTED_VALUE"""),"React JS Hooks: De Cero a Experto Creado Aplicaciones Reales")</f>
        <v>React JS Hooks: De Cero a Experto Creado Aplicaciones Reales</v>
      </c>
    </row>
    <row r="7658">
      <c r="A7658" s="140" t="str">
        <f>IFERROR(__xludf.DUMMYFUNCTION("""COMPUTED_VALUE"""),"en")</f>
        <v>en</v>
      </c>
      <c r="B7658">
        <f>IFERROR(__xludf.DUMMYFUNCTION("""COMPUTED_VALUE"""),1463348.0)</f>
        <v>1463348</v>
      </c>
      <c r="C7658" t="str">
        <f>IFERROR(__xludf.DUMMYFUNCTION("""COMPUTED_VALUE"""),"Modern JavaScript From The Beginning")</f>
        <v>Modern JavaScript From The Beginning</v>
      </c>
    </row>
    <row r="7659">
      <c r="A7659" s="140" t="str">
        <f>IFERROR(__xludf.DUMMYFUNCTION("""COMPUTED_VALUE"""),"zh")</f>
        <v>zh</v>
      </c>
      <c r="B7659">
        <f>IFERROR(__xludf.DUMMYFUNCTION("""COMPUTED_VALUE"""),2052445.0)</f>
        <v>2052445</v>
      </c>
      <c r="C7659" t="str">
        <f>IFERROR(__xludf.DUMMYFUNCTION("""COMPUTED_VALUE"""),"跟着分析师一起学SAS")</f>
        <v>跟着分析师一起学SAS</v>
      </c>
    </row>
    <row r="7660">
      <c r="A7660" s="140" t="str">
        <f>IFERROR(__xludf.DUMMYFUNCTION("""COMPUTED_VALUE"""),"ar")</f>
        <v>ar</v>
      </c>
      <c r="B7660">
        <f>IFERROR(__xludf.DUMMYFUNCTION("""COMPUTED_VALUE"""),2393672.0)</f>
        <v>2393672</v>
      </c>
      <c r="C7660" t="str">
        <f>IFERROR(__xludf.DUMMYFUNCTION("""COMPUTED_VALUE"""),"Mikrotik From Zero To  Hero (شرح مايكروتك من الصفر للاحتراف)")</f>
        <v>Mikrotik From Zero To  Hero (شرح مايكروتك من الصفر للاحتراف)</v>
      </c>
    </row>
    <row r="7661">
      <c r="A7661" s="140" t="str">
        <f>IFERROR(__xludf.DUMMYFUNCTION("""COMPUTED_VALUE"""),"de")</f>
        <v>de</v>
      </c>
      <c r="B7661">
        <f>IFERROR(__xludf.DUMMYFUNCTION("""COMPUTED_VALUE"""),3611832.0)</f>
        <v>3611832</v>
      </c>
      <c r="C7661" t="str">
        <f>IFERROR(__xludf.DUMMYFUNCTION("""COMPUTED_VALUE"""),"OEE-Management (Deutsch)")</f>
        <v>OEE-Management (Deutsch)</v>
      </c>
    </row>
    <row r="7662">
      <c r="A7662" s="140" t="str">
        <f>IFERROR(__xludf.DUMMYFUNCTION("""COMPUTED_VALUE"""),"ja")</f>
        <v>ja</v>
      </c>
      <c r="B7662">
        <f>IFERROR(__xludf.DUMMYFUNCTION("""COMPUTED_VALUE"""),2034584.0)</f>
        <v>2034584</v>
      </c>
      <c r="C7662" t="str">
        <f>IFERROR(__xludf.DUMMYFUNCTION("""COMPUTED_VALUE"""),"Python から飛び込むプログラミングの世界【丁寧な解説+小さなシステム開発ゼミで、知識「ゼロ」から「使える」知識に】")</f>
        <v>Python から飛び込むプログラミングの世界【丁寧な解説+小さなシステム開発ゼミで、知識「ゼロ」から「使える」知識に】</v>
      </c>
    </row>
    <row r="7663">
      <c r="A7663" s="140" t="str">
        <f>IFERROR(__xludf.DUMMYFUNCTION("""COMPUTED_VALUE"""),"en")</f>
        <v>en</v>
      </c>
      <c r="B7663">
        <f>IFERROR(__xludf.DUMMYFUNCTION("""COMPUTED_VALUE"""),3378740.0)</f>
        <v>3378740</v>
      </c>
      <c r="C7663" t="str">
        <f>IFERROR(__xludf.DUMMYFUNCTION("""COMPUTED_VALUE"""),"Tableau Desktop Specialist Certification Exam Prep 2021")</f>
        <v>Tableau Desktop Specialist Certification Exam Prep 2021</v>
      </c>
    </row>
    <row r="7664">
      <c r="A7664" s="140" t="str">
        <f>IFERROR(__xludf.DUMMYFUNCTION("""COMPUTED_VALUE"""),"en")</f>
        <v>en</v>
      </c>
      <c r="B7664">
        <f>IFERROR(__xludf.DUMMYFUNCTION("""COMPUTED_VALUE"""),1333372.0)</f>
        <v>1333372</v>
      </c>
      <c r="C7664" t="str">
        <f>IFERROR(__xludf.DUMMYFUNCTION("""COMPUTED_VALUE"""),"An Introduction to Machine Learning for Data Engineers")</f>
        <v>An Introduction to Machine Learning for Data Engineers</v>
      </c>
    </row>
    <row r="7665">
      <c r="A7665" s="140" t="str">
        <f>IFERROR(__xludf.DUMMYFUNCTION("""COMPUTED_VALUE"""),"tr")</f>
        <v>tr</v>
      </c>
      <c r="B7665">
        <f>IFERROR(__xludf.DUMMYFUNCTION("""COMPUTED_VALUE"""),1910934.0)</f>
        <v>1910934</v>
      </c>
      <c r="C7665" t="str">
        <f>IFERROR(__xludf.DUMMYFUNCTION("""COMPUTED_VALUE"""),"Sıfırdan Zirveye Adım Adım Bol Uygulamalı Java Kursu")</f>
        <v>Sıfırdan Zirveye Adım Adım Bol Uygulamalı Java Kursu</v>
      </c>
    </row>
    <row r="7666">
      <c r="A7666" s="140" t="str">
        <f>IFERROR(__xludf.DUMMYFUNCTION("""COMPUTED_VALUE"""),"ar")</f>
        <v>ar</v>
      </c>
      <c r="B7666">
        <f>IFERROR(__xludf.DUMMYFUNCTION("""COMPUTED_VALUE"""),2538138.0)</f>
        <v>2538138</v>
      </c>
      <c r="C7666" t="str">
        <f>IFERROR(__xludf.DUMMYFUNCTION("""COMPUTED_VALUE"""),"Advanced C#+SQLServer Using MVP Design Pattern 2020 (Arabic)")</f>
        <v>Advanced C#+SQLServer Using MVP Design Pattern 2020 (Arabic)</v>
      </c>
    </row>
    <row r="7667">
      <c r="A7667" s="140" t="str">
        <f>IFERROR(__xludf.DUMMYFUNCTION("""COMPUTED_VALUE"""),"en")</f>
        <v>en</v>
      </c>
      <c r="B7667">
        <f>IFERROR(__xludf.DUMMYFUNCTION("""COMPUTED_VALUE"""),13391.0)</f>
        <v>13391</v>
      </c>
      <c r="C7667" t="str">
        <f>IFERROR(__xludf.DUMMYFUNCTION("""COMPUTED_VALUE"""),"The Neuroscience of Reframing &amp; How to Do It")</f>
        <v>The Neuroscience of Reframing &amp; How to Do It</v>
      </c>
    </row>
    <row r="7668">
      <c r="A7668" s="140" t="str">
        <f>IFERROR(__xludf.DUMMYFUNCTION("""COMPUTED_VALUE"""),"tr")</f>
        <v>tr</v>
      </c>
      <c r="B7668">
        <f>IFERROR(__xludf.DUMMYFUNCTION("""COMPUTED_VALUE"""),1899236.0)</f>
        <v>1899236</v>
      </c>
      <c r="C7668" t="str">
        <f>IFERROR(__xludf.DUMMYFUNCTION("""COMPUTED_VALUE"""),"Hasan Yüksektepe ile Wordpress Eklentisi Geliştirme")</f>
        <v>Hasan Yüksektepe ile Wordpress Eklentisi Geliştirme</v>
      </c>
    </row>
    <row r="7669">
      <c r="A7669" s="140" t="str">
        <f>IFERROR(__xludf.DUMMYFUNCTION("""COMPUTED_VALUE"""),"ja")</f>
        <v>ja</v>
      </c>
      <c r="B7669">
        <f>IFERROR(__xludf.DUMMYFUNCTION("""COMPUTED_VALUE"""),4097006.0)</f>
        <v>4097006</v>
      </c>
      <c r="C7669" t="str">
        <f>IFERROR(__xludf.DUMMYFUNCTION("""COMPUTED_VALUE"""),"独学で身につけるPython〜基礎編〜【業務効率化・自動化で残業を無くそう！】")</f>
        <v>独学で身につけるPython〜基礎編〜【業務効率化・自動化で残業を無くそう！】</v>
      </c>
    </row>
    <row r="7670">
      <c r="A7670" s="140" t="str">
        <f>IFERROR(__xludf.DUMMYFUNCTION("""COMPUTED_VALUE"""),"ja")</f>
        <v>ja</v>
      </c>
      <c r="B7670">
        <f>IFERROR(__xludf.DUMMYFUNCTION("""COMPUTED_VALUE"""),1767536.0)</f>
        <v>1767536</v>
      </c>
      <c r="C7670" t="str">
        <f>IFERROR(__xludf.DUMMYFUNCTION("""COMPUTED_VALUE"""),"初心者向け：ブロックチェーンの基礎知識、暗号通貨の仕組み、スマートコントラクトについて、ビジネスへの応用可能性")</f>
        <v>初心者向け：ブロックチェーンの基礎知識、暗号通貨の仕組み、スマートコントラクトについて、ビジネスへの応用可能性</v>
      </c>
    </row>
    <row r="7671">
      <c r="A7671" s="140" t="str">
        <f>IFERROR(__xludf.DUMMYFUNCTION("""COMPUTED_VALUE"""),"tr")</f>
        <v>tr</v>
      </c>
      <c r="B7671">
        <f>IFERROR(__xludf.DUMMYFUNCTION("""COMPUTED_VALUE"""),2095262.0)</f>
        <v>2095262</v>
      </c>
      <c r="C7671" t="str">
        <f>IFERROR(__xludf.DUMMYFUNCTION("""COMPUTED_VALUE"""),"0 dan İleri Seviye Swift 5 ile İOS Mobil Uygulama Geliştirme")</f>
        <v>0 dan İleri Seviye Swift 5 ile İOS Mobil Uygulama Geliştirme</v>
      </c>
    </row>
    <row r="7672">
      <c r="A7672" s="140" t="str">
        <f>IFERROR(__xludf.DUMMYFUNCTION("""COMPUTED_VALUE"""),"ja")</f>
        <v>ja</v>
      </c>
      <c r="B7672">
        <f>IFERROR(__xludf.DUMMYFUNCTION("""COMPUTED_VALUE"""),1952056.0)</f>
        <v>1952056</v>
      </c>
      <c r="C7672" t="str">
        <f>IFERROR(__xludf.DUMMYFUNCTION("""COMPUTED_VALUE"""),"【超入門】初心者からデータ入稿まで Adobe Illustrator でキャラクターを描いてオリジナルグッズを作ろう")</f>
        <v>【超入門】初心者からデータ入稿まで Adobe Illustrator でキャラクターを描いてオリジナルグッズを作ろう</v>
      </c>
    </row>
    <row r="7673">
      <c r="A7673" s="140" t="str">
        <f>IFERROR(__xludf.DUMMYFUNCTION("""COMPUTED_VALUE"""),"en")</f>
        <v>en</v>
      </c>
      <c r="B7673">
        <f>IFERROR(__xludf.DUMMYFUNCTION("""COMPUTED_VALUE"""),1713928.0)</f>
        <v>1713928</v>
      </c>
      <c r="C7673" t="str">
        <f>IFERROR(__xludf.DUMMYFUNCTION("""COMPUTED_VALUE"""),"Visual Thinking and Sketchnoting Boot Camp")</f>
        <v>Visual Thinking and Sketchnoting Boot Camp</v>
      </c>
    </row>
    <row r="7674">
      <c r="A7674" s="140" t="str">
        <f>IFERROR(__xludf.DUMMYFUNCTION("""COMPUTED_VALUE"""),"en")</f>
        <v>en</v>
      </c>
      <c r="B7674">
        <f>IFERROR(__xludf.DUMMYFUNCTION("""COMPUTED_VALUE"""),1937150.0)</f>
        <v>1937150</v>
      </c>
      <c r="C7674" t="str">
        <f>IFERROR(__xludf.DUMMYFUNCTION("""COMPUTED_VALUE"""),"Leading Effective Meetings - You Can Lead Effective Meetings")</f>
        <v>Leading Effective Meetings - You Can Lead Effective Meetings</v>
      </c>
    </row>
    <row r="7675">
      <c r="A7675" s="140" t="str">
        <f>IFERROR(__xludf.DUMMYFUNCTION("""COMPUTED_VALUE"""),"de")</f>
        <v>de</v>
      </c>
      <c r="B7675">
        <f>IFERROR(__xludf.DUMMYFUNCTION("""COMPUTED_VALUE"""),958696.0)</f>
        <v>958696</v>
      </c>
      <c r="C7675" t="str">
        <f>IFERROR(__xludf.DUMMYFUNCTION("""COMPUTED_VALUE"""),"Perfekte Dropbox-Alternative mit ownCloud installieren")</f>
        <v>Perfekte Dropbox-Alternative mit ownCloud installieren</v>
      </c>
    </row>
    <row r="7676">
      <c r="A7676" s="140" t="str">
        <f>IFERROR(__xludf.DUMMYFUNCTION("""COMPUTED_VALUE"""),"en")</f>
        <v>en</v>
      </c>
      <c r="B7676">
        <f>IFERROR(__xludf.DUMMYFUNCTION("""COMPUTED_VALUE"""),433280.0)</f>
        <v>433280</v>
      </c>
      <c r="C7676" t="str">
        <f>IFERROR(__xludf.DUMMYFUNCTION("""COMPUTED_VALUE"""),"Data Structures in Java - Part I (+INTERVIEW QUESTIONS)")</f>
        <v>Data Structures in Java - Part I (+INTERVIEW QUESTIONS)</v>
      </c>
    </row>
    <row r="7677">
      <c r="A7677" s="140" t="str">
        <f>IFERROR(__xludf.DUMMYFUNCTION("""COMPUTED_VALUE"""),"pt")</f>
        <v>pt</v>
      </c>
      <c r="B7677">
        <f>IFERROR(__xludf.DUMMYFUNCTION("""COMPUTED_VALUE"""),3148664.0)</f>
        <v>3148664</v>
      </c>
      <c r="C7677" t="str">
        <f>IFERROR(__xludf.DUMMYFUNCTION("""COMPUTED_VALUE"""),"Introdução a instrumentos derivativos e mercados derivativos")</f>
        <v>Introdução a instrumentos derivativos e mercados derivativos</v>
      </c>
    </row>
    <row r="7678">
      <c r="A7678" s="140" t="str">
        <f>IFERROR(__xludf.DUMMYFUNCTION("""COMPUTED_VALUE"""),"de")</f>
        <v>de</v>
      </c>
      <c r="B7678">
        <f>IFERROR(__xludf.DUMMYFUNCTION("""COMPUTED_VALUE"""),895066.0)</f>
        <v>895066</v>
      </c>
      <c r="C7678" t="str">
        <f>IFERROR(__xludf.DUMMYFUNCTION("""COMPUTED_VALUE"""),"Schlagfertigkeit: Die 30 besten Schlagfertigkeits-Techniken!")</f>
        <v>Schlagfertigkeit: Die 30 besten Schlagfertigkeits-Techniken!</v>
      </c>
    </row>
    <row r="7679">
      <c r="A7679" s="140" t="str">
        <f>IFERROR(__xludf.DUMMYFUNCTION("""COMPUTED_VALUE"""),"en")</f>
        <v>en</v>
      </c>
      <c r="B7679">
        <f>IFERROR(__xludf.DUMMYFUNCTION("""COMPUTED_VALUE"""),1648440.0)</f>
        <v>1648440</v>
      </c>
      <c r="C7679" t="str">
        <f>IFERROR(__xludf.DUMMYFUNCTION("""COMPUTED_VALUE"""),"Remote Desktop Services Windows Server 2016")</f>
        <v>Remote Desktop Services Windows Server 2016</v>
      </c>
    </row>
    <row r="7680">
      <c r="A7680" s="140" t="str">
        <f>IFERROR(__xludf.DUMMYFUNCTION("""COMPUTED_VALUE"""),"es")</f>
        <v>es</v>
      </c>
      <c r="B7680">
        <f>IFERROR(__xludf.DUMMYFUNCTION("""COMPUTED_VALUE"""),2266622.0)</f>
        <v>2266622</v>
      </c>
      <c r="C7680" t="str">
        <f>IFERROR(__xludf.DUMMYFUNCTION("""COMPUTED_VALUE"""),"YouTube Masterclass - La Guía Completa de Youtube")</f>
        <v>YouTube Masterclass - La Guía Completa de Youtube</v>
      </c>
    </row>
    <row r="7681">
      <c r="A7681" s="140" t="str">
        <f>IFERROR(__xludf.DUMMYFUNCTION("""COMPUTED_VALUE"""),"en")</f>
        <v>en</v>
      </c>
      <c r="B7681">
        <f>IFERROR(__xludf.DUMMYFUNCTION("""COMPUTED_VALUE"""),1778526.0)</f>
        <v>1778526</v>
      </c>
      <c r="C7681" t="str">
        <f>IFERROR(__xludf.DUMMYFUNCTION("""COMPUTED_VALUE"""),"Cancer Biology 101")</f>
        <v>Cancer Biology 101</v>
      </c>
    </row>
    <row r="7682">
      <c r="A7682" s="140" t="str">
        <f>IFERROR(__xludf.DUMMYFUNCTION("""COMPUTED_VALUE"""),"en")</f>
        <v>en</v>
      </c>
      <c r="B7682">
        <f>IFERROR(__xludf.DUMMYFUNCTION("""COMPUTED_VALUE"""),1524804.0)</f>
        <v>1524804</v>
      </c>
      <c r="C7682" t="str">
        <f>IFERROR(__xludf.DUMMYFUNCTION("""COMPUTED_VALUE"""),"C# Advanced Topics - The Next Logical Step")</f>
        <v>C# Advanced Topics - The Next Logical Step</v>
      </c>
    </row>
    <row r="7683">
      <c r="A7683" s="140" t="str">
        <f>IFERROR(__xludf.DUMMYFUNCTION("""COMPUTED_VALUE"""),"en")</f>
        <v>en</v>
      </c>
      <c r="B7683">
        <f>IFERROR(__xludf.DUMMYFUNCTION("""COMPUTED_VALUE"""),505208.0)</f>
        <v>505208</v>
      </c>
      <c r="C7683" t="str">
        <f>IFERROR(__xludf.DUMMYFUNCTION("""COMPUTED_VALUE"""),"Responsive Web Design: HTML5 + CSS3 for Entrepreneurs 2018")</f>
        <v>Responsive Web Design: HTML5 + CSS3 for Entrepreneurs 2018</v>
      </c>
    </row>
    <row r="7684">
      <c r="A7684" s="140" t="str">
        <f>IFERROR(__xludf.DUMMYFUNCTION("""COMPUTED_VALUE"""),"en")</f>
        <v>en</v>
      </c>
      <c r="B7684">
        <f>IFERROR(__xludf.DUMMYFUNCTION("""COMPUTED_VALUE"""),2674140.0)</f>
        <v>2674140</v>
      </c>
      <c r="C7684" t="str">
        <f>IFERROR(__xludf.DUMMYFUNCTION("""COMPUTED_VALUE"""),"AWS Certified Machine Learning Specialty: 3 PRACTICE EXAMS")</f>
        <v>AWS Certified Machine Learning Specialty: 3 PRACTICE EXAMS</v>
      </c>
    </row>
    <row r="7685">
      <c r="A7685" s="140" t="str">
        <f>IFERROR(__xludf.DUMMYFUNCTION("""COMPUTED_VALUE"""),"en")</f>
        <v>en</v>
      </c>
      <c r="B7685">
        <f>IFERROR(__xludf.DUMMYFUNCTION("""COMPUTED_VALUE"""),2624514.0)</f>
        <v>2624514</v>
      </c>
      <c r="C7685" t="str">
        <f>IFERROR(__xludf.DUMMYFUNCTION("""COMPUTED_VALUE"""),"All You Need to Know About ServiceNow Development")</f>
        <v>All You Need to Know About ServiceNow Development</v>
      </c>
    </row>
    <row r="7686">
      <c r="A7686" s="140" t="str">
        <f>IFERROR(__xludf.DUMMYFUNCTION("""COMPUTED_VALUE"""),"en")</f>
        <v>en</v>
      </c>
      <c r="B7686">
        <f>IFERROR(__xludf.DUMMYFUNCTION("""COMPUTED_VALUE"""),1504268.0)</f>
        <v>1504268</v>
      </c>
      <c r="C7686" t="str">
        <f>IFERROR(__xludf.DUMMYFUNCTION("""COMPUTED_VALUE"""),"Sales Training: How To Close More Sales")</f>
        <v>Sales Training: How To Close More Sales</v>
      </c>
    </row>
    <row r="7687">
      <c r="A7687" s="140" t="str">
        <f>IFERROR(__xludf.DUMMYFUNCTION("""COMPUTED_VALUE"""),"de")</f>
        <v>de</v>
      </c>
      <c r="B7687">
        <f>IFERROR(__xludf.DUMMYFUNCTION("""COMPUTED_VALUE"""),3339456.0)</f>
        <v>3339456</v>
      </c>
      <c r="C7687" t="str">
        <f>IFERROR(__xludf.DUMMYFUNCTION("""COMPUTED_VALUE"""),"Business Coaching  – So machen's die guten Chefs.")</f>
        <v>Business Coaching  – So machen's die guten Chefs.</v>
      </c>
    </row>
    <row r="7688">
      <c r="A7688" s="140" t="str">
        <f>IFERROR(__xludf.DUMMYFUNCTION("""COMPUTED_VALUE"""),"pt")</f>
        <v>pt</v>
      </c>
      <c r="B7688">
        <f>IFERROR(__xludf.DUMMYFUNCTION("""COMPUTED_VALUE"""),3735676.0)</f>
        <v>3735676</v>
      </c>
      <c r="C7688" t="str">
        <f>IFERROR(__xludf.DUMMYFUNCTION("""COMPUTED_VALUE"""),"Estratégia de Marketing - Aprenda a traçar a sua!")</f>
        <v>Estratégia de Marketing - Aprenda a traçar a sua!</v>
      </c>
    </row>
    <row r="7689">
      <c r="A7689" s="140" t="str">
        <f>IFERROR(__xludf.DUMMYFUNCTION("""COMPUTED_VALUE"""),"ja")</f>
        <v>ja</v>
      </c>
      <c r="B7689">
        <f>IFERROR(__xludf.DUMMYFUNCTION("""COMPUTED_VALUE"""),2646876.0)</f>
        <v>2646876</v>
      </c>
      <c r="C7689" t="str">
        <f>IFERROR(__xludf.DUMMYFUNCTION("""COMPUTED_VALUE"""),"もう怖くないLinuxコマンド。手を動かしながらLinuxコマンドラインを5日間で身に付けよう")</f>
        <v>もう怖くないLinuxコマンド。手を動かしながらLinuxコマンドラインを5日間で身に付けよう</v>
      </c>
    </row>
    <row r="7690">
      <c r="A7690" s="140" t="str">
        <f>IFERROR(__xludf.DUMMYFUNCTION("""COMPUTED_VALUE"""),"es")</f>
        <v>es</v>
      </c>
      <c r="B7690">
        <f>IFERROR(__xludf.DUMMYFUNCTION("""COMPUTED_VALUE"""),2825361.0)</f>
        <v>2825361</v>
      </c>
      <c r="C7690" t="str">
        <f>IFERROR(__xludf.DUMMYFUNCTION("""COMPUTED_VALUE"""),"Programación de PLC  Siemens en TIA PORTAL")</f>
        <v>Programación de PLC  Siemens en TIA PORTAL</v>
      </c>
    </row>
    <row r="7691">
      <c r="A7691" s="140" t="str">
        <f>IFERROR(__xludf.DUMMYFUNCTION("""COMPUTED_VALUE"""),"en")</f>
        <v>en</v>
      </c>
      <c r="B7691">
        <f>IFERROR(__xludf.DUMMYFUNCTION("""COMPUTED_VALUE"""),4215764.0)</f>
        <v>4215764</v>
      </c>
      <c r="C7691" t="str">
        <f>IFERROR(__xludf.DUMMYFUNCTION("""COMPUTED_VALUE"""),"Effective UI Test Automation With Serenity BDD And Selenium")</f>
        <v>Effective UI Test Automation With Serenity BDD And Selenium</v>
      </c>
    </row>
    <row r="7692">
      <c r="A7692" s="140" t="str">
        <f>IFERROR(__xludf.DUMMYFUNCTION("""COMPUTED_VALUE"""),"tr")</f>
        <v>tr</v>
      </c>
      <c r="B7692">
        <f>IFERROR(__xludf.DUMMYFUNCTION("""COMPUTED_VALUE"""),3399418.0)</f>
        <v>3399418</v>
      </c>
      <c r="C7692" t="str">
        <f>IFERROR(__xludf.DUMMYFUNCTION("""COMPUTED_VALUE"""),"Kendine Koçluk Yap! ""Hedef, Zaman, Özgüven, Motivasyon""")</f>
        <v>Kendine Koçluk Yap! "Hedef, Zaman, Özgüven, Motivasyon"</v>
      </c>
    </row>
    <row r="7693">
      <c r="A7693" s="140" t="str">
        <f>IFERROR(__xludf.DUMMYFUNCTION("""COMPUTED_VALUE"""),"es")</f>
        <v>es</v>
      </c>
      <c r="B7693">
        <f>IFERROR(__xludf.DUMMYFUNCTION("""COMPUTED_VALUE"""),1331806.0)</f>
        <v>1331806</v>
      </c>
      <c r="C7693" t="str">
        <f>IFERROR(__xludf.DUMMYFUNCTION("""COMPUTED_VALUE"""),"Programación Orientada a Objetos con Java")</f>
        <v>Programación Orientada a Objetos con Java</v>
      </c>
    </row>
    <row r="7694">
      <c r="A7694" s="140" t="str">
        <f>IFERROR(__xludf.DUMMYFUNCTION("""COMPUTED_VALUE"""),"en")</f>
        <v>en</v>
      </c>
      <c r="B7694">
        <f>IFERROR(__xludf.DUMMYFUNCTION("""COMPUTED_VALUE"""),1200802.0)</f>
        <v>1200802</v>
      </c>
      <c r="C7694" t="str">
        <f>IFERROR(__xludf.DUMMYFUNCTION("""COMPUTED_VALUE"""),"Linked List Data Structure using Python")</f>
        <v>Linked List Data Structure using Python</v>
      </c>
    </row>
    <row r="7695">
      <c r="A7695" s="140" t="str">
        <f>IFERROR(__xludf.DUMMYFUNCTION("""COMPUTED_VALUE"""),"ja")</f>
        <v>ja</v>
      </c>
      <c r="B7695">
        <f>IFERROR(__xludf.DUMMYFUNCTION("""COMPUTED_VALUE"""),2378836.0)</f>
        <v>2378836</v>
      </c>
      <c r="C7695" t="str">
        <f>IFERROR(__xludf.DUMMYFUNCTION("""COMPUTED_VALUE"""),"Python でわかる オブジェクト指向 とはなにか？【Python オブジェクト指向 の「なぜ？」を「徹底的に」解説】")</f>
        <v>Python でわかる オブジェクト指向 とはなにか？【Python オブジェクト指向 の「なぜ？」を「徹底的に」解説】</v>
      </c>
    </row>
    <row r="7696">
      <c r="A7696" s="140" t="str">
        <f>IFERROR(__xludf.DUMMYFUNCTION("""COMPUTED_VALUE"""),"es")</f>
        <v>es</v>
      </c>
      <c r="B7696">
        <f>IFERROR(__xludf.DUMMYFUNCTION("""COMPUTED_VALUE"""),3842220.0)</f>
        <v>3842220</v>
      </c>
      <c r="C7696" t="str">
        <f>IFERROR(__xludf.DUMMYFUNCTION("""COMPUTED_VALUE"""),"UX Writing: diseño de contenido y experiencia de usuario")</f>
        <v>UX Writing: diseño de contenido y experiencia de usuario</v>
      </c>
    </row>
    <row r="7697">
      <c r="A7697" s="140" t="str">
        <f>IFERROR(__xludf.DUMMYFUNCTION("""COMPUTED_VALUE"""),"en")</f>
        <v>en</v>
      </c>
      <c r="B7697">
        <f>IFERROR(__xludf.DUMMYFUNCTION("""COMPUTED_VALUE"""),1531618.0)</f>
        <v>1531618</v>
      </c>
      <c r="C7697" t="str">
        <f>IFERROR(__xludf.DUMMYFUNCTION("""COMPUTED_VALUE"""),"Cybersecurity for HR Professionals")</f>
        <v>Cybersecurity for HR Professionals</v>
      </c>
    </row>
    <row r="7698">
      <c r="A7698" s="140" t="str">
        <f>IFERROR(__xludf.DUMMYFUNCTION("""COMPUTED_VALUE"""),"en")</f>
        <v>en</v>
      </c>
      <c r="B7698">
        <f>IFERROR(__xludf.DUMMYFUNCTION("""COMPUTED_VALUE"""),599732.0)</f>
        <v>599732</v>
      </c>
      <c r="C7698" t="str">
        <f>IFERROR(__xludf.DUMMYFUNCTION("""COMPUTED_VALUE"""),"BPMN for business analysts")</f>
        <v>BPMN for business analysts</v>
      </c>
    </row>
    <row r="7699">
      <c r="A7699" s="140" t="str">
        <f>IFERROR(__xludf.DUMMYFUNCTION("""COMPUTED_VALUE"""),"en")</f>
        <v>en</v>
      </c>
      <c r="B7699">
        <f>IFERROR(__xludf.DUMMYFUNCTION("""COMPUTED_VALUE"""),1342930.0)</f>
        <v>1342930</v>
      </c>
      <c r="C7699" t="str">
        <f>IFERROR(__xludf.DUMMYFUNCTION("""COMPUTED_VALUE"""),"Customer Due Diligence: AML Controls and Procedures")</f>
        <v>Customer Due Diligence: AML Controls and Procedures</v>
      </c>
    </row>
    <row r="7700">
      <c r="A7700" s="140" t="str">
        <f>IFERROR(__xludf.DUMMYFUNCTION("""COMPUTED_VALUE"""),"en")</f>
        <v>en</v>
      </c>
      <c r="B7700">
        <f>IFERROR(__xludf.DUMMYFUNCTION("""COMPUTED_VALUE"""),1791362.0)</f>
        <v>1791362</v>
      </c>
      <c r="C7700" t="str">
        <f>IFERROR(__xludf.DUMMYFUNCTION("""COMPUTED_VALUE"""),"AWS Certified Solution Architect Associate - Preparation")</f>
        <v>AWS Certified Solution Architect Associate - Preparation</v>
      </c>
    </row>
    <row r="7701">
      <c r="A7701" s="140" t="str">
        <f>IFERROR(__xludf.DUMMYFUNCTION("""COMPUTED_VALUE"""),"es")</f>
        <v>es</v>
      </c>
      <c r="B7701">
        <f>IFERROR(__xludf.DUMMYFUNCTION("""COMPUTED_VALUE"""),1322574.0)</f>
        <v>1322574</v>
      </c>
      <c r="C7701" t="str">
        <f>IFERROR(__xludf.DUMMYFUNCTION("""COMPUTED_VALUE"""),"Crea sistemas Ecommerce con PHP 8 con pagos de PAYPAL y PAYU")</f>
        <v>Crea sistemas Ecommerce con PHP 8 con pagos de PAYPAL y PAYU</v>
      </c>
    </row>
    <row r="7702">
      <c r="A7702" s="140" t="str">
        <f>IFERROR(__xludf.DUMMYFUNCTION("""COMPUTED_VALUE"""),"pt")</f>
        <v>pt</v>
      </c>
      <c r="B7702">
        <f>IFERROR(__xludf.DUMMYFUNCTION("""COMPUTED_VALUE"""),2981902.0)</f>
        <v>2981902</v>
      </c>
      <c r="C7702" t="str">
        <f>IFERROR(__xludf.DUMMYFUNCTION("""COMPUTED_VALUE"""),"Orientação a Objetos com JavaScript (Projetos e TypeScript)")</f>
        <v>Orientação a Objetos com JavaScript (Projetos e TypeScript)</v>
      </c>
    </row>
    <row r="7703">
      <c r="A7703" s="140" t="str">
        <f>IFERROR(__xludf.DUMMYFUNCTION("""COMPUTED_VALUE"""),"en")</f>
        <v>en</v>
      </c>
      <c r="B7703">
        <f>IFERROR(__xludf.DUMMYFUNCTION("""COMPUTED_VALUE"""),635824.0)</f>
        <v>635824</v>
      </c>
      <c r="C7703" t="str">
        <f>IFERROR(__xludf.DUMMYFUNCTION("""COMPUTED_VALUE"""),"Investing Success: Learn Keys From A Millionaire Investor!")</f>
        <v>Investing Success: Learn Keys From A Millionaire Investor!</v>
      </c>
    </row>
    <row r="7704">
      <c r="A7704" s="140" t="str">
        <f>IFERROR(__xludf.DUMMYFUNCTION("""COMPUTED_VALUE"""),"ja")</f>
        <v>ja</v>
      </c>
      <c r="B7704">
        <f>IFERROR(__xludf.DUMMYFUNCTION("""COMPUTED_VALUE"""),3076340.0)</f>
        <v>3076340</v>
      </c>
      <c r="C7704" t="str">
        <f>IFERROR(__xludf.DUMMYFUNCTION("""COMPUTED_VALUE"""),"最速で学ぶ - Google Cloud Platform（GCP）入門完全攻略コース")</f>
        <v>最速で学ぶ - Google Cloud Platform（GCP）入門完全攻略コース</v>
      </c>
    </row>
    <row r="7705">
      <c r="A7705" s="140" t="str">
        <f>IFERROR(__xludf.DUMMYFUNCTION("""COMPUTED_VALUE"""),"es")</f>
        <v>es</v>
      </c>
      <c r="B7705">
        <f>IFERROR(__xludf.DUMMYFUNCTION("""COMPUTED_VALUE"""),3454100.0)</f>
        <v>3454100</v>
      </c>
      <c r="C7705" t="str">
        <f>IFERROR(__xludf.DUMMYFUNCTION("""COMPUTED_VALUE"""),"Guía de Referencia: AZ-900 | Laboratorios | Cuestionarios")</f>
        <v>Guía de Referencia: AZ-900 | Laboratorios | Cuestionarios</v>
      </c>
    </row>
    <row r="7706">
      <c r="A7706" s="140" t="str">
        <f>IFERROR(__xludf.DUMMYFUNCTION("""COMPUTED_VALUE"""),"en")</f>
        <v>en</v>
      </c>
      <c r="B7706">
        <f>IFERROR(__xludf.DUMMYFUNCTION("""COMPUTED_VALUE"""),3166512.0)</f>
        <v>3166512</v>
      </c>
      <c r="C7706" t="str">
        <f>IFERROR(__xludf.DUMMYFUNCTION("""COMPUTED_VALUE"""),"CAN and LIN Communication Protocols")</f>
        <v>CAN and LIN Communication Protocols</v>
      </c>
    </row>
    <row r="7707">
      <c r="A7707" s="140" t="str">
        <f>IFERROR(__xludf.DUMMYFUNCTION("""COMPUTED_VALUE"""),"en")</f>
        <v>en</v>
      </c>
      <c r="B7707">
        <f>IFERROR(__xludf.DUMMYFUNCTION("""COMPUTED_VALUE"""),28788.0)</f>
        <v>28788</v>
      </c>
      <c r="C7707" t="str">
        <f>IFERROR(__xludf.DUMMYFUNCTION("""COMPUTED_VALUE"""),"Business English Course for ESL Students")</f>
        <v>Business English Course for ESL Students</v>
      </c>
    </row>
    <row r="7708">
      <c r="A7708" s="140" t="str">
        <f>IFERROR(__xludf.DUMMYFUNCTION("""COMPUTED_VALUE"""),"en")</f>
        <v>en</v>
      </c>
      <c r="B7708">
        <f>IFERROR(__xludf.DUMMYFUNCTION("""COMPUTED_VALUE"""),942752.0)</f>
        <v>942752</v>
      </c>
      <c r="C7708" t="str">
        <f>IFERROR(__xludf.DUMMYFUNCTION("""COMPUTED_VALUE"""),"Master Course in Tableau for Business Intelligence")</f>
        <v>Master Course in Tableau for Business Intelligence</v>
      </c>
    </row>
    <row r="7709">
      <c r="A7709" s="140" t="str">
        <f>IFERROR(__xludf.DUMMYFUNCTION("""COMPUTED_VALUE"""),"pt")</f>
        <v>pt</v>
      </c>
      <c r="B7709">
        <f>IFERROR(__xludf.DUMMYFUNCTION("""COMPUTED_VALUE"""),1251400.0)</f>
        <v>1251400</v>
      </c>
      <c r="C7709" t="str">
        <f>IFERROR(__xludf.DUMMYFUNCTION("""COMPUTED_VALUE"""),"Iniciando com Ruby e Orientação a Objetos")</f>
        <v>Iniciando com Ruby e Orientação a Objetos</v>
      </c>
    </row>
    <row r="7710">
      <c r="A7710" s="140" t="str">
        <f>IFERROR(__xludf.DUMMYFUNCTION("""COMPUTED_VALUE"""),"pt")</f>
        <v>pt</v>
      </c>
      <c r="B7710">
        <f>IFERROR(__xludf.DUMMYFUNCTION("""COMPUTED_VALUE"""),2333938.0)</f>
        <v>2333938</v>
      </c>
      <c r="C7710" t="str">
        <f>IFERROR(__xludf.DUMMYFUNCTION("""COMPUTED_VALUE"""),"Curso Completo de Desenvolvimento de jogos com Unity")</f>
        <v>Curso Completo de Desenvolvimento de jogos com Unity</v>
      </c>
    </row>
    <row r="7711">
      <c r="A7711" s="140" t="str">
        <f>IFERROR(__xludf.DUMMYFUNCTION("""COMPUTED_VALUE"""),"en")</f>
        <v>en</v>
      </c>
      <c r="B7711">
        <f>IFERROR(__xludf.DUMMYFUNCTION("""COMPUTED_VALUE"""),706050.0)</f>
        <v>706050</v>
      </c>
      <c r="C7711" t="str">
        <f>IFERROR(__xludf.DUMMYFUNCTION("""COMPUTED_VALUE"""),"Build and Host Your Own LAMP Web Server!")</f>
        <v>Build and Host Your Own LAMP Web Server!</v>
      </c>
    </row>
    <row r="7712">
      <c r="A7712" s="140" t="str">
        <f>IFERROR(__xludf.DUMMYFUNCTION("""COMPUTED_VALUE"""),"en")</f>
        <v>en</v>
      </c>
      <c r="B7712">
        <f>IFERROR(__xludf.DUMMYFUNCTION("""COMPUTED_VALUE"""),2602616.0)</f>
        <v>2602616</v>
      </c>
      <c r="C7712" t="str">
        <f>IFERROR(__xludf.DUMMYFUNCTION("""COMPUTED_VALUE"""),"Certified Kubernetes Application Developer 2021")</f>
        <v>Certified Kubernetes Application Developer 2021</v>
      </c>
    </row>
    <row r="7713">
      <c r="A7713" s="140" t="str">
        <f>IFERROR(__xludf.DUMMYFUNCTION("""COMPUTED_VALUE"""),"en")</f>
        <v>en</v>
      </c>
      <c r="B7713">
        <f>IFERROR(__xludf.DUMMYFUNCTION("""COMPUTED_VALUE"""),1380708.0)</f>
        <v>1380708</v>
      </c>
      <c r="C7713" t="str">
        <f>IFERROR(__xludf.DUMMYFUNCTION("""COMPUTED_VALUE"""),"Sketchup Architect Beginner Fast Track")</f>
        <v>Sketchup Architect Beginner Fast Track</v>
      </c>
    </row>
    <row r="7714">
      <c r="A7714" s="140" t="str">
        <f>IFERROR(__xludf.DUMMYFUNCTION("""COMPUTED_VALUE"""),"en")</f>
        <v>en</v>
      </c>
      <c r="B7714">
        <f>IFERROR(__xludf.DUMMYFUNCTION("""COMPUTED_VALUE"""),3935164.0)</f>
        <v>3935164</v>
      </c>
      <c r="C7714" t="str">
        <f>IFERROR(__xludf.DUMMYFUNCTION("""COMPUTED_VALUE"""),"Maven and SonarQube for DevOps Engineers - Beginners Guide")</f>
        <v>Maven and SonarQube for DevOps Engineers - Beginners Guide</v>
      </c>
    </row>
    <row r="7715">
      <c r="A7715" s="140" t="str">
        <f>IFERROR(__xludf.DUMMYFUNCTION("""COMPUTED_VALUE"""),"es")</f>
        <v>es</v>
      </c>
      <c r="B7715">
        <f>IFERROR(__xludf.DUMMYFUNCTION("""COMPUTED_VALUE"""),1228066.0)</f>
        <v>1228066</v>
      </c>
      <c r="C7715" t="str">
        <f>IFERROR(__xludf.DUMMYFUNCTION("""COMPUTED_VALUE"""),"UML para Analistas de Negocios")</f>
        <v>UML para Analistas de Negocios</v>
      </c>
    </row>
    <row r="7716">
      <c r="A7716" s="140" t="str">
        <f>IFERROR(__xludf.DUMMYFUNCTION("""COMPUTED_VALUE"""),"de")</f>
        <v>de</v>
      </c>
      <c r="B7716">
        <f>IFERROR(__xludf.DUMMYFUNCTION("""COMPUTED_VALUE"""),1918966.0)</f>
        <v>1918966</v>
      </c>
      <c r="C7716" t="str">
        <f>IFERROR(__xludf.DUMMYFUNCTION("""COMPUTED_VALUE"""),"Der komplette Blender Kurs - Erstelle hochwertige 3D Modelle")</f>
        <v>Der komplette Blender Kurs - Erstelle hochwertige 3D Modelle</v>
      </c>
    </row>
    <row r="7717">
      <c r="A7717" s="140" t="str">
        <f>IFERROR(__xludf.DUMMYFUNCTION("""COMPUTED_VALUE"""),"ar")</f>
        <v>ar</v>
      </c>
      <c r="B7717">
        <f>IFERROR(__xludf.DUMMYFUNCTION("""COMPUTED_VALUE"""),2153484.0)</f>
        <v>2153484</v>
      </c>
      <c r="C7717" t="str">
        <f>IFERROR(__xludf.DUMMYFUNCTION("""COMPUTED_VALUE"""),"تدريب المدربين المتقدم")</f>
        <v>تدريب المدربين المتقدم</v>
      </c>
    </row>
    <row r="7718">
      <c r="A7718" s="140" t="str">
        <f>IFERROR(__xludf.DUMMYFUNCTION("""COMPUTED_VALUE"""),"es")</f>
        <v>es</v>
      </c>
      <c r="B7718">
        <f>IFERROR(__xludf.DUMMYFUNCTION("""COMPUTED_VALUE"""),2282740.0)</f>
        <v>2282740</v>
      </c>
      <c r="C7718" t="str">
        <f>IFERROR(__xludf.DUMMYFUNCTION("""COMPUTED_VALUE"""),"Aprende Redux con React hooks y GraphQL fácilmente")</f>
        <v>Aprende Redux con React hooks y GraphQL fácilmente</v>
      </c>
    </row>
    <row r="7719">
      <c r="A7719" s="140" t="str">
        <f>IFERROR(__xludf.DUMMYFUNCTION("""COMPUTED_VALUE"""),"es")</f>
        <v>es</v>
      </c>
      <c r="B7719">
        <f>IFERROR(__xludf.DUMMYFUNCTION("""COMPUTED_VALUE"""),1762042.0)</f>
        <v>1762042</v>
      </c>
      <c r="C7719" t="str">
        <f>IFERROR(__xludf.DUMMYFUNCTION("""COMPUTED_VALUE"""),"Máster de Marketing Digital - 12 cursos en 1")</f>
        <v>Máster de Marketing Digital - 12 cursos en 1</v>
      </c>
    </row>
    <row r="7720">
      <c r="A7720" s="140" t="str">
        <f>IFERROR(__xludf.DUMMYFUNCTION("""COMPUTED_VALUE"""),"pt")</f>
        <v>pt</v>
      </c>
      <c r="B7720">
        <f>IFERROR(__xludf.DUMMYFUNCTION("""COMPUTED_VALUE"""),1837266.0)</f>
        <v>1837266</v>
      </c>
      <c r="C7720" t="str">
        <f>IFERROR(__xludf.DUMMYFUNCTION("""COMPUTED_VALUE"""),"Pinterest Para Negócios - 2020: Marketing Digital Poderoso")</f>
        <v>Pinterest Para Negócios - 2020: Marketing Digital Poderoso</v>
      </c>
    </row>
    <row r="7721">
      <c r="A7721" s="140" t="str">
        <f>IFERROR(__xludf.DUMMYFUNCTION("""COMPUTED_VALUE"""),"pt")</f>
        <v>pt</v>
      </c>
      <c r="B7721">
        <f>IFERROR(__xludf.DUMMYFUNCTION("""COMPUTED_VALUE"""),3044504.0)</f>
        <v>3044504</v>
      </c>
      <c r="C7721" t="str">
        <f>IFERROR(__xludf.DUMMYFUNCTION("""COMPUTED_VALUE"""),"SQL para Profissionais Analíticos")</f>
        <v>SQL para Profissionais Analíticos</v>
      </c>
    </row>
    <row r="7722">
      <c r="A7722" s="140" t="str">
        <f>IFERROR(__xludf.DUMMYFUNCTION("""COMPUTED_VALUE"""),"es")</f>
        <v>es</v>
      </c>
      <c r="B7722">
        <f>IFERROR(__xludf.DUMMYFUNCTION("""COMPUTED_VALUE"""),2321952.0)</f>
        <v>2321952</v>
      </c>
      <c r="C7722" t="str">
        <f>IFERROR(__xludf.DUMMYFUNCTION("""COMPUTED_VALUE"""),"Curso de Alemán 1 | La Manera Fácil de Aprender Alemán")</f>
        <v>Curso de Alemán 1 | La Manera Fácil de Aprender Alemán</v>
      </c>
    </row>
    <row r="7723">
      <c r="A7723" s="140" t="str">
        <f>IFERROR(__xludf.DUMMYFUNCTION("""COMPUTED_VALUE"""),"en")</f>
        <v>en</v>
      </c>
      <c r="B7723">
        <f>IFERROR(__xludf.DUMMYFUNCTION("""COMPUTED_VALUE"""),920506.0)</f>
        <v>920506</v>
      </c>
      <c r="C7723" t="str">
        <f>IFERROR(__xludf.DUMMYFUNCTION("""COMPUTED_VALUE"""),"Level 3 Intelligence Analyst Certification")</f>
        <v>Level 3 Intelligence Analyst Certification</v>
      </c>
    </row>
    <row r="7724">
      <c r="A7724" s="140" t="str">
        <f>IFERROR(__xludf.DUMMYFUNCTION("""COMPUTED_VALUE"""),"en")</f>
        <v>en</v>
      </c>
      <c r="B7724">
        <f>IFERROR(__xludf.DUMMYFUNCTION("""COMPUTED_VALUE"""),4147996.0)</f>
        <v>4147996</v>
      </c>
      <c r="C7724" t="str">
        <f>IFERROR(__xludf.DUMMYFUNCTION("""COMPUTED_VALUE"""),"3 Minute French - Course 9 | Language lessons for beginners")</f>
        <v>3 Minute French - Course 9 | Language lessons for beginners</v>
      </c>
    </row>
    <row r="7725">
      <c r="A7725" s="140" t="str">
        <f>IFERROR(__xludf.DUMMYFUNCTION("""COMPUTED_VALUE"""),"ja")</f>
        <v>ja</v>
      </c>
      <c r="B7725">
        <f>IFERROR(__xludf.DUMMYFUNCTION("""COMPUTED_VALUE"""),1213286.0)</f>
        <v>1213286</v>
      </c>
      <c r="C7725" t="str">
        <f>IFERROR(__xludf.DUMMYFUNCTION("""COMPUTED_VALUE"""),"【3日でできる】Django 入門 ( Python 3 でウェブアプリを作って AWS EC2 で公開！）")</f>
        <v>【3日でできる】Django 入門 ( Python 3 でウェブアプリを作って AWS EC2 で公開！）</v>
      </c>
    </row>
    <row r="7726">
      <c r="A7726" s="140" t="str">
        <f>IFERROR(__xludf.DUMMYFUNCTION("""COMPUTED_VALUE"""),"pt")</f>
        <v>pt</v>
      </c>
      <c r="B7726">
        <f>IFERROR(__xludf.DUMMYFUNCTION("""COMPUTED_VALUE"""),2210516.0)</f>
        <v>2210516</v>
      </c>
      <c r="C7726" t="str">
        <f>IFERROR(__xludf.DUMMYFUNCTION("""COMPUTED_VALUE"""),"Análise de Dados com Tabela Dinâmica Excel - Curso Completo")</f>
        <v>Análise de Dados com Tabela Dinâmica Excel - Curso Completo</v>
      </c>
    </row>
    <row r="7727">
      <c r="A7727" s="140" t="str">
        <f>IFERROR(__xludf.DUMMYFUNCTION("""COMPUTED_VALUE"""),"en")</f>
        <v>en</v>
      </c>
      <c r="B7727">
        <f>IFERROR(__xludf.DUMMYFUNCTION("""COMPUTED_VALUE"""),2482260.0)</f>
        <v>2482260</v>
      </c>
      <c r="C7727" t="str">
        <f>IFERROR(__xludf.DUMMYFUNCTION("""COMPUTED_VALUE"""),"Autodesk Inventor 2020 - Advanced Part Training")</f>
        <v>Autodesk Inventor 2020 - Advanced Part Training</v>
      </c>
    </row>
    <row r="7728">
      <c r="A7728" s="140" t="str">
        <f>IFERROR(__xludf.DUMMYFUNCTION("""COMPUTED_VALUE"""),"en")</f>
        <v>en</v>
      </c>
      <c r="B7728">
        <f>IFERROR(__xludf.DUMMYFUNCTION("""COMPUTED_VALUE"""),419360.0)</f>
        <v>419360</v>
      </c>
      <c r="C7728" t="str">
        <f>IFERROR(__xludf.DUMMYFUNCTION("""COMPUTED_VALUE"""),"How I Solve 95% of All SQL Server Outages")</f>
        <v>How I Solve 95% of All SQL Server Outages</v>
      </c>
    </row>
    <row r="7729">
      <c r="A7729" s="140" t="str">
        <f>IFERROR(__xludf.DUMMYFUNCTION("""COMPUTED_VALUE"""),"en")</f>
        <v>en</v>
      </c>
      <c r="B7729">
        <f>IFERROR(__xludf.DUMMYFUNCTION("""COMPUTED_VALUE"""),1382702.0)</f>
        <v>1382702</v>
      </c>
      <c r="C7729" t="str">
        <f>IFERROR(__xludf.DUMMYFUNCTION("""COMPUTED_VALUE"""),"The Complete Machine Learning Course with Python")</f>
        <v>The Complete Machine Learning Course with Python</v>
      </c>
    </row>
    <row r="7730">
      <c r="A7730" s="140" t="str">
        <f>IFERROR(__xludf.DUMMYFUNCTION("""COMPUTED_VALUE"""),"en")</f>
        <v>en</v>
      </c>
      <c r="B7730">
        <f>IFERROR(__xludf.DUMMYFUNCTION("""COMPUTED_VALUE"""),1289926.0)</f>
        <v>1289926</v>
      </c>
      <c r="C7730" t="str">
        <f>IFERROR(__xludf.DUMMYFUNCTION("""COMPUTED_VALUE"""),"Hacking Web Applications and Penetration Testing: Fast Start")</f>
        <v>Hacking Web Applications and Penetration Testing: Fast Start</v>
      </c>
    </row>
    <row r="7731">
      <c r="A7731" s="140" t="str">
        <f>IFERROR(__xludf.DUMMYFUNCTION("""COMPUTED_VALUE"""),"en")</f>
        <v>en</v>
      </c>
      <c r="B7731">
        <f>IFERROR(__xludf.DUMMYFUNCTION("""COMPUTED_VALUE"""),2756342.0)</f>
        <v>2756342</v>
      </c>
      <c r="C7731" t="str">
        <f>IFERROR(__xludf.DUMMYFUNCTION("""COMPUTED_VALUE"""),"Face Recognition Web App with Machine Learning in Flask")</f>
        <v>Face Recognition Web App with Machine Learning in Flask</v>
      </c>
    </row>
    <row r="7732">
      <c r="A7732" s="140" t="str">
        <f>IFERROR(__xludf.DUMMYFUNCTION("""COMPUTED_VALUE"""),"ja")</f>
        <v>ja</v>
      </c>
      <c r="B7732">
        <f>IFERROR(__xludf.DUMMYFUNCTION("""COMPUTED_VALUE"""),1356190.0)</f>
        <v>1356190</v>
      </c>
      <c r="C7732" t="str">
        <f>IFERROR(__xludf.DUMMYFUNCTION("""COMPUTED_VALUE"""),"【キカガク流】人工知能・機械学習 脱ブラックボックス講座 - 初級編 -")</f>
        <v>【キカガク流】人工知能・機械学習 脱ブラックボックス講座 - 初級編 -</v>
      </c>
    </row>
    <row r="7733">
      <c r="A7733" s="140" t="str">
        <f>IFERROR(__xludf.DUMMYFUNCTION("""COMPUTED_VALUE"""),"ja")</f>
        <v>ja</v>
      </c>
      <c r="B7733">
        <f>IFERROR(__xludf.DUMMYFUNCTION("""COMPUTED_VALUE"""),1356190.0)</f>
        <v>1356190</v>
      </c>
      <c r="C7733" t="str">
        <f>IFERROR(__xludf.DUMMYFUNCTION("""COMPUTED_VALUE"""),"【キカガク流】人工知能・機械学習 脱ブラックボックス講座 - 初級編 -")</f>
        <v>【キカガク流】人工知能・機械学習 脱ブラックボックス講座 - 初級編 -</v>
      </c>
    </row>
    <row r="7734">
      <c r="A7734" s="140" t="str">
        <f>IFERROR(__xludf.DUMMYFUNCTION("""COMPUTED_VALUE"""),"ar")</f>
        <v>ar</v>
      </c>
      <c r="B7734">
        <f>IFERROR(__xludf.DUMMYFUNCTION("""COMPUTED_VALUE"""),3340284.0)</f>
        <v>3340284</v>
      </c>
      <c r="C7734" t="str">
        <f>IFERROR(__xludf.DUMMYFUNCTION("""COMPUTED_VALUE"""),"Digital Marketing From An Agency: Understanding UR Customer")</f>
        <v>Digital Marketing From An Agency: Understanding UR Customer</v>
      </c>
    </row>
    <row r="7735">
      <c r="A7735" s="140" t="str">
        <f>IFERROR(__xludf.DUMMYFUNCTION("""COMPUTED_VALUE"""),"es")</f>
        <v>es</v>
      </c>
      <c r="B7735">
        <f>IFERROR(__xludf.DUMMYFUNCTION("""COMPUTED_VALUE"""),2107908.0)</f>
        <v>2107908</v>
      </c>
      <c r="C7735" t="str">
        <f>IFERROR(__xludf.DUMMYFUNCTION("""COMPUTED_VALUE"""),"Fundamentos  de Marketing: de Principiante a Experto.")</f>
        <v>Fundamentos  de Marketing: de Principiante a Experto.</v>
      </c>
    </row>
    <row r="7736">
      <c r="A7736" s="140" t="str">
        <f>IFERROR(__xludf.DUMMYFUNCTION("""COMPUTED_VALUE"""),"en")</f>
        <v>en</v>
      </c>
      <c r="B7736">
        <f>IFERROR(__xludf.DUMMYFUNCTION("""COMPUTED_VALUE"""),1876870.0)</f>
        <v>1876870</v>
      </c>
      <c r="C7736" t="str">
        <f>IFERROR(__xludf.DUMMYFUNCTION("""COMPUTED_VALUE"""),"Engineering Mechanics: Statics")</f>
        <v>Engineering Mechanics: Statics</v>
      </c>
    </row>
    <row r="7737">
      <c r="A7737" s="140" t="str">
        <f>IFERROR(__xludf.DUMMYFUNCTION("""COMPUTED_VALUE"""),"ja")</f>
        <v>ja</v>
      </c>
      <c r="B7737">
        <f>IFERROR(__xludf.DUMMYFUNCTION("""COMPUTED_VALUE"""),3177786.0)</f>
        <v>3177786</v>
      </c>
      <c r="C7737" t="str">
        <f>IFERROR(__xludf.DUMMYFUNCTION("""COMPUTED_VALUE"""),"【利益を生み出せ！】いちばんわかりやすい「損益分岐点分析」マスター講座")</f>
        <v>【利益を生み出せ！】いちばんわかりやすい「損益分岐点分析」マスター講座</v>
      </c>
    </row>
    <row r="7738">
      <c r="A7738" s="140" t="str">
        <f>IFERROR(__xludf.DUMMYFUNCTION("""COMPUTED_VALUE"""),"en")</f>
        <v>en</v>
      </c>
      <c r="B7738">
        <f>IFERROR(__xludf.DUMMYFUNCTION("""COMPUTED_VALUE"""),1454574.0)</f>
        <v>1454574</v>
      </c>
      <c r="C7738" t="str">
        <f>IFERROR(__xludf.DUMMYFUNCTION("""COMPUTED_VALUE"""),"C# in Depth: Puzzles, Gotchas, Questions at Interviews")</f>
        <v>C# in Depth: Puzzles, Gotchas, Questions at Interviews</v>
      </c>
    </row>
    <row r="7739">
      <c r="A7739" s="140" t="str">
        <f>IFERROR(__xludf.DUMMYFUNCTION("""COMPUTED_VALUE"""),"en")</f>
        <v>en</v>
      </c>
      <c r="B7739">
        <f>IFERROR(__xludf.DUMMYFUNCTION("""COMPUTED_VALUE"""),1426094.0)</f>
        <v>1426094</v>
      </c>
      <c r="C7739" t="str">
        <f>IFERROR(__xludf.DUMMYFUNCTION("""COMPUTED_VALUE"""),"Flourishing in Stressful Times - with Tara Brach")</f>
        <v>Flourishing in Stressful Times - with Tara Brach</v>
      </c>
    </row>
    <row r="7740">
      <c r="A7740" s="140" t="str">
        <f>IFERROR(__xludf.DUMMYFUNCTION("""COMPUTED_VALUE"""),"en")</f>
        <v>en</v>
      </c>
      <c r="B7740">
        <f>IFERROR(__xludf.DUMMYFUNCTION("""COMPUTED_VALUE"""),273758.0)</f>
        <v>273758</v>
      </c>
      <c r="C7740" t="str">
        <f>IFERROR(__xludf.DUMMYFUNCTION("""COMPUTED_VALUE"""),"15 Minutes x 15 Days Total Yoga Challenge")</f>
        <v>15 Minutes x 15 Days Total Yoga Challenge</v>
      </c>
    </row>
    <row r="7741">
      <c r="A7741" s="140" t="str">
        <f>IFERROR(__xludf.DUMMYFUNCTION("""COMPUTED_VALUE"""),"en")</f>
        <v>en</v>
      </c>
      <c r="B7741">
        <f>IFERROR(__xludf.DUMMYFUNCTION("""COMPUTED_VALUE"""),2703840.0)</f>
        <v>2703840</v>
      </c>
      <c r="C7741" t="str">
        <f>IFERROR(__xludf.DUMMYFUNCTION("""COMPUTED_VALUE"""),"Tableau 2020 Certified Associate Exam Guide A-Z (w Datasets)")</f>
        <v>Tableau 2020 Certified Associate Exam Guide A-Z (w Datasets)</v>
      </c>
    </row>
    <row r="7742">
      <c r="A7742" s="140" t="str">
        <f>IFERROR(__xludf.DUMMYFUNCTION("""COMPUTED_VALUE"""),"ja")</f>
        <v>ja</v>
      </c>
      <c r="B7742">
        <f>IFERROR(__xludf.DUMMYFUNCTION("""COMPUTED_VALUE"""),4013676.0)</f>
        <v>4013676</v>
      </c>
      <c r="C7742" t="str">
        <f>IFERROR(__xludf.DUMMYFUNCTION("""COMPUTED_VALUE"""),"N10-007: CompTIA Network+ 模擬試験問題集(6回分420問)")</f>
        <v>N10-007: CompTIA Network+ 模擬試験問題集(6回分420問)</v>
      </c>
    </row>
    <row r="7743">
      <c r="A7743" s="140" t="str">
        <f>IFERROR(__xludf.DUMMYFUNCTION("""COMPUTED_VALUE"""),"en")</f>
        <v>en</v>
      </c>
      <c r="B7743">
        <f>IFERROR(__xludf.DUMMYFUNCTION("""COMPUTED_VALUE"""),2121018.0)</f>
        <v>2121018</v>
      </c>
      <c r="C7743" t="str">
        <f>IFERROR(__xludf.DUMMYFUNCTION("""COMPUTED_VALUE"""),"Mastering Data Structures &amp; Algorithms using C and C++")</f>
        <v>Mastering Data Structures &amp; Algorithms using C and C++</v>
      </c>
    </row>
    <row r="7744">
      <c r="A7744" s="140" t="str">
        <f>IFERROR(__xludf.DUMMYFUNCTION("""COMPUTED_VALUE"""),"en")</f>
        <v>en</v>
      </c>
      <c r="B7744">
        <f>IFERROR(__xludf.DUMMYFUNCTION("""COMPUTED_VALUE"""),2135486.0)</f>
        <v>2135486</v>
      </c>
      <c r="C7744" t="str">
        <f>IFERROR(__xludf.DUMMYFUNCTION("""COMPUTED_VALUE"""),"Microsoft Power BI - Business Intelligence for Beginners")</f>
        <v>Microsoft Power BI - Business Intelligence for Beginners</v>
      </c>
    </row>
    <row r="7745">
      <c r="A7745" s="140" t="str">
        <f>IFERROR(__xludf.DUMMYFUNCTION("""COMPUTED_VALUE"""),"en")</f>
        <v>en</v>
      </c>
      <c r="B7745">
        <f>IFERROR(__xludf.DUMMYFUNCTION("""COMPUTED_VALUE"""),1568060.0)</f>
        <v>1568060</v>
      </c>
      <c r="C7745" t="str">
        <f>IFERROR(__xludf.DUMMYFUNCTION("""COMPUTED_VALUE"""),"Machine Learning In The Cloud With Azure Machine Learning")</f>
        <v>Machine Learning In The Cloud With Azure Machine Learning</v>
      </c>
    </row>
    <row r="7746">
      <c r="A7746" s="140" t="str">
        <f>IFERROR(__xludf.DUMMYFUNCTION("""COMPUTED_VALUE"""),"pt")</f>
        <v>pt</v>
      </c>
      <c r="B7746">
        <f>IFERROR(__xludf.DUMMYFUNCTION("""COMPUTED_VALUE"""),1420982.0)</f>
        <v>1420982</v>
      </c>
      <c r="C7746" t="str">
        <f>IFERROR(__xludf.DUMMYFUNCTION("""COMPUTED_VALUE"""),"Curso de JavaScript Completo do iniciante ao mestre (2021)")</f>
        <v>Curso de JavaScript Completo do iniciante ao mestre (2021)</v>
      </c>
    </row>
    <row r="7747">
      <c r="A7747" s="140" t="str">
        <f>IFERROR(__xludf.DUMMYFUNCTION("""COMPUTED_VALUE"""),"en")</f>
        <v>en</v>
      </c>
      <c r="B7747">
        <f>IFERROR(__xludf.DUMMYFUNCTION("""COMPUTED_VALUE"""),2720818.0)</f>
        <v>2720818</v>
      </c>
      <c r="C7747" t="str">
        <f>IFERROR(__xludf.DUMMYFUNCTION("""COMPUTED_VALUE"""),"Apache Kafka for absolute beginners")</f>
        <v>Apache Kafka for absolute beginners</v>
      </c>
    </row>
    <row r="7748">
      <c r="A7748" s="140" t="str">
        <f>IFERROR(__xludf.DUMMYFUNCTION("""COMPUTED_VALUE"""),"tr")</f>
        <v>tr</v>
      </c>
      <c r="B7748">
        <f>IFERROR(__xludf.DUMMYFUNCTION("""COMPUTED_VALUE"""),2944454.0)</f>
        <v>2944454</v>
      </c>
      <c r="C7748" t="str">
        <f>IFERROR(__xludf.DUMMYFUNCTION("""COMPUTED_VALUE"""),"Python ve Derin Öğrenme: Pytorch ile Derin Öğrenme (5.3)")</f>
        <v>Python ve Derin Öğrenme: Pytorch ile Derin Öğrenme (5.3)</v>
      </c>
    </row>
    <row r="7749">
      <c r="A7749" s="140" t="str">
        <f>IFERROR(__xludf.DUMMYFUNCTION("""COMPUTED_VALUE"""),"en")</f>
        <v>en</v>
      </c>
      <c r="B7749">
        <f>IFERROR(__xludf.DUMMYFUNCTION("""COMPUTED_VALUE"""),3460790.0)</f>
        <v>3460790</v>
      </c>
      <c r="C7749" t="str">
        <f>IFERROR(__xludf.DUMMYFUNCTION("""COMPUTED_VALUE"""),"Apache Spark 3 - Real-time Stream Processing using Python")</f>
        <v>Apache Spark 3 - Real-time Stream Processing using Python</v>
      </c>
    </row>
    <row r="7750">
      <c r="A7750" s="140" t="str">
        <f>IFERROR(__xludf.DUMMYFUNCTION("""COMPUTED_VALUE"""),"en")</f>
        <v>en</v>
      </c>
      <c r="B7750">
        <f>IFERROR(__xludf.DUMMYFUNCTION("""COMPUTED_VALUE"""),508764.0)</f>
        <v>508764</v>
      </c>
      <c r="C7750" t="str">
        <f>IFERROR(__xludf.DUMMYFUNCTION("""COMPUTED_VALUE"""),"Learn SQL +Security(pen) testing from Scratch")</f>
        <v>Learn SQL +Security(pen) testing from Scratch</v>
      </c>
    </row>
    <row r="7751">
      <c r="A7751" s="140" t="str">
        <f>IFERROR(__xludf.DUMMYFUNCTION("""COMPUTED_VALUE"""),"zh")</f>
        <v>zh</v>
      </c>
      <c r="B7751">
        <f>IFERROR(__xludf.DUMMYFUNCTION("""COMPUTED_VALUE"""),1847436.0)</f>
        <v>1847436</v>
      </c>
      <c r="C7751" t="str">
        <f>IFERROR(__xludf.DUMMYFUNCTION("""COMPUTED_VALUE"""),"以太坊游戏开发：写一款能跑在区块链上的游戏")</f>
        <v>以太坊游戏开发：写一款能跑在区块链上的游戏</v>
      </c>
    </row>
    <row r="7752">
      <c r="A7752" s="140" t="str">
        <f>IFERROR(__xludf.DUMMYFUNCTION("""COMPUTED_VALUE"""),"en")</f>
        <v>en</v>
      </c>
      <c r="B7752">
        <f>IFERROR(__xludf.DUMMYFUNCTION("""COMPUTED_VALUE"""),383612.0)</f>
        <v>383612</v>
      </c>
      <c r="C7752" t="str">
        <f>IFERROR(__xludf.DUMMYFUNCTION("""COMPUTED_VALUE"""),"#2 Bake Artisan Sourdough Bread Like a Professional")</f>
        <v>#2 Bake Artisan Sourdough Bread Like a Professional</v>
      </c>
    </row>
    <row r="7753">
      <c r="A7753" s="140" t="str">
        <f>IFERROR(__xludf.DUMMYFUNCTION("""COMPUTED_VALUE"""),"de")</f>
        <v>de</v>
      </c>
      <c r="B7753">
        <f>IFERROR(__xludf.DUMMYFUNCTION("""COMPUTED_VALUE"""),1019810.0)</f>
        <v>1019810</v>
      </c>
      <c r="C7753" t="str">
        <f>IFERROR(__xludf.DUMMYFUNCTION("""COMPUTED_VALUE"""),"Java leicht gemacht - Der umfassende Java Einsteigerkurs A-Z")</f>
        <v>Java leicht gemacht - Der umfassende Java Einsteigerkurs A-Z</v>
      </c>
    </row>
    <row r="7754">
      <c r="A7754" s="140" t="str">
        <f>IFERROR(__xludf.DUMMYFUNCTION("""COMPUTED_VALUE"""),"en")</f>
        <v>en</v>
      </c>
      <c r="B7754">
        <f>IFERROR(__xludf.DUMMYFUNCTION("""COMPUTED_VALUE"""),821658.0)</f>
        <v>821658</v>
      </c>
      <c r="C7754" t="str">
        <f>IFERROR(__xludf.DUMMYFUNCTION("""COMPUTED_VALUE"""),"How Retargeting Works–The Complete Guide To Retargeting Ads!")</f>
        <v>How Retargeting Works–The Complete Guide To Retargeting Ads!</v>
      </c>
    </row>
    <row r="7755">
      <c r="A7755" s="140" t="str">
        <f>IFERROR(__xludf.DUMMYFUNCTION("""COMPUTED_VALUE"""),"tr")</f>
        <v>tr</v>
      </c>
      <c r="B7755">
        <f>IFERROR(__xludf.DUMMYFUNCTION("""COMPUTED_VALUE"""),2135212.0)</f>
        <v>2135212</v>
      </c>
      <c r="C7755" t="str">
        <f>IFERROR(__xludf.DUMMYFUNCTION("""COMPUTED_VALUE"""),"Sıfırdan Uzmanlığa Almanca Eğitim Seti! Almanca ilacı!")</f>
        <v>Sıfırdan Uzmanlığa Almanca Eğitim Seti! Almanca ilacı!</v>
      </c>
    </row>
    <row r="7756">
      <c r="A7756" s="140" t="str">
        <f>IFERROR(__xludf.DUMMYFUNCTION("""COMPUTED_VALUE"""),"en")</f>
        <v>en</v>
      </c>
      <c r="B7756">
        <f>IFERROR(__xludf.DUMMYFUNCTION("""COMPUTED_VALUE"""),1723120.0)</f>
        <v>1723120</v>
      </c>
      <c r="C7756" t="str">
        <f>IFERROR(__xludf.DUMMYFUNCTION("""COMPUTED_VALUE"""),"TJ Walker's 1-Hour Public Speaking Presentation Skills Class")</f>
        <v>TJ Walker's 1-Hour Public Speaking Presentation Skills Class</v>
      </c>
    </row>
    <row r="7757">
      <c r="A7757" s="140" t="str">
        <f>IFERROR(__xludf.DUMMYFUNCTION("""COMPUTED_VALUE"""),"ar")</f>
        <v>ar</v>
      </c>
      <c r="B7757">
        <f>IFERROR(__xludf.DUMMYFUNCTION("""COMPUTED_VALUE"""),2430380.0)</f>
        <v>2430380</v>
      </c>
      <c r="C7757" t="str">
        <f>IFERROR(__xludf.DUMMYFUNCTION("""COMPUTED_VALUE"""),"Finance for non Financials الإدارة المالية لغير الماليين")</f>
        <v>Finance for non Financials الإدارة المالية لغير الماليين</v>
      </c>
    </row>
    <row r="7758">
      <c r="A7758" s="140" t="str">
        <f>IFERROR(__xludf.DUMMYFUNCTION("""COMPUTED_VALUE"""),"en")</f>
        <v>en</v>
      </c>
      <c r="B7758">
        <f>IFERROR(__xludf.DUMMYFUNCTION("""COMPUTED_VALUE"""),3318238.0)</f>
        <v>3318238</v>
      </c>
      <c r="C7758" t="str">
        <f>IFERROR(__xludf.DUMMYFUNCTION("""COMPUTED_VALUE"""),"3 Minute French - Course 8 | Language lessons for beginners")</f>
        <v>3 Minute French - Course 8 | Language lessons for beginners</v>
      </c>
    </row>
    <row r="7759">
      <c r="A7759" s="140" t="str">
        <f>IFERROR(__xludf.DUMMYFUNCTION("""COMPUTED_VALUE"""),"en")</f>
        <v>en</v>
      </c>
      <c r="B7759">
        <f>IFERROR(__xludf.DUMMYFUNCTION("""COMPUTED_VALUE"""),3156982.0)</f>
        <v>3156982</v>
      </c>
      <c r="C7759" t="str">
        <f>IFERROR(__xludf.DUMMYFUNCTION("""COMPUTED_VALUE"""),"HVAC Psychrometry, Air Handling System and Duct Selection")</f>
        <v>HVAC Psychrometry, Air Handling System and Duct Selection</v>
      </c>
    </row>
    <row r="7760">
      <c r="A7760" s="140" t="str">
        <f>IFERROR(__xludf.DUMMYFUNCTION("""COMPUTED_VALUE"""),"en")</f>
        <v>en</v>
      </c>
      <c r="B7760">
        <f>IFERROR(__xludf.DUMMYFUNCTION("""COMPUTED_VALUE"""),344418.0)</f>
        <v>344418</v>
      </c>
      <c r="C7760" t="str">
        <f>IFERROR(__xludf.DUMMYFUNCTION("""COMPUTED_VALUE"""),"How to Use Leadership Styles Effectively: Matched Leadership")</f>
        <v>How to Use Leadership Styles Effectively: Matched Leadership</v>
      </c>
    </row>
    <row r="7761">
      <c r="A7761" s="140" t="str">
        <f>IFERROR(__xludf.DUMMYFUNCTION("""COMPUTED_VALUE"""),"en")</f>
        <v>en</v>
      </c>
      <c r="B7761">
        <f>IFERROR(__xludf.DUMMYFUNCTION("""COMPUTED_VALUE"""),498236.0)</f>
        <v>498236</v>
      </c>
      <c r="C7761" t="str">
        <f>IFERROR(__xludf.DUMMYFUNCTION("""COMPUTED_VALUE"""),"Learn How To Budget - Personal budgeting made easy")</f>
        <v>Learn How To Budget - Personal budgeting made easy</v>
      </c>
    </row>
    <row r="7762">
      <c r="A7762" s="140" t="str">
        <f>IFERROR(__xludf.DUMMYFUNCTION("""COMPUTED_VALUE"""),"en")</f>
        <v>en</v>
      </c>
      <c r="B7762">
        <f>IFERROR(__xludf.DUMMYFUNCTION("""COMPUTED_VALUE"""),2236248.0)</f>
        <v>2236248</v>
      </c>
      <c r="C7762" t="str">
        <f>IFERROR(__xludf.DUMMYFUNCTION("""COMPUTED_VALUE"""),"Complete Linear Regression Analysis in Python")</f>
        <v>Complete Linear Regression Analysis in Python</v>
      </c>
    </row>
    <row r="7763">
      <c r="A7763" s="140" t="str">
        <f>IFERROR(__xludf.DUMMYFUNCTION("""COMPUTED_VALUE"""),"es")</f>
        <v>es</v>
      </c>
      <c r="B7763">
        <f>IFERROR(__xludf.DUMMYFUNCTION("""COMPUTED_VALUE"""),3266512.0)</f>
        <v>3266512</v>
      </c>
      <c r="C7763" t="str">
        <f>IFERROR(__xludf.DUMMYFUNCTION("""COMPUTED_VALUE"""),"Gestión Continua de la Calidad del Software con SonarQube.")</f>
        <v>Gestión Continua de la Calidad del Software con SonarQube.</v>
      </c>
    </row>
    <row r="7764">
      <c r="A7764" s="140" t="str">
        <f>IFERROR(__xludf.DUMMYFUNCTION("""COMPUTED_VALUE"""),"tr")</f>
        <v>tr</v>
      </c>
      <c r="B7764">
        <f>IFERROR(__xludf.DUMMYFUNCTION("""COMPUTED_VALUE"""),3116840.0)</f>
        <v>3116840</v>
      </c>
      <c r="C7764" t="str">
        <f>IFERROR(__xludf.DUMMYFUNCTION("""COMPUTED_VALUE"""),"Blockchain ve Bitcoin Eğitimi | Kripto Para - Mining")</f>
        <v>Blockchain ve Bitcoin Eğitimi | Kripto Para - Mining</v>
      </c>
    </row>
    <row r="7765">
      <c r="A7765" s="140" t="str">
        <f>IFERROR(__xludf.DUMMYFUNCTION("""COMPUTED_VALUE"""),"es")</f>
        <v>es</v>
      </c>
      <c r="B7765">
        <f>IFERROR(__xludf.DUMMYFUNCTION("""COMPUTED_VALUE"""),3953406.0)</f>
        <v>3953406</v>
      </c>
      <c r="C7765" t="str">
        <f>IFERROR(__xludf.DUMMYFUNCTION("""COMPUTED_VALUE"""),"Firewall: Pfsense. Instalación y configuración con Práctica.")</f>
        <v>Firewall: Pfsense. Instalación y configuración con Práctica.</v>
      </c>
    </row>
    <row r="7766">
      <c r="A7766" s="140" t="str">
        <f>IFERROR(__xludf.DUMMYFUNCTION("""COMPUTED_VALUE"""),"en")</f>
        <v>en</v>
      </c>
      <c r="B7766">
        <f>IFERROR(__xludf.DUMMYFUNCTION("""COMPUTED_VALUE"""),1358224.0)</f>
        <v>1358224</v>
      </c>
      <c r="C7766" t="str">
        <f>IFERROR(__xludf.DUMMYFUNCTION("""COMPUTED_VALUE"""),"Project Management Essentials")</f>
        <v>Project Management Essentials</v>
      </c>
    </row>
    <row r="7767">
      <c r="A7767" s="140" t="str">
        <f>IFERROR(__xludf.DUMMYFUNCTION("""COMPUTED_VALUE"""),"en")</f>
        <v>en</v>
      </c>
      <c r="B7767">
        <f>IFERROR(__xludf.DUMMYFUNCTION("""COMPUTED_VALUE"""),2533568.0)</f>
        <v>2533568</v>
      </c>
      <c r="C7767" t="str">
        <f>IFERROR(__xludf.DUMMYFUNCTION("""COMPUTED_VALUE"""),"AWS Certified DevOps Engineer Professional 2021 - Hands On!")</f>
        <v>AWS Certified DevOps Engineer Professional 2021 - Hands On!</v>
      </c>
    </row>
    <row r="7768">
      <c r="A7768" s="140" t="str">
        <f>IFERROR(__xludf.DUMMYFUNCTION("""COMPUTED_VALUE"""),"ja")</f>
        <v>ja</v>
      </c>
      <c r="B7768">
        <f>IFERROR(__xludf.DUMMYFUNCTION("""COMPUTED_VALUE"""),1938484.0)</f>
        <v>1938484</v>
      </c>
      <c r="C7768" t="str">
        <f>IFERROR(__xludf.DUMMYFUNCTION("""COMPUTED_VALUE"""),"人工知能（AI）×IoT×ブロックチェーン時代のテクノロジー／次世代ビジネスモデルノウハウの全ての基礎知識を獲得する講座")</f>
        <v>人工知能（AI）×IoT×ブロックチェーン時代のテクノロジー／次世代ビジネスモデルノウハウの全ての基礎知識を獲得する講座</v>
      </c>
    </row>
    <row r="7769">
      <c r="A7769" s="140" t="str">
        <f>IFERROR(__xludf.DUMMYFUNCTION("""COMPUTED_VALUE"""),"ar")</f>
        <v>ar</v>
      </c>
      <c r="B7769">
        <f>IFERROR(__xludf.DUMMYFUNCTION("""COMPUTED_VALUE"""),951848.0)</f>
        <v>951848</v>
      </c>
      <c r="C7769" t="str">
        <f>IFERROR(__xludf.DUMMYFUNCTION("""COMPUTED_VALUE"""),"ماجستير إدارة الاعمال بالكامل في دورة واحدة")</f>
        <v>ماجستير إدارة الاعمال بالكامل في دورة واحدة</v>
      </c>
    </row>
    <row r="7770">
      <c r="A7770" s="140" t="str">
        <f>IFERROR(__xludf.DUMMYFUNCTION("""COMPUTED_VALUE"""),"pt")</f>
        <v>pt</v>
      </c>
      <c r="B7770">
        <f>IFERROR(__xludf.DUMMYFUNCTION("""COMPUTED_VALUE"""),1055096.0)</f>
        <v>1055096</v>
      </c>
      <c r="C7770" t="str">
        <f>IFERROR(__xludf.DUMMYFUNCTION("""COMPUTED_VALUE"""),"Curso de Design Responsivo")</f>
        <v>Curso de Design Responsivo</v>
      </c>
    </row>
    <row r="7771">
      <c r="A7771" s="140" t="str">
        <f>IFERROR(__xludf.DUMMYFUNCTION("""COMPUTED_VALUE"""),"en")</f>
        <v>en</v>
      </c>
      <c r="B7771">
        <f>IFERROR(__xludf.DUMMYFUNCTION("""COMPUTED_VALUE"""),1203174.0)</f>
        <v>1203174</v>
      </c>
      <c r="C7771" t="str">
        <f>IFERROR(__xludf.DUMMYFUNCTION("""COMPUTED_VALUE"""),"Information Security Awareness: An introduction for UK SMEs")</f>
        <v>Information Security Awareness: An introduction for UK SMEs</v>
      </c>
    </row>
    <row r="7772">
      <c r="A7772" s="140" t="str">
        <f>IFERROR(__xludf.DUMMYFUNCTION("""COMPUTED_VALUE"""),"en")</f>
        <v>en</v>
      </c>
      <c r="B7772">
        <f>IFERROR(__xludf.DUMMYFUNCTION("""COMPUTED_VALUE"""),1478886.0)</f>
        <v>1478886</v>
      </c>
      <c r="C7772" t="str">
        <f>IFERROR(__xludf.DUMMYFUNCTION("""COMPUTED_VALUE"""),"Data Science 2021 : Complete Data Science &amp; Machine Learning")</f>
        <v>Data Science 2021 : Complete Data Science &amp; Machine Learning</v>
      </c>
    </row>
    <row r="7773">
      <c r="A7773" s="140" t="str">
        <f>IFERROR(__xludf.DUMMYFUNCTION("""COMPUTED_VALUE"""),"en")</f>
        <v>en</v>
      </c>
      <c r="B7773">
        <f>IFERROR(__xludf.DUMMYFUNCTION("""COMPUTED_VALUE"""),2582160.0)</f>
        <v>2582160</v>
      </c>
      <c r="C7773" t="str">
        <f>IFERROR(__xludf.DUMMYFUNCTION("""COMPUTED_VALUE"""),"Docker for Beginners: DevOps for Java &amp; Spring Boot")</f>
        <v>Docker for Beginners: DevOps for Java &amp; Spring Boot</v>
      </c>
    </row>
    <row r="7774">
      <c r="A7774" s="140" t="str">
        <f>IFERROR(__xludf.DUMMYFUNCTION("""COMPUTED_VALUE"""),"en")</f>
        <v>en</v>
      </c>
      <c r="B7774">
        <f>IFERROR(__xludf.DUMMYFUNCTION("""COMPUTED_VALUE"""),2792296.0)</f>
        <v>2792296</v>
      </c>
      <c r="C7774" t="str">
        <f>IFERROR(__xludf.DUMMYFUNCTION("""COMPUTED_VALUE"""),"Computational Fluid Dynamics Fundamentals Course 3")</f>
        <v>Computational Fluid Dynamics Fundamentals Course 3</v>
      </c>
    </row>
    <row r="7775">
      <c r="A7775" s="140" t="str">
        <f>IFERROR(__xludf.DUMMYFUNCTION("""COMPUTED_VALUE"""),"ko")</f>
        <v>ko</v>
      </c>
      <c r="B7775">
        <f>IFERROR(__xludf.DUMMYFUNCTION("""COMPUTED_VALUE"""),4212292.0)</f>
        <v>4212292</v>
      </c>
      <c r="C7775" t="str">
        <f>IFERROR(__xludf.DUMMYFUNCTION("""COMPUTED_VALUE"""),"유튜브로 우리집에 영어 노출환경 만들기")</f>
        <v>유튜브로 우리집에 영어 노출환경 만들기</v>
      </c>
    </row>
    <row r="7776">
      <c r="A7776" s="140" t="str">
        <f>IFERROR(__xludf.DUMMYFUNCTION("""COMPUTED_VALUE"""),"es")</f>
        <v>es</v>
      </c>
      <c r="B7776">
        <f>IFERROR(__xludf.DUMMYFUNCTION("""COMPUTED_VALUE"""),2990266.0)</f>
        <v>2990266</v>
      </c>
      <c r="C7776" t="str">
        <f>IFERROR(__xludf.DUMMYFUNCTION("""COMPUTED_VALUE"""),"Formación en prevención de riesgos laborales - COVID-19")</f>
        <v>Formación en prevención de riesgos laborales - COVID-19</v>
      </c>
    </row>
    <row r="7777">
      <c r="A7777" s="140" t="str">
        <f>IFERROR(__xludf.DUMMYFUNCTION("""COMPUTED_VALUE"""),"pt")</f>
        <v>pt</v>
      </c>
      <c r="B7777">
        <f>IFERROR(__xludf.DUMMYFUNCTION("""COMPUTED_VALUE"""),3440430.0)</f>
        <v>3440430</v>
      </c>
      <c r="C7777" t="str">
        <f>IFERROR(__xludf.DUMMYFUNCTION("""COMPUTED_VALUE"""),"Gmail para Negócios: Técnicas de organização")</f>
        <v>Gmail para Negócios: Técnicas de organização</v>
      </c>
    </row>
    <row r="7778">
      <c r="A7778" s="140" t="str">
        <f>IFERROR(__xludf.DUMMYFUNCTION("""COMPUTED_VALUE"""),"ar")</f>
        <v>ar</v>
      </c>
      <c r="B7778">
        <f>IFERROR(__xludf.DUMMYFUNCTION("""COMPUTED_VALUE"""),2981400.0)</f>
        <v>2981400</v>
      </c>
      <c r="C7778" t="str">
        <f>IFERROR(__xludf.DUMMYFUNCTION("""COMPUTED_VALUE"""),"Light Current Systems | كورس تصميم انظمة التيار الخفيف")</f>
        <v>Light Current Systems | كورس تصميم انظمة التيار الخفيف</v>
      </c>
    </row>
    <row r="7779">
      <c r="A7779" s="140" t="str">
        <f>IFERROR(__xludf.DUMMYFUNCTION("""COMPUTED_VALUE"""),"ja")</f>
        <v>ja</v>
      </c>
      <c r="B7779">
        <f>IFERROR(__xludf.DUMMYFUNCTION("""COMPUTED_VALUE"""),1327858.0)</f>
        <v>1327858</v>
      </c>
      <c r="C7779" t="str">
        <f>IFERROR(__xludf.DUMMYFUNCTION("""COMPUTED_VALUE"""),"すぐに話せる中国語　発音編")</f>
        <v>すぐに話せる中国語　発音編</v>
      </c>
    </row>
    <row r="7780">
      <c r="A7780" s="140" t="str">
        <f>IFERROR(__xludf.DUMMYFUNCTION("""COMPUTED_VALUE"""),"es")</f>
        <v>es</v>
      </c>
      <c r="B7780">
        <f>IFERROR(__xludf.DUMMYFUNCTION("""COMPUTED_VALUE"""),376318.0)</f>
        <v>376318</v>
      </c>
      <c r="C7780" t="str">
        <f>IFERROR(__xludf.DUMMYFUNCTION("""COMPUTED_VALUE"""),"Aprende FRANCÉS desde CERO!")</f>
        <v>Aprende FRANCÉS desde CERO!</v>
      </c>
    </row>
    <row r="7781">
      <c r="A7781" s="140" t="str">
        <f>IFERROR(__xludf.DUMMYFUNCTION("""COMPUTED_VALUE"""),"pt")</f>
        <v>pt</v>
      </c>
      <c r="B7781">
        <f>IFERROR(__xludf.DUMMYFUNCTION("""COMPUTED_VALUE"""),3208413.0)</f>
        <v>3208413</v>
      </c>
      <c r="C7781" t="str">
        <f>IFERROR(__xludf.DUMMYFUNCTION("""COMPUTED_VALUE"""),"NR-10 - Básico (Extensão)")</f>
        <v>NR-10 - Básico (Extensão)</v>
      </c>
    </row>
    <row r="7782">
      <c r="A7782" s="140" t="str">
        <f>IFERROR(__xludf.DUMMYFUNCTION("""COMPUTED_VALUE"""),"es")</f>
        <v>es</v>
      </c>
      <c r="B7782">
        <f>IFERROR(__xludf.DUMMYFUNCTION("""COMPUTED_VALUE"""),650734.0)</f>
        <v>650734</v>
      </c>
      <c r="C7782" t="str">
        <f>IFERROR(__xludf.DUMMYFUNCTION("""COMPUTED_VALUE"""),"Aprende QGIS desde cero. Un SIG de código libre.")</f>
        <v>Aprende QGIS desde cero. Un SIG de código libre.</v>
      </c>
    </row>
    <row r="7783">
      <c r="A7783" s="140" t="str">
        <f>IFERROR(__xludf.DUMMYFUNCTION("""COMPUTED_VALUE"""),"en")</f>
        <v>en</v>
      </c>
      <c r="B7783">
        <f>IFERROR(__xludf.DUMMYFUNCTION("""COMPUTED_VALUE"""),408556.0)</f>
        <v>408556</v>
      </c>
      <c r="C7783" t="str">
        <f>IFERROR(__xludf.DUMMYFUNCTION("""COMPUTED_VALUE"""),"The Art of Communications - Become A Master Communicator")</f>
        <v>The Art of Communications - Become A Master Communicator</v>
      </c>
    </row>
    <row r="7784">
      <c r="A7784" s="140" t="str">
        <f>IFERROR(__xludf.DUMMYFUNCTION("""COMPUTED_VALUE"""),"en")</f>
        <v>en</v>
      </c>
      <c r="B7784">
        <f>IFERROR(__xludf.DUMMYFUNCTION("""COMPUTED_VALUE"""),1607348.0)</f>
        <v>1607348</v>
      </c>
      <c r="C7784" t="str">
        <f>IFERROR(__xludf.DUMMYFUNCTION("""COMPUTED_VALUE"""),"Basic English Grammar And Structures")</f>
        <v>Basic English Grammar And Structures</v>
      </c>
    </row>
    <row r="7785">
      <c r="A7785" s="140" t="str">
        <f>IFERROR(__xludf.DUMMYFUNCTION("""COMPUTED_VALUE"""),"en")</f>
        <v>en</v>
      </c>
      <c r="B7785">
        <f>IFERROR(__xludf.DUMMYFUNCTION("""COMPUTED_VALUE"""),864848.0)</f>
        <v>864848</v>
      </c>
      <c r="C7785" t="str">
        <f>IFERROR(__xludf.DUMMYFUNCTION("""COMPUTED_VALUE"""),"NLP In Sales Certification- Sell More, Persuade &amp; Influence")</f>
        <v>NLP In Sales Certification- Sell More, Persuade &amp; Influence</v>
      </c>
    </row>
    <row r="7786">
      <c r="A7786" s="140" t="str">
        <f>IFERROR(__xludf.DUMMYFUNCTION("""COMPUTED_VALUE"""),"en")</f>
        <v>en</v>
      </c>
      <c r="B7786">
        <f>IFERROR(__xludf.DUMMYFUNCTION("""COMPUTED_VALUE"""),2124810.0)</f>
        <v>2124810</v>
      </c>
      <c r="C7786" t="str">
        <f>IFERROR(__xludf.DUMMYFUNCTION("""COMPUTED_VALUE"""),"Think Strategically and Make Your Ideas a Reality")</f>
        <v>Think Strategically and Make Your Ideas a Reality</v>
      </c>
    </row>
    <row r="7787">
      <c r="A7787" s="140" t="str">
        <f>IFERROR(__xludf.DUMMYFUNCTION("""COMPUTED_VALUE"""),"en")</f>
        <v>en</v>
      </c>
      <c r="B7787">
        <f>IFERROR(__xludf.DUMMYFUNCTION("""COMPUTED_VALUE"""),756024.0)</f>
        <v>756024</v>
      </c>
      <c r="C7787" t="str">
        <f>IFERROR(__xludf.DUMMYFUNCTION("""COMPUTED_VALUE"""),"The Complete Engineering Mechanics Course")</f>
        <v>The Complete Engineering Mechanics Course</v>
      </c>
    </row>
    <row r="7788">
      <c r="A7788" s="140" t="str">
        <f>IFERROR(__xludf.DUMMYFUNCTION("""COMPUTED_VALUE"""),"en")</f>
        <v>en</v>
      </c>
      <c r="B7788">
        <f>IFERROR(__xludf.DUMMYFUNCTION("""COMPUTED_VALUE"""),1436164.0)</f>
        <v>1436164</v>
      </c>
      <c r="C7788" t="str">
        <f>IFERROR(__xludf.DUMMYFUNCTION("""COMPUTED_VALUE"""),"Customer Service: Soft Skills Fundamentals")</f>
        <v>Customer Service: Soft Skills Fundamentals</v>
      </c>
    </row>
    <row r="7789">
      <c r="A7789" s="140" t="str">
        <f>IFERROR(__xludf.DUMMYFUNCTION("""COMPUTED_VALUE"""),"en")</f>
        <v>en</v>
      </c>
      <c r="B7789">
        <f>IFERROR(__xludf.DUMMYFUNCTION("""COMPUTED_VALUE"""),3184584.0)</f>
        <v>3184584</v>
      </c>
      <c r="C7789" t="str">
        <f>IFERROR(__xludf.DUMMYFUNCTION("""COMPUTED_VALUE"""),"Apache Spark 3 - Spark Programming in Python for Beginners")</f>
        <v>Apache Spark 3 - Spark Programming in Python for Beginners</v>
      </c>
    </row>
    <row r="7790">
      <c r="A7790" s="140" t="str">
        <f>IFERROR(__xludf.DUMMYFUNCTION("""COMPUTED_VALUE"""),"ja")</f>
        <v>ja</v>
      </c>
      <c r="B7790">
        <f>IFERROR(__xludf.DUMMYFUNCTION("""COMPUTED_VALUE"""),3434218.0)</f>
        <v>3434218</v>
      </c>
      <c r="C7790" t="str">
        <f>IFERROR(__xludf.DUMMYFUNCTION("""COMPUTED_VALUE"""),"センス不要！伝わるプレゼン資料のデザインルール【実践編】")</f>
        <v>センス不要！伝わるプレゼン資料のデザインルール【実践編】</v>
      </c>
    </row>
    <row r="7791">
      <c r="A7791" s="140" t="str">
        <f>IFERROR(__xludf.DUMMYFUNCTION("""COMPUTED_VALUE"""),"en")</f>
        <v>en</v>
      </c>
      <c r="B7791">
        <f>IFERROR(__xludf.DUMMYFUNCTION("""COMPUTED_VALUE"""),864758.0)</f>
        <v>864758</v>
      </c>
      <c r="C7791" t="str">
        <f>IFERROR(__xludf.DUMMYFUNCTION("""COMPUTED_VALUE"""),"UI Animation using Sketch 3, Principle App, and Flinto")</f>
        <v>UI Animation using Sketch 3, Principle App, and Flinto</v>
      </c>
    </row>
    <row r="7792">
      <c r="A7792" s="140" t="str">
        <f>IFERROR(__xludf.DUMMYFUNCTION("""COMPUTED_VALUE"""),"en")</f>
        <v>en</v>
      </c>
      <c r="B7792">
        <f>IFERROR(__xludf.DUMMYFUNCTION("""COMPUTED_VALUE"""),1958472.0)</f>
        <v>1958472</v>
      </c>
      <c r="C7792" t="str">
        <f>IFERROR(__xludf.DUMMYFUNCTION("""COMPUTED_VALUE"""),"Acoustic Guitar Redefined. Learn Chords, Rhythm and Melody!")</f>
        <v>Acoustic Guitar Redefined. Learn Chords, Rhythm and Melody!</v>
      </c>
    </row>
    <row r="7793">
      <c r="A7793" s="140" t="str">
        <f>IFERROR(__xludf.DUMMYFUNCTION("""COMPUTED_VALUE"""),"en")</f>
        <v>en</v>
      </c>
      <c r="B7793">
        <f>IFERROR(__xludf.DUMMYFUNCTION("""COMPUTED_VALUE"""),1719174.0)</f>
        <v>1719174</v>
      </c>
      <c r="C7793" t="str">
        <f>IFERROR(__xludf.DUMMYFUNCTION("""COMPUTED_VALUE"""),"2021 Update! React Testing with Jest and Enzyme")</f>
        <v>2021 Update! React Testing with Jest and Enzyme</v>
      </c>
    </row>
    <row r="7794">
      <c r="A7794" s="140" t="str">
        <f>IFERROR(__xludf.DUMMYFUNCTION("""COMPUTED_VALUE"""),"pt")</f>
        <v>pt</v>
      </c>
      <c r="B7794">
        <f>IFERROR(__xludf.DUMMYFUNCTION("""COMPUTED_VALUE"""),1059508.0)</f>
        <v>1059508</v>
      </c>
      <c r="C7794" t="str">
        <f>IFERROR(__xludf.DUMMYFUNCTION("""COMPUTED_VALUE"""),"ISO 27001: Construindo Políticas de Segurança da Informação")</f>
        <v>ISO 27001: Construindo Políticas de Segurança da Informação</v>
      </c>
    </row>
    <row r="7795">
      <c r="A7795" s="140" t="str">
        <f>IFERROR(__xludf.DUMMYFUNCTION("""COMPUTED_VALUE"""),"en")</f>
        <v>en</v>
      </c>
      <c r="B7795">
        <f>IFERROR(__xludf.DUMMYFUNCTION("""COMPUTED_VALUE"""),2246386.0)</f>
        <v>2246386</v>
      </c>
      <c r="C7795" t="str">
        <f>IFERROR(__xludf.DUMMYFUNCTION("""COMPUTED_VALUE"""),"IELTS Speaking Success - Get a Band 7+")</f>
        <v>IELTS Speaking Success - Get a Band 7+</v>
      </c>
    </row>
    <row r="7796">
      <c r="A7796" s="140" t="str">
        <f>IFERROR(__xludf.DUMMYFUNCTION("""COMPUTED_VALUE"""),"zh")</f>
        <v>zh</v>
      </c>
      <c r="B7796">
        <f>IFERROR(__xludf.DUMMYFUNCTION("""COMPUTED_VALUE"""),1605684.0)</f>
        <v>1605684</v>
      </c>
      <c r="C7796" t="str">
        <f>IFERROR(__xludf.DUMMYFUNCTION("""COMPUTED_VALUE"""),"Python数据分析与机器学习实战")</f>
        <v>Python数据分析与机器学习实战</v>
      </c>
    </row>
    <row r="7797">
      <c r="A7797" s="140" t="str">
        <f>IFERROR(__xludf.DUMMYFUNCTION("""COMPUTED_VALUE"""),"en")</f>
        <v>en</v>
      </c>
      <c r="B7797">
        <f>IFERROR(__xludf.DUMMYFUNCTION("""COMPUTED_VALUE"""),1101758.0)</f>
        <v>1101758</v>
      </c>
      <c r="C7797" t="str">
        <f>IFERROR(__xludf.DUMMYFUNCTION("""COMPUTED_VALUE"""),"Options Trading for Rookies: Advanced Iron Condor Strategies")</f>
        <v>Options Trading for Rookies: Advanced Iron Condor Strategies</v>
      </c>
    </row>
    <row r="7798">
      <c r="A7798" s="140" t="str">
        <f>IFERROR(__xludf.DUMMYFUNCTION("""COMPUTED_VALUE"""),"en")</f>
        <v>en</v>
      </c>
      <c r="B7798">
        <f>IFERROR(__xludf.DUMMYFUNCTION("""COMPUTED_VALUE"""),1314676.0)</f>
        <v>1314676</v>
      </c>
      <c r="C7798" t="str">
        <f>IFERROR(__xludf.DUMMYFUNCTION("""COMPUTED_VALUE"""),"Linux Administration with Troubleshooting Skills- Prime Pack")</f>
        <v>Linux Administration with Troubleshooting Skills- Prime Pack</v>
      </c>
    </row>
    <row r="7799">
      <c r="A7799" s="140" t="str">
        <f>IFERROR(__xludf.DUMMYFUNCTION("""COMPUTED_VALUE"""),"es")</f>
        <v>es</v>
      </c>
      <c r="B7799">
        <f>IFERROR(__xludf.DUMMYFUNCTION("""COMPUTED_VALUE"""),1237204.0)</f>
        <v>1237204</v>
      </c>
      <c r="C7799" t="str">
        <f>IFERROR(__xludf.DUMMYFUNCTION("""COMPUTED_VALUE"""),"Desarrollo de Tiendas Virtuales con WordPress y WooCommerce")</f>
        <v>Desarrollo de Tiendas Virtuales con WordPress y WooCommerce</v>
      </c>
    </row>
    <row r="7800">
      <c r="A7800" s="140" t="str">
        <f>IFERROR(__xludf.DUMMYFUNCTION("""COMPUTED_VALUE"""),"en")</f>
        <v>en</v>
      </c>
      <c r="B7800">
        <f>IFERROR(__xludf.DUMMYFUNCTION("""COMPUTED_VALUE"""),2171124.0)</f>
        <v>2171124</v>
      </c>
      <c r="C7800" t="str">
        <f>IFERROR(__xludf.DUMMYFUNCTION("""COMPUTED_VALUE"""),"CCA 131 - Cloudera Certified Hadoop and Spark Administrator")</f>
        <v>CCA 131 - Cloudera Certified Hadoop and Spark Administrator</v>
      </c>
    </row>
    <row r="7801">
      <c r="A7801" s="140" t="str">
        <f>IFERROR(__xludf.DUMMYFUNCTION("""COMPUTED_VALUE"""),"en")</f>
        <v>en</v>
      </c>
      <c r="B7801">
        <f>IFERROR(__xludf.DUMMYFUNCTION("""COMPUTED_VALUE"""),956380.0)</f>
        <v>956380</v>
      </c>
      <c r="C7801" t="str">
        <f>IFERROR(__xludf.DUMMYFUNCTION("""COMPUTED_VALUE"""),"FPGA Turbo Series - Implementing a UART")</f>
        <v>FPGA Turbo Series - Implementing a UART</v>
      </c>
    </row>
    <row r="7802">
      <c r="A7802" s="140" t="str">
        <f>IFERROR(__xludf.DUMMYFUNCTION("""COMPUTED_VALUE"""),"en")</f>
        <v>en</v>
      </c>
      <c r="B7802">
        <f>IFERROR(__xludf.DUMMYFUNCTION("""COMPUTED_VALUE"""),325452.0)</f>
        <v>325452</v>
      </c>
      <c r="C7802" t="str">
        <f>IFERROR(__xludf.DUMMYFUNCTION("""COMPUTED_VALUE"""),"Learn the basics of Norwegian language")</f>
        <v>Learn the basics of Norwegian language</v>
      </c>
    </row>
    <row r="7803">
      <c r="A7803" s="140" t="str">
        <f>IFERROR(__xludf.DUMMYFUNCTION("""COMPUTED_VALUE"""),"ja")</f>
        <v>ja</v>
      </c>
      <c r="B7803">
        <f>IFERROR(__xludf.DUMMYFUNCTION("""COMPUTED_VALUE"""),3117994.0)</f>
        <v>3117994</v>
      </c>
      <c r="C7803" t="str">
        <f>IFERROR(__xludf.DUMMYFUNCTION("""COMPUTED_VALUE"""),"はじめてのLINE BOT「最寄り駅ボット」＆「天気予報ボット」をつくろう")</f>
        <v>はじめてのLINE BOT「最寄り駅ボット」＆「天気予報ボット」をつくろう</v>
      </c>
    </row>
    <row r="7804">
      <c r="A7804" s="140" t="str">
        <f>IFERROR(__xludf.DUMMYFUNCTION("""COMPUTED_VALUE"""),"en")</f>
        <v>en</v>
      </c>
      <c r="B7804">
        <f>IFERROR(__xludf.DUMMYFUNCTION("""COMPUTED_VALUE"""),1198528.0)</f>
        <v>1198528</v>
      </c>
      <c r="C7804" t="str">
        <f>IFERROR(__xludf.DUMMYFUNCTION("""COMPUTED_VALUE"""),"Create HUD graphics in After Effects and Illustrator")</f>
        <v>Create HUD graphics in After Effects and Illustrator</v>
      </c>
    </row>
    <row r="7805">
      <c r="A7805" s="140" t="str">
        <f>IFERROR(__xludf.DUMMYFUNCTION("""COMPUTED_VALUE"""),"es")</f>
        <v>es</v>
      </c>
      <c r="B7805">
        <f>IFERROR(__xludf.DUMMYFUNCTION("""COMPUTED_VALUE"""),917734.0)</f>
        <v>917734</v>
      </c>
      <c r="C7805" t="str">
        <f>IFERROR(__xludf.DUMMYFUNCTION("""COMPUTED_VALUE"""),"Programa de Lanzamiento de tu Startup: Lean Analytics.")</f>
        <v>Programa de Lanzamiento de tu Startup: Lean Analytics.</v>
      </c>
    </row>
    <row r="7806">
      <c r="A7806" s="140" t="str">
        <f>IFERROR(__xludf.DUMMYFUNCTION("""COMPUTED_VALUE"""),"es")</f>
        <v>es</v>
      </c>
      <c r="B7806">
        <f>IFERROR(__xludf.DUMMYFUNCTION("""COMPUTED_VALUE"""),1283984.0)</f>
        <v>1283984</v>
      </c>
      <c r="C7806" t="str">
        <f>IFERROR(__xludf.DUMMYFUNCTION("""COMPUTED_VALUE"""),"Aprende a usar Arduino desde cero: crea tus proyectos")</f>
        <v>Aprende a usar Arduino desde cero: crea tus proyectos</v>
      </c>
    </row>
    <row r="7807">
      <c r="A7807" s="140" t="str">
        <f>IFERROR(__xludf.DUMMYFUNCTION("""COMPUTED_VALUE"""),"en")</f>
        <v>en</v>
      </c>
      <c r="B7807">
        <f>IFERROR(__xludf.DUMMYFUNCTION("""COMPUTED_VALUE"""),3005522.0)</f>
        <v>3005522</v>
      </c>
      <c r="C7807" t="str">
        <f>IFERROR(__xludf.DUMMYFUNCTION("""COMPUTED_VALUE"""),"The Complete Unity Game Development Course")</f>
        <v>The Complete Unity Game Development Course</v>
      </c>
    </row>
    <row r="7808">
      <c r="A7808" s="140" t="str">
        <f>IFERROR(__xludf.DUMMYFUNCTION("""COMPUTED_VALUE"""),"fr")</f>
        <v>fr</v>
      </c>
      <c r="B7808">
        <f>IFERROR(__xludf.DUMMYFUNCTION("""COMPUTED_VALUE"""),2783206.0)</f>
        <v>2783206</v>
      </c>
      <c r="C7808" t="str">
        <f>IFERROR(__xludf.DUMMYFUNCTION("""COMPUTED_VALUE"""),"Data Cleaning avec Pandas pour le Machine Learning [Python]")</f>
        <v>Data Cleaning avec Pandas pour le Machine Learning [Python]</v>
      </c>
    </row>
    <row r="7809">
      <c r="A7809" s="140" t="str">
        <f>IFERROR(__xludf.DUMMYFUNCTION("""COMPUTED_VALUE"""),"de")</f>
        <v>de</v>
      </c>
      <c r="B7809">
        <f>IFERROR(__xludf.DUMMYFUNCTION("""COMPUTED_VALUE"""),1678306.0)</f>
        <v>1678306</v>
      </c>
      <c r="C7809" t="str">
        <f>IFERROR(__xludf.DUMMYFUNCTION("""COMPUTED_VALUE"""),"WordPress &amp; DSGVO: Datenschutz für Websitebesitzer &amp; Blogger")</f>
        <v>WordPress &amp; DSGVO: Datenschutz für Websitebesitzer &amp; Blogger</v>
      </c>
    </row>
    <row r="7810">
      <c r="A7810" s="140" t="str">
        <f>IFERROR(__xludf.DUMMYFUNCTION("""COMPUTED_VALUE"""),"en")</f>
        <v>en</v>
      </c>
      <c r="B7810">
        <f>IFERROR(__xludf.DUMMYFUNCTION("""COMPUTED_VALUE"""),1780798.0)</f>
        <v>1780798</v>
      </c>
      <c r="C7810" t="str">
        <f>IFERROR(__xludf.DUMMYFUNCTION("""COMPUTED_VALUE"""),"A Gentle Introduction To ASP.NET Web Forms For Beginners")</f>
        <v>A Gentle Introduction To ASP.NET Web Forms For Beginners</v>
      </c>
    </row>
    <row r="7811">
      <c r="A7811" s="140" t="str">
        <f>IFERROR(__xludf.DUMMYFUNCTION("""COMPUTED_VALUE"""),"en")</f>
        <v>en</v>
      </c>
      <c r="B7811">
        <f>IFERROR(__xludf.DUMMYFUNCTION("""COMPUTED_VALUE"""),1426704.0)</f>
        <v>1426704</v>
      </c>
      <c r="C7811" t="str">
        <f>IFERROR(__xludf.DUMMYFUNCTION("""COMPUTED_VALUE"""),"End to End Project Development Using Spring Boot")</f>
        <v>End to End Project Development Using Spring Boot</v>
      </c>
    </row>
    <row r="7812">
      <c r="A7812" s="140" t="str">
        <f>IFERROR(__xludf.DUMMYFUNCTION("""COMPUTED_VALUE"""),"pt")</f>
        <v>pt</v>
      </c>
      <c r="B7812">
        <f>IFERROR(__xludf.DUMMYFUNCTION("""COMPUTED_VALUE"""),3269564.0)</f>
        <v>3269564</v>
      </c>
      <c r="C7812" t="str">
        <f>IFERROR(__xludf.DUMMYFUNCTION("""COMPUTED_VALUE"""),"Soft-skills: Liderança de Alto Desempenho")</f>
        <v>Soft-skills: Liderança de Alto Desempenho</v>
      </c>
    </row>
    <row r="7813">
      <c r="A7813" s="140" t="str">
        <f>IFERROR(__xludf.DUMMYFUNCTION("""COMPUTED_VALUE"""),"tr")</f>
        <v>tr</v>
      </c>
      <c r="B7813">
        <f>IFERROR(__xludf.DUMMYFUNCTION("""COMPUTED_VALUE"""),2508710.0)</f>
        <v>2508710</v>
      </c>
      <c r="C7813" t="str">
        <f>IFERROR(__xludf.DUMMYFUNCTION("""COMPUTED_VALUE"""),"A-Z™ Google E-Tablolar [2019]")</f>
        <v>A-Z™ Google E-Tablolar [2019]</v>
      </c>
    </row>
    <row r="7814">
      <c r="A7814" s="140" t="str">
        <f>IFERROR(__xludf.DUMMYFUNCTION("""COMPUTED_VALUE"""),"en")</f>
        <v>en</v>
      </c>
      <c r="B7814">
        <f>IFERROR(__xludf.DUMMYFUNCTION("""COMPUTED_VALUE"""),581436.0)</f>
        <v>581436</v>
      </c>
      <c r="C7814" t="str">
        <f>IFERROR(__xludf.DUMMYFUNCTION("""COMPUTED_VALUE"""),"Strong &amp; Effective Marketing Plan (Plan Template &amp; Example)")</f>
        <v>Strong &amp; Effective Marketing Plan (Plan Template &amp; Example)</v>
      </c>
    </row>
    <row r="7815">
      <c r="A7815" s="140" t="str">
        <f>IFERROR(__xludf.DUMMYFUNCTION("""COMPUTED_VALUE"""),"en")</f>
        <v>en</v>
      </c>
      <c r="B7815">
        <f>IFERROR(__xludf.DUMMYFUNCTION("""COMPUTED_VALUE"""),1439914.0)</f>
        <v>1439914</v>
      </c>
      <c r="C7815" t="str">
        <f>IFERROR(__xludf.DUMMYFUNCTION("""COMPUTED_VALUE"""),"Mastering IELTS Writing: Task 2 (Band 9 Model Answers)")</f>
        <v>Mastering IELTS Writing: Task 2 (Band 9 Model Answers)</v>
      </c>
    </row>
    <row r="7816">
      <c r="A7816" s="140" t="str">
        <f>IFERROR(__xludf.DUMMYFUNCTION("""COMPUTED_VALUE"""),"en")</f>
        <v>en</v>
      </c>
      <c r="B7816">
        <f>IFERROR(__xludf.DUMMYFUNCTION("""COMPUTED_VALUE"""),1859824.0)</f>
        <v>1859824</v>
      </c>
      <c r="C7816" t="str">
        <f>IFERROR(__xludf.DUMMYFUNCTION("""COMPUTED_VALUE"""),"Building Structures in Italian - Structure 3")</f>
        <v>Building Structures in Italian - Structure 3</v>
      </c>
    </row>
    <row r="7817">
      <c r="A7817" s="140" t="str">
        <f>IFERROR(__xludf.DUMMYFUNCTION("""COMPUTED_VALUE"""),"fr")</f>
        <v>fr</v>
      </c>
      <c r="B7817">
        <f>IFERROR(__xludf.DUMMYFUNCTION("""COMPUTED_VALUE"""),2431008.0)</f>
        <v>2431008</v>
      </c>
      <c r="C7817" t="str">
        <f>IFERROR(__xludf.DUMMYFUNCTION("""COMPUTED_VALUE"""),"Négociation - Le guide complet")</f>
        <v>Négociation - Le guide complet</v>
      </c>
    </row>
    <row r="7818">
      <c r="A7818" s="140" t="str">
        <f>IFERROR(__xludf.DUMMYFUNCTION("""COMPUTED_VALUE"""),"en")</f>
        <v>en</v>
      </c>
      <c r="B7818">
        <f>IFERROR(__xludf.DUMMYFUNCTION("""COMPUTED_VALUE"""),1414788.0)</f>
        <v>1414788</v>
      </c>
      <c r="C7818" t="str">
        <f>IFERROR(__xludf.DUMMYFUNCTION("""COMPUTED_VALUE"""),"Mastering Intermediate DAX - Power BI, Power Pivot &amp; SSAS")</f>
        <v>Mastering Intermediate DAX - Power BI, Power Pivot &amp; SSAS</v>
      </c>
    </row>
    <row r="7819">
      <c r="A7819" s="140" t="str">
        <f>IFERROR(__xludf.DUMMYFUNCTION("""COMPUTED_VALUE"""),"en")</f>
        <v>en</v>
      </c>
      <c r="B7819">
        <f>IFERROR(__xludf.DUMMYFUNCTION("""COMPUTED_VALUE"""),3303970.0)</f>
        <v>3303970</v>
      </c>
      <c r="C7819" t="str">
        <f>IFERROR(__xludf.DUMMYFUNCTION("""COMPUTED_VALUE"""),"ServiceNow System Administrator (CSA) Tests - November 2021")</f>
        <v>ServiceNow System Administrator (CSA) Tests - November 2021</v>
      </c>
    </row>
    <row r="7820">
      <c r="A7820" s="140" t="str">
        <f>IFERROR(__xludf.DUMMYFUNCTION("""COMPUTED_VALUE"""),"tr")</f>
        <v>tr</v>
      </c>
      <c r="B7820">
        <f>IFERROR(__xludf.DUMMYFUNCTION("""COMPUTED_VALUE"""),2308898.0)</f>
        <v>2308898</v>
      </c>
      <c r="C7820" t="str">
        <f>IFERROR(__xludf.DUMMYFUNCTION("""COMPUTED_VALUE"""),"SQL Server DBA Eğitim Videosu Serisi")</f>
        <v>SQL Server DBA Eğitim Videosu Serisi</v>
      </c>
    </row>
    <row r="7821">
      <c r="A7821" s="140" t="str">
        <f>IFERROR(__xludf.DUMMYFUNCTION("""COMPUTED_VALUE"""),"pt")</f>
        <v>pt</v>
      </c>
      <c r="B7821">
        <f>IFERROR(__xludf.DUMMYFUNCTION("""COMPUTED_VALUE"""),3063904.0)</f>
        <v>3063904</v>
      </c>
      <c r="C7821" t="str">
        <f>IFERROR(__xludf.DUMMYFUNCTION("""COMPUTED_VALUE"""),"Administração de Servidores e Serviços de Rede")</f>
        <v>Administração de Servidores e Serviços de Rede</v>
      </c>
    </row>
    <row r="7822">
      <c r="A7822" s="140" t="str">
        <f>IFERROR(__xludf.DUMMYFUNCTION("""COMPUTED_VALUE"""),"en")</f>
        <v>en</v>
      </c>
      <c r="B7822">
        <f>IFERROR(__xludf.DUMMYFUNCTION("""COMPUTED_VALUE"""),1313518.0)</f>
        <v>1313518</v>
      </c>
      <c r="C7822" t="str">
        <f>IFERROR(__xludf.DUMMYFUNCTION("""COMPUTED_VALUE"""),"Touch Typing Mastery - Learn to type correctly")</f>
        <v>Touch Typing Mastery - Learn to type correctly</v>
      </c>
    </row>
    <row r="7823">
      <c r="A7823" s="140" t="str">
        <f>IFERROR(__xludf.DUMMYFUNCTION("""COMPUTED_VALUE"""),"pt")</f>
        <v>pt</v>
      </c>
      <c r="B7823">
        <f>IFERROR(__xludf.DUMMYFUNCTION("""COMPUTED_VALUE"""),2940656.0)</f>
        <v>2940656</v>
      </c>
      <c r="C7823" t="str">
        <f>IFERROR(__xludf.DUMMYFUNCTION("""COMPUTED_VALUE"""),"SUPERVISÃO e GESTÃO: Telemarketing, Call Center e Televendas")</f>
        <v>SUPERVISÃO e GESTÃO: Telemarketing, Call Center e Televendas</v>
      </c>
    </row>
    <row r="7824">
      <c r="A7824" s="140" t="str">
        <f>IFERROR(__xludf.DUMMYFUNCTION("""COMPUTED_VALUE"""),"pt")</f>
        <v>pt</v>
      </c>
      <c r="B7824">
        <f>IFERROR(__xludf.DUMMYFUNCTION("""COMPUTED_VALUE"""),1587732.0)</f>
        <v>1587732</v>
      </c>
      <c r="C7824" t="str">
        <f>IFERROR(__xludf.DUMMYFUNCTION("""COMPUTED_VALUE"""),"Do Zero à Nuvem: API Restful com NodeJS, Restify e MongoDB")</f>
        <v>Do Zero à Nuvem: API Restful com NodeJS, Restify e MongoDB</v>
      </c>
    </row>
    <row r="7825">
      <c r="A7825" s="140" t="str">
        <f>IFERROR(__xludf.DUMMYFUNCTION("""COMPUTED_VALUE"""),"ko")</f>
        <v>ko</v>
      </c>
      <c r="B7825">
        <f>IFERROR(__xludf.DUMMYFUNCTION("""COMPUTED_VALUE"""),903856.0)</f>
        <v>903856</v>
      </c>
      <c r="C7825" t="str">
        <f>IFERROR(__xludf.DUMMYFUNCTION("""COMPUTED_VALUE"""),"스마트시트(Smartsheet)로 똑똑하게 일하기")</f>
        <v>스마트시트(Smartsheet)로 똑똑하게 일하기</v>
      </c>
    </row>
    <row r="7826">
      <c r="A7826" s="140" t="str">
        <f>IFERROR(__xludf.DUMMYFUNCTION("""COMPUTED_VALUE"""),"en")</f>
        <v>en</v>
      </c>
      <c r="B7826">
        <f>IFERROR(__xludf.DUMMYFUNCTION("""COMPUTED_VALUE"""),2774884.0)</f>
        <v>2774884</v>
      </c>
      <c r="C7826" t="str">
        <f>IFERROR(__xludf.DUMMYFUNCTION("""COMPUTED_VALUE"""),"Corporate investment management: from beginner to expert.")</f>
        <v>Corporate investment management: from beginner to expert.</v>
      </c>
    </row>
    <row r="7827">
      <c r="A7827" s="140" t="str">
        <f>IFERROR(__xludf.DUMMYFUNCTION("""COMPUTED_VALUE"""),"en")</f>
        <v>en</v>
      </c>
      <c r="B7827">
        <f>IFERROR(__xludf.DUMMYFUNCTION("""COMPUTED_VALUE"""),3841916.0)</f>
        <v>3841916</v>
      </c>
      <c r="C7827" t="str">
        <f>IFERROR(__xludf.DUMMYFUNCTION("""COMPUTED_VALUE"""),"Complete Korean Course: Learn Korean for Beginners")</f>
        <v>Complete Korean Course: Learn Korean for Beginners</v>
      </c>
    </row>
    <row r="7828">
      <c r="A7828" s="140" t="str">
        <f>IFERROR(__xludf.DUMMYFUNCTION("""COMPUTED_VALUE"""),"en")</f>
        <v>en</v>
      </c>
      <c r="B7828">
        <f>IFERROR(__xludf.DUMMYFUNCTION("""COMPUTED_VALUE"""),154716.0)</f>
        <v>154716</v>
      </c>
      <c r="C7828" t="str">
        <f>IFERROR(__xludf.DUMMYFUNCTION("""COMPUTED_VALUE"""),"Git by Example")</f>
        <v>Git by Example</v>
      </c>
    </row>
    <row r="7829">
      <c r="A7829" s="140" t="str">
        <f>IFERROR(__xludf.DUMMYFUNCTION("""COMPUTED_VALUE"""),"fr")</f>
        <v>fr</v>
      </c>
      <c r="B7829">
        <f>IFERROR(__xludf.DUMMYFUNCTION("""COMPUTED_VALUE"""),2997956.0)</f>
        <v>2997956</v>
      </c>
      <c r="C7829" t="str">
        <f>IFERROR(__xludf.DUMMYFUNCTION("""COMPUTED_VALUE"""),"SQL et Data Visualization - Le Cours Complet")</f>
        <v>SQL et Data Visualization - Le Cours Complet</v>
      </c>
    </row>
    <row r="7830">
      <c r="A7830" s="140" t="str">
        <f>IFERROR(__xludf.DUMMYFUNCTION("""COMPUTED_VALUE"""),"es")</f>
        <v>es</v>
      </c>
      <c r="B7830">
        <f>IFERROR(__xludf.DUMMYFUNCTION("""COMPUTED_VALUE"""),1131440.0)</f>
        <v>1131440</v>
      </c>
      <c r="C7830" t="str">
        <f>IFERROR(__xludf.DUMMYFUNCTION("""COMPUTED_VALUE"""),"Conviértete en un excelente comunicador en público")</f>
        <v>Conviértete en un excelente comunicador en público</v>
      </c>
    </row>
    <row r="7831">
      <c r="A7831" s="140" t="str">
        <f>IFERROR(__xludf.DUMMYFUNCTION("""COMPUTED_VALUE"""),"en")</f>
        <v>en</v>
      </c>
      <c r="B7831">
        <f>IFERROR(__xludf.DUMMYFUNCTION("""COMPUTED_VALUE"""),1338022.0)</f>
        <v>1338022</v>
      </c>
      <c r="C7831" t="str">
        <f>IFERROR(__xludf.DUMMYFUNCTION("""COMPUTED_VALUE"""),"Passing Certification Exams with Strategic Test Taking!")</f>
        <v>Passing Certification Exams with Strategic Test Taking!</v>
      </c>
    </row>
    <row r="7832">
      <c r="A7832" s="140" t="str">
        <f>IFERROR(__xludf.DUMMYFUNCTION("""COMPUTED_VALUE"""),"en")</f>
        <v>en</v>
      </c>
      <c r="B7832">
        <f>IFERROR(__xludf.DUMMYFUNCTION("""COMPUTED_VALUE"""),1395136.0)</f>
        <v>1395136</v>
      </c>
      <c r="C7832" t="str">
        <f>IFERROR(__xludf.DUMMYFUNCTION("""COMPUTED_VALUE"""),"Computer Science 101: Master the Theory Behind Programming")</f>
        <v>Computer Science 101: Master the Theory Behind Programming</v>
      </c>
    </row>
    <row r="7833">
      <c r="A7833" s="140" t="str">
        <f>IFERROR(__xludf.DUMMYFUNCTION("""COMPUTED_VALUE"""),"tr")</f>
        <v>tr</v>
      </c>
      <c r="B7833">
        <f>IFERROR(__xludf.DUMMYFUNCTION("""COMPUTED_VALUE"""),2573170.0)</f>
        <v>2573170</v>
      </c>
      <c r="C7833" t="str">
        <f>IFERROR(__xludf.DUMMYFUNCTION("""COMPUTED_VALUE"""),"Turkish Language Course for Beginners")</f>
        <v>Turkish Language Course for Beginners</v>
      </c>
    </row>
    <row r="7834">
      <c r="A7834" s="140" t="str">
        <f>IFERROR(__xludf.DUMMYFUNCTION("""COMPUTED_VALUE"""),"fr")</f>
        <v>fr</v>
      </c>
      <c r="B7834">
        <f>IFERROR(__xludf.DUMMYFUNCTION("""COMPUTED_VALUE"""),1003242.0)</f>
        <v>1003242</v>
      </c>
      <c r="C7834" t="str">
        <f>IFERROR(__xludf.DUMMYFUNCTION("""COMPUTED_VALUE"""),"Devenez développeur Java")</f>
        <v>Devenez développeur Java</v>
      </c>
    </row>
    <row r="7835">
      <c r="A7835" s="140" t="str">
        <f>IFERROR(__xludf.DUMMYFUNCTION("""COMPUTED_VALUE"""),"de")</f>
        <v>de</v>
      </c>
      <c r="B7835">
        <f>IFERROR(__xludf.DUMMYFUNCTION("""COMPUTED_VALUE"""),1745938.0)</f>
        <v>1745938</v>
      </c>
      <c r="C7835" t="str">
        <f>IFERROR(__xludf.DUMMYFUNCTION("""COMPUTED_VALUE"""),"Zeichnungen, Aquarell und Lettering digitalisieren")</f>
        <v>Zeichnungen, Aquarell und Lettering digitalisieren</v>
      </c>
    </row>
    <row r="7836">
      <c r="A7836" s="140" t="str">
        <f>IFERROR(__xludf.DUMMYFUNCTION("""COMPUTED_VALUE"""),"en")</f>
        <v>en</v>
      </c>
      <c r="B7836">
        <f>IFERROR(__xludf.DUMMYFUNCTION("""COMPUTED_VALUE"""),2373480.0)</f>
        <v>2373480</v>
      </c>
      <c r="C7836" t="str">
        <f>IFERROR(__xludf.DUMMYFUNCTION("""COMPUTED_VALUE"""),"Fortigate Firewall - Admin Crash Course")</f>
        <v>Fortigate Firewall - Admin Crash Course</v>
      </c>
    </row>
    <row r="7837">
      <c r="A7837" s="140" t="str">
        <f>IFERROR(__xludf.DUMMYFUNCTION("""COMPUTED_VALUE"""),"en")</f>
        <v>en</v>
      </c>
      <c r="B7837">
        <f>IFERROR(__xludf.DUMMYFUNCTION("""COMPUTED_VALUE"""),2158256.0)</f>
        <v>2158256</v>
      </c>
      <c r="C7837" t="str">
        <f>IFERROR(__xludf.DUMMYFUNCTION("""COMPUTED_VALUE"""),"Deployment of Machine Learning Models")</f>
        <v>Deployment of Machine Learning Models</v>
      </c>
    </row>
    <row r="7838">
      <c r="A7838" s="140" t="str">
        <f>IFERROR(__xludf.DUMMYFUNCTION("""COMPUTED_VALUE"""),"en")</f>
        <v>en</v>
      </c>
      <c r="B7838">
        <f>IFERROR(__xludf.DUMMYFUNCTION("""COMPUTED_VALUE"""),2555029.0)</f>
        <v>2555029</v>
      </c>
      <c r="C7838" t="str">
        <f>IFERROR(__xludf.DUMMYFUNCTION("""COMPUTED_VALUE"""),"CompTIA A+ (220-1001) Test Prep, Exams and Simulations")</f>
        <v>CompTIA A+ (220-1001) Test Prep, Exams and Simulations</v>
      </c>
    </row>
    <row r="7839">
      <c r="A7839" s="140" t="str">
        <f>IFERROR(__xludf.DUMMYFUNCTION("""COMPUTED_VALUE"""),"en")</f>
        <v>en</v>
      </c>
      <c r="B7839">
        <f>IFERROR(__xludf.DUMMYFUNCTION("""COMPUTED_VALUE"""),3293978.0)</f>
        <v>3293978</v>
      </c>
      <c r="C7839" t="str">
        <f>IFERROR(__xludf.DUMMYFUNCTION("""COMPUTED_VALUE"""),"Intro to Bug Bounty Hunting and Web Application Hacking")</f>
        <v>Intro to Bug Bounty Hunting and Web Application Hacking</v>
      </c>
    </row>
    <row r="7840">
      <c r="A7840" s="140" t="str">
        <f>IFERROR(__xludf.DUMMYFUNCTION("""COMPUTED_VALUE"""),"pt")</f>
        <v>pt</v>
      </c>
      <c r="B7840">
        <f>IFERROR(__xludf.DUMMYFUNCTION("""COMPUTED_VALUE"""),865646.0)</f>
        <v>865646</v>
      </c>
      <c r="C7840" t="str">
        <f>IFERROR(__xludf.DUMMYFUNCTION("""COMPUTED_VALUE"""),"Curso de desenvolvimento iOS 10 -  Aprenda a criar 15 apps")</f>
        <v>Curso de desenvolvimento iOS 10 -  Aprenda a criar 15 apps</v>
      </c>
    </row>
    <row r="7841">
      <c r="A7841" s="140" t="str">
        <f>IFERROR(__xludf.DUMMYFUNCTION("""COMPUTED_VALUE"""),"ja")</f>
        <v>ja</v>
      </c>
      <c r="B7841">
        <f>IFERROR(__xludf.DUMMYFUNCTION("""COMPUTED_VALUE"""),3901210.0)</f>
        <v>3901210</v>
      </c>
      <c r="C7841" t="str">
        <f>IFERROR(__xludf.DUMMYFUNCTION("""COMPUTED_VALUE"""),"ビジネスで差がつく！仕事の基本シリーズ２『一目置かれるコミュニケーション力と時間管理』 ～なぜか仕事がうまくいく！～")</f>
        <v>ビジネスで差がつく！仕事の基本シリーズ２『一目置かれるコミュニケーション力と時間管理』 ～なぜか仕事がうまくいく！～</v>
      </c>
    </row>
    <row r="7842">
      <c r="A7842" s="140" t="str">
        <f>IFERROR(__xludf.DUMMYFUNCTION("""COMPUTED_VALUE"""),"de")</f>
        <v>de</v>
      </c>
      <c r="B7842">
        <f>IFERROR(__xludf.DUMMYFUNCTION("""COMPUTED_VALUE"""),1012070.0)</f>
        <v>1012070</v>
      </c>
      <c r="C7842" t="str">
        <f>IFERROR(__xludf.DUMMYFUNCTION("""COMPUTED_VALUE"""),"30 Tage für die Ordnung -Endlich ordentlich sein")</f>
        <v>30 Tage für die Ordnung -Endlich ordentlich sein</v>
      </c>
    </row>
    <row r="7843">
      <c r="A7843" s="140" t="str">
        <f>IFERROR(__xludf.DUMMYFUNCTION("""COMPUTED_VALUE"""),"en")</f>
        <v>en</v>
      </c>
      <c r="B7843">
        <f>IFERROR(__xludf.DUMMYFUNCTION("""COMPUTED_VALUE"""),2471444.0)</f>
        <v>2471444</v>
      </c>
      <c r="C7843" t="str">
        <f>IFERROR(__xludf.DUMMYFUNCTION("""COMPUTED_VALUE"""),"Control Excel with Python &amp; OpenPyXL")</f>
        <v>Control Excel with Python &amp; OpenPyXL</v>
      </c>
    </row>
    <row r="7844">
      <c r="A7844" s="140" t="str">
        <f>IFERROR(__xludf.DUMMYFUNCTION("""COMPUTED_VALUE"""),"en")</f>
        <v>en</v>
      </c>
      <c r="B7844">
        <f>IFERROR(__xludf.DUMMYFUNCTION("""COMPUTED_VALUE"""),2741358.0)</f>
        <v>2741358</v>
      </c>
      <c r="C7844" t="str">
        <f>IFERROR(__xludf.DUMMYFUNCTION("""COMPUTED_VALUE"""),"AZ-304 Microsoft Azure Architect Design Certification 2021")</f>
        <v>AZ-304 Microsoft Azure Architect Design Certification 2021</v>
      </c>
    </row>
    <row r="7845">
      <c r="A7845" s="140" t="str">
        <f>IFERROR(__xludf.DUMMYFUNCTION("""COMPUTED_VALUE"""),"en")</f>
        <v>en</v>
      </c>
      <c r="B7845">
        <f>IFERROR(__xludf.DUMMYFUNCTION("""COMPUTED_VALUE"""),959700.0)</f>
        <v>959700</v>
      </c>
      <c r="C7845" t="str">
        <f>IFERROR(__xludf.DUMMYFUNCTION("""COMPUTED_VALUE"""),"The Complete React Native + Hooks Course")</f>
        <v>The Complete React Native + Hooks Course</v>
      </c>
    </row>
    <row r="7846">
      <c r="A7846" s="140" t="str">
        <f>IFERROR(__xludf.DUMMYFUNCTION("""COMPUTED_VALUE"""),"ja")</f>
        <v>ja</v>
      </c>
      <c r="B7846">
        <f>IFERROR(__xludf.DUMMYFUNCTION("""COMPUTED_VALUE"""),3608294.0)</f>
        <v>3608294</v>
      </c>
      <c r="C7846" t="str">
        <f>IFERROR(__xludf.DUMMYFUNCTION("""COMPUTED_VALUE"""),"MS PowerApps 初級編【コントロールと関数 完全ガイド】（パワーアップス）")</f>
        <v>MS PowerApps 初級編【コントロールと関数 完全ガイド】（パワーアップス）</v>
      </c>
    </row>
    <row r="7847">
      <c r="A7847" s="140" t="str">
        <f>IFERROR(__xludf.DUMMYFUNCTION("""COMPUTED_VALUE"""),"en")</f>
        <v>en</v>
      </c>
      <c r="B7847">
        <f>IFERROR(__xludf.DUMMYFUNCTION("""COMPUTED_VALUE"""),2871366.0)</f>
        <v>2871366</v>
      </c>
      <c r="C7847" t="str">
        <f>IFERROR(__xludf.DUMMYFUNCTION("""COMPUTED_VALUE"""),"Master Spring Boot Microservices with CQRS &amp; Event Sourcing")</f>
        <v>Master Spring Boot Microservices with CQRS &amp; Event Sourcing</v>
      </c>
    </row>
    <row r="7848">
      <c r="A7848" s="140" t="str">
        <f>IFERROR(__xludf.DUMMYFUNCTION("""COMPUTED_VALUE"""),"de")</f>
        <v>de</v>
      </c>
      <c r="B7848">
        <f>IFERROR(__xludf.DUMMYFUNCTION("""COMPUTED_VALUE"""),2541474.0)</f>
        <v>2541474</v>
      </c>
      <c r="C7848" t="str">
        <f>IFERROR(__xludf.DUMMYFUNCTION("""COMPUTED_VALUE"""),"Adobe Illustrator CC – Illustrator Werkzeuge &amp; Logodesign")</f>
        <v>Adobe Illustrator CC – Illustrator Werkzeuge &amp; Logodesign</v>
      </c>
    </row>
    <row r="7849">
      <c r="A7849" s="140" t="str">
        <f>IFERROR(__xludf.DUMMYFUNCTION("""COMPUTED_VALUE"""),"en")</f>
        <v>en</v>
      </c>
      <c r="B7849">
        <f>IFERROR(__xludf.DUMMYFUNCTION("""COMPUTED_VALUE"""),1486158.0)</f>
        <v>1486158</v>
      </c>
      <c r="C7849" t="str">
        <f>IFERROR(__xludf.DUMMYFUNCTION("""COMPUTED_VALUE"""),"Mastering Data Visualization with R")</f>
        <v>Mastering Data Visualization with R</v>
      </c>
    </row>
    <row r="7850">
      <c r="A7850" s="140" t="str">
        <f>IFERROR(__xludf.DUMMYFUNCTION("""COMPUTED_VALUE"""),"en")</f>
        <v>en</v>
      </c>
      <c r="B7850">
        <f>IFERROR(__xludf.DUMMYFUNCTION("""COMPUTED_VALUE"""),2789748.0)</f>
        <v>2789748</v>
      </c>
      <c r="C7850" t="str">
        <f>IFERROR(__xludf.DUMMYFUNCTION("""COMPUTED_VALUE"""),"Basic AWS Architecture Best Practices - 1 Hour Crash Course")</f>
        <v>Basic AWS Architecture Best Practices - 1 Hour Crash Course</v>
      </c>
    </row>
    <row r="7851">
      <c r="A7851" s="140" t="str">
        <f>IFERROR(__xludf.DUMMYFUNCTION("""COMPUTED_VALUE"""),"en")</f>
        <v>en</v>
      </c>
      <c r="B7851">
        <f>IFERROR(__xludf.DUMMYFUNCTION("""COMPUTED_VALUE"""),1927250.0)</f>
        <v>1927250</v>
      </c>
      <c r="C7851" t="str">
        <f>IFERROR(__xludf.DUMMYFUNCTION("""COMPUTED_VALUE"""),"Microsoft AZ-104:Azure Administrator Exam Certification 2020")</f>
        <v>Microsoft AZ-104:Azure Administrator Exam Certification 2020</v>
      </c>
    </row>
    <row r="7852">
      <c r="A7852" s="140" t="str">
        <f>IFERROR(__xludf.DUMMYFUNCTION("""COMPUTED_VALUE"""),"ja")</f>
        <v>ja</v>
      </c>
      <c r="B7852">
        <f>IFERROR(__xludf.DUMMYFUNCTION("""COMPUTED_VALUE"""),3846106.0)</f>
        <v>3846106</v>
      </c>
      <c r="C7852" t="str">
        <f>IFERROR(__xludf.DUMMYFUNCTION("""COMPUTED_VALUE"""),"【仕事で英文Eメールに苦しんでいるあなたに！】英語ぎらいのための英文ビジネスEメールライティング ５つの秘訣")</f>
        <v>【仕事で英文Eメールに苦しんでいるあなたに！】英語ぎらいのための英文ビジネスEメールライティング ５つの秘訣</v>
      </c>
    </row>
    <row r="7853">
      <c r="A7853" s="140" t="str">
        <f>IFERROR(__xludf.DUMMYFUNCTION("""COMPUTED_VALUE"""),"en")</f>
        <v>en</v>
      </c>
      <c r="B7853">
        <f>IFERROR(__xludf.DUMMYFUNCTION("""COMPUTED_VALUE"""),2235470.0)</f>
        <v>2235470</v>
      </c>
      <c r="C7853" t="str">
        <f>IFERROR(__xludf.DUMMYFUNCTION("""COMPUTED_VALUE"""),"Python for Time Series Data Analysis")</f>
        <v>Python for Time Series Data Analysis</v>
      </c>
    </row>
    <row r="7854">
      <c r="A7854" s="140" t="str">
        <f>IFERROR(__xludf.DUMMYFUNCTION("""COMPUTED_VALUE"""),"es")</f>
        <v>es</v>
      </c>
      <c r="B7854">
        <f>IFERROR(__xludf.DUMMYFUNCTION("""COMPUTED_VALUE"""),3883590.0)</f>
        <v>3883590</v>
      </c>
      <c r="C7854" t="str">
        <f>IFERROR(__xludf.DUMMYFUNCTION("""COMPUTED_VALUE"""),"React Native: Aplicaciones nativas para IOS y Android")</f>
        <v>React Native: Aplicaciones nativas para IOS y Android</v>
      </c>
    </row>
    <row r="7855">
      <c r="A7855" s="140" t="str">
        <f>IFERROR(__xludf.DUMMYFUNCTION("""COMPUTED_VALUE"""),"en")</f>
        <v>en</v>
      </c>
      <c r="B7855">
        <f>IFERROR(__xludf.DUMMYFUNCTION("""COMPUTED_VALUE"""),513078.0)</f>
        <v>513078</v>
      </c>
      <c r="C7855" t="str">
        <f>IFERROR(__xludf.DUMMYFUNCTION("""COMPUTED_VALUE"""),"SAP Deepdive : Available to Promise (ATP) for S/4 HANA")</f>
        <v>SAP Deepdive : Available to Promise (ATP) for S/4 HANA</v>
      </c>
    </row>
    <row r="7856">
      <c r="A7856" s="140" t="str">
        <f>IFERROR(__xludf.DUMMYFUNCTION("""COMPUTED_VALUE"""),"en")</f>
        <v>en</v>
      </c>
      <c r="B7856">
        <f>IFERROR(__xludf.DUMMYFUNCTION("""COMPUTED_VALUE"""),3428726.0)</f>
        <v>3428726</v>
      </c>
      <c r="C7856" t="str">
        <f>IFERROR(__xludf.DUMMYFUNCTION("""COMPUTED_VALUE"""),"Python &amp; Machine Learning for Financial Analysis")</f>
        <v>Python &amp; Machine Learning for Financial Analysis</v>
      </c>
    </row>
    <row r="7857">
      <c r="A7857" s="140" t="str">
        <f>IFERROR(__xludf.DUMMYFUNCTION("""COMPUTED_VALUE"""),"ja")</f>
        <v>ja</v>
      </c>
      <c r="B7857">
        <f>IFERROR(__xludf.DUMMYFUNCTION("""COMPUTED_VALUE"""),2720040.0)</f>
        <v>2720040</v>
      </c>
      <c r="C7857" t="str">
        <f>IFERROR(__xludf.DUMMYFUNCTION("""COMPUTED_VALUE"""),"滑舌徹底改善ボイストレーニング講座【発声に困っているビジネスマン向け】テレワーク＆リモートワークでお困りの方")</f>
        <v>滑舌徹底改善ボイストレーニング講座【発声に困っているビジネスマン向け】テレワーク＆リモートワークでお困りの方</v>
      </c>
    </row>
    <row r="7858">
      <c r="A7858" s="140" t="str">
        <f>IFERROR(__xludf.DUMMYFUNCTION("""COMPUTED_VALUE"""),"en")</f>
        <v>en</v>
      </c>
      <c r="B7858">
        <f>IFERROR(__xludf.DUMMYFUNCTION("""COMPUTED_VALUE"""),3452988.0)</f>
        <v>3452988</v>
      </c>
      <c r="C7858" t="str">
        <f>IFERROR(__xludf.DUMMYFUNCTION("""COMPUTED_VALUE"""),"The Complete 8-Week Mindfulness Training-MBCT/MBSR certified")</f>
        <v>The Complete 8-Week Mindfulness Training-MBCT/MBSR certified</v>
      </c>
    </row>
    <row r="7859">
      <c r="A7859" s="140" t="str">
        <f>IFERROR(__xludf.DUMMYFUNCTION("""COMPUTED_VALUE"""),"en")</f>
        <v>en</v>
      </c>
      <c r="B7859">
        <f>IFERROR(__xludf.DUMMYFUNCTION("""COMPUTED_VALUE"""),1383492.0)</f>
        <v>1383492</v>
      </c>
      <c r="C7859" t="str">
        <f>IFERROR(__xludf.DUMMYFUNCTION("""COMPUTED_VALUE"""),"Advanced Amazon Marketing - The Complete Amazon Ads Course")</f>
        <v>Advanced Amazon Marketing - The Complete Amazon Ads Course</v>
      </c>
    </row>
    <row r="7860">
      <c r="A7860" s="140" t="str">
        <f>IFERROR(__xludf.DUMMYFUNCTION("""COMPUTED_VALUE"""),"en")</f>
        <v>en</v>
      </c>
      <c r="B7860">
        <f>IFERROR(__xludf.DUMMYFUNCTION("""COMPUTED_VALUE"""),3463886.0)</f>
        <v>3463886</v>
      </c>
      <c r="C7860" t="str">
        <f>IFERROR(__xludf.DUMMYFUNCTION("""COMPUTED_VALUE"""),"Snowflake[A-Z] Zero to Hero Masterclass(Core+SQL+API+Visual)")</f>
        <v>Snowflake[A-Z] Zero to Hero Masterclass(Core+SQL+API+Visual)</v>
      </c>
    </row>
    <row r="7861">
      <c r="A7861" s="140" t="str">
        <f>IFERROR(__xludf.DUMMYFUNCTION("""COMPUTED_VALUE"""),"es")</f>
        <v>es</v>
      </c>
      <c r="B7861">
        <f>IFERROR(__xludf.DUMMYFUNCTION("""COMPUTED_VALUE"""),4322950.0)</f>
        <v>4322950</v>
      </c>
      <c r="C7861" t="str">
        <f>IFERROR(__xludf.DUMMYFUNCTION("""COMPUTED_VALUE"""),"Software Testing desde Cero : MasterClass todo en 1 (2021)")</f>
        <v>Software Testing desde Cero : MasterClass todo en 1 (2021)</v>
      </c>
    </row>
    <row r="7862">
      <c r="A7862" s="140" t="str">
        <f>IFERROR(__xludf.DUMMYFUNCTION("""COMPUTED_VALUE"""),"tr")</f>
        <v>tr</v>
      </c>
      <c r="B7862">
        <f>IFERROR(__xludf.DUMMYFUNCTION("""COMPUTED_VALUE"""),3472250.0)</f>
        <v>3472250</v>
      </c>
      <c r="C7862" t="str">
        <f>IFERROR(__xludf.DUMMYFUNCTION("""COMPUTED_VALUE"""),"PAZARLAMA")</f>
        <v>PAZARLAMA</v>
      </c>
    </row>
    <row r="7863">
      <c r="A7863" s="140" t="str">
        <f>IFERROR(__xludf.DUMMYFUNCTION("""COMPUTED_VALUE"""),"tr")</f>
        <v>tr</v>
      </c>
      <c r="B7863">
        <f>IFERROR(__xludf.DUMMYFUNCTION("""COMPUTED_VALUE"""),1867094.0)</f>
        <v>1867094</v>
      </c>
      <c r="C7863" t="str">
        <f>IFERROR(__xludf.DUMMYFUNCTION("""COMPUTED_VALUE"""),"Algoritmalar, Veri Yapıları ve Real-Life Python Problemleri!")</f>
        <v>Algoritmalar, Veri Yapıları ve Real-Life Python Problemleri!</v>
      </c>
    </row>
    <row r="7864">
      <c r="A7864" s="140" t="str">
        <f>IFERROR(__xludf.DUMMYFUNCTION("""COMPUTED_VALUE"""),"pt")</f>
        <v>pt</v>
      </c>
      <c r="B7864">
        <f>IFERROR(__xludf.DUMMYFUNCTION("""COMPUTED_VALUE"""),2178810.0)</f>
        <v>2178810</v>
      </c>
      <c r="C7864" t="str">
        <f>IFERROR(__xludf.DUMMYFUNCTION("""COMPUTED_VALUE"""),"Como ser um Profissional de Destaque")</f>
        <v>Como ser um Profissional de Destaque</v>
      </c>
    </row>
    <row r="7865">
      <c r="A7865" s="140" t="str">
        <f>IFERROR(__xludf.DUMMYFUNCTION("""COMPUTED_VALUE"""),"en")</f>
        <v>en</v>
      </c>
      <c r="B7865">
        <f>IFERROR(__xludf.DUMMYFUNCTION("""COMPUTED_VALUE"""),1427016.0)</f>
        <v>1427016</v>
      </c>
      <c r="C7865" t="str">
        <f>IFERROR(__xludf.DUMMYFUNCTION("""COMPUTED_VALUE"""),"Fundamentals of Life Cycle Assessment (LCA)")</f>
        <v>Fundamentals of Life Cycle Assessment (LCA)</v>
      </c>
    </row>
    <row r="7866">
      <c r="A7866" s="140" t="str">
        <f>IFERROR(__xludf.DUMMYFUNCTION("""COMPUTED_VALUE"""),"en")</f>
        <v>en</v>
      </c>
      <c r="B7866">
        <f>IFERROR(__xludf.DUMMYFUNCTION("""COMPUTED_VALUE"""),953152.0)</f>
        <v>953152</v>
      </c>
      <c r="C7866" t="str">
        <f>IFERROR(__xludf.DUMMYFUNCTION("""COMPUTED_VALUE"""),"The Complete Piano &amp; Music Theory Beginners Course")</f>
        <v>The Complete Piano &amp; Music Theory Beginners Course</v>
      </c>
    </row>
    <row r="7867">
      <c r="A7867" s="140" t="str">
        <f>IFERROR(__xludf.DUMMYFUNCTION("""COMPUTED_VALUE"""),"en")</f>
        <v>en</v>
      </c>
      <c r="B7867">
        <f>IFERROR(__xludf.DUMMYFUNCTION("""COMPUTED_VALUE"""),1209988.0)</f>
        <v>1209988</v>
      </c>
      <c r="C7867" t="str">
        <f>IFERROR(__xludf.DUMMYFUNCTION("""COMPUTED_VALUE"""),"Drawing for Meetings, Presentations and Trainings")</f>
        <v>Drawing for Meetings, Presentations and Trainings</v>
      </c>
    </row>
    <row r="7868">
      <c r="A7868" s="140" t="str">
        <f>IFERROR(__xludf.DUMMYFUNCTION("""COMPUTED_VALUE"""),"ko")</f>
        <v>ko</v>
      </c>
      <c r="B7868">
        <f>IFERROR(__xludf.DUMMYFUNCTION("""COMPUTED_VALUE"""),4272670.0)</f>
        <v>4272670</v>
      </c>
      <c r="C7868" t="str">
        <f>IFERROR(__xludf.DUMMYFUNCTION("""COMPUTED_VALUE"""),"잘나가는 PM, PO가 말하는 기획자의 커리어")</f>
        <v>잘나가는 PM, PO가 말하는 기획자의 커리어</v>
      </c>
    </row>
    <row r="7869">
      <c r="A7869" s="140" t="str">
        <f>IFERROR(__xludf.DUMMYFUNCTION("""COMPUTED_VALUE"""),"es")</f>
        <v>es</v>
      </c>
      <c r="B7869">
        <f>IFERROR(__xludf.DUMMYFUNCTION("""COMPUTED_VALUE"""),3017166.0)</f>
        <v>3017166</v>
      </c>
      <c r="C7869" t="str">
        <f>IFERROR(__xludf.DUMMYFUNCTION("""COMPUTED_VALUE"""),"React Native - Crea aplicaciones para Android y iOS c/ React")</f>
        <v>React Native - Crea aplicaciones para Android y iOS c/ React</v>
      </c>
    </row>
    <row r="7870">
      <c r="A7870" s="140" t="str">
        <f>IFERROR(__xludf.DUMMYFUNCTION("""COMPUTED_VALUE"""),"es")</f>
        <v>es</v>
      </c>
      <c r="B7870">
        <f>IFERROR(__xludf.DUMMYFUNCTION("""COMPUTED_VALUE"""),1907758.0)</f>
        <v>1907758</v>
      </c>
      <c r="C7870" t="str">
        <f>IFERROR(__xludf.DUMMYFUNCTION("""COMPUTED_VALUE"""),"Trading con Ondas de Elliott")</f>
        <v>Trading con Ondas de Elliott</v>
      </c>
    </row>
    <row r="7871">
      <c r="A7871" s="140" t="str">
        <f>IFERROR(__xludf.DUMMYFUNCTION("""COMPUTED_VALUE"""),"tr")</f>
        <v>tr</v>
      </c>
      <c r="B7871">
        <f>IFERROR(__xludf.DUMMYFUNCTION("""COMPUTED_VALUE"""),3053970.0)</f>
        <v>3053970</v>
      </c>
      <c r="C7871" t="str">
        <f>IFERROR(__xludf.DUMMYFUNCTION("""COMPUTED_VALUE"""),"Tia Portal ile Siemens S7-1200 PLC Programlama (2)")</f>
        <v>Tia Portal ile Siemens S7-1200 PLC Programlama (2)</v>
      </c>
    </row>
    <row r="7872">
      <c r="A7872" s="140" t="str">
        <f>IFERROR(__xludf.DUMMYFUNCTION("""COMPUTED_VALUE"""),"en")</f>
        <v>en</v>
      </c>
      <c r="B7872">
        <f>IFERROR(__xludf.DUMMYFUNCTION("""COMPUTED_VALUE"""),2123100.0)</f>
        <v>2123100</v>
      </c>
      <c r="C7872" t="str">
        <f>IFERROR(__xludf.DUMMYFUNCTION("""COMPUTED_VALUE"""),"Navigating the Complexities of Software License Agreements")</f>
        <v>Navigating the Complexities of Software License Agreements</v>
      </c>
    </row>
    <row r="7873">
      <c r="A7873" s="140" t="str">
        <f>IFERROR(__xludf.DUMMYFUNCTION("""COMPUTED_VALUE"""),"en")</f>
        <v>en</v>
      </c>
      <c r="B7873">
        <f>IFERROR(__xludf.DUMMYFUNCTION("""COMPUTED_VALUE"""),2346944.0)</f>
        <v>2346944</v>
      </c>
      <c r="C7873" t="str">
        <f>IFERROR(__xludf.DUMMYFUNCTION("""COMPUTED_VALUE"""),"Deep Reinforcement Learning 2.0")</f>
        <v>Deep Reinforcement Learning 2.0</v>
      </c>
    </row>
    <row r="7874">
      <c r="A7874" s="140" t="str">
        <f>IFERROR(__xludf.DUMMYFUNCTION("""COMPUTED_VALUE"""),"en")</f>
        <v>en</v>
      </c>
      <c r="B7874">
        <f>IFERROR(__xludf.DUMMYFUNCTION("""COMPUTED_VALUE"""),1084120.0)</f>
        <v>1084120</v>
      </c>
      <c r="C7874" t="str">
        <f>IFERROR(__xludf.DUMMYFUNCTION("""COMPUTED_VALUE"""),"Vim Masterclass")</f>
        <v>Vim Masterclass</v>
      </c>
    </row>
    <row r="7875">
      <c r="A7875" s="140" t="str">
        <f>IFERROR(__xludf.DUMMYFUNCTION("""COMPUTED_VALUE"""),"en")</f>
        <v>en</v>
      </c>
      <c r="B7875">
        <f>IFERROR(__xludf.DUMMYFUNCTION("""COMPUTED_VALUE"""),1171588.0)</f>
        <v>1171588</v>
      </c>
      <c r="C7875" t="str">
        <f>IFERROR(__xludf.DUMMYFUNCTION("""COMPUTED_VALUE"""),"Night Photography: You Can Shoot Stunning Night Photos")</f>
        <v>Night Photography: You Can Shoot Stunning Night Photos</v>
      </c>
    </row>
    <row r="7876">
      <c r="A7876" s="140" t="str">
        <f>IFERROR(__xludf.DUMMYFUNCTION("""COMPUTED_VALUE"""),"en")</f>
        <v>en</v>
      </c>
      <c r="B7876">
        <f>IFERROR(__xludf.DUMMYFUNCTION("""COMPUTED_VALUE"""),796010.0)</f>
        <v>796010</v>
      </c>
      <c r="C7876" t="str">
        <f>IFERROR(__xludf.DUMMYFUNCTION("""COMPUTED_VALUE"""),"Develop Your First App in an Hour")</f>
        <v>Develop Your First App in an Hour</v>
      </c>
    </row>
    <row r="7877">
      <c r="A7877" s="140" t="str">
        <f>IFERROR(__xludf.DUMMYFUNCTION("""COMPUTED_VALUE"""),"en")</f>
        <v>en</v>
      </c>
      <c r="B7877">
        <f>IFERROR(__xludf.DUMMYFUNCTION("""COMPUTED_VALUE"""),142350.0)</f>
        <v>142350</v>
      </c>
      <c r="C7877" t="str">
        <f>IFERROR(__xludf.DUMMYFUNCTION("""COMPUTED_VALUE"""),"Media Training: Look Your Best-Get the Exact Quotes You Want")</f>
        <v>Media Training: Look Your Best-Get the Exact Quotes You Want</v>
      </c>
    </row>
    <row r="7878">
      <c r="A7878" s="140" t="str">
        <f>IFERROR(__xludf.DUMMYFUNCTION("""COMPUTED_VALUE"""),"fr")</f>
        <v>fr</v>
      </c>
      <c r="B7878">
        <f>IFERROR(__xludf.DUMMYFUNCTION("""COMPUTED_VALUE"""),1259978.0)</f>
        <v>1259978</v>
      </c>
      <c r="C7878" t="str">
        <f>IFERROR(__xludf.DUMMYFUNCTION("""COMPUTED_VALUE"""),"Business Plan - Le Cours Aux 12 000 Elèves Enfin Traduit !")</f>
        <v>Business Plan - Le Cours Aux 12 000 Elèves Enfin Traduit !</v>
      </c>
    </row>
    <row r="7879">
      <c r="A7879" s="140" t="str">
        <f>IFERROR(__xludf.DUMMYFUNCTION("""COMPUTED_VALUE"""),"es")</f>
        <v>es</v>
      </c>
      <c r="B7879">
        <f>IFERROR(__xludf.DUMMYFUNCTION("""COMPUTED_VALUE"""),934156.0)</f>
        <v>934156</v>
      </c>
      <c r="C7879" t="str">
        <f>IFERROR(__xludf.DUMMYFUNCTION("""COMPUTED_VALUE"""),"Comunicación - Fundamentos de Liderazgo 1")</f>
        <v>Comunicación - Fundamentos de Liderazgo 1</v>
      </c>
    </row>
    <row r="7880">
      <c r="A7880" s="140" t="str">
        <f>IFERROR(__xludf.DUMMYFUNCTION("""COMPUTED_VALUE"""),"pt")</f>
        <v>pt</v>
      </c>
      <c r="B7880">
        <f>IFERROR(__xludf.DUMMYFUNCTION("""COMPUTED_VALUE"""),3957990.0)</f>
        <v>3957990</v>
      </c>
      <c r="C7880" t="str">
        <f>IFERROR(__xludf.DUMMYFUNCTION("""COMPUTED_VALUE"""),"Automatizando Tarefas no SAP com Excel + VBA")</f>
        <v>Automatizando Tarefas no SAP com Excel + VBA</v>
      </c>
    </row>
    <row r="7881">
      <c r="A7881" s="140" t="str">
        <f>IFERROR(__xludf.DUMMYFUNCTION("""COMPUTED_VALUE"""),"ar")</f>
        <v>ar</v>
      </c>
      <c r="B7881">
        <f>IFERROR(__xludf.DUMMYFUNCTION("""COMPUTED_VALUE"""),2547013.0)</f>
        <v>2547013</v>
      </c>
      <c r="C7881" t="str">
        <f>IFERROR(__xludf.DUMMYFUNCTION("""COMPUTED_VALUE"""),"ASP.NET Core From Scratch [Arabic]")</f>
        <v>ASP.NET Core From Scratch [Arabic]</v>
      </c>
    </row>
    <row r="7882">
      <c r="A7882" s="140" t="str">
        <f>IFERROR(__xludf.DUMMYFUNCTION("""COMPUTED_VALUE"""),"en")</f>
        <v>en</v>
      </c>
      <c r="B7882">
        <f>IFERROR(__xludf.DUMMYFUNCTION("""COMPUTED_VALUE"""),766450.0)</f>
        <v>766450</v>
      </c>
      <c r="C7882" t="str">
        <f>IFERROR(__xludf.DUMMYFUNCTION("""COMPUTED_VALUE"""),"Lean Six Sigma Green Belt with Minitab Made Easy")</f>
        <v>Lean Six Sigma Green Belt with Minitab Made Easy</v>
      </c>
    </row>
    <row r="7883">
      <c r="A7883" s="140" t="str">
        <f>IFERROR(__xludf.DUMMYFUNCTION("""COMPUTED_VALUE"""),"ja")</f>
        <v>ja</v>
      </c>
      <c r="B7883">
        <f>IFERROR(__xludf.DUMMYFUNCTION("""COMPUTED_VALUE"""),2343592.0)</f>
        <v>2343592</v>
      </c>
      <c r="C7883" t="str">
        <f>IFERROR(__xludf.DUMMYFUNCTION("""COMPUTED_VALUE"""),"構造設計実務者向けRevit Structure講座(Revit2019)")</f>
        <v>構造設計実務者向けRevit Structure講座(Revit2019)</v>
      </c>
    </row>
    <row r="7884">
      <c r="A7884" s="140" t="str">
        <f>IFERROR(__xludf.DUMMYFUNCTION("""COMPUTED_VALUE"""),"de")</f>
        <v>de</v>
      </c>
      <c r="B7884">
        <f>IFERROR(__xludf.DUMMYFUNCTION("""COMPUTED_VALUE"""),1191826.0)</f>
        <v>1191826</v>
      </c>
      <c r="C7884" t="str">
        <f>IFERROR(__xludf.DUMMYFUNCTION("""COMPUTED_VALUE"""),"Git - Versionsverwaltung für Einsteiger")</f>
        <v>Git - Versionsverwaltung für Einsteiger</v>
      </c>
    </row>
    <row r="7885">
      <c r="A7885" s="140" t="str">
        <f>IFERROR(__xludf.DUMMYFUNCTION("""COMPUTED_VALUE"""),"en")</f>
        <v>en</v>
      </c>
      <c r="B7885">
        <f>IFERROR(__xludf.DUMMYFUNCTION("""COMPUTED_VALUE"""),677716.0)</f>
        <v>677716</v>
      </c>
      <c r="C7885" t="str">
        <f>IFERROR(__xludf.DUMMYFUNCTION("""COMPUTED_VALUE"""),"All about Arduino Wireless and the IoT")</f>
        <v>All about Arduino Wireless and the IoT</v>
      </c>
    </row>
    <row r="7886">
      <c r="A7886" s="140" t="str">
        <f>IFERROR(__xludf.DUMMYFUNCTION("""COMPUTED_VALUE"""),"en")</f>
        <v>en</v>
      </c>
      <c r="B7886">
        <f>IFERROR(__xludf.DUMMYFUNCTION("""COMPUTED_VALUE"""),2983186.0)</f>
        <v>2983186</v>
      </c>
      <c r="C7886" t="str">
        <f>IFERROR(__xludf.DUMMYFUNCTION("""COMPUTED_VALUE"""),"Computer Vision: Python OCR &amp; Object Detection Quick Starter")</f>
        <v>Computer Vision: Python OCR &amp; Object Detection Quick Starter</v>
      </c>
    </row>
    <row r="7887">
      <c r="A7887" s="140" t="str">
        <f>IFERROR(__xludf.DUMMYFUNCTION("""COMPUTED_VALUE"""),"tr")</f>
        <v>tr</v>
      </c>
      <c r="B7887">
        <f>IFERROR(__xludf.DUMMYFUNCTION("""COMPUTED_VALUE"""),3413784.0)</f>
        <v>3413784</v>
      </c>
      <c r="C7887" t="str">
        <f>IFERROR(__xludf.DUMMYFUNCTION("""COMPUTED_VALUE"""),"A'dan Z'ye Yazılım Test Uzmanlığı")</f>
        <v>A'dan Z'ye Yazılım Test Uzmanlığı</v>
      </c>
    </row>
    <row r="7888">
      <c r="A7888" s="140" t="str">
        <f>IFERROR(__xludf.DUMMYFUNCTION("""COMPUTED_VALUE"""),"en")</f>
        <v>en</v>
      </c>
      <c r="B7888">
        <f>IFERROR(__xludf.DUMMYFUNCTION("""COMPUTED_VALUE"""),3943908.0)</f>
        <v>3943908</v>
      </c>
      <c r="C7888" t="str">
        <f>IFERROR(__xludf.DUMMYFUNCTION("""COMPUTED_VALUE"""),"Reverse Engineering and Malware Analysis Fundamentals")</f>
        <v>Reverse Engineering and Malware Analysis Fundamentals</v>
      </c>
    </row>
    <row r="7889">
      <c r="A7889" s="140" t="str">
        <f>IFERROR(__xludf.DUMMYFUNCTION("""COMPUTED_VALUE"""),"de")</f>
        <v>de</v>
      </c>
      <c r="B7889">
        <f>IFERROR(__xludf.DUMMYFUNCTION("""COMPUTED_VALUE"""),774082.0)</f>
        <v>774082</v>
      </c>
      <c r="C7889" t="str">
        <f>IFERROR(__xludf.DUMMYFUNCTION("""COMPUTED_VALUE"""),"Der komplette Zeichenkurs - ganz einfach Zeichnen lernen")</f>
        <v>Der komplette Zeichenkurs - ganz einfach Zeichnen lernen</v>
      </c>
    </row>
    <row r="7890">
      <c r="A7890" s="140" t="str">
        <f>IFERROR(__xludf.DUMMYFUNCTION("""COMPUTED_VALUE"""),"es")</f>
        <v>es</v>
      </c>
      <c r="B7890">
        <f>IFERROR(__xludf.DUMMYFUNCTION("""COMPUTED_VALUE"""),3167888.0)</f>
        <v>3167888</v>
      </c>
      <c r="C7890" t="str">
        <f>IFERROR(__xludf.DUMMYFUNCTION("""COMPUTED_VALUE"""),"Metodología 5S")</f>
        <v>Metodología 5S</v>
      </c>
    </row>
    <row r="7891">
      <c r="A7891" s="140" t="str">
        <f>IFERROR(__xludf.DUMMYFUNCTION("""COMPUTED_VALUE"""),"pt")</f>
        <v>pt</v>
      </c>
      <c r="B7891">
        <f>IFERROR(__xludf.DUMMYFUNCTION("""COMPUTED_VALUE"""),2330254.0)</f>
        <v>2330254</v>
      </c>
      <c r="C7891" t="str">
        <f>IFERROR(__xludf.DUMMYFUNCTION("""COMPUTED_VALUE"""),"Testando API Rest com REST-assured")</f>
        <v>Testando API Rest com REST-assured</v>
      </c>
    </row>
    <row r="7892">
      <c r="A7892" s="140" t="str">
        <f>IFERROR(__xludf.DUMMYFUNCTION("""COMPUTED_VALUE"""),"en")</f>
        <v>en</v>
      </c>
      <c r="B7892">
        <f>IFERROR(__xludf.DUMMYFUNCTION("""COMPUTED_VALUE"""),3174940.0)</f>
        <v>3174940</v>
      </c>
      <c r="C7892" t="str">
        <f>IFERROR(__xludf.DUMMYFUNCTION("""COMPUTED_VALUE"""),"Data Center Essentials: Power &amp; Electrical")</f>
        <v>Data Center Essentials: Power &amp; Electrical</v>
      </c>
    </row>
    <row r="7893">
      <c r="A7893" s="140" t="str">
        <f>IFERROR(__xludf.DUMMYFUNCTION("""COMPUTED_VALUE"""),"en")</f>
        <v>en</v>
      </c>
      <c r="B7893">
        <f>IFERROR(__xludf.DUMMYFUNCTION("""COMPUTED_VALUE"""),3114230.0)</f>
        <v>3114230</v>
      </c>
      <c r="C7893" t="str">
        <f>IFERROR(__xludf.DUMMYFUNCTION("""COMPUTED_VALUE"""),"An Introduction to PCI-DSS")</f>
        <v>An Introduction to PCI-DSS</v>
      </c>
    </row>
    <row r="7894">
      <c r="A7894" s="140" t="str">
        <f>IFERROR(__xludf.DUMMYFUNCTION("""COMPUTED_VALUE"""),"en")</f>
        <v>en</v>
      </c>
      <c r="B7894">
        <f>IFERROR(__xludf.DUMMYFUNCTION("""COMPUTED_VALUE"""),379374.0)</f>
        <v>379374</v>
      </c>
      <c r="C7894" t="str">
        <f>IFERROR(__xludf.DUMMYFUNCTION("""COMPUTED_VALUE"""),"Learn HR Fundamentals for a Career in Human Resources")</f>
        <v>Learn HR Fundamentals for a Career in Human Resources</v>
      </c>
    </row>
    <row r="7895">
      <c r="A7895" s="140" t="str">
        <f>IFERROR(__xludf.DUMMYFUNCTION("""COMPUTED_VALUE"""),"tr")</f>
        <v>tr</v>
      </c>
      <c r="B7895">
        <f>IFERROR(__xludf.DUMMYFUNCTION("""COMPUTED_VALUE"""),3743844.0)</f>
        <v>3743844</v>
      </c>
      <c r="C7895" t="str">
        <f>IFERROR(__xludf.DUMMYFUNCTION("""COMPUTED_VALUE"""),"ISTQB Foundation Level Sertifika Sınavına Hazırlık Seti")</f>
        <v>ISTQB Foundation Level Sertifika Sınavına Hazırlık Seti</v>
      </c>
    </row>
    <row r="7896">
      <c r="A7896" s="140" t="str">
        <f>IFERROR(__xludf.DUMMYFUNCTION("""COMPUTED_VALUE"""),"en")</f>
        <v>en</v>
      </c>
      <c r="B7896">
        <f>IFERROR(__xludf.DUMMYFUNCTION("""COMPUTED_VALUE"""),683406.0)</f>
        <v>683406</v>
      </c>
      <c r="C7896" t="str">
        <f>IFERROR(__xludf.DUMMYFUNCTION("""COMPUTED_VALUE"""),"Electrical Power Engineering Principles")</f>
        <v>Electrical Power Engineering Principles</v>
      </c>
    </row>
    <row r="7897">
      <c r="A7897" s="140" t="str">
        <f>IFERROR(__xludf.DUMMYFUNCTION("""COMPUTED_VALUE"""),"en")</f>
        <v>en</v>
      </c>
      <c r="B7897">
        <f>IFERROR(__xludf.DUMMYFUNCTION("""COMPUTED_VALUE"""),3745652.0)</f>
        <v>3745652</v>
      </c>
      <c r="C7897" t="str">
        <f>IFERROR(__xludf.DUMMYFUNCTION("""COMPUTED_VALUE"""),"Deploying .Net Microservices with K8s, AKS and Azure DevOps")</f>
        <v>Deploying .Net Microservices with K8s, AKS and Azure DevOps</v>
      </c>
    </row>
    <row r="7898">
      <c r="A7898" s="140" t="str">
        <f>IFERROR(__xludf.DUMMYFUNCTION("""COMPUTED_VALUE"""),"en")</f>
        <v>en</v>
      </c>
      <c r="B7898">
        <f>IFERROR(__xludf.DUMMYFUNCTION("""COMPUTED_VALUE"""),2171124.0)</f>
        <v>2171124</v>
      </c>
      <c r="C7898" t="str">
        <f>IFERROR(__xludf.DUMMYFUNCTION("""COMPUTED_VALUE"""),"CCA 131 - Cloudera Certified Hadoop and Spark Administrator")</f>
        <v>CCA 131 - Cloudera Certified Hadoop and Spark Administrator</v>
      </c>
    </row>
    <row r="7899">
      <c r="A7899" s="140" t="str">
        <f>IFERROR(__xludf.DUMMYFUNCTION("""COMPUTED_VALUE"""),"en")</f>
        <v>en</v>
      </c>
      <c r="B7899">
        <f>IFERROR(__xludf.DUMMYFUNCTION("""COMPUTED_VALUE"""),1190396.0)</f>
        <v>1190396</v>
      </c>
      <c r="C7899" t="str">
        <f>IFERROR(__xludf.DUMMYFUNCTION("""COMPUTED_VALUE"""),"Step by Step: Highly Available, Scalable &amp; Secure AWS Stack")</f>
        <v>Step by Step: Highly Available, Scalable &amp; Secure AWS Stack</v>
      </c>
    </row>
    <row r="7900">
      <c r="A7900" s="140" t="str">
        <f>IFERROR(__xludf.DUMMYFUNCTION("""COMPUTED_VALUE"""),"en")</f>
        <v>en</v>
      </c>
      <c r="B7900">
        <f>IFERROR(__xludf.DUMMYFUNCTION("""COMPUTED_VALUE"""),2344164.0)</f>
        <v>2344164</v>
      </c>
      <c r="C7900" t="str">
        <f>IFERROR(__xludf.DUMMYFUNCTION("""COMPUTED_VALUE"""),"Social Media Marketing Agency : Digital Marketing + Business")</f>
        <v>Social Media Marketing Agency : Digital Marketing + Business</v>
      </c>
    </row>
    <row r="7901">
      <c r="A7901" s="140" t="str">
        <f>IFERROR(__xludf.DUMMYFUNCTION("""COMPUTED_VALUE"""),"en")</f>
        <v>en</v>
      </c>
      <c r="B7901">
        <f>IFERROR(__xludf.DUMMYFUNCTION("""COMPUTED_VALUE"""),3735838.0)</f>
        <v>3735838</v>
      </c>
      <c r="C7901" t="str">
        <f>IFERROR(__xludf.DUMMYFUNCTION("""COMPUTED_VALUE"""),"Learn Tamil through English &amp; Tamil - Karka Kasadara")</f>
        <v>Learn Tamil through English &amp; Tamil - Karka Kasadara</v>
      </c>
    </row>
    <row r="7902">
      <c r="A7902" s="140" t="str">
        <f>IFERROR(__xludf.DUMMYFUNCTION("""COMPUTED_VALUE"""),"de")</f>
        <v>de</v>
      </c>
      <c r="B7902">
        <f>IFERROR(__xludf.DUMMYFUNCTION("""COMPUTED_VALUE"""),800848.0)</f>
        <v>800848</v>
      </c>
      <c r="C7902" t="str">
        <f>IFERROR(__xludf.DUMMYFUNCTION("""COMPUTED_VALUE"""),"Scrum Master:in (v.2020)")</f>
        <v>Scrum Master:in (v.2020)</v>
      </c>
    </row>
    <row r="7903">
      <c r="A7903" s="140" t="str">
        <f>IFERROR(__xludf.DUMMYFUNCTION("""COMPUTED_VALUE"""),"ja")</f>
        <v>ja</v>
      </c>
      <c r="B7903">
        <f>IFERROR(__xludf.DUMMYFUNCTION("""COMPUTED_VALUE"""),3682090.0)</f>
        <v>3682090</v>
      </c>
      <c r="C7903" t="str">
        <f>IFERROR(__xludf.DUMMYFUNCTION("""COMPUTED_VALUE"""),"【tailwindcss】CSSが苦手な人向け じっくり取り組んでみよう【次世代のCSS】【わかりやすさ重視】")</f>
        <v>【tailwindcss】CSSが苦手な人向け じっくり取り組んでみよう【次世代のCSS】【わかりやすさ重視】</v>
      </c>
    </row>
    <row r="7904">
      <c r="A7904" s="140" t="str">
        <f>IFERROR(__xludf.DUMMYFUNCTION("""COMPUTED_VALUE"""),"en")</f>
        <v>en</v>
      </c>
      <c r="B7904">
        <f>IFERROR(__xludf.DUMMYFUNCTION("""COMPUTED_VALUE"""),3868906.0)</f>
        <v>3868906</v>
      </c>
      <c r="C7904" t="str">
        <f>IFERROR(__xludf.DUMMYFUNCTION("""COMPUTED_VALUE"""),"Photography Style: Improve Your Photography Portfolio Today")</f>
        <v>Photography Style: Improve Your Photography Portfolio Today</v>
      </c>
    </row>
    <row r="7905">
      <c r="A7905" s="140" t="str">
        <f>IFERROR(__xludf.DUMMYFUNCTION("""COMPUTED_VALUE"""),"en")</f>
        <v>en</v>
      </c>
      <c r="B7905">
        <f>IFERROR(__xludf.DUMMYFUNCTION("""COMPUTED_VALUE"""),2816705.0)</f>
        <v>2816705</v>
      </c>
      <c r="C7905" t="str">
        <f>IFERROR(__xludf.DUMMYFUNCTION("""COMPUTED_VALUE"""),"SPS ™ Scaled Professional Scrum ™ - Nexus ™ 2021 (160 Q)")</f>
        <v>SPS ™ Scaled Professional Scrum ™ - Nexus ™ 2021 (160 Q)</v>
      </c>
    </row>
    <row r="7906">
      <c r="A7906" s="140" t="str">
        <f>IFERROR(__xludf.DUMMYFUNCTION("""COMPUTED_VALUE"""),"en")</f>
        <v>en</v>
      </c>
      <c r="B7906">
        <f>IFERROR(__xludf.DUMMYFUNCTION("""COMPUTED_VALUE"""),1342808.0)</f>
        <v>1342808</v>
      </c>
      <c r="C7906" t="str">
        <f>IFERROR(__xludf.DUMMYFUNCTION("""COMPUTED_VALUE"""),"Management Coaching Employee Performance Coach Certification")</f>
        <v>Management Coaching Employee Performance Coach Certification</v>
      </c>
    </row>
    <row r="7907">
      <c r="A7907" s="140" t="str">
        <f>IFERROR(__xludf.DUMMYFUNCTION("""COMPUTED_VALUE"""),"en")</f>
        <v>en</v>
      </c>
      <c r="B7907">
        <f>IFERROR(__xludf.DUMMYFUNCTION("""COMPUTED_VALUE"""),2860646.0)</f>
        <v>2860646</v>
      </c>
      <c r="C7907" t="str">
        <f>IFERROR(__xludf.DUMMYFUNCTION("""COMPUTED_VALUE"""),"Data Manipulation in Python: A Pandas Crash Course")</f>
        <v>Data Manipulation in Python: A Pandas Crash Course</v>
      </c>
    </row>
    <row r="7908">
      <c r="A7908" s="140" t="str">
        <f>IFERROR(__xludf.DUMMYFUNCTION("""COMPUTED_VALUE"""),"de")</f>
        <v>de</v>
      </c>
      <c r="B7908">
        <f>IFERROR(__xludf.DUMMYFUNCTION("""COMPUTED_VALUE"""),778682.0)</f>
        <v>778682</v>
      </c>
      <c r="C7908" t="str">
        <f>IFERROR(__xludf.DUMMYFUNCTION("""COMPUTED_VALUE"""),"Gitarre spielen wie die Profis")</f>
        <v>Gitarre spielen wie die Profis</v>
      </c>
    </row>
    <row r="7909">
      <c r="A7909" s="140" t="str">
        <f>IFERROR(__xludf.DUMMYFUNCTION("""COMPUTED_VALUE"""),"ja")</f>
        <v>ja</v>
      </c>
      <c r="B7909">
        <f>IFERROR(__xludf.DUMMYFUNCTION("""COMPUTED_VALUE"""),2426224.0)</f>
        <v>2426224</v>
      </c>
      <c r="C7909" t="str">
        <f>IFERROR(__xludf.DUMMYFUNCTION("""COMPUTED_VALUE"""),"超Vue.js 2 完全パック (Vue Router, Vuex含む)")</f>
        <v>超Vue.js 2 完全パック (Vue Router, Vuex含む)</v>
      </c>
    </row>
    <row r="7910">
      <c r="A7910" s="140" t="str">
        <f>IFERROR(__xludf.DUMMYFUNCTION("""COMPUTED_VALUE"""),"ja")</f>
        <v>ja</v>
      </c>
      <c r="B7910">
        <f>IFERROR(__xludf.DUMMYFUNCTION("""COMPUTED_VALUE"""),895620.0)</f>
        <v>895620</v>
      </c>
      <c r="C7910" t="str">
        <f>IFERROR(__xludf.DUMMYFUNCTION("""COMPUTED_VALUE"""),"【今日からはじめるプログラミング】コードの基本から必須スキルまで習得できる講座 / Swift5.x~対応")</f>
        <v>【今日からはじめるプログラミング】コードの基本から必須スキルまで習得できる講座 / Swift5.x~対応</v>
      </c>
    </row>
    <row r="7911">
      <c r="A7911" s="140" t="str">
        <f>IFERROR(__xludf.DUMMYFUNCTION("""COMPUTED_VALUE"""),"en")</f>
        <v>en</v>
      </c>
      <c r="B7911">
        <f>IFERROR(__xludf.DUMMYFUNCTION("""COMPUTED_VALUE"""),1055828.0)</f>
        <v>1055828</v>
      </c>
      <c r="C7911" t="str">
        <f>IFERROR(__xludf.DUMMYFUNCTION("""COMPUTED_VALUE"""),"Learn Arabic! Start Speaking Arabic Now!")</f>
        <v>Learn Arabic! Start Speaking Arabic Now!</v>
      </c>
    </row>
    <row r="7912">
      <c r="A7912" s="140" t="str">
        <f>IFERROR(__xludf.DUMMYFUNCTION("""COMPUTED_VALUE"""),"en")</f>
        <v>en</v>
      </c>
      <c r="B7912">
        <f>IFERROR(__xludf.DUMMYFUNCTION("""COMPUTED_VALUE"""),420652.0)</f>
        <v>420652</v>
      </c>
      <c r="C7912" t="str">
        <f>IFERROR(__xludf.DUMMYFUNCTION("""COMPUTED_VALUE"""),"AngularJS Custom Directives with Dan Wahlin")</f>
        <v>AngularJS Custom Directives with Dan Wahlin</v>
      </c>
    </row>
    <row r="7913">
      <c r="A7913" s="140" t="str">
        <f>IFERROR(__xludf.DUMMYFUNCTION("""COMPUTED_VALUE"""),"en")</f>
        <v>en</v>
      </c>
      <c r="B7913">
        <f>IFERROR(__xludf.DUMMYFUNCTION("""COMPUTED_VALUE"""),49886.0)</f>
        <v>49886</v>
      </c>
      <c r="C7913" t="str">
        <f>IFERROR(__xludf.DUMMYFUNCTION("""COMPUTED_VALUE"""),"Business Analysis:  Working with Use Cases")</f>
        <v>Business Analysis:  Working with Use Cases</v>
      </c>
    </row>
    <row r="7914">
      <c r="A7914" s="140" t="str">
        <f>IFERROR(__xludf.DUMMYFUNCTION("""COMPUTED_VALUE"""),"en")</f>
        <v>en</v>
      </c>
      <c r="B7914">
        <f>IFERROR(__xludf.DUMMYFUNCTION("""COMPUTED_VALUE"""),392198.0)</f>
        <v>392198</v>
      </c>
      <c r="C7914" t="str">
        <f>IFERROR(__xludf.DUMMYFUNCTION("""COMPUTED_VALUE"""),"Adobe RoboHelp HTML Fundamentals")</f>
        <v>Adobe RoboHelp HTML Fundamentals</v>
      </c>
    </row>
    <row r="7915">
      <c r="A7915" s="140" t="str">
        <f>IFERROR(__xludf.DUMMYFUNCTION("""COMPUTED_VALUE"""),"es")</f>
        <v>es</v>
      </c>
      <c r="B7915">
        <f>IFERROR(__xludf.DUMMYFUNCTION("""COMPUTED_VALUE"""),1033544.0)</f>
        <v>1033544</v>
      </c>
      <c r="C7915" t="str">
        <f>IFERROR(__xludf.DUMMYFUNCTION("""COMPUTED_VALUE"""),"TypeScript: Tu completa guía y manual de mano (Edición 2021)")</f>
        <v>TypeScript: Tu completa guía y manual de mano (Edición 2021)</v>
      </c>
    </row>
    <row r="7916">
      <c r="A7916" s="140" t="str">
        <f>IFERROR(__xludf.DUMMYFUNCTION("""COMPUTED_VALUE"""),"en")</f>
        <v>en</v>
      </c>
      <c r="B7916">
        <f>IFERROR(__xludf.DUMMYFUNCTION("""COMPUTED_VALUE"""),1242092.0)</f>
        <v>1242092</v>
      </c>
      <c r="C7916" t="str">
        <f>IFERROR(__xludf.DUMMYFUNCTION("""COMPUTED_VALUE"""),"Single-Page Application with ASP.NET &amp; jQuery Hands-On")</f>
        <v>Single-Page Application with ASP.NET &amp; jQuery Hands-On</v>
      </c>
    </row>
    <row r="7917">
      <c r="A7917" s="140" t="str">
        <f>IFERROR(__xludf.DUMMYFUNCTION("""COMPUTED_VALUE"""),"es")</f>
        <v>es</v>
      </c>
      <c r="B7917">
        <f>IFERROR(__xludf.DUMMYFUNCTION("""COMPUTED_VALUE"""),3030056.0)</f>
        <v>3030056</v>
      </c>
      <c r="C7917" t="str">
        <f>IFERROR(__xludf.DUMMYFUNCTION("""COMPUTED_VALUE"""),"Asp.Net Core 5.0 con Entity Framework Core y Tag Helper +30h")</f>
        <v>Asp.Net Core 5.0 con Entity Framework Core y Tag Helper +30h</v>
      </c>
    </row>
    <row r="7918">
      <c r="A7918" s="140" t="str">
        <f>IFERROR(__xludf.DUMMYFUNCTION("""COMPUTED_VALUE"""),"tr")</f>
        <v>tr</v>
      </c>
      <c r="B7918">
        <f>IFERROR(__xludf.DUMMYFUNCTION("""COMPUTED_VALUE"""),2677820.0)</f>
        <v>2677820</v>
      </c>
      <c r="C7918" t="str">
        <f>IFERROR(__xludf.DUMMYFUNCTION("""COMPUTED_VALUE"""),"Unity C# | 2D Oyun Geliştirme Eğitimi")</f>
        <v>Unity C# | 2D Oyun Geliştirme Eğitimi</v>
      </c>
    </row>
    <row r="7919">
      <c r="A7919" s="140" t="str">
        <f>IFERROR(__xludf.DUMMYFUNCTION("""COMPUTED_VALUE"""),"en")</f>
        <v>en</v>
      </c>
      <c r="B7919">
        <f>IFERROR(__xludf.DUMMYFUNCTION("""COMPUTED_VALUE"""),1415934.0)</f>
        <v>1415934</v>
      </c>
      <c r="C7919" t="str">
        <f>IFERROR(__xludf.DUMMYFUNCTION("""COMPUTED_VALUE"""),"Management Skills - Team Leadership Skills Masterclass 2021")</f>
        <v>Management Skills - Team Leadership Skills Masterclass 2021</v>
      </c>
    </row>
    <row r="7920">
      <c r="A7920" s="140" t="str">
        <f>IFERROR(__xludf.DUMMYFUNCTION("""COMPUTED_VALUE"""),"en")</f>
        <v>en</v>
      </c>
      <c r="B7920">
        <f>IFERROR(__xludf.DUMMYFUNCTION("""COMPUTED_VALUE"""),1278290.0)</f>
        <v>1278290</v>
      </c>
      <c r="C7920" t="str">
        <f>IFERROR(__xludf.DUMMYFUNCTION("""COMPUTED_VALUE"""),"Yoga for Back Pain Relief &amp; Prevention-Certification Course")</f>
        <v>Yoga for Back Pain Relief &amp; Prevention-Certification Course</v>
      </c>
    </row>
    <row r="7921">
      <c r="A7921" s="140" t="str">
        <f>IFERROR(__xludf.DUMMYFUNCTION("""COMPUTED_VALUE"""),"en")</f>
        <v>en</v>
      </c>
      <c r="B7921">
        <f>IFERROR(__xludf.DUMMYFUNCTION("""COMPUTED_VALUE"""),1466514.0)</f>
        <v>1466514</v>
      </c>
      <c r="C7921" t="str">
        <f>IFERROR(__xludf.DUMMYFUNCTION("""COMPUTED_VALUE"""),"Confidence Blueprint: Develop Confidence &amp; a Growth Mindset")</f>
        <v>Confidence Blueprint: Develop Confidence &amp; a Growth Mindset</v>
      </c>
    </row>
    <row r="7922">
      <c r="A7922" s="140" t="str">
        <f>IFERROR(__xludf.DUMMYFUNCTION("""COMPUTED_VALUE"""),"en")</f>
        <v>en</v>
      </c>
      <c r="B7922">
        <f>IFERROR(__xludf.DUMMYFUNCTION("""COMPUTED_VALUE"""),1274008.0)</f>
        <v>1274008</v>
      </c>
      <c r="C7922" t="str">
        <f>IFERROR(__xludf.DUMMYFUNCTION("""COMPUTED_VALUE"""),"Build Cross Platform Augmented Reality Apps with Thingworx")</f>
        <v>Build Cross Platform Augmented Reality Apps with Thingworx</v>
      </c>
    </row>
    <row r="7923">
      <c r="A7923" s="140" t="str">
        <f>IFERROR(__xludf.DUMMYFUNCTION("""COMPUTED_VALUE"""),"en")</f>
        <v>en</v>
      </c>
      <c r="B7923">
        <f>IFERROR(__xludf.DUMMYFUNCTION("""COMPUTED_VALUE"""),2414146.0)</f>
        <v>2414146</v>
      </c>
      <c r="C7923" t="str">
        <f>IFERROR(__xludf.DUMMYFUNCTION("""COMPUTED_VALUE"""),"Tidy Data: Updated Data Processing With tidyr and dplyr in R")</f>
        <v>Tidy Data: Updated Data Processing With tidyr and dplyr in R</v>
      </c>
    </row>
    <row r="7924">
      <c r="A7924" s="140" t="str">
        <f>IFERROR(__xludf.DUMMYFUNCTION("""COMPUTED_VALUE"""),"fr")</f>
        <v>fr</v>
      </c>
      <c r="B7924">
        <f>IFERROR(__xludf.DUMMYFUNCTION("""COMPUTED_VALUE"""),3539134.0)</f>
        <v>3539134</v>
      </c>
      <c r="C7924" t="str">
        <f>IFERROR(__xludf.DUMMYFUNCTION("""COMPUTED_VALUE"""),"Télétravail : Travailler efficacement depuis la maison")</f>
        <v>Télétravail : Travailler efficacement depuis la maison</v>
      </c>
    </row>
    <row r="7925">
      <c r="A7925" s="140" t="str">
        <f>IFERROR(__xludf.DUMMYFUNCTION("""COMPUTED_VALUE"""),"pt")</f>
        <v>pt</v>
      </c>
      <c r="B7925">
        <f>IFERROR(__xludf.DUMMYFUNCTION("""COMPUTED_VALUE"""),2164548.0)</f>
        <v>2164548</v>
      </c>
      <c r="C7925" t="str">
        <f>IFERROR(__xludf.DUMMYFUNCTION("""COMPUTED_VALUE"""),"Pronúncia Perfeita de Inglês Britânico e Americano")</f>
        <v>Pronúncia Perfeita de Inglês Britânico e Americano</v>
      </c>
    </row>
    <row r="7926">
      <c r="A7926" s="140" t="str">
        <f>IFERROR(__xludf.DUMMYFUNCTION("""COMPUTED_VALUE"""),"en")</f>
        <v>en</v>
      </c>
      <c r="B7926">
        <f>IFERROR(__xludf.DUMMYFUNCTION("""COMPUTED_VALUE"""),2856490.0)</f>
        <v>2856490</v>
      </c>
      <c r="C7926" t="str">
        <f>IFERROR(__xludf.DUMMYFUNCTION("""COMPUTED_VALUE"""),"Tricentis Tosca: ( Beginner to Intermediate ) in easy steps")</f>
        <v>Tricentis Tosca: ( Beginner to Intermediate ) in easy steps</v>
      </c>
    </row>
    <row r="7927">
      <c r="A7927" s="140" t="str">
        <f>IFERROR(__xludf.DUMMYFUNCTION("""COMPUTED_VALUE"""),"en")</f>
        <v>en</v>
      </c>
      <c r="B7927">
        <f>IFERROR(__xludf.DUMMYFUNCTION("""COMPUTED_VALUE"""),896264.0)</f>
        <v>896264</v>
      </c>
      <c r="C7927" t="str">
        <f>IFERROR(__xludf.DUMMYFUNCTION("""COMPUTED_VALUE"""),"Agile PM 202 - Introduction to Agile Project Management")</f>
        <v>Agile PM 202 - Introduction to Agile Project Management</v>
      </c>
    </row>
    <row r="7928">
      <c r="A7928" s="140" t="str">
        <f>IFERROR(__xludf.DUMMYFUNCTION("""COMPUTED_VALUE"""),"en")</f>
        <v>en</v>
      </c>
      <c r="B7928">
        <f>IFERROR(__xludf.DUMMYFUNCTION("""COMPUTED_VALUE"""),1432454.0)</f>
        <v>1432454</v>
      </c>
      <c r="C7928" t="str">
        <f>IFERROR(__xludf.DUMMYFUNCTION("""COMPUTED_VALUE"""),"Effective Email Communication: Enhancing Your Voice at Work")</f>
        <v>Effective Email Communication: Enhancing Your Voice at Work</v>
      </c>
    </row>
    <row r="7929">
      <c r="A7929" s="140" t="str">
        <f>IFERROR(__xludf.DUMMYFUNCTION("""COMPUTED_VALUE"""),"en")</f>
        <v>en</v>
      </c>
      <c r="B7929">
        <f>IFERROR(__xludf.DUMMYFUNCTION("""COMPUTED_VALUE"""),387514.0)</f>
        <v>387514</v>
      </c>
      <c r="C7929" t="str">
        <f>IFERROR(__xludf.DUMMYFUNCTION("""COMPUTED_VALUE"""),"Professional Sales Training - Compelling Conversations")</f>
        <v>Professional Sales Training - Compelling Conversations</v>
      </c>
    </row>
    <row r="7930">
      <c r="A7930" s="140" t="str">
        <f>IFERROR(__xludf.DUMMYFUNCTION("""COMPUTED_VALUE"""),"zh")</f>
        <v>zh</v>
      </c>
      <c r="B7930">
        <f>IFERROR(__xludf.DUMMYFUNCTION("""COMPUTED_VALUE"""),1796734.0)</f>
        <v>1796734</v>
      </c>
      <c r="C7930" t="str">
        <f>IFERROR(__xludf.DUMMYFUNCTION("""COMPUTED_VALUE"""),"使用AJAX:构建基于AJAX的应用程序")</f>
        <v>使用AJAX:构建基于AJAX的应用程序</v>
      </c>
    </row>
    <row r="7931">
      <c r="A7931" s="140" t="str">
        <f>IFERROR(__xludf.DUMMYFUNCTION("""COMPUTED_VALUE"""),"en")</f>
        <v>en</v>
      </c>
      <c r="B7931">
        <f>IFERROR(__xludf.DUMMYFUNCTION("""COMPUTED_VALUE"""),1189136.0)</f>
        <v>1189136</v>
      </c>
      <c r="C7931" t="str">
        <f>IFERROR(__xludf.DUMMYFUNCTION("""COMPUTED_VALUE"""),"Adobe Lightroom Masterclass - Beginner to Expert")</f>
        <v>Adobe Lightroom Masterclass - Beginner to Expert</v>
      </c>
    </row>
    <row r="7932">
      <c r="A7932" s="140" t="str">
        <f>IFERROR(__xludf.DUMMYFUNCTION("""COMPUTED_VALUE"""),"en")</f>
        <v>en</v>
      </c>
      <c r="B7932">
        <f>IFERROR(__xludf.DUMMYFUNCTION("""COMPUTED_VALUE"""),619222.0)</f>
        <v>619222</v>
      </c>
      <c r="C7932" t="str">
        <f>IFERROR(__xludf.DUMMYFUNCTION("""COMPUTED_VALUE"""),"NGINX Fundamentals: High Performance Servers from Scratch")</f>
        <v>NGINX Fundamentals: High Performance Servers from Scratch</v>
      </c>
    </row>
    <row r="7933">
      <c r="A7933" s="140" t="str">
        <f>IFERROR(__xludf.DUMMYFUNCTION("""COMPUTED_VALUE"""),"es")</f>
        <v>es</v>
      </c>
      <c r="B7933">
        <f>IFERROR(__xludf.DUMMYFUNCTION("""COMPUTED_VALUE"""),1316666.0)</f>
        <v>1316666</v>
      </c>
      <c r="C7933" t="str">
        <f>IFERROR(__xludf.DUMMYFUNCTION("""COMPUTED_VALUE"""),"Estrategias de Marketing Digital en Base a Embudos de Venta")</f>
        <v>Estrategias de Marketing Digital en Base a Embudos de Venta</v>
      </c>
    </row>
    <row r="7934">
      <c r="A7934" s="140" t="str">
        <f>IFERROR(__xludf.DUMMYFUNCTION("""COMPUTED_VALUE"""),"en")</f>
        <v>en</v>
      </c>
      <c r="B7934">
        <f>IFERROR(__xludf.DUMMYFUNCTION("""COMPUTED_VALUE"""),1047968.0)</f>
        <v>1047968</v>
      </c>
      <c r="C7934" t="str">
        <f>IFERROR(__xludf.DUMMYFUNCTION("""COMPUTED_VALUE"""),"Vue JS 2: From Beginner to Professional (includes Vuex)")</f>
        <v>Vue JS 2: From Beginner to Professional (includes Vuex)</v>
      </c>
    </row>
    <row r="7935">
      <c r="A7935" s="140" t="str">
        <f>IFERROR(__xludf.DUMMYFUNCTION("""COMPUTED_VALUE"""),"en")</f>
        <v>en</v>
      </c>
      <c r="B7935">
        <f>IFERROR(__xludf.DUMMYFUNCTION("""COMPUTED_VALUE"""),2868014.0)</f>
        <v>2868014</v>
      </c>
      <c r="C7935" t="str">
        <f>IFERROR(__xludf.DUMMYFUNCTION("""COMPUTED_VALUE"""),"The Ultimate Spring Batch Developer Course")</f>
        <v>The Ultimate Spring Batch Developer Course</v>
      </c>
    </row>
    <row r="7936">
      <c r="A7936" s="140" t="str">
        <f>IFERROR(__xludf.DUMMYFUNCTION("""COMPUTED_VALUE"""),"en")</f>
        <v>en</v>
      </c>
      <c r="B7936">
        <f>IFERROR(__xludf.DUMMYFUNCTION("""COMPUTED_VALUE"""),859050.0)</f>
        <v>859050</v>
      </c>
      <c r="C7936" t="str">
        <f>IFERROR(__xludf.DUMMYFUNCTION("""COMPUTED_VALUE"""),"How to Price Consumer Products (FMCG/CPG)?")</f>
        <v>How to Price Consumer Products (FMCG/CPG)?</v>
      </c>
    </row>
    <row r="7937">
      <c r="A7937" s="140" t="str">
        <f>IFERROR(__xludf.DUMMYFUNCTION("""COMPUTED_VALUE"""),"pt")</f>
        <v>pt</v>
      </c>
      <c r="B7937">
        <f>IFERROR(__xludf.DUMMYFUNCTION("""COMPUTED_VALUE"""),1629650.0)</f>
        <v>1629650</v>
      </c>
      <c r="C7937" t="str">
        <f>IFERROR(__xludf.DUMMYFUNCTION("""COMPUTED_VALUE"""),"A arte de falar bem")</f>
        <v>A arte de falar bem</v>
      </c>
    </row>
    <row r="7938">
      <c r="A7938" s="140" t="str">
        <f>IFERROR(__xludf.DUMMYFUNCTION("""COMPUTED_VALUE"""),"en")</f>
        <v>en</v>
      </c>
      <c r="B7938">
        <f>IFERROR(__xludf.DUMMYFUNCTION("""COMPUTED_VALUE"""),727262.0)</f>
        <v>727262</v>
      </c>
      <c r="C7938" t="str">
        <f>IFERROR(__xludf.DUMMYFUNCTION("""COMPUTED_VALUE"""),"Time Management &amp; Productivity Best Practices: Get More Done")</f>
        <v>Time Management &amp; Productivity Best Practices: Get More Done</v>
      </c>
    </row>
    <row r="7939">
      <c r="A7939" s="140" t="str">
        <f>IFERROR(__xludf.DUMMYFUNCTION("""COMPUTED_VALUE"""),"en")</f>
        <v>en</v>
      </c>
      <c r="B7939">
        <f>IFERROR(__xludf.DUMMYFUNCTION("""COMPUTED_VALUE"""),315996.0)</f>
        <v>315996</v>
      </c>
      <c r="C7939" t="str">
        <f>IFERROR(__xludf.DUMMYFUNCTION("""COMPUTED_VALUE"""),"MTA: Windows Server Administration Fundamentals: 98-365")</f>
        <v>MTA: Windows Server Administration Fundamentals: 98-365</v>
      </c>
    </row>
    <row r="7940">
      <c r="A7940" s="140" t="str">
        <f>IFERROR(__xludf.DUMMYFUNCTION("""COMPUTED_VALUE"""),"en")</f>
        <v>en</v>
      </c>
      <c r="B7940">
        <f>IFERROR(__xludf.DUMMYFUNCTION("""COMPUTED_VALUE"""),1638634.0)</f>
        <v>1638634</v>
      </c>
      <c r="C7940" t="str">
        <f>IFERROR(__xludf.DUMMYFUNCTION("""COMPUTED_VALUE"""),"The Complete Guide to JSON Parsing Using Swift 5")</f>
        <v>The Complete Guide to JSON Parsing Using Swift 5</v>
      </c>
    </row>
    <row r="7941">
      <c r="A7941" s="140" t="str">
        <f>IFERROR(__xludf.DUMMYFUNCTION("""COMPUTED_VALUE"""),"en")</f>
        <v>en</v>
      </c>
      <c r="B7941">
        <f>IFERROR(__xludf.DUMMYFUNCTION("""COMPUTED_VALUE"""),627032.0)</f>
        <v>627032</v>
      </c>
      <c r="C7941" t="str">
        <f>IFERROR(__xludf.DUMMYFUNCTION("""COMPUTED_VALUE"""),"Learn Spring Boot - Rapid Spring Application Development")</f>
        <v>Learn Spring Boot - Rapid Spring Application Development</v>
      </c>
    </row>
    <row r="7942">
      <c r="A7942" s="140" t="str">
        <f>IFERROR(__xludf.DUMMYFUNCTION("""COMPUTED_VALUE"""),"en")</f>
        <v>en</v>
      </c>
      <c r="B7942">
        <f>IFERROR(__xludf.DUMMYFUNCTION("""COMPUTED_VALUE"""),80940.0)</f>
        <v>80940</v>
      </c>
      <c r="C7942" t="str">
        <f>IFERROR(__xludf.DUMMYFUNCTION("""COMPUTED_VALUE"""),"Build Websites from Scratch with HTML &amp; CSS")</f>
        <v>Build Websites from Scratch with HTML &amp; CSS</v>
      </c>
    </row>
    <row r="7943">
      <c r="A7943" s="140" t="str">
        <f>IFERROR(__xludf.DUMMYFUNCTION("""COMPUTED_VALUE"""),"en")</f>
        <v>en</v>
      </c>
      <c r="B7943">
        <f>IFERROR(__xludf.DUMMYFUNCTION("""COMPUTED_VALUE"""),1102458.0)</f>
        <v>1102458</v>
      </c>
      <c r="C7943" t="str">
        <f>IFERROR(__xludf.DUMMYFUNCTION("""COMPUTED_VALUE"""),"AWS Certified Security Specialty 2021")</f>
        <v>AWS Certified Security Specialty 2021</v>
      </c>
    </row>
    <row r="7944">
      <c r="A7944" s="140" t="str">
        <f>IFERROR(__xludf.DUMMYFUNCTION("""COMPUTED_VALUE"""),"en")</f>
        <v>en</v>
      </c>
      <c r="B7944">
        <f>IFERROR(__xludf.DUMMYFUNCTION("""COMPUTED_VALUE"""),571876.0)</f>
        <v>571876</v>
      </c>
      <c r="C7944" t="str">
        <f>IFERROR(__xludf.DUMMYFUNCTION("""COMPUTED_VALUE"""),"10X SUPERHUMAN Learning: Speed Reading &amp; Memory Booster")</f>
        <v>10X SUPERHUMAN Learning: Speed Reading &amp; Memory Booster</v>
      </c>
    </row>
    <row r="7945">
      <c r="A7945" s="140" t="str">
        <f>IFERROR(__xludf.DUMMYFUNCTION("""COMPUTED_VALUE"""),"fr")</f>
        <v>fr</v>
      </c>
      <c r="B7945">
        <f>IFERROR(__xludf.DUMMYFUNCTION("""COMPUTED_VALUE"""),2031410.0)</f>
        <v>2031410</v>
      </c>
      <c r="C7945" t="str">
        <f>IFERROR(__xludf.DUMMYFUNCTION("""COMPUTED_VALUE"""),"Gestion des émotions")</f>
        <v>Gestion des émotions</v>
      </c>
    </row>
    <row r="7946">
      <c r="A7946" s="140" t="str">
        <f>IFERROR(__xludf.DUMMYFUNCTION("""COMPUTED_VALUE"""),"ko")</f>
        <v>ko</v>
      </c>
      <c r="B7946">
        <f>IFERROR(__xludf.DUMMYFUNCTION("""COMPUTED_VALUE"""),1502702.0)</f>
        <v>1502702</v>
      </c>
      <c r="C7946" t="str">
        <f>IFERROR(__xludf.DUMMYFUNCTION("""COMPUTED_VALUE"""),"Keras 를 활용한 Deep Learning 입문")</f>
        <v>Keras 를 활용한 Deep Learning 입문</v>
      </c>
    </row>
    <row r="7947">
      <c r="A7947" s="140" t="str">
        <f>IFERROR(__xludf.DUMMYFUNCTION("""COMPUTED_VALUE"""),"en")</f>
        <v>en</v>
      </c>
      <c r="B7947">
        <f>IFERROR(__xludf.DUMMYFUNCTION("""COMPUTED_VALUE"""),805894.0)</f>
        <v>805894</v>
      </c>
      <c r="C7947" t="str">
        <f>IFERROR(__xludf.DUMMYFUNCTION("""COMPUTED_VALUE"""),"Linux Shell Course for Beginners - Lite")</f>
        <v>Linux Shell Course for Beginners - Lite</v>
      </c>
    </row>
    <row r="7948">
      <c r="A7948" s="140" t="str">
        <f>IFERROR(__xludf.DUMMYFUNCTION("""COMPUTED_VALUE"""),"en")</f>
        <v>en</v>
      </c>
      <c r="B7948">
        <f>IFERROR(__xludf.DUMMYFUNCTION("""COMPUTED_VALUE"""),302746.0)</f>
        <v>302746</v>
      </c>
      <c r="C7948" t="str">
        <f>IFERROR(__xludf.DUMMYFUNCTION("""COMPUTED_VALUE"""),"Digital Marketing: How to Generate Sales Leads")</f>
        <v>Digital Marketing: How to Generate Sales Leads</v>
      </c>
    </row>
    <row r="7949">
      <c r="A7949" s="140" t="str">
        <f>IFERROR(__xludf.DUMMYFUNCTION("""COMPUTED_VALUE"""),"en")</f>
        <v>en</v>
      </c>
      <c r="B7949">
        <f>IFERROR(__xludf.DUMMYFUNCTION("""COMPUTED_VALUE"""),1433060.0)</f>
        <v>1433060</v>
      </c>
      <c r="C7949" t="str">
        <f>IFERROR(__xludf.DUMMYFUNCTION("""COMPUTED_VALUE"""),"Marketing Analytics: Stand Out by Becoming an Analytics Pro!")</f>
        <v>Marketing Analytics: Stand Out by Becoming an Analytics Pro!</v>
      </c>
    </row>
    <row r="7950">
      <c r="A7950" s="140" t="str">
        <f>IFERROR(__xludf.DUMMYFUNCTION("""COMPUTED_VALUE"""),"de")</f>
        <v>de</v>
      </c>
      <c r="B7950">
        <f>IFERROR(__xludf.DUMMYFUNCTION("""COMPUTED_VALUE"""),2102888.0)</f>
        <v>2102888</v>
      </c>
      <c r="C7950" t="str">
        <f>IFERROR(__xludf.DUMMYFUNCTION("""COMPUTED_VALUE"""),"Die Speedreading-Formel - 2x schneller lesen in 2 Wochen")</f>
        <v>Die Speedreading-Formel - 2x schneller lesen in 2 Wochen</v>
      </c>
    </row>
    <row r="7951">
      <c r="A7951" s="140" t="str">
        <f>IFERROR(__xludf.DUMMYFUNCTION("""COMPUTED_VALUE"""),"en")</f>
        <v>en</v>
      </c>
      <c r="B7951">
        <f>IFERROR(__xludf.DUMMYFUNCTION("""COMPUTED_VALUE"""),732578.0)</f>
        <v>732578</v>
      </c>
      <c r="C7951" t="str">
        <f>IFERROR(__xludf.DUMMYFUNCTION("""COMPUTED_VALUE"""),"Learn Maya - A Beginners guide to Creating Realistic Scenes")</f>
        <v>Learn Maya - A Beginners guide to Creating Realistic Scenes</v>
      </c>
    </row>
    <row r="7952">
      <c r="A7952" s="140" t="str">
        <f>IFERROR(__xludf.DUMMYFUNCTION("""COMPUTED_VALUE"""),"ja")</f>
        <v>ja</v>
      </c>
      <c r="B7952">
        <f>IFERROR(__xludf.DUMMYFUNCTION("""COMPUTED_VALUE"""),1446440.0)</f>
        <v>1446440</v>
      </c>
      <c r="C7952" t="str">
        <f>IFERROR(__xludf.DUMMYFUNCTION("""COMPUTED_VALUE"""),"ウェブ開発入門完全攻略コース - HTML/CSS/JavaScript. プログラミングをはじめて学び創れる人へ！")</f>
        <v>ウェブ開発入門完全攻略コース - HTML/CSS/JavaScript. プログラミングをはじめて学び創れる人へ！</v>
      </c>
    </row>
    <row r="7953">
      <c r="A7953" s="140" t="str">
        <f>IFERROR(__xludf.DUMMYFUNCTION("""COMPUTED_VALUE"""),"en")</f>
        <v>en</v>
      </c>
      <c r="B7953">
        <f>IFERROR(__xludf.DUMMYFUNCTION("""COMPUTED_VALUE"""),395378.0)</f>
        <v>395378</v>
      </c>
      <c r="C7953" t="str">
        <f>IFERROR(__xludf.DUMMYFUNCTION("""COMPUTED_VALUE"""),"B2B Sales - Close More Deals, Get More Leads, Work Less")</f>
        <v>B2B Sales - Close More Deals, Get More Leads, Work Less</v>
      </c>
    </row>
    <row r="7954">
      <c r="A7954" s="140" t="str">
        <f>IFERROR(__xludf.DUMMYFUNCTION("""COMPUTED_VALUE"""),"en")</f>
        <v>en</v>
      </c>
      <c r="B7954">
        <f>IFERROR(__xludf.DUMMYFUNCTION("""COMPUTED_VALUE"""),3045184.0)</f>
        <v>3045184</v>
      </c>
      <c r="C7954" t="str">
        <f>IFERROR(__xludf.DUMMYFUNCTION("""COMPUTED_VALUE"""),"Dependency Injection in .NET 5 (.NET Core)")</f>
        <v>Dependency Injection in .NET 5 (.NET Core)</v>
      </c>
    </row>
    <row r="7955">
      <c r="A7955" s="140" t="str">
        <f>IFERROR(__xludf.DUMMYFUNCTION("""COMPUTED_VALUE"""),"ja")</f>
        <v>ja</v>
      </c>
      <c r="B7955">
        <f>IFERROR(__xludf.DUMMYFUNCTION("""COMPUTED_VALUE"""),3936774.0)</f>
        <v>3936774</v>
      </c>
      <c r="C7955" t="str">
        <f>IFERROR(__xludf.DUMMYFUNCTION("""COMPUTED_VALUE"""),"【世界で1.3万人が受講！】多様性、公平性、インクルージョン：初心者のためのダイバーシティガイド")</f>
        <v>【世界で1.3万人が受講！】多様性、公平性、インクルージョン：初心者のためのダイバーシティガイド</v>
      </c>
    </row>
    <row r="7956">
      <c r="A7956" s="140" t="str">
        <f>IFERROR(__xludf.DUMMYFUNCTION("""COMPUTED_VALUE"""),"en")</f>
        <v>en</v>
      </c>
      <c r="B7956">
        <f>IFERROR(__xludf.DUMMYFUNCTION("""COMPUTED_VALUE"""),802576.0)</f>
        <v>802576</v>
      </c>
      <c r="C7956" t="str">
        <f>IFERROR(__xludf.DUMMYFUNCTION("""COMPUTED_VALUE"""),"AZ-104 Microsoft Azure Administrator Exam Certification 2021")</f>
        <v>AZ-104 Microsoft Azure Administrator Exam Certification 2021</v>
      </c>
    </row>
    <row r="7957">
      <c r="A7957" s="140" t="str">
        <f>IFERROR(__xludf.DUMMYFUNCTION("""COMPUTED_VALUE"""),"en")</f>
        <v>en</v>
      </c>
      <c r="B7957">
        <f>IFERROR(__xludf.DUMMYFUNCTION("""COMPUTED_VALUE"""),325666.0)</f>
        <v>325666</v>
      </c>
      <c r="C7957" t="str">
        <f>IFERROR(__xludf.DUMMYFUNCTION("""COMPUTED_VALUE"""),"Copywriting secrets - How to write copy that sells")</f>
        <v>Copywriting secrets - How to write copy that sells</v>
      </c>
    </row>
    <row r="7958">
      <c r="A7958" s="140" t="str">
        <f>IFERROR(__xludf.DUMMYFUNCTION("""COMPUTED_VALUE"""),"en")</f>
        <v>en</v>
      </c>
      <c r="B7958">
        <f>IFERROR(__xludf.DUMMYFUNCTION("""COMPUTED_VALUE"""),3377768.0)</f>
        <v>3377768</v>
      </c>
      <c r="C7958" t="str">
        <f>IFERROR(__xludf.DUMMYFUNCTION("""COMPUTED_VALUE"""),"Sales Prospecting Fundamentals: A Complete Guide to Success")</f>
        <v>Sales Prospecting Fundamentals: A Complete Guide to Success</v>
      </c>
    </row>
    <row r="7959">
      <c r="A7959" s="140" t="str">
        <f>IFERROR(__xludf.DUMMYFUNCTION("""COMPUTED_VALUE"""),"en")</f>
        <v>en</v>
      </c>
      <c r="B7959">
        <f>IFERROR(__xludf.DUMMYFUNCTION("""COMPUTED_VALUE"""),2005064.0)</f>
        <v>2005064</v>
      </c>
      <c r="C7959" t="str">
        <f>IFERROR(__xludf.DUMMYFUNCTION("""COMPUTED_VALUE"""),"Gatsby JS: Build Gatsby static sites with React &amp; WordPress")</f>
        <v>Gatsby JS: Build Gatsby static sites with React &amp; WordPress</v>
      </c>
    </row>
    <row r="7960">
      <c r="A7960" s="140" t="str">
        <f>IFERROR(__xludf.DUMMYFUNCTION("""COMPUTED_VALUE"""),"en")</f>
        <v>en</v>
      </c>
      <c r="B7960">
        <f>IFERROR(__xludf.DUMMYFUNCTION("""COMPUTED_VALUE"""),957902.0)</f>
        <v>957902</v>
      </c>
      <c r="C7960" t="str">
        <f>IFERROR(__xludf.DUMMYFUNCTION("""COMPUTED_VALUE"""),"Java Interview Guide : 200+ Interview Questions and Answers")</f>
        <v>Java Interview Guide : 200+ Interview Questions and Answers</v>
      </c>
    </row>
    <row r="7961">
      <c r="A7961" s="140" t="str">
        <f>IFERROR(__xludf.DUMMYFUNCTION("""COMPUTED_VALUE"""),"tr")</f>
        <v>tr</v>
      </c>
      <c r="B7961">
        <f>IFERROR(__xludf.DUMMYFUNCTION("""COMPUTED_VALUE"""),2659830.0)</f>
        <v>2659830</v>
      </c>
      <c r="C7961" t="str">
        <f>IFERROR(__xludf.DUMMYFUNCTION("""COMPUTED_VALUE"""),"Sıfırdan Zirveye Javascript ve NodeJS Kursu 2020")</f>
        <v>Sıfırdan Zirveye Javascript ve NodeJS Kursu 2020</v>
      </c>
    </row>
    <row r="7962">
      <c r="A7962" s="140" t="str">
        <f>IFERROR(__xludf.DUMMYFUNCTION("""COMPUTED_VALUE"""),"es")</f>
        <v>es</v>
      </c>
      <c r="B7962">
        <f>IFERROR(__xludf.DUMMYFUNCTION("""COMPUTED_VALUE"""),1133110.0)</f>
        <v>1133110</v>
      </c>
      <c r="C7962" t="str">
        <f>IFERROR(__xludf.DUMMYFUNCTION("""COMPUTED_VALUE"""),"Qa Testing: Guia Basica para QA y Robot Framework")</f>
        <v>Qa Testing: Guia Basica para QA y Robot Framework</v>
      </c>
    </row>
    <row r="7963">
      <c r="A7963" s="140" t="str">
        <f>IFERROR(__xludf.DUMMYFUNCTION("""COMPUTED_VALUE"""),"pt")</f>
        <v>pt</v>
      </c>
      <c r="B7963">
        <f>IFERROR(__xludf.DUMMYFUNCTION("""COMPUTED_VALUE"""),2088864.0)</f>
        <v>2088864</v>
      </c>
      <c r="C7963" t="str">
        <f>IFERROR(__xludf.DUMMYFUNCTION("""COMPUTED_VALUE"""),"Lei geral de Proteção de Dados Pessoais na Prática")</f>
        <v>Lei geral de Proteção de Dados Pessoais na Prática</v>
      </c>
    </row>
    <row r="7964">
      <c r="A7964" s="140" t="str">
        <f>IFERROR(__xludf.DUMMYFUNCTION("""COMPUTED_VALUE"""),"es")</f>
        <v>es</v>
      </c>
      <c r="B7964">
        <f>IFERROR(__xludf.DUMMYFUNCTION("""COMPUTED_VALUE"""),2633560.0)</f>
        <v>2633560</v>
      </c>
      <c r="C7964" t="str">
        <f>IFERROR(__xludf.DUMMYFUNCTION("""COMPUTED_VALUE"""),"Introducción a Magento Open Source eCommerce 2")</f>
        <v>Introducción a Magento Open Source eCommerce 2</v>
      </c>
    </row>
    <row r="7965">
      <c r="A7965" s="140" t="str">
        <f>IFERROR(__xludf.DUMMYFUNCTION("""COMPUTED_VALUE"""),"ja")</f>
        <v>ja</v>
      </c>
      <c r="B7965">
        <f>IFERROR(__xludf.DUMMYFUNCTION("""COMPUTED_VALUE"""),2277141.0)</f>
        <v>2277141</v>
      </c>
      <c r="C7965" t="str">
        <f>IFERROR(__xludf.DUMMYFUNCTION("""COMPUTED_VALUE"""),"【初心者向け】2時間でわかる！確実に商談を前進させる営業トーク50選")</f>
        <v>【初心者向け】2時間でわかる！確実に商談を前進させる営業トーク50選</v>
      </c>
    </row>
    <row r="7966">
      <c r="A7966" s="140" t="str">
        <f>IFERROR(__xludf.DUMMYFUNCTION("""COMPUTED_VALUE"""),"ar")</f>
        <v>ar</v>
      </c>
      <c r="B7966">
        <f>IFERROR(__xludf.DUMMYFUNCTION("""COMPUTED_VALUE"""),1916028.0)</f>
        <v>1916028</v>
      </c>
      <c r="C7966" t="str">
        <f>IFERROR(__xludf.DUMMYFUNCTION("""COMPUTED_VALUE"""),"The Kotlin Learning Guide")</f>
        <v>The Kotlin Learning Guide</v>
      </c>
    </row>
    <row r="7967">
      <c r="A7967" s="140" t="str">
        <f>IFERROR(__xludf.DUMMYFUNCTION("""COMPUTED_VALUE"""),"en")</f>
        <v>en</v>
      </c>
      <c r="B7967">
        <f>IFERROR(__xludf.DUMMYFUNCTION("""COMPUTED_VALUE"""),3471842.0)</f>
        <v>3471842</v>
      </c>
      <c r="C7967" t="str">
        <f>IFERROR(__xludf.DUMMYFUNCTION("""COMPUTED_VALUE"""),"REST based microservices API development in Golang")</f>
        <v>REST based microservices API development in Golang</v>
      </c>
    </row>
    <row r="7968">
      <c r="A7968" s="140" t="str">
        <f>IFERROR(__xludf.DUMMYFUNCTION("""COMPUTED_VALUE"""),"en")</f>
        <v>en</v>
      </c>
      <c r="B7968">
        <f>IFERROR(__xludf.DUMMYFUNCTION("""COMPUTED_VALUE"""),3086140.0)</f>
        <v>3086140</v>
      </c>
      <c r="C7968" t="str">
        <f>IFERROR(__xludf.DUMMYFUNCTION("""COMPUTED_VALUE"""),"Price to Profit: Psychology &amp; Science of Pricing")</f>
        <v>Price to Profit: Psychology &amp; Science of Pricing</v>
      </c>
    </row>
    <row r="7969">
      <c r="A7969" s="140" t="str">
        <f>IFERROR(__xludf.DUMMYFUNCTION("""COMPUTED_VALUE"""),"zh")</f>
        <v>zh</v>
      </c>
      <c r="B7969">
        <f>IFERROR(__xludf.DUMMYFUNCTION("""COMPUTED_VALUE"""),2585256.0)</f>
        <v>2585256</v>
      </c>
      <c r="C7969" t="str">
        <f>IFERROR(__xludf.DUMMYFUNCTION("""COMPUTED_VALUE"""),"WPF经典编程实例/C#/.NET/MVVM/WCF/XAML/WinForm")</f>
        <v>WPF经典编程实例/C#/.NET/MVVM/WCF/XAML/WinForm</v>
      </c>
    </row>
    <row r="7970">
      <c r="A7970" s="140" t="str">
        <f>IFERROR(__xludf.DUMMYFUNCTION("""COMPUTED_VALUE"""),"en")</f>
        <v>en</v>
      </c>
      <c r="B7970">
        <f>IFERROR(__xludf.DUMMYFUNCTION("""COMPUTED_VALUE"""),1411696.0)</f>
        <v>1411696</v>
      </c>
      <c r="C7970" t="str">
        <f>IFERROR(__xludf.DUMMYFUNCTION("""COMPUTED_VALUE"""),"Digital Diversity/Cyber-Citizen/Cross Cultural Communication")</f>
        <v>Digital Diversity/Cyber-Citizen/Cross Cultural Communication</v>
      </c>
    </row>
    <row r="7971">
      <c r="A7971" s="140" t="str">
        <f>IFERROR(__xludf.DUMMYFUNCTION("""COMPUTED_VALUE"""),"en")</f>
        <v>en</v>
      </c>
      <c r="B7971">
        <f>IFERROR(__xludf.DUMMYFUNCTION("""COMPUTED_VALUE"""),1194706.0)</f>
        <v>1194706</v>
      </c>
      <c r="C7971" t="str">
        <f>IFERROR(__xludf.DUMMYFUNCTION("""COMPUTED_VALUE"""),"Microsoft SCCM/Endpoint Configuration Manager for Beginners")</f>
        <v>Microsoft SCCM/Endpoint Configuration Manager for Beginners</v>
      </c>
    </row>
    <row r="7972">
      <c r="A7972" s="140" t="str">
        <f>IFERROR(__xludf.DUMMYFUNCTION("""COMPUTED_VALUE"""),"en")</f>
        <v>en</v>
      </c>
      <c r="B7972">
        <f>IFERROR(__xludf.DUMMYFUNCTION("""COMPUTED_VALUE"""),1911248.0)</f>
        <v>1911248</v>
      </c>
      <c r="C7972" t="str">
        <f>IFERROR(__xludf.DUMMYFUNCTION("""COMPUTED_VALUE"""),"TOTAL: AWS Solutions Architect SAA-C02 Practice Tests.")</f>
        <v>TOTAL: AWS Solutions Architect SAA-C02 Practice Tests.</v>
      </c>
    </row>
    <row r="7973">
      <c r="A7973" s="140" t="str">
        <f>IFERROR(__xludf.DUMMYFUNCTION("""COMPUTED_VALUE"""),"en")</f>
        <v>en</v>
      </c>
      <c r="B7973">
        <f>IFERROR(__xludf.DUMMYFUNCTION("""COMPUTED_VALUE"""),461780.0)</f>
        <v>461780</v>
      </c>
      <c r="C7973" t="str">
        <f>IFERROR(__xludf.DUMMYFUNCTION("""COMPUTED_VALUE"""),"Regression Analysis / Data Analytics in Regression")</f>
        <v>Regression Analysis / Data Analytics in Regression</v>
      </c>
    </row>
    <row r="7974">
      <c r="A7974" s="140" t="str">
        <f>IFERROR(__xludf.DUMMYFUNCTION("""COMPUTED_VALUE"""),"ar")</f>
        <v>ar</v>
      </c>
      <c r="B7974">
        <f>IFERROR(__xludf.DUMMYFUNCTION("""COMPUTED_VALUE"""),606110.0)</f>
        <v>606110</v>
      </c>
      <c r="C7974" t="str">
        <f>IFERROR(__xludf.DUMMYFUNCTION("""COMPUTED_VALUE"""),"Social Media Marketing &amp; Management")</f>
        <v>Social Media Marketing &amp; Management</v>
      </c>
    </row>
    <row r="7975">
      <c r="A7975" s="140" t="str">
        <f>IFERROR(__xludf.DUMMYFUNCTION("""COMPUTED_VALUE"""),"es")</f>
        <v>es</v>
      </c>
      <c r="B7975">
        <f>IFERROR(__xludf.DUMMYFUNCTION("""COMPUTED_VALUE"""),3703778.0)</f>
        <v>3703778</v>
      </c>
      <c r="C7975" t="str">
        <f>IFERROR(__xludf.DUMMYFUNCTION("""COMPUTED_VALUE"""),"Introducción al mundo de la Inteligencia Artificial")</f>
        <v>Introducción al mundo de la Inteligencia Artificial</v>
      </c>
    </row>
    <row r="7976">
      <c r="A7976" s="140" t="str">
        <f>IFERROR(__xludf.DUMMYFUNCTION("""COMPUTED_VALUE"""),"en")</f>
        <v>en</v>
      </c>
      <c r="B7976">
        <f>IFERROR(__xludf.DUMMYFUNCTION("""COMPUTED_VALUE"""),1910702.0)</f>
        <v>1910702</v>
      </c>
      <c r="C7976" t="str">
        <f>IFERROR(__xludf.DUMMYFUNCTION("""COMPUTED_VALUE"""),"RESTful Web Services with Spring Framework - A quick start")</f>
        <v>RESTful Web Services with Spring Framework - A quick start</v>
      </c>
    </row>
    <row r="7977">
      <c r="A7977" s="140" t="str">
        <f>IFERROR(__xludf.DUMMYFUNCTION("""COMPUTED_VALUE"""),"fr")</f>
        <v>fr</v>
      </c>
      <c r="B7977">
        <f>IFERROR(__xludf.DUMMYFUNCTION("""COMPUTED_VALUE"""),923094.0)</f>
        <v>923094</v>
      </c>
      <c r="C7977" t="str">
        <f>IFERROR(__xludf.DUMMYFUNCTION("""COMPUTED_VALUE"""),"Communiquer efficacement avec la Process Com - G. Collignon")</f>
        <v>Communiquer efficacement avec la Process Com - G. Collignon</v>
      </c>
    </row>
    <row r="7978">
      <c r="A7978" s="140" t="str">
        <f>IFERROR(__xludf.DUMMYFUNCTION("""COMPUTED_VALUE"""),"ja")</f>
        <v>ja</v>
      </c>
      <c r="B7978">
        <f>IFERROR(__xludf.DUMMYFUNCTION("""COMPUTED_VALUE"""),3488786.0)</f>
        <v>3488786</v>
      </c>
      <c r="C7978" t="str">
        <f>IFERROR(__xludf.DUMMYFUNCTION("""COMPUTED_VALUE"""),"【Nocode】1時間半でBubbleの基礎を学ぼう")</f>
        <v>【Nocode】1時間半でBubbleの基礎を学ぼう</v>
      </c>
    </row>
    <row r="7979">
      <c r="A7979" s="140" t="str">
        <f>IFERROR(__xludf.DUMMYFUNCTION("""COMPUTED_VALUE"""),"fr")</f>
        <v>fr</v>
      </c>
      <c r="B7979">
        <f>IFERROR(__xludf.DUMMYFUNCTION("""COMPUTED_VALUE"""),2366776.0)</f>
        <v>2366776</v>
      </c>
      <c r="C7979" t="str">
        <f>IFERROR(__xludf.DUMMYFUNCTION("""COMPUTED_VALUE"""),"Google My Business : Le Guide Complet pour bien démarrer")</f>
        <v>Google My Business : Le Guide Complet pour bien démarrer</v>
      </c>
    </row>
    <row r="7980">
      <c r="A7980" s="140" t="str">
        <f>IFERROR(__xludf.DUMMYFUNCTION("""COMPUTED_VALUE"""),"en")</f>
        <v>en</v>
      </c>
      <c r="B7980">
        <f>IFERROR(__xludf.DUMMYFUNCTION("""COMPUTED_VALUE"""),781502.0)</f>
        <v>781502</v>
      </c>
      <c r="C7980" t="str">
        <f>IFERROR(__xludf.DUMMYFUNCTION("""COMPUTED_VALUE"""),"The Complete Python &amp; PostgreSQL Developer Course")</f>
        <v>The Complete Python &amp; PostgreSQL Developer Course</v>
      </c>
    </row>
    <row r="7981">
      <c r="A7981" s="140" t="str">
        <f>IFERROR(__xludf.DUMMYFUNCTION("""COMPUTED_VALUE"""),"pt")</f>
        <v>pt</v>
      </c>
      <c r="B7981">
        <f>IFERROR(__xludf.DUMMYFUNCTION("""COMPUTED_VALUE"""),2355092.0)</f>
        <v>2355092</v>
      </c>
      <c r="C7981" t="str">
        <f>IFERROR(__xludf.DUMMYFUNCTION("""COMPUTED_VALUE"""),"Guia completo para incluir pessoas com deficiência")</f>
        <v>Guia completo para incluir pessoas com deficiência</v>
      </c>
    </row>
    <row r="7982">
      <c r="A7982" s="140" t="str">
        <f>IFERROR(__xludf.DUMMYFUNCTION("""COMPUTED_VALUE"""),"pt")</f>
        <v>pt</v>
      </c>
      <c r="B7982">
        <f>IFERROR(__xludf.DUMMYFUNCTION("""COMPUTED_VALUE"""),2246658.0)</f>
        <v>2246658</v>
      </c>
      <c r="C7982" t="str">
        <f>IFERROR(__xludf.DUMMYFUNCTION("""COMPUTED_VALUE"""),"Samba4.13 e Debian 10 + AD + GPO + File Server + samba-tool")</f>
        <v>Samba4.13 e Debian 10 + AD + GPO + File Server + samba-tool</v>
      </c>
    </row>
    <row r="7983">
      <c r="A7983" s="140" t="str">
        <f>IFERROR(__xludf.DUMMYFUNCTION("""COMPUTED_VALUE"""),"en")</f>
        <v>en</v>
      </c>
      <c r="B7983">
        <f>IFERROR(__xludf.DUMMYFUNCTION("""COMPUTED_VALUE"""),2962824.0)</f>
        <v>2962824</v>
      </c>
      <c r="C7983" t="str">
        <f>IFERROR(__xludf.DUMMYFUNCTION("""COMPUTED_VALUE"""),"Phase Lock Loop System Design Theory and Principles RAHRF469")</f>
        <v>Phase Lock Loop System Design Theory and Principles RAHRF469</v>
      </c>
    </row>
    <row r="7984">
      <c r="A7984" s="140" t="str">
        <f>IFERROR(__xludf.DUMMYFUNCTION("""COMPUTED_VALUE"""),"es")</f>
        <v>es</v>
      </c>
      <c r="B7984">
        <f>IFERROR(__xludf.DUMMYFUNCTION("""COMPUTED_VALUE"""),2174436.0)</f>
        <v>2174436</v>
      </c>
      <c r="C7984" t="str">
        <f>IFERROR(__xludf.DUMMYFUNCTION("""COMPUTED_VALUE"""),"Desarrolla Sistemas en Visual Basic.Net, 4 capas, SQL Server")</f>
        <v>Desarrolla Sistemas en Visual Basic.Net, 4 capas, SQL Server</v>
      </c>
    </row>
    <row r="7985">
      <c r="A7985" s="140" t="str">
        <f>IFERROR(__xludf.DUMMYFUNCTION("""COMPUTED_VALUE"""),"es")</f>
        <v>es</v>
      </c>
      <c r="B7985">
        <f>IFERROR(__xludf.DUMMYFUNCTION("""COMPUTED_VALUE"""),209916.0)</f>
        <v>209916</v>
      </c>
      <c r="C7985" t="str">
        <f>IFERROR(__xludf.DUMMYFUNCTION("""COMPUTED_VALUE"""),"Tableau Desktop y Tableau Prep desde cero")</f>
        <v>Tableau Desktop y Tableau Prep desde cero</v>
      </c>
    </row>
    <row r="7986">
      <c r="A7986" s="140" t="str">
        <f>IFERROR(__xludf.DUMMYFUNCTION("""COMPUTED_VALUE"""),"pt")</f>
        <v>pt</v>
      </c>
      <c r="B7986">
        <f>IFERROR(__xludf.DUMMYFUNCTION("""COMPUTED_VALUE"""),2509276.0)</f>
        <v>2509276</v>
      </c>
      <c r="C7986" t="str">
        <f>IFERROR(__xludf.DUMMYFUNCTION("""COMPUTED_VALUE"""),"Influência, Persuasão e Liderança")</f>
        <v>Influência, Persuasão e Liderança</v>
      </c>
    </row>
    <row r="7987">
      <c r="A7987" s="140" t="str">
        <f>IFERROR(__xludf.DUMMYFUNCTION("""COMPUTED_VALUE"""),"en")</f>
        <v>en</v>
      </c>
      <c r="B7987">
        <f>IFERROR(__xludf.DUMMYFUNCTION("""COMPUTED_VALUE"""),1588808.0)</f>
        <v>1588808</v>
      </c>
      <c r="C7987" t="str">
        <f>IFERROR(__xludf.DUMMYFUNCTION("""COMPUTED_VALUE"""),"Powerful Growth Hacking Strategies &amp; Tools - 2021 +Checklist")</f>
        <v>Powerful Growth Hacking Strategies &amp; Tools - 2021 +Checklist</v>
      </c>
    </row>
    <row r="7988">
      <c r="A7988" s="140" t="str">
        <f>IFERROR(__xludf.DUMMYFUNCTION("""COMPUTED_VALUE"""),"fr")</f>
        <v>fr</v>
      </c>
      <c r="B7988">
        <f>IFERROR(__xludf.DUMMYFUNCTION("""COMPUTED_VALUE"""),2375834.0)</f>
        <v>2375834</v>
      </c>
      <c r="C7988" t="str">
        <f>IFERROR(__xludf.DUMMYFUNCTION("""COMPUTED_VALUE"""),"Formation complète Illustrator CC2019 à CC2021 (juin 2021)")</f>
        <v>Formation complète Illustrator CC2019 à CC2021 (juin 2021)</v>
      </c>
    </row>
    <row r="7989">
      <c r="A7989" s="140" t="str">
        <f>IFERROR(__xludf.DUMMYFUNCTION("""COMPUTED_VALUE"""),"es")</f>
        <v>es</v>
      </c>
      <c r="B7989">
        <f>IFERROR(__xludf.DUMMYFUNCTION("""COMPUTED_VALUE"""),1947076.0)</f>
        <v>1947076</v>
      </c>
      <c r="C7989" t="str">
        <f>IFERROR(__xludf.DUMMYFUNCTION("""COMPUTED_VALUE"""),"Forense Informático Avanzado RFC - Bajo entornos Windows")</f>
        <v>Forense Informático Avanzado RFC - Bajo entornos Windows</v>
      </c>
    </row>
    <row r="7990">
      <c r="A7990" s="140" t="str">
        <f>IFERROR(__xludf.DUMMYFUNCTION("""COMPUTED_VALUE"""),"en")</f>
        <v>en</v>
      </c>
      <c r="B7990">
        <f>IFERROR(__xludf.DUMMYFUNCTION("""COMPUTED_VALUE"""),1219332.0)</f>
        <v>1219332</v>
      </c>
      <c r="C7990" t="str">
        <f>IFERROR(__xludf.DUMMYFUNCTION("""COMPUTED_VALUE"""),"Artificial Intelligence A-Z™: Learn How To Build An AI")</f>
        <v>Artificial Intelligence A-Z™: Learn How To Build An AI</v>
      </c>
    </row>
    <row r="7991">
      <c r="A7991" s="140" t="str">
        <f>IFERROR(__xludf.DUMMYFUNCTION("""COMPUTED_VALUE"""),"fr")</f>
        <v>fr</v>
      </c>
      <c r="B7991">
        <f>IFERROR(__xludf.DUMMYFUNCTION("""COMPUTED_VALUE"""),1420198.0)</f>
        <v>1420198</v>
      </c>
      <c r="C7991" t="str">
        <f>IFERROR(__xludf.DUMMYFUNCTION("""COMPUTED_VALUE"""),"Formation Création de Jeux Vidéo - Unreal Engine 4 avec NICO")</f>
        <v>Formation Création de Jeux Vidéo - Unreal Engine 4 avec NICO</v>
      </c>
    </row>
    <row r="7992">
      <c r="A7992" s="140" t="str">
        <f>IFERROR(__xludf.DUMMYFUNCTION("""COMPUTED_VALUE"""),"en")</f>
        <v>en</v>
      </c>
      <c r="B7992">
        <f>IFERROR(__xludf.DUMMYFUNCTION("""COMPUTED_VALUE"""),2651072.0)</f>
        <v>2651072</v>
      </c>
      <c r="C7992" t="str">
        <f>IFERROR(__xludf.DUMMYFUNCTION("""COMPUTED_VALUE"""),"The Ultimate Drawing Masterclass: Start Drawing Better Today")</f>
        <v>The Ultimate Drawing Masterclass: Start Drawing Better Today</v>
      </c>
    </row>
    <row r="7993">
      <c r="A7993" s="140" t="str">
        <f>IFERROR(__xludf.DUMMYFUNCTION("""COMPUTED_VALUE"""),"en")</f>
        <v>en</v>
      </c>
      <c r="B7993">
        <f>IFERROR(__xludf.DUMMYFUNCTION("""COMPUTED_VALUE"""),1980824.0)</f>
        <v>1980824</v>
      </c>
      <c r="C7993" t="str">
        <f>IFERROR(__xludf.DUMMYFUNCTION("""COMPUTED_VALUE"""),"Getting started with WebAssembly &amp; Emscripten")</f>
        <v>Getting started with WebAssembly &amp; Emscripten</v>
      </c>
    </row>
    <row r="7994">
      <c r="A7994" s="140" t="str">
        <f>IFERROR(__xludf.DUMMYFUNCTION("""COMPUTED_VALUE"""),"fr")</f>
        <v>fr</v>
      </c>
      <c r="B7994">
        <f>IFERROR(__xludf.DUMMYFUNCTION("""COMPUTED_VALUE"""),2008662.0)</f>
        <v>2008662</v>
      </c>
      <c r="C7994" t="str">
        <f>IFERROR(__xludf.DUMMYFUNCTION("""COMPUTED_VALUE"""),"Le scalping avec Ichimoku")</f>
        <v>Le scalping avec Ichimoku</v>
      </c>
    </row>
    <row r="7995">
      <c r="A7995" s="140" t="str">
        <f>IFERROR(__xludf.DUMMYFUNCTION("""COMPUTED_VALUE"""),"en")</f>
        <v>en</v>
      </c>
      <c r="B7995">
        <f>IFERROR(__xludf.DUMMYFUNCTION("""COMPUTED_VALUE"""),1198528.0)</f>
        <v>1198528</v>
      </c>
      <c r="C7995" t="str">
        <f>IFERROR(__xludf.DUMMYFUNCTION("""COMPUTED_VALUE"""),"Create HUD graphics in After Effects and Illustrator")</f>
        <v>Create HUD graphics in After Effects and Illustrator</v>
      </c>
    </row>
    <row r="7996">
      <c r="A7996" s="140" t="str">
        <f>IFERROR(__xludf.DUMMYFUNCTION("""COMPUTED_VALUE"""),"en")</f>
        <v>en</v>
      </c>
      <c r="B7996">
        <f>IFERROR(__xludf.DUMMYFUNCTION("""COMPUTED_VALUE"""),2981704.0)</f>
        <v>2981704</v>
      </c>
      <c r="C7996" t="str">
        <f>IFERROR(__xludf.DUMMYFUNCTION("""COMPUTED_VALUE"""),"AWS Certified Developer Associate Practice Exam Questions")</f>
        <v>AWS Certified Developer Associate Practice Exam Questions</v>
      </c>
    </row>
    <row r="7997">
      <c r="A7997" s="140" t="str">
        <f>IFERROR(__xludf.DUMMYFUNCTION("""COMPUTED_VALUE"""),"en")</f>
        <v>en</v>
      </c>
      <c r="B7997">
        <f>IFERROR(__xludf.DUMMYFUNCTION("""COMPUTED_VALUE"""),2094130.0)</f>
        <v>2094130</v>
      </c>
      <c r="C7997" t="str">
        <f>IFERROR(__xludf.DUMMYFUNCTION("""COMPUTED_VALUE"""),"Deploy Serverless Machine Learning Models to AWS Lambda")</f>
        <v>Deploy Serverless Machine Learning Models to AWS Lambda</v>
      </c>
    </row>
    <row r="7998">
      <c r="A7998" s="140" t="str">
        <f>IFERROR(__xludf.DUMMYFUNCTION("""COMPUTED_VALUE"""),"en")</f>
        <v>en</v>
      </c>
      <c r="B7998">
        <f>IFERROR(__xludf.DUMMYFUNCTION("""COMPUTED_VALUE"""),2446316.0)</f>
        <v>2446316</v>
      </c>
      <c r="C7998" t="str">
        <f>IFERROR(__xludf.DUMMYFUNCTION("""COMPUTED_VALUE"""),"Java Object Oriented Programming:OOPS OOAD &amp; Design Patterns")</f>
        <v>Java Object Oriented Programming:OOPS OOAD &amp; Design Patterns</v>
      </c>
    </row>
    <row r="7999">
      <c r="A7999" s="140" t="str">
        <f>IFERROR(__xludf.DUMMYFUNCTION("""COMPUTED_VALUE"""),"pt")</f>
        <v>pt</v>
      </c>
      <c r="B7999">
        <f>IFERROR(__xludf.DUMMYFUNCTION("""COMPUTED_VALUE"""),3046438.0)</f>
        <v>3046438</v>
      </c>
      <c r="C7999" t="str">
        <f>IFERROR(__xludf.DUMMYFUNCTION("""COMPUTED_VALUE"""),"Gestão Ágil com Microsoft Planner")</f>
        <v>Gestão Ágil com Microsoft Planner</v>
      </c>
    </row>
    <row r="8000">
      <c r="A8000" s="140" t="str">
        <f>IFERROR(__xludf.DUMMYFUNCTION("""COMPUTED_VALUE"""),"pt")</f>
        <v>pt</v>
      </c>
      <c r="B8000">
        <f>IFERROR(__xludf.DUMMYFUNCTION("""COMPUTED_VALUE"""),2664838.0)</f>
        <v>2664838</v>
      </c>
      <c r="C8000" t="str">
        <f>IFERROR(__xludf.DUMMYFUNCTION("""COMPUTED_VALUE"""),"Curso de Adobe Photoshop 2020 e 2021 : do Zero ao Avançado")</f>
        <v>Curso de Adobe Photoshop 2020 e 2021 : do Zero ao Avançado</v>
      </c>
    </row>
    <row r="8001">
      <c r="A8001" s="140" t="str">
        <f>IFERROR(__xludf.DUMMYFUNCTION("""COMPUTED_VALUE"""),"en")</f>
        <v>en</v>
      </c>
      <c r="B8001">
        <f>IFERROR(__xludf.DUMMYFUNCTION("""COMPUTED_VALUE"""),2582814.0)</f>
        <v>2582814</v>
      </c>
      <c r="C8001" t="str">
        <f>IFERROR(__xludf.DUMMYFUNCTION("""COMPUTED_VALUE"""),"3 Minute German - Course 5 | Language lessons for beginners")</f>
        <v>3 Minute German - Course 5 | Language lessons for beginners</v>
      </c>
    </row>
    <row r="8002">
      <c r="A8002" s="140" t="str">
        <f>IFERROR(__xludf.DUMMYFUNCTION("""COMPUTED_VALUE"""),"ko")</f>
        <v>ko</v>
      </c>
      <c r="B8002">
        <f>IFERROR(__xludf.DUMMYFUNCTION("""COMPUTED_VALUE"""),2871084.0)</f>
        <v>2871084</v>
      </c>
      <c r="C8002" t="str">
        <f>IFERROR(__xludf.DUMMYFUNCTION("""COMPUTED_VALUE"""),"SPSS 보다 쉬운 R")</f>
        <v>SPSS 보다 쉬운 R</v>
      </c>
    </row>
    <row r="8003">
      <c r="A8003" s="140" t="str">
        <f>IFERROR(__xludf.DUMMYFUNCTION("""COMPUTED_VALUE"""),"fr")</f>
        <v>fr</v>
      </c>
      <c r="B8003">
        <f>IFERROR(__xludf.DUMMYFUNCTION("""COMPUTED_VALUE"""),2059223.0)</f>
        <v>2059223</v>
      </c>
      <c r="C8003" t="str">
        <f>IFERROR(__xludf.DUMMYFUNCTION("""COMPUTED_VALUE"""),"Le langage Go | Formation complète")</f>
        <v>Le langage Go | Formation complète</v>
      </c>
    </row>
    <row r="8004">
      <c r="A8004" s="140" t="str">
        <f>IFERROR(__xludf.DUMMYFUNCTION("""COMPUTED_VALUE"""),"es")</f>
        <v>es</v>
      </c>
      <c r="B8004">
        <f>IFERROR(__xludf.DUMMYFUNCTION("""COMPUTED_VALUE"""),1438222.0)</f>
        <v>1438222</v>
      </c>
      <c r="C8004" t="str">
        <f>IFERROR(__xludf.DUMMYFUNCTION("""COMPUTED_VALUE"""),"Master en PHP, SQL, POO, MVC, Laravel, Symfony, WordPress +")</f>
        <v>Master en PHP, SQL, POO, MVC, Laravel, Symfony, WordPress +</v>
      </c>
    </row>
    <row r="8005">
      <c r="A8005" s="140" t="str">
        <f>IFERROR(__xludf.DUMMYFUNCTION("""COMPUTED_VALUE"""),"en")</f>
        <v>en</v>
      </c>
      <c r="B8005">
        <f>IFERROR(__xludf.DUMMYFUNCTION("""COMPUTED_VALUE"""),593202.0)</f>
        <v>593202</v>
      </c>
      <c r="C8005" t="str">
        <f>IFERROR(__xludf.DUMMYFUNCTION("""COMPUTED_VALUE"""),"Salesforce Certification: Service Cloud Rapid Exam Prep")</f>
        <v>Salesforce Certification: Service Cloud Rapid Exam Prep</v>
      </c>
    </row>
    <row r="8006">
      <c r="A8006" s="140" t="str">
        <f>IFERROR(__xludf.DUMMYFUNCTION("""COMPUTED_VALUE"""),"en")</f>
        <v>en</v>
      </c>
      <c r="B8006">
        <f>IFERROR(__xludf.DUMMYFUNCTION("""COMPUTED_VALUE"""),490610.0)</f>
        <v>490610</v>
      </c>
      <c r="C8006" t="str">
        <f>IFERROR(__xludf.DUMMYFUNCTION("""COMPUTED_VALUE"""),"Navigate &amp; Respect Age, Ethnic &amp; Racial Differences")</f>
        <v>Navigate &amp; Respect Age, Ethnic &amp; Racial Differences</v>
      </c>
    </row>
    <row r="8007">
      <c r="A8007" s="140" t="str">
        <f>IFERROR(__xludf.DUMMYFUNCTION("""COMPUTED_VALUE"""),"en")</f>
        <v>en</v>
      </c>
      <c r="B8007">
        <f>IFERROR(__xludf.DUMMYFUNCTION("""COMPUTED_VALUE"""),660922.0)</f>
        <v>660922</v>
      </c>
      <c r="C8007" t="str">
        <f>IFERROR(__xludf.DUMMYFUNCTION("""COMPUTED_VALUE"""),"Microsoft Excel 2016 for Beginners: Master the Essentials")</f>
        <v>Microsoft Excel 2016 for Beginners: Master the Essentials</v>
      </c>
    </row>
    <row r="8008">
      <c r="A8008" s="140" t="str">
        <f>IFERROR(__xludf.DUMMYFUNCTION("""COMPUTED_VALUE"""),"en")</f>
        <v>en</v>
      </c>
      <c r="B8008">
        <f>IFERROR(__xludf.DUMMYFUNCTION("""COMPUTED_VALUE"""),1330246.0)</f>
        <v>1330246</v>
      </c>
      <c r="C8008" t="str">
        <f>IFERROR(__xludf.DUMMYFUNCTION("""COMPUTED_VALUE"""),"TensorFlow 101: Introduction to Deep Learning")</f>
        <v>TensorFlow 101: Introduction to Deep Learning</v>
      </c>
    </row>
    <row r="8009">
      <c r="A8009" s="140" t="str">
        <f>IFERROR(__xludf.DUMMYFUNCTION("""COMPUTED_VALUE"""),"en")</f>
        <v>en</v>
      </c>
      <c r="B8009">
        <f>IFERROR(__xludf.DUMMYFUNCTION("""COMPUTED_VALUE"""),1365728.0)</f>
        <v>1365728</v>
      </c>
      <c r="C8009" t="str">
        <f>IFERROR(__xludf.DUMMYFUNCTION("""COMPUTED_VALUE"""),"Alteryx: Real-Life Exercises For Data Analytics!")</f>
        <v>Alteryx: Real-Life Exercises For Data Analytics!</v>
      </c>
    </row>
    <row r="8010">
      <c r="A8010" s="140" t="str">
        <f>IFERROR(__xludf.DUMMYFUNCTION("""COMPUTED_VALUE"""),"ar")</f>
        <v>ar</v>
      </c>
      <c r="B8010">
        <f>IFERROR(__xludf.DUMMYFUNCTION("""COMPUTED_VALUE"""),3623156.0)</f>
        <v>3623156</v>
      </c>
      <c r="C8010" t="str">
        <f>IFERROR(__xludf.DUMMYFUNCTION("""COMPUTED_VALUE"""),"الكورس الشامل لاحتراف الوورد")</f>
        <v>الكورس الشامل لاحتراف الوورد</v>
      </c>
    </row>
    <row r="8011">
      <c r="A8011" s="140" t="str">
        <f>IFERROR(__xludf.DUMMYFUNCTION("""COMPUTED_VALUE"""),"en")</f>
        <v>en</v>
      </c>
      <c r="B8011">
        <f>IFERROR(__xludf.DUMMYFUNCTION("""COMPUTED_VALUE"""),1304834.0)</f>
        <v>1304834</v>
      </c>
      <c r="C8011" t="str">
        <f>IFERROR(__xludf.DUMMYFUNCTION("""COMPUTED_VALUE"""),"CompTIA Network+ (N10-007) 6 Practice Exams and Simulations")</f>
        <v>CompTIA Network+ (N10-007) 6 Practice Exams and Simulations</v>
      </c>
    </row>
    <row r="8012">
      <c r="A8012" s="140" t="str">
        <f>IFERROR(__xludf.DUMMYFUNCTION("""COMPUTED_VALUE"""),"ja")</f>
        <v>ja</v>
      </c>
      <c r="B8012">
        <f>IFERROR(__xludf.DUMMYFUNCTION("""COMPUTED_VALUE"""),4055678.0)</f>
        <v>4055678</v>
      </c>
      <c r="C8012" t="str">
        <f>IFERROR(__xludf.DUMMYFUNCTION("""COMPUTED_VALUE"""),"作りながら覚える AWS CLI 入門講座")</f>
        <v>作りながら覚える AWS CLI 入門講座</v>
      </c>
    </row>
    <row r="8013">
      <c r="A8013" s="140" t="str">
        <f>IFERROR(__xludf.DUMMYFUNCTION("""COMPUTED_VALUE"""),"en")</f>
        <v>en</v>
      </c>
      <c r="B8013">
        <f>IFERROR(__xludf.DUMMYFUNCTION("""COMPUTED_VALUE"""),1850832.0)</f>
        <v>1850832</v>
      </c>
      <c r="C8013" t="str">
        <f>IFERROR(__xludf.DUMMYFUNCTION("""COMPUTED_VALUE"""),"Application Packaging Training")</f>
        <v>Application Packaging Training</v>
      </c>
    </row>
    <row r="8014">
      <c r="A8014" s="140" t="str">
        <f>IFERROR(__xludf.DUMMYFUNCTION("""COMPUTED_VALUE"""),"ja")</f>
        <v>ja</v>
      </c>
      <c r="B8014">
        <f>IFERROR(__xludf.DUMMYFUNCTION("""COMPUTED_VALUE"""),3981576.0)</f>
        <v>3981576</v>
      </c>
      <c r="C8014" t="str">
        <f>IFERROR(__xludf.DUMMYFUNCTION("""COMPUTED_VALUE"""),"Windowsで始める業務自動化大全〜Power Automate Desktop 超入門〜")</f>
        <v>Windowsで始める業務自動化大全〜Power Automate Desktop 超入門〜</v>
      </c>
    </row>
    <row r="8015">
      <c r="A8015" s="140" t="str">
        <f>IFERROR(__xludf.DUMMYFUNCTION("""COMPUTED_VALUE"""),"en")</f>
        <v>en</v>
      </c>
      <c r="B8015">
        <f>IFERROR(__xludf.DUMMYFUNCTION("""COMPUTED_VALUE"""),484366.0)</f>
        <v>484366</v>
      </c>
      <c r="C8015" t="str">
        <f>IFERROR(__xludf.DUMMYFUNCTION("""COMPUTED_VALUE"""),"Manage Workplace Stress &amp; Strike a Balance")</f>
        <v>Manage Workplace Stress &amp; Strike a Balance</v>
      </c>
    </row>
    <row r="8016">
      <c r="A8016" s="140" t="str">
        <f>IFERROR(__xludf.DUMMYFUNCTION("""COMPUTED_VALUE"""),"en")</f>
        <v>en</v>
      </c>
      <c r="B8016">
        <f>IFERROR(__xludf.DUMMYFUNCTION("""COMPUTED_VALUE"""),622466.0)</f>
        <v>622466</v>
      </c>
      <c r="C8016" t="str">
        <f>IFERROR(__xludf.DUMMYFUNCTION("""COMPUTED_VALUE"""),"Salesforce Development Training for Beginners")</f>
        <v>Salesforce Development Training for Beginners</v>
      </c>
    </row>
    <row r="8017">
      <c r="A8017" s="140" t="str">
        <f>IFERROR(__xludf.DUMMYFUNCTION("""COMPUTED_VALUE"""),"pt")</f>
        <v>pt</v>
      </c>
      <c r="B8017">
        <f>IFERROR(__xludf.DUMMYFUNCTION("""COMPUTED_VALUE"""),2177554.0)</f>
        <v>2177554</v>
      </c>
      <c r="C8017" t="str">
        <f>IFERROR(__xludf.DUMMYFUNCTION("""COMPUTED_VALUE"""),"Gestão de Logística e Supply Chain")</f>
        <v>Gestão de Logística e Supply Chain</v>
      </c>
    </row>
    <row r="8018">
      <c r="A8018" s="140" t="str">
        <f>IFERROR(__xludf.DUMMYFUNCTION("""COMPUTED_VALUE"""),"ja")</f>
        <v>ja</v>
      </c>
      <c r="B8018">
        <f>IFERROR(__xludf.DUMMYFUNCTION("""COMPUTED_VALUE"""),3237253.0)</f>
        <v>3237253</v>
      </c>
      <c r="C8018" t="str">
        <f>IFERROR(__xludf.DUMMYFUNCTION("""COMPUTED_VALUE"""),"誰でもかんたんに学べるUI/UX改善をするためのコトハジメ｜良いUI/UXを生み出すためのプロセスを学ぶことができる！")</f>
        <v>誰でもかんたんに学べるUI/UX改善をするためのコトハジメ｜良いUI/UXを生み出すためのプロセスを学ぶことができる！</v>
      </c>
    </row>
    <row r="8019">
      <c r="A8019" s="140" t="str">
        <f>IFERROR(__xludf.DUMMYFUNCTION("""COMPUTED_VALUE"""),"en")</f>
        <v>en</v>
      </c>
      <c r="B8019">
        <f>IFERROR(__xludf.DUMMYFUNCTION("""COMPUTED_VALUE"""),693700.0)</f>
        <v>693700</v>
      </c>
      <c r="C8019" t="str">
        <f>IFERROR(__xludf.DUMMYFUNCTION("""COMPUTED_VALUE"""),"[NEW] Complete Salesforce Administrator Certification Course")</f>
        <v>[NEW] Complete Salesforce Administrator Certification Course</v>
      </c>
    </row>
    <row r="8020">
      <c r="A8020" s="140" t="str">
        <f>IFERROR(__xludf.DUMMYFUNCTION("""COMPUTED_VALUE"""),"pt")</f>
        <v>pt</v>
      </c>
      <c r="B8020">
        <f>IFERROR(__xludf.DUMMYFUNCTION("""COMPUTED_VALUE"""),1197506.0)</f>
        <v>1197506</v>
      </c>
      <c r="C8020" t="str">
        <f>IFERROR(__xludf.DUMMYFUNCTION("""COMPUTED_VALUE"""),"Inteligência Artificial: Algoritmos Inteligentes de Busca")</f>
        <v>Inteligência Artificial: Algoritmos Inteligentes de Busca</v>
      </c>
    </row>
    <row r="8021">
      <c r="A8021" s="140" t="str">
        <f>IFERROR(__xludf.DUMMYFUNCTION("""COMPUTED_VALUE"""),"en")</f>
        <v>en</v>
      </c>
      <c r="B8021">
        <f>IFERROR(__xludf.DUMMYFUNCTION("""COMPUTED_VALUE"""),3803376.0)</f>
        <v>3803376</v>
      </c>
      <c r="C8021" t="str">
        <f>IFERROR(__xludf.DUMMYFUNCTION("""COMPUTED_VALUE"""),"Java 7 &amp; Java 8 new features with Lambdas &amp; Streams")</f>
        <v>Java 7 &amp; Java 8 new features with Lambdas &amp; Streams</v>
      </c>
    </row>
    <row r="8022">
      <c r="A8022" s="140" t="str">
        <f>IFERROR(__xludf.DUMMYFUNCTION("""COMPUTED_VALUE"""),"en")</f>
        <v>en</v>
      </c>
      <c r="B8022">
        <f>IFERROR(__xludf.DUMMYFUNCTION("""COMPUTED_VALUE"""),3442782.0)</f>
        <v>3442782</v>
      </c>
      <c r="C8022" t="str">
        <f>IFERROR(__xludf.DUMMYFUNCTION("""COMPUTED_VALUE"""),"Front End Web Development: Complete Guide (Step by Step)")</f>
        <v>Front End Web Development: Complete Guide (Step by Step)</v>
      </c>
    </row>
    <row r="8023">
      <c r="A8023" s="140" t="str">
        <f>IFERROR(__xludf.DUMMYFUNCTION("""COMPUTED_VALUE"""),"es")</f>
        <v>es</v>
      </c>
      <c r="B8023">
        <f>IFERROR(__xludf.DUMMYFUNCTION("""COMPUTED_VALUE"""),2658960.0)</f>
        <v>2658960</v>
      </c>
      <c r="C8023" t="str">
        <f>IFERROR(__xludf.DUMMYFUNCTION("""COMPUTED_VALUE"""),"CodeIgniter 4 desde cero + integración con Bootstrap 4 o 5")</f>
        <v>CodeIgniter 4 desde cero + integración con Bootstrap 4 o 5</v>
      </c>
    </row>
    <row r="8024">
      <c r="A8024" s="140" t="str">
        <f>IFERROR(__xludf.DUMMYFUNCTION("""COMPUTED_VALUE"""),"en")</f>
        <v>en</v>
      </c>
      <c r="B8024">
        <f>IFERROR(__xludf.DUMMYFUNCTION("""COMPUTED_VALUE"""),945766.0)</f>
        <v>945766</v>
      </c>
      <c r="C8024" t="str">
        <f>IFERROR(__xludf.DUMMYFUNCTION("""COMPUTED_VALUE"""),"Innovative Growth Strategy: A Beginner's Guide")</f>
        <v>Innovative Growth Strategy: A Beginner's Guide</v>
      </c>
    </row>
    <row r="8025">
      <c r="A8025" s="140" t="str">
        <f>IFERROR(__xludf.DUMMYFUNCTION("""COMPUTED_VALUE"""),"es")</f>
        <v>es</v>
      </c>
      <c r="B8025">
        <f>IFERROR(__xludf.DUMMYFUNCTION("""COMPUTED_VALUE"""),2223618.0)</f>
        <v>2223618</v>
      </c>
      <c r="C8025" t="str">
        <f>IFERROR(__xludf.DUMMYFUNCTION("""COMPUTED_VALUE"""),"Excel Masterclass: Nivel 1 - Básico")</f>
        <v>Excel Masterclass: Nivel 1 - Básico</v>
      </c>
    </row>
    <row r="8026">
      <c r="A8026" s="140" t="str">
        <f>IFERROR(__xludf.DUMMYFUNCTION("""COMPUTED_VALUE"""),"en")</f>
        <v>en</v>
      </c>
      <c r="B8026">
        <f>IFERROR(__xludf.DUMMYFUNCTION("""COMPUTED_VALUE"""),3928284.0)</f>
        <v>3928284</v>
      </c>
      <c r="C8026" t="str">
        <f>IFERROR(__xludf.DUMMYFUNCTION("""COMPUTED_VALUE"""),"OCP Java SE 11 Developer 1Z0-819 Practice Exams new 2021!")</f>
        <v>OCP Java SE 11 Developer 1Z0-819 Practice Exams new 2021!</v>
      </c>
    </row>
    <row r="8027">
      <c r="A8027" s="140" t="str">
        <f>IFERROR(__xludf.DUMMYFUNCTION("""COMPUTED_VALUE"""),"ja")</f>
        <v>ja</v>
      </c>
      <c r="B8027">
        <f>IFERROR(__xludf.DUMMYFUNCTION("""COMPUTED_VALUE"""),3951776.0)</f>
        <v>3951776</v>
      </c>
      <c r="C8027" t="str">
        <f>IFERROR(__xludf.DUMMYFUNCTION("""COMPUTED_VALUE"""),"Kaggleで始めるPython AI機械学習入門コース｜高評価現役講師が丁寧にレクチャー")</f>
        <v>Kaggleで始めるPython AI機械学習入門コース｜高評価現役講師が丁寧にレクチャー</v>
      </c>
    </row>
    <row r="8028">
      <c r="A8028" s="140" t="str">
        <f>IFERROR(__xludf.DUMMYFUNCTION("""COMPUTED_VALUE"""),"ja")</f>
        <v>ja</v>
      </c>
      <c r="B8028">
        <f>IFERROR(__xludf.DUMMYFUNCTION("""COMPUTED_VALUE"""),4014286.0)</f>
        <v>4014286</v>
      </c>
      <c r="C8028" t="str">
        <f>IFERROR(__xludf.DUMMYFUNCTION("""COMPUTED_VALUE"""),"ノーコード「Bubble」でメルカリを作る！  | アプリを収益化する方法を学べます")</f>
        <v>ノーコード「Bubble」でメルカリを作る！  | アプリを収益化する方法を学べます</v>
      </c>
    </row>
    <row r="8029">
      <c r="A8029" s="140" t="str">
        <f>IFERROR(__xludf.DUMMYFUNCTION("""COMPUTED_VALUE"""),"en")</f>
        <v>en</v>
      </c>
      <c r="B8029">
        <f>IFERROR(__xludf.DUMMYFUNCTION("""COMPUTED_VALUE"""),3545764.0)</f>
        <v>3545764</v>
      </c>
      <c r="C8029" t="str">
        <f>IFERROR(__xludf.DUMMYFUNCTION("""COMPUTED_VALUE"""),"AWS Certification - Cloud Practitioner - 2021")</f>
        <v>AWS Certification - Cloud Practitioner - 2021</v>
      </c>
    </row>
    <row r="8030">
      <c r="A8030" s="140" t="str">
        <f>IFERROR(__xludf.DUMMYFUNCTION("""COMPUTED_VALUE"""),"en")</f>
        <v>en</v>
      </c>
      <c r="B8030">
        <f>IFERROR(__xludf.DUMMYFUNCTION("""COMPUTED_VALUE"""),3749280.0)</f>
        <v>3749280</v>
      </c>
      <c r="C8030" t="str">
        <f>IFERROR(__xludf.DUMMYFUNCTION("""COMPUTED_VALUE"""),"The Analytics Translator - Data Science Career")</f>
        <v>The Analytics Translator - Data Science Career</v>
      </c>
    </row>
    <row r="8031">
      <c r="A8031" s="140" t="str">
        <f>IFERROR(__xludf.DUMMYFUNCTION("""COMPUTED_VALUE"""),"en")</f>
        <v>en</v>
      </c>
      <c r="B8031">
        <f>IFERROR(__xludf.DUMMYFUNCTION("""COMPUTED_VALUE"""),1614078.0)</f>
        <v>1614078</v>
      </c>
      <c r="C8031" t="str">
        <f>IFERROR(__xludf.DUMMYFUNCTION("""COMPUTED_VALUE"""),"Cisco CCNA Packet Tracer Ultimate labs: ICND2 Exam prep labs")</f>
        <v>Cisco CCNA Packet Tracer Ultimate labs: ICND2 Exam prep labs</v>
      </c>
    </row>
    <row r="8032">
      <c r="A8032" s="140" t="str">
        <f>IFERROR(__xludf.DUMMYFUNCTION("""COMPUTED_VALUE"""),"pt")</f>
        <v>pt</v>
      </c>
      <c r="B8032">
        <f>IFERROR(__xludf.DUMMYFUNCTION("""COMPUTED_VALUE"""),1944254.0)</f>
        <v>1944254</v>
      </c>
      <c r="C8032" t="str">
        <f>IFERROR(__xludf.DUMMYFUNCTION("""COMPUTED_VALUE"""),"Curso de Aprofundamento em Probabilidade e Estatística")</f>
        <v>Curso de Aprofundamento em Probabilidade e Estatística</v>
      </c>
    </row>
    <row r="8033">
      <c r="A8033" s="140" t="str">
        <f>IFERROR(__xludf.DUMMYFUNCTION("""COMPUTED_VALUE"""),"en")</f>
        <v>en</v>
      </c>
      <c r="B8033">
        <f>IFERROR(__xludf.DUMMYFUNCTION("""COMPUTED_VALUE"""),1641598.0)</f>
        <v>1641598</v>
      </c>
      <c r="C8033" t="str">
        <f>IFERROR(__xludf.DUMMYFUNCTION("""COMPUTED_VALUE"""),"iOS 12 Chat Application like WhatsApp and Viber")</f>
        <v>iOS 12 Chat Application like WhatsApp and Viber</v>
      </c>
    </row>
    <row r="8034">
      <c r="A8034" s="140" t="str">
        <f>IFERROR(__xludf.DUMMYFUNCTION("""COMPUTED_VALUE"""),"en")</f>
        <v>en</v>
      </c>
      <c r="B8034">
        <f>IFERROR(__xludf.DUMMYFUNCTION("""COMPUTED_VALUE"""),1144936.0)</f>
        <v>1144936</v>
      </c>
      <c r="C8034" t="str">
        <f>IFERROR(__xludf.DUMMYFUNCTION("""COMPUTED_VALUE"""),"Programming with Python : HandsOn Introduction for Beginners")</f>
        <v>Programming with Python : HandsOn Introduction for Beginners</v>
      </c>
    </row>
    <row r="8035">
      <c r="A8035" s="140" t="str">
        <f>IFERROR(__xludf.DUMMYFUNCTION("""COMPUTED_VALUE"""),"en")</f>
        <v>en</v>
      </c>
      <c r="B8035">
        <f>IFERROR(__xludf.DUMMYFUNCTION("""COMPUTED_VALUE"""),4134654.0)</f>
        <v>4134654</v>
      </c>
      <c r="C8035" t="str">
        <f>IFERROR(__xludf.DUMMYFUNCTION("""COMPUTED_VALUE"""),"Salesforce Release/Deployment Management - A Complete Guide")</f>
        <v>Salesforce Release/Deployment Management - A Complete Guide</v>
      </c>
    </row>
    <row r="8036">
      <c r="A8036" s="140" t="str">
        <f>IFERROR(__xludf.DUMMYFUNCTION("""COMPUTED_VALUE"""),"pt")</f>
        <v>pt</v>
      </c>
      <c r="B8036">
        <f>IFERROR(__xludf.DUMMYFUNCTION("""COMPUTED_VALUE"""),1053838.0)</f>
        <v>1053838</v>
      </c>
      <c r="C8036" t="str">
        <f>IFERROR(__xludf.DUMMYFUNCTION("""COMPUTED_VALUE"""),"Oracle Certified Associate (OCA) Java 8")</f>
        <v>Oracle Certified Associate (OCA) Java 8</v>
      </c>
    </row>
    <row r="8037">
      <c r="A8037" s="140" t="str">
        <f>IFERROR(__xludf.DUMMYFUNCTION("""COMPUTED_VALUE"""),"en")</f>
        <v>en</v>
      </c>
      <c r="B8037">
        <f>IFERROR(__xludf.DUMMYFUNCTION("""COMPUTED_VALUE"""),2524202.0)</f>
        <v>2524202</v>
      </c>
      <c r="C8037" t="str">
        <f>IFERROR(__xludf.DUMMYFUNCTION("""COMPUTED_VALUE"""),"Digital Marketing Agency | Social Media Marketing Business")</f>
        <v>Digital Marketing Agency | Social Media Marketing Business</v>
      </c>
    </row>
    <row r="8038">
      <c r="A8038" s="140" t="str">
        <f>IFERROR(__xludf.DUMMYFUNCTION("""COMPUTED_VALUE"""),"ja")</f>
        <v>ja</v>
      </c>
      <c r="B8038">
        <f>IFERROR(__xludf.DUMMYFUNCTION("""COMPUTED_VALUE"""),3814208.0)</f>
        <v>3814208</v>
      </c>
      <c r="C8038" t="str">
        <f>IFERROR(__xludf.DUMMYFUNCTION("""COMPUTED_VALUE"""),"もう絶対に忘れない Linux コマンド【Linux 100本ノック+名前の由来+丁寧な解説で、長期記憶に焼き付けろ！】")</f>
        <v>もう絶対に忘れない Linux コマンド【Linux 100本ノック+名前の由来+丁寧な解説で、長期記憶に焼き付けろ！】</v>
      </c>
    </row>
    <row r="8039">
      <c r="A8039" s="140" t="str">
        <f>IFERROR(__xludf.DUMMYFUNCTION("""COMPUTED_VALUE"""),"en")</f>
        <v>en</v>
      </c>
      <c r="B8039">
        <f>IFERROR(__xludf.DUMMYFUNCTION("""COMPUTED_VALUE"""),631166.0)</f>
        <v>631166</v>
      </c>
      <c r="C8039" t="str">
        <f>IFERROR(__xludf.DUMMYFUNCTION("""COMPUTED_VALUE"""),"The Complete Dividend Investing Course (Updated 2021)")</f>
        <v>The Complete Dividend Investing Course (Updated 2021)</v>
      </c>
    </row>
    <row r="8040">
      <c r="A8040" s="140" t="str">
        <f>IFERROR(__xludf.DUMMYFUNCTION("""COMPUTED_VALUE"""),"es")</f>
        <v>es</v>
      </c>
      <c r="B8040">
        <f>IFERROR(__xludf.DUMMYFUNCTION("""COMPUTED_VALUE"""),1578570.0)</f>
        <v>1578570</v>
      </c>
      <c r="C8040" t="str">
        <f>IFERROR(__xludf.DUMMYFUNCTION("""COMPUTED_VALUE"""),"Canva: Diseño gráfico fácil y rápido para NO diseñadores")</f>
        <v>Canva: Diseño gráfico fácil y rápido para NO diseñadores</v>
      </c>
    </row>
    <row r="8041">
      <c r="A8041" s="140" t="str">
        <f>IFERROR(__xludf.DUMMYFUNCTION("""COMPUTED_VALUE"""),"tr")</f>
        <v>tr</v>
      </c>
      <c r="B8041">
        <f>IFERROR(__xludf.DUMMYFUNCTION("""COMPUTED_VALUE"""),2675808.0)</f>
        <v>2675808</v>
      </c>
      <c r="C8041" t="str">
        <f>IFERROR(__xludf.DUMMYFUNCTION("""COMPUTED_VALUE"""),"Makine Mühendisleri için Derin Öğrenme")</f>
        <v>Makine Mühendisleri için Derin Öğrenme</v>
      </c>
    </row>
    <row r="8042">
      <c r="A8042" s="140" t="str">
        <f>IFERROR(__xludf.DUMMYFUNCTION("""COMPUTED_VALUE"""),"tr")</f>
        <v>tr</v>
      </c>
      <c r="B8042">
        <f>IFERROR(__xludf.DUMMYFUNCTION("""COMPUTED_VALUE"""),2036578.0)</f>
        <v>2036578</v>
      </c>
      <c r="C8042" t="str">
        <f>IFERROR(__xludf.DUMMYFUNCTION("""COMPUTED_VALUE"""),"(55+ SAAT) Unity 2020,C#| Sıfırdan Unity ile 10 Oyun Projesi")</f>
        <v>(55+ SAAT) Unity 2020,C#| Sıfırdan Unity ile 10 Oyun Projesi</v>
      </c>
    </row>
    <row r="8043">
      <c r="A8043" s="140" t="str">
        <f>IFERROR(__xludf.DUMMYFUNCTION("""COMPUTED_VALUE"""),"en")</f>
        <v>en</v>
      </c>
      <c r="B8043">
        <f>IFERROR(__xludf.DUMMYFUNCTION("""COMPUTED_VALUE"""),1146144.0)</f>
        <v>1146144</v>
      </c>
      <c r="C8043" t="str">
        <f>IFERROR(__xludf.DUMMYFUNCTION("""COMPUTED_VALUE"""),"SAP ABAP Training - in Plain English")</f>
        <v>SAP ABAP Training - in Plain English</v>
      </c>
    </row>
    <row r="8044">
      <c r="A8044" s="140" t="str">
        <f>IFERROR(__xludf.DUMMYFUNCTION("""COMPUTED_VALUE"""),"es")</f>
        <v>es</v>
      </c>
      <c r="B8044">
        <f>IFERROR(__xludf.DUMMYFUNCTION("""COMPUTED_VALUE"""),1918630.0)</f>
        <v>1918630</v>
      </c>
      <c r="C8044" t="str">
        <f>IFERROR(__xludf.DUMMYFUNCTION("""COMPUTED_VALUE"""),"Camino a la Certificación - Reloaded")</f>
        <v>Camino a la Certificación - Reloaded</v>
      </c>
    </row>
    <row r="8045">
      <c r="A8045" s="140" t="str">
        <f>IFERROR(__xludf.DUMMYFUNCTION("""COMPUTED_VALUE"""),"en")</f>
        <v>en</v>
      </c>
      <c r="B8045">
        <f>IFERROR(__xludf.DUMMYFUNCTION("""COMPUTED_VALUE"""),634744.0)</f>
        <v>634744</v>
      </c>
      <c r="C8045" t="str">
        <f>IFERROR(__xludf.DUMMYFUNCTION("""COMPUTED_VALUE"""),"Sewing 101")</f>
        <v>Sewing 101</v>
      </c>
    </row>
    <row r="8046">
      <c r="A8046" s="140" t="str">
        <f>IFERROR(__xludf.DUMMYFUNCTION("""COMPUTED_VALUE"""),"en")</f>
        <v>en</v>
      </c>
      <c r="B8046">
        <f>IFERROR(__xludf.DUMMYFUNCTION("""COMPUTED_VALUE"""),2858924.0)</f>
        <v>2858924</v>
      </c>
      <c r="C8046" t="str">
        <f>IFERROR(__xludf.DUMMYFUNCTION("""COMPUTED_VALUE"""),"Beginner Tech Recruitment Bootcamp")</f>
        <v>Beginner Tech Recruitment Bootcamp</v>
      </c>
    </row>
    <row r="8047">
      <c r="A8047" s="140" t="str">
        <f>IFERROR(__xludf.DUMMYFUNCTION("""COMPUTED_VALUE"""),"es")</f>
        <v>es</v>
      </c>
      <c r="B8047">
        <f>IFERROR(__xludf.DUMMYFUNCTION("""COMPUTED_VALUE"""),915556.0)</f>
        <v>915556</v>
      </c>
      <c r="C8047" t="str">
        <f>IFERROR(__xludf.DUMMYFUNCTION("""COMPUTED_VALUE"""),"Aprende jQuery desde cero")</f>
        <v>Aprende jQuery desde cero</v>
      </c>
    </row>
    <row r="8048">
      <c r="A8048" s="140" t="str">
        <f>IFERROR(__xludf.DUMMYFUNCTION("""COMPUTED_VALUE"""),"en")</f>
        <v>en</v>
      </c>
      <c r="B8048">
        <f>IFERROR(__xludf.DUMMYFUNCTION("""COMPUTED_VALUE"""),2281182.0)</f>
        <v>2281182</v>
      </c>
      <c r="C8048" t="str">
        <f>IFERROR(__xludf.DUMMYFUNCTION("""COMPUTED_VALUE"""),"SAP CPI: Overview of SAP Cloud Platform Integration")</f>
        <v>SAP CPI: Overview of SAP Cloud Platform Integration</v>
      </c>
    </row>
    <row r="8049">
      <c r="A8049" s="140" t="str">
        <f>IFERROR(__xludf.DUMMYFUNCTION("""COMPUTED_VALUE"""),"de")</f>
        <v>de</v>
      </c>
      <c r="B8049">
        <f>IFERROR(__xludf.DUMMYFUNCTION("""COMPUTED_VALUE"""),2716002.0)</f>
        <v>2716002</v>
      </c>
      <c r="C8049" t="str">
        <f>IFERROR(__xludf.DUMMYFUNCTION("""COMPUTED_VALUE"""),"Adobe Photoshop CC - Der große Foto- &amp; Bildbearbeitungskurs.")</f>
        <v>Adobe Photoshop CC - Der große Foto- &amp; Bildbearbeitungskurs.</v>
      </c>
    </row>
    <row r="8050">
      <c r="A8050" s="140" t="str">
        <f>IFERROR(__xludf.DUMMYFUNCTION("""COMPUTED_VALUE"""),"es")</f>
        <v>es</v>
      </c>
      <c r="B8050">
        <f>IFERROR(__xludf.DUMMYFUNCTION("""COMPUTED_VALUE"""),2947558.0)</f>
        <v>2947558</v>
      </c>
      <c r="C8050" t="str">
        <f>IFERROR(__xludf.DUMMYFUNCTION("""COMPUTED_VALUE"""),"Aprende a analizar los datos del COVID19 con R y Python")</f>
        <v>Aprende a analizar los datos del COVID19 con R y Python</v>
      </c>
    </row>
    <row r="8051">
      <c r="A8051" s="140" t="str">
        <f>IFERROR(__xludf.DUMMYFUNCTION("""COMPUTED_VALUE"""),"pt")</f>
        <v>pt</v>
      </c>
      <c r="B8051">
        <f>IFERROR(__xludf.DUMMYFUNCTION("""COMPUTED_VALUE"""),921700.0)</f>
        <v>921700</v>
      </c>
      <c r="C8051" t="str">
        <f>IFERROR(__xludf.DUMMYFUNCTION("""COMPUTED_VALUE"""),"Curso de Digitação - Escreva mais de 60 palavras por Minuto")</f>
        <v>Curso de Digitação - Escreva mais de 60 palavras por Minuto</v>
      </c>
    </row>
    <row r="8052">
      <c r="A8052" s="140" t="str">
        <f>IFERROR(__xludf.DUMMYFUNCTION("""COMPUTED_VALUE"""),"en")</f>
        <v>en</v>
      </c>
      <c r="B8052">
        <f>IFERROR(__xludf.DUMMYFUNCTION("""COMPUTED_VALUE"""),2674140.0)</f>
        <v>2674140</v>
      </c>
      <c r="C8052" t="str">
        <f>IFERROR(__xludf.DUMMYFUNCTION("""COMPUTED_VALUE"""),"AWS Certified Machine Learning Specialty: 3 PRACTICE EXAMS")</f>
        <v>AWS Certified Machine Learning Specialty: 3 PRACTICE EXAMS</v>
      </c>
    </row>
    <row r="8053">
      <c r="A8053" s="140" t="str">
        <f>IFERROR(__xludf.DUMMYFUNCTION("""COMPUTED_VALUE"""),"en")</f>
        <v>en</v>
      </c>
      <c r="B8053">
        <f>IFERROR(__xludf.DUMMYFUNCTION("""COMPUTED_VALUE"""),1304264.0)</f>
        <v>1304264</v>
      </c>
      <c r="C8053" t="str">
        <f>IFERROR(__xludf.DUMMYFUNCTION("""COMPUTED_VALUE"""),"Beginning Test Driven Development in C++")</f>
        <v>Beginning Test Driven Development in C++</v>
      </c>
    </row>
    <row r="8054">
      <c r="A8054" s="140" t="str">
        <f>IFERROR(__xludf.DUMMYFUNCTION("""COMPUTED_VALUE"""),"ja")</f>
        <v>ja</v>
      </c>
      <c r="B8054">
        <f>IFERROR(__xludf.DUMMYFUNCTION("""COMPUTED_VALUE"""),3575239.0)</f>
        <v>3575239</v>
      </c>
      <c r="C8054" t="str">
        <f>IFERROR(__xludf.DUMMYFUNCTION("""COMPUTED_VALUE"""),"【Outlookユーザー向け】メール処理スピード10倍！すぐにできる超効率化メール操作・管理・処理術")</f>
        <v>【Outlookユーザー向け】メール処理スピード10倍！すぐにできる超効率化メール操作・管理・処理術</v>
      </c>
    </row>
    <row r="8055">
      <c r="A8055" s="140" t="str">
        <f>IFERROR(__xludf.DUMMYFUNCTION("""COMPUTED_VALUE"""),"fr")</f>
        <v>fr</v>
      </c>
      <c r="B8055">
        <f>IFERROR(__xludf.DUMMYFUNCTION("""COMPUTED_VALUE"""),3768742.0)</f>
        <v>3768742</v>
      </c>
      <c r="C8055" t="str">
        <f>IFERROR(__xludf.DUMMYFUNCTION("""COMPUTED_VALUE"""),"Google Sketchup Pro 2020")</f>
        <v>Google Sketchup Pro 2020</v>
      </c>
    </row>
    <row r="8056">
      <c r="A8056" s="140" t="str">
        <f>IFERROR(__xludf.DUMMYFUNCTION("""COMPUTED_VALUE"""),"en")</f>
        <v>en</v>
      </c>
      <c r="B8056">
        <f>IFERROR(__xludf.DUMMYFUNCTION("""COMPUTED_VALUE"""),3681698.0)</f>
        <v>3681698</v>
      </c>
      <c r="C8056" t="str">
        <f>IFERROR(__xludf.DUMMYFUNCTION("""COMPUTED_VALUE"""),"5 Practice Tests for PCAP-31-03 Python Certification 2021")</f>
        <v>5 Practice Tests for PCAP-31-03 Python Certification 2021</v>
      </c>
    </row>
    <row r="8057">
      <c r="A8057" s="140" t="str">
        <f>IFERROR(__xludf.DUMMYFUNCTION("""COMPUTED_VALUE"""),"fr")</f>
        <v>fr</v>
      </c>
      <c r="B8057">
        <f>IFERROR(__xludf.DUMMYFUNCTION("""COMPUTED_VALUE"""),1828750.0)</f>
        <v>1828750</v>
      </c>
      <c r="C8057" t="str">
        <f>IFERROR(__xludf.DUMMYFUNCTION("""COMPUTED_VALUE"""),"Maîtriser ses données avec Google Drive !")</f>
        <v>Maîtriser ses données avec Google Drive !</v>
      </c>
    </row>
    <row r="8058">
      <c r="A8058" s="140" t="str">
        <f>IFERROR(__xludf.DUMMYFUNCTION("""COMPUTED_VALUE"""),"pt")</f>
        <v>pt</v>
      </c>
      <c r="B8058">
        <f>IFERROR(__xludf.DUMMYFUNCTION("""COMPUTED_VALUE"""),3316982.0)</f>
        <v>3316982</v>
      </c>
      <c r="C8058" t="str">
        <f>IFERROR(__xludf.DUMMYFUNCTION("""COMPUTED_VALUE"""),"Introdução à Psicologia Cognitiva Aplicada ao UX Design")</f>
        <v>Introdução à Psicologia Cognitiva Aplicada ao UX Design</v>
      </c>
    </row>
    <row r="8059">
      <c r="A8059" s="140" t="str">
        <f>IFERROR(__xludf.DUMMYFUNCTION("""COMPUTED_VALUE"""),"en")</f>
        <v>en</v>
      </c>
      <c r="B8059">
        <f>IFERROR(__xludf.DUMMYFUNCTION("""COMPUTED_VALUE"""),865976.0)</f>
        <v>865976</v>
      </c>
      <c r="C8059" t="str">
        <f>IFERROR(__xludf.DUMMYFUNCTION("""COMPUTED_VALUE"""),"A+ 2016: PC Assembly Fundamentals")</f>
        <v>A+ 2016: PC Assembly Fundamentals</v>
      </c>
    </row>
    <row r="8060">
      <c r="A8060" s="140" t="str">
        <f>IFERROR(__xludf.DUMMYFUNCTION("""COMPUTED_VALUE"""),"ja")</f>
        <v>ja</v>
      </c>
      <c r="B8060">
        <f>IFERROR(__xludf.DUMMYFUNCTION("""COMPUTED_VALUE"""),1857364.0)</f>
        <v>1857364</v>
      </c>
      <c r="C8060" t="str">
        <f>IFERROR(__xludf.DUMMYFUNCTION("""COMPUTED_VALUE"""),"【まだ間に合う！】AI開発・機械学習を理解するための数学講座")</f>
        <v>【まだ間に合う！】AI開発・機械学習を理解するための数学講座</v>
      </c>
    </row>
    <row r="8061">
      <c r="A8061" s="140" t="str">
        <f>IFERROR(__xludf.DUMMYFUNCTION("""COMPUTED_VALUE"""),"ja")</f>
        <v>ja</v>
      </c>
      <c r="B8061">
        <f>IFERROR(__xludf.DUMMYFUNCTION("""COMPUTED_VALUE"""),3975464.0)</f>
        <v>3975464</v>
      </c>
      <c r="C8061" t="str">
        <f>IFERROR(__xludf.DUMMYFUNCTION("""COMPUTED_VALUE"""),"プロダクトマネジメント入門講座: シリコンバレーの現役PMが伝授するBtoBプロダクトマネジメント")</f>
        <v>プロダクトマネジメント入門講座: シリコンバレーの現役PMが伝授するBtoBプロダクトマネジメント</v>
      </c>
    </row>
    <row r="8062">
      <c r="A8062" s="140" t="str">
        <f>IFERROR(__xludf.DUMMYFUNCTION("""COMPUTED_VALUE"""),"en")</f>
        <v>en</v>
      </c>
      <c r="B8062">
        <f>IFERROR(__xludf.DUMMYFUNCTION("""COMPUTED_VALUE"""),1602900.0)</f>
        <v>1602900</v>
      </c>
      <c r="C8062" t="str">
        <f>IFERROR(__xludf.DUMMYFUNCTION("""COMPUTED_VALUE"""),"Kubernetes for the Absolute Beginners - Hands-on")</f>
        <v>Kubernetes for the Absolute Beginners - Hands-on</v>
      </c>
    </row>
    <row r="8063">
      <c r="A8063" s="140" t="str">
        <f>IFERROR(__xludf.DUMMYFUNCTION("""COMPUTED_VALUE"""),"en")</f>
        <v>en</v>
      </c>
      <c r="B8063">
        <f>IFERROR(__xludf.DUMMYFUNCTION("""COMPUTED_VALUE"""),1352468.0)</f>
        <v>1352468</v>
      </c>
      <c r="C8063" t="str">
        <f>IFERROR(__xludf.DUMMYFUNCTION("""COMPUTED_VALUE"""),"Master Microservices with Spring Boot and Spring Cloud")</f>
        <v>Master Microservices with Spring Boot and Spring Cloud</v>
      </c>
    </row>
    <row r="8064">
      <c r="A8064" s="140" t="str">
        <f>IFERROR(__xludf.DUMMYFUNCTION("""COMPUTED_VALUE"""),"tr")</f>
        <v>tr</v>
      </c>
      <c r="B8064">
        <f>IFERROR(__xludf.DUMMYFUNCTION("""COMPUTED_VALUE"""),3466062.0)</f>
        <v>3466062</v>
      </c>
      <c r="C8064" t="str">
        <f>IFERROR(__xludf.DUMMYFUNCTION("""COMPUTED_VALUE"""),"Siemens NX CAM - Talaşlı İmalat Eğitimi")</f>
        <v>Siemens NX CAM - Talaşlı İmalat Eğitimi</v>
      </c>
    </row>
    <row r="8065">
      <c r="A8065" s="140" t="str">
        <f>IFERROR(__xludf.DUMMYFUNCTION("""COMPUTED_VALUE"""),"en")</f>
        <v>en</v>
      </c>
      <c r="B8065">
        <f>IFERROR(__xludf.DUMMYFUNCTION("""COMPUTED_VALUE"""),1926504.0)</f>
        <v>1926504</v>
      </c>
      <c r="C8065" t="str">
        <f>IFERROR(__xludf.DUMMYFUNCTION("""COMPUTED_VALUE"""),"SAP Fiori - 1 Hour Introduction for End Users")</f>
        <v>SAP Fiori - 1 Hour Introduction for End Users</v>
      </c>
    </row>
    <row r="8066">
      <c r="A8066" s="140" t="str">
        <f>IFERROR(__xludf.DUMMYFUNCTION("""COMPUTED_VALUE"""),"en")</f>
        <v>en</v>
      </c>
      <c r="B8066">
        <f>IFERROR(__xludf.DUMMYFUNCTION("""COMPUTED_VALUE"""),3490000.0)</f>
        <v>3490000</v>
      </c>
      <c r="C8066" t="str">
        <f>IFERROR(__xludf.DUMMYFUNCTION("""COMPUTED_VALUE"""),"Docker &amp; Kubernetes: The Practical Guide [2022 Edition]")</f>
        <v>Docker &amp; Kubernetes: The Practical Guide [2022 Edition]</v>
      </c>
    </row>
    <row r="8067">
      <c r="A8067" s="140" t="str">
        <f>IFERROR(__xludf.DUMMYFUNCTION("""COMPUTED_VALUE"""),"ar")</f>
        <v>ar</v>
      </c>
      <c r="B8067">
        <f>IFERROR(__xludf.DUMMYFUNCTION("""COMPUTED_VALUE"""),3539808.0)</f>
        <v>3539808</v>
      </c>
      <c r="C8067" t="str">
        <f>IFERROR(__xludf.DUMMYFUNCTION("""COMPUTED_VALUE"""),"تداول الأسهم - الدورة الأساسية المتكاملة - جميع الدول")</f>
        <v>تداول الأسهم - الدورة الأساسية المتكاملة - جميع الدول</v>
      </c>
    </row>
    <row r="8068">
      <c r="A8068" s="140" t="str">
        <f>IFERROR(__xludf.DUMMYFUNCTION("""COMPUTED_VALUE"""),"en")</f>
        <v>en</v>
      </c>
      <c r="B8068">
        <f>IFERROR(__xludf.DUMMYFUNCTION("""COMPUTED_VALUE"""),362458.0)</f>
        <v>362458</v>
      </c>
      <c r="C8068" t="str">
        <f>IFERROR(__xludf.DUMMYFUNCTION("""COMPUTED_VALUE"""),"Facilitation: You Can Be a Facilitator")</f>
        <v>Facilitation: You Can Be a Facilitator</v>
      </c>
    </row>
    <row r="8069">
      <c r="A8069" s="140" t="str">
        <f>IFERROR(__xludf.DUMMYFUNCTION("""COMPUTED_VALUE"""),"en")</f>
        <v>en</v>
      </c>
      <c r="B8069">
        <f>IFERROR(__xludf.DUMMYFUNCTION("""COMPUTED_VALUE"""),3884934.0)</f>
        <v>3884934</v>
      </c>
      <c r="C8069" t="str">
        <f>IFERROR(__xludf.DUMMYFUNCTION("""COMPUTED_VALUE"""),"CompTIA Cloud+ (CV0-003) Exam Prep / Practice Tests")</f>
        <v>CompTIA Cloud+ (CV0-003) Exam Prep / Practice Tests</v>
      </c>
    </row>
    <row r="8070">
      <c r="A8070" s="140" t="str">
        <f>IFERROR(__xludf.DUMMYFUNCTION("""COMPUTED_VALUE"""),"en")</f>
        <v>en</v>
      </c>
      <c r="B8070">
        <f>IFERROR(__xludf.DUMMYFUNCTION("""COMPUTED_VALUE"""),1556128.0)</f>
        <v>1556128</v>
      </c>
      <c r="C8070" t="str">
        <f>IFERROR(__xludf.DUMMYFUNCTION("""COMPUTED_VALUE"""),"Maya for Beginners: Complete Guide to 3D Animation in Maya")</f>
        <v>Maya for Beginners: Complete Guide to 3D Animation in Maya</v>
      </c>
    </row>
    <row r="8071">
      <c r="A8071" s="140" t="str">
        <f>IFERROR(__xludf.DUMMYFUNCTION("""COMPUTED_VALUE"""),"en")</f>
        <v>en</v>
      </c>
      <c r="B8071">
        <f>IFERROR(__xludf.DUMMYFUNCTION("""COMPUTED_VALUE"""),344224.0)</f>
        <v>344224</v>
      </c>
      <c r="C8071" t="str">
        <f>IFERROR(__xludf.DUMMYFUNCTION("""COMPUTED_VALUE"""),"Java Spring Security")</f>
        <v>Java Spring Security</v>
      </c>
    </row>
    <row r="8072">
      <c r="A8072" s="140" t="str">
        <f>IFERROR(__xludf.DUMMYFUNCTION("""COMPUTED_VALUE"""),"en")</f>
        <v>en</v>
      </c>
      <c r="B8072">
        <f>IFERROR(__xludf.DUMMYFUNCTION("""COMPUTED_VALUE"""),1405982.0)</f>
        <v>1405982</v>
      </c>
      <c r="C8072" t="str">
        <f>IFERROR(__xludf.DUMMYFUNCTION("""COMPUTED_VALUE"""),"3D Master, from zero to hero Vol.1: Zbrush Basics")</f>
        <v>3D Master, from zero to hero Vol.1: Zbrush Basics</v>
      </c>
    </row>
    <row r="8073">
      <c r="A8073" s="140" t="str">
        <f>IFERROR(__xludf.DUMMYFUNCTION("""COMPUTED_VALUE"""),"en")</f>
        <v>en</v>
      </c>
      <c r="B8073">
        <f>IFERROR(__xludf.DUMMYFUNCTION("""COMPUTED_VALUE"""),1344600.0)</f>
        <v>1344600</v>
      </c>
      <c r="C8073" t="str">
        <f>IFERROR(__xludf.DUMMYFUNCTION("""COMPUTED_VALUE"""),"Linux Performance Monitoring &amp; Analysis - Hands On !!")</f>
        <v>Linux Performance Monitoring &amp; Analysis - Hands On !!</v>
      </c>
    </row>
    <row r="8074">
      <c r="A8074" s="140" t="str">
        <f>IFERROR(__xludf.DUMMYFUNCTION("""COMPUTED_VALUE"""),"en")</f>
        <v>en</v>
      </c>
      <c r="B8074">
        <f>IFERROR(__xludf.DUMMYFUNCTION("""COMPUTED_VALUE"""),3035516.0)</f>
        <v>3035516</v>
      </c>
      <c r="C8074" t="str">
        <f>IFERROR(__xludf.DUMMYFUNCTION("""COMPUTED_VALUE"""),"Program Management Interview Course")</f>
        <v>Program Management Interview Course</v>
      </c>
    </row>
    <row r="8075">
      <c r="A8075" s="140" t="str">
        <f>IFERROR(__xludf.DUMMYFUNCTION("""COMPUTED_VALUE"""),"en")</f>
        <v>en</v>
      </c>
      <c r="B8075">
        <f>IFERROR(__xludf.DUMMYFUNCTION("""COMPUTED_VALUE"""),4197696.0)</f>
        <v>4197696</v>
      </c>
      <c r="C8075" t="str">
        <f>IFERROR(__xludf.DUMMYFUNCTION("""COMPUTED_VALUE"""),"Machine Learning Model Deployment with Flask, React &amp; NodeJS")</f>
        <v>Machine Learning Model Deployment with Flask, React &amp; NodeJS</v>
      </c>
    </row>
    <row r="8076">
      <c r="A8076" s="140" t="str">
        <f>IFERROR(__xludf.DUMMYFUNCTION("""COMPUTED_VALUE"""),"en")</f>
        <v>en</v>
      </c>
      <c r="B8076">
        <f>IFERROR(__xludf.DUMMYFUNCTION("""COMPUTED_VALUE"""),2323470.0)</f>
        <v>2323470</v>
      </c>
      <c r="C8076" t="str">
        <f>IFERROR(__xludf.DUMMYFUNCTION("""COMPUTED_VALUE"""),"Business Communication Skills: Business Writing &amp; Grammar")</f>
        <v>Business Communication Skills: Business Writing &amp; Grammar</v>
      </c>
    </row>
    <row r="8077">
      <c r="A8077" s="140" t="str">
        <f>IFERROR(__xludf.DUMMYFUNCTION("""COMPUTED_VALUE"""),"en")</f>
        <v>en</v>
      </c>
      <c r="B8077">
        <f>IFERROR(__xludf.DUMMYFUNCTION("""COMPUTED_VALUE"""),90140.0)</f>
        <v>90140</v>
      </c>
      <c r="C8077" t="str">
        <f>IFERROR(__xludf.DUMMYFUNCTION("""COMPUTED_VALUE"""),"Introduction to Microsoft Access Tables")</f>
        <v>Introduction to Microsoft Access Tables</v>
      </c>
    </row>
    <row r="8078">
      <c r="A8078" s="140" t="str">
        <f>IFERROR(__xludf.DUMMYFUNCTION("""COMPUTED_VALUE"""),"en")</f>
        <v>en</v>
      </c>
      <c r="B8078">
        <f>IFERROR(__xludf.DUMMYFUNCTION("""COMPUTED_VALUE"""),2468778.0)</f>
        <v>2468778</v>
      </c>
      <c r="C8078" t="str">
        <f>IFERROR(__xludf.DUMMYFUNCTION("""COMPUTED_VALUE"""),"SAP FICO-Electronic Bank Statement(EBS)+Lockbox")</f>
        <v>SAP FICO-Electronic Bank Statement(EBS)+Lockbox</v>
      </c>
    </row>
    <row r="8079">
      <c r="A8079" s="140" t="str">
        <f>IFERROR(__xludf.DUMMYFUNCTION("""COMPUTED_VALUE"""),"en")</f>
        <v>en</v>
      </c>
      <c r="B8079">
        <f>IFERROR(__xludf.DUMMYFUNCTION("""COMPUTED_VALUE"""),689522.0)</f>
        <v>689522</v>
      </c>
      <c r="C8079" t="str">
        <f>IFERROR(__xludf.DUMMYFUNCTION("""COMPUTED_VALUE"""),"Data Visualization with MATLAB - Projects and Examples")</f>
        <v>Data Visualization with MATLAB - Projects and Examples</v>
      </c>
    </row>
    <row r="8080">
      <c r="A8080" s="140" t="str">
        <f>IFERROR(__xludf.DUMMYFUNCTION("""COMPUTED_VALUE"""),"en")</f>
        <v>en</v>
      </c>
      <c r="B8080">
        <f>IFERROR(__xludf.DUMMYFUNCTION("""COMPUTED_VALUE"""),3469954.0)</f>
        <v>3469954</v>
      </c>
      <c r="C8080" t="str">
        <f>IFERROR(__xludf.DUMMYFUNCTION("""COMPUTED_VALUE"""),"AWS Certified Cloud Practitioner Video Course + Practice Tst")</f>
        <v>AWS Certified Cloud Practitioner Video Course + Practice Tst</v>
      </c>
    </row>
    <row r="8081">
      <c r="A8081" s="140" t="str">
        <f>IFERROR(__xludf.DUMMYFUNCTION("""COMPUTED_VALUE"""),"en")</f>
        <v>en</v>
      </c>
      <c r="B8081">
        <f>IFERROR(__xludf.DUMMYFUNCTION("""COMPUTED_VALUE"""),1248974.0)</f>
        <v>1248974</v>
      </c>
      <c r="C8081" t="str">
        <f>IFERROR(__xludf.DUMMYFUNCTION("""COMPUTED_VALUE"""),"Learn Bootstrap 4 by Example")</f>
        <v>Learn Bootstrap 4 by Example</v>
      </c>
    </row>
    <row r="8082">
      <c r="A8082" s="140" t="str">
        <f>IFERROR(__xludf.DUMMYFUNCTION("""COMPUTED_VALUE"""),"en")</f>
        <v>en</v>
      </c>
      <c r="B8082">
        <f>IFERROR(__xludf.DUMMYFUNCTION("""COMPUTED_VALUE"""),3078402.0)</f>
        <v>3078402</v>
      </c>
      <c r="C8082" t="str">
        <f>IFERROR(__xludf.DUMMYFUNCTION("""COMPUTED_VALUE"""),"The Production Part Approval Process (PPAP)")</f>
        <v>The Production Part Approval Process (PPAP)</v>
      </c>
    </row>
    <row r="8083">
      <c r="A8083" s="140" t="str">
        <f>IFERROR(__xludf.DUMMYFUNCTION("""COMPUTED_VALUE"""),"pt")</f>
        <v>pt</v>
      </c>
      <c r="B8083">
        <f>IFERROR(__xludf.DUMMYFUNCTION("""COMPUTED_VALUE"""),1080928.0)</f>
        <v>1080928</v>
      </c>
      <c r="C8083" t="str">
        <f>IFERROR(__xludf.DUMMYFUNCTION("""COMPUTED_VALUE"""),"Testes Automáticos + Curso COMPLETO de Teste de Software")</f>
        <v>Testes Automáticos + Curso COMPLETO de Teste de Software</v>
      </c>
    </row>
    <row r="8084">
      <c r="A8084" s="140" t="str">
        <f>IFERROR(__xludf.DUMMYFUNCTION("""COMPUTED_VALUE"""),"ja")</f>
        <v>ja</v>
      </c>
      <c r="B8084">
        <f>IFERROR(__xludf.DUMMYFUNCTION("""COMPUTED_VALUE"""),2856692.0)</f>
        <v>2856692</v>
      </c>
      <c r="C8084" t="str">
        <f>IFERROR(__xludf.DUMMYFUNCTION("""COMPUTED_VALUE"""),"【売れ筋講座TOP5選出！】いちばんわかりやすい決算書の読み方講座")</f>
        <v>【売れ筋講座TOP5選出！】いちばんわかりやすい決算書の読み方講座</v>
      </c>
    </row>
    <row r="8085">
      <c r="A8085" s="140" t="str">
        <f>IFERROR(__xludf.DUMMYFUNCTION("""COMPUTED_VALUE"""),"en")</f>
        <v>en</v>
      </c>
      <c r="B8085">
        <f>IFERROR(__xludf.DUMMYFUNCTION("""COMPUTED_VALUE"""),2417534.0)</f>
        <v>2417534</v>
      </c>
      <c r="C8085" t="str">
        <f>IFERROR(__xludf.DUMMYFUNCTION("""COMPUTED_VALUE"""),"Mega Course VMware vSphere 6.7 Optimize Upgrade Troubleshoot")</f>
        <v>Mega Course VMware vSphere 6.7 Optimize Upgrade Troubleshoot</v>
      </c>
    </row>
    <row r="8086">
      <c r="A8086" s="140" t="str">
        <f>IFERROR(__xludf.DUMMYFUNCTION("""COMPUTED_VALUE"""),"en")</f>
        <v>en</v>
      </c>
      <c r="B8086">
        <f>IFERROR(__xludf.DUMMYFUNCTION("""COMPUTED_VALUE"""),2462670.0)</f>
        <v>2462670</v>
      </c>
      <c r="C8086" t="str">
        <f>IFERROR(__xludf.DUMMYFUNCTION("""COMPUTED_VALUE"""),"The Frontend Developer Career Blueprint - The shortcuts")</f>
        <v>The Frontend Developer Career Blueprint - The shortcuts</v>
      </c>
    </row>
    <row r="8087">
      <c r="A8087" s="140" t="str">
        <f>IFERROR(__xludf.DUMMYFUNCTION("""COMPUTED_VALUE"""),"en")</f>
        <v>en</v>
      </c>
      <c r="B8087">
        <f>IFERROR(__xludf.DUMMYFUNCTION("""COMPUTED_VALUE"""),1595142.0)</f>
        <v>1595142</v>
      </c>
      <c r="C8087" t="str">
        <f>IFERROR(__xludf.DUMMYFUNCTION("""COMPUTED_VALUE"""),"Visual Studio Mastery with C# - Double Your Productivity")</f>
        <v>Visual Studio Mastery with C# - Double Your Productivity</v>
      </c>
    </row>
    <row r="8088">
      <c r="A8088" s="140" t="str">
        <f>IFERROR(__xludf.DUMMYFUNCTION("""COMPUTED_VALUE"""),"pt")</f>
        <v>pt</v>
      </c>
      <c r="B8088">
        <f>IFERROR(__xludf.DUMMYFUNCTION("""COMPUTED_VALUE"""),2190916.0)</f>
        <v>2190916</v>
      </c>
      <c r="C8088" t="str">
        <f>IFERROR(__xludf.DUMMYFUNCTION("""COMPUTED_VALUE"""),"Active Directory e Políticas de Grupo no Windows Server 2019")</f>
        <v>Active Directory e Políticas de Grupo no Windows Server 2019</v>
      </c>
    </row>
    <row r="8089">
      <c r="A8089" s="140" t="str">
        <f>IFERROR(__xludf.DUMMYFUNCTION("""COMPUTED_VALUE"""),"de")</f>
        <v>de</v>
      </c>
      <c r="B8089">
        <f>IFERROR(__xludf.DUMMYFUNCTION("""COMPUTED_VALUE"""),1688490.0)</f>
        <v>1688490</v>
      </c>
      <c r="C8089" t="str">
        <f>IFERROR(__xludf.DUMMYFUNCTION("""COMPUTED_VALUE"""),"Effective Go - Lerne mehr über idiomatischen Golang Code")</f>
        <v>Effective Go - Lerne mehr über idiomatischen Golang Code</v>
      </c>
    </row>
    <row r="8090">
      <c r="A8090" s="140" t="str">
        <f>IFERROR(__xludf.DUMMYFUNCTION("""COMPUTED_VALUE"""),"en")</f>
        <v>en</v>
      </c>
      <c r="B8090">
        <f>IFERROR(__xludf.DUMMYFUNCTION("""COMPUTED_VALUE"""),1258358.0)</f>
        <v>1258358</v>
      </c>
      <c r="C8090" t="str">
        <f>IFERROR(__xludf.DUMMYFUNCTION("""COMPUTED_VALUE"""),"Practical Project Management for Management Consultants")</f>
        <v>Practical Project Management for Management Consultants</v>
      </c>
    </row>
    <row r="8091">
      <c r="A8091" s="140" t="str">
        <f>IFERROR(__xludf.DUMMYFUNCTION("""COMPUTED_VALUE"""),"en")</f>
        <v>en</v>
      </c>
      <c r="B8091">
        <f>IFERROR(__xludf.DUMMYFUNCTION("""COMPUTED_VALUE"""),774404.0)</f>
        <v>774404</v>
      </c>
      <c r="C8091" t="str">
        <f>IFERROR(__xludf.DUMMYFUNCTION("""COMPUTED_VALUE"""),"PMP® Certification 2021: 2 PMP Exams &amp; PMP Math Prep_14 PDUs")</f>
        <v>PMP® Certification 2021: 2 PMP Exams &amp; PMP Math Prep_14 PDUs</v>
      </c>
    </row>
    <row r="8092">
      <c r="A8092" s="140" t="str">
        <f>IFERROR(__xludf.DUMMYFUNCTION("""COMPUTED_VALUE"""),"en")</f>
        <v>en</v>
      </c>
      <c r="B8092">
        <f>IFERROR(__xludf.DUMMYFUNCTION("""COMPUTED_VALUE"""),956038.0)</f>
        <v>956038</v>
      </c>
      <c r="C8092" t="str">
        <f>IFERROR(__xludf.DUMMYFUNCTION("""COMPUTED_VALUE"""),"Cumulus Linux Fundamentals, plus Ansible automation")</f>
        <v>Cumulus Linux Fundamentals, plus Ansible automation</v>
      </c>
    </row>
    <row r="8093">
      <c r="A8093" s="140" t="str">
        <f>IFERROR(__xludf.DUMMYFUNCTION("""COMPUTED_VALUE"""),"en")</f>
        <v>en</v>
      </c>
      <c r="B8093">
        <f>IFERROR(__xludf.DUMMYFUNCTION("""COMPUTED_VALUE"""),1013654.0)</f>
        <v>1013654</v>
      </c>
      <c r="C8093" t="str">
        <f>IFERROR(__xludf.DUMMYFUNCTION("""COMPUTED_VALUE"""),"Learn Italian Language: Complete Italian Course - Beginners")</f>
        <v>Learn Italian Language: Complete Italian Course - Beginners</v>
      </c>
    </row>
    <row r="8094">
      <c r="A8094" s="140" t="str">
        <f>IFERROR(__xludf.DUMMYFUNCTION("""COMPUTED_VALUE"""),"en")</f>
        <v>en</v>
      </c>
      <c r="B8094">
        <f>IFERROR(__xludf.DUMMYFUNCTION("""COMPUTED_VALUE"""),3060516.0)</f>
        <v>3060516</v>
      </c>
      <c r="C8094" t="str">
        <f>IFERROR(__xludf.DUMMYFUNCTION("""COMPUTED_VALUE"""),"Manage and Visualize Projects in Smartsheet")</f>
        <v>Manage and Visualize Projects in Smartsheet</v>
      </c>
    </row>
    <row r="8095">
      <c r="A8095" s="140" t="str">
        <f>IFERROR(__xludf.DUMMYFUNCTION("""COMPUTED_VALUE"""),"en")</f>
        <v>en</v>
      </c>
      <c r="B8095">
        <f>IFERROR(__xludf.DUMMYFUNCTION("""COMPUTED_VALUE"""),1704776.0)</f>
        <v>1704776</v>
      </c>
      <c r="C8095" t="str">
        <f>IFERROR(__xludf.DUMMYFUNCTION("""COMPUTED_VALUE"""),"Microsoft Azure - Beginner's Guide + AZ-900 -  2021")</f>
        <v>Microsoft Azure - Beginner's Guide + AZ-900 -  2021</v>
      </c>
    </row>
    <row r="8096">
      <c r="A8096" s="140" t="str">
        <f>IFERROR(__xludf.DUMMYFUNCTION("""COMPUTED_VALUE"""),"fr")</f>
        <v>fr</v>
      </c>
      <c r="B8096">
        <f>IFERROR(__xludf.DUMMYFUNCTION("""COMPUTED_VALUE"""),1236228.0)</f>
        <v>1236228</v>
      </c>
      <c r="C8096" t="str">
        <f>IFERROR(__xludf.DUMMYFUNCTION("""COMPUTED_VALUE"""),"Production Musicale avec Logic Pro X : le guide complet")</f>
        <v>Production Musicale avec Logic Pro X : le guide complet</v>
      </c>
    </row>
    <row r="8097">
      <c r="A8097" s="140" t="str">
        <f>IFERROR(__xludf.DUMMYFUNCTION("""COMPUTED_VALUE"""),"en")</f>
        <v>en</v>
      </c>
      <c r="B8097">
        <f>IFERROR(__xludf.DUMMYFUNCTION("""COMPUTED_VALUE"""),2604932.0)</f>
        <v>2604932</v>
      </c>
      <c r="C8097" t="str">
        <f>IFERROR(__xludf.DUMMYFUNCTION("""COMPUTED_VALUE"""),"Laravel 8 PHP Framework A - Z Build Professional Ecommerce")</f>
        <v>Laravel 8 PHP Framework A - Z Build Professional Ecommerce</v>
      </c>
    </row>
    <row r="8098">
      <c r="A8098" s="140" t="str">
        <f>IFERROR(__xludf.DUMMYFUNCTION("""COMPUTED_VALUE"""),"en")</f>
        <v>en</v>
      </c>
      <c r="B8098">
        <f>IFERROR(__xludf.DUMMYFUNCTION("""COMPUTED_VALUE"""),3828844.0)</f>
        <v>3828844</v>
      </c>
      <c r="C8098" t="str">
        <f>IFERROR(__xludf.DUMMYFUNCTION("""COMPUTED_VALUE"""),"Data Engineering using Databricks on AWS and Azure")</f>
        <v>Data Engineering using Databricks on AWS and Azure</v>
      </c>
    </row>
    <row r="8099">
      <c r="A8099" s="140" t="str">
        <f>IFERROR(__xludf.DUMMYFUNCTION("""COMPUTED_VALUE"""),"es")</f>
        <v>es</v>
      </c>
      <c r="B8099">
        <f>IFERROR(__xludf.DUMMYFUNCTION("""COMPUTED_VALUE"""),2440222.0)</f>
        <v>2440222</v>
      </c>
      <c r="C8099" t="str">
        <f>IFERROR(__xludf.DUMMYFUNCTION("""COMPUTED_VALUE"""),"Tensorflow 2.0: Guía completa para el Nuevo Tensorflow")</f>
        <v>Tensorflow 2.0: Guía completa para el Nuevo Tensorflow</v>
      </c>
    </row>
    <row r="8100">
      <c r="A8100" s="140" t="str">
        <f>IFERROR(__xludf.DUMMYFUNCTION("""COMPUTED_VALUE"""),"ja")</f>
        <v>ja</v>
      </c>
      <c r="B8100">
        <f>IFERROR(__xludf.DUMMYFUNCTION("""COMPUTED_VALUE"""),2267342.0)</f>
        <v>2267342</v>
      </c>
      <c r="C8100" t="str">
        <f>IFERROR(__xludf.DUMMYFUNCTION("""COMPUTED_VALUE"""),"Spring 入門 ～ SpringBoot 2 を使ってお問い合わせアプリとToDoアプリを作る ～")</f>
        <v>Spring 入門 ～ SpringBoot 2 を使ってお問い合わせアプリとToDoアプリを作る ～</v>
      </c>
    </row>
    <row r="8101">
      <c r="A8101" s="140" t="str">
        <f>IFERROR(__xludf.DUMMYFUNCTION("""COMPUTED_VALUE"""),"en")</f>
        <v>en</v>
      </c>
      <c r="B8101">
        <f>IFERROR(__xludf.DUMMYFUNCTION("""COMPUTED_VALUE"""),3901412.0)</f>
        <v>3901412</v>
      </c>
      <c r="C8101" t="str">
        <f>IFERROR(__xludf.DUMMYFUNCTION("""COMPUTED_VALUE"""),"Data Warehouse Developer-SQL Server/ETL/SSIS/SSAS/SSRS/T-SQL")</f>
        <v>Data Warehouse Developer-SQL Server/ETL/SSIS/SSAS/SSRS/T-SQL</v>
      </c>
    </row>
    <row r="8102">
      <c r="A8102" s="140" t="str">
        <f>IFERROR(__xludf.DUMMYFUNCTION("""COMPUTED_VALUE"""),"ja")</f>
        <v>ja</v>
      </c>
      <c r="B8102">
        <f>IFERROR(__xludf.DUMMYFUNCTION("""COMPUTED_VALUE"""),3404504.0)</f>
        <v>3404504</v>
      </c>
      <c r="C8102" t="str">
        <f>IFERROR(__xludf.DUMMYFUNCTION("""COMPUTED_VALUE"""),"データベース講座１：データベース論理設計")</f>
        <v>データベース講座１：データベース論理設計</v>
      </c>
    </row>
    <row r="8103">
      <c r="A8103" s="140" t="str">
        <f>IFERROR(__xludf.DUMMYFUNCTION("""COMPUTED_VALUE"""),"es")</f>
        <v>es</v>
      </c>
      <c r="B8103">
        <f>IFERROR(__xludf.DUMMYFUNCTION("""COMPUTED_VALUE"""),1209326.0)</f>
        <v>1209326</v>
      </c>
      <c r="C8103" t="str">
        <f>IFERROR(__xludf.DUMMYFUNCTION("""COMPUTED_VALUE"""),"Curso Completo de Desarrollo ASP.NET MVC")</f>
        <v>Curso Completo de Desarrollo ASP.NET MVC</v>
      </c>
    </row>
    <row r="8104">
      <c r="A8104" s="140" t="str">
        <f>IFERROR(__xludf.DUMMYFUNCTION("""COMPUTED_VALUE"""),"en")</f>
        <v>en</v>
      </c>
      <c r="B8104">
        <f>IFERROR(__xludf.DUMMYFUNCTION("""COMPUTED_VALUE"""),1328072.0)</f>
        <v>1328072</v>
      </c>
      <c r="C8104" t="str">
        <f>IFERROR(__xludf.DUMMYFUNCTION("""COMPUTED_VALUE"""),"AWS Certified Solutions Architect - Associate  2021")</f>
        <v>AWS Certified Solutions Architect - Associate  2021</v>
      </c>
    </row>
    <row r="8105">
      <c r="A8105" s="140" t="str">
        <f>IFERROR(__xludf.DUMMYFUNCTION("""COMPUTED_VALUE"""),"es")</f>
        <v>es</v>
      </c>
      <c r="B8105">
        <f>IFERROR(__xludf.DUMMYFUNCTION("""COMPUTED_VALUE"""),1465114.0)</f>
        <v>1465114</v>
      </c>
      <c r="C8105" t="str">
        <f>IFERROR(__xludf.DUMMYFUNCTION("""COMPUTED_VALUE"""),"Sistema de ventas en 3 capas en C# &amp; MySQL y SQL full stack")</f>
        <v>Sistema de ventas en 3 capas en C# &amp; MySQL y SQL full stack</v>
      </c>
    </row>
    <row r="8106">
      <c r="A8106" s="140" t="str">
        <f>IFERROR(__xludf.DUMMYFUNCTION("""COMPUTED_VALUE"""),"tr")</f>
        <v>tr</v>
      </c>
      <c r="B8106">
        <f>IFERROR(__xludf.DUMMYFUNCTION("""COMPUTED_VALUE"""),2201280.0)</f>
        <v>2201280</v>
      </c>
      <c r="C8106" t="str">
        <f>IFERROR(__xludf.DUMMYFUNCTION("""COMPUTED_VALUE"""),"Özer Kiraz ile sıfırdan başlayan İngilizce kursuna katılın!")</f>
        <v>Özer Kiraz ile sıfırdan başlayan İngilizce kursuna katılın!</v>
      </c>
    </row>
    <row r="8107">
      <c r="A8107" s="140" t="str">
        <f>IFERROR(__xludf.DUMMYFUNCTION("""COMPUTED_VALUE"""),"en")</f>
        <v>en</v>
      </c>
      <c r="B8107">
        <f>IFERROR(__xludf.DUMMYFUNCTION("""COMPUTED_VALUE"""),3511854.0)</f>
        <v>3511854</v>
      </c>
      <c r="C8107" t="str">
        <f>IFERROR(__xludf.DUMMYFUNCTION("""COMPUTED_VALUE"""),"Serverless for Beginners: Learn AWS Lambda &amp; Azure Functions")</f>
        <v>Serverless for Beginners: Learn AWS Lambda &amp; Azure Functions</v>
      </c>
    </row>
    <row r="8108">
      <c r="A8108" s="140" t="str">
        <f>IFERROR(__xludf.DUMMYFUNCTION("""COMPUTED_VALUE"""),"zh")</f>
        <v>zh</v>
      </c>
      <c r="B8108">
        <f>IFERROR(__xludf.DUMMYFUNCTION("""COMPUTED_VALUE"""),1159836.0)</f>
        <v>1159836</v>
      </c>
      <c r="C8108" t="str">
        <f>IFERROR(__xludf.DUMMYFUNCTION("""COMPUTED_VALUE"""),"Selenium WebDriver自动化测试Java版 +面试问题（中文讲解）")</f>
        <v>Selenium WebDriver自动化测试Java版 +面试问题（中文讲解）</v>
      </c>
    </row>
    <row r="8109">
      <c r="A8109" s="140" t="str">
        <f>IFERROR(__xludf.DUMMYFUNCTION("""COMPUTED_VALUE"""),"es")</f>
        <v>es</v>
      </c>
      <c r="B8109">
        <f>IFERROR(__xludf.DUMMYFUNCTION("""COMPUTED_VALUE"""),1609328.0)</f>
        <v>1609328</v>
      </c>
      <c r="C8109" t="str">
        <f>IFERROR(__xludf.DUMMYFUNCTION("""COMPUTED_VALUE"""),"Sistema de ventas en ASP.NET MVC en C# and SQL full stack")</f>
        <v>Sistema de ventas en ASP.NET MVC en C# and SQL full stack</v>
      </c>
    </row>
    <row r="8110">
      <c r="A8110" s="140" t="str">
        <f>IFERROR(__xludf.DUMMYFUNCTION("""COMPUTED_VALUE"""),"de")</f>
        <v>de</v>
      </c>
      <c r="B8110">
        <f>IFERROR(__xludf.DUMMYFUNCTION("""COMPUTED_VALUE"""),1212264.0)</f>
        <v>1212264</v>
      </c>
      <c r="C8110" t="str">
        <f>IFERROR(__xludf.DUMMYFUNCTION("""COMPUTED_VALUE"""),"Argumentieren - Überzeugen - Durchsetzen!")</f>
        <v>Argumentieren - Überzeugen - Durchsetzen!</v>
      </c>
    </row>
    <row r="8111">
      <c r="A8111" s="140" t="str">
        <f>IFERROR(__xludf.DUMMYFUNCTION("""COMPUTED_VALUE"""),"ja")</f>
        <v>ja</v>
      </c>
      <c r="B8111">
        <f>IFERROR(__xludf.DUMMYFUNCTION("""COMPUTED_VALUE"""),2603102.0)</f>
        <v>2603102</v>
      </c>
      <c r="C8111" t="str">
        <f>IFERROR(__xludf.DUMMYFUNCTION("""COMPUTED_VALUE"""),"【超実践】すぐに使えるデザイン思考！〜基本をおさえ、日常にイノベーションを起こす38個の習慣〜")</f>
        <v>【超実践】すぐに使えるデザイン思考！〜基本をおさえ、日常にイノベーションを起こす38個の習慣〜</v>
      </c>
    </row>
    <row r="8112">
      <c r="A8112" s="140" t="str">
        <f>IFERROR(__xludf.DUMMYFUNCTION("""COMPUTED_VALUE"""),"en")</f>
        <v>en</v>
      </c>
      <c r="B8112">
        <f>IFERROR(__xludf.DUMMYFUNCTION("""COMPUTED_VALUE"""),1079760.0)</f>
        <v>1079760</v>
      </c>
      <c r="C8112" t="str">
        <f>IFERROR(__xludf.DUMMYFUNCTION("""COMPUTED_VALUE"""),"Certified Bitcoin Professional: Pass The Certification Exam")</f>
        <v>Certified Bitcoin Professional: Pass The Certification Exam</v>
      </c>
    </row>
    <row r="8113">
      <c r="A8113" s="140" t="str">
        <f>IFERROR(__xludf.DUMMYFUNCTION("""COMPUTED_VALUE"""),"es")</f>
        <v>es</v>
      </c>
      <c r="B8113">
        <f>IFERROR(__xludf.DUMMYFUNCTION("""COMPUTED_VALUE"""),3912606.0)</f>
        <v>3912606</v>
      </c>
      <c r="C8113" t="str">
        <f>IFERROR(__xludf.DUMMYFUNCTION("""COMPUTED_VALUE"""),"Seguridad Informática - Aprende Kali Linux desde cero")</f>
        <v>Seguridad Informática - Aprende Kali Linux desde cero</v>
      </c>
    </row>
    <row r="8114">
      <c r="A8114" s="140" t="str">
        <f>IFERROR(__xludf.DUMMYFUNCTION("""COMPUTED_VALUE"""),"en")</f>
        <v>en</v>
      </c>
      <c r="B8114">
        <f>IFERROR(__xludf.DUMMYFUNCTION("""COMPUTED_VALUE"""),2175326.0)</f>
        <v>2175326</v>
      </c>
      <c r="C8114" t="str">
        <f>IFERROR(__xludf.DUMMYFUNCTION("""COMPUTED_VALUE"""),"CCDAK Confluent Certified Developer for Apache Kafka TESTS")</f>
        <v>CCDAK Confluent Certified Developer for Apache Kafka TESTS</v>
      </c>
    </row>
    <row r="8115">
      <c r="A8115" s="140" t="str">
        <f>IFERROR(__xludf.DUMMYFUNCTION("""COMPUTED_VALUE"""),"en")</f>
        <v>en</v>
      </c>
      <c r="B8115">
        <f>IFERROR(__xludf.DUMMYFUNCTION("""COMPUTED_VALUE"""),2625994.0)</f>
        <v>2625994</v>
      </c>
      <c r="C8115" t="str">
        <f>IFERROR(__xludf.DUMMYFUNCTION("""COMPUTED_VALUE"""),"IPSEC VPN Tunnel on MikroTik")</f>
        <v>IPSEC VPN Tunnel on MikroTik</v>
      </c>
    </row>
    <row r="8116">
      <c r="A8116" s="140" t="str">
        <f>IFERROR(__xludf.DUMMYFUNCTION("""COMPUTED_VALUE"""),"en")</f>
        <v>en</v>
      </c>
      <c r="B8116">
        <f>IFERROR(__xludf.DUMMYFUNCTION("""COMPUTED_VALUE"""),3713134.0)</f>
        <v>3713134</v>
      </c>
      <c r="C8116" t="str">
        <f>IFERROR(__xludf.DUMMYFUNCTION("""COMPUTED_VALUE"""),"Design Thinking Crash Course | From Beginner to Practitioner")</f>
        <v>Design Thinking Crash Course | From Beginner to Practitioner</v>
      </c>
    </row>
    <row r="8117">
      <c r="A8117" s="140" t="str">
        <f>IFERROR(__xludf.DUMMYFUNCTION("""COMPUTED_VALUE"""),"en")</f>
        <v>en</v>
      </c>
      <c r="B8117">
        <f>IFERROR(__xludf.DUMMYFUNCTION("""COMPUTED_VALUE"""),2677498.0)</f>
        <v>2677498</v>
      </c>
      <c r="C8117" t="str">
        <f>IFERROR(__xludf.DUMMYFUNCTION("""COMPUTED_VALUE"""),"The Complete Git Guide: Understand and master Git and GitHub")</f>
        <v>The Complete Git Guide: Understand and master Git and GitHub</v>
      </c>
    </row>
    <row r="8118">
      <c r="A8118" s="140" t="str">
        <f>IFERROR(__xludf.DUMMYFUNCTION("""COMPUTED_VALUE"""),"pt")</f>
        <v>pt</v>
      </c>
      <c r="B8118">
        <f>IFERROR(__xludf.DUMMYFUNCTION("""COMPUTED_VALUE"""),3157978.0)</f>
        <v>3157978</v>
      </c>
      <c r="C8118" t="str">
        <f>IFERROR(__xludf.DUMMYFUNCTION("""COMPUTED_VALUE"""),"JasperReports, JasperStudio e JasperServer na prática")</f>
        <v>JasperReports, JasperStudio e JasperServer na prática</v>
      </c>
    </row>
    <row r="8119">
      <c r="A8119" s="140" t="str">
        <f>IFERROR(__xludf.DUMMYFUNCTION("""COMPUTED_VALUE"""),"en")</f>
        <v>en</v>
      </c>
      <c r="B8119">
        <f>IFERROR(__xludf.DUMMYFUNCTION("""COMPUTED_VALUE"""),585064.0)</f>
        <v>585064</v>
      </c>
      <c r="C8119" t="str">
        <f>IFERROR(__xludf.DUMMYFUNCTION("""COMPUTED_VALUE"""),"Culture | How to be a Great Coach")</f>
        <v>Culture | How to be a Great Coach</v>
      </c>
    </row>
    <row r="8120">
      <c r="A8120" s="140" t="str">
        <f>IFERROR(__xludf.DUMMYFUNCTION("""COMPUTED_VALUE"""),"en")</f>
        <v>en</v>
      </c>
      <c r="B8120">
        <f>IFERROR(__xludf.DUMMYFUNCTION("""COMPUTED_VALUE"""),4197198.0)</f>
        <v>4197198</v>
      </c>
      <c r="C8120" t="str">
        <f>IFERROR(__xludf.DUMMYFUNCTION("""COMPUTED_VALUE"""),"AZ-700 Designing and Implementing Azure Networking Exam 2021")</f>
        <v>AZ-700 Designing and Implementing Azure Networking Exam 2021</v>
      </c>
    </row>
    <row r="8121">
      <c r="A8121" s="140" t="str">
        <f>IFERROR(__xludf.DUMMYFUNCTION("""COMPUTED_VALUE"""),"en")</f>
        <v>en</v>
      </c>
      <c r="B8121">
        <f>IFERROR(__xludf.DUMMYFUNCTION("""COMPUTED_VALUE"""),937894.0)</f>
        <v>937894</v>
      </c>
      <c r="C8121" t="str">
        <f>IFERROR(__xludf.DUMMYFUNCTION("""COMPUTED_VALUE"""),"Sales Cloud Consultant Certification: Rapid Exam Prep")</f>
        <v>Sales Cloud Consultant Certification: Rapid Exam Prep</v>
      </c>
    </row>
    <row r="8122">
      <c r="A8122" s="140" t="str">
        <f>IFERROR(__xludf.DUMMYFUNCTION("""COMPUTED_VALUE"""),"en")</f>
        <v>en</v>
      </c>
      <c r="B8122">
        <f>IFERROR(__xludf.DUMMYFUNCTION("""COMPUTED_VALUE"""),935288.0)</f>
        <v>935288</v>
      </c>
      <c r="C8122" t="str">
        <f>IFERROR(__xludf.DUMMYFUNCTION("""COMPUTED_VALUE"""),"Quick Start to GTD")</f>
        <v>Quick Start to GTD</v>
      </c>
    </row>
    <row r="8123">
      <c r="A8123" s="140" t="str">
        <f>IFERROR(__xludf.DUMMYFUNCTION("""COMPUTED_VALUE"""),"en")</f>
        <v>en</v>
      </c>
      <c r="B8123">
        <f>IFERROR(__xludf.DUMMYFUNCTION("""COMPUTED_VALUE"""),3174934.0)</f>
        <v>3174934</v>
      </c>
      <c r="C8123" t="str">
        <f>IFERROR(__xludf.DUMMYFUNCTION("""COMPUTED_VALUE"""),"Deployment of Machine Learning Models in Production | Python")</f>
        <v>Deployment of Machine Learning Models in Production | Python</v>
      </c>
    </row>
    <row r="8124">
      <c r="A8124" s="140" t="str">
        <f>IFERROR(__xludf.DUMMYFUNCTION("""COMPUTED_VALUE"""),"en")</f>
        <v>en</v>
      </c>
      <c r="B8124">
        <f>IFERROR(__xludf.DUMMYFUNCTION("""COMPUTED_VALUE"""),2603366.0)</f>
        <v>2603366</v>
      </c>
      <c r="C8124" t="str">
        <f>IFERROR(__xludf.DUMMYFUNCTION("""COMPUTED_VALUE"""),"A Consultant's Guide to PowerPoint")</f>
        <v>A Consultant's Guide to PowerPoint</v>
      </c>
    </row>
    <row r="8125">
      <c r="A8125" s="140" t="str">
        <f>IFERROR(__xludf.DUMMYFUNCTION("""COMPUTED_VALUE"""),"en")</f>
        <v>en</v>
      </c>
      <c r="B8125">
        <f>IFERROR(__xludf.DUMMYFUNCTION("""COMPUTED_VALUE"""),614962.0)</f>
        <v>614962</v>
      </c>
      <c r="C8125" t="str">
        <f>IFERROR(__xludf.DUMMYFUNCTION("""COMPUTED_VALUE"""),"AWS CodeDeploy")</f>
        <v>AWS CodeDeploy</v>
      </c>
    </row>
    <row r="8126">
      <c r="A8126" s="140" t="str">
        <f>IFERROR(__xludf.DUMMYFUNCTION("""COMPUTED_VALUE"""),"en")</f>
        <v>en</v>
      </c>
      <c r="B8126">
        <f>IFERROR(__xludf.DUMMYFUNCTION("""COMPUTED_VALUE"""),1493346.0)</f>
        <v>1493346</v>
      </c>
      <c r="C8126" t="str">
        <f>IFERROR(__xludf.DUMMYFUNCTION("""COMPUTED_VALUE"""),"YouTube Marketing: Grow Your Business with YouTube")</f>
        <v>YouTube Marketing: Grow Your Business with YouTube</v>
      </c>
    </row>
    <row r="8127">
      <c r="A8127" s="140" t="str">
        <f>IFERROR(__xludf.DUMMYFUNCTION("""COMPUTED_VALUE"""),"en")</f>
        <v>en</v>
      </c>
      <c r="B8127">
        <f>IFERROR(__xludf.DUMMYFUNCTION("""COMPUTED_VALUE"""),1767160.0)</f>
        <v>1767160</v>
      </c>
      <c r="C8127" t="str">
        <f>IFERROR(__xludf.DUMMYFUNCTION("""COMPUTED_VALUE"""),"Dynamic Programming - I")</f>
        <v>Dynamic Programming - I</v>
      </c>
    </row>
    <row r="8128">
      <c r="A8128" s="140" t="str">
        <f>IFERROR(__xludf.DUMMYFUNCTION("""COMPUTED_VALUE"""),"es")</f>
        <v>es</v>
      </c>
      <c r="B8128">
        <f>IFERROR(__xludf.DUMMYFUNCTION("""COMPUTED_VALUE"""),2628104.0)</f>
        <v>2628104</v>
      </c>
      <c r="C8128" t="str">
        <f>IFERROR(__xludf.DUMMYFUNCTION("""COMPUTED_VALUE"""),"Excel Completo - Desde Principiante Hasta Avanzado")</f>
        <v>Excel Completo - Desde Principiante Hasta Avanzado</v>
      </c>
    </row>
    <row r="8129">
      <c r="A8129" s="140" t="str">
        <f>IFERROR(__xludf.DUMMYFUNCTION("""COMPUTED_VALUE"""),"pt")</f>
        <v>pt</v>
      </c>
      <c r="B8129">
        <f>IFERROR(__xludf.DUMMYFUNCTION("""COMPUTED_VALUE"""),1345324.0)</f>
        <v>1345324</v>
      </c>
      <c r="C8129" t="str">
        <f>IFERROR(__xludf.DUMMYFUNCTION("""COMPUTED_VALUE"""),"Jogos 3D com Unity + modo multiplayer")</f>
        <v>Jogos 3D com Unity + modo multiplayer</v>
      </c>
    </row>
    <row r="8130">
      <c r="A8130" s="140" t="str">
        <f>IFERROR(__xludf.DUMMYFUNCTION("""COMPUTED_VALUE"""),"ar")</f>
        <v>ar</v>
      </c>
      <c r="B8130">
        <f>IFERROR(__xludf.DUMMYFUNCTION("""COMPUTED_VALUE"""),2468278.0)</f>
        <v>2468278</v>
      </c>
      <c r="C8130" t="str">
        <f>IFERROR(__xludf.DUMMYFUNCTION("""COMPUTED_VALUE"""),"التصميم المعماري بـ  أوتوكاد - ريفيت - 3دي ماكس - فوتوشوب")</f>
        <v>التصميم المعماري بـ  أوتوكاد - ريفيت - 3دي ماكس - فوتوشوب</v>
      </c>
    </row>
    <row r="8131">
      <c r="A8131" s="140" t="str">
        <f>IFERROR(__xludf.DUMMYFUNCTION("""COMPUTED_VALUE"""),"en")</f>
        <v>en</v>
      </c>
      <c r="B8131">
        <f>IFERROR(__xludf.DUMMYFUNCTION("""COMPUTED_VALUE"""),99986.0)</f>
        <v>99986</v>
      </c>
      <c r="C8131" t="str">
        <f>IFERROR(__xludf.DUMMYFUNCTION("""COMPUTED_VALUE"""),"Introduction to Web Development")</f>
        <v>Introduction to Web Development</v>
      </c>
    </row>
    <row r="8132">
      <c r="A8132" s="140" t="str">
        <f>IFERROR(__xludf.DUMMYFUNCTION("""COMPUTED_VALUE"""),"en")</f>
        <v>en</v>
      </c>
      <c r="B8132">
        <f>IFERROR(__xludf.DUMMYFUNCTION("""COMPUTED_VALUE"""),2687366.0)</f>
        <v>2687366</v>
      </c>
      <c r="C8132" t="str">
        <f>IFERROR(__xludf.DUMMYFUNCTION("""COMPUTED_VALUE"""),"DP-200 Implementing Azure Data Exam Prep In One Day")</f>
        <v>DP-200 Implementing Azure Data Exam Prep In One Day</v>
      </c>
    </row>
    <row r="8133">
      <c r="A8133" s="140" t="str">
        <f>IFERROR(__xludf.DUMMYFUNCTION("""COMPUTED_VALUE"""),"en")</f>
        <v>en</v>
      </c>
      <c r="B8133">
        <f>IFERROR(__xludf.DUMMYFUNCTION("""COMPUTED_VALUE"""),978566.0)</f>
        <v>978566</v>
      </c>
      <c r="C8133" t="str">
        <f>IFERROR(__xludf.DUMMYFUNCTION("""COMPUTED_VALUE"""),"Design stunning Social Media Marketing Images with Photoshop")</f>
        <v>Design stunning Social Media Marketing Images with Photoshop</v>
      </c>
    </row>
    <row r="8134">
      <c r="A8134" s="140" t="str">
        <f>IFERROR(__xludf.DUMMYFUNCTION("""COMPUTED_VALUE"""),"en")</f>
        <v>en</v>
      </c>
      <c r="B8134">
        <f>IFERROR(__xludf.DUMMYFUNCTION("""COMPUTED_VALUE"""),1350984.0)</f>
        <v>1350984</v>
      </c>
      <c r="C8134" t="str">
        <f>IFERROR(__xludf.DUMMYFUNCTION("""COMPUTED_VALUE"""),"The Modern Python 3 Bootcamp")</f>
        <v>The Modern Python 3 Bootcamp</v>
      </c>
    </row>
    <row r="8135">
      <c r="A8135" s="140" t="str">
        <f>IFERROR(__xludf.DUMMYFUNCTION("""COMPUTED_VALUE"""),"en")</f>
        <v>en</v>
      </c>
      <c r="B8135">
        <f>IFERROR(__xludf.DUMMYFUNCTION("""COMPUTED_VALUE"""),2291985.0)</f>
        <v>2291985</v>
      </c>
      <c r="C8135" t="str">
        <f>IFERROR(__xludf.DUMMYFUNCTION("""COMPUTED_VALUE"""),"Building Internet of Things Projects with Arduino IOT Cloud")</f>
        <v>Building Internet of Things Projects with Arduino IOT Cloud</v>
      </c>
    </row>
    <row r="8136">
      <c r="A8136" s="140" t="str">
        <f>IFERROR(__xludf.DUMMYFUNCTION("""COMPUTED_VALUE"""),"es")</f>
        <v>es</v>
      </c>
      <c r="B8136">
        <f>IFERROR(__xludf.DUMMYFUNCTION("""COMPUTED_VALUE"""),3199242.0)</f>
        <v>3199242</v>
      </c>
      <c r="C8136" t="str">
        <f>IFERROR(__xludf.DUMMYFUNCTION("""COMPUTED_VALUE"""),"Agile + Scrum: Curso intensivo para sumergirse y profundizar")</f>
        <v>Agile + Scrum: Curso intensivo para sumergirse y profundizar</v>
      </c>
    </row>
    <row r="8137">
      <c r="A8137" s="140" t="str">
        <f>IFERROR(__xludf.DUMMYFUNCTION("""COMPUTED_VALUE"""),"en")</f>
        <v>en</v>
      </c>
      <c r="B8137">
        <f>IFERROR(__xludf.DUMMYFUNCTION("""COMPUTED_VALUE"""),965832.0)</f>
        <v>965832</v>
      </c>
      <c r="C8137" t="str">
        <f>IFERROR(__xludf.DUMMYFUNCTION("""COMPUTED_VALUE"""),"The Complete Investment Banking Course 2021")</f>
        <v>The Complete Investment Banking Course 2021</v>
      </c>
    </row>
    <row r="8138">
      <c r="A8138" s="140" t="str">
        <f>IFERROR(__xludf.DUMMYFUNCTION("""COMPUTED_VALUE"""),"es")</f>
        <v>es</v>
      </c>
      <c r="B8138">
        <f>IFERROR(__xludf.DUMMYFUNCTION("""COMPUTED_VALUE"""),1326196.0)</f>
        <v>1326196</v>
      </c>
      <c r="C8138" t="str">
        <f>IFERROR(__xludf.DUMMYFUNCTION("""COMPUTED_VALUE"""),"Hacking Ético Profesional - Fundamentos")</f>
        <v>Hacking Ético Profesional - Fundamentos</v>
      </c>
    </row>
    <row r="8139">
      <c r="A8139" s="140" t="str">
        <f>IFERROR(__xludf.DUMMYFUNCTION("""COMPUTED_VALUE"""),"es")</f>
        <v>es</v>
      </c>
      <c r="B8139">
        <f>IFERROR(__xludf.DUMMYFUNCTION("""COMPUTED_VALUE"""),560146.0)</f>
        <v>560146</v>
      </c>
      <c r="C8139" t="str">
        <f>IFERROR(__xludf.DUMMYFUNCTION("""COMPUTED_VALUE"""),"Objetivo Inglés: lo que no te enseñaron en la escuela")</f>
        <v>Objetivo Inglés: lo que no te enseñaron en la escuela</v>
      </c>
    </row>
    <row r="8140">
      <c r="A8140" s="140" t="str">
        <f>IFERROR(__xludf.DUMMYFUNCTION("""COMPUTED_VALUE"""),"ja")</f>
        <v>ja</v>
      </c>
      <c r="B8140">
        <f>IFERROR(__xludf.DUMMYFUNCTION("""COMPUTED_VALUE"""),1973926.0)</f>
        <v>1973926</v>
      </c>
      <c r="C8140" t="str">
        <f>IFERROR(__xludf.DUMMYFUNCTION("""COMPUTED_VALUE"""),"【Kaggleで学ぼう】Python と Keras で学ぶディープラーニング開発入門")</f>
        <v>【Kaggleで学ぼう】Python と Keras で学ぶディープラーニング開発入門</v>
      </c>
    </row>
    <row r="8141">
      <c r="A8141" s="140" t="str">
        <f>IFERROR(__xludf.DUMMYFUNCTION("""COMPUTED_VALUE"""),"en")</f>
        <v>en</v>
      </c>
      <c r="B8141">
        <f>IFERROR(__xludf.DUMMYFUNCTION("""COMPUTED_VALUE"""),1125778.0)</f>
        <v>1125778</v>
      </c>
      <c r="C8141" t="str">
        <f>IFERROR(__xludf.DUMMYFUNCTION("""COMPUTED_VALUE"""),"Mastering Reactive Extensions with C# and .NET")</f>
        <v>Mastering Reactive Extensions with C# and .NET</v>
      </c>
    </row>
    <row r="8142">
      <c r="A8142" s="140" t="str">
        <f>IFERROR(__xludf.DUMMYFUNCTION("""COMPUTED_VALUE"""),"en")</f>
        <v>en</v>
      </c>
      <c r="B8142">
        <f>IFERROR(__xludf.DUMMYFUNCTION("""COMPUTED_VALUE"""),1432010.0)</f>
        <v>1432010</v>
      </c>
      <c r="C8142" t="str">
        <f>IFERROR(__xludf.DUMMYFUNCTION("""COMPUTED_VALUE"""),"Pre-Investing: Essential Real Estate Investing Concepts")</f>
        <v>Pre-Investing: Essential Real Estate Investing Concepts</v>
      </c>
    </row>
    <row r="8143">
      <c r="A8143" s="140" t="str">
        <f>IFERROR(__xludf.DUMMYFUNCTION("""COMPUTED_VALUE"""),"ja")</f>
        <v>ja</v>
      </c>
      <c r="B8143">
        <f>IFERROR(__xludf.DUMMYFUNCTION("""COMPUTED_VALUE"""),3228721.0)</f>
        <v>3228721</v>
      </c>
      <c r="C8143" t="str">
        <f>IFERROR(__xludf.DUMMYFUNCTION("""COMPUTED_VALUE"""),"作りながら覚えるMicrosoft Azure入門講座（PaaS編）")</f>
        <v>作りながら覚えるMicrosoft Azure入門講座（PaaS編）</v>
      </c>
    </row>
    <row r="8144">
      <c r="A8144" s="140" t="str">
        <f>IFERROR(__xludf.DUMMYFUNCTION("""COMPUTED_VALUE"""),"pt")</f>
        <v>pt</v>
      </c>
      <c r="B8144">
        <f>IFERROR(__xludf.DUMMYFUNCTION("""COMPUTED_VALUE"""),3238269.0)</f>
        <v>3238269</v>
      </c>
      <c r="C8144" t="str">
        <f>IFERROR(__xludf.DUMMYFUNCTION("""COMPUTED_VALUE"""),"Curso completo de colagem digital")</f>
        <v>Curso completo de colagem digital</v>
      </c>
    </row>
    <row r="8145">
      <c r="A8145" s="140" t="str">
        <f>IFERROR(__xludf.DUMMYFUNCTION("""COMPUTED_VALUE"""),"es")</f>
        <v>es</v>
      </c>
      <c r="B8145">
        <f>IFERROR(__xludf.DUMMYFUNCTION("""COMPUTED_VALUE"""),3433572.0)</f>
        <v>3433572</v>
      </c>
      <c r="C8145" t="str">
        <f>IFERROR(__xludf.DUMMYFUNCTION("""COMPUTED_VALUE"""),"Adobe Illustrator en 2021: ¡De Cero a Avanzado!")</f>
        <v>Adobe Illustrator en 2021: ¡De Cero a Avanzado!</v>
      </c>
    </row>
    <row r="8146">
      <c r="A8146" s="140" t="str">
        <f>IFERROR(__xludf.DUMMYFUNCTION("""COMPUTED_VALUE"""),"en")</f>
        <v>en</v>
      </c>
      <c r="B8146">
        <f>IFERROR(__xludf.DUMMYFUNCTION("""COMPUTED_VALUE"""),2709470.0)</f>
        <v>2709470</v>
      </c>
      <c r="C8146" t="str">
        <f>IFERROR(__xludf.DUMMYFUNCTION("""COMPUTED_VALUE"""),"Creational Design Patterns in Modern C++")</f>
        <v>Creational Design Patterns in Modern C++</v>
      </c>
    </row>
    <row r="8147">
      <c r="A8147" s="140" t="str">
        <f>IFERROR(__xludf.DUMMYFUNCTION("""COMPUTED_VALUE"""),"en")</f>
        <v>en</v>
      </c>
      <c r="B8147">
        <f>IFERROR(__xludf.DUMMYFUNCTION("""COMPUTED_VALUE"""),1242944.0)</f>
        <v>1242944</v>
      </c>
      <c r="C8147" t="str">
        <f>IFERROR(__xludf.DUMMYFUNCTION("""COMPUTED_VALUE"""),"Data Analysis Essentials Using Excel")</f>
        <v>Data Analysis Essentials Using Excel</v>
      </c>
    </row>
    <row r="8148">
      <c r="A8148" s="140" t="str">
        <f>IFERROR(__xludf.DUMMYFUNCTION("""COMPUTED_VALUE"""),"en")</f>
        <v>en</v>
      </c>
      <c r="B8148">
        <f>IFERROR(__xludf.DUMMYFUNCTION("""COMPUTED_VALUE"""),1194928.0)</f>
        <v>1194928</v>
      </c>
      <c r="C8148" t="str">
        <f>IFERROR(__xludf.DUMMYFUNCTION("""COMPUTED_VALUE"""),"Ionic 3 Apps for WooCommerce: Build an eCommerce Mobile App")</f>
        <v>Ionic 3 Apps for WooCommerce: Build an eCommerce Mobile App</v>
      </c>
    </row>
    <row r="8149">
      <c r="A8149" s="140" t="str">
        <f>IFERROR(__xludf.DUMMYFUNCTION("""COMPUTED_VALUE"""),"en")</f>
        <v>en</v>
      </c>
      <c r="B8149">
        <f>IFERROR(__xludf.DUMMYFUNCTION("""COMPUTED_VALUE"""),707876.0)</f>
        <v>707876</v>
      </c>
      <c r="C8149" t="str">
        <f>IFERROR(__xludf.DUMMYFUNCTION("""COMPUTED_VALUE"""),"Learn Professional 2D Game Graphic Design in Photoshop")</f>
        <v>Learn Professional 2D Game Graphic Design in Photoshop</v>
      </c>
    </row>
    <row r="8150">
      <c r="A8150" s="140" t="str">
        <f>IFERROR(__xludf.DUMMYFUNCTION("""COMPUTED_VALUE"""),"en")</f>
        <v>en</v>
      </c>
      <c r="B8150">
        <f>IFERROR(__xludf.DUMMYFUNCTION("""COMPUTED_VALUE"""),3012126.0)</f>
        <v>3012126</v>
      </c>
      <c r="C8150" t="str">
        <f>IFERROR(__xludf.DUMMYFUNCTION("""COMPUTED_VALUE"""),"Ethical Hacking / Penetration Testing &amp; Bug Bounty Hunting")</f>
        <v>Ethical Hacking / Penetration Testing &amp; Bug Bounty Hunting</v>
      </c>
    </row>
    <row r="8151">
      <c r="A8151" s="140" t="str">
        <f>IFERROR(__xludf.DUMMYFUNCTION("""COMPUTED_VALUE"""),"en")</f>
        <v>en</v>
      </c>
      <c r="B8151">
        <f>IFERROR(__xludf.DUMMYFUNCTION("""COMPUTED_VALUE"""),3243024.0)</f>
        <v>3243024</v>
      </c>
      <c r="C8151" t="str">
        <f>IFERROR(__xludf.DUMMYFUNCTION("""COMPUTED_VALUE"""),"Instagram Firestore App Clone | Swift 5 + iOS 14 | MVVM")</f>
        <v>Instagram Firestore App Clone | Swift 5 + iOS 14 | MVVM</v>
      </c>
    </row>
    <row r="8152">
      <c r="A8152" s="140" t="str">
        <f>IFERROR(__xludf.DUMMYFUNCTION("""COMPUTED_VALUE"""),"en")</f>
        <v>en</v>
      </c>
      <c r="B8152">
        <f>IFERROR(__xludf.DUMMYFUNCTION("""COMPUTED_VALUE"""),1664822.0)</f>
        <v>1664822</v>
      </c>
      <c r="C8152" t="str">
        <f>IFERROR(__xludf.DUMMYFUNCTION("""COMPUTED_VALUE"""),"Bitcoin and Cryptocurrency Bootcamp")</f>
        <v>Bitcoin and Cryptocurrency Bootcamp</v>
      </c>
    </row>
    <row r="8153">
      <c r="A8153" s="140" t="str">
        <f>IFERROR(__xludf.DUMMYFUNCTION("""COMPUTED_VALUE"""),"en")</f>
        <v>en</v>
      </c>
      <c r="B8153">
        <f>IFERROR(__xludf.DUMMYFUNCTION("""COMPUTED_VALUE"""),348116.0)</f>
        <v>348116</v>
      </c>
      <c r="C8153" t="str">
        <f>IFERROR(__xludf.DUMMYFUNCTION("""COMPUTED_VALUE"""),"Photoshop In-Depth: Master all of Photoshop's Tools Easily")</f>
        <v>Photoshop In-Depth: Master all of Photoshop's Tools Easily</v>
      </c>
    </row>
    <row r="8154">
      <c r="A8154" s="140" t="str">
        <f>IFERROR(__xludf.DUMMYFUNCTION("""COMPUTED_VALUE"""),"ja")</f>
        <v>ja</v>
      </c>
      <c r="B8154">
        <f>IFERROR(__xludf.DUMMYFUNCTION("""COMPUTED_VALUE"""),3094318.0)</f>
        <v>3094318</v>
      </c>
      <c r="C8154" t="str">
        <f>IFERROR(__xludf.DUMMYFUNCTION("""COMPUTED_VALUE"""),"WEBデザイン講座 Level2《ステップアップ》コース※FlexboxとメディアクエリでレスポンシブWEBサイトを作る")</f>
        <v>WEBデザイン講座 Level2《ステップアップ》コース※FlexboxとメディアクエリでレスポンシブWEBサイトを作る</v>
      </c>
    </row>
    <row r="8155">
      <c r="A8155" s="140" t="str">
        <f>IFERROR(__xludf.DUMMYFUNCTION("""COMPUTED_VALUE"""),"en")</f>
        <v>en</v>
      </c>
      <c r="B8155">
        <f>IFERROR(__xludf.DUMMYFUNCTION("""COMPUTED_VALUE"""),3570337.0)</f>
        <v>3570337</v>
      </c>
      <c r="C8155" t="str">
        <f>IFERROR(__xludf.DUMMYFUNCTION("""COMPUTED_VALUE"""),"The Data Analyst Course: Complete Data Analyst Bootcamp 2021")</f>
        <v>The Data Analyst Course: Complete Data Analyst Bootcamp 2021</v>
      </c>
    </row>
    <row r="8156">
      <c r="A8156" s="140" t="str">
        <f>IFERROR(__xludf.DUMMYFUNCTION("""COMPUTED_VALUE"""),"es")</f>
        <v>es</v>
      </c>
      <c r="B8156">
        <f>IFERROR(__xludf.DUMMYFUNCTION("""COMPUTED_VALUE"""),3246604.0)</f>
        <v>3246604</v>
      </c>
      <c r="C8156" t="str">
        <f>IFERROR(__xludf.DUMMYFUNCTION("""COMPUTED_VALUE"""),"Moodle 3.9. para profesores")</f>
        <v>Moodle 3.9. para profesores</v>
      </c>
    </row>
    <row r="8157">
      <c r="A8157" s="140" t="str">
        <f>IFERROR(__xludf.DUMMYFUNCTION("""COMPUTED_VALUE"""),"pt")</f>
        <v>pt</v>
      </c>
      <c r="B8157">
        <f>IFERROR(__xludf.DUMMYFUNCTION("""COMPUTED_VALUE"""),1364804.0)</f>
        <v>1364804</v>
      </c>
      <c r="C8157" t="str">
        <f>IFERROR(__xludf.DUMMYFUNCTION("""COMPUTED_VALUE"""),"Python 3 COMPLETO - Do iniciante ao avançado!")</f>
        <v>Python 3 COMPLETO - Do iniciante ao avançado!</v>
      </c>
    </row>
    <row r="8158">
      <c r="A8158" s="140" t="str">
        <f>IFERROR(__xludf.DUMMYFUNCTION("""COMPUTED_VALUE"""),"en")</f>
        <v>en</v>
      </c>
      <c r="B8158">
        <f>IFERROR(__xludf.DUMMYFUNCTION("""COMPUTED_VALUE"""),109880.0)</f>
        <v>109880</v>
      </c>
      <c r="C8158" t="str">
        <f>IFERROR(__xludf.DUMMYFUNCTION("""COMPUTED_VALUE"""),"Comprehensive Microsoft Excel")</f>
        <v>Comprehensive Microsoft Excel</v>
      </c>
    </row>
    <row r="8159">
      <c r="A8159" s="140" t="str">
        <f>IFERROR(__xludf.DUMMYFUNCTION("""COMPUTED_VALUE"""),"en")</f>
        <v>en</v>
      </c>
      <c r="B8159">
        <f>IFERROR(__xludf.DUMMYFUNCTION("""COMPUTED_VALUE"""),874604.0)</f>
        <v>874604</v>
      </c>
      <c r="C8159" t="str">
        <f>IFERROR(__xludf.DUMMYFUNCTION("""COMPUTED_VALUE"""),"The Ultimate Marketing Training 2020 - Sales Copy Academy")</f>
        <v>The Ultimate Marketing Training 2020 - Sales Copy Academy</v>
      </c>
    </row>
    <row r="8160">
      <c r="A8160" s="140" t="str">
        <f>IFERROR(__xludf.DUMMYFUNCTION("""COMPUTED_VALUE"""),"pt")</f>
        <v>pt</v>
      </c>
      <c r="B8160">
        <f>IFERROR(__xludf.DUMMYFUNCTION("""COMPUTED_VALUE"""),1066560.0)</f>
        <v>1066560</v>
      </c>
      <c r="C8160" t="str">
        <f>IFERROR(__xludf.DUMMYFUNCTION("""COMPUTED_VALUE"""),"Fundamentos da Liderança + Curso Extra de Negociação")</f>
        <v>Fundamentos da Liderança + Curso Extra de Negociação</v>
      </c>
    </row>
    <row r="8161">
      <c r="A8161" s="140" t="str">
        <f>IFERROR(__xludf.DUMMYFUNCTION("""COMPUTED_VALUE"""),"es")</f>
        <v>es</v>
      </c>
      <c r="B8161">
        <f>IFERROR(__xludf.DUMMYFUNCTION("""COMPUTED_VALUE"""),3293666.0)</f>
        <v>3293666</v>
      </c>
      <c r="C8161" t="str">
        <f>IFERROR(__xludf.DUMMYFUNCTION("""COMPUTED_VALUE"""),"StoryTelling. Curso completo para profesionales y curiosos")</f>
        <v>StoryTelling. Curso completo para profesionales y curiosos</v>
      </c>
    </row>
    <row r="8162">
      <c r="A8162" s="140" t="str">
        <f>IFERROR(__xludf.DUMMYFUNCTION("""COMPUTED_VALUE"""),"en")</f>
        <v>en</v>
      </c>
      <c r="B8162">
        <f>IFERROR(__xludf.DUMMYFUNCTION("""COMPUTED_VALUE"""),4077404.0)</f>
        <v>4077404</v>
      </c>
      <c r="C8162" t="str">
        <f>IFERROR(__xludf.DUMMYFUNCTION("""COMPUTED_VALUE"""),"Productivity and Time Management Masterclass")</f>
        <v>Productivity and Time Management Masterclass</v>
      </c>
    </row>
    <row r="8163">
      <c r="A8163" s="140" t="str">
        <f>IFERROR(__xludf.DUMMYFUNCTION("""COMPUTED_VALUE"""),"en")</f>
        <v>en</v>
      </c>
      <c r="B8163">
        <f>IFERROR(__xludf.DUMMYFUNCTION("""COMPUTED_VALUE"""),4268636.0)</f>
        <v>4268636</v>
      </c>
      <c r="C8163" t="str">
        <f>IFERROR(__xludf.DUMMYFUNCTION("""COMPUTED_VALUE"""),"Deep Learning with PyTorch for Medical Image Analysis")</f>
        <v>Deep Learning with PyTorch for Medical Image Analysis</v>
      </c>
    </row>
    <row r="8164">
      <c r="A8164" s="140" t="str">
        <f>IFERROR(__xludf.DUMMYFUNCTION("""COMPUTED_VALUE"""),"en")</f>
        <v>en</v>
      </c>
      <c r="B8164">
        <f>IFERROR(__xludf.DUMMYFUNCTION("""COMPUTED_VALUE"""),44836.0)</f>
        <v>44836</v>
      </c>
      <c r="C8164" t="str">
        <f>IFERROR(__xludf.DUMMYFUNCTION("""COMPUTED_VALUE"""),"Option Spreads and Credit Spreads Bundle")</f>
        <v>Option Spreads and Credit Spreads Bundle</v>
      </c>
    </row>
    <row r="8165">
      <c r="A8165" s="140" t="str">
        <f>IFERROR(__xludf.DUMMYFUNCTION("""COMPUTED_VALUE"""),"ko")</f>
        <v>ko</v>
      </c>
      <c r="B8165">
        <f>IFERROR(__xludf.DUMMYFUNCTION("""COMPUTED_VALUE"""),3932490.0)</f>
        <v>3932490</v>
      </c>
      <c r="C8165" t="str">
        <f>IFERROR(__xludf.DUMMYFUNCTION("""COMPUTED_VALUE"""),"데이터로 말하는 앱마케팅 성과분석")</f>
        <v>데이터로 말하는 앱마케팅 성과분석</v>
      </c>
    </row>
    <row r="8166">
      <c r="A8166" s="140" t="str">
        <f>IFERROR(__xludf.DUMMYFUNCTION("""COMPUTED_VALUE"""),"pt")</f>
        <v>pt</v>
      </c>
      <c r="B8166">
        <f>IFERROR(__xludf.DUMMYFUNCTION("""COMPUTED_VALUE"""),2016712.0)</f>
        <v>2016712</v>
      </c>
      <c r="C8166" t="str">
        <f>IFERROR(__xludf.DUMMYFUNCTION("""COMPUTED_VALUE"""),"Academia BI - Analytics")</f>
        <v>Academia BI - Analytics</v>
      </c>
    </row>
    <row r="8167">
      <c r="A8167" s="140" t="str">
        <f>IFERROR(__xludf.DUMMYFUNCTION("""COMPUTED_VALUE"""),"pt")</f>
        <v>pt</v>
      </c>
      <c r="B8167">
        <f>IFERROR(__xludf.DUMMYFUNCTION("""COMPUTED_VALUE"""),944870.0)</f>
        <v>944870</v>
      </c>
      <c r="C8167" t="str">
        <f>IFERROR(__xludf.DUMMYFUNCTION("""COMPUTED_VALUE"""),"Redes Wireless - Curso Básico Profissional (Atualizado 2021)")</f>
        <v>Redes Wireless - Curso Básico Profissional (Atualizado 2021)</v>
      </c>
    </row>
    <row r="8168">
      <c r="A8168" s="140" t="str">
        <f>IFERROR(__xludf.DUMMYFUNCTION("""COMPUTED_VALUE"""),"en")</f>
        <v>en</v>
      </c>
      <c r="B8168">
        <f>IFERROR(__xludf.DUMMYFUNCTION("""COMPUTED_VALUE"""),956612.0)</f>
        <v>956612</v>
      </c>
      <c r="C8168" t="str">
        <f>IFERROR(__xludf.DUMMYFUNCTION("""COMPUTED_VALUE"""),"The Step-By-Step Guide To Your 401k Plan")</f>
        <v>The Step-By-Step Guide To Your 401k Plan</v>
      </c>
    </row>
    <row r="8169">
      <c r="A8169" s="140" t="str">
        <f>IFERROR(__xludf.DUMMYFUNCTION("""COMPUTED_VALUE"""),"es")</f>
        <v>es</v>
      </c>
      <c r="B8169">
        <f>IFERROR(__xludf.DUMMYFUNCTION("""COMPUTED_VALUE"""),3614398.0)</f>
        <v>3614398</v>
      </c>
      <c r="C8169" t="str">
        <f>IFERROR(__xludf.DUMMYFUNCTION("""COMPUTED_VALUE"""),"Aplica SQL al mundo del Data Science desde cero")</f>
        <v>Aplica SQL al mundo del Data Science desde cero</v>
      </c>
    </row>
    <row r="8170">
      <c r="A8170" s="140" t="str">
        <f>IFERROR(__xludf.DUMMYFUNCTION("""COMPUTED_VALUE"""),"ja")</f>
        <v>ja</v>
      </c>
      <c r="B8170">
        <f>IFERROR(__xludf.DUMMYFUNCTION("""COMPUTED_VALUE"""),1037862.0)</f>
        <v>1037862</v>
      </c>
      <c r="C8170" t="str">
        <f>IFERROR(__xludf.DUMMYFUNCTION("""COMPUTED_VALUE"""),"【Python 3 x Django 2.0】作りながら覚えるDjango")</f>
        <v>【Python 3 x Django 2.0】作りながら覚えるDjango</v>
      </c>
    </row>
    <row r="8171">
      <c r="A8171" s="140" t="str">
        <f>IFERROR(__xludf.DUMMYFUNCTION("""COMPUTED_VALUE"""),"es")</f>
        <v>es</v>
      </c>
      <c r="B8171">
        <f>IFERROR(__xludf.DUMMYFUNCTION("""COMPUTED_VALUE"""),1257664.0)</f>
        <v>1257664</v>
      </c>
      <c r="C8171" t="str">
        <f>IFERROR(__xludf.DUMMYFUNCTION("""COMPUTED_VALUE"""),"Secretos de Oratoria de un ex-CEO/El curso mejor calificado")</f>
        <v>Secretos de Oratoria de un ex-CEO/El curso mejor calificado</v>
      </c>
    </row>
    <row r="8172">
      <c r="A8172" s="140" t="str">
        <f>IFERROR(__xludf.DUMMYFUNCTION("""COMPUTED_VALUE"""),"tr")</f>
        <v>tr</v>
      </c>
      <c r="B8172">
        <f>IFERROR(__xludf.DUMMYFUNCTION("""COMPUTED_VALUE"""),1258436.0)</f>
        <v>1258436</v>
      </c>
      <c r="C8172" t="str">
        <f>IFERROR(__xludf.DUMMYFUNCTION("""COMPUTED_VALUE"""),"(110+ Saat) Komple Uygulamalı Web Geliştirme Eğitimi")</f>
        <v>(110+ Saat) Komple Uygulamalı Web Geliştirme Eğitimi</v>
      </c>
    </row>
    <row r="8173">
      <c r="A8173" s="140" t="str">
        <f>IFERROR(__xludf.DUMMYFUNCTION("""COMPUTED_VALUE"""),"es")</f>
        <v>es</v>
      </c>
      <c r="B8173">
        <f>IFERROR(__xludf.DUMMYFUNCTION("""COMPUTED_VALUE"""),615610.0)</f>
        <v>615610</v>
      </c>
      <c r="C8173" t="str">
        <f>IFERROR(__xludf.DUMMYFUNCTION("""COMPUTED_VALUE"""),"Tu Nutrición Saludable: Pierde peso, más salud y energía!")</f>
        <v>Tu Nutrición Saludable: Pierde peso, más salud y energía!</v>
      </c>
    </row>
    <row r="8174">
      <c r="A8174" s="140" t="str">
        <f>IFERROR(__xludf.DUMMYFUNCTION("""COMPUTED_VALUE"""),"pt")</f>
        <v>pt</v>
      </c>
      <c r="B8174">
        <f>IFERROR(__xludf.DUMMYFUNCTION("""COMPUTED_VALUE"""),2397400.0)</f>
        <v>2397400</v>
      </c>
      <c r="C8174" t="str">
        <f>IFERROR(__xludf.DUMMYFUNCTION("""COMPUTED_VALUE"""),"Dialogflow Avançado-Domine a Plataforma por Completo")</f>
        <v>Dialogflow Avançado-Domine a Plataforma por Completo</v>
      </c>
    </row>
    <row r="8175">
      <c r="A8175" s="140" t="str">
        <f>IFERROR(__xludf.DUMMYFUNCTION("""COMPUTED_VALUE"""),"ja")</f>
        <v>ja</v>
      </c>
      <c r="B8175">
        <f>IFERROR(__xludf.DUMMYFUNCTION("""COMPUTED_VALUE"""),3320520.0)</f>
        <v>3320520</v>
      </c>
      <c r="C8175" t="str">
        <f>IFERROR(__xludf.DUMMYFUNCTION("""COMPUTED_VALUE"""),"Kubernetesから始めるDX【非エンジニア/超初心者向け講座】")</f>
        <v>Kubernetesから始めるDX【非エンジニア/超初心者向け講座】</v>
      </c>
    </row>
    <row r="8176">
      <c r="A8176" s="140" t="str">
        <f>IFERROR(__xludf.DUMMYFUNCTION("""COMPUTED_VALUE"""),"es")</f>
        <v>es</v>
      </c>
      <c r="B8176">
        <f>IFERROR(__xludf.DUMMYFUNCTION("""COMPUTED_VALUE"""),2147660.0)</f>
        <v>2147660</v>
      </c>
      <c r="C8176" t="str">
        <f>IFERROR(__xludf.DUMMYFUNCTION("""COMPUTED_VALUE"""),"Lectura Rápida - Resúmenes de Libros de Desarrollo Personal")</f>
        <v>Lectura Rápida - Resúmenes de Libros de Desarrollo Personal</v>
      </c>
    </row>
    <row r="8177">
      <c r="A8177" s="140" t="str">
        <f>IFERROR(__xludf.DUMMYFUNCTION("""COMPUTED_VALUE"""),"en")</f>
        <v>en</v>
      </c>
      <c r="B8177">
        <f>IFERROR(__xludf.DUMMYFUNCTION("""COMPUTED_VALUE"""),2010270.0)</f>
        <v>2010270</v>
      </c>
      <c r="C8177" t="str">
        <f>IFERROR(__xludf.DUMMYFUNCTION("""COMPUTED_VALUE"""),"Japanese Course for Absolute Beginners (Letters, Alphabet)")</f>
        <v>Japanese Course for Absolute Beginners (Letters, Alphabet)</v>
      </c>
    </row>
    <row r="8178">
      <c r="A8178" s="140" t="str">
        <f>IFERROR(__xludf.DUMMYFUNCTION("""COMPUTED_VALUE"""),"ja")</f>
        <v>ja</v>
      </c>
      <c r="B8178">
        <f>IFERROR(__xludf.DUMMYFUNCTION("""COMPUTED_VALUE"""),4012476.0)</f>
        <v>4012476</v>
      </c>
      <c r="C8178" t="str">
        <f>IFERROR(__xludf.DUMMYFUNCTION("""COMPUTED_VALUE"""),"＜UB確認テスト＞はじめてのマーケティング ～豊富な事例をベースに理論の全体像を理解しよう！3時間半であなたもマーケタ")</f>
        <v>＜UB確認テスト＞はじめてのマーケティング ～豊富な事例をベースに理論の全体像を理解しよう！3時間半であなたもマーケタ</v>
      </c>
    </row>
    <row r="8179">
      <c r="A8179" s="140" t="str">
        <f>IFERROR(__xludf.DUMMYFUNCTION("""COMPUTED_VALUE"""),"tr")</f>
        <v>tr</v>
      </c>
      <c r="B8179">
        <f>IFERROR(__xludf.DUMMYFUNCTION("""COMPUTED_VALUE"""),1750344.0)</f>
        <v>1750344</v>
      </c>
      <c r="C8179" t="str">
        <f>IFERROR(__xludf.DUMMYFUNCTION("""COMPUTED_VALUE"""),"Data Science ve Python: Sıfırdan Uzmanlığa Veri Bilimi (2)")</f>
        <v>Data Science ve Python: Sıfırdan Uzmanlığa Veri Bilimi (2)</v>
      </c>
    </row>
    <row r="8180">
      <c r="A8180" s="140" t="str">
        <f>IFERROR(__xludf.DUMMYFUNCTION("""COMPUTED_VALUE"""),"en")</f>
        <v>en</v>
      </c>
      <c r="B8180">
        <f>IFERROR(__xludf.DUMMYFUNCTION("""COMPUTED_VALUE"""),3130146.0)</f>
        <v>3130146</v>
      </c>
      <c r="C8180" t="str">
        <f>IFERROR(__xludf.DUMMYFUNCTION("""COMPUTED_VALUE"""),"The Science, and Psychology, of Change Management !")</f>
        <v>The Science, and Psychology, of Change Management !</v>
      </c>
    </row>
    <row r="8181">
      <c r="A8181" s="140" t="str">
        <f>IFERROR(__xludf.DUMMYFUNCTION("""COMPUTED_VALUE"""),"en")</f>
        <v>en</v>
      </c>
      <c r="B8181">
        <f>IFERROR(__xludf.DUMMYFUNCTION("""COMPUTED_VALUE"""),379374.0)</f>
        <v>379374</v>
      </c>
      <c r="C8181" t="str">
        <f>IFERROR(__xludf.DUMMYFUNCTION("""COMPUTED_VALUE"""),"Learn HR Fundamentals for a Career in Human Resources")</f>
        <v>Learn HR Fundamentals for a Career in Human Resources</v>
      </c>
    </row>
    <row r="8182">
      <c r="A8182" s="140" t="str">
        <f>IFERROR(__xludf.DUMMYFUNCTION("""COMPUTED_VALUE"""),"en")</f>
        <v>en</v>
      </c>
      <c r="B8182">
        <f>IFERROR(__xludf.DUMMYFUNCTION("""COMPUTED_VALUE"""),2538582.0)</f>
        <v>2538582</v>
      </c>
      <c r="C8182" t="str">
        <f>IFERROR(__xludf.DUMMYFUNCTION("""COMPUTED_VALUE"""),"Python Programming Bootcamp")</f>
        <v>Python Programming Bootcamp</v>
      </c>
    </row>
    <row r="8183">
      <c r="A8183" s="140" t="str">
        <f>IFERROR(__xludf.DUMMYFUNCTION("""COMPUTED_VALUE"""),"ja")</f>
        <v>ja</v>
      </c>
      <c r="B8183">
        <f>IFERROR(__xludf.DUMMYFUNCTION("""COMPUTED_VALUE"""),2306314.0)</f>
        <v>2306314</v>
      </c>
      <c r="C8183" t="str">
        <f>IFERROR(__xludf.DUMMYFUNCTION("""COMPUTED_VALUE"""),"はじめてのデジタルマーケティング")</f>
        <v>はじめてのデジタルマーケティング</v>
      </c>
    </row>
    <row r="8184">
      <c r="A8184" s="140" t="str">
        <f>IFERROR(__xludf.DUMMYFUNCTION("""COMPUTED_VALUE"""),"ar")</f>
        <v>ar</v>
      </c>
      <c r="B8184">
        <f>IFERROR(__xludf.DUMMYFUNCTION("""COMPUTED_VALUE"""),2328688.0)</f>
        <v>2328688</v>
      </c>
      <c r="C8184" t="str">
        <f>IFERROR(__xludf.DUMMYFUNCTION("""COMPUTED_VALUE"""),"HR Management Diploma - دبلوم إدارة الموارد البشرية")</f>
        <v>HR Management Diploma - دبلوم إدارة الموارد البشرية</v>
      </c>
    </row>
    <row r="8185">
      <c r="A8185" s="140" t="str">
        <f>IFERROR(__xludf.DUMMYFUNCTION("""COMPUTED_VALUE"""),"en")</f>
        <v>en</v>
      </c>
      <c r="B8185">
        <f>IFERROR(__xludf.DUMMYFUNCTION("""COMPUTED_VALUE"""),4076770.0)</f>
        <v>4076770</v>
      </c>
      <c r="C8185" t="str">
        <f>IFERROR(__xludf.DUMMYFUNCTION("""COMPUTED_VALUE"""),"Production Planning for Management Consultants &amp; Analysts")</f>
        <v>Production Planning for Management Consultants &amp; Analysts</v>
      </c>
    </row>
    <row r="8186">
      <c r="A8186" s="140" t="str">
        <f>IFERROR(__xludf.DUMMYFUNCTION("""COMPUTED_VALUE"""),"en")</f>
        <v>en</v>
      </c>
      <c r="B8186">
        <f>IFERROR(__xludf.DUMMYFUNCTION("""COMPUTED_VALUE"""),2945644.0)</f>
        <v>2945644</v>
      </c>
      <c r="C8186" t="str">
        <f>IFERROR(__xludf.DUMMYFUNCTION("""COMPUTED_VALUE"""),"Odoo Functional Implementation Guide | Accounting [En]")</f>
        <v>Odoo Functional Implementation Guide | Accounting [En]</v>
      </c>
    </row>
    <row r="8187">
      <c r="A8187" s="140" t="str">
        <f>IFERROR(__xludf.DUMMYFUNCTION("""COMPUTED_VALUE"""),"en")</f>
        <v>en</v>
      </c>
      <c r="B8187">
        <f>IFERROR(__xludf.DUMMYFUNCTION("""COMPUTED_VALUE"""),40013.0)</f>
        <v>40013</v>
      </c>
      <c r="C8187" t="str">
        <f>IFERROR(__xludf.DUMMYFUNCTION("""COMPUTED_VALUE"""),"Digital SLR Cameras &amp; Photography For Dummies Video Training")</f>
        <v>Digital SLR Cameras &amp; Photography For Dummies Video Training</v>
      </c>
    </row>
    <row r="8188">
      <c r="A8188" s="140" t="str">
        <f>IFERROR(__xludf.DUMMYFUNCTION("""COMPUTED_VALUE"""),"en")</f>
        <v>en</v>
      </c>
      <c r="B8188">
        <f>IFERROR(__xludf.DUMMYFUNCTION("""COMPUTED_VALUE"""),1548846.0)</f>
        <v>1548846</v>
      </c>
      <c r="C8188" t="str">
        <f>IFERROR(__xludf.DUMMYFUNCTION("""COMPUTED_VALUE"""),"The Ultimate Beginner's Guide to Outdoor Photography - 2018")</f>
        <v>The Ultimate Beginner's Guide to Outdoor Photography - 2018</v>
      </c>
    </row>
    <row r="8189">
      <c r="A8189" s="140" t="str">
        <f>IFERROR(__xludf.DUMMYFUNCTION("""COMPUTED_VALUE"""),"en")</f>
        <v>en</v>
      </c>
      <c r="B8189">
        <f>IFERROR(__xludf.DUMMYFUNCTION("""COMPUTED_VALUE"""),2162292.0)</f>
        <v>2162292</v>
      </c>
      <c r="C8189" t="str">
        <f>IFERROR(__xludf.DUMMYFUNCTION("""COMPUTED_VALUE"""),"SAP PO: Custom Adapter Module Training with 8 Programs")</f>
        <v>SAP PO: Custom Adapter Module Training with 8 Programs</v>
      </c>
    </row>
    <row r="8190">
      <c r="A8190" s="140" t="str">
        <f>IFERROR(__xludf.DUMMYFUNCTION("""COMPUTED_VALUE"""),"pt")</f>
        <v>pt</v>
      </c>
      <c r="B8190">
        <f>IFERROR(__xludf.DUMMYFUNCTION("""COMPUTED_VALUE"""),2285797.0)</f>
        <v>2285797</v>
      </c>
      <c r="C8190" t="str">
        <f>IFERROR(__xludf.DUMMYFUNCTION("""COMPUTED_VALUE"""),"GMO I Gestão de Mudanças I Change Management para Resultados")</f>
        <v>GMO I Gestão de Mudanças I Change Management para Resultados</v>
      </c>
    </row>
    <row r="8191">
      <c r="A8191" s="140" t="str">
        <f>IFERROR(__xludf.DUMMYFUNCTION("""COMPUTED_VALUE"""),"en")</f>
        <v>en</v>
      </c>
      <c r="B8191">
        <f>IFERROR(__xludf.DUMMYFUNCTION("""COMPUTED_VALUE"""),3278404.0)</f>
        <v>3278404</v>
      </c>
      <c r="C8191" t="str">
        <f>IFERROR(__xludf.DUMMYFUNCTION("""COMPUTED_VALUE"""),"Mural masterclass: Supercharge your remote workshops")</f>
        <v>Mural masterclass: Supercharge your remote workshops</v>
      </c>
    </row>
    <row r="8192">
      <c r="A8192" s="140" t="str">
        <f>IFERROR(__xludf.DUMMYFUNCTION("""COMPUTED_VALUE"""),"fr")</f>
        <v>fr</v>
      </c>
      <c r="B8192">
        <f>IFERROR(__xludf.DUMMYFUNCTION("""COMPUTED_VALUE"""),2516330.0)</f>
        <v>2516330</v>
      </c>
      <c r="C8192" t="str">
        <f>IFERROR(__xludf.DUMMYFUNCTION("""COMPUTED_VALUE"""),"WordPress  - Votre site Pro simplement et gratuitement")</f>
        <v>WordPress  - Votre site Pro simplement et gratuitement</v>
      </c>
    </row>
    <row r="8193">
      <c r="A8193" s="140" t="str">
        <f>IFERROR(__xludf.DUMMYFUNCTION("""COMPUTED_VALUE"""),"en")</f>
        <v>en</v>
      </c>
      <c r="B8193">
        <f>IFERROR(__xludf.DUMMYFUNCTION("""COMPUTED_VALUE"""),1796722.0)</f>
        <v>1796722</v>
      </c>
      <c r="C8193" t="str">
        <f>IFERROR(__xludf.DUMMYFUNCTION("""COMPUTED_VALUE"""),"RDS PostgreSQL and DynamoDB CRUD: AWS with Python and Boto3")</f>
        <v>RDS PostgreSQL and DynamoDB CRUD: AWS with Python and Boto3</v>
      </c>
    </row>
    <row r="8194">
      <c r="A8194" s="140" t="str">
        <f>IFERROR(__xludf.DUMMYFUNCTION("""COMPUTED_VALUE"""),"en")</f>
        <v>en</v>
      </c>
      <c r="B8194">
        <f>IFERROR(__xludf.DUMMYFUNCTION("""COMPUTED_VALUE"""),1720930.0)</f>
        <v>1720930</v>
      </c>
      <c r="C8194" t="str">
        <f>IFERROR(__xludf.DUMMYFUNCTION("""COMPUTED_VALUE"""),"The Procreate 4.1 Super Course")</f>
        <v>The Procreate 4.1 Super Course</v>
      </c>
    </row>
    <row r="8195">
      <c r="A8195" s="140" t="str">
        <f>IFERROR(__xludf.DUMMYFUNCTION("""COMPUTED_VALUE"""),"en")</f>
        <v>en</v>
      </c>
      <c r="B8195">
        <f>IFERROR(__xludf.DUMMYFUNCTION("""COMPUTED_VALUE"""),2714372.0)</f>
        <v>2714372</v>
      </c>
      <c r="C8195" t="str">
        <f>IFERROR(__xludf.DUMMYFUNCTION("""COMPUTED_VALUE"""),"ArcGIS vs ArcGIS Pro Level 1: Fundamental")</f>
        <v>ArcGIS vs ArcGIS Pro Level 1: Fundamental</v>
      </c>
    </row>
    <row r="8196">
      <c r="A8196" s="140" t="str">
        <f>IFERROR(__xludf.DUMMYFUNCTION("""COMPUTED_VALUE"""),"tr")</f>
        <v>tr</v>
      </c>
      <c r="B8196">
        <f>IFERROR(__xludf.DUMMYFUNCTION("""COMPUTED_VALUE"""),1754780.0)</f>
        <v>1754780</v>
      </c>
      <c r="C8196" t="str">
        <f>IFERROR(__xludf.DUMMYFUNCTION("""COMPUTED_VALUE"""),"Wordpress İle Adım Adım İnternet Sitesi Kurma Rehberi | 2021")</f>
        <v>Wordpress İle Adım Adım İnternet Sitesi Kurma Rehberi | 2021</v>
      </c>
    </row>
    <row r="8197">
      <c r="A8197" s="140" t="str">
        <f>IFERROR(__xludf.DUMMYFUNCTION("""COMPUTED_VALUE"""),"ko")</f>
        <v>ko</v>
      </c>
      <c r="B8197">
        <f>IFERROR(__xludf.DUMMYFUNCTION("""COMPUTED_VALUE"""),4338096.0)</f>
        <v>4338096</v>
      </c>
      <c r="C8197" t="str">
        <f>IFERROR(__xludf.DUMMYFUNCTION("""COMPUTED_VALUE"""),"파이썬(Python)과 로블록스(Roblox)로 메타버스(Metaverse) 이해하고 만들어 보기")</f>
        <v>파이썬(Python)과 로블록스(Roblox)로 메타버스(Metaverse) 이해하고 만들어 보기</v>
      </c>
    </row>
    <row r="8198">
      <c r="A8198" s="140" t="str">
        <f>IFERROR(__xludf.DUMMYFUNCTION("""COMPUTED_VALUE"""),"tr")</f>
        <v>tr</v>
      </c>
      <c r="B8198">
        <f>IFERROR(__xludf.DUMMYFUNCTION("""COMPUTED_VALUE"""),2756380.0)</f>
        <v>2756380</v>
      </c>
      <c r="C8198" t="str">
        <f>IFERROR(__xludf.DUMMYFUNCTION("""COMPUTED_VALUE"""),"C# ile DevExpress'de Teknik Servis ve Ürün Takip Sistemi")</f>
        <v>C# ile DevExpress'de Teknik Servis ve Ürün Takip Sistemi</v>
      </c>
    </row>
    <row r="8199">
      <c r="A8199" s="140" t="str">
        <f>IFERROR(__xludf.DUMMYFUNCTION("""COMPUTED_VALUE"""),"ja")</f>
        <v>ja</v>
      </c>
      <c r="B8199">
        <f>IFERROR(__xludf.DUMMYFUNCTION("""COMPUTED_VALUE"""),3415918.0)</f>
        <v>3415918</v>
      </c>
      <c r="C8199" t="str">
        <f>IFERROR(__xludf.DUMMYFUNCTION("""COMPUTED_VALUE"""),"【テスターからQAエンジニアへ】キャリアアップのためのテストスキル")</f>
        <v>【テスターからQAエンジニアへ】キャリアアップのためのテストスキル</v>
      </c>
    </row>
    <row r="8200">
      <c r="A8200" s="140" t="str">
        <f>IFERROR(__xludf.DUMMYFUNCTION("""COMPUTED_VALUE"""),"en")</f>
        <v>en</v>
      </c>
      <c r="B8200">
        <f>IFERROR(__xludf.DUMMYFUNCTION("""COMPUTED_VALUE"""),2789474.0)</f>
        <v>2789474</v>
      </c>
      <c r="C8200" t="str">
        <f>IFERROR(__xludf.DUMMYFUNCTION("""COMPUTED_VALUE"""),"Practical Java concurrency with the Akka Actor Model")</f>
        <v>Practical Java concurrency with the Akka Actor Model</v>
      </c>
    </row>
    <row r="8201">
      <c r="A8201" s="140" t="str">
        <f>IFERROR(__xludf.DUMMYFUNCTION("""COMPUTED_VALUE"""),"en")</f>
        <v>en</v>
      </c>
      <c r="B8201">
        <f>IFERROR(__xludf.DUMMYFUNCTION("""COMPUTED_VALUE"""),4012126.0)</f>
        <v>4012126</v>
      </c>
      <c r="C8201" t="str">
        <f>IFERROR(__xludf.DUMMYFUNCTION("""COMPUTED_VALUE"""),"Modern Data Analysis Masterclass in Pandas and Python")</f>
        <v>Modern Data Analysis Masterclass in Pandas and Python</v>
      </c>
    </row>
    <row r="8202">
      <c r="A8202" s="140" t="str">
        <f>IFERROR(__xludf.DUMMYFUNCTION("""COMPUTED_VALUE"""),"pt")</f>
        <v>pt</v>
      </c>
      <c r="B8202">
        <f>IFERROR(__xludf.DUMMYFUNCTION("""COMPUTED_VALUE"""),1411348.0)</f>
        <v>1411348</v>
      </c>
      <c r="C8202" t="str">
        <f>IFERROR(__xludf.DUMMYFUNCTION("""COMPUTED_VALUE"""),"Reconhecimento Facial com Java")</f>
        <v>Reconhecimento Facial com Java</v>
      </c>
    </row>
    <row r="8203">
      <c r="A8203" s="140" t="str">
        <f>IFERROR(__xludf.DUMMYFUNCTION("""COMPUTED_VALUE"""),"es")</f>
        <v>es</v>
      </c>
      <c r="B8203">
        <f>IFERROR(__xludf.DUMMYFUNCTION("""COMPUTED_VALUE"""),3169210.0)</f>
        <v>3169210</v>
      </c>
      <c r="C8203" t="str">
        <f>IFERROR(__xludf.DUMMYFUNCTION("""COMPUTED_VALUE"""),"Crea una APP Red Social con Chat estilo WHATSAPP con Android")</f>
        <v>Crea una APP Red Social con Chat estilo WHATSAPP con Android</v>
      </c>
    </row>
    <row r="8204">
      <c r="A8204" s="140" t="str">
        <f>IFERROR(__xludf.DUMMYFUNCTION("""COMPUTED_VALUE"""),"de")</f>
        <v>de</v>
      </c>
      <c r="B8204">
        <f>IFERROR(__xludf.DUMMYFUNCTION("""COMPUTED_VALUE"""),3907162.0)</f>
        <v>3907162</v>
      </c>
      <c r="C8204" t="str">
        <f>IFERROR(__xludf.DUMMYFUNCTION("""COMPUTED_VALUE"""),"Praxiskurs Day Trading - Aktien, Forex und Rohstoffe handeln")</f>
        <v>Praxiskurs Day Trading - Aktien, Forex und Rohstoffe handeln</v>
      </c>
    </row>
    <row r="8205">
      <c r="A8205" s="140" t="str">
        <f>IFERROR(__xludf.DUMMYFUNCTION("""COMPUTED_VALUE"""),"de")</f>
        <v>de</v>
      </c>
      <c r="B8205">
        <f>IFERROR(__xludf.DUMMYFUNCTION("""COMPUTED_VALUE"""),1377566.0)</f>
        <v>1377566</v>
      </c>
      <c r="C8205" t="str">
        <f>IFERROR(__xludf.DUMMYFUNCTION("""COMPUTED_VALUE"""),"TCP/IP in der Praxis - Netzwerk-Kommunikation live erleben")</f>
        <v>TCP/IP in der Praxis - Netzwerk-Kommunikation live erleben</v>
      </c>
    </row>
    <row r="8206">
      <c r="A8206" s="140" t="str">
        <f>IFERROR(__xludf.DUMMYFUNCTION("""COMPUTED_VALUE"""),"ar")</f>
        <v>ar</v>
      </c>
      <c r="B8206">
        <f>IFERROR(__xludf.DUMMYFUNCTION("""COMPUTED_VALUE"""),3631976.0)</f>
        <v>3631976</v>
      </c>
      <c r="C8206" t="str">
        <f>IFERROR(__xludf.DUMMYFUNCTION("""COMPUTED_VALUE"""),"Advanced motion workshop  / كورس موشن جرافيك للمستوي المتقدم")</f>
        <v>Advanced motion workshop  / كورس موشن جرافيك للمستوي المتقدم</v>
      </c>
    </row>
    <row r="8207">
      <c r="A8207" s="140" t="str">
        <f>IFERROR(__xludf.DUMMYFUNCTION("""COMPUTED_VALUE"""),"de")</f>
        <v>de</v>
      </c>
      <c r="B8207">
        <f>IFERROR(__xludf.DUMMYFUNCTION("""COMPUTED_VALUE"""),1019086.0)</f>
        <v>1019086</v>
      </c>
      <c r="C8207" t="str">
        <f>IFERROR(__xludf.DUMMYFUNCTION("""COMPUTED_VALUE"""),"Video-Produktion mit jeder Kamera und Editing in Final Cut")</f>
        <v>Video-Produktion mit jeder Kamera und Editing in Final Cut</v>
      </c>
    </row>
    <row r="8208">
      <c r="A8208" s="140" t="str">
        <f>IFERROR(__xludf.DUMMYFUNCTION("""COMPUTED_VALUE"""),"en")</f>
        <v>en</v>
      </c>
      <c r="B8208">
        <f>IFERROR(__xludf.DUMMYFUNCTION("""COMPUTED_VALUE"""),1899124.0)</f>
        <v>1899124</v>
      </c>
      <c r="C8208" t="str">
        <f>IFERROR(__xludf.DUMMYFUNCTION("""COMPUTED_VALUE"""),"Recommender Systems and Deep Learning in Python")</f>
        <v>Recommender Systems and Deep Learning in Python</v>
      </c>
    </row>
    <row r="8209">
      <c r="A8209" s="140" t="str">
        <f>IFERROR(__xludf.DUMMYFUNCTION("""COMPUTED_VALUE"""),"es")</f>
        <v>es</v>
      </c>
      <c r="B8209">
        <f>IFERROR(__xludf.DUMMYFUNCTION("""COMPUTED_VALUE"""),1214686.0)</f>
        <v>1214686</v>
      </c>
      <c r="C8209" t="str">
        <f>IFERROR(__xludf.DUMMYFUNCTION("""COMPUTED_VALUE"""),"Angular y NodeJS en producción - Configurar un servidor VPS")</f>
        <v>Angular y NodeJS en producción - Configurar un servidor VPS</v>
      </c>
    </row>
    <row r="8210">
      <c r="A8210" s="140" t="str">
        <f>IFERROR(__xludf.DUMMYFUNCTION("""COMPUTED_VALUE"""),"en")</f>
        <v>en</v>
      </c>
      <c r="B8210">
        <f>IFERROR(__xludf.DUMMYFUNCTION("""COMPUTED_VALUE"""),1014340.0)</f>
        <v>1014340</v>
      </c>
      <c r="C8210" t="str">
        <f>IFERROR(__xludf.DUMMYFUNCTION("""COMPUTED_VALUE"""),"SAP MM Training - in Plain English")</f>
        <v>SAP MM Training - in Plain English</v>
      </c>
    </row>
    <row r="8211">
      <c r="A8211" s="140" t="str">
        <f>IFERROR(__xludf.DUMMYFUNCTION("""COMPUTED_VALUE"""),"en")</f>
        <v>en</v>
      </c>
      <c r="B8211">
        <f>IFERROR(__xludf.DUMMYFUNCTION("""COMPUTED_VALUE"""),1630412.0)</f>
        <v>1630412</v>
      </c>
      <c r="C8211" t="str">
        <f>IFERROR(__xludf.DUMMYFUNCTION("""COMPUTED_VALUE"""),"Blockchain for Business: The New Industrial Revolution")</f>
        <v>Blockchain for Business: The New Industrial Revolution</v>
      </c>
    </row>
    <row r="8212">
      <c r="A8212" s="140" t="str">
        <f>IFERROR(__xludf.DUMMYFUNCTION("""COMPUTED_VALUE"""),"en")</f>
        <v>en</v>
      </c>
      <c r="B8212">
        <f>IFERROR(__xludf.DUMMYFUNCTION("""COMPUTED_VALUE"""),180362.0)</f>
        <v>180362</v>
      </c>
      <c r="C8212" t="str">
        <f>IFERROR(__xludf.DUMMYFUNCTION("""COMPUTED_VALUE"""),"The Securities Trade Lifecycle")</f>
        <v>The Securities Trade Lifecycle</v>
      </c>
    </row>
    <row r="8213">
      <c r="A8213" s="140" t="str">
        <f>IFERROR(__xludf.DUMMYFUNCTION("""COMPUTED_VALUE"""),"pt")</f>
        <v>pt</v>
      </c>
      <c r="B8213">
        <f>IFERROR(__xludf.DUMMYFUNCTION("""COMPUTED_VALUE"""),1787628.0)</f>
        <v>1787628</v>
      </c>
      <c r="C8213" t="str">
        <f>IFERROR(__xludf.DUMMYFUNCTION("""COMPUTED_VALUE"""),"Testes unitários em Java com JUnit e Mockito")</f>
        <v>Testes unitários em Java com JUnit e Mockito</v>
      </c>
    </row>
    <row r="8214">
      <c r="A8214" s="140" t="str">
        <f>IFERROR(__xludf.DUMMYFUNCTION("""COMPUTED_VALUE"""),"en")</f>
        <v>en</v>
      </c>
      <c r="B8214">
        <f>IFERROR(__xludf.DUMMYFUNCTION("""COMPUTED_VALUE"""),386004.0)</f>
        <v>386004</v>
      </c>
      <c r="C8214" t="str">
        <f>IFERROR(__xludf.DUMMYFUNCTION("""COMPUTED_VALUE"""),"Excel Shortcuts, Excel Tips, Excel Tricks - Excel Skills!")</f>
        <v>Excel Shortcuts, Excel Tips, Excel Tricks - Excel Skills!</v>
      </c>
    </row>
    <row r="8215">
      <c r="A8215" s="140" t="str">
        <f>IFERROR(__xludf.DUMMYFUNCTION("""COMPUTED_VALUE"""),"pt")</f>
        <v>pt</v>
      </c>
      <c r="B8215">
        <f>IFERROR(__xludf.DUMMYFUNCTION("""COMPUTED_VALUE"""),2507978.0)</f>
        <v>2507978</v>
      </c>
      <c r="C8215" t="str">
        <f>IFERROR(__xludf.DUMMYFUNCTION("""COMPUTED_VALUE"""),"Aplicando a Gestão de Riscos na sua empresa (ISO 31000)")</f>
        <v>Aplicando a Gestão de Riscos na sua empresa (ISO 31000)</v>
      </c>
    </row>
    <row r="8216">
      <c r="A8216" s="140" t="str">
        <f>IFERROR(__xludf.DUMMYFUNCTION("""COMPUTED_VALUE"""),"en")</f>
        <v>en</v>
      </c>
      <c r="B8216">
        <f>IFERROR(__xludf.DUMMYFUNCTION("""COMPUTED_VALUE"""),1344728.0)</f>
        <v>1344728</v>
      </c>
      <c r="C8216" t="str">
        <f>IFERROR(__xludf.DUMMYFUNCTION("""COMPUTED_VALUE"""),"Active Directory on Windows Server 2016")</f>
        <v>Active Directory on Windows Server 2016</v>
      </c>
    </row>
    <row r="8217">
      <c r="A8217" s="140" t="str">
        <f>IFERROR(__xludf.DUMMYFUNCTION("""COMPUTED_VALUE"""),"en")</f>
        <v>en</v>
      </c>
      <c r="B8217">
        <f>IFERROR(__xludf.DUMMYFUNCTION("""COMPUTED_VALUE"""),1693880.0)</f>
        <v>1693880</v>
      </c>
      <c r="C8217" t="str">
        <f>IFERROR(__xludf.DUMMYFUNCTION("""COMPUTED_VALUE"""),"Selenium WebDriver with Java for beginners")</f>
        <v>Selenium WebDriver with Java for beginners</v>
      </c>
    </row>
    <row r="8218">
      <c r="A8218" s="140" t="str">
        <f>IFERROR(__xludf.DUMMYFUNCTION("""COMPUTED_VALUE"""),"es")</f>
        <v>es</v>
      </c>
      <c r="B8218">
        <f>IFERROR(__xludf.DUMMYFUNCTION("""COMPUTED_VALUE"""),3739518.0)</f>
        <v>3739518</v>
      </c>
      <c r="C8218" t="str">
        <f>IFERROR(__xludf.DUMMYFUNCTION("""COMPUTED_VALUE"""),"Métodos Numéricos con Python - Cálculo Numérico")</f>
        <v>Métodos Numéricos con Python - Cálculo Numérico</v>
      </c>
    </row>
    <row r="8219">
      <c r="A8219" s="140" t="str">
        <f>IFERROR(__xludf.DUMMYFUNCTION("""COMPUTED_VALUE"""),"pt")</f>
        <v>pt</v>
      </c>
      <c r="B8219">
        <f>IFERROR(__xludf.DUMMYFUNCTION("""COMPUTED_VALUE"""),1654852.0)</f>
        <v>1654852</v>
      </c>
      <c r="C8219" t="str">
        <f>IFERROR(__xludf.DUMMYFUNCTION("""COMPUTED_VALUE"""),"Curso De Revit 2022 | Modelagem e Documentação De Projetos")</f>
        <v>Curso De Revit 2022 | Modelagem e Documentação De Projetos</v>
      </c>
    </row>
    <row r="8220">
      <c r="A8220" s="140" t="str">
        <f>IFERROR(__xludf.DUMMYFUNCTION("""COMPUTED_VALUE"""),"en")</f>
        <v>en</v>
      </c>
      <c r="B8220">
        <f>IFERROR(__xludf.DUMMYFUNCTION("""COMPUTED_VALUE"""),2587202.0)</f>
        <v>2587202</v>
      </c>
      <c r="C8220" t="str">
        <f>IFERROR(__xludf.DUMMYFUNCTION("""COMPUTED_VALUE"""),"Selenium Python with Behave BDD(Basic + Advance + Architect)")</f>
        <v>Selenium Python with Behave BDD(Basic + Advance + Architect)</v>
      </c>
    </row>
    <row r="8221">
      <c r="A8221" s="140" t="str">
        <f>IFERROR(__xludf.DUMMYFUNCTION("""COMPUTED_VALUE"""),"en")</f>
        <v>en</v>
      </c>
      <c r="B8221">
        <f>IFERROR(__xludf.DUMMYFUNCTION("""COMPUTED_VALUE"""),1319436.0)</f>
        <v>1319436</v>
      </c>
      <c r="C8221" t="str">
        <f>IFERROR(__xludf.DUMMYFUNCTION("""COMPUTED_VALUE"""),"The Complete Kotlin Developer Course")</f>
        <v>The Complete Kotlin Developer Course</v>
      </c>
    </row>
    <row r="8222">
      <c r="A8222" s="140" t="str">
        <f>IFERROR(__xludf.DUMMYFUNCTION("""COMPUTED_VALUE"""),"es")</f>
        <v>es</v>
      </c>
      <c r="B8222">
        <f>IFERROR(__xludf.DUMMYFUNCTION("""COMPUTED_VALUE"""),3581259.0)</f>
        <v>3581259</v>
      </c>
      <c r="C8222" t="str">
        <f>IFERROR(__xludf.DUMMYFUNCTION("""COMPUTED_VALUE"""),"Comunicación Avanzada / Feedback / Comentarios Constructivos")</f>
        <v>Comunicación Avanzada / Feedback / Comentarios Constructivos</v>
      </c>
    </row>
    <row r="8223">
      <c r="A8223" s="140" t="str">
        <f>IFERROR(__xludf.DUMMYFUNCTION("""COMPUTED_VALUE"""),"en")</f>
        <v>en</v>
      </c>
      <c r="B8223">
        <f>IFERROR(__xludf.DUMMYFUNCTION("""COMPUTED_VALUE"""),831116.0)</f>
        <v>831116</v>
      </c>
      <c r="C8223" t="str">
        <f>IFERROR(__xludf.DUMMYFUNCTION("""COMPUTED_VALUE"""),"Microsoft Project ALL: BEGINNER to EXPERT 10 Projects 9 PDU")</f>
        <v>Microsoft Project ALL: BEGINNER to EXPERT 10 Projects 9 PDU</v>
      </c>
    </row>
    <row r="8224">
      <c r="A8224" s="140" t="str">
        <f>IFERROR(__xludf.DUMMYFUNCTION("""COMPUTED_VALUE"""),"en")</f>
        <v>en</v>
      </c>
      <c r="B8224">
        <f>IFERROR(__xludf.DUMMYFUNCTION("""COMPUTED_VALUE"""),3242320.0)</f>
        <v>3242320</v>
      </c>
      <c r="C8224" t="str">
        <f>IFERROR(__xludf.DUMMYFUNCTION("""COMPUTED_VALUE"""),"Agile Leadership and Resilient Teams")</f>
        <v>Agile Leadership and Resilient Teams</v>
      </c>
    </row>
    <row r="8225">
      <c r="A8225" s="140" t="str">
        <f>IFERROR(__xludf.DUMMYFUNCTION("""COMPUTED_VALUE"""),"en")</f>
        <v>en</v>
      </c>
      <c r="B8225">
        <f>IFERROR(__xludf.DUMMYFUNCTION("""COMPUTED_VALUE"""),1815300.0)</f>
        <v>1815300</v>
      </c>
      <c r="C8225" t="str">
        <f>IFERROR(__xludf.DUMMYFUNCTION("""COMPUTED_VALUE"""),"Ultimate Facebook Marketing Course 2019 - Step by Step A-Z")</f>
        <v>Ultimate Facebook Marketing Course 2019 - Step by Step A-Z</v>
      </c>
    </row>
    <row r="8226">
      <c r="A8226" s="140" t="str">
        <f>IFERROR(__xludf.DUMMYFUNCTION("""COMPUTED_VALUE"""),"en")</f>
        <v>en</v>
      </c>
      <c r="B8226">
        <f>IFERROR(__xludf.DUMMYFUNCTION("""COMPUTED_VALUE"""),647566.0)</f>
        <v>647566</v>
      </c>
      <c r="C8226" t="str">
        <f>IFERROR(__xludf.DUMMYFUNCTION("""COMPUTED_VALUE"""),"Score High IELTS Writing (General Training Module)")</f>
        <v>Score High IELTS Writing (General Training Module)</v>
      </c>
    </row>
    <row r="8227">
      <c r="A8227" s="140" t="str">
        <f>IFERROR(__xludf.DUMMYFUNCTION("""COMPUTED_VALUE"""),"en")</f>
        <v>en</v>
      </c>
      <c r="B8227">
        <f>IFERROR(__xludf.DUMMYFUNCTION("""COMPUTED_VALUE"""),1333932.0)</f>
        <v>1333932</v>
      </c>
      <c r="C8227" t="str">
        <f>IFERROR(__xludf.DUMMYFUNCTION("""COMPUTED_VALUE"""),"A Beginners Guide to Advanced JavaScript &amp; ES6 - ES2017")</f>
        <v>A Beginners Guide to Advanced JavaScript &amp; ES6 - ES2017</v>
      </c>
    </row>
    <row r="8228">
      <c r="A8228" s="140" t="str">
        <f>IFERROR(__xludf.DUMMYFUNCTION("""COMPUTED_VALUE"""),"en")</f>
        <v>en</v>
      </c>
      <c r="B8228">
        <f>IFERROR(__xludf.DUMMYFUNCTION("""COMPUTED_VALUE"""),1000010.0)</f>
        <v>1000010</v>
      </c>
      <c r="C8228" t="str">
        <f>IFERROR(__xludf.DUMMYFUNCTION("""COMPUTED_VALUE"""),"Professional Ruby on Rails Developer with Rails 5")</f>
        <v>Professional Ruby on Rails Developer with Rails 5</v>
      </c>
    </row>
    <row r="8229">
      <c r="A8229" s="140" t="str">
        <f>IFERROR(__xludf.DUMMYFUNCTION("""COMPUTED_VALUE"""),"en")</f>
        <v>en</v>
      </c>
      <c r="B8229">
        <f>IFERROR(__xludf.DUMMYFUNCTION("""COMPUTED_VALUE"""),1429106.0)</f>
        <v>1429106</v>
      </c>
      <c r="C8229" t="str">
        <f>IFERROR(__xludf.DUMMYFUNCTION("""COMPUTED_VALUE"""),"Lean Six Sigma Introduction Specialist")</f>
        <v>Lean Six Sigma Introduction Specialist</v>
      </c>
    </row>
    <row r="8230">
      <c r="A8230" s="140" t="str">
        <f>IFERROR(__xludf.DUMMYFUNCTION("""COMPUTED_VALUE"""),"fr")</f>
        <v>fr</v>
      </c>
      <c r="B8230">
        <f>IFERROR(__xludf.DUMMYFUNCTION("""COMPUTED_VALUE"""),2841406.0)</f>
        <v>2841406</v>
      </c>
      <c r="C8230" t="str">
        <f>IFERROR(__xludf.DUMMYFUNCTION("""COMPUTED_VALUE"""),"Débutez en Rust")</f>
        <v>Débutez en Rust</v>
      </c>
    </row>
    <row r="8231">
      <c r="A8231" s="140" t="str">
        <f>IFERROR(__xludf.DUMMYFUNCTION("""COMPUTED_VALUE"""),"en")</f>
        <v>en</v>
      </c>
      <c r="B8231">
        <f>IFERROR(__xludf.DUMMYFUNCTION("""COMPUTED_VALUE"""),758738.0)</f>
        <v>758738</v>
      </c>
      <c r="C8231" t="str">
        <f>IFERROR(__xludf.DUMMYFUNCTION("""COMPUTED_VALUE"""),"Salesforce Developer Training with real-time project")</f>
        <v>Salesforce Developer Training with real-time project</v>
      </c>
    </row>
    <row r="8232">
      <c r="A8232" s="140" t="str">
        <f>IFERROR(__xludf.DUMMYFUNCTION("""COMPUTED_VALUE"""),"de")</f>
        <v>de</v>
      </c>
      <c r="B8232">
        <f>IFERROR(__xludf.DUMMYFUNCTION("""COMPUTED_VALUE"""),1904708.0)</f>
        <v>1904708</v>
      </c>
      <c r="C8232" t="str">
        <f>IFERROR(__xludf.DUMMYFUNCTION("""COMPUTED_VALUE"""),"Artificial Intelligence und Reinforcement Learning in Python")</f>
        <v>Artificial Intelligence und Reinforcement Learning in Python</v>
      </c>
    </row>
    <row r="8233">
      <c r="A8233" s="140" t="str">
        <f>IFERROR(__xludf.DUMMYFUNCTION("""COMPUTED_VALUE"""),"ar")</f>
        <v>ar</v>
      </c>
      <c r="B8233">
        <f>IFERROR(__xludf.DUMMYFUNCTION("""COMPUTED_VALUE"""),2305306.0)</f>
        <v>2305306</v>
      </c>
      <c r="C8233" t="str">
        <f>IFERROR(__xludf.DUMMYFUNCTION("""COMPUTED_VALUE"""),"A1 و A2 دورة لغة إنجليزية للمبتدئين - المستويان")</f>
        <v>A1 و A2 دورة لغة إنجليزية للمبتدئين - المستويان</v>
      </c>
    </row>
    <row r="8234">
      <c r="A8234" s="140" t="str">
        <f>IFERROR(__xludf.DUMMYFUNCTION("""COMPUTED_VALUE"""),"es")</f>
        <v>es</v>
      </c>
      <c r="B8234">
        <f>IFERROR(__xludf.DUMMYFUNCTION("""COMPUTED_VALUE"""),1930746.0)</f>
        <v>1930746</v>
      </c>
      <c r="C8234" t="str">
        <f>IFERROR(__xludf.DUMMYFUNCTION("""COMPUTED_VALUE"""),"Curso De Francés Básico Para Hispanohablantes ✓ Paso A Paso")</f>
        <v>Curso De Francés Básico Para Hispanohablantes ✓ Paso A Paso</v>
      </c>
    </row>
    <row r="8235">
      <c r="A8235" s="140" t="str">
        <f>IFERROR(__xludf.DUMMYFUNCTION("""COMPUTED_VALUE"""),"en")</f>
        <v>en</v>
      </c>
      <c r="B8235">
        <f>IFERROR(__xludf.DUMMYFUNCTION("""COMPUTED_VALUE"""),2518086.0)</f>
        <v>2518086</v>
      </c>
      <c r="C8235" t="str">
        <f>IFERROR(__xludf.DUMMYFUNCTION("""COMPUTED_VALUE"""),"Performance Testing Using Locust 1.0")</f>
        <v>Performance Testing Using Locust 1.0</v>
      </c>
    </row>
    <row r="8236">
      <c r="A8236" s="140" t="str">
        <f>IFERROR(__xludf.DUMMYFUNCTION("""COMPUTED_VALUE"""),"en")</f>
        <v>en</v>
      </c>
      <c r="B8236">
        <f>IFERROR(__xludf.DUMMYFUNCTION("""COMPUTED_VALUE"""),1680940.0)</f>
        <v>1680940</v>
      </c>
      <c r="C8236" t="str">
        <f>IFERROR(__xludf.DUMMYFUNCTION("""COMPUTED_VALUE"""),"Complete Linux Security &amp; Hardening with Practical Examples")</f>
        <v>Complete Linux Security &amp; Hardening with Practical Examples</v>
      </c>
    </row>
    <row r="8237">
      <c r="A8237" s="140" t="str">
        <f>IFERROR(__xludf.DUMMYFUNCTION("""COMPUTED_VALUE"""),"fr")</f>
        <v>fr</v>
      </c>
      <c r="B8237">
        <f>IFERROR(__xludf.DUMMYFUNCTION("""COMPUTED_VALUE"""),1198730.0)</f>
        <v>1198730</v>
      </c>
      <c r="C8237" t="str">
        <f>IFERROR(__xludf.DUMMYFUNCTION("""COMPUTED_VALUE"""),"Bien débuter avec Spring et Spring Boot pour Java")</f>
        <v>Bien débuter avec Spring et Spring Boot pour Java</v>
      </c>
    </row>
    <row r="8238">
      <c r="A8238" s="140" t="str">
        <f>IFERROR(__xludf.DUMMYFUNCTION("""COMPUTED_VALUE"""),"fr")</f>
        <v>fr</v>
      </c>
      <c r="B8238">
        <f>IFERROR(__xludf.DUMMYFUNCTION("""COMPUTED_VALUE"""),2839290.0)</f>
        <v>2839290</v>
      </c>
      <c r="C8238" t="str">
        <f>IFERROR(__xludf.DUMMYFUNCTION("""COMPUTED_VALUE"""),"Comment gérer les conversations difficiles")</f>
        <v>Comment gérer les conversations difficiles</v>
      </c>
    </row>
    <row r="8239">
      <c r="A8239" s="140" t="str">
        <f>IFERROR(__xludf.DUMMYFUNCTION("""COMPUTED_VALUE"""),"pt")</f>
        <v>pt</v>
      </c>
      <c r="B8239">
        <f>IFERROR(__xludf.DUMMYFUNCTION("""COMPUTED_VALUE"""),2534488.0)</f>
        <v>2534488</v>
      </c>
      <c r="C8239" t="str">
        <f>IFERROR(__xludf.DUMMYFUNCTION("""COMPUTED_VALUE"""),"Automação de Testes com Robot Framework - Avançado")</f>
        <v>Automação de Testes com Robot Framework - Avançado</v>
      </c>
    </row>
    <row r="8240">
      <c r="A8240" s="140" t="str">
        <f>IFERROR(__xludf.DUMMYFUNCTION("""COMPUTED_VALUE"""),"en")</f>
        <v>en</v>
      </c>
      <c r="B8240">
        <f>IFERROR(__xludf.DUMMYFUNCTION("""COMPUTED_VALUE"""),835604.0)</f>
        <v>835604</v>
      </c>
      <c r="C8240" t="str">
        <f>IFERROR(__xludf.DUMMYFUNCTION("""COMPUTED_VALUE"""),"Mobile Automation: Appium Cucumber for Android&amp;iOS + Jenkins")</f>
        <v>Mobile Automation: Appium Cucumber for Android&amp;iOS + Jenkins</v>
      </c>
    </row>
    <row r="8241">
      <c r="A8241" s="140" t="str">
        <f>IFERROR(__xludf.DUMMYFUNCTION("""COMPUTED_VALUE"""),"en")</f>
        <v>en</v>
      </c>
      <c r="B8241">
        <f>IFERROR(__xludf.DUMMYFUNCTION("""COMPUTED_VALUE"""),1713688.0)</f>
        <v>1713688</v>
      </c>
      <c r="C8241" t="str">
        <f>IFERROR(__xludf.DUMMYFUNCTION("""COMPUTED_VALUE"""),"Deploy Machine Learning &amp; NLP Models with Dockers (DevOps)")</f>
        <v>Deploy Machine Learning &amp; NLP Models with Dockers (DevOps)</v>
      </c>
    </row>
    <row r="8242">
      <c r="A8242" s="140" t="str">
        <f>IFERROR(__xludf.DUMMYFUNCTION("""COMPUTED_VALUE"""),"en")</f>
        <v>en</v>
      </c>
      <c r="B8242">
        <f>IFERROR(__xludf.DUMMYFUNCTION("""COMPUTED_VALUE"""),981964.0)</f>
        <v>981964</v>
      </c>
      <c r="C8242" t="str">
        <f>IFERROR(__xludf.DUMMYFUNCTION("""COMPUTED_VALUE"""),"How To Reduce Constant Work Interruptions")</f>
        <v>How To Reduce Constant Work Interruptions</v>
      </c>
    </row>
    <row r="8243">
      <c r="A8243" s="140" t="str">
        <f>IFERROR(__xludf.DUMMYFUNCTION("""COMPUTED_VALUE"""),"es")</f>
        <v>es</v>
      </c>
      <c r="B8243">
        <f>IFERROR(__xludf.DUMMYFUNCTION("""COMPUTED_VALUE"""),1484182.0)</f>
        <v>1484182</v>
      </c>
      <c r="C8243" t="str">
        <f>IFERROR(__xludf.DUMMYFUNCTION("""COMPUTED_VALUE"""),"Gestión de Proyectos con Oracle Primavera P6")</f>
        <v>Gestión de Proyectos con Oracle Primavera P6</v>
      </c>
    </row>
    <row r="8244">
      <c r="A8244" s="140" t="str">
        <f>IFERROR(__xludf.DUMMYFUNCTION("""COMPUTED_VALUE"""),"en")</f>
        <v>en</v>
      </c>
      <c r="B8244">
        <f>IFERROR(__xludf.DUMMYFUNCTION("""COMPUTED_VALUE"""),593202.0)</f>
        <v>593202</v>
      </c>
      <c r="C8244" t="str">
        <f>IFERROR(__xludf.DUMMYFUNCTION("""COMPUTED_VALUE"""),"Salesforce Certification: Service Cloud Rapid Exam Prep")</f>
        <v>Salesforce Certification: Service Cloud Rapid Exam Prep</v>
      </c>
    </row>
    <row r="8245">
      <c r="A8245" s="140" t="str">
        <f>IFERROR(__xludf.DUMMYFUNCTION("""COMPUTED_VALUE"""),"en")</f>
        <v>en</v>
      </c>
      <c r="B8245">
        <f>IFERROR(__xludf.DUMMYFUNCTION("""COMPUTED_VALUE"""),878234.0)</f>
        <v>878234</v>
      </c>
      <c r="C8245" t="str">
        <f>IFERROR(__xludf.DUMMYFUNCTION("""COMPUTED_VALUE"""),"Mastering IELTS Writing: Task 1 (Academic)")</f>
        <v>Mastering IELTS Writing: Task 1 (Academic)</v>
      </c>
    </row>
    <row r="8246">
      <c r="A8246" s="140" t="str">
        <f>IFERROR(__xludf.DUMMYFUNCTION("""COMPUTED_VALUE"""),"ja")</f>
        <v>ja</v>
      </c>
      <c r="B8246">
        <f>IFERROR(__xludf.DUMMYFUNCTION("""COMPUTED_VALUE"""),2571712.0)</f>
        <v>2571712</v>
      </c>
      <c r="C8246" t="str">
        <f>IFERROR(__xludf.DUMMYFUNCTION("""COMPUTED_VALUE"""),"イメージでわかる！基礎知識ゼロからのC言語。エンジニアが教えるC言語完全攻略コース")</f>
        <v>イメージでわかる！基礎知識ゼロからのC言語。エンジニアが教えるC言語完全攻略コース</v>
      </c>
    </row>
    <row r="8247">
      <c r="A8247" s="140" t="str">
        <f>IFERROR(__xludf.DUMMYFUNCTION("""COMPUTED_VALUE"""),"es")</f>
        <v>es</v>
      </c>
      <c r="B8247">
        <f>IFERROR(__xludf.DUMMYFUNCTION("""COMPUTED_VALUE"""),1456036.0)</f>
        <v>1456036</v>
      </c>
      <c r="C8247" t="str">
        <f>IFERROR(__xludf.DUMMYFUNCTION("""COMPUTED_VALUE"""),"Master en Liderazgo")</f>
        <v>Master en Liderazgo</v>
      </c>
    </row>
    <row r="8248">
      <c r="A8248" s="140" t="str">
        <f>IFERROR(__xludf.DUMMYFUNCTION("""COMPUTED_VALUE"""),"en")</f>
        <v>en</v>
      </c>
      <c r="B8248">
        <f>IFERROR(__xludf.DUMMYFUNCTION("""COMPUTED_VALUE"""),1721168.0)</f>
        <v>1721168</v>
      </c>
      <c r="C8248" t="str">
        <f>IFERROR(__xludf.DUMMYFUNCTION("""COMPUTED_VALUE"""),"PMP Exam Cram Session - Updated for the 2021 PMP Exam")</f>
        <v>PMP Exam Cram Session - Updated for the 2021 PMP Exam</v>
      </c>
    </row>
    <row r="8249">
      <c r="A8249" s="140" t="str">
        <f>IFERROR(__xludf.DUMMYFUNCTION("""COMPUTED_VALUE"""),"en")</f>
        <v>en</v>
      </c>
      <c r="B8249">
        <f>IFERROR(__xludf.DUMMYFUNCTION("""COMPUTED_VALUE"""),1338126.0)</f>
        <v>1338126</v>
      </c>
      <c r="C8249" t="str">
        <f>IFERROR(__xludf.DUMMYFUNCTION("""COMPUTED_VALUE"""),"Create B2B Sales Cold Calling Scripts &amp; Value Propositions")</f>
        <v>Create B2B Sales Cold Calling Scripts &amp; Value Propositions</v>
      </c>
    </row>
    <row r="8250">
      <c r="A8250" s="140" t="str">
        <f>IFERROR(__xludf.DUMMYFUNCTION("""COMPUTED_VALUE"""),"ja")</f>
        <v>ja</v>
      </c>
      <c r="B8250">
        <f>IFERROR(__xludf.DUMMYFUNCTION("""COMPUTED_VALUE"""),3511870.0)</f>
        <v>3511870</v>
      </c>
      <c r="C8250" t="str">
        <f>IFERROR(__xludf.DUMMYFUNCTION("""COMPUTED_VALUE"""),"予備校講師直伝の日商簿記２級模擬試験実戦答練")</f>
        <v>予備校講師直伝の日商簿記２級模擬試験実戦答練</v>
      </c>
    </row>
    <row r="8251">
      <c r="A8251" s="140" t="str">
        <f>IFERROR(__xludf.DUMMYFUNCTION("""COMPUTED_VALUE"""),"en")</f>
        <v>en</v>
      </c>
      <c r="B8251">
        <f>IFERROR(__xludf.DUMMYFUNCTION("""COMPUTED_VALUE"""),3536670.0)</f>
        <v>3536670</v>
      </c>
      <c r="C8251" t="str">
        <f>IFERROR(__xludf.DUMMYFUNCTION("""COMPUTED_VALUE"""),"English Calligraphy")</f>
        <v>English Calligraphy</v>
      </c>
    </row>
    <row r="8252">
      <c r="A8252" s="140" t="str">
        <f>IFERROR(__xludf.DUMMYFUNCTION("""COMPUTED_VALUE"""),"en")</f>
        <v>en</v>
      </c>
      <c r="B8252">
        <f>IFERROR(__xludf.DUMMYFUNCTION("""COMPUTED_VALUE"""),2160742.0)</f>
        <v>2160742</v>
      </c>
      <c r="C8252" t="str">
        <f>IFERROR(__xludf.DUMMYFUNCTION("""COMPUTED_VALUE"""),"Complete neural signal processing and analysis: Zero to hero")</f>
        <v>Complete neural signal processing and analysis: Zero to hero</v>
      </c>
    </row>
    <row r="8253">
      <c r="A8253" s="140" t="str">
        <f>IFERROR(__xludf.DUMMYFUNCTION("""COMPUTED_VALUE"""),"es")</f>
        <v>es</v>
      </c>
      <c r="B8253">
        <f>IFERROR(__xludf.DUMMYFUNCTION("""COMPUTED_VALUE"""),2299826.0)</f>
        <v>2299826</v>
      </c>
      <c r="C8253" t="str">
        <f>IFERROR(__xludf.DUMMYFUNCTION("""COMPUTED_VALUE"""),"Guía definitiva para crear APIs con Symfony 5 y API Platform")</f>
        <v>Guía definitiva para crear APIs con Symfony 5 y API Platform</v>
      </c>
    </row>
    <row r="8254">
      <c r="A8254" s="140" t="str">
        <f>IFERROR(__xludf.DUMMYFUNCTION("""COMPUTED_VALUE"""),"pt")</f>
        <v>pt</v>
      </c>
      <c r="B8254">
        <f>IFERROR(__xludf.DUMMYFUNCTION("""COMPUTED_VALUE"""),560700.0)</f>
        <v>560700</v>
      </c>
      <c r="C8254" t="str">
        <f>IFERROR(__xludf.DUMMYFUNCTION("""COMPUTED_VALUE"""),"VBA Descomplicado: Como Criar Ferramentas Incríveis no Excel")</f>
        <v>VBA Descomplicado: Como Criar Ferramentas Incríveis no Excel</v>
      </c>
    </row>
    <row r="8255">
      <c r="A8255" s="140" t="str">
        <f>IFERROR(__xludf.DUMMYFUNCTION("""COMPUTED_VALUE"""),"en")</f>
        <v>en</v>
      </c>
      <c r="B8255">
        <f>IFERROR(__xludf.DUMMYFUNCTION("""COMPUTED_VALUE"""),3370166.0)</f>
        <v>3370166</v>
      </c>
      <c r="C8255" t="str">
        <f>IFERROR(__xludf.DUMMYFUNCTION("""COMPUTED_VALUE"""),"Operations Management A-Z: Business Processes and Systems")</f>
        <v>Operations Management A-Z: Business Processes and Systems</v>
      </c>
    </row>
    <row r="8256">
      <c r="A8256" s="140" t="str">
        <f>IFERROR(__xludf.DUMMYFUNCTION("""COMPUTED_VALUE"""),"pt")</f>
        <v>pt</v>
      </c>
      <c r="B8256">
        <f>IFERROR(__xludf.DUMMYFUNCTION("""COMPUTED_VALUE"""),1118450.0)</f>
        <v>1118450</v>
      </c>
      <c r="C8256" t="str">
        <f>IFERROR(__xludf.DUMMYFUNCTION("""COMPUTED_VALUE"""),"PFSense: Solução completa de firewall")</f>
        <v>PFSense: Solução completa de firewall</v>
      </c>
    </row>
    <row r="8257">
      <c r="A8257" s="140" t="str">
        <f>IFERROR(__xludf.DUMMYFUNCTION("""COMPUTED_VALUE"""),"es")</f>
        <v>es</v>
      </c>
      <c r="B8257">
        <f>IFERROR(__xludf.DUMMYFUNCTION("""COMPUTED_VALUE"""),2918132.0)</f>
        <v>2918132</v>
      </c>
      <c r="C8257" t="str">
        <f>IFERROR(__xludf.DUMMYFUNCTION("""COMPUTED_VALUE"""),"Ataques al Registro y métodos de inicio de malware [Windows]")</f>
        <v>Ataques al Registro y métodos de inicio de malware [Windows]</v>
      </c>
    </row>
    <row r="8258">
      <c r="A8258" s="140" t="str">
        <f>IFERROR(__xludf.DUMMYFUNCTION("""COMPUTED_VALUE"""),"en")</f>
        <v>en</v>
      </c>
      <c r="B8258">
        <f>IFERROR(__xludf.DUMMYFUNCTION("""COMPUTED_VALUE"""),3477114.0)</f>
        <v>3477114</v>
      </c>
      <c r="C8258" t="str">
        <f>IFERROR(__xludf.DUMMYFUNCTION("""COMPUTED_VALUE"""),"Build your own Proof Of Stake Blockchain")</f>
        <v>Build your own Proof Of Stake Blockchain</v>
      </c>
    </row>
    <row r="8259">
      <c r="A8259" s="140" t="str">
        <f>IFERROR(__xludf.DUMMYFUNCTION("""COMPUTED_VALUE"""),"tr")</f>
        <v>tr</v>
      </c>
      <c r="B8259">
        <f>IFERROR(__xludf.DUMMYFUNCTION("""COMPUTED_VALUE"""),2664114.0)</f>
        <v>2664114</v>
      </c>
      <c r="C8259" t="str">
        <f>IFERROR(__xludf.DUMMYFUNCTION("""COMPUTED_VALUE"""),"1 Günde 10 Günlük İş Bitirin: Herkes için Zaman Yönetimi")</f>
        <v>1 Günde 10 Günlük İş Bitirin: Herkes için Zaman Yönetimi</v>
      </c>
    </row>
    <row r="8260">
      <c r="A8260" s="140" t="str">
        <f>IFERROR(__xludf.DUMMYFUNCTION("""COMPUTED_VALUE"""),"en")</f>
        <v>en</v>
      </c>
      <c r="B8260">
        <f>IFERROR(__xludf.DUMMYFUNCTION("""COMPUTED_VALUE"""),378782.0)</f>
        <v>378782</v>
      </c>
      <c r="C8260" t="str">
        <f>IFERROR(__xludf.DUMMYFUNCTION("""COMPUTED_VALUE"""),"NEW Lean Startup Principles Save Entrepreneurs a Fortune!")</f>
        <v>NEW Lean Startup Principles Save Entrepreneurs a Fortune!</v>
      </c>
    </row>
    <row r="8261">
      <c r="A8261" s="140" t="str">
        <f>IFERROR(__xludf.DUMMYFUNCTION("""COMPUTED_VALUE"""),"ar")</f>
        <v>ar</v>
      </c>
      <c r="B8261">
        <f>IFERROR(__xludf.DUMMYFUNCTION("""COMPUTED_VALUE"""),558650.0)</f>
        <v>558650</v>
      </c>
      <c r="C8261" t="str">
        <f>IFERROR(__xludf.DUMMYFUNCTION("""COMPUTED_VALUE"""),"PMP مقدمة عن إدارة المشروعات واختبار")</f>
        <v>PMP مقدمة عن إدارة المشروعات واختبار</v>
      </c>
    </row>
    <row r="8262">
      <c r="A8262" s="140" t="str">
        <f>IFERROR(__xludf.DUMMYFUNCTION("""COMPUTED_VALUE"""),"en")</f>
        <v>en</v>
      </c>
      <c r="B8262">
        <f>IFERROR(__xludf.DUMMYFUNCTION("""COMPUTED_VALUE"""),1253674.0)</f>
        <v>1253674</v>
      </c>
      <c r="C8262" t="str">
        <f>IFERROR(__xludf.DUMMYFUNCTION("""COMPUTED_VALUE"""),"Cisco CCNA 200-301 : Full Course For Networking Basics")</f>
        <v>Cisco CCNA 200-301 : Full Course For Networking Basics</v>
      </c>
    </row>
    <row r="8263">
      <c r="A8263" s="140" t="str">
        <f>IFERROR(__xludf.DUMMYFUNCTION("""COMPUTED_VALUE"""),"de")</f>
        <v>de</v>
      </c>
      <c r="B8263">
        <f>IFERROR(__xludf.DUMMYFUNCTION("""COMPUTED_VALUE"""),1886104.0)</f>
        <v>1886104</v>
      </c>
      <c r="C8263" t="str">
        <f>IFERROR(__xludf.DUMMYFUNCTION("""COMPUTED_VALUE"""),"Ganzheitliches Life Coaching")</f>
        <v>Ganzheitliches Life Coaching</v>
      </c>
    </row>
    <row r="8264">
      <c r="A8264" s="140" t="str">
        <f>IFERROR(__xludf.DUMMYFUNCTION("""COMPUTED_VALUE"""),"en")</f>
        <v>en</v>
      </c>
      <c r="B8264">
        <f>IFERROR(__xludf.DUMMYFUNCTION("""COMPUTED_VALUE"""),587890.0)</f>
        <v>587890</v>
      </c>
      <c r="C8264" t="str">
        <f>IFERROR(__xludf.DUMMYFUNCTION("""COMPUTED_VALUE"""),"Getting Started with Google Office: Docs, Sheets, Slides")</f>
        <v>Getting Started with Google Office: Docs, Sheets, Slides</v>
      </c>
    </row>
    <row r="8265">
      <c r="A8265" s="140" t="str">
        <f>IFERROR(__xludf.DUMMYFUNCTION("""COMPUTED_VALUE"""),"en")</f>
        <v>en</v>
      </c>
      <c r="B8265">
        <f>IFERROR(__xludf.DUMMYFUNCTION("""COMPUTED_VALUE"""),429834.0)</f>
        <v>429834</v>
      </c>
      <c r="C8265" t="str">
        <f>IFERROR(__xludf.DUMMYFUNCTION("""COMPUTED_VALUE"""),"How to Design Effective Training Programs")</f>
        <v>How to Design Effective Training Programs</v>
      </c>
    </row>
    <row r="8266">
      <c r="A8266" s="140" t="str">
        <f>IFERROR(__xludf.DUMMYFUNCTION("""COMPUTED_VALUE"""),"en")</f>
        <v>en</v>
      </c>
      <c r="B8266">
        <f>IFERROR(__xludf.DUMMYFUNCTION("""COMPUTED_VALUE"""),1594488.0)</f>
        <v>1594488</v>
      </c>
      <c r="C8266" t="str">
        <f>IFERROR(__xludf.DUMMYFUNCTION("""COMPUTED_VALUE"""),"Blockchain A-Z™: Learn How To Build Your First Blockchain")</f>
        <v>Blockchain A-Z™: Learn How To Build Your First Blockchain</v>
      </c>
    </row>
    <row r="8267">
      <c r="A8267" s="140" t="str">
        <f>IFERROR(__xludf.DUMMYFUNCTION("""COMPUTED_VALUE"""),"ja")</f>
        <v>ja</v>
      </c>
      <c r="B8267">
        <f>IFERROR(__xludf.DUMMYFUNCTION("""COMPUTED_VALUE"""),3606442.0)</f>
        <v>3606442</v>
      </c>
      <c r="C8267" t="str">
        <f>IFERROR(__xludf.DUMMYFUNCTION("""COMPUTED_VALUE"""),"Unityでシューティングゲームを作る プログラミングスキルアップ講座！")</f>
        <v>Unityでシューティングゲームを作る プログラミングスキルアップ講座！</v>
      </c>
    </row>
    <row r="8268">
      <c r="A8268" s="140" t="str">
        <f>IFERROR(__xludf.DUMMYFUNCTION("""COMPUTED_VALUE"""),"tr")</f>
        <v>tr</v>
      </c>
      <c r="B8268">
        <f>IFERROR(__xludf.DUMMYFUNCTION("""COMPUTED_VALUE"""),1717430.0)</f>
        <v>1717430</v>
      </c>
      <c r="C8268" t="str">
        <f>IFERROR(__xludf.DUMMYFUNCTION("""COMPUTED_VALUE"""),"ADO.NET Eğitim Videosu Serisi")</f>
        <v>ADO.NET Eğitim Videosu Serisi</v>
      </c>
    </row>
    <row r="8269">
      <c r="A8269" s="140" t="str">
        <f>IFERROR(__xludf.DUMMYFUNCTION("""COMPUTED_VALUE"""),"en")</f>
        <v>en</v>
      </c>
      <c r="B8269">
        <f>IFERROR(__xludf.DUMMYFUNCTION("""COMPUTED_VALUE"""),1915708.0)</f>
        <v>1915708</v>
      </c>
      <c r="C8269" t="str">
        <f>IFERROR(__xludf.DUMMYFUNCTION("""COMPUTED_VALUE"""),"CUDA programming Masterclass with C++")</f>
        <v>CUDA programming Masterclass with C++</v>
      </c>
    </row>
    <row r="8270">
      <c r="A8270" s="140" t="str">
        <f>IFERROR(__xludf.DUMMYFUNCTION("""COMPUTED_VALUE"""),"en")</f>
        <v>en</v>
      </c>
      <c r="B8270">
        <f>IFERROR(__xludf.DUMMYFUNCTION("""COMPUTED_VALUE"""),1673044.0)</f>
        <v>1673044</v>
      </c>
      <c r="C8270" t="str">
        <f>IFERROR(__xludf.DUMMYFUNCTION("""COMPUTED_VALUE"""),"Plan the Project as a Business Analyst")</f>
        <v>Plan the Project as a Business Analyst</v>
      </c>
    </row>
    <row r="8271">
      <c r="A8271" s="140" t="str">
        <f>IFERROR(__xludf.DUMMYFUNCTION("""COMPUTED_VALUE"""),"en")</f>
        <v>en</v>
      </c>
      <c r="B8271">
        <f>IFERROR(__xludf.DUMMYFUNCTION("""COMPUTED_VALUE"""),1600628.0)</f>
        <v>1600628</v>
      </c>
      <c r="C8271" t="str">
        <f>IFERROR(__xludf.DUMMYFUNCTION("""COMPUTED_VALUE"""),"Email Marketing with Mailchimp + Sales Funnels &amp; Copywriting")</f>
        <v>Email Marketing with Mailchimp + Sales Funnels &amp; Copywriting</v>
      </c>
    </row>
    <row r="8272">
      <c r="A8272" s="140" t="str">
        <f>IFERROR(__xludf.DUMMYFUNCTION("""COMPUTED_VALUE"""),"de")</f>
        <v>de</v>
      </c>
      <c r="B8272">
        <f>IFERROR(__xludf.DUMMYFUNCTION("""COMPUTED_VALUE"""),1700846.0)</f>
        <v>1700846</v>
      </c>
      <c r="C8272" t="str">
        <f>IFERROR(__xludf.DUMMYFUNCTION("""COMPUTED_VALUE"""),"Tableau 10: Visuelle Datenanalyse für die Data Science")</f>
        <v>Tableau 10: Visuelle Datenanalyse für die Data Science</v>
      </c>
    </row>
    <row r="8273">
      <c r="A8273" s="140" t="str">
        <f>IFERROR(__xludf.DUMMYFUNCTION("""COMPUTED_VALUE"""),"es")</f>
        <v>es</v>
      </c>
      <c r="B8273">
        <f>IFERROR(__xludf.DUMMYFUNCTION("""COMPUTED_VALUE"""),1079988.0)</f>
        <v>1079988</v>
      </c>
      <c r="C8273" t="str">
        <f>IFERROR(__xludf.DUMMYFUNCTION("""COMPUTED_VALUE"""),"Crea Tu EMBUDO DE VENTAS Paso a Paso Y VENDE Por Internet")</f>
        <v>Crea Tu EMBUDO DE VENTAS Paso a Paso Y VENDE Por Internet</v>
      </c>
    </row>
    <row r="8274">
      <c r="A8274" s="140" t="str">
        <f>IFERROR(__xludf.DUMMYFUNCTION("""COMPUTED_VALUE"""),"en")</f>
        <v>en</v>
      </c>
      <c r="B8274">
        <f>IFERROR(__xludf.DUMMYFUNCTION("""COMPUTED_VALUE"""),376472.0)</f>
        <v>376472</v>
      </c>
      <c r="C8274" t="str">
        <f>IFERROR(__xludf.DUMMYFUNCTION("""COMPUTED_VALUE"""),"Get Things Done: How To Organize Your Life And Take Action")</f>
        <v>Get Things Done: How To Organize Your Life And Take Action</v>
      </c>
    </row>
    <row r="8275">
      <c r="A8275" s="140" t="str">
        <f>IFERROR(__xludf.DUMMYFUNCTION("""COMPUTED_VALUE"""),"en")</f>
        <v>en</v>
      </c>
      <c r="B8275">
        <f>IFERROR(__xludf.DUMMYFUNCTION("""COMPUTED_VALUE"""),1870422.0)</f>
        <v>1870422</v>
      </c>
      <c r="C8275" t="str">
        <f>IFERROR(__xludf.DUMMYFUNCTION("""COMPUTED_VALUE"""),"Certified Minitab Beginner: Graphical Tools (Accredited)")</f>
        <v>Certified Minitab Beginner: Graphical Tools (Accredited)</v>
      </c>
    </row>
    <row r="8276">
      <c r="A8276" s="140" t="str">
        <f>IFERROR(__xludf.DUMMYFUNCTION("""COMPUTED_VALUE"""),"fr")</f>
        <v>fr</v>
      </c>
      <c r="B8276">
        <f>IFERROR(__xludf.DUMMYFUNCTION("""COMPUTED_VALUE"""),948132.0)</f>
        <v>948132</v>
      </c>
      <c r="C8276" t="str">
        <f>IFERROR(__xludf.DUMMYFUNCTION("""COMPUTED_VALUE"""),"L'affirmation de soi - Charly Cungi")</f>
        <v>L'affirmation de soi - Charly Cungi</v>
      </c>
    </row>
    <row r="8277">
      <c r="A8277" s="140" t="str">
        <f>IFERROR(__xludf.DUMMYFUNCTION("""COMPUTED_VALUE"""),"en")</f>
        <v>en</v>
      </c>
      <c r="B8277">
        <f>IFERROR(__xludf.DUMMYFUNCTION("""COMPUTED_VALUE"""),831116.0)</f>
        <v>831116</v>
      </c>
      <c r="C8277" t="str">
        <f>IFERROR(__xludf.DUMMYFUNCTION("""COMPUTED_VALUE"""),"Microsoft Project ALL: BEGINNER to EXPERT 10 Projects 9 PDU")</f>
        <v>Microsoft Project ALL: BEGINNER to EXPERT 10 Projects 9 PDU</v>
      </c>
    </row>
    <row r="8278">
      <c r="A8278" s="140" t="str">
        <f>IFERROR(__xludf.DUMMYFUNCTION("""COMPUTED_VALUE"""),"en")</f>
        <v>en</v>
      </c>
      <c r="B8278">
        <f>IFERROR(__xludf.DUMMYFUNCTION("""COMPUTED_VALUE"""),2783402.0)</f>
        <v>2783402</v>
      </c>
      <c r="C8278" t="str">
        <f>IFERROR(__xludf.DUMMYFUNCTION("""COMPUTED_VALUE"""),"The Absolute Beginners Guide to Information Technology 2021")</f>
        <v>The Absolute Beginners Guide to Information Technology 2021</v>
      </c>
    </row>
    <row r="8279">
      <c r="A8279" s="140" t="str">
        <f>IFERROR(__xludf.DUMMYFUNCTION("""COMPUTED_VALUE"""),"es")</f>
        <v>es</v>
      </c>
      <c r="B8279">
        <f>IFERROR(__xludf.DUMMYFUNCTION("""COMPUTED_VALUE"""),1259562.0)</f>
        <v>1259562</v>
      </c>
      <c r="C8279" t="str">
        <f>IFERROR(__xludf.DUMMYFUNCTION("""COMPUTED_VALUE"""),"Shell Bash de Linux: Comandos para el manejo de texto")</f>
        <v>Shell Bash de Linux: Comandos para el manejo de texto</v>
      </c>
    </row>
    <row r="8280">
      <c r="A8280" s="140" t="str">
        <f>IFERROR(__xludf.DUMMYFUNCTION("""COMPUTED_VALUE"""),"en")</f>
        <v>en</v>
      </c>
      <c r="B8280">
        <f>IFERROR(__xludf.DUMMYFUNCTION("""COMPUTED_VALUE"""),575076.0)</f>
        <v>575076</v>
      </c>
      <c r="C8280" t="str">
        <f>IFERROR(__xludf.DUMMYFUNCTION("""COMPUTED_VALUE"""),"Spring Core Advanced - Beyond the Basics")</f>
        <v>Spring Core Advanced - Beyond the Basics</v>
      </c>
    </row>
    <row r="8281">
      <c r="A8281" s="140" t="str">
        <f>IFERROR(__xludf.DUMMYFUNCTION("""COMPUTED_VALUE"""),"en")</f>
        <v>en</v>
      </c>
      <c r="B8281">
        <f>IFERROR(__xludf.DUMMYFUNCTION("""COMPUTED_VALUE"""),1764386.0)</f>
        <v>1764386</v>
      </c>
      <c r="C8281" t="str">
        <f>IFERROR(__xludf.DUMMYFUNCTION("""COMPUTED_VALUE"""),"Understanding Climate")</f>
        <v>Understanding Climate</v>
      </c>
    </row>
    <row r="8282">
      <c r="A8282" s="140" t="str">
        <f>IFERROR(__xludf.DUMMYFUNCTION("""COMPUTED_VALUE"""),"en")</f>
        <v>en</v>
      </c>
      <c r="B8282">
        <f>IFERROR(__xludf.DUMMYFUNCTION("""COMPUTED_VALUE"""),72964.0)</f>
        <v>72964</v>
      </c>
      <c r="C8282" t="str">
        <f>IFERROR(__xludf.DUMMYFUNCTION("""COMPUTED_VALUE"""),"BEST SELLER Beginners Watercolor. Get clear on the BASICS.")</f>
        <v>BEST SELLER Beginners Watercolor. Get clear on the BASICS.</v>
      </c>
    </row>
    <row r="8283">
      <c r="A8283" s="140" t="str">
        <f>IFERROR(__xludf.DUMMYFUNCTION("""COMPUTED_VALUE"""),"es")</f>
        <v>es</v>
      </c>
      <c r="B8283">
        <f>IFERROR(__xludf.DUMMYFUNCTION("""COMPUTED_VALUE"""),2618828.0)</f>
        <v>2618828</v>
      </c>
      <c r="C8283" t="str">
        <f>IFERROR(__xludf.DUMMYFUNCTION("""COMPUTED_VALUE"""),"Desarrollo de apps para iOS 13 con SwiftUI y Swift 5.2")</f>
        <v>Desarrollo de apps para iOS 13 con SwiftUI y Swift 5.2</v>
      </c>
    </row>
    <row r="8284">
      <c r="A8284" s="140" t="str">
        <f>IFERROR(__xludf.DUMMYFUNCTION("""COMPUTED_VALUE"""),"ja")</f>
        <v>ja</v>
      </c>
      <c r="B8284">
        <f>IFERROR(__xludf.DUMMYFUNCTION("""COMPUTED_VALUE"""),2507404.0)</f>
        <v>2507404</v>
      </c>
      <c r="C8284" t="str">
        <f>IFERROR(__xludf.DUMMYFUNCTION("""COMPUTED_VALUE"""),"【続】Microsoft Power BI Desktop - 入門講座 ～DAX-CALCULATE特訓編～")</f>
        <v>【続】Microsoft Power BI Desktop - 入門講座 ～DAX-CALCULATE特訓編～</v>
      </c>
    </row>
    <row r="8285">
      <c r="A8285" s="140" t="str">
        <f>IFERROR(__xludf.DUMMYFUNCTION("""COMPUTED_VALUE"""),"en")</f>
        <v>en</v>
      </c>
      <c r="B8285">
        <f>IFERROR(__xludf.DUMMYFUNCTION("""COMPUTED_VALUE"""),2745122.0)</f>
        <v>2745122</v>
      </c>
      <c r="C8285" t="str">
        <f>IFERROR(__xludf.DUMMYFUNCTION("""COMPUTED_VALUE"""),"TOTAL: CEH v10  (Ethical Hacker) Practice Tests - 500 Q's")</f>
        <v>TOTAL: CEH v10  (Ethical Hacker) Practice Tests - 500 Q's</v>
      </c>
    </row>
    <row r="8286">
      <c r="A8286" s="140" t="str">
        <f>IFERROR(__xludf.DUMMYFUNCTION("""COMPUTED_VALUE"""),"en")</f>
        <v>en</v>
      </c>
      <c r="B8286">
        <f>IFERROR(__xludf.DUMMYFUNCTION("""COMPUTED_VALUE"""),180948.0)</f>
        <v>180948</v>
      </c>
      <c r="C8286" t="str">
        <f>IFERROR(__xludf.DUMMYFUNCTION("""COMPUTED_VALUE"""),"Learn to Paint With Impact")</f>
        <v>Learn to Paint With Impact</v>
      </c>
    </row>
    <row r="8287">
      <c r="A8287" s="140" t="str">
        <f>IFERROR(__xludf.DUMMYFUNCTION("""COMPUTED_VALUE"""),"en")</f>
        <v>en</v>
      </c>
      <c r="B8287">
        <f>IFERROR(__xludf.DUMMYFUNCTION("""COMPUTED_VALUE"""),2264546.0)</f>
        <v>2264546</v>
      </c>
      <c r="C8287" t="str">
        <f>IFERROR(__xludf.DUMMYFUNCTION("""COMPUTED_VALUE"""),"CISM Certification: CISM Domain 4 Video Boot Camp 2022")</f>
        <v>CISM Certification: CISM Domain 4 Video Boot Camp 2022</v>
      </c>
    </row>
    <row r="8288">
      <c r="A8288" s="140" t="str">
        <f>IFERROR(__xludf.DUMMYFUNCTION("""COMPUTED_VALUE"""),"en")</f>
        <v>en</v>
      </c>
      <c r="B8288">
        <f>IFERROR(__xludf.DUMMYFUNCTION("""COMPUTED_VALUE"""),2982240.0)</f>
        <v>2982240</v>
      </c>
      <c r="C8288" t="str">
        <f>IFERROR(__xludf.DUMMYFUNCTION("""COMPUTED_VALUE"""),"Linux Heap Exploitation - Part 1")</f>
        <v>Linux Heap Exploitation - Part 1</v>
      </c>
    </row>
    <row r="8289">
      <c r="A8289" s="140" t="str">
        <f>IFERROR(__xludf.DUMMYFUNCTION("""COMPUTED_VALUE"""),"en")</f>
        <v>en</v>
      </c>
      <c r="B8289">
        <f>IFERROR(__xludf.DUMMYFUNCTION("""COMPUTED_VALUE"""),2611022.0)</f>
        <v>2611022</v>
      </c>
      <c r="C8289" t="str">
        <f>IFERROR(__xludf.DUMMYFUNCTION("""COMPUTED_VALUE"""),"A Practical Guide To SFDX and Salesforce CLI")</f>
        <v>A Practical Guide To SFDX and Salesforce CLI</v>
      </c>
    </row>
    <row r="8290">
      <c r="A8290" s="140" t="str">
        <f>IFERROR(__xludf.DUMMYFUNCTION("""COMPUTED_VALUE"""),"en")</f>
        <v>en</v>
      </c>
      <c r="B8290">
        <f>IFERROR(__xludf.DUMMYFUNCTION("""COMPUTED_VALUE"""),429062.0)</f>
        <v>429062</v>
      </c>
      <c r="C8290" t="str">
        <f>IFERROR(__xludf.DUMMYFUNCTION("""COMPUTED_VALUE"""),"New Manager: The Basics and More of Being a Great Leader")</f>
        <v>New Manager: The Basics and More of Being a Great Leader</v>
      </c>
    </row>
    <row r="8291">
      <c r="A8291" s="140" t="str">
        <f>IFERROR(__xludf.DUMMYFUNCTION("""COMPUTED_VALUE"""),"fr")</f>
        <v>fr</v>
      </c>
      <c r="B8291">
        <f>IFERROR(__xludf.DUMMYFUNCTION("""COMPUTED_VALUE"""),89708.0)</f>
        <v>89708</v>
      </c>
      <c r="C8291" t="str">
        <f>IFERROR(__xludf.DUMMYFUNCTION("""COMPUTED_VALUE"""),"GESTION DU STRESS. Comment gérer votre STRESS efficacement ?")</f>
        <v>GESTION DU STRESS. Comment gérer votre STRESS efficacement ?</v>
      </c>
    </row>
    <row r="8292">
      <c r="A8292" s="140" t="str">
        <f>IFERROR(__xludf.DUMMYFUNCTION("""COMPUTED_VALUE"""),"en")</f>
        <v>en</v>
      </c>
      <c r="B8292">
        <f>IFERROR(__xludf.DUMMYFUNCTION("""COMPUTED_VALUE"""),2574866.0)</f>
        <v>2574866</v>
      </c>
      <c r="C8292" t="str">
        <f>IFERROR(__xludf.DUMMYFUNCTION("""COMPUTED_VALUE"""),"Mixing and Mastering in Logic Pro X - Music Production Guide")</f>
        <v>Mixing and Mastering in Logic Pro X - Music Production Guide</v>
      </c>
    </row>
    <row r="8293">
      <c r="A8293" s="140" t="str">
        <f>IFERROR(__xludf.DUMMYFUNCTION("""COMPUTED_VALUE"""),"es")</f>
        <v>es</v>
      </c>
      <c r="B8293">
        <f>IFERROR(__xludf.DUMMYFUNCTION("""COMPUTED_VALUE"""),3934340.0)</f>
        <v>3934340</v>
      </c>
      <c r="C8293" t="str">
        <f>IFERROR(__xludf.DUMMYFUNCTION("""COMPUTED_VALUE"""),"Guía Completa JUnit y Mockito incluye Spring Boot Test 2021")</f>
        <v>Guía Completa JUnit y Mockito incluye Spring Boot Test 2021</v>
      </c>
    </row>
    <row r="8294">
      <c r="A8294" s="140" t="str">
        <f>IFERROR(__xludf.DUMMYFUNCTION("""COMPUTED_VALUE"""),"en")</f>
        <v>en</v>
      </c>
      <c r="B8294">
        <f>IFERROR(__xludf.DUMMYFUNCTION("""COMPUTED_VALUE"""),178776.0)</f>
        <v>178776</v>
      </c>
      <c r="C8294" t="str">
        <f>IFERROR(__xludf.DUMMYFUNCTION("""COMPUTED_VALUE"""),"Fixed Income Securities")</f>
        <v>Fixed Income Securities</v>
      </c>
    </row>
    <row r="8295">
      <c r="A8295" s="140" t="str">
        <f>IFERROR(__xludf.DUMMYFUNCTION("""COMPUTED_VALUE"""),"en")</f>
        <v>en</v>
      </c>
      <c r="B8295">
        <f>IFERROR(__xludf.DUMMYFUNCTION("""COMPUTED_VALUE"""),3175066.0)</f>
        <v>3175066</v>
      </c>
      <c r="C8295" t="str">
        <f>IFERROR(__xludf.DUMMYFUNCTION("""COMPUTED_VALUE"""),"Creating Measures and Metrics in ITSM")</f>
        <v>Creating Measures and Metrics in ITSM</v>
      </c>
    </row>
    <row r="8296">
      <c r="A8296" s="140" t="str">
        <f>IFERROR(__xludf.DUMMYFUNCTION("""COMPUTED_VALUE"""),"pt")</f>
        <v>pt</v>
      </c>
      <c r="B8296">
        <f>IFERROR(__xludf.DUMMYFUNCTION("""COMPUTED_VALUE"""),2002572.0)</f>
        <v>2002572</v>
      </c>
      <c r="C8296" t="str">
        <f>IFERROR(__xludf.DUMMYFUNCTION("""COMPUTED_VALUE"""),"Microsoft Access Super Completo do Básico ao Avançado")</f>
        <v>Microsoft Access Super Completo do Básico ao Avançado</v>
      </c>
    </row>
    <row r="8297">
      <c r="A8297" s="140" t="str">
        <f>IFERROR(__xludf.DUMMYFUNCTION("""COMPUTED_VALUE"""),"en")</f>
        <v>en</v>
      </c>
      <c r="B8297">
        <f>IFERROR(__xludf.DUMMYFUNCTION("""COMPUTED_VALUE"""),780572.0)</f>
        <v>780572</v>
      </c>
      <c r="C8297" t="str">
        <f>IFERROR(__xludf.DUMMYFUNCTION("""COMPUTED_VALUE"""),"How To Sing  #2: Increase Vocal Range &amp; Blend Registers")</f>
        <v>How To Sing  #2: Increase Vocal Range &amp; Blend Registers</v>
      </c>
    </row>
    <row r="8298">
      <c r="A8298" s="140" t="str">
        <f>IFERROR(__xludf.DUMMYFUNCTION("""COMPUTED_VALUE"""),"ja")</f>
        <v>ja</v>
      </c>
      <c r="B8298">
        <f>IFERROR(__xludf.DUMMYFUNCTION("""COMPUTED_VALUE"""),1536972.0)</f>
        <v>1536972</v>
      </c>
      <c r="C8298" t="str">
        <f>IFERROR(__xludf.DUMMYFUNCTION("""COMPUTED_VALUE"""),"【キカガク流】人工知能・機械学習 脱ブラックボックス講座 - 中級編 -")</f>
        <v>【キカガク流】人工知能・機械学習 脱ブラックボックス講座 - 中級編 -</v>
      </c>
    </row>
    <row r="8299">
      <c r="A8299" s="140" t="str">
        <f>IFERROR(__xludf.DUMMYFUNCTION("""COMPUTED_VALUE"""),"en")</f>
        <v>en</v>
      </c>
      <c r="B8299">
        <f>IFERROR(__xludf.DUMMYFUNCTION("""COMPUTED_VALUE"""),2789798.0)</f>
        <v>2789798</v>
      </c>
      <c r="C8299" t="str">
        <f>IFERROR(__xludf.DUMMYFUNCTION("""COMPUTED_VALUE"""),"Build Ecommerce Website Like Amazon [React &amp; Node &amp; MongoDB]")</f>
        <v>Build Ecommerce Website Like Amazon [React &amp; Node &amp; MongoDB]</v>
      </c>
    </row>
    <row r="8300">
      <c r="A8300" s="140" t="str">
        <f>IFERROR(__xludf.DUMMYFUNCTION("""COMPUTED_VALUE"""),"en")</f>
        <v>en</v>
      </c>
      <c r="B8300">
        <f>IFERROR(__xludf.DUMMYFUNCTION("""COMPUTED_VALUE"""),1988542.0)</f>
        <v>1988542</v>
      </c>
      <c r="C8300" t="str">
        <f>IFERROR(__xludf.DUMMYFUNCTION("""COMPUTED_VALUE"""),"Kubernetes Certified Application Developer (CKAD) with Tests")</f>
        <v>Kubernetes Certified Application Developer (CKAD) with Tests</v>
      </c>
    </row>
    <row r="8301">
      <c r="A8301" s="140" t="str">
        <f>IFERROR(__xludf.DUMMYFUNCTION("""COMPUTED_VALUE"""),"en")</f>
        <v>en</v>
      </c>
      <c r="B8301">
        <f>IFERROR(__xludf.DUMMYFUNCTION("""COMPUTED_VALUE"""),850426.0)</f>
        <v>850426</v>
      </c>
      <c r="C8301" t="str">
        <f>IFERROR(__xludf.DUMMYFUNCTION("""COMPUTED_VALUE"""),"Photoshop 2022 MasterClass")</f>
        <v>Photoshop 2022 MasterClass</v>
      </c>
    </row>
    <row r="8302">
      <c r="A8302" s="140" t="str">
        <f>IFERROR(__xludf.DUMMYFUNCTION("""COMPUTED_VALUE"""),"en")</f>
        <v>en</v>
      </c>
      <c r="B8302">
        <f>IFERROR(__xludf.DUMMYFUNCTION("""COMPUTED_VALUE"""),1084184.0)</f>
        <v>1084184</v>
      </c>
      <c r="C8302" t="str">
        <f>IFERROR(__xludf.DUMMYFUNCTION("""COMPUTED_VALUE"""),"Cisco Application Centric Infrastructure - ACI")</f>
        <v>Cisco Application Centric Infrastructure - ACI</v>
      </c>
    </row>
    <row r="8303">
      <c r="A8303" s="140" t="str">
        <f>IFERROR(__xludf.DUMMYFUNCTION("""COMPUTED_VALUE"""),"pt")</f>
        <v>pt</v>
      </c>
      <c r="B8303">
        <f>IFERROR(__xludf.DUMMYFUNCTION("""COMPUTED_VALUE"""),3945890.0)</f>
        <v>3945890</v>
      </c>
      <c r="C8303" t="str">
        <f>IFERROR(__xludf.DUMMYFUNCTION("""COMPUTED_VALUE"""),"Mineração e Análise de Dados do Facebook")</f>
        <v>Mineração e Análise de Dados do Facebook</v>
      </c>
    </row>
    <row r="8304">
      <c r="A8304" s="140" t="str">
        <f>IFERROR(__xludf.DUMMYFUNCTION("""COMPUTED_VALUE"""),"es")</f>
        <v>es</v>
      </c>
      <c r="B8304">
        <f>IFERROR(__xludf.DUMMYFUNCTION("""COMPUTED_VALUE"""),2632528.0)</f>
        <v>2632528</v>
      </c>
      <c r="C8304" t="str">
        <f>IFERROR(__xludf.DUMMYFUNCTION("""COMPUTED_VALUE"""),"Curso Django y Django rest framework de básico a profesional")</f>
        <v>Curso Django y Django rest framework de básico a profesional</v>
      </c>
    </row>
    <row r="8305">
      <c r="A8305" s="140" t="str">
        <f>IFERROR(__xludf.DUMMYFUNCTION("""COMPUTED_VALUE"""),"en")</f>
        <v>en</v>
      </c>
      <c r="B8305">
        <f>IFERROR(__xludf.DUMMYFUNCTION("""COMPUTED_VALUE"""),3165824.0)</f>
        <v>3165824</v>
      </c>
      <c r="C8305" t="str">
        <f>IFERROR(__xludf.DUMMYFUNCTION("""COMPUTED_VALUE"""),"How to Make a Retro Style 3D FPS in the Godot Game Engine")</f>
        <v>How to Make a Retro Style 3D FPS in the Godot Game Engine</v>
      </c>
    </row>
    <row r="8306">
      <c r="A8306" s="140" t="str">
        <f>IFERROR(__xludf.DUMMYFUNCTION("""COMPUTED_VALUE"""),"de")</f>
        <v>de</v>
      </c>
      <c r="B8306">
        <f>IFERROR(__xludf.DUMMYFUNCTION("""COMPUTED_VALUE"""),3402618.0)</f>
        <v>3402618</v>
      </c>
      <c r="C8306" t="str">
        <f>IFERROR(__xludf.DUMMYFUNCTION("""COMPUTED_VALUE"""),"Active Directory Administration mit Windows PowerShell")</f>
        <v>Active Directory Administration mit Windows PowerShell</v>
      </c>
    </row>
    <row r="8307">
      <c r="A8307" s="140" t="str">
        <f>IFERROR(__xludf.DUMMYFUNCTION("""COMPUTED_VALUE"""),"en")</f>
        <v>en</v>
      </c>
      <c r="B8307">
        <f>IFERROR(__xludf.DUMMYFUNCTION("""COMPUTED_VALUE"""),381850.0)</f>
        <v>381850</v>
      </c>
      <c r="C8307" t="str">
        <f>IFERROR(__xludf.DUMMYFUNCTION("""COMPUTED_VALUE"""),"Mobile App Design In Sketch 3: UX and UI Design From Scratch")</f>
        <v>Mobile App Design In Sketch 3: UX and UI Design From Scratch</v>
      </c>
    </row>
    <row r="8308">
      <c r="A8308" s="140" t="str">
        <f>IFERROR(__xludf.DUMMYFUNCTION("""COMPUTED_VALUE"""),"en")</f>
        <v>en</v>
      </c>
      <c r="B8308">
        <f>IFERROR(__xludf.DUMMYFUNCTION("""COMPUTED_VALUE"""),1437938.0)</f>
        <v>1437938</v>
      </c>
      <c r="C8308" t="str">
        <f>IFERROR(__xludf.DUMMYFUNCTION("""COMPUTED_VALUE"""),"MVVM Design Pattern Using Swift in iOS")</f>
        <v>MVVM Design Pattern Using Swift in iOS</v>
      </c>
    </row>
    <row r="8309">
      <c r="A8309" s="140" t="str">
        <f>IFERROR(__xludf.DUMMYFUNCTION("""COMPUTED_VALUE"""),"en")</f>
        <v>en</v>
      </c>
      <c r="B8309">
        <f>IFERROR(__xludf.DUMMYFUNCTION("""COMPUTED_VALUE"""),324224.0)</f>
        <v>324224</v>
      </c>
      <c r="C8309" t="str">
        <f>IFERROR(__xludf.DUMMYFUNCTION("""COMPUTED_VALUE"""),"Learn to Play the Flute: Beginner Basics to Intermediate")</f>
        <v>Learn to Play the Flute: Beginner Basics to Intermediate</v>
      </c>
    </row>
    <row r="8310">
      <c r="A8310" s="140" t="str">
        <f>IFERROR(__xludf.DUMMYFUNCTION("""COMPUTED_VALUE"""),"en")</f>
        <v>en</v>
      </c>
      <c r="B8310">
        <f>IFERROR(__xludf.DUMMYFUNCTION("""COMPUTED_VALUE"""),312042.0)</f>
        <v>312042</v>
      </c>
      <c r="C8310" t="str">
        <f>IFERROR(__xludf.DUMMYFUNCTION("""COMPUTED_VALUE"""),"Recruitment Interviewing Essentials: Interviewing Made Easy")</f>
        <v>Recruitment Interviewing Essentials: Interviewing Made Easy</v>
      </c>
    </row>
    <row r="8311">
      <c r="A8311" s="140" t="str">
        <f>IFERROR(__xludf.DUMMYFUNCTION("""COMPUTED_VALUE"""),"en")</f>
        <v>en</v>
      </c>
      <c r="B8311">
        <f>IFERROR(__xludf.DUMMYFUNCTION("""COMPUTED_VALUE"""),1329878.0)</f>
        <v>1329878</v>
      </c>
      <c r="C8311" t="str">
        <f>IFERROR(__xludf.DUMMYFUNCTION("""COMPUTED_VALUE"""),"Cryptocurrency Investing: Buy &amp; Trade Bitcoin &amp; Altcoins")</f>
        <v>Cryptocurrency Investing: Buy &amp; Trade Bitcoin &amp; Altcoins</v>
      </c>
    </row>
    <row r="8312">
      <c r="A8312" s="140" t="str">
        <f>IFERROR(__xludf.DUMMYFUNCTION("""COMPUTED_VALUE"""),"en")</f>
        <v>en</v>
      </c>
      <c r="B8312">
        <f>IFERROR(__xludf.DUMMYFUNCTION("""COMPUTED_VALUE"""),2331010.0)</f>
        <v>2331010</v>
      </c>
      <c r="C8312" t="str">
        <f>IFERROR(__xludf.DUMMYFUNCTION("""COMPUTED_VALUE"""),"Robotic Process Automation (RPA) - Automation Anywhere v11")</f>
        <v>Robotic Process Automation (RPA) - Automation Anywhere v11</v>
      </c>
    </row>
    <row r="8313">
      <c r="A8313" s="140" t="str">
        <f>IFERROR(__xludf.DUMMYFUNCTION("""COMPUTED_VALUE"""),"en")</f>
        <v>en</v>
      </c>
      <c r="B8313">
        <f>IFERROR(__xludf.DUMMYFUNCTION("""COMPUTED_VALUE"""),3491770.0)</f>
        <v>3491770</v>
      </c>
      <c r="C8313" t="str">
        <f>IFERROR(__xludf.DUMMYFUNCTION("""COMPUTED_VALUE"""),"Ultimate Prometheus")</f>
        <v>Ultimate Prometheus</v>
      </c>
    </row>
    <row r="8314">
      <c r="A8314" s="140" t="str">
        <f>IFERROR(__xludf.DUMMYFUNCTION("""COMPUTED_VALUE"""),"pt")</f>
        <v>pt</v>
      </c>
      <c r="B8314">
        <f>IFERROR(__xludf.DUMMYFUNCTION("""COMPUTED_VALUE"""),2996966.0)</f>
        <v>2996966</v>
      </c>
      <c r="C8314" t="str">
        <f>IFERROR(__xludf.DUMMYFUNCTION("""COMPUTED_VALUE"""),"Comunicação Assertiva")</f>
        <v>Comunicação Assertiva</v>
      </c>
    </row>
    <row r="8315">
      <c r="A8315" s="140" t="str">
        <f>IFERROR(__xludf.DUMMYFUNCTION("""COMPUTED_VALUE"""),"en")</f>
        <v>en</v>
      </c>
      <c r="B8315">
        <f>IFERROR(__xludf.DUMMYFUNCTION("""COMPUTED_VALUE"""),713258.0)</f>
        <v>713258</v>
      </c>
      <c r="C8315" t="str">
        <f>IFERROR(__xludf.DUMMYFUNCTION("""COMPUTED_VALUE"""),"Bookkeeping Basics #1:  Understand the Fundamentals")</f>
        <v>Bookkeeping Basics #1:  Understand the Fundamentals</v>
      </c>
    </row>
    <row r="8316">
      <c r="A8316" s="140" t="str">
        <f>IFERROR(__xludf.DUMMYFUNCTION("""COMPUTED_VALUE"""),"en")</f>
        <v>en</v>
      </c>
      <c r="B8316">
        <f>IFERROR(__xludf.DUMMYFUNCTION("""COMPUTED_VALUE"""),733136.0)</f>
        <v>733136</v>
      </c>
      <c r="C8316" t="str">
        <f>IFERROR(__xludf.DUMMYFUNCTION("""COMPUTED_VALUE"""),"VMware vSphere 6.0 Part 4 - Clusters, Patching, Performance")</f>
        <v>VMware vSphere 6.0 Part 4 - Clusters, Patching, Performance</v>
      </c>
    </row>
    <row r="8317">
      <c r="A8317" s="140" t="str">
        <f>IFERROR(__xludf.DUMMYFUNCTION("""COMPUTED_VALUE"""),"en")</f>
        <v>en</v>
      </c>
      <c r="B8317">
        <f>IFERROR(__xludf.DUMMYFUNCTION("""COMPUTED_VALUE"""),2519558.0)</f>
        <v>2519558</v>
      </c>
      <c r="C8317" t="str">
        <f>IFERROR(__xludf.DUMMYFUNCTION("""COMPUTED_VALUE"""),"Ruby on Rails 6: Learn 25+ gems and build a Startup MVP 2021")</f>
        <v>Ruby on Rails 6: Learn 25+ gems and build a Startup MVP 2021</v>
      </c>
    </row>
    <row r="8318">
      <c r="A8318" s="140" t="str">
        <f>IFERROR(__xludf.DUMMYFUNCTION("""COMPUTED_VALUE"""),"en")</f>
        <v>en</v>
      </c>
      <c r="B8318">
        <f>IFERROR(__xludf.DUMMYFUNCTION("""COMPUTED_VALUE"""),1138374.0)</f>
        <v>1138374</v>
      </c>
      <c r="C8318" t="str">
        <f>IFERROR(__xludf.DUMMYFUNCTION("""COMPUTED_VALUE"""),"REST API Automation:REST Assured,Serenity BDD Framework")</f>
        <v>REST API Automation:REST Assured,Serenity BDD Framework</v>
      </c>
    </row>
    <row r="8319">
      <c r="A8319" s="140" t="str">
        <f>IFERROR(__xludf.DUMMYFUNCTION("""COMPUTED_VALUE"""),"en")</f>
        <v>en</v>
      </c>
      <c r="B8319">
        <f>IFERROR(__xludf.DUMMYFUNCTION("""COMPUTED_VALUE"""),763086.0)</f>
        <v>763086</v>
      </c>
      <c r="C8319" t="str">
        <f>IFERROR(__xludf.DUMMYFUNCTION("""COMPUTED_VALUE"""),"Complete Linux Bootcamp for Beginners")</f>
        <v>Complete Linux Bootcamp for Beginners</v>
      </c>
    </row>
    <row r="8320">
      <c r="A8320" s="140" t="str">
        <f>IFERROR(__xludf.DUMMYFUNCTION("""COMPUTED_VALUE"""),"en")</f>
        <v>en</v>
      </c>
      <c r="B8320">
        <f>IFERROR(__xludf.DUMMYFUNCTION("""COMPUTED_VALUE"""),2013542.0)</f>
        <v>2013542</v>
      </c>
      <c r="C8320" t="str">
        <f>IFERROR(__xludf.DUMMYFUNCTION("""COMPUTED_VALUE"""),"Advanced Product Management: Vision, Strategy &amp; Metrics")</f>
        <v>Advanced Product Management: Vision, Strategy &amp; Metrics</v>
      </c>
    </row>
    <row r="8321">
      <c r="A8321" s="140" t="str">
        <f>IFERROR(__xludf.DUMMYFUNCTION("""COMPUTED_VALUE"""),"ar")</f>
        <v>ar</v>
      </c>
      <c r="B8321">
        <f>IFERROR(__xludf.DUMMYFUNCTION("""COMPUTED_VALUE"""),2963190.0)</f>
        <v>2963190</v>
      </c>
      <c r="C8321" t="str">
        <f>IFERROR(__xludf.DUMMYFUNCTION("""COMPUTED_VALUE"""),"تعلم الفوتوشوب من الصفر")</f>
        <v>تعلم الفوتوشوب من الصفر</v>
      </c>
    </row>
    <row r="8322">
      <c r="A8322" s="140" t="str">
        <f>IFERROR(__xludf.DUMMYFUNCTION("""COMPUTED_VALUE"""),"de")</f>
        <v>de</v>
      </c>
      <c r="B8322">
        <f>IFERROR(__xludf.DUMMYFUNCTION("""COMPUTED_VALUE"""),2818119.0)</f>
        <v>2818119</v>
      </c>
      <c r="C8322" t="str">
        <f>IFERROR(__xludf.DUMMYFUNCTION("""COMPUTED_VALUE"""),"Körpersprache: Menschen einfach lesen.")</f>
        <v>Körpersprache: Menschen einfach lesen.</v>
      </c>
    </row>
    <row r="8323">
      <c r="A8323" s="140" t="str">
        <f>IFERROR(__xludf.DUMMYFUNCTION("""COMPUTED_VALUE"""),"tr")</f>
        <v>tr</v>
      </c>
      <c r="B8323">
        <f>IFERROR(__xludf.DUMMYFUNCTION("""COMPUTED_VALUE"""),1877328.0)</f>
        <v>1877328</v>
      </c>
      <c r="C8323" t="str">
        <f>IFERROR(__xludf.DUMMYFUNCTION("""COMPUTED_VALUE"""),"Sıfırdan Her Yönüyle GraphQL ve Apollo")</f>
        <v>Sıfırdan Her Yönüyle GraphQL ve Apollo</v>
      </c>
    </row>
    <row r="8324">
      <c r="A8324" s="140" t="str">
        <f>IFERROR(__xludf.DUMMYFUNCTION("""COMPUTED_VALUE"""),"en")</f>
        <v>en</v>
      </c>
      <c r="B8324">
        <f>IFERROR(__xludf.DUMMYFUNCTION("""COMPUTED_VALUE"""),2474986.0)</f>
        <v>2474986</v>
      </c>
      <c r="C8324" t="str">
        <f>IFERROR(__xludf.DUMMYFUNCTION("""COMPUTED_VALUE"""),"Scrum Master certification - practice test questions")</f>
        <v>Scrum Master certification - practice test questions</v>
      </c>
    </row>
    <row r="8325">
      <c r="A8325" s="140" t="str">
        <f>IFERROR(__xludf.DUMMYFUNCTION("""COMPUTED_VALUE"""),"ja")</f>
        <v>ja</v>
      </c>
      <c r="B8325">
        <f>IFERROR(__xludf.DUMMYFUNCTION("""COMPUTED_VALUE"""),3308178.0)</f>
        <v>3308178</v>
      </c>
      <c r="C8325" t="str">
        <f>IFERROR(__xludf.DUMMYFUNCTION("""COMPUTED_VALUE"""),"文系出身・数学がニガテ・知識ゼロの方大歓迎！社会人のための統計活用力養成講座　～　データサイエンスの基礎を攻略！")</f>
        <v>文系出身・数学がニガテ・知識ゼロの方大歓迎！社会人のための統計活用力養成講座　～　データサイエンスの基礎を攻略！</v>
      </c>
    </row>
    <row r="8326">
      <c r="A8326" s="140" t="str">
        <f>IFERROR(__xludf.DUMMYFUNCTION("""COMPUTED_VALUE"""),"en")</f>
        <v>en</v>
      </c>
      <c r="B8326">
        <f>IFERROR(__xludf.DUMMYFUNCTION("""COMPUTED_VALUE"""),113318.0)</f>
        <v>113318</v>
      </c>
      <c r="C8326" t="str">
        <f>IFERROR(__xludf.DUMMYFUNCTION("""COMPUTED_VALUE"""),"Introduction to Microsoft Word 2013")</f>
        <v>Introduction to Microsoft Word 2013</v>
      </c>
    </row>
    <row r="8327">
      <c r="A8327" s="140" t="str">
        <f>IFERROR(__xludf.DUMMYFUNCTION("""COMPUTED_VALUE"""),"es")</f>
        <v>es</v>
      </c>
      <c r="B8327">
        <f>IFERROR(__xludf.DUMMYFUNCTION("""COMPUTED_VALUE"""),2340682.0)</f>
        <v>2340682</v>
      </c>
      <c r="C8327" t="str">
        <f>IFERROR(__xludf.DUMMYFUNCTION("""COMPUTED_VALUE"""),"Aprende lenguaje GO (GOLANG) desde 0")</f>
        <v>Aprende lenguaje GO (GOLANG) desde 0</v>
      </c>
    </row>
    <row r="8328">
      <c r="A8328" s="140" t="str">
        <f>IFERROR(__xludf.DUMMYFUNCTION("""COMPUTED_VALUE"""),"es")</f>
        <v>es</v>
      </c>
      <c r="B8328">
        <f>IFERROR(__xludf.DUMMYFUNCTION("""COMPUTED_VALUE"""),1518934.0)</f>
        <v>1518934</v>
      </c>
      <c r="C8328" t="str">
        <f>IFERROR(__xludf.DUMMYFUNCTION("""COMPUTED_VALUE"""),"Amazon AWS: Curso Completo Arquitecto Soluciones Certificado")</f>
        <v>Amazon AWS: Curso Completo Arquitecto Soluciones Certificado</v>
      </c>
    </row>
    <row r="8329">
      <c r="A8329" s="140" t="str">
        <f>IFERROR(__xludf.DUMMYFUNCTION("""COMPUTED_VALUE"""),"es")</f>
        <v>es</v>
      </c>
      <c r="B8329">
        <f>IFERROR(__xludf.DUMMYFUNCTION("""COMPUTED_VALUE"""),1418884.0)</f>
        <v>1418884</v>
      </c>
      <c r="C8329" t="str">
        <f>IFERROR(__xludf.DUMMYFUNCTION("""COMPUTED_VALUE"""),"Aprender React JS")</f>
        <v>Aprender React JS</v>
      </c>
    </row>
    <row r="8330">
      <c r="A8330" s="140" t="str">
        <f>IFERROR(__xludf.DUMMYFUNCTION("""COMPUTED_VALUE"""),"en")</f>
        <v>en</v>
      </c>
      <c r="B8330">
        <f>IFERROR(__xludf.DUMMYFUNCTION("""COMPUTED_VALUE"""),515004.0)</f>
        <v>515004</v>
      </c>
      <c r="C8330" t="str">
        <f>IFERROR(__xludf.DUMMYFUNCTION("""COMPUTED_VALUE"""),"Statistics &amp; Data Analysis: Linear Regression Models in SPSS")</f>
        <v>Statistics &amp; Data Analysis: Linear Regression Models in SPSS</v>
      </c>
    </row>
    <row r="8331">
      <c r="A8331" s="140" t="str">
        <f>IFERROR(__xludf.DUMMYFUNCTION("""COMPUTED_VALUE"""),"pt")</f>
        <v>pt</v>
      </c>
      <c r="B8331">
        <f>IFERROR(__xludf.DUMMYFUNCTION("""COMPUTED_VALUE"""),1474244.0)</f>
        <v>1474244</v>
      </c>
      <c r="C8331" t="str">
        <f>IFERROR(__xludf.DUMMYFUNCTION("""COMPUTED_VALUE"""),"Testes funcionais de aplicações Android com Appium")</f>
        <v>Testes funcionais de aplicações Android com Appium</v>
      </c>
    </row>
    <row r="8332">
      <c r="A8332" s="140" t="str">
        <f>IFERROR(__xludf.DUMMYFUNCTION("""COMPUTED_VALUE"""),"en")</f>
        <v>en</v>
      </c>
      <c r="B8332">
        <f>IFERROR(__xludf.DUMMYFUNCTION("""COMPUTED_VALUE"""),2462140.0)</f>
        <v>2462140</v>
      </c>
      <c r="C8332" t="str">
        <f>IFERROR(__xludf.DUMMYFUNCTION("""COMPUTED_VALUE"""),"Learn JAVA Programming - Beginner to Master")</f>
        <v>Learn JAVA Programming - Beginner to Master</v>
      </c>
    </row>
    <row r="8333">
      <c r="A8333" s="140" t="str">
        <f>IFERROR(__xludf.DUMMYFUNCTION("""COMPUTED_VALUE"""),"en")</f>
        <v>en</v>
      </c>
      <c r="B8333">
        <f>IFERROR(__xludf.DUMMYFUNCTION("""COMPUTED_VALUE"""),2573622.0)</f>
        <v>2573622</v>
      </c>
      <c r="C8333" t="str">
        <f>IFERROR(__xludf.DUMMYFUNCTION("""COMPUTED_VALUE"""),"VB.Net Projects and Exercises for Intermediate Programmers")</f>
        <v>VB.Net Projects and Exercises for Intermediate Programmers</v>
      </c>
    </row>
    <row r="8334">
      <c r="A8334" s="140" t="str">
        <f>IFERROR(__xludf.DUMMYFUNCTION("""COMPUTED_VALUE"""),"es")</f>
        <v>es</v>
      </c>
      <c r="B8334">
        <f>IFERROR(__xludf.DUMMYFUNCTION("""COMPUTED_VALUE"""),233830.0)</f>
        <v>233830</v>
      </c>
      <c r="C8334" t="str">
        <f>IFERROR(__xludf.DUMMYFUNCTION("""COMPUTED_VALUE"""),"Crea tu Plan de Marketing Online")</f>
        <v>Crea tu Plan de Marketing Online</v>
      </c>
    </row>
    <row r="8335">
      <c r="A8335" s="140" t="str">
        <f>IFERROR(__xludf.DUMMYFUNCTION("""COMPUTED_VALUE"""),"en")</f>
        <v>en</v>
      </c>
      <c r="B8335">
        <f>IFERROR(__xludf.DUMMYFUNCTION("""COMPUTED_VALUE"""),3377424.0)</f>
        <v>3377424</v>
      </c>
      <c r="C8335" t="str">
        <f>IFERROR(__xludf.DUMMYFUNCTION("""COMPUTED_VALUE"""),"DP-203: Data Engineering on Microsoft Azure + Practice Tests")</f>
        <v>DP-203: Data Engineering on Microsoft Azure + Practice Tests</v>
      </c>
    </row>
    <row r="8336">
      <c r="A8336" s="140" t="str">
        <f>IFERROR(__xludf.DUMMYFUNCTION("""COMPUTED_VALUE"""),"pt")</f>
        <v>pt</v>
      </c>
      <c r="B8336">
        <f>IFERROR(__xludf.DUMMYFUNCTION("""COMPUTED_VALUE"""),1902030.0)</f>
        <v>1902030</v>
      </c>
      <c r="C8336" t="str">
        <f>IFERROR(__xludf.DUMMYFUNCTION("""COMPUTED_VALUE"""),"Curso de Excel Expert do básico ao avançado + Dashboards")</f>
        <v>Curso de Excel Expert do básico ao avançado + Dashboards</v>
      </c>
    </row>
    <row r="8337">
      <c r="A8337" s="140" t="str">
        <f>IFERROR(__xludf.DUMMYFUNCTION("""COMPUTED_VALUE"""),"en")</f>
        <v>en</v>
      </c>
      <c r="B8337">
        <f>IFERROR(__xludf.DUMMYFUNCTION("""COMPUTED_VALUE"""),1431270.0)</f>
        <v>1431270</v>
      </c>
      <c r="C8337" t="str">
        <f>IFERROR(__xludf.DUMMYFUNCTION("""COMPUTED_VALUE"""),"Prepare RHCSA 8 Exams on RHEL 8 with Real Exam Practice Test")</f>
        <v>Prepare RHCSA 8 Exams on RHEL 8 with Real Exam Practice Test</v>
      </c>
    </row>
    <row r="8338">
      <c r="A8338" s="140" t="str">
        <f>IFERROR(__xludf.DUMMYFUNCTION("""COMPUTED_VALUE"""),"en")</f>
        <v>en</v>
      </c>
      <c r="B8338">
        <f>IFERROR(__xludf.DUMMYFUNCTION("""COMPUTED_VALUE"""),3127990.0)</f>
        <v>3127990</v>
      </c>
      <c r="C8338" t="str">
        <f>IFERROR(__xludf.DUMMYFUNCTION("""COMPUTED_VALUE"""),"Introduction to Motivational Interviewing - Certificate")</f>
        <v>Introduction to Motivational Interviewing - Certificate</v>
      </c>
    </row>
    <row r="8339">
      <c r="A8339" s="140" t="str">
        <f>IFERROR(__xludf.DUMMYFUNCTION("""COMPUTED_VALUE"""),"en")</f>
        <v>en</v>
      </c>
      <c r="B8339">
        <f>IFERROR(__xludf.DUMMYFUNCTION("""COMPUTED_VALUE"""),271228.0)</f>
        <v>271228</v>
      </c>
      <c r="C8339" t="str">
        <f>IFERROR(__xludf.DUMMYFUNCTION("""COMPUTED_VALUE"""),"WordPress Development with Bootstrap: The Complete Course")</f>
        <v>WordPress Development with Bootstrap: The Complete Course</v>
      </c>
    </row>
    <row r="8340">
      <c r="A8340" s="140" t="str">
        <f>IFERROR(__xludf.DUMMYFUNCTION("""COMPUTED_VALUE"""),"en")</f>
        <v>en</v>
      </c>
      <c r="B8340">
        <f>IFERROR(__xludf.DUMMYFUNCTION("""COMPUTED_VALUE"""),3208141.0)</f>
        <v>3208141</v>
      </c>
      <c r="C8340" t="str">
        <f>IFERROR(__xludf.DUMMYFUNCTION("""COMPUTED_VALUE"""),"Ally Up: Using allyship to advance diversity &amp; inclusion")</f>
        <v>Ally Up: Using allyship to advance diversity &amp; inclusion</v>
      </c>
    </row>
    <row r="8341">
      <c r="A8341" s="140" t="str">
        <f>IFERROR(__xludf.DUMMYFUNCTION("""COMPUTED_VALUE"""),"pt")</f>
        <v>pt</v>
      </c>
      <c r="B8341">
        <f>IFERROR(__xludf.DUMMYFUNCTION("""COMPUTED_VALUE"""),2237864.0)</f>
        <v>2237864</v>
      </c>
      <c r="C8341" t="str">
        <f>IFERROR(__xludf.DUMMYFUNCTION("""COMPUTED_VALUE"""),"Curso Forex Completo Profissionalizante")</f>
        <v>Curso Forex Completo Profissionalizante</v>
      </c>
    </row>
    <row r="8342">
      <c r="A8342" s="140" t="str">
        <f>IFERROR(__xludf.DUMMYFUNCTION("""COMPUTED_VALUE"""),"en")</f>
        <v>en</v>
      </c>
      <c r="B8342">
        <f>IFERROR(__xludf.DUMMYFUNCTION("""COMPUTED_VALUE"""),2309396.0)</f>
        <v>2309396</v>
      </c>
      <c r="C8342" t="str">
        <f>IFERROR(__xludf.DUMMYFUNCTION("""COMPUTED_VALUE"""),"React Styled Components Course 2021 (V5)")</f>
        <v>React Styled Components Course 2021 (V5)</v>
      </c>
    </row>
    <row r="8343">
      <c r="A8343" s="140" t="str">
        <f>IFERROR(__xludf.DUMMYFUNCTION("""COMPUTED_VALUE"""),"de")</f>
        <v>de</v>
      </c>
      <c r="B8343">
        <f>IFERROR(__xludf.DUMMYFUNCTION("""COMPUTED_VALUE"""),2182570.0)</f>
        <v>2182570</v>
      </c>
      <c r="C8343" t="str">
        <f>IFERROR(__xludf.DUMMYFUNCTION("""COMPUTED_VALUE"""),"Produktivität steigern: Effizientes Zeitmanagement im Alltag")</f>
        <v>Produktivität steigern: Effizientes Zeitmanagement im Alltag</v>
      </c>
    </row>
    <row r="8344">
      <c r="A8344" s="140" t="str">
        <f>IFERROR(__xludf.DUMMYFUNCTION("""COMPUTED_VALUE"""),"ja")</f>
        <v>ja</v>
      </c>
      <c r="B8344">
        <f>IFERROR(__xludf.DUMMYFUNCTION("""COMPUTED_VALUE"""),4088754.0)</f>
        <v>4088754</v>
      </c>
      <c r="C8344" t="str">
        <f>IFERROR(__xludf.DUMMYFUNCTION("""COMPUTED_VALUE"""),"はじめての財務分析（初級）～経営指標を読む！3時間で切り拓く「指標」の向こうに隠された鮮やかなビジネスの世界")</f>
        <v>はじめての財務分析（初級）～経営指標を読む！3時間で切り拓く「指標」の向こうに隠された鮮やかなビジネスの世界</v>
      </c>
    </row>
    <row r="8345">
      <c r="A8345" s="140" t="str">
        <f>IFERROR(__xludf.DUMMYFUNCTION("""COMPUTED_VALUE"""),"fr")</f>
        <v>fr</v>
      </c>
      <c r="B8345">
        <f>IFERROR(__xludf.DUMMYFUNCTION("""COMPUTED_VALUE"""),696466.0)</f>
        <v>696466</v>
      </c>
      <c r="C8345" t="str">
        <f>IFERROR(__xludf.DUMMYFUNCTION("""COMPUTED_VALUE"""),"Créer son podcast")</f>
        <v>Créer son podcast</v>
      </c>
    </row>
    <row r="8346">
      <c r="A8346" s="140" t="str">
        <f>IFERROR(__xludf.DUMMYFUNCTION("""COMPUTED_VALUE"""),"de")</f>
        <v>de</v>
      </c>
      <c r="B8346">
        <f>IFERROR(__xludf.DUMMYFUNCTION("""COMPUTED_VALUE"""),1411626.0)</f>
        <v>1411626</v>
      </c>
      <c r="C8346" t="str">
        <f>IFERROR(__xludf.DUMMYFUNCTION("""COMPUTED_VALUE"""),"Onboarding - Einarbeitung für Unternehmen")</f>
        <v>Onboarding - Einarbeitung für Unternehmen</v>
      </c>
    </row>
    <row r="8347">
      <c r="A8347" s="140" t="str">
        <f>IFERROR(__xludf.DUMMYFUNCTION("""COMPUTED_VALUE"""),"en")</f>
        <v>en</v>
      </c>
      <c r="B8347">
        <f>IFERROR(__xludf.DUMMYFUNCTION("""COMPUTED_VALUE"""),1691762.0)</f>
        <v>1691762</v>
      </c>
      <c r="C8347" t="str">
        <f>IFERROR(__xludf.DUMMYFUNCTION("""COMPUTED_VALUE"""),"60 AutoCAD 2D &amp; 3D Drawings and Practical Projects")</f>
        <v>60 AutoCAD 2D &amp; 3D Drawings and Practical Projects</v>
      </c>
    </row>
    <row r="8348">
      <c r="A8348" s="140" t="str">
        <f>IFERROR(__xludf.DUMMYFUNCTION("""COMPUTED_VALUE"""),"ar")</f>
        <v>ar</v>
      </c>
      <c r="B8348">
        <f>IFERROR(__xludf.DUMMYFUNCTION("""COMPUTED_VALUE"""),3206609.0)</f>
        <v>3206609</v>
      </c>
      <c r="C8348" t="str">
        <f>IFERROR(__xludf.DUMMYFUNCTION("""COMPUTED_VALUE"""),"Arduino Programming Course(Arabic) - تعلم الاردوينو")</f>
        <v>Arduino Programming Course(Arabic) - تعلم الاردوينو</v>
      </c>
    </row>
    <row r="8349">
      <c r="A8349" s="140" t="str">
        <f>IFERROR(__xludf.DUMMYFUNCTION("""COMPUTED_VALUE"""),"en")</f>
        <v>en</v>
      </c>
      <c r="B8349">
        <f>IFERROR(__xludf.DUMMYFUNCTION("""COMPUTED_VALUE"""),3438904.0)</f>
        <v>3438904</v>
      </c>
      <c r="C8349" t="str">
        <f>IFERROR(__xludf.DUMMYFUNCTION("""COMPUTED_VALUE"""),"Active Listening: You Can Be a Great Listener")</f>
        <v>Active Listening: You Can Be a Great Listener</v>
      </c>
    </row>
    <row r="8350">
      <c r="A8350" s="140" t="str">
        <f>IFERROR(__xludf.DUMMYFUNCTION("""COMPUTED_VALUE"""),"pt")</f>
        <v>pt</v>
      </c>
      <c r="B8350">
        <f>IFERROR(__xludf.DUMMYFUNCTION("""COMPUTED_VALUE"""),1866020.0)</f>
        <v>1866020</v>
      </c>
      <c r="C8350" t="str">
        <f>IFERROR(__xludf.DUMMYFUNCTION("""COMPUTED_VALUE"""),"Inglês para Brasileiros : Caminho a Fluência Acelerada 2")</f>
        <v>Inglês para Brasileiros : Caminho a Fluência Acelerada 2</v>
      </c>
    </row>
    <row r="8351">
      <c r="A8351" s="140" t="str">
        <f>IFERROR(__xludf.DUMMYFUNCTION("""COMPUTED_VALUE"""),"en")</f>
        <v>en</v>
      </c>
      <c r="B8351">
        <f>IFERROR(__xludf.DUMMYFUNCTION("""COMPUTED_VALUE"""),4174580.0)</f>
        <v>4174580</v>
      </c>
      <c r="C8351" t="str">
        <f>IFERROR(__xludf.DUMMYFUNCTION("""COMPUTED_VALUE"""),"NestJS: The Complete Developer's Guide")</f>
        <v>NestJS: The Complete Developer's Guide</v>
      </c>
    </row>
    <row r="8352">
      <c r="A8352" s="140" t="str">
        <f>IFERROR(__xludf.DUMMYFUNCTION("""COMPUTED_VALUE"""),"en")</f>
        <v>en</v>
      </c>
      <c r="B8352">
        <f>IFERROR(__xludf.DUMMYFUNCTION("""COMPUTED_VALUE"""),807386.0)</f>
        <v>807386</v>
      </c>
      <c r="C8352" t="str">
        <f>IFERROR(__xludf.DUMMYFUNCTION("""COMPUTED_VALUE"""),"Microsoft Publisher 2016 Made Easy Training Tutorial")</f>
        <v>Microsoft Publisher 2016 Made Easy Training Tutorial</v>
      </c>
    </row>
    <row r="8353">
      <c r="A8353" s="140" t="str">
        <f>IFERROR(__xludf.DUMMYFUNCTION("""COMPUTED_VALUE"""),"pt")</f>
        <v>pt</v>
      </c>
      <c r="B8353">
        <f>IFERROR(__xludf.DUMMYFUNCTION("""COMPUTED_VALUE"""),3593010.0)</f>
        <v>3593010</v>
      </c>
      <c r="C8353" t="str">
        <f>IFERROR(__xludf.DUMMYFUNCTION("""COMPUTED_VALUE"""),"SketchUp para a Web 2021")</f>
        <v>SketchUp para a Web 2021</v>
      </c>
    </row>
    <row r="8354">
      <c r="A8354" s="140" t="str">
        <f>IFERROR(__xludf.DUMMYFUNCTION("""COMPUTED_VALUE"""),"en")</f>
        <v>en</v>
      </c>
      <c r="B8354">
        <f>IFERROR(__xludf.DUMMYFUNCTION("""COMPUTED_VALUE"""),1262802.0)</f>
        <v>1262802</v>
      </c>
      <c r="C8354" t="str">
        <f>IFERROR(__xludf.DUMMYFUNCTION("""COMPUTED_VALUE"""),"Learn to Read and Write Arabic For Beginners")</f>
        <v>Learn to Read and Write Arabic For Beginners</v>
      </c>
    </row>
    <row r="8355">
      <c r="A8355" s="140" t="str">
        <f>IFERROR(__xludf.DUMMYFUNCTION("""COMPUTED_VALUE"""),"es")</f>
        <v>es</v>
      </c>
      <c r="B8355">
        <f>IFERROR(__xludf.DUMMYFUNCTION("""COMPUTED_VALUE"""),2373954.0)</f>
        <v>2373954</v>
      </c>
      <c r="C8355" t="str">
        <f>IFERROR(__xludf.DUMMYFUNCTION("""COMPUTED_VALUE"""),"AWS API Gateway, Lambda, RDS Mysql/Oracle,SOAP DESTACADO")</f>
        <v>AWS API Gateway, Lambda, RDS Mysql/Oracle,SOAP DESTACADO</v>
      </c>
    </row>
    <row r="8356">
      <c r="A8356" s="140" t="str">
        <f>IFERROR(__xludf.DUMMYFUNCTION("""COMPUTED_VALUE"""),"en")</f>
        <v>en</v>
      </c>
      <c r="B8356">
        <f>IFERROR(__xludf.DUMMYFUNCTION("""COMPUTED_VALUE"""),3523918.0)</f>
        <v>3523918</v>
      </c>
      <c r="C8356" t="str">
        <f>IFERROR(__xludf.DUMMYFUNCTION("""COMPUTED_VALUE"""),"AWS Certified Cloud Practitioner exam Guide to Success !!")</f>
        <v>AWS Certified Cloud Practitioner exam Guide to Success !!</v>
      </c>
    </row>
    <row r="8357">
      <c r="A8357" s="140" t="str">
        <f>IFERROR(__xludf.DUMMYFUNCTION("""COMPUTED_VALUE"""),"ja")</f>
        <v>ja</v>
      </c>
      <c r="B8357">
        <f>IFERROR(__xludf.DUMMYFUNCTION("""COMPUTED_VALUE"""),3031694.0)</f>
        <v>3031694</v>
      </c>
      <c r="C8357" t="str">
        <f>IFERROR(__xludf.DUMMYFUNCTION("""COMPUTED_VALUE"""),"Alteryx Designer ハンズオントレーニング（基礎編）")</f>
        <v>Alteryx Designer ハンズオントレーニング（基礎編）</v>
      </c>
    </row>
    <row r="8358">
      <c r="A8358" s="140" t="str">
        <f>IFERROR(__xludf.DUMMYFUNCTION("""COMPUTED_VALUE"""),"en")</f>
        <v>en</v>
      </c>
      <c r="B8358">
        <f>IFERROR(__xludf.DUMMYFUNCTION("""COMPUTED_VALUE"""),1733034.0)</f>
        <v>1733034</v>
      </c>
      <c r="C8358" t="str">
        <f>IFERROR(__xludf.DUMMYFUNCTION("""COMPUTED_VALUE"""),"Getting to Know Splunk: The Hands-On Administration Guide")</f>
        <v>Getting to Know Splunk: The Hands-On Administration Guide</v>
      </c>
    </row>
    <row r="8359">
      <c r="A8359" s="140" t="str">
        <f>IFERROR(__xludf.DUMMYFUNCTION("""COMPUTED_VALUE"""),"en")</f>
        <v>en</v>
      </c>
      <c r="B8359">
        <f>IFERROR(__xludf.DUMMYFUNCTION("""COMPUTED_VALUE"""),3365698.0)</f>
        <v>3365698</v>
      </c>
      <c r="C8359" t="str">
        <f>IFERROR(__xludf.DUMMYFUNCTION("""COMPUTED_VALUE"""),"The Ultimate AWS Alexa Skill Builder Course")</f>
        <v>The Ultimate AWS Alexa Skill Builder Course</v>
      </c>
    </row>
    <row r="8360">
      <c r="A8360" s="140" t="str">
        <f>IFERROR(__xludf.DUMMYFUNCTION("""COMPUTED_VALUE"""),"pt")</f>
        <v>pt</v>
      </c>
      <c r="B8360">
        <f>IFERROR(__xludf.DUMMYFUNCTION("""COMPUTED_VALUE"""),2515482.0)</f>
        <v>2515482</v>
      </c>
      <c r="C8360" t="str">
        <f>IFERROR(__xludf.DUMMYFUNCTION("""COMPUTED_VALUE"""),"Robôs de investimentos - MQL5 Tópicos avançados")</f>
        <v>Robôs de investimentos - MQL5 Tópicos avançados</v>
      </c>
    </row>
    <row r="8361">
      <c r="A8361" s="140" t="str">
        <f>IFERROR(__xludf.DUMMYFUNCTION("""COMPUTED_VALUE"""),"es")</f>
        <v>es</v>
      </c>
      <c r="B8361">
        <f>IFERROR(__xludf.DUMMYFUNCTION("""COMPUTED_VALUE"""),922644.0)</f>
        <v>922644</v>
      </c>
      <c r="C8361" t="str">
        <f>IFERROR(__xludf.DUMMYFUNCTION("""COMPUTED_VALUE"""),"Convence a tus clientes con presentaciones eficaces 100%")</f>
        <v>Convence a tus clientes con presentaciones eficaces 100%</v>
      </c>
    </row>
    <row r="8362">
      <c r="A8362" s="140" t="str">
        <f>IFERROR(__xludf.DUMMYFUNCTION("""COMPUTED_VALUE"""),"pt")</f>
        <v>pt</v>
      </c>
      <c r="B8362">
        <f>IFERROR(__xludf.DUMMYFUNCTION("""COMPUTED_VALUE"""),1810226.0)</f>
        <v>1810226</v>
      </c>
      <c r="C8362" t="str">
        <f>IFERROR(__xludf.DUMMYFUNCTION("""COMPUTED_VALUE"""),"INTELIGÊNCIA EMOCIONAL | Coaching de Emoções")</f>
        <v>INTELIGÊNCIA EMOCIONAL | Coaching de Emoções</v>
      </c>
    </row>
    <row r="8363">
      <c r="A8363" s="140" t="str">
        <f>IFERROR(__xludf.DUMMYFUNCTION("""COMPUTED_VALUE"""),"en")</f>
        <v>en</v>
      </c>
      <c r="B8363">
        <f>IFERROR(__xludf.DUMMYFUNCTION("""COMPUTED_VALUE"""),3257650.0)</f>
        <v>3257650</v>
      </c>
      <c r="C8363" t="str">
        <f>IFERROR(__xludf.DUMMYFUNCTION("""COMPUTED_VALUE"""),"OK, Umbraco")</f>
        <v>OK, Umbraco</v>
      </c>
    </row>
    <row r="8364">
      <c r="A8364" s="140" t="str">
        <f>IFERROR(__xludf.DUMMYFUNCTION("""COMPUTED_VALUE"""),"en")</f>
        <v>en</v>
      </c>
      <c r="B8364">
        <f>IFERROR(__xludf.DUMMYFUNCTION("""COMPUTED_VALUE"""),3197064.0)</f>
        <v>3197064</v>
      </c>
      <c r="C8364" t="str">
        <f>IFERROR(__xludf.DUMMYFUNCTION("""COMPUTED_VALUE"""),"SAP - C_CPI_13 Certification - Practice Questions")</f>
        <v>SAP - C_CPI_13 Certification - Practice Questions</v>
      </c>
    </row>
    <row r="8365">
      <c r="A8365" s="140" t="str">
        <f>IFERROR(__xludf.DUMMYFUNCTION("""COMPUTED_VALUE"""),"en")</f>
        <v>en</v>
      </c>
      <c r="B8365">
        <f>IFERROR(__xludf.DUMMYFUNCTION("""COMPUTED_VALUE"""),3137638.0)</f>
        <v>3137638</v>
      </c>
      <c r="C8365" t="str">
        <f>IFERROR(__xludf.DUMMYFUNCTION("""COMPUTED_VALUE"""),"HashiCorp Certified: Vault Associate 2021")</f>
        <v>HashiCorp Certified: Vault Associate 2021</v>
      </c>
    </row>
    <row r="8366">
      <c r="A8366" s="140" t="str">
        <f>IFERROR(__xludf.DUMMYFUNCTION("""COMPUTED_VALUE"""),"es")</f>
        <v>es</v>
      </c>
      <c r="B8366">
        <f>IFERROR(__xludf.DUMMYFUNCTION("""COMPUTED_VALUE"""),336628.0)</f>
        <v>336628</v>
      </c>
      <c r="C8366" t="str">
        <f>IFERROR(__xludf.DUMMYFUNCTION("""COMPUTED_VALUE"""),"Aprende a ser Community Manager")</f>
        <v>Aprende a ser Community Manager</v>
      </c>
    </row>
    <row r="8367">
      <c r="A8367" s="140" t="str">
        <f>IFERROR(__xludf.DUMMYFUNCTION("""COMPUTED_VALUE"""),"ja")</f>
        <v>ja</v>
      </c>
      <c r="B8367">
        <f>IFERROR(__xludf.DUMMYFUNCTION("""COMPUTED_VALUE"""),2785212.0)</f>
        <v>2785212</v>
      </c>
      <c r="C8367" t="str">
        <f>IFERROR(__xludf.DUMMYFUNCTION("""COMPUTED_VALUE"""),"超TypeScript入門 完全パック(2021)")</f>
        <v>超TypeScript入門 完全パック(2021)</v>
      </c>
    </row>
    <row r="8368">
      <c r="A8368" s="140" t="str">
        <f>IFERROR(__xludf.DUMMYFUNCTION("""COMPUTED_VALUE"""),"de")</f>
        <v>de</v>
      </c>
      <c r="B8368">
        <f>IFERROR(__xludf.DUMMYFUNCTION("""COMPUTED_VALUE"""),2159944.0)</f>
        <v>2159944</v>
      </c>
      <c r="C8368" t="str">
        <f>IFERROR(__xludf.DUMMYFUNCTION("""COMPUTED_VALUE"""),"Aktives Zuhören: Empathie in der Kommunikation")</f>
        <v>Aktives Zuhören: Empathie in der Kommunikation</v>
      </c>
    </row>
    <row r="8369">
      <c r="A8369" s="140" t="str">
        <f>IFERROR(__xludf.DUMMYFUNCTION("""COMPUTED_VALUE"""),"en")</f>
        <v>en</v>
      </c>
      <c r="B8369">
        <f>IFERROR(__xludf.DUMMYFUNCTION("""COMPUTED_VALUE"""),1401132.0)</f>
        <v>1401132</v>
      </c>
      <c r="C8369" t="str">
        <f>IFERROR(__xludf.DUMMYFUNCTION("""COMPUTED_VALUE"""),"Build an SAP Hybris Clustered Landscape")</f>
        <v>Build an SAP Hybris Clustered Landscape</v>
      </c>
    </row>
    <row r="8370">
      <c r="A8370" s="140" t="str">
        <f>IFERROR(__xludf.DUMMYFUNCTION("""COMPUTED_VALUE"""),"en")</f>
        <v>en</v>
      </c>
      <c r="B8370">
        <f>IFERROR(__xludf.DUMMYFUNCTION("""COMPUTED_VALUE"""),4262334.0)</f>
        <v>4262334</v>
      </c>
      <c r="C8370" t="str">
        <f>IFERROR(__xludf.DUMMYFUNCTION("""COMPUTED_VALUE"""),"Project Management : the Fundamentals")</f>
        <v>Project Management : the Fundamentals</v>
      </c>
    </row>
    <row r="8371">
      <c r="A8371" s="140" t="str">
        <f>IFERROR(__xludf.DUMMYFUNCTION("""COMPUTED_VALUE"""),"en")</f>
        <v>en</v>
      </c>
      <c r="B8371">
        <f>IFERROR(__xludf.DUMMYFUNCTION("""COMPUTED_VALUE"""),1906034.0)</f>
        <v>1906034</v>
      </c>
      <c r="C8371" t="str">
        <f>IFERROR(__xludf.DUMMYFUNCTION("""COMPUTED_VALUE"""),"Introduction to Unreal Engine 4 Ability System - UE4")</f>
        <v>Introduction to Unreal Engine 4 Ability System - UE4</v>
      </c>
    </row>
    <row r="8372">
      <c r="A8372" s="140" t="str">
        <f>IFERROR(__xludf.DUMMYFUNCTION("""COMPUTED_VALUE"""),"es")</f>
        <v>es</v>
      </c>
      <c r="B8372">
        <f>IFERROR(__xludf.DUMMYFUNCTION("""COMPUTED_VALUE"""),1325930.0)</f>
        <v>1325930</v>
      </c>
      <c r="C8372" t="str">
        <f>IFERROR(__xludf.DUMMYFUNCTION("""COMPUTED_VALUE"""),"Aprende a programar Android con Kotlin + Firebase + Google")</f>
        <v>Aprende a programar Android con Kotlin + Firebase + Google</v>
      </c>
    </row>
    <row r="8373">
      <c r="A8373" s="140" t="str">
        <f>IFERROR(__xludf.DUMMYFUNCTION("""COMPUTED_VALUE"""),"fr")</f>
        <v>fr</v>
      </c>
      <c r="B8373">
        <f>IFERROR(__xludf.DUMMYFUNCTION("""COMPUTED_VALUE"""),2493408.0)</f>
        <v>2493408</v>
      </c>
      <c r="C8373" t="str">
        <f>IFERROR(__xludf.DUMMYFUNCTION("""COMPUTED_VALUE"""),"Nouveau Facebook 2020 : le Guide Utile")</f>
        <v>Nouveau Facebook 2020 : le Guide Utile</v>
      </c>
    </row>
    <row r="8374">
      <c r="A8374" s="140" t="str">
        <f>IFERROR(__xludf.DUMMYFUNCTION("""COMPUTED_VALUE"""),"en")</f>
        <v>en</v>
      </c>
      <c r="B8374">
        <f>IFERROR(__xludf.DUMMYFUNCTION("""COMPUTED_VALUE"""),1465450.0)</f>
        <v>1465450</v>
      </c>
      <c r="C8374" t="str">
        <f>IFERROR(__xludf.DUMMYFUNCTION("""COMPUTED_VALUE"""),"Statistical Data Analysis with SAS")</f>
        <v>Statistical Data Analysis with SAS</v>
      </c>
    </row>
    <row r="8375">
      <c r="A8375" s="140" t="str">
        <f>IFERROR(__xludf.DUMMYFUNCTION("""COMPUTED_VALUE"""),"pt")</f>
        <v>pt</v>
      </c>
      <c r="B8375">
        <f>IFERROR(__xludf.DUMMYFUNCTION("""COMPUTED_VALUE"""),674764.0)</f>
        <v>674764</v>
      </c>
      <c r="C8375" t="str">
        <f>IFERROR(__xludf.DUMMYFUNCTION("""COMPUTED_VALUE"""),"Curso Completo do Desenvolvedor Web")</f>
        <v>Curso Completo do Desenvolvedor Web</v>
      </c>
    </row>
    <row r="8376">
      <c r="A8376" s="140" t="str">
        <f>IFERROR(__xludf.DUMMYFUNCTION("""COMPUTED_VALUE"""),"en")</f>
        <v>en</v>
      </c>
      <c r="B8376">
        <f>IFERROR(__xludf.DUMMYFUNCTION("""COMPUTED_VALUE"""),3866390.0)</f>
        <v>3866390</v>
      </c>
      <c r="C8376" t="str">
        <f>IFERROR(__xludf.DUMMYFUNCTION("""COMPUTED_VALUE"""),"Salesforce Lightning Flows")</f>
        <v>Salesforce Lightning Flows</v>
      </c>
    </row>
    <row r="8377">
      <c r="A8377" s="140" t="str">
        <f>IFERROR(__xludf.DUMMYFUNCTION("""COMPUTED_VALUE"""),"de")</f>
        <v>de</v>
      </c>
      <c r="B8377">
        <f>IFERROR(__xludf.DUMMYFUNCTION("""COMPUTED_VALUE"""),1301058.0)</f>
        <v>1301058</v>
      </c>
      <c r="C8377" t="str">
        <f>IFERROR(__xludf.DUMMYFUNCTION("""COMPUTED_VALUE"""),"Lerne die Android Programmierung in nur 2 Wochen!")</f>
        <v>Lerne die Android Programmierung in nur 2 Wochen!</v>
      </c>
    </row>
    <row r="8378">
      <c r="A8378" s="140" t="str">
        <f>IFERROR(__xludf.DUMMYFUNCTION("""COMPUTED_VALUE"""),"en")</f>
        <v>en</v>
      </c>
      <c r="B8378">
        <f>IFERROR(__xludf.DUMMYFUNCTION("""COMPUTED_VALUE"""),664052.0)</f>
        <v>664052</v>
      </c>
      <c r="C8378" t="str">
        <f>IFERROR(__xludf.DUMMYFUNCTION("""COMPUTED_VALUE"""),"Escalate Scala Training - Setup Instructions")</f>
        <v>Escalate Scala Training - Setup Instructions</v>
      </c>
    </row>
    <row r="8379">
      <c r="A8379" s="140" t="str">
        <f>IFERROR(__xludf.DUMMYFUNCTION("""COMPUTED_VALUE"""),"en")</f>
        <v>en</v>
      </c>
      <c r="B8379">
        <f>IFERROR(__xludf.DUMMYFUNCTION("""COMPUTED_VALUE"""),1276650.0)</f>
        <v>1276650</v>
      </c>
      <c r="C8379" t="str">
        <f>IFERROR(__xludf.DUMMYFUNCTION("""COMPUTED_VALUE"""),"Fluent API Design - A Crash Course")</f>
        <v>Fluent API Design - A Crash Course</v>
      </c>
    </row>
    <row r="8380">
      <c r="A8380" s="140" t="str">
        <f>IFERROR(__xludf.DUMMYFUNCTION("""COMPUTED_VALUE"""),"pt")</f>
        <v>pt</v>
      </c>
      <c r="B8380">
        <f>IFERROR(__xludf.DUMMYFUNCTION("""COMPUTED_VALUE"""),3993586.0)</f>
        <v>3993586</v>
      </c>
      <c r="C8380" t="str">
        <f>IFERROR(__xludf.DUMMYFUNCTION("""COMPUTED_VALUE"""),"Matemática Financeira e Finanças")</f>
        <v>Matemática Financeira e Finanças</v>
      </c>
    </row>
    <row r="8381">
      <c r="A8381" s="140" t="str">
        <f>IFERROR(__xludf.DUMMYFUNCTION("""COMPUTED_VALUE"""),"tr")</f>
        <v>tr</v>
      </c>
      <c r="B8381">
        <f>IFERROR(__xludf.DUMMYFUNCTION("""COMPUTED_VALUE"""),2465934.0)</f>
        <v>2465934</v>
      </c>
      <c r="C8381" t="str">
        <f>IFERROR(__xludf.DUMMYFUNCTION("""COMPUTED_VALUE"""),"Blender Temelleri - Blender 2.8x")</f>
        <v>Blender Temelleri - Blender 2.8x</v>
      </c>
    </row>
    <row r="8382">
      <c r="A8382" s="140" t="str">
        <f>IFERROR(__xludf.DUMMYFUNCTION("""COMPUTED_VALUE"""),"es")</f>
        <v>es</v>
      </c>
      <c r="B8382">
        <f>IFERROR(__xludf.DUMMYFUNCTION("""COMPUTED_VALUE"""),2224254.0)</f>
        <v>2224254</v>
      </c>
      <c r="C8382" t="str">
        <f>IFERROR(__xludf.DUMMYFUNCTION("""COMPUTED_VALUE"""),"Curso Mikrotik - Laboratorios de un administrador")</f>
        <v>Curso Mikrotik - Laboratorios de un administrador</v>
      </c>
    </row>
    <row r="8383">
      <c r="A8383" s="140" t="str">
        <f>IFERROR(__xludf.DUMMYFUNCTION("""COMPUTED_VALUE"""),"fr")</f>
        <v>fr</v>
      </c>
      <c r="B8383">
        <f>IFERROR(__xludf.DUMMYFUNCTION("""COMPUTED_VALUE"""),2030028.0)</f>
        <v>2030028</v>
      </c>
      <c r="C8383" t="str">
        <f>IFERROR(__xludf.DUMMYFUNCTION("""COMPUTED_VALUE"""),"SASS &amp; SCSS : la formation ULTIME")</f>
        <v>SASS &amp; SCSS : la formation ULTIME</v>
      </c>
    </row>
    <row r="8384">
      <c r="A8384" s="140" t="str">
        <f>IFERROR(__xludf.DUMMYFUNCTION("""COMPUTED_VALUE"""),"en")</f>
        <v>en</v>
      </c>
      <c r="B8384">
        <f>IFERROR(__xludf.DUMMYFUNCTION("""COMPUTED_VALUE"""),3502656.0)</f>
        <v>3502656</v>
      </c>
      <c r="C8384" t="str">
        <f>IFERROR(__xludf.DUMMYFUNCTION("""COMPUTED_VALUE"""),"Reciprocating Compressors : Principles , Operation &amp; Design")</f>
        <v>Reciprocating Compressors : Principles , Operation &amp; Design</v>
      </c>
    </row>
    <row r="8385">
      <c r="A8385" s="140" t="str">
        <f>IFERROR(__xludf.DUMMYFUNCTION("""COMPUTED_VALUE"""),"es")</f>
        <v>es</v>
      </c>
      <c r="B8385">
        <f>IFERROR(__xludf.DUMMYFUNCTION("""COMPUTED_VALUE"""),2470990.0)</f>
        <v>2470990</v>
      </c>
      <c r="C8385" t="str">
        <f>IFERROR(__xludf.DUMMYFUNCTION("""COMPUTED_VALUE"""),"Aprende a escribir correctamente sin faltas de ortografía")</f>
        <v>Aprende a escribir correctamente sin faltas de ortografía</v>
      </c>
    </row>
    <row r="8386">
      <c r="A8386" s="140" t="str">
        <f>IFERROR(__xludf.DUMMYFUNCTION("""COMPUTED_VALUE"""),"de")</f>
        <v>de</v>
      </c>
      <c r="B8386">
        <f>IFERROR(__xludf.DUMMYFUNCTION("""COMPUTED_VALUE"""),3829702.0)</f>
        <v>3829702</v>
      </c>
      <c r="C8386" t="str">
        <f>IFERROR(__xludf.DUMMYFUNCTION("""COMPUTED_VALUE"""),"Automatisierung mit PowerShell (1/3): Grundlagen")</f>
        <v>Automatisierung mit PowerShell (1/3): Grundlagen</v>
      </c>
    </row>
    <row r="8387">
      <c r="A8387" s="140" t="str">
        <f>IFERROR(__xludf.DUMMYFUNCTION("""COMPUTED_VALUE"""),"pt")</f>
        <v>pt</v>
      </c>
      <c r="B8387">
        <f>IFERROR(__xludf.DUMMYFUNCTION("""COMPUTED_VALUE"""),1707016.0)</f>
        <v>1707016</v>
      </c>
      <c r="C8387" t="str">
        <f>IFERROR(__xludf.DUMMYFUNCTION("""COMPUTED_VALUE"""),"Curso de Vídeos Animados com PowerPoint")</f>
        <v>Curso de Vídeos Animados com PowerPoint</v>
      </c>
    </row>
    <row r="8388">
      <c r="A8388" s="140" t="str">
        <f>IFERROR(__xludf.DUMMYFUNCTION("""COMPUTED_VALUE"""),"ja")</f>
        <v>ja</v>
      </c>
      <c r="B8388">
        <f>IFERROR(__xludf.DUMMYFUNCTION("""COMPUTED_VALUE"""),2337862.0)</f>
        <v>2337862</v>
      </c>
      <c r="C8388" t="str">
        <f>IFERROR(__xludf.DUMMYFUNCTION("""COMPUTED_VALUE"""),"マクロ不要のExcel自動化術 ～上級者への数式・関数「烈火の書」【日付、条件付書式、入力規則、データ集計、文字列操作】")</f>
        <v>マクロ不要のExcel自動化術 ～上級者への数式・関数「烈火の書」【日付、条件付書式、入力規則、データ集計、文字列操作】</v>
      </c>
    </row>
    <row r="8389">
      <c r="A8389" s="140" t="str">
        <f>IFERROR(__xludf.DUMMYFUNCTION("""COMPUTED_VALUE"""),"en")</f>
        <v>en</v>
      </c>
      <c r="B8389">
        <f>IFERROR(__xludf.DUMMYFUNCTION("""COMPUTED_VALUE"""),1932176.0)</f>
        <v>1932176</v>
      </c>
      <c r="C8389" t="str">
        <f>IFERROR(__xludf.DUMMYFUNCTION("""COMPUTED_VALUE"""),"Cloudera Hadoop Administration")</f>
        <v>Cloudera Hadoop Administration</v>
      </c>
    </row>
    <row r="8390">
      <c r="A8390" s="140" t="str">
        <f>IFERROR(__xludf.DUMMYFUNCTION("""COMPUTED_VALUE"""),"fr")</f>
        <v>fr</v>
      </c>
      <c r="B8390">
        <f>IFERROR(__xludf.DUMMYFUNCTION("""COMPUTED_VALUE"""),3304754.0)</f>
        <v>3304754</v>
      </c>
      <c r="C8390" t="str">
        <f>IFERROR(__xludf.DUMMYFUNCTION("""COMPUTED_VALUE"""),"Français DELF B2 /intermédiaire French B2 /intermediate (HD)")</f>
        <v>Français DELF B2 /intermédiaire French B2 /intermediate (HD)</v>
      </c>
    </row>
    <row r="8391">
      <c r="A8391" s="140" t="str">
        <f>IFERROR(__xludf.DUMMYFUNCTION("""COMPUTED_VALUE"""),"en")</f>
        <v>en</v>
      </c>
      <c r="B8391">
        <f>IFERROR(__xludf.DUMMYFUNCTION("""COMPUTED_VALUE"""),1467664.0)</f>
        <v>1467664</v>
      </c>
      <c r="C8391" t="str">
        <f>IFERROR(__xludf.DUMMYFUNCTION("""COMPUTED_VALUE"""),"Content Marketing Mastery 2018: Beginner's Ultimate Guide")</f>
        <v>Content Marketing Mastery 2018: Beginner's Ultimate Guide</v>
      </c>
    </row>
    <row r="8392">
      <c r="A8392" s="140" t="str">
        <f>IFERROR(__xludf.DUMMYFUNCTION("""COMPUTED_VALUE"""),"en")</f>
        <v>en</v>
      </c>
      <c r="B8392">
        <f>IFERROR(__xludf.DUMMYFUNCTION("""COMPUTED_VALUE"""),357350.0)</f>
        <v>357350</v>
      </c>
      <c r="C8392" t="str">
        <f>IFERROR(__xludf.DUMMYFUNCTION("""COMPUTED_VALUE"""),"Lean Problem-Solving for Team Members and Leaders")</f>
        <v>Lean Problem-Solving for Team Members and Leaders</v>
      </c>
    </row>
    <row r="8393">
      <c r="A8393" s="140" t="str">
        <f>IFERROR(__xludf.DUMMYFUNCTION("""COMPUTED_VALUE"""),"en")</f>
        <v>en</v>
      </c>
      <c r="B8393">
        <f>IFERROR(__xludf.DUMMYFUNCTION("""COMPUTED_VALUE"""),2799348.0)</f>
        <v>2799348</v>
      </c>
      <c r="C8393" t="str">
        <f>IFERROR(__xludf.DUMMYFUNCTION("""COMPUTED_VALUE"""),"Agile business analysis study guide (IIBA®-AAC prep)")</f>
        <v>Agile business analysis study guide (IIBA®-AAC prep)</v>
      </c>
    </row>
    <row r="8394">
      <c r="A8394" s="140" t="str">
        <f>IFERROR(__xludf.DUMMYFUNCTION("""COMPUTED_VALUE"""),"en")</f>
        <v>en</v>
      </c>
      <c r="B8394">
        <f>IFERROR(__xludf.DUMMYFUNCTION("""COMPUTED_VALUE"""),3666330.0)</f>
        <v>3666330</v>
      </c>
      <c r="C8394" t="str">
        <f>IFERROR(__xludf.DUMMYFUNCTION("""COMPUTED_VALUE"""),"SolarWinds Security Event Manager SEM (SIEM)/ Full LAB GNS3")</f>
        <v>SolarWinds Security Event Manager SEM (SIEM)/ Full LAB GNS3</v>
      </c>
    </row>
    <row r="8395">
      <c r="A8395" s="140" t="str">
        <f>IFERROR(__xludf.DUMMYFUNCTION("""COMPUTED_VALUE"""),"en")</f>
        <v>en</v>
      </c>
      <c r="B8395">
        <f>IFERROR(__xludf.DUMMYFUNCTION("""COMPUTED_VALUE"""),1052294.0)</f>
        <v>1052294</v>
      </c>
      <c r="C8395" t="str">
        <f>IFERROR(__xludf.DUMMYFUNCTION("""COMPUTED_VALUE"""),"Master Planning v3.0 (2020): Plan Your Week, Month and Year")</f>
        <v>Master Planning v3.0 (2020): Plan Your Week, Month and Year</v>
      </c>
    </row>
    <row r="8396">
      <c r="A8396" s="140" t="str">
        <f>IFERROR(__xludf.DUMMYFUNCTION("""COMPUTED_VALUE"""),"ko")</f>
        <v>ko</v>
      </c>
      <c r="B8396">
        <f>IFERROR(__xludf.DUMMYFUNCTION("""COMPUTED_VALUE"""),2888530.0)</f>
        <v>2888530</v>
      </c>
      <c r="C8396" t="str">
        <f>IFERROR(__xludf.DUMMYFUNCTION("""COMPUTED_VALUE"""),"Excel+R 누구나 하는 데이터 분석")</f>
        <v>Excel+R 누구나 하는 데이터 분석</v>
      </c>
    </row>
    <row r="8397">
      <c r="A8397" s="140" t="str">
        <f>IFERROR(__xludf.DUMMYFUNCTION("""COMPUTED_VALUE"""),"es")</f>
        <v>es</v>
      </c>
      <c r="B8397">
        <f>IFERROR(__xludf.DUMMYFUNCTION("""COMPUTED_VALUE"""),3789640.0)</f>
        <v>3789640</v>
      </c>
      <c r="C8397" t="str">
        <f>IFERROR(__xludf.DUMMYFUNCTION("""COMPUTED_VALUE"""),"Crea un Webinar en Zoom")</f>
        <v>Crea un Webinar en Zoom</v>
      </c>
    </row>
    <row r="8398">
      <c r="A8398" s="140" t="str">
        <f>IFERROR(__xludf.DUMMYFUNCTION("""COMPUTED_VALUE"""),"pt")</f>
        <v>pt</v>
      </c>
      <c r="B8398">
        <f>IFERROR(__xludf.DUMMYFUNCTION("""COMPUTED_VALUE"""),1758672.0)</f>
        <v>1758672</v>
      </c>
      <c r="C8398" t="str">
        <f>IFERROR(__xludf.DUMMYFUNCTION("""COMPUTED_VALUE"""),"3ds Max: Curso Completo de Rigging Facial e Corporal")</f>
        <v>3ds Max: Curso Completo de Rigging Facial e Corporal</v>
      </c>
    </row>
    <row r="8399">
      <c r="A8399" s="140" t="str">
        <f>IFERROR(__xludf.DUMMYFUNCTION("""COMPUTED_VALUE"""),"ja")</f>
        <v>ja</v>
      </c>
      <c r="B8399">
        <f>IFERROR(__xludf.DUMMYFUNCTION("""COMPUTED_VALUE"""),1448908.0)</f>
        <v>1448908</v>
      </c>
      <c r="C8399" t="str">
        <f>IFERROR(__xludf.DUMMYFUNCTION("""COMPUTED_VALUE"""),"【IoT体験ガイド】JavaScriptとArduinoを使ってIoTハンズオンに挑戦しよう！")</f>
        <v>【IoT体験ガイド】JavaScriptとArduinoを使ってIoTハンズオンに挑戦しよう！</v>
      </c>
    </row>
    <row r="8400">
      <c r="A8400" s="140" t="str">
        <f>IFERROR(__xludf.DUMMYFUNCTION("""COMPUTED_VALUE"""),"es")</f>
        <v>es</v>
      </c>
      <c r="B8400">
        <f>IFERROR(__xludf.DUMMYFUNCTION("""COMPUTED_VALUE"""),2631714.0)</f>
        <v>2631714</v>
      </c>
      <c r="C8400" t="str">
        <f>IFERROR(__xludf.DUMMYFUNCTION("""COMPUTED_VALUE"""),"SQL para Principiantes: Curso práctico")</f>
        <v>SQL para Principiantes: Curso práctico</v>
      </c>
    </row>
    <row r="8401">
      <c r="A8401" s="140" t="str">
        <f>IFERROR(__xludf.DUMMYFUNCTION("""COMPUTED_VALUE"""),"en")</f>
        <v>en</v>
      </c>
      <c r="B8401">
        <f>IFERROR(__xludf.DUMMYFUNCTION("""COMPUTED_VALUE"""),1551970.0)</f>
        <v>1551970</v>
      </c>
      <c r="C8401" t="str">
        <f>IFERROR(__xludf.DUMMYFUNCTION("""COMPUTED_VALUE"""),"Communication Skills for Beginners")</f>
        <v>Communication Skills for Beginners</v>
      </c>
    </row>
    <row r="8402">
      <c r="A8402" s="140" t="str">
        <f>IFERROR(__xludf.DUMMYFUNCTION("""COMPUTED_VALUE"""),"en")</f>
        <v>en</v>
      </c>
      <c r="B8402">
        <f>IFERROR(__xludf.DUMMYFUNCTION("""COMPUTED_VALUE"""),2126094.0)</f>
        <v>2126094</v>
      </c>
      <c r="C8402" t="str">
        <f>IFERROR(__xludf.DUMMYFUNCTION("""COMPUTED_VALUE"""),"Customer Service English Essentials")</f>
        <v>Customer Service English Essentials</v>
      </c>
    </row>
    <row r="8403">
      <c r="A8403" s="140" t="str">
        <f>IFERROR(__xludf.DUMMYFUNCTION("""COMPUTED_VALUE"""),"de")</f>
        <v>de</v>
      </c>
      <c r="B8403">
        <f>IFERROR(__xludf.DUMMYFUNCTION("""COMPUTED_VALUE"""),2187684.0)</f>
        <v>2187684</v>
      </c>
      <c r="C8403" t="str">
        <f>IFERROR(__xludf.DUMMYFUNCTION("""COMPUTED_VALUE"""),"Der Java Datenstrukturen und Algorithmen Kurs")</f>
        <v>Der Java Datenstrukturen und Algorithmen Kurs</v>
      </c>
    </row>
    <row r="8404">
      <c r="A8404" s="140" t="str">
        <f>IFERROR(__xludf.DUMMYFUNCTION("""COMPUTED_VALUE"""),"tr")</f>
        <v>tr</v>
      </c>
      <c r="B8404">
        <f>IFERROR(__xludf.DUMMYFUNCTION("""COMPUTED_VALUE"""),2855472.0)</f>
        <v>2855472</v>
      </c>
      <c r="C8404" t="str">
        <f>IFERROR(__xludf.DUMMYFUNCTION("""COMPUTED_VALUE"""),"Modern ReactJS")</f>
        <v>Modern ReactJS</v>
      </c>
    </row>
    <row r="8405">
      <c r="A8405" s="140" t="str">
        <f>IFERROR(__xludf.DUMMYFUNCTION("""COMPUTED_VALUE"""),"ja")</f>
        <v>ja</v>
      </c>
      <c r="B8405">
        <f>IFERROR(__xludf.DUMMYFUNCTION("""COMPUTED_VALUE"""),3153598.0)</f>
        <v>3153598</v>
      </c>
      <c r="C8405" t="str">
        <f>IFERROR(__xludf.DUMMYFUNCTION("""COMPUTED_VALUE"""),"最短・最速で作る Youtube クローンアプリ React・React Hooks編")</f>
        <v>最短・最速で作る Youtube クローンアプリ React・React Hooks編</v>
      </c>
    </row>
    <row r="8406">
      <c r="A8406" s="140" t="str">
        <f>IFERROR(__xludf.DUMMYFUNCTION("""COMPUTED_VALUE"""),"en")</f>
        <v>en</v>
      </c>
      <c r="B8406">
        <f>IFERROR(__xludf.DUMMYFUNCTION("""COMPUTED_VALUE"""),857516.0)</f>
        <v>857516</v>
      </c>
      <c r="C8406" t="str">
        <f>IFERROR(__xludf.DUMMYFUNCTION("""COMPUTED_VALUE"""),"TOEFL Speaking Success in 90 Minutes")</f>
        <v>TOEFL Speaking Success in 90 Minutes</v>
      </c>
    </row>
    <row r="8407">
      <c r="A8407" s="140" t="str">
        <f>IFERROR(__xludf.DUMMYFUNCTION("""COMPUTED_VALUE"""),"en")</f>
        <v>en</v>
      </c>
      <c r="B8407">
        <f>IFERROR(__xludf.DUMMYFUNCTION("""COMPUTED_VALUE"""),487490.0)</f>
        <v>487490</v>
      </c>
      <c r="C8407" t="str">
        <f>IFERROR(__xludf.DUMMYFUNCTION("""COMPUTED_VALUE"""),"R, ggplot, and Simple Linear Regression")</f>
        <v>R, ggplot, and Simple Linear Regression</v>
      </c>
    </row>
    <row r="8408">
      <c r="A8408" s="140" t="str">
        <f>IFERROR(__xludf.DUMMYFUNCTION("""COMPUTED_VALUE"""),"en")</f>
        <v>en</v>
      </c>
      <c r="B8408">
        <f>IFERROR(__xludf.DUMMYFUNCTION("""COMPUTED_VALUE"""),1645334.0)</f>
        <v>1645334</v>
      </c>
      <c r="C8408" t="str">
        <f>IFERROR(__xludf.DUMMYFUNCTION("""COMPUTED_VALUE"""),"Mapping in Leaflet JS")</f>
        <v>Mapping in Leaflet JS</v>
      </c>
    </row>
    <row r="8409">
      <c r="A8409" s="140" t="str">
        <f>IFERROR(__xludf.DUMMYFUNCTION("""COMPUTED_VALUE"""),"en")</f>
        <v>en</v>
      </c>
      <c r="B8409">
        <f>IFERROR(__xludf.DUMMYFUNCTION("""COMPUTED_VALUE"""),2622730.0)</f>
        <v>2622730</v>
      </c>
      <c r="C8409" t="str">
        <f>IFERROR(__xludf.DUMMYFUNCTION("""COMPUTED_VALUE"""),"gRPC [Node.js] MasterClass: Build Modern API &amp; Microservices")</f>
        <v>gRPC [Node.js] MasterClass: Build Modern API &amp; Microservices</v>
      </c>
    </row>
    <row r="8410">
      <c r="A8410" s="140" t="str">
        <f>IFERROR(__xludf.DUMMYFUNCTION("""COMPUTED_VALUE"""),"en")</f>
        <v>en</v>
      </c>
      <c r="B8410">
        <f>IFERROR(__xludf.DUMMYFUNCTION("""COMPUTED_VALUE"""),1305696.0)</f>
        <v>1305696</v>
      </c>
      <c r="C8410" t="str">
        <f>IFERROR(__xludf.DUMMYFUNCTION("""COMPUTED_VALUE"""),"Clear and Simple VMware vSphere 6.5 VCP-DCV (VCP 2019)")</f>
        <v>Clear and Simple VMware vSphere 6.5 VCP-DCV (VCP 2019)</v>
      </c>
    </row>
    <row r="8411">
      <c r="A8411" s="140" t="str">
        <f>IFERROR(__xludf.DUMMYFUNCTION("""COMPUTED_VALUE"""),"en")</f>
        <v>en</v>
      </c>
      <c r="B8411">
        <f>IFERROR(__xludf.DUMMYFUNCTION("""COMPUTED_VALUE"""),618738.0)</f>
        <v>618738</v>
      </c>
      <c r="C8411" t="str">
        <f>IFERROR(__xludf.DUMMYFUNCTION("""COMPUTED_VALUE"""),"Drawing for Beginners: How to Draw Step-by-Step Cartoons")</f>
        <v>Drawing for Beginners: How to Draw Step-by-Step Cartoons</v>
      </c>
    </row>
    <row r="8412">
      <c r="A8412" s="140" t="str">
        <f>IFERROR(__xludf.DUMMYFUNCTION("""COMPUTED_VALUE"""),"en")</f>
        <v>en</v>
      </c>
      <c r="B8412">
        <f>IFERROR(__xludf.DUMMYFUNCTION("""COMPUTED_VALUE"""),4005648.0)</f>
        <v>4005648</v>
      </c>
      <c r="C8412" t="str">
        <f>IFERROR(__xludf.DUMMYFUNCTION("""COMPUTED_VALUE"""),"Becoming an Outstanding Product Owner")</f>
        <v>Becoming an Outstanding Product Owner</v>
      </c>
    </row>
    <row r="8413">
      <c r="A8413" s="140" t="str">
        <f>IFERROR(__xludf.DUMMYFUNCTION("""COMPUTED_VALUE"""),"en")</f>
        <v>en</v>
      </c>
      <c r="B8413">
        <f>IFERROR(__xludf.DUMMYFUNCTION("""COMPUTED_VALUE"""),3536174.0)</f>
        <v>3536174</v>
      </c>
      <c r="C8413" t="str">
        <f>IFERROR(__xludf.DUMMYFUNCTION("""COMPUTED_VALUE"""),"Katalon Studio Beginners - Hands-on Training")</f>
        <v>Katalon Studio Beginners - Hands-on Training</v>
      </c>
    </row>
    <row r="8414">
      <c r="A8414" s="140" t="str">
        <f>IFERROR(__xludf.DUMMYFUNCTION("""COMPUTED_VALUE"""),"tr")</f>
        <v>tr</v>
      </c>
      <c r="B8414">
        <f>IFERROR(__xludf.DUMMYFUNCTION("""COMPUTED_VALUE"""),2201808.0)</f>
        <v>2201808</v>
      </c>
      <c r="C8414" t="str">
        <f>IFERROR(__xludf.DUMMYFUNCTION("""COMPUTED_VALUE"""),"Bulut Bilişim Temelleri ve AWS Çözüm Mimarlığına Giriş")</f>
        <v>Bulut Bilişim Temelleri ve AWS Çözüm Mimarlığına Giriş</v>
      </c>
    </row>
    <row r="8415">
      <c r="A8415" s="140" t="str">
        <f>IFERROR(__xludf.DUMMYFUNCTION("""COMPUTED_VALUE"""),"en")</f>
        <v>en</v>
      </c>
      <c r="B8415">
        <f>IFERROR(__xludf.DUMMYFUNCTION("""COMPUTED_VALUE"""),4084880.0)</f>
        <v>4084880</v>
      </c>
      <c r="C8415" t="str">
        <f>IFERROR(__xludf.DUMMYFUNCTION("""COMPUTED_VALUE"""),"Ultimate CKA | Certified Kubernetes Administrator - NEW!")</f>
        <v>Ultimate CKA | Certified Kubernetes Administrator - NEW!</v>
      </c>
    </row>
    <row r="8416">
      <c r="A8416" s="140" t="str">
        <f>IFERROR(__xludf.DUMMYFUNCTION("""COMPUTED_VALUE"""),"ja")</f>
        <v>ja</v>
      </c>
      <c r="B8416">
        <f>IFERROR(__xludf.DUMMYFUNCTION("""COMPUTED_VALUE"""),4017386.0)</f>
        <v>4017386</v>
      </c>
      <c r="C8416" t="str">
        <f>IFERROR(__xludf.DUMMYFUNCTION("""COMPUTED_VALUE"""),"＜UB確認テスト＞【グローバル・ビジネスケースから学ぶ】マーケティング戦略入門（日本語字幕版）")</f>
        <v>＜UB確認テスト＞【グローバル・ビジネスケースから学ぶ】マーケティング戦略入門（日本語字幕版）</v>
      </c>
    </row>
    <row r="8417">
      <c r="A8417" s="140" t="str">
        <f>IFERROR(__xludf.DUMMYFUNCTION("""COMPUTED_VALUE"""),"de")</f>
        <v>de</v>
      </c>
      <c r="B8417">
        <f>IFERROR(__xludf.DUMMYFUNCTION("""COMPUTED_VALUE"""),1183414.0)</f>
        <v>1183414</v>
      </c>
      <c r="C8417" t="str">
        <f>IFERROR(__xludf.DUMMYFUNCTION("""COMPUTED_VALUE"""),"Adobe Lightroom: Die Komplette Adobe Lightroom Masterclass")</f>
        <v>Adobe Lightroom: Die Komplette Adobe Lightroom Masterclass</v>
      </c>
    </row>
    <row r="8418">
      <c r="A8418" s="140" t="str">
        <f>IFERROR(__xludf.DUMMYFUNCTION("""COMPUTED_VALUE"""),"en")</f>
        <v>en</v>
      </c>
      <c r="B8418">
        <f>IFERROR(__xludf.DUMMYFUNCTION("""COMPUTED_VALUE"""),1423418.0)</f>
        <v>1423418</v>
      </c>
      <c r="C8418" t="str">
        <f>IFERROR(__xludf.DUMMYFUNCTION("""COMPUTED_VALUE"""),"TOTAL: CompTIA CySA+ Cybersecurity Analyst (CS0-002)")</f>
        <v>TOTAL: CompTIA CySA+ Cybersecurity Analyst (CS0-002)</v>
      </c>
    </row>
    <row r="8419">
      <c r="A8419" s="140" t="str">
        <f>IFERROR(__xludf.DUMMYFUNCTION("""COMPUTED_VALUE"""),"es")</f>
        <v>es</v>
      </c>
      <c r="B8419">
        <f>IFERROR(__xludf.DUMMYFUNCTION("""COMPUTED_VALUE"""),3795922.0)</f>
        <v>3795922</v>
      </c>
      <c r="C8419" t="str">
        <f>IFERROR(__xludf.DUMMYFUNCTION("""COMPUTED_VALUE"""),"Hacking Ético &amp; Penetration Testing sobre Redes Sociales")</f>
        <v>Hacking Ético &amp; Penetration Testing sobre Redes Sociales</v>
      </c>
    </row>
    <row r="8420">
      <c r="A8420" s="140" t="str">
        <f>IFERROR(__xludf.DUMMYFUNCTION("""COMPUTED_VALUE"""),"en")</f>
        <v>en</v>
      </c>
      <c r="B8420">
        <f>IFERROR(__xludf.DUMMYFUNCTION("""COMPUTED_VALUE"""),1923998.0)</f>
        <v>1923998</v>
      </c>
      <c r="C8420" t="str">
        <f>IFERROR(__xludf.DUMMYFUNCTION("""COMPUTED_VALUE"""),"Signal processing problems, solved in MATLAB and in Python")</f>
        <v>Signal processing problems, solved in MATLAB and in Python</v>
      </c>
    </row>
    <row r="8421">
      <c r="A8421" s="140" t="str">
        <f>IFERROR(__xludf.DUMMYFUNCTION("""COMPUTED_VALUE"""),"pt")</f>
        <v>pt</v>
      </c>
      <c r="B8421">
        <f>IFERROR(__xludf.DUMMYFUNCTION("""COMPUTED_VALUE"""),1429504.0)</f>
        <v>1429504</v>
      </c>
      <c r="C8421" t="str">
        <f>IFERROR(__xludf.DUMMYFUNCTION("""COMPUTED_VALUE"""),"Go (Golang): Explorando a Linguagem do Google")</f>
        <v>Go (Golang): Explorando a Linguagem do Google</v>
      </c>
    </row>
    <row r="8422">
      <c r="A8422" s="140" t="str">
        <f>IFERROR(__xludf.DUMMYFUNCTION("""COMPUTED_VALUE"""),"en")</f>
        <v>en</v>
      </c>
      <c r="B8422">
        <f>IFERROR(__xludf.DUMMYFUNCTION("""COMPUTED_VALUE"""),1396598.0)</f>
        <v>1396598</v>
      </c>
      <c r="C8422" t="str">
        <f>IFERROR(__xludf.DUMMYFUNCTION("""COMPUTED_VALUE"""),"Python eCommerce | Build a Django eCommerce Web Application")</f>
        <v>Python eCommerce | Build a Django eCommerce Web Application</v>
      </c>
    </row>
    <row r="8423">
      <c r="A8423" s="140" t="str">
        <f>IFERROR(__xludf.DUMMYFUNCTION("""COMPUTED_VALUE"""),"pt")</f>
        <v>pt</v>
      </c>
      <c r="B8423">
        <f>IFERROR(__xludf.DUMMYFUNCTION("""COMPUTED_VALUE"""),1129128.0)</f>
        <v>1129128</v>
      </c>
      <c r="C8423" t="str">
        <f>IFERROR(__xludf.DUMMYFUNCTION("""COMPUTED_VALUE"""),"Gerenciando o Windows Server 2012 R2")</f>
        <v>Gerenciando o Windows Server 2012 R2</v>
      </c>
    </row>
    <row r="8424">
      <c r="A8424" s="140" t="str">
        <f>IFERROR(__xludf.DUMMYFUNCTION("""COMPUTED_VALUE"""),"pt")</f>
        <v>pt</v>
      </c>
      <c r="B8424">
        <f>IFERROR(__xludf.DUMMYFUNCTION("""COMPUTED_VALUE"""),3569919.0)</f>
        <v>3569919</v>
      </c>
      <c r="C8424" t="str">
        <f>IFERROR(__xludf.DUMMYFUNCTION("""COMPUTED_VALUE"""),"Dominando CSS 3 com SASS / SCSS - [2021]")</f>
        <v>Dominando CSS 3 com SASS / SCSS - [2021]</v>
      </c>
    </row>
    <row r="8425">
      <c r="A8425" s="140" t="str">
        <f>IFERROR(__xludf.DUMMYFUNCTION("""COMPUTED_VALUE"""),"es")</f>
        <v>es</v>
      </c>
      <c r="B8425">
        <f>IFERROR(__xludf.DUMMYFUNCTION("""COMPUTED_VALUE"""),3088340.0)</f>
        <v>3088340</v>
      </c>
      <c r="C8425" t="str">
        <f>IFERROR(__xludf.DUMMYFUNCTION("""COMPUTED_VALUE"""),"Certificación LPIC-1: Administrador de Linux. EXAMEN 102")</f>
        <v>Certificación LPIC-1: Administrador de Linux. EXAMEN 102</v>
      </c>
    </row>
    <row r="8426">
      <c r="A8426" s="140" t="str">
        <f>IFERROR(__xludf.DUMMYFUNCTION("""COMPUTED_VALUE"""),"en")</f>
        <v>en</v>
      </c>
      <c r="B8426">
        <f>IFERROR(__xludf.DUMMYFUNCTION("""COMPUTED_VALUE"""),1041748.0)</f>
        <v>1041748</v>
      </c>
      <c r="C8426" t="str">
        <f>IFERROR(__xludf.DUMMYFUNCTION("""COMPUTED_VALUE"""),"Verilog HDL: VLSI Hardware Design Comprehensive Masterclass")</f>
        <v>Verilog HDL: VLSI Hardware Design Comprehensive Masterclass</v>
      </c>
    </row>
    <row r="8427">
      <c r="A8427" s="140" t="str">
        <f>IFERROR(__xludf.DUMMYFUNCTION("""COMPUTED_VALUE"""),"en")</f>
        <v>en</v>
      </c>
      <c r="B8427">
        <f>IFERROR(__xludf.DUMMYFUNCTION("""COMPUTED_VALUE"""),1113854.0)</f>
        <v>1113854</v>
      </c>
      <c r="C8427" t="str">
        <f>IFERROR(__xludf.DUMMYFUNCTION("""COMPUTED_VALUE"""),"Essential Cooking Skills")</f>
        <v>Essential Cooking Skills</v>
      </c>
    </row>
    <row r="8428">
      <c r="A8428" s="140" t="str">
        <f>IFERROR(__xludf.DUMMYFUNCTION("""COMPUTED_VALUE"""),"en")</f>
        <v>en</v>
      </c>
      <c r="B8428">
        <f>IFERROR(__xludf.DUMMYFUNCTION("""COMPUTED_VALUE"""),648448.0)</f>
        <v>648448</v>
      </c>
      <c r="C8428" t="str">
        <f>IFERROR(__xludf.DUMMYFUNCTION("""COMPUTED_VALUE"""),"API Testing with Python 3 &amp; PyTest, Backend Automation 2021")</f>
        <v>API Testing with Python 3 &amp; PyTest, Backend Automation 2021</v>
      </c>
    </row>
    <row r="8429">
      <c r="A8429" s="140" t="str">
        <f>IFERROR(__xludf.DUMMYFUNCTION("""COMPUTED_VALUE"""),"en")</f>
        <v>en</v>
      </c>
      <c r="B8429">
        <f>IFERROR(__xludf.DUMMYFUNCTION("""COMPUTED_VALUE"""),1173284.0)</f>
        <v>1173284</v>
      </c>
      <c r="C8429" t="str">
        <f>IFERROR(__xludf.DUMMYFUNCTION("""COMPUTED_VALUE"""),"Complete Vuejs Course: Vue.js + Nuxt.js + PHP + Express.js")</f>
        <v>Complete Vuejs Course: Vue.js + Nuxt.js + PHP + Express.js</v>
      </c>
    </row>
    <row r="8430">
      <c r="A8430" s="140" t="str">
        <f>IFERROR(__xludf.DUMMYFUNCTION("""COMPUTED_VALUE"""),"pt")</f>
        <v>pt</v>
      </c>
      <c r="B8430">
        <f>IFERROR(__xludf.DUMMYFUNCTION("""COMPUTED_VALUE"""),1334432.0)</f>
        <v>1334432</v>
      </c>
      <c r="C8430" t="str">
        <f>IFERROR(__xludf.DUMMYFUNCTION("""COMPUTED_VALUE"""),"UX &amp; Design Thinking: Experiência do Usuário nos negócios")</f>
        <v>UX &amp; Design Thinking: Experiência do Usuário nos negócios</v>
      </c>
    </row>
    <row r="8431">
      <c r="A8431" s="140" t="str">
        <f>IFERROR(__xludf.DUMMYFUNCTION("""COMPUTED_VALUE"""),"en")</f>
        <v>en</v>
      </c>
      <c r="B8431">
        <f>IFERROR(__xludf.DUMMYFUNCTION("""COMPUTED_VALUE"""),470424.0)</f>
        <v>470424</v>
      </c>
      <c r="C8431" t="str">
        <f>IFERROR(__xludf.DUMMYFUNCTION("""COMPUTED_VALUE"""),"Command Line Essentials: Git Bash for Windows")</f>
        <v>Command Line Essentials: Git Bash for Windows</v>
      </c>
    </row>
    <row r="8432">
      <c r="A8432" s="140" t="str">
        <f>IFERROR(__xludf.DUMMYFUNCTION("""COMPUTED_VALUE"""),"es")</f>
        <v>es</v>
      </c>
      <c r="B8432">
        <f>IFERROR(__xludf.DUMMYFUNCTION("""COMPUTED_VALUE"""),1061336.0)</f>
        <v>1061336</v>
      </c>
      <c r="C8432" t="str">
        <f>IFERROR(__xludf.DUMMYFUNCTION("""COMPUTED_VALUE"""),"Copywriting para negocios online")</f>
        <v>Copywriting para negocios online</v>
      </c>
    </row>
    <row r="8433">
      <c r="A8433" s="140" t="str">
        <f>IFERROR(__xludf.DUMMYFUNCTION("""COMPUTED_VALUE"""),"en")</f>
        <v>en</v>
      </c>
      <c r="B8433">
        <f>IFERROR(__xludf.DUMMYFUNCTION("""COMPUTED_VALUE"""),1123198.0)</f>
        <v>1123198</v>
      </c>
      <c r="C8433" t="str">
        <f>IFERROR(__xludf.DUMMYFUNCTION("""COMPUTED_VALUE"""),"Colors for Data Science A-Z: Data Visualization Color Theory")</f>
        <v>Colors for Data Science A-Z: Data Visualization Color Theory</v>
      </c>
    </row>
    <row r="8434">
      <c r="A8434" s="140" t="str">
        <f>IFERROR(__xludf.DUMMYFUNCTION("""COMPUTED_VALUE"""),"en")</f>
        <v>en</v>
      </c>
      <c r="B8434">
        <f>IFERROR(__xludf.DUMMYFUNCTION("""COMPUTED_VALUE"""),821986.0)</f>
        <v>821986</v>
      </c>
      <c r="C8434" t="str">
        <f>IFERROR(__xludf.DUMMYFUNCTION("""COMPUTED_VALUE"""),"Complete Java SE 8 Developer Bootcamp - OCA Prep Included")</f>
        <v>Complete Java SE 8 Developer Bootcamp - OCA Prep Included</v>
      </c>
    </row>
    <row r="8435">
      <c r="A8435" s="140" t="str">
        <f>IFERROR(__xludf.DUMMYFUNCTION("""COMPUTED_VALUE"""),"en")</f>
        <v>en</v>
      </c>
      <c r="B8435">
        <f>IFERROR(__xludf.DUMMYFUNCTION("""COMPUTED_VALUE"""),4109064.0)</f>
        <v>4109064</v>
      </c>
      <c r="C8435" t="str">
        <f>IFERROR(__xludf.DUMMYFUNCTION("""COMPUTED_VALUE"""),"The Complete Quantum Computing Course")</f>
        <v>The Complete Quantum Computing Course</v>
      </c>
    </row>
    <row r="8436">
      <c r="A8436" s="140" t="str">
        <f>IFERROR(__xludf.DUMMYFUNCTION("""COMPUTED_VALUE"""),"en")</f>
        <v>en</v>
      </c>
      <c r="B8436">
        <f>IFERROR(__xludf.DUMMYFUNCTION("""COMPUTED_VALUE"""),2747824.0)</f>
        <v>2747824</v>
      </c>
      <c r="C8436" t="str">
        <f>IFERROR(__xludf.DUMMYFUNCTION("""COMPUTED_VALUE"""),"TornadoFX - Build JavaFX Applications With Kotlin")</f>
        <v>TornadoFX - Build JavaFX Applications With Kotlin</v>
      </c>
    </row>
    <row r="8437">
      <c r="A8437" s="140" t="str">
        <f>IFERROR(__xludf.DUMMYFUNCTION("""COMPUTED_VALUE"""),"tr")</f>
        <v>tr</v>
      </c>
      <c r="B8437">
        <f>IFERROR(__xludf.DUMMYFUNCTION("""COMPUTED_VALUE"""),3735356.0)</f>
        <v>3735356</v>
      </c>
      <c r="C8437" t="str">
        <f>IFERROR(__xludf.DUMMYFUNCTION("""COMPUTED_VALUE"""),"Temel ve İleri Düzey Borsa Kursu")</f>
        <v>Temel ve İleri Düzey Borsa Kursu</v>
      </c>
    </row>
    <row r="8438">
      <c r="A8438" s="140" t="str">
        <f>IFERROR(__xludf.DUMMYFUNCTION("""COMPUTED_VALUE"""),"en")</f>
        <v>en</v>
      </c>
      <c r="B8438">
        <f>IFERROR(__xludf.DUMMYFUNCTION("""COMPUTED_VALUE"""),1872954.0)</f>
        <v>1872954</v>
      </c>
      <c r="C8438" t="str">
        <f>IFERROR(__xludf.DUMMYFUNCTION("""COMPUTED_VALUE"""),"Emotional Intelligence: The Complete Masterclass ®")</f>
        <v>Emotional Intelligence: The Complete Masterclass ®</v>
      </c>
    </row>
    <row r="8439">
      <c r="A8439" s="140" t="str">
        <f>IFERROR(__xludf.DUMMYFUNCTION("""COMPUTED_VALUE"""),"en")</f>
        <v>en</v>
      </c>
      <c r="B8439">
        <f>IFERROR(__xludf.DUMMYFUNCTION("""COMPUTED_VALUE"""),987428.0)</f>
        <v>987428</v>
      </c>
      <c r="C8439" t="str">
        <f>IFERROR(__xludf.DUMMYFUNCTION("""COMPUTED_VALUE"""),"The Complete Facebook Ads Course - Beginner to Advanced")</f>
        <v>The Complete Facebook Ads Course - Beginner to Advanced</v>
      </c>
    </row>
    <row r="8440">
      <c r="A8440" s="140" t="str">
        <f>IFERROR(__xludf.DUMMYFUNCTION("""COMPUTED_VALUE"""),"en")</f>
        <v>en</v>
      </c>
      <c r="B8440">
        <f>IFERROR(__xludf.DUMMYFUNCTION("""COMPUTED_VALUE"""),942882.0)</f>
        <v>942882</v>
      </c>
      <c r="C8440" t="str">
        <f>IFERROR(__xludf.DUMMYFUNCTION("""COMPUTED_VALUE"""),"Mastering ISO 9001:2015+Self-Assessment Tool")</f>
        <v>Mastering ISO 9001:2015+Self-Assessment Tool</v>
      </c>
    </row>
    <row r="8441">
      <c r="A8441" s="140" t="str">
        <f>IFERROR(__xludf.DUMMYFUNCTION("""COMPUTED_VALUE"""),"en")</f>
        <v>en</v>
      </c>
      <c r="B8441">
        <f>IFERROR(__xludf.DUMMYFUNCTION("""COMPUTED_VALUE"""),274556.0)</f>
        <v>274556</v>
      </c>
      <c r="C8441" t="str">
        <f>IFERROR(__xludf.DUMMYFUNCTION("""COMPUTED_VALUE"""),"Basic Life Support (BLS)")</f>
        <v>Basic Life Support (BLS)</v>
      </c>
    </row>
    <row r="8442">
      <c r="A8442" s="140" t="str">
        <f>IFERROR(__xludf.DUMMYFUNCTION("""COMPUTED_VALUE"""),"en")</f>
        <v>en</v>
      </c>
      <c r="B8442">
        <f>IFERROR(__xludf.DUMMYFUNCTION("""COMPUTED_VALUE"""),4160316.0)</f>
        <v>4160316</v>
      </c>
      <c r="C8442" t="str">
        <f>IFERROR(__xludf.DUMMYFUNCTION("""COMPUTED_VALUE"""),"DP-203 - Data Engineering on Microsoft Azure 2021")</f>
        <v>DP-203 - Data Engineering on Microsoft Azure 2021</v>
      </c>
    </row>
    <row r="8443">
      <c r="A8443" s="140" t="str">
        <f>IFERROR(__xludf.DUMMYFUNCTION("""COMPUTED_VALUE"""),"en")</f>
        <v>en</v>
      </c>
      <c r="B8443">
        <f>IFERROR(__xludf.DUMMYFUNCTION("""COMPUTED_VALUE"""),352132.0)</f>
        <v>352132</v>
      </c>
      <c r="C8443" t="str">
        <f>IFERROR(__xludf.DUMMYFUNCTION("""COMPUTED_VALUE"""),"Master Web Design in Photoshop: Complete UI/UX Masterclass")</f>
        <v>Master Web Design in Photoshop: Complete UI/UX Masterclass</v>
      </c>
    </row>
    <row r="8444">
      <c r="A8444" s="140" t="str">
        <f>IFERROR(__xludf.DUMMYFUNCTION("""COMPUTED_VALUE"""),"es")</f>
        <v>es</v>
      </c>
      <c r="B8444">
        <f>IFERROR(__xludf.DUMMYFUNCTION("""COMPUTED_VALUE"""),3193514.0)</f>
        <v>3193514</v>
      </c>
      <c r="C8444" t="str">
        <f>IFERROR(__xludf.DUMMYFUNCTION("""COMPUTED_VALUE"""),"Kubernetes: Desde cero para principiantes | ¡Con Ejercicios!")</f>
        <v>Kubernetes: Desde cero para principiantes | ¡Con Ejercicios!</v>
      </c>
    </row>
    <row r="8445">
      <c r="A8445" s="140" t="str">
        <f>IFERROR(__xludf.DUMMYFUNCTION("""COMPUTED_VALUE"""),"en")</f>
        <v>en</v>
      </c>
      <c r="B8445">
        <f>IFERROR(__xludf.DUMMYFUNCTION("""COMPUTED_VALUE"""),657590.0)</f>
        <v>657590</v>
      </c>
      <c r="C8445" t="str">
        <f>IFERROR(__xludf.DUMMYFUNCTION("""COMPUTED_VALUE"""),"SEO:Amazon Affiliate Marketing+SEO |250+ Videos |18.0 Hours")</f>
        <v>SEO:Amazon Affiliate Marketing+SEO |250+ Videos |18.0 Hours</v>
      </c>
    </row>
    <row r="8446">
      <c r="A8446" s="140" t="str">
        <f>IFERROR(__xludf.DUMMYFUNCTION("""COMPUTED_VALUE"""),"en")</f>
        <v>en</v>
      </c>
      <c r="B8446">
        <f>IFERROR(__xludf.DUMMYFUNCTION("""COMPUTED_VALUE"""),1773516.0)</f>
        <v>1773516</v>
      </c>
      <c r="C8446" t="str">
        <f>IFERROR(__xludf.DUMMYFUNCTION("""COMPUTED_VALUE"""),"Build Spring Boot Apps with the Kotlin Programming Language")</f>
        <v>Build Spring Boot Apps with the Kotlin Programming Language</v>
      </c>
    </row>
    <row r="8447">
      <c r="A8447" s="140" t="str">
        <f>IFERROR(__xludf.DUMMYFUNCTION("""COMPUTED_VALUE"""),"es")</f>
        <v>es</v>
      </c>
      <c r="B8447">
        <f>IFERROR(__xludf.DUMMYFUNCTION("""COMPUTED_VALUE"""),866398.0)</f>
        <v>866398</v>
      </c>
      <c r="C8447" t="str">
        <f>IFERROR(__xludf.DUMMYFUNCTION("""COMPUTED_VALUE"""),"JavaScript: ECMAScript 6 y todos sus detalles")</f>
        <v>JavaScript: ECMAScript 6 y todos sus detalles</v>
      </c>
    </row>
    <row r="8448">
      <c r="A8448" s="140" t="str">
        <f>IFERROR(__xludf.DUMMYFUNCTION("""COMPUTED_VALUE"""),"es")</f>
        <v>es</v>
      </c>
      <c r="B8448">
        <f>IFERROR(__xludf.DUMMYFUNCTION("""COMPUTED_VALUE"""),3827964.0)</f>
        <v>3827964</v>
      </c>
      <c r="C8448" t="str">
        <f>IFERROR(__xludf.DUMMYFUNCTION("""COMPUTED_VALUE"""),"Angular: Pruebas unitarias con Jasmine y Karma")</f>
        <v>Angular: Pruebas unitarias con Jasmine y Karma</v>
      </c>
    </row>
    <row r="8449">
      <c r="A8449" s="140" t="str">
        <f>IFERROR(__xludf.DUMMYFUNCTION("""COMPUTED_VALUE"""),"en")</f>
        <v>en</v>
      </c>
      <c r="B8449">
        <f>IFERROR(__xludf.DUMMYFUNCTION("""COMPUTED_VALUE"""),536706.0)</f>
        <v>536706</v>
      </c>
      <c r="C8449" t="str">
        <f>IFERROR(__xludf.DUMMYFUNCTION("""COMPUTED_VALUE"""),"Tableau for Beginners: Get DA Certified, Grow Your Career")</f>
        <v>Tableau for Beginners: Get DA Certified, Grow Your Career</v>
      </c>
    </row>
    <row r="8450">
      <c r="A8450" s="140" t="str">
        <f>IFERROR(__xludf.DUMMYFUNCTION("""COMPUTED_VALUE"""),"es")</f>
        <v>es</v>
      </c>
      <c r="B8450">
        <f>IFERROR(__xludf.DUMMYFUNCTION("""COMPUTED_VALUE"""),3064326.0)</f>
        <v>3064326</v>
      </c>
      <c r="C8450" t="str">
        <f>IFERROR(__xludf.DUMMYFUNCTION("""COMPUTED_VALUE"""),"Cómo utilizar Tiktok para promocionar tu negocio 2021")</f>
        <v>Cómo utilizar Tiktok para promocionar tu negocio 2021</v>
      </c>
    </row>
    <row r="8451">
      <c r="A8451" s="140" t="str">
        <f>IFERROR(__xludf.DUMMYFUNCTION("""COMPUTED_VALUE"""),"en")</f>
        <v>en</v>
      </c>
      <c r="B8451">
        <f>IFERROR(__xludf.DUMMYFUNCTION("""COMPUTED_VALUE"""),640936.0)</f>
        <v>640936</v>
      </c>
      <c r="C8451" t="str">
        <f>IFERROR(__xludf.DUMMYFUNCTION("""COMPUTED_VALUE"""),"Customer | How to Understand Customer Needs")</f>
        <v>Customer | How to Understand Customer Needs</v>
      </c>
    </row>
    <row r="8452">
      <c r="A8452" s="140" t="str">
        <f>IFERROR(__xludf.DUMMYFUNCTION("""COMPUTED_VALUE"""),"en")</f>
        <v>en</v>
      </c>
      <c r="B8452">
        <f>IFERROR(__xludf.DUMMYFUNCTION("""COMPUTED_VALUE"""),833568.0)</f>
        <v>833568</v>
      </c>
      <c r="C8452" t="str">
        <f>IFERROR(__xludf.DUMMYFUNCTION("""COMPUTED_VALUE"""),"OSHA Safety Pro: Personal Protective Equipment")</f>
        <v>OSHA Safety Pro: Personal Protective Equipment</v>
      </c>
    </row>
    <row r="8453">
      <c r="A8453" s="140" t="str">
        <f>IFERROR(__xludf.DUMMYFUNCTION("""COMPUTED_VALUE"""),"ja")</f>
        <v>ja</v>
      </c>
      <c r="B8453">
        <f>IFERROR(__xludf.DUMMYFUNCTION("""COMPUTED_VALUE"""),2472320.0)</f>
        <v>2472320</v>
      </c>
      <c r="C8453" t="str">
        <f>IFERROR(__xludf.DUMMYFUNCTION("""COMPUTED_VALUE"""),"【管理者ガイド】UBの始め方")</f>
        <v>【管理者ガイド】UBの始め方</v>
      </c>
    </row>
    <row r="8454">
      <c r="A8454" s="140" t="str">
        <f>IFERROR(__xludf.DUMMYFUNCTION("""COMPUTED_VALUE"""),"en")</f>
        <v>en</v>
      </c>
      <c r="B8454">
        <f>IFERROR(__xludf.DUMMYFUNCTION("""COMPUTED_VALUE"""),2923542.0)</f>
        <v>2923542</v>
      </c>
      <c r="C8454" t="str">
        <f>IFERROR(__xludf.DUMMYFUNCTION("""COMPUTED_VALUE"""),"Reflections and Annotation in Java Uncomplicated")</f>
        <v>Reflections and Annotation in Java Uncomplicated</v>
      </c>
    </row>
    <row r="8455">
      <c r="A8455" s="140" t="str">
        <f>IFERROR(__xludf.DUMMYFUNCTION("""COMPUTED_VALUE"""),"en")</f>
        <v>en</v>
      </c>
      <c r="B8455">
        <f>IFERROR(__xludf.DUMMYFUNCTION("""COMPUTED_VALUE"""),3705494.0)</f>
        <v>3705494</v>
      </c>
      <c r="C8455" t="str">
        <f>IFERROR(__xludf.DUMMYFUNCTION("""COMPUTED_VALUE"""),"DBT Masterclass")</f>
        <v>DBT Masterclass</v>
      </c>
    </row>
    <row r="8456">
      <c r="A8456" s="140" t="str">
        <f>IFERROR(__xludf.DUMMYFUNCTION("""COMPUTED_VALUE"""),"tr")</f>
        <v>tr</v>
      </c>
      <c r="B8456">
        <f>IFERROR(__xludf.DUMMYFUNCTION("""COMPUTED_VALUE"""),3661582.0)</f>
        <v>3661582</v>
      </c>
      <c r="C8456" t="str">
        <f>IFERROR(__xludf.DUMMYFUNCTION("""COMPUTED_VALUE"""),"Key for YDS/ YÖKDİL - Temel 2")</f>
        <v>Key for YDS/ YÖKDİL - Temel 2</v>
      </c>
    </row>
    <row r="8457">
      <c r="A8457" s="140" t="str">
        <f>IFERROR(__xludf.DUMMYFUNCTION("""COMPUTED_VALUE"""),"en")</f>
        <v>en</v>
      </c>
      <c r="B8457">
        <f>IFERROR(__xludf.DUMMYFUNCTION("""COMPUTED_VALUE"""),3560743.0)</f>
        <v>3560743</v>
      </c>
      <c r="C8457" t="str">
        <f>IFERROR(__xludf.DUMMYFUNCTION("""COMPUTED_VALUE"""),"Data Analysis with Python")</f>
        <v>Data Analysis with Python</v>
      </c>
    </row>
    <row r="8458">
      <c r="A8458" s="140" t="str">
        <f>IFERROR(__xludf.DUMMYFUNCTION("""COMPUTED_VALUE"""),"en")</f>
        <v>en</v>
      </c>
      <c r="B8458">
        <f>IFERROR(__xludf.DUMMYFUNCTION("""COMPUTED_VALUE"""),285332.0)</f>
        <v>285332</v>
      </c>
      <c r="C8458" t="str">
        <f>IFERROR(__xludf.DUMMYFUNCTION("""COMPUTED_VALUE"""),"Public Relations: Media Crisis Communications")</f>
        <v>Public Relations: Media Crisis Communications</v>
      </c>
    </row>
    <row r="8459">
      <c r="A8459" s="140" t="str">
        <f>IFERROR(__xludf.DUMMYFUNCTION("""COMPUTED_VALUE"""),"en")</f>
        <v>en</v>
      </c>
      <c r="B8459">
        <f>IFERROR(__xludf.DUMMYFUNCTION("""COMPUTED_VALUE"""),1920686.0)</f>
        <v>1920686</v>
      </c>
      <c r="C8459" t="str">
        <f>IFERROR(__xludf.DUMMYFUNCTION("""COMPUTED_VALUE"""),"Adobe Premiere Pro CC: Beginner Video Editing")</f>
        <v>Adobe Premiere Pro CC: Beginner Video Editing</v>
      </c>
    </row>
    <row r="8460">
      <c r="A8460" s="140" t="str">
        <f>IFERROR(__xludf.DUMMYFUNCTION("""COMPUTED_VALUE"""),"en")</f>
        <v>en</v>
      </c>
      <c r="B8460">
        <f>IFERROR(__xludf.DUMMYFUNCTION("""COMPUTED_VALUE"""),1451444.0)</f>
        <v>1451444</v>
      </c>
      <c r="C8460" t="str">
        <f>IFERROR(__xludf.DUMMYFUNCTION("""COMPUTED_VALUE"""),"Practical SQL Bootcamp for Data Analysts and Data Scientists")</f>
        <v>Practical SQL Bootcamp for Data Analysts and Data Scientists</v>
      </c>
    </row>
    <row r="8461">
      <c r="A8461" s="140" t="str">
        <f>IFERROR(__xludf.DUMMYFUNCTION("""COMPUTED_VALUE"""),"en")</f>
        <v>en</v>
      </c>
      <c r="B8461">
        <f>IFERROR(__xludf.DUMMYFUNCTION("""COMPUTED_VALUE"""),2343668.0)</f>
        <v>2343668</v>
      </c>
      <c r="C8461" t="str">
        <f>IFERROR(__xludf.DUMMYFUNCTION("""COMPUTED_VALUE"""),"CFA® Level 1 (2021/2022) - Complete Corporate Finance")</f>
        <v>CFA® Level 1 (2021/2022) - Complete Corporate Finance</v>
      </c>
    </row>
    <row r="8462">
      <c r="A8462" s="140" t="str">
        <f>IFERROR(__xludf.DUMMYFUNCTION("""COMPUTED_VALUE"""),"ja")</f>
        <v>ja</v>
      </c>
      <c r="B8462">
        <f>IFERROR(__xludf.DUMMYFUNCTION("""COMPUTED_VALUE"""),2775070.0)</f>
        <v>2775070</v>
      </c>
      <c r="C8462" t="str">
        <f>IFERROR(__xludf.DUMMYFUNCTION("""COMPUTED_VALUE"""),"手を動かして学ぶITプロジェクトの資料作成！システム開発のドキュメンテーション技術と成果物テンプレート")</f>
        <v>手を動かして学ぶITプロジェクトの資料作成！システム開発のドキュメンテーション技術と成果物テンプレート</v>
      </c>
    </row>
    <row r="8463">
      <c r="A8463" s="140" t="str">
        <f>IFERROR(__xludf.DUMMYFUNCTION("""COMPUTED_VALUE"""),"es")</f>
        <v>es</v>
      </c>
      <c r="B8463">
        <f>IFERROR(__xludf.DUMMYFUNCTION("""COMPUTED_VALUE"""),1292146.0)</f>
        <v>1292146</v>
      </c>
      <c r="C8463" t="str">
        <f>IFERROR(__xludf.DUMMYFUNCTION("""COMPUTED_VALUE"""),"Navisworks Manage 2018. Herramienta del BIM Coordinator")</f>
        <v>Navisworks Manage 2018. Herramienta del BIM Coordinator</v>
      </c>
    </row>
    <row r="8464">
      <c r="A8464" s="140" t="str">
        <f>IFERROR(__xludf.DUMMYFUNCTION("""COMPUTED_VALUE"""),"fr")</f>
        <v>fr</v>
      </c>
      <c r="B8464">
        <f>IFERROR(__xludf.DUMMYFUNCTION("""COMPUTED_VALUE"""),1916784.0)</f>
        <v>1916784</v>
      </c>
      <c r="C8464" t="str">
        <f>IFERROR(__xludf.DUMMYFUNCTION("""COMPUTED_VALUE"""),"Adobe XD - La Formation Complète pour Débutants")</f>
        <v>Adobe XD - La Formation Complète pour Débutants</v>
      </c>
    </row>
    <row r="8465">
      <c r="A8465" s="140" t="str">
        <f>IFERROR(__xludf.DUMMYFUNCTION("""COMPUTED_VALUE"""),"zh")</f>
        <v>zh</v>
      </c>
      <c r="B8465">
        <f>IFERROR(__xludf.DUMMYFUNCTION("""COMPUTED_VALUE"""),2232944.0)</f>
        <v>2232944</v>
      </c>
      <c r="C8465" t="str">
        <f>IFERROR(__xludf.DUMMYFUNCTION("""COMPUTED_VALUE"""),"人工智能-必备数学基础")</f>
        <v>人工智能-必备数学基础</v>
      </c>
    </row>
    <row r="8466">
      <c r="A8466" s="140" t="str">
        <f>IFERROR(__xludf.DUMMYFUNCTION("""COMPUTED_VALUE"""),"en")</f>
        <v>en</v>
      </c>
      <c r="B8466">
        <f>IFERROR(__xludf.DUMMYFUNCTION("""COMPUTED_VALUE"""),2545779.0)</f>
        <v>2545779</v>
      </c>
      <c r="C8466" t="str">
        <f>IFERROR(__xludf.DUMMYFUNCTION("""COMPUTED_VALUE"""),"ServiceNow CIS - Discovery Practice Exams 2021(All)")</f>
        <v>ServiceNow CIS - Discovery Practice Exams 2021(All)</v>
      </c>
    </row>
    <row r="8467">
      <c r="A8467" s="140" t="str">
        <f>IFERROR(__xludf.DUMMYFUNCTION("""COMPUTED_VALUE"""),"en")</f>
        <v>en</v>
      </c>
      <c r="B8467">
        <f>IFERROR(__xludf.DUMMYFUNCTION("""COMPUTED_VALUE"""),2713808.0)</f>
        <v>2713808</v>
      </c>
      <c r="C8467" t="str">
        <f>IFERROR(__xludf.DUMMYFUNCTION("""COMPUTED_VALUE"""),"Microsoft MS-100 Certification M365 Identity and Services")</f>
        <v>Microsoft MS-100 Certification M365 Identity and Services</v>
      </c>
    </row>
    <row r="8468">
      <c r="A8468" s="140" t="str">
        <f>IFERROR(__xludf.DUMMYFUNCTION("""COMPUTED_VALUE"""),"ja")</f>
        <v>ja</v>
      </c>
      <c r="B8468">
        <f>IFERROR(__xludf.DUMMYFUNCTION("""COMPUTED_VALUE"""),3903120.0)</f>
        <v>3903120</v>
      </c>
      <c r="C8468" t="str">
        <f>IFERROR(__xludf.DUMMYFUNCTION("""COMPUTED_VALUE"""),"【世界で1万人が受講！】リーダーたちのためのストレスマネジメントのステップ・フレームワーク")</f>
        <v>【世界で1万人が受講！】リーダーたちのためのストレスマネジメントのステップ・フレームワーク</v>
      </c>
    </row>
    <row r="8469">
      <c r="A8469" s="140" t="str">
        <f>IFERROR(__xludf.DUMMYFUNCTION("""COMPUTED_VALUE"""),"en")</f>
        <v>en</v>
      </c>
      <c r="B8469">
        <f>IFERROR(__xludf.DUMMYFUNCTION("""COMPUTED_VALUE"""),3935600.0)</f>
        <v>3935600</v>
      </c>
      <c r="C8469" t="str">
        <f>IFERROR(__xludf.DUMMYFUNCTION("""COMPUTED_VALUE"""),"GCP | Professional Cloud Architect | Practice Exams | MAR 21")</f>
        <v>GCP | Professional Cloud Architect | Practice Exams | MAR 21</v>
      </c>
    </row>
    <row r="8470">
      <c r="A8470" s="140" t="str">
        <f>IFERROR(__xludf.DUMMYFUNCTION("""COMPUTED_VALUE"""),"en")</f>
        <v>en</v>
      </c>
      <c r="B8470">
        <f>IFERROR(__xludf.DUMMYFUNCTION("""COMPUTED_VALUE"""),1548436.0)</f>
        <v>1548436</v>
      </c>
      <c r="C8470" t="str">
        <f>IFERROR(__xludf.DUMMYFUNCTION("""COMPUTED_VALUE"""),"Feature Selection for Machine Learning")</f>
        <v>Feature Selection for Machine Learning</v>
      </c>
    </row>
    <row r="8471">
      <c r="A8471" s="140" t="str">
        <f>IFERROR(__xludf.DUMMYFUNCTION("""COMPUTED_VALUE"""),"en")</f>
        <v>en</v>
      </c>
      <c r="B8471">
        <f>IFERROR(__xludf.DUMMYFUNCTION("""COMPUTED_VALUE"""),2157118.0)</f>
        <v>2157118</v>
      </c>
      <c r="C8471" t="str">
        <f>IFERROR(__xludf.DUMMYFUNCTION("""COMPUTED_VALUE"""),"Machine Learning Classification Bootcamp in Python")</f>
        <v>Machine Learning Classification Bootcamp in Python</v>
      </c>
    </row>
    <row r="8472">
      <c r="A8472" s="140" t="str">
        <f>IFERROR(__xludf.DUMMYFUNCTION("""COMPUTED_VALUE"""),"pt")</f>
        <v>pt</v>
      </c>
      <c r="B8472">
        <f>IFERROR(__xludf.DUMMYFUNCTION("""COMPUTED_VALUE"""),3220347.0)</f>
        <v>3220347</v>
      </c>
      <c r="C8472" t="str">
        <f>IFERROR(__xludf.DUMMYFUNCTION("""COMPUTED_VALUE"""),"Excel - análise de dados e Big Data")</f>
        <v>Excel - análise de dados e Big Data</v>
      </c>
    </row>
    <row r="8473">
      <c r="A8473" s="140" t="str">
        <f>IFERROR(__xludf.DUMMYFUNCTION("""COMPUTED_VALUE"""),"tr")</f>
        <v>tr</v>
      </c>
      <c r="B8473">
        <f>IFERROR(__xludf.DUMMYFUNCTION("""COMPUTED_VALUE"""),2031034.0)</f>
        <v>2031034</v>
      </c>
      <c r="C8473" t="str">
        <f>IFERROR(__xludf.DUMMYFUNCTION("""COMPUTED_VALUE"""),"Evde İngilizce Öğrenme Teknikleri")</f>
        <v>Evde İngilizce Öğrenme Teknikleri</v>
      </c>
    </row>
    <row r="8474">
      <c r="A8474" s="140" t="str">
        <f>IFERROR(__xludf.DUMMYFUNCTION("""COMPUTED_VALUE"""),"en")</f>
        <v>en</v>
      </c>
      <c r="B8474">
        <f>IFERROR(__xludf.DUMMYFUNCTION("""COMPUTED_VALUE"""),2583012.0)</f>
        <v>2583012</v>
      </c>
      <c r="C8474" t="str">
        <f>IFERROR(__xludf.DUMMYFUNCTION("""COMPUTED_VALUE"""),"Electric Vehicle Crash Course")</f>
        <v>Electric Vehicle Crash Course</v>
      </c>
    </row>
    <row r="8475">
      <c r="A8475" s="140" t="str">
        <f>IFERROR(__xludf.DUMMYFUNCTION("""COMPUTED_VALUE"""),"tr")</f>
        <v>tr</v>
      </c>
      <c r="B8475">
        <f>IFERROR(__xludf.DUMMYFUNCTION("""COMPUTED_VALUE"""),3510842.0)</f>
        <v>3510842</v>
      </c>
      <c r="C8475" t="str">
        <f>IFERROR(__xludf.DUMMYFUNCTION("""COMPUTED_VALUE"""),"C++ |Sıfırdan Komple Uygulamalı Nesneye Yönelik Programlama")</f>
        <v>C++ |Sıfırdan Komple Uygulamalı Nesneye Yönelik Programlama</v>
      </c>
    </row>
    <row r="8476">
      <c r="A8476" s="140" t="str">
        <f>IFERROR(__xludf.DUMMYFUNCTION("""COMPUTED_VALUE"""),"en")</f>
        <v>en</v>
      </c>
      <c r="B8476">
        <f>IFERROR(__xludf.DUMMYFUNCTION("""COMPUTED_VALUE"""),1122654.0)</f>
        <v>1122654</v>
      </c>
      <c r="C8476" t="str">
        <f>IFERROR(__xludf.DUMMYFUNCTION("""COMPUTED_VALUE"""),"Microsoft Access VBA, Design and Advanced Methods Workshop 3")</f>
        <v>Microsoft Access VBA, Design and Advanced Methods Workshop 3</v>
      </c>
    </row>
    <row r="8477">
      <c r="A8477" s="140" t="str">
        <f>IFERROR(__xludf.DUMMYFUNCTION("""COMPUTED_VALUE"""),"en")</f>
        <v>en</v>
      </c>
      <c r="B8477">
        <f>IFERROR(__xludf.DUMMYFUNCTION("""COMPUTED_VALUE"""),405840.0)</f>
        <v>405840</v>
      </c>
      <c r="C8477" t="str">
        <f>IFERROR(__xludf.DUMMYFUNCTION("""COMPUTED_VALUE"""),"Regular Expressions for Beginners - Universal")</f>
        <v>Regular Expressions for Beginners - Universal</v>
      </c>
    </row>
    <row r="8478">
      <c r="A8478" s="140" t="str">
        <f>IFERROR(__xludf.DUMMYFUNCTION("""COMPUTED_VALUE"""),"es")</f>
        <v>es</v>
      </c>
      <c r="B8478">
        <f>IFERROR(__xludf.DUMMYFUNCTION("""COMPUTED_VALUE"""),2654602.0)</f>
        <v>2654602</v>
      </c>
      <c r="C8478" t="str">
        <f>IFERROR(__xludf.DUMMYFUNCTION("""COMPUTED_VALUE"""),"LinkedIn Marketing para Principiantes")</f>
        <v>LinkedIn Marketing para Principiantes</v>
      </c>
    </row>
    <row r="8479">
      <c r="A8479" s="140" t="str">
        <f>IFERROR(__xludf.DUMMYFUNCTION("""COMPUTED_VALUE"""),"pt")</f>
        <v>pt</v>
      </c>
      <c r="B8479">
        <f>IFERROR(__xludf.DUMMYFUNCTION("""COMPUTED_VALUE"""),1436924.0)</f>
        <v>1436924</v>
      </c>
      <c r="C8479" t="str">
        <f>IFERROR(__xludf.DUMMYFUNCTION("""COMPUTED_VALUE"""),"Simulados para Certificação Linux LPIC-1 | Atualizado V5")</f>
        <v>Simulados para Certificação Linux LPIC-1 | Atualizado V5</v>
      </c>
    </row>
    <row r="8480">
      <c r="A8480" s="140" t="str">
        <f>IFERROR(__xludf.DUMMYFUNCTION("""COMPUTED_VALUE"""),"en")</f>
        <v>en</v>
      </c>
      <c r="B8480">
        <f>IFERROR(__xludf.DUMMYFUNCTION("""COMPUTED_VALUE"""),3900818.0)</f>
        <v>3900818</v>
      </c>
      <c r="C8480" t="str">
        <f>IFERROR(__xludf.DUMMYFUNCTION("""COMPUTED_VALUE"""),"ServiceNow Performance Analytics (CAS-PA) Quebec Delta Tests")</f>
        <v>ServiceNow Performance Analytics (CAS-PA) Quebec Delta Tests</v>
      </c>
    </row>
    <row r="8481">
      <c r="A8481" s="140" t="str">
        <f>IFERROR(__xludf.DUMMYFUNCTION("""COMPUTED_VALUE"""),"es")</f>
        <v>es</v>
      </c>
      <c r="B8481">
        <f>IFERROR(__xludf.DUMMYFUNCTION("""COMPUTED_VALUE"""),692782.0)</f>
        <v>692782</v>
      </c>
      <c r="C8481" t="str">
        <f>IFERROR(__xludf.DUMMYFUNCTION("""COMPUTED_VALUE"""),"Curso de iOS 9 y Swift 2: de Cero a Experto")</f>
        <v>Curso de iOS 9 y Swift 2: de Cero a Experto</v>
      </c>
    </row>
    <row r="8482">
      <c r="A8482" s="140" t="str">
        <f>IFERROR(__xludf.DUMMYFUNCTION("""COMPUTED_VALUE"""),"ja")</f>
        <v>ja</v>
      </c>
      <c r="B8482">
        <f>IFERROR(__xludf.DUMMYFUNCTION("""COMPUTED_VALUE"""),2739912.0)</f>
        <v>2739912</v>
      </c>
      <c r="C8482" t="str">
        <f>IFERROR(__xludf.DUMMYFUNCTION("""COMPUTED_VALUE"""),"【実践ファイナンス】エクセルで学ぶM&amp;Aシミュレーション基礎コース")</f>
        <v>【実践ファイナンス】エクセルで学ぶM&amp;Aシミュレーション基礎コース</v>
      </c>
    </row>
    <row r="8483">
      <c r="A8483" s="140" t="str">
        <f>IFERROR(__xludf.DUMMYFUNCTION("""COMPUTED_VALUE"""),"en")</f>
        <v>en</v>
      </c>
      <c r="B8483">
        <f>IFERROR(__xludf.DUMMYFUNCTION("""COMPUTED_VALUE"""),816354.0)</f>
        <v>816354</v>
      </c>
      <c r="C8483" t="str">
        <f>IFERROR(__xludf.DUMMYFUNCTION("""COMPUTED_VALUE"""),"Tactics for tackling difficult people in life and work")</f>
        <v>Tactics for tackling difficult people in life and work</v>
      </c>
    </row>
    <row r="8484">
      <c r="A8484" s="140" t="str">
        <f>IFERROR(__xludf.DUMMYFUNCTION("""COMPUTED_VALUE"""),"es")</f>
        <v>es</v>
      </c>
      <c r="B8484">
        <f>IFERROR(__xludf.DUMMYFUNCTION("""COMPUTED_VALUE"""),3370412.0)</f>
        <v>3370412</v>
      </c>
      <c r="C8484" t="str">
        <f>IFERROR(__xludf.DUMMYFUNCTION("""COMPUTED_VALUE"""),"Universidad Hacking. Todo en Ciberseguridad. Curso Completo")</f>
        <v>Universidad Hacking. Todo en Ciberseguridad. Curso Completo</v>
      </c>
    </row>
    <row r="8485">
      <c r="A8485" s="140" t="str">
        <f>IFERROR(__xludf.DUMMYFUNCTION("""COMPUTED_VALUE"""),"tr")</f>
        <v>tr</v>
      </c>
      <c r="B8485">
        <f>IFERROR(__xludf.DUMMYFUNCTION("""COMPUTED_VALUE"""),2103642.0)</f>
        <v>2103642</v>
      </c>
      <c r="C8485" t="str">
        <f>IFERROR(__xludf.DUMMYFUNCTION("""COMPUTED_VALUE"""),"Python : Sıfırdan İleri Seviyeye - Etik Hacker Örnekleriyle")</f>
        <v>Python : Sıfırdan İleri Seviyeye - Etik Hacker Örnekleriyle</v>
      </c>
    </row>
    <row r="8486">
      <c r="A8486" s="140" t="str">
        <f>IFERROR(__xludf.DUMMYFUNCTION("""COMPUTED_VALUE"""),"pt")</f>
        <v>pt</v>
      </c>
      <c r="B8486">
        <f>IFERROR(__xludf.DUMMYFUNCTION("""COMPUTED_VALUE"""),1547426.0)</f>
        <v>1547426</v>
      </c>
      <c r="C8486" t="str">
        <f>IFERROR(__xludf.DUMMYFUNCTION("""COMPUTED_VALUE"""),"WordPress para Desenvolvedores: Criação de Temas do Zero")</f>
        <v>WordPress para Desenvolvedores: Criação de Temas do Zero</v>
      </c>
    </row>
    <row r="8487">
      <c r="A8487" s="140" t="str">
        <f>IFERROR(__xludf.DUMMYFUNCTION("""COMPUTED_VALUE"""),"ja")</f>
        <v>ja</v>
      </c>
      <c r="B8487">
        <f>IFERROR(__xludf.DUMMYFUNCTION("""COMPUTED_VALUE"""),2306314.0)</f>
        <v>2306314</v>
      </c>
      <c r="C8487" t="str">
        <f>IFERROR(__xludf.DUMMYFUNCTION("""COMPUTED_VALUE"""),"はじめてのデジタルマーケティング")</f>
        <v>はじめてのデジタルマーケティング</v>
      </c>
    </row>
    <row r="8488">
      <c r="A8488" s="140" t="str">
        <f>IFERROR(__xludf.DUMMYFUNCTION("""COMPUTED_VALUE"""),"en")</f>
        <v>en</v>
      </c>
      <c r="B8488">
        <f>IFERROR(__xludf.DUMMYFUNCTION("""COMPUTED_VALUE"""),415720.0)</f>
        <v>415720</v>
      </c>
      <c r="C8488" t="str">
        <f>IFERROR(__xludf.DUMMYFUNCTION("""COMPUTED_VALUE"""),"Game Devs Unleash Artificial Intelligence: Flocking Agents")</f>
        <v>Game Devs Unleash Artificial Intelligence: Flocking Agents</v>
      </c>
    </row>
    <row r="8489">
      <c r="A8489" s="140" t="str">
        <f>IFERROR(__xludf.DUMMYFUNCTION("""COMPUTED_VALUE"""),"en")</f>
        <v>en</v>
      </c>
      <c r="B8489">
        <f>IFERROR(__xludf.DUMMYFUNCTION("""COMPUTED_VALUE"""),3205941.0)</f>
        <v>3205941</v>
      </c>
      <c r="C8489" t="str">
        <f>IFERROR(__xludf.DUMMYFUNCTION("""COMPUTED_VALUE"""),"The Complete Android Ethical Hacking Practical Course C|AEHP")</f>
        <v>The Complete Android Ethical Hacking Practical Course C|AEHP</v>
      </c>
    </row>
    <row r="8490">
      <c r="A8490" s="140" t="str">
        <f>IFERROR(__xludf.DUMMYFUNCTION("""COMPUTED_VALUE"""),"pt")</f>
        <v>pt</v>
      </c>
      <c r="B8490">
        <f>IFERROR(__xludf.DUMMYFUNCTION("""COMPUTED_VALUE"""),1555278.0)</f>
        <v>1555278</v>
      </c>
      <c r="C8490" t="str">
        <f>IFERROR(__xludf.DUMMYFUNCTION("""COMPUTED_VALUE"""),"Latim na Ponta da Língua - Curso de Latim (Módulo 1)")</f>
        <v>Latim na Ponta da Língua - Curso de Latim (Módulo 1)</v>
      </c>
    </row>
    <row r="8491">
      <c r="A8491" s="140" t="str">
        <f>IFERROR(__xludf.DUMMYFUNCTION("""COMPUTED_VALUE"""),"en")</f>
        <v>en</v>
      </c>
      <c r="B8491">
        <f>IFERROR(__xludf.DUMMYFUNCTION("""COMPUTED_VALUE"""),462474.0)</f>
        <v>462474</v>
      </c>
      <c r="C8491" t="str">
        <f>IFERROR(__xludf.DUMMYFUNCTION("""COMPUTED_VALUE"""),"Business Banking 101")</f>
        <v>Business Banking 101</v>
      </c>
    </row>
    <row r="8492">
      <c r="A8492" s="140" t="str">
        <f>IFERROR(__xludf.DUMMYFUNCTION("""COMPUTED_VALUE"""),"en")</f>
        <v>en</v>
      </c>
      <c r="B8492">
        <f>IFERROR(__xludf.DUMMYFUNCTION("""COMPUTED_VALUE"""),3594684.0)</f>
        <v>3594684</v>
      </c>
      <c r="C8492" t="str">
        <f>IFERROR(__xludf.DUMMYFUNCTION("""COMPUTED_VALUE"""),"Master Your Personal Brand Like a Marketing Pro")</f>
        <v>Master Your Personal Brand Like a Marketing Pro</v>
      </c>
    </row>
    <row r="8493">
      <c r="A8493" s="140" t="str">
        <f>IFERROR(__xludf.DUMMYFUNCTION("""COMPUTED_VALUE"""),"en")</f>
        <v>en</v>
      </c>
      <c r="B8493">
        <f>IFERROR(__xludf.DUMMYFUNCTION("""COMPUTED_VALUE"""),920424.0)</f>
        <v>920424</v>
      </c>
      <c r="C8493" t="str">
        <f>IFERROR(__xludf.DUMMYFUNCTION("""COMPUTED_VALUE"""),"Options Trading for Rookies: Basic Stock Options Strategies")</f>
        <v>Options Trading for Rookies: Basic Stock Options Strategies</v>
      </c>
    </row>
    <row r="8494">
      <c r="A8494" s="140" t="str">
        <f>IFERROR(__xludf.DUMMYFUNCTION("""COMPUTED_VALUE"""),"en")</f>
        <v>en</v>
      </c>
      <c r="B8494">
        <f>IFERROR(__xludf.DUMMYFUNCTION("""COMPUTED_VALUE"""),148902.0)</f>
        <v>148902</v>
      </c>
      <c r="C8494" t="str">
        <f>IFERROR(__xludf.DUMMYFUNCTION("""COMPUTED_VALUE"""),"Fundamentals of Analyzing Real Estate Investments")</f>
        <v>Fundamentals of Analyzing Real Estate Investments</v>
      </c>
    </row>
    <row r="8495">
      <c r="A8495" s="140" t="str">
        <f>IFERROR(__xludf.DUMMYFUNCTION("""COMPUTED_VALUE"""),"pt")</f>
        <v>pt</v>
      </c>
      <c r="B8495">
        <f>IFERROR(__xludf.DUMMYFUNCTION("""COMPUTED_VALUE"""),1338262.0)</f>
        <v>1338262</v>
      </c>
      <c r="C8495" t="str">
        <f>IFERROR(__xludf.DUMMYFUNCTION("""COMPUTED_VALUE"""),"Curso de Bootstrap - Completo, Prático e Responsivo")</f>
        <v>Curso de Bootstrap - Completo, Prático e Responsivo</v>
      </c>
    </row>
    <row r="8496">
      <c r="A8496" s="140" t="str">
        <f>IFERROR(__xludf.DUMMYFUNCTION("""COMPUTED_VALUE"""),"en")</f>
        <v>en</v>
      </c>
      <c r="B8496">
        <f>IFERROR(__xludf.DUMMYFUNCTION("""COMPUTED_VALUE"""),1752798.0)</f>
        <v>1752798</v>
      </c>
      <c r="C8496" t="str">
        <f>IFERROR(__xludf.DUMMYFUNCTION("""COMPUTED_VALUE"""),"Multi-objective Optimization Problems and Algorithms")</f>
        <v>Multi-objective Optimization Problems and Algorithms</v>
      </c>
    </row>
    <row r="8497">
      <c r="A8497" s="140" t="str">
        <f>IFERROR(__xludf.DUMMYFUNCTION("""COMPUTED_VALUE"""),"en")</f>
        <v>en</v>
      </c>
      <c r="B8497">
        <f>IFERROR(__xludf.DUMMYFUNCTION("""COMPUTED_VALUE"""),515220.0)</f>
        <v>515220</v>
      </c>
      <c r="C8497" t="str">
        <f>IFERROR(__xludf.DUMMYFUNCTION("""COMPUTED_VALUE"""),"Markdown Mastery: Simple yet Powerful Writing Format")</f>
        <v>Markdown Mastery: Simple yet Powerful Writing Format</v>
      </c>
    </row>
    <row r="8498">
      <c r="A8498" s="140" t="str">
        <f>IFERROR(__xludf.DUMMYFUNCTION("""COMPUTED_VALUE"""),"pt")</f>
        <v>pt</v>
      </c>
      <c r="B8498">
        <f>IFERROR(__xludf.DUMMYFUNCTION("""COMPUTED_VALUE"""),3857362.0)</f>
        <v>3857362</v>
      </c>
      <c r="C8498" t="str">
        <f>IFERROR(__xludf.DUMMYFUNCTION("""COMPUTED_VALUE"""),"Design Patterns em TypeScript Entendendo Padrões de Projetos")</f>
        <v>Design Patterns em TypeScript Entendendo Padrões de Projetos</v>
      </c>
    </row>
    <row r="8499">
      <c r="A8499" s="140" t="str">
        <f>IFERROR(__xludf.DUMMYFUNCTION("""COMPUTED_VALUE"""),"en")</f>
        <v>en</v>
      </c>
      <c r="B8499">
        <f>IFERROR(__xludf.DUMMYFUNCTION("""COMPUTED_VALUE"""),180372.0)</f>
        <v>180372</v>
      </c>
      <c r="C8499" t="str">
        <f>IFERROR(__xludf.DUMMYFUNCTION("""COMPUTED_VALUE"""),"Mortgage Backed Securities")</f>
        <v>Mortgage Backed Securities</v>
      </c>
    </row>
    <row r="8500">
      <c r="A8500" s="140" t="str">
        <f>IFERROR(__xludf.DUMMYFUNCTION("""COMPUTED_VALUE"""),"de")</f>
        <v>de</v>
      </c>
      <c r="B8500">
        <f>IFERROR(__xludf.DUMMYFUNCTION("""COMPUTED_VALUE"""),2960708.0)</f>
        <v>2960708</v>
      </c>
      <c r="C8500" t="str">
        <f>IFERROR(__xludf.DUMMYFUNCTION("""COMPUTED_VALUE"""),"Home Office: mehr Produktivität &amp; besseres Selbstmanagement")</f>
        <v>Home Office: mehr Produktivität &amp; besseres Selbstmanagement</v>
      </c>
    </row>
    <row r="8501">
      <c r="A8501" s="140" t="str">
        <f>IFERROR(__xludf.DUMMYFUNCTION("""COMPUTED_VALUE"""),"tr")</f>
        <v>tr</v>
      </c>
      <c r="B8501">
        <f>IFERROR(__xludf.DUMMYFUNCTION("""COMPUTED_VALUE"""),1519844.0)</f>
        <v>1519844</v>
      </c>
      <c r="C8501" t="str">
        <f>IFERROR(__xludf.DUMMYFUNCTION("""COMPUTED_VALUE"""),"IP Adresi ve Subnetleme (IP Adressing and Subnetting)")</f>
        <v>IP Adresi ve Subnetleme (IP Adressing and Subnetting)</v>
      </c>
    </row>
    <row r="8502">
      <c r="A8502" s="140" t="str">
        <f>IFERROR(__xludf.DUMMYFUNCTION("""COMPUTED_VALUE"""),"en")</f>
        <v>en</v>
      </c>
      <c r="B8502">
        <f>IFERROR(__xludf.DUMMYFUNCTION("""COMPUTED_VALUE"""),1328606.0)</f>
        <v>1328606</v>
      </c>
      <c r="C8502" t="str">
        <f>IFERROR(__xludf.DUMMYFUNCTION("""COMPUTED_VALUE"""),"Diploma in Modern Applied Psychology (DiMAP.)")</f>
        <v>Diploma in Modern Applied Psychology (DiMAP.)</v>
      </c>
    </row>
    <row r="8503">
      <c r="A8503" s="140" t="str">
        <f>IFERROR(__xludf.DUMMYFUNCTION("""COMPUTED_VALUE"""),"en")</f>
        <v>en</v>
      </c>
      <c r="B8503">
        <f>IFERROR(__xludf.DUMMYFUNCTION("""COMPUTED_VALUE"""),1045092.0)</f>
        <v>1045092</v>
      </c>
      <c r="C8503" t="str">
        <f>IFERROR(__xludf.DUMMYFUNCTION("""COMPUTED_VALUE"""),"The Art &amp; Science of Drawing / BASIC SKILLS")</f>
        <v>The Art &amp; Science of Drawing / BASIC SKILLS</v>
      </c>
    </row>
    <row r="8504">
      <c r="A8504" s="140" t="str">
        <f>IFERROR(__xludf.DUMMYFUNCTION("""COMPUTED_VALUE"""),"en")</f>
        <v>en</v>
      </c>
      <c r="B8504">
        <f>IFERROR(__xludf.DUMMYFUNCTION("""COMPUTED_VALUE"""),3727022.0)</f>
        <v>3727022</v>
      </c>
      <c r="C8504" t="str">
        <f>IFERROR(__xludf.DUMMYFUNCTION("""COMPUTED_VALUE"""),"Management Consulting Skills Mastery")</f>
        <v>Management Consulting Skills Mastery</v>
      </c>
    </row>
    <row r="8505">
      <c r="A8505" s="140" t="str">
        <f>IFERROR(__xludf.DUMMYFUNCTION("""COMPUTED_VALUE"""),"pt")</f>
        <v>pt</v>
      </c>
      <c r="B8505">
        <f>IFERROR(__xludf.DUMMYFUNCTION("""COMPUTED_VALUE"""),2527842.0)</f>
        <v>2527842</v>
      </c>
      <c r="C8505" t="str">
        <f>IFERROR(__xludf.DUMMYFUNCTION("""COMPUTED_VALUE"""),"Google Analytics - Otimize suas Campanhas Marketing Digital!")</f>
        <v>Google Analytics - Otimize suas Campanhas Marketing Digital!</v>
      </c>
    </row>
    <row r="8506">
      <c r="A8506" s="140" t="str">
        <f>IFERROR(__xludf.DUMMYFUNCTION("""COMPUTED_VALUE"""),"de")</f>
        <v>de</v>
      </c>
      <c r="B8506">
        <f>IFERROR(__xludf.DUMMYFUNCTION("""COMPUTED_VALUE"""),2684502.0)</f>
        <v>2684502</v>
      </c>
      <c r="C8506" t="str">
        <f>IFERROR(__xludf.DUMMYFUNCTION("""COMPUTED_VALUE"""),"Filmen mit dem Smartphone - Vom Filmanfänger zum Profi")</f>
        <v>Filmen mit dem Smartphone - Vom Filmanfänger zum Profi</v>
      </c>
    </row>
    <row r="8507">
      <c r="A8507" s="140" t="str">
        <f>IFERROR(__xludf.DUMMYFUNCTION("""COMPUTED_VALUE"""),"tr")</f>
        <v>tr</v>
      </c>
      <c r="B8507">
        <f>IFERROR(__xludf.DUMMYFUNCTION("""COMPUTED_VALUE"""),1236356.0)</f>
        <v>1236356</v>
      </c>
      <c r="C8507" t="str">
        <f>IFERROR(__xludf.DUMMYFUNCTION("""COMPUTED_VALUE"""),"R ile Uygulamalı Veri Bilimi: İstatistik ve Makine Öğrenmesi")</f>
        <v>R ile Uygulamalı Veri Bilimi: İstatistik ve Makine Öğrenmesi</v>
      </c>
    </row>
    <row r="8508">
      <c r="A8508" s="140" t="str">
        <f>IFERROR(__xludf.DUMMYFUNCTION("""COMPUTED_VALUE"""),"es")</f>
        <v>es</v>
      </c>
      <c r="B8508">
        <f>IFERROR(__xludf.DUMMYFUNCTION("""COMPUTED_VALUE"""),4023788.0)</f>
        <v>4023788</v>
      </c>
      <c r="C8508" t="str">
        <f>IFERROR(__xludf.DUMMYFUNCTION("""COMPUTED_VALUE"""),"Master en Metasploit. De 0 a Experto con Prácticas. Año 2021")</f>
        <v>Master en Metasploit. De 0 a Experto con Prácticas. Año 2021</v>
      </c>
    </row>
    <row r="8509">
      <c r="A8509" s="140" t="str">
        <f>IFERROR(__xludf.DUMMYFUNCTION("""COMPUTED_VALUE"""),"pt")</f>
        <v>pt</v>
      </c>
      <c r="B8509">
        <f>IFERROR(__xludf.DUMMYFUNCTION("""COMPUTED_VALUE"""),2851826.0)</f>
        <v>2851826</v>
      </c>
      <c r="C8509" t="str">
        <f>IFERROR(__xludf.DUMMYFUNCTION("""COMPUTED_VALUE"""),"Processamento de Linguagem Natural com spaCy e Python")</f>
        <v>Processamento de Linguagem Natural com spaCy e Python</v>
      </c>
    </row>
    <row r="8510">
      <c r="A8510" s="140" t="str">
        <f>IFERROR(__xludf.DUMMYFUNCTION("""COMPUTED_VALUE"""),"en")</f>
        <v>en</v>
      </c>
      <c r="B8510">
        <f>IFERROR(__xludf.DUMMYFUNCTION("""COMPUTED_VALUE"""),1413060.0)</f>
        <v>1413060</v>
      </c>
      <c r="C8510" t="str">
        <f>IFERROR(__xludf.DUMMYFUNCTION("""COMPUTED_VALUE"""),"Bitcoin Advanced Level: Transactions")</f>
        <v>Bitcoin Advanced Level: Transactions</v>
      </c>
    </row>
    <row r="8511">
      <c r="A8511" s="140" t="str">
        <f>IFERROR(__xludf.DUMMYFUNCTION("""COMPUTED_VALUE"""),"pt")</f>
        <v>pt</v>
      </c>
      <c r="B8511">
        <f>IFERROR(__xludf.DUMMYFUNCTION("""COMPUTED_VALUE"""),2202148.0)</f>
        <v>2202148</v>
      </c>
      <c r="C8511" t="str">
        <f>IFERROR(__xludf.DUMMYFUNCTION("""COMPUTED_VALUE"""),"Scrum na prática, Gestão Ágil e Alta Performance + 6 Extras")</f>
        <v>Scrum na prática, Gestão Ágil e Alta Performance + 6 Extras</v>
      </c>
    </row>
    <row r="8512">
      <c r="A8512" s="140" t="str">
        <f>IFERROR(__xludf.DUMMYFUNCTION("""COMPUTED_VALUE"""),"en")</f>
        <v>en</v>
      </c>
      <c r="B8512">
        <f>IFERROR(__xludf.DUMMYFUNCTION("""COMPUTED_VALUE"""),2644586.0)</f>
        <v>2644586</v>
      </c>
      <c r="C8512" t="str">
        <f>IFERROR(__xludf.DUMMYFUNCTION("""COMPUTED_VALUE"""),"Tackling Snowflake Certification - Practice Questions")</f>
        <v>Tackling Snowflake Certification - Practice Questions</v>
      </c>
    </row>
    <row r="8513">
      <c r="A8513" s="140" t="str">
        <f>IFERROR(__xludf.DUMMYFUNCTION("""COMPUTED_VALUE"""),"en")</f>
        <v>en</v>
      </c>
      <c r="B8513">
        <f>IFERROR(__xludf.DUMMYFUNCTION("""COMPUTED_VALUE"""),1203914.0)</f>
        <v>1203914</v>
      </c>
      <c r="C8513" t="str">
        <f>IFERROR(__xludf.DUMMYFUNCTION("""COMPUTED_VALUE"""),"Google Analytics Reports and Dashboards with Data Studio")</f>
        <v>Google Analytics Reports and Dashboards with Data Studio</v>
      </c>
    </row>
    <row r="8514">
      <c r="A8514" s="140" t="str">
        <f>IFERROR(__xludf.DUMMYFUNCTION("""COMPUTED_VALUE"""),"en")</f>
        <v>en</v>
      </c>
      <c r="B8514">
        <f>IFERROR(__xludf.DUMMYFUNCTION("""COMPUTED_VALUE"""),757918.0)</f>
        <v>757918</v>
      </c>
      <c r="C8514" t="str">
        <f>IFERROR(__xludf.DUMMYFUNCTION("""COMPUTED_VALUE"""),"Talend Data Integration Course : Beginner to Expert")</f>
        <v>Talend Data Integration Course : Beginner to Expert</v>
      </c>
    </row>
    <row r="8515">
      <c r="A8515" s="140" t="str">
        <f>IFERROR(__xludf.DUMMYFUNCTION("""COMPUTED_VALUE"""),"fr")</f>
        <v>fr</v>
      </c>
      <c r="B8515">
        <f>IFERROR(__xludf.DUMMYFUNCTION("""COMPUTED_VALUE"""),1664608.0)</f>
        <v>1664608</v>
      </c>
      <c r="C8515" t="str">
        <f>IFERROR(__xludf.DUMMYFUNCTION("""COMPUTED_VALUE"""),"Formation Git et GitHub: de Débutant à Confirmé")</f>
        <v>Formation Git et GitHub: de Débutant à Confirmé</v>
      </c>
    </row>
    <row r="8516">
      <c r="A8516" s="140" t="str">
        <f>IFERROR(__xludf.DUMMYFUNCTION("""COMPUTED_VALUE"""),"en")</f>
        <v>en</v>
      </c>
      <c r="B8516">
        <f>IFERROR(__xludf.DUMMYFUNCTION("""COMPUTED_VALUE"""),2320798.0)</f>
        <v>2320798</v>
      </c>
      <c r="C8516" t="str">
        <f>IFERROR(__xludf.DUMMYFUNCTION("""COMPUTED_VALUE"""),"Spring Professional Certification Exam Tutorial - Module 01")</f>
        <v>Spring Professional Certification Exam Tutorial - Module 01</v>
      </c>
    </row>
    <row r="8517">
      <c r="A8517" s="140" t="str">
        <f>IFERROR(__xludf.DUMMYFUNCTION("""COMPUTED_VALUE"""),"en")</f>
        <v>en</v>
      </c>
      <c r="B8517">
        <f>IFERROR(__xludf.DUMMYFUNCTION("""COMPUTED_VALUE"""),1648248.0)</f>
        <v>1648248</v>
      </c>
      <c r="C8517" t="str">
        <f>IFERROR(__xludf.DUMMYFUNCTION("""COMPUTED_VALUE"""),"Understand the CCSK Cloud Security Certification (INTRODUCT)")</f>
        <v>Understand the CCSK Cloud Security Certification (INTRODUCT)</v>
      </c>
    </row>
    <row r="8518">
      <c r="A8518" s="140" t="str">
        <f>IFERROR(__xludf.DUMMYFUNCTION("""COMPUTED_VALUE"""),"pt")</f>
        <v>pt</v>
      </c>
      <c r="B8518">
        <f>IFERROR(__xludf.DUMMYFUNCTION("""COMPUTED_VALUE"""),820212.0)</f>
        <v>820212</v>
      </c>
      <c r="C8518" t="str">
        <f>IFERROR(__xludf.DUMMYFUNCTION("""COMPUTED_VALUE"""),"Curso de Inglês - Domine O Vocabulário e Fale Melhor Agora!")</f>
        <v>Curso de Inglês - Domine O Vocabulário e Fale Melhor Agora!</v>
      </c>
    </row>
    <row r="8519">
      <c r="A8519" s="140" t="str">
        <f>IFERROR(__xludf.DUMMYFUNCTION("""COMPUTED_VALUE"""),"en")</f>
        <v>en</v>
      </c>
      <c r="B8519">
        <f>IFERROR(__xludf.DUMMYFUNCTION("""COMPUTED_VALUE"""),2277297.0)</f>
        <v>2277297</v>
      </c>
      <c r="C8519" t="str">
        <f>IFERROR(__xludf.DUMMYFUNCTION("""COMPUTED_VALUE"""),"Fraud Analytics using R &amp; Microsoft Excel")</f>
        <v>Fraud Analytics using R &amp; Microsoft Excel</v>
      </c>
    </row>
    <row r="8520">
      <c r="A8520" s="140" t="str">
        <f>IFERROR(__xludf.DUMMYFUNCTION("""COMPUTED_VALUE"""),"ja")</f>
        <v>ja</v>
      </c>
      <c r="B8520">
        <f>IFERROR(__xludf.DUMMYFUNCTION("""COMPUTED_VALUE"""),3943990.0)</f>
        <v>3943990</v>
      </c>
      <c r="C8520" t="str">
        <f>IFERROR(__xludf.DUMMYFUNCTION("""COMPUTED_VALUE"""),"【初学者向け】データ分析コンペで楽しみながら学べるPython×データ分析講座")</f>
        <v>【初学者向け】データ分析コンペで楽しみながら学べるPython×データ分析講座</v>
      </c>
    </row>
    <row r="8521">
      <c r="A8521" s="140" t="str">
        <f>IFERROR(__xludf.DUMMYFUNCTION("""COMPUTED_VALUE"""),"en")</f>
        <v>en</v>
      </c>
      <c r="B8521">
        <f>IFERROR(__xludf.DUMMYFUNCTION("""COMPUTED_VALUE"""),2368642.0)</f>
        <v>2368642</v>
      </c>
      <c r="C8521" t="str">
        <f>IFERROR(__xludf.DUMMYFUNCTION("""COMPUTED_VALUE"""),"Ansible Tower Overview")</f>
        <v>Ansible Tower Overview</v>
      </c>
    </row>
    <row r="8522">
      <c r="A8522" s="140" t="str">
        <f>IFERROR(__xludf.DUMMYFUNCTION("""COMPUTED_VALUE"""),"en")</f>
        <v>en</v>
      </c>
      <c r="B8522">
        <f>IFERROR(__xludf.DUMMYFUNCTION("""COMPUTED_VALUE"""),528674.0)</f>
        <v>528674</v>
      </c>
      <c r="C8522" t="str">
        <f>IFERROR(__xludf.DUMMYFUNCTION("""COMPUTED_VALUE"""),"Surviving Digital Forensics: Link Files")</f>
        <v>Surviving Digital Forensics: Link Files</v>
      </c>
    </row>
    <row r="8523">
      <c r="A8523" s="140" t="str">
        <f>IFERROR(__xludf.DUMMYFUNCTION("""COMPUTED_VALUE"""),"ja")</f>
        <v>ja</v>
      </c>
      <c r="B8523">
        <f>IFERROR(__xludf.DUMMYFUNCTION("""COMPUTED_VALUE"""),3834644.0)</f>
        <v>3834644</v>
      </c>
      <c r="C8523" t="str">
        <f>IFERROR(__xludf.DUMMYFUNCTION("""COMPUTED_VALUE"""),"【教科書英語にさようなら!】 海外に行かずに2021年のリアル英会話をマスターするためのステップバイステップガイド")</f>
        <v>【教科書英語にさようなら!】 海外に行かずに2021年のリアル英会話をマスターするためのステップバイステップガイド</v>
      </c>
    </row>
    <row r="8524">
      <c r="A8524" s="140" t="str">
        <f>IFERROR(__xludf.DUMMYFUNCTION("""COMPUTED_VALUE"""),"en")</f>
        <v>en</v>
      </c>
      <c r="B8524">
        <f>IFERROR(__xludf.DUMMYFUNCTION("""COMPUTED_VALUE"""),3475652.0)</f>
        <v>3475652</v>
      </c>
      <c r="C8524" t="str">
        <f>IFERROR(__xludf.DUMMYFUNCTION("""COMPUTED_VALUE"""),"Procreate for Illustration: 5 Projects to Learn the Basics")</f>
        <v>Procreate for Illustration: 5 Projects to Learn the Basics</v>
      </c>
    </row>
    <row r="8525">
      <c r="A8525" s="140" t="str">
        <f>IFERROR(__xludf.DUMMYFUNCTION("""COMPUTED_VALUE"""),"tr")</f>
        <v>tr</v>
      </c>
      <c r="B8525">
        <f>IFERROR(__xludf.DUMMYFUNCTION("""COMPUTED_VALUE"""),1875132.0)</f>
        <v>1875132</v>
      </c>
      <c r="C8525" t="str">
        <f>IFERROR(__xludf.DUMMYFUNCTION("""COMPUTED_VALUE"""),"Sophos XG Firewall Eğitimi - 2020")</f>
        <v>Sophos XG Firewall Eğitimi - 2020</v>
      </c>
    </row>
    <row r="8526">
      <c r="A8526" s="140" t="str">
        <f>IFERROR(__xludf.DUMMYFUNCTION("""COMPUTED_VALUE"""),"pt")</f>
        <v>pt</v>
      </c>
      <c r="B8526">
        <f>IFERROR(__xludf.DUMMYFUNCTION("""COMPUTED_VALUE"""),1175680.0)</f>
        <v>1175680</v>
      </c>
      <c r="C8526" t="str">
        <f>IFERROR(__xludf.DUMMYFUNCTION("""COMPUTED_VALUE"""),"Business Intelligence com Power BI - Estudos de Caso")</f>
        <v>Business Intelligence com Power BI - Estudos de Caso</v>
      </c>
    </row>
    <row r="8527">
      <c r="A8527" s="140" t="str">
        <f>IFERROR(__xludf.DUMMYFUNCTION("""COMPUTED_VALUE"""),"en")</f>
        <v>en</v>
      </c>
      <c r="B8527">
        <f>IFERROR(__xludf.DUMMYFUNCTION("""COMPUTED_VALUE"""),2236508.0)</f>
        <v>2236508</v>
      </c>
      <c r="C8527" t="str">
        <f>IFERROR(__xludf.DUMMYFUNCTION("""COMPUTED_VALUE"""),"Pro Android: Modern Android Architectures - MVVM MVP MVC")</f>
        <v>Pro Android: Modern Android Architectures - MVVM MVP MVC</v>
      </c>
    </row>
    <row r="8528">
      <c r="A8528" s="140" t="str">
        <f>IFERROR(__xludf.DUMMYFUNCTION("""COMPUTED_VALUE"""),"en")</f>
        <v>en</v>
      </c>
      <c r="B8528">
        <f>IFERROR(__xludf.DUMMYFUNCTION("""COMPUTED_VALUE"""),1262696.0)</f>
        <v>1262696</v>
      </c>
      <c r="C8528" t="str">
        <f>IFERROR(__xludf.DUMMYFUNCTION("""COMPUTED_VALUE"""),"UI Automation with Serenity BDD (Selenium, Cucumber, Junit)")</f>
        <v>UI Automation with Serenity BDD (Selenium, Cucumber, Junit)</v>
      </c>
    </row>
    <row r="8529">
      <c r="A8529" s="140" t="str">
        <f>IFERROR(__xludf.DUMMYFUNCTION("""COMPUTED_VALUE"""),"en")</f>
        <v>en</v>
      </c>
      <c r="B8529">
        <f>IFERROR(__xludf.DUMMYFUNCTION("""COMPUTED_VALUE"""),1626968.0)</f>
        <v>1626968</v>
      </c>
      <c r="C8529" t="str">
        <f>IFERROR(__xludf.DUMMYFUNCTION("""COMPUTED_VALUE"""),"Power BI Master Class - Query Editor [2021 Edition]")</f>
        <v>Power BI Master Class - Query Editor [2021 Edition]</v>
      </c>
    </row>
    <row r="8530">
      <c r="A8530" s="140" t="str">
        <f>IFERROR(__xludf.DUMMYFUNCTION("""COMPUTED_VALUE"""),"tr")</f>
        <v>tr</v>
      </c>
      <c r="B8530">
        <f>IFERROR(__xludf.DUMMYFUNCTION("""COMPUTED_VALUE"""),1886678.0)</f>
        <v>1886678</v>
      </c>
      <c r="C8530" t="str">
        <f>IFERROR(__xludf.DUMMYFUNCTION("""COMPUTED_VALUE"""),"Modül B - Temel İletişim Becerileri Modülü (Ortak Modül)")</f>
        <v>Modül B - Temel İletişim Becerileri Modülü (Ortak Modül)</v>
      </c>
    </row>
    <row r="8531">
      <c r="A8531" s="140" t="str">
        <f>IFERROR(__xludf.DUMMYFUNCTION("""COMPUTED_VALUE"""),"en")</f>
        <v>en</v>
      </c>
      <c r="B8531">
        <f>IFERROR(__xludf.DUMMYFUNCTION("""COMPUTED_VALUE"""),958924.0)</f>
        <v>958924</v>
      </c>
      <c r="C8531" t="str">
        <f>IFERROR(__xludf.DUMMYFUNCTION("""COMPUTED_VALUE"""),"Spring Data JPA Using Hibernate")</f>
        <v>Spring Data JPA Using Hibernate</v>
      </c>
    </row>
    <row r="8532">
      <c r="A8532" s="140" t="str">
        <f>IFERROR(__xludf.DUMMYFUNCTION("""COMPUTED_VALUE"""),"de")</f>
        <v>de</v>
      </c>
      <c r="B8532">
        <f>IFERROR(__xludf.DUMMYFUNCTION("""COMPUTED_VALUE"""),1431716.0)</f>
        <v>1431716</v>
      </c>
      <c r="C8532" t="str">
        <f>IFERROR(__xludf.DUMMYFUNCTION("""COMPUTED_VALUE"""),"Der AI-Kurs für Unity​: Klevere Gegner für Spiele erstellen")</f>
        <v>Der AI-Kurs für Unity​: Klevere Gegner für Spiele erstellen</v>
      </c>
    </row>
    <row r="8533">
      <c r="A8533" s="140" t="str">
        <f>IFERROR(__xludf.DUMMYFUNCTION("""COMPUTED_VALUE"""),"en")</f>
        <v>en</v>
      </c>
      <c r="B8533">
        <f>IFERROR(__xludf.DUMMYFUNCTION("""COMPUTED_VALUE"""),3626722.0)</f>
        <v>3626722</v>
      </c>
      <c r="C8533" t="str">
        <f>IFERROR(__xludf.DUMMYFUNCTION("""COMPUTED_VALUE"""),"Secure .Net Microservices with IdentityServer4 OAuth2,OpenID")</f>
        <v>Secure .Net Microservices with IdentityServer4 OAuth2,OpenID</v>
      </c>
    </row>
    <row r="8534">
      <c r="A8534" s="140" t="str">
        <f>IFERROR(__xludf.DUMMYFUNCTION("""COMPUTED_VALUE"""),"en")</f>
        <v>en</v>
      </c>
      <c r="B8534">
        <f>IFERROR(__xludf.DUMMYFUNCTION("""COMPUTED_VALUE"""),1422912.0)</f>
        <v>1422912</v>
      </c>
      <c r="C8534" t="str">
        <f>IFERROR(__xludf.DUMMYFUNCTION("""COMPUTED_VALUE"""),"Psychology of Older Age / Gerontology - ACCREDITED CERT")</f>
        <v>Psychology of Older Age / Gerontology - ACCREDITED CERT</v>
      </c>
    </row>
    <row r="8535">
      <c r="A8535" s="140" t="str">
        <f>IFERROR(__xludf.DUMMYFUNCTION("""COMPUTED_VALUE"""),"en")</f>
        <v>en</v>
      </c>
      <c r="B8535">
        <f>IFERROR(__xludf.DUMMYFUNCTION("""COMPUTED_VALUE"""),459948.0)</f>
        <v>459948</v>
      </c>
      <c r="C8535" t="str">
        <f>IFERROR(__xludf.DUMMYFUNCTION("""COMPUTED_VALUE"""),"Microsoft SQL for Beginners")</f>
        <v>Microsoft SQL for Beginners</v>
      </c>
    </row>
    <row r="8536">
      <c r="A8536" s="140" t="str">
        <f>IFERROR(__xludf.DUMMYFUNCTION("""COMPUTED_VALUE"""),"en")</f>
        <v>en</v>
      </c>
      <c r="B8536">
        <f>IFERROR(__xludf.DUMMYFUNCTION("""COMPUTED_VALUE"""),1337374.0)</f>
        <v>1337374</v>
      </c>
      <c r="C8536" t="str">
        <f>IFERROR(__xludf.DUMMYFUNCTION("""COMPUTED_VALUE"""),"Complete Python 3 Masterclass Journey")</f>
        <v>Complete Python 3 Masterclass Journey</v>
      </c>
    </row>
    <row r="8537">
      <c r="A8537" s="140" t="str">
        <f>IFERROR(__xludf.DUMMYFUNCTION("""COMPUTED_VALUE"""),"en")</f>
        <v>en</v>
      </c>
      <c r="B8537">
        <f>IFERROR(__xludf.DUMMYFUNCTION("""COMPUTED_VALUE"""),2475496.0)</f>
        <v>2475496</v>
      </c>
      <c r="C8537" t="str">
        <f>IFERROR(__xludf.DUMMYFUNCTION("""COMPUTED_VALUE"""),"Ultimate ServiceNow Security Operations Course")</f>
        <v>Ultimate ServiceNow Security Operations Course</v>
      </c>
    </row>
    <row r="8538">
      <c r="A8538" s="140" t="str">
        <f>IFERROR(__xludf.DUMMYFUNCTION("""COMPUTED_VALUE"""),"en")</f>
        <v>en</v>
      </c>
      <c r="B8538">
        <f>IFERROR(__xludf.DUMMYFUNCTION("""COMPUTED_VALUE"""),1356388.0)</f>
        <v>1356388</v>
      </c>
      <c r="C8538" t="str">
        <f>IFERROR(__xludf.DUMMYFUNCTION("""COMPUTED_VALUE"""),"Master English: 100 Phrasal verbs for IELTS, TOEFL, CAE, FCE")</f>
        <v>Master English: 100 Phrasal verbs for IELTS, TOEFL, CAE, FCE</v>
      </c>
    </row>
    <row r="8539">
      <c r="A8539" s="140" t="str">
        <f>IFERROR(__xludf.DUMMYFUNCTION("""COMPUTED_VALUE"""),"en")</f>
        <v>en</v>
      </c>
      <c r="B8539">
        <f>IFERROR(__xludf.DUMMYFUNCTION("""COMPUTED_VALUE"""),1686170.0)</f>
        <v>1686170</v>
      </c>
      <c r="C8539" t="str">
        <f>IFERROR(__xludf.DUMMYFUNCTION("""COMPUTED_VALUE"""),"Power BI Master Class - Dashboards and Power BI Service 2021")</f>
        <v>Power BI Master Class - Dashboards and Power BI Service 2021</v>
      </c>
    </row>
    <row r="8540">
      <c r="A8540" s="140" t="str">
        <f>IFERROR(__xludf.DUMMYFUNCTION("""COMPUTED_VALUE"""),"de")</f>
        <v>de</v>
      </c>
      <c r="B8540">
        <f>IFERROR(__xludf.DUMMYFUNCTION("""COMPUTED_VALUE"""),2190604.0)</f>
        <v>2190604</v>
      </c>
      <c r="C8540" t="str">
        <f>IFERROR(__xludf.DUMMYFUNCTION("""COMPUTED_VALUE"""),"Autodesk Inventor 2019 - Aufbaukurs KONSTRUKTION")</f>
        <v>Autodesk Inventor 2019 - Aufbaukurs KONSTRUKTION</v>
      </c>
    </row>
    <row r="8541">
      <c r="A8541" s="140" t="str">
        <f>IFERROR(__xludf.DUMMYFUNCTION("""COMPUTED_VALUE"""),"en")</f>
        <v>en</v>
      </c>
      <c r="B8541">
        <f>IFERROR(__xludf.DUMMYFUNCTION("""COMPUTED_VALUE"""),3826340.0)</f>
        <v>3826340</v>
      </c>
      <c r="C8541" t="str">
        <f>IFERROR(__xludf.DUMMYFUNCTION("""COMPUTED_VALUE"""),"Django Ecommerce | Build Advanced Django Web Application")</f>
        <v>Django Ecommerce | Build Advanced Django Web Application</v>
      </c>
    </row>
    <row r="8542">
      <c r="A8542" s="140" t="str">
        <f>IFERROR(__xludf.DUMMYFUNCTION("""COMPUTED_VALUE"""),"en")</f>
        <v>en</v>
      </c>
      <c r="B8542">
        <f>IFERROR(__xludf.DUMMYFUNCTION("""COMPUTED_VALUE"""),1327376.0)</f>
        <v>1327376</v>
      </c>
      <c r="C8542" t="str">
        <f>IFERROR(__xludf.DUMMYFUNCTION("""COMPUTED_VALUE"""),"Motivating Your Team - A Quick Course")</f>
        <v>Motivating Your Team - A Quick Course</v>
      </c>
    </row>
    <row r="8543">
      <c r="A8543" s="140" t="str">
        <f>IFERROR(__xludf.DUMMYFUNCTION("""COMPUTED_VALUE"""),"en")</f>
        <v>en</v>
      </c>
      <c r="B8543">
        <f>IFERROR(__xludf.DUMMYFUNCTION("""COMPUTED_VALUE"""),1109078.0)</f>
        <v>1109078</v>
      </c>
      <c r="C8543" t="str">
        <f>IFERROR(__xludf.DUMMYFUNCTION("""COMPUTED_VALUE"""),"Startup Growth Strategies: Simple Approaches for Fast Growth")</f>
        <v>Startup Growth Strategies: Simple Approaches for Fast Growth</v>
      </c>
    </row>
    <row r="8544">
      <c r="A8544" s="140" t="str">
        <f>IFERROR(__xludf.DUMMYFUNCTION("""COMPUTED_VALUE"""),"en")</f>
        <v>en</v>
      </c>
      <c r="B8544">
        <f>IFERROR(__xludf.DUMMYFUNCTION("""COMPUTED_VALUE"""),357216.0)</f>
        <v>357216</v>
      </c>
      <c r="C8544" t="str">
        <f>IFERROR(__xludf.DUMMYFUNCTION("""COMPUTED_VALUE"""),"Communication in the Workplace: Using Humor at Work")</f>
        <v>Communication in the Workplace: Using Humor at Work</v>
      </c>
    </row>
    <row r="8545">
      <c r="A8545" s="140" t="str">
        <f>IFERROR(__xludf.DUMMYFUNCTION("""COMPUTED_VALUE"""),"en")</f>
        <v>en</v>
      </c>
      <c r="B8545">
        <f>IFERROR(__xludf.DUMMYFUNCTION("""COMPUTED_VALUE"""),2476576.0)</f>
        <v>2476576</v>
      </c>
      <c r="C8545" t="str">
        <f>IFERROR(__xludf.DUMMYFUNCTION("""COMPUTED_VALUE"""),"MikroTik Security Engineer with LABS")</f>
        <v>MikroTik Security Engineer with LABS</v>
      </c>
    </row>
    <row r="8546">
      <c r="A8546" s="140" t="str">
        <f>IFERROR(__xludf.DUMMYFUNCTION("""COMPUTED_VALUE"""),"en")</f>
        <v>en</v>
      </c>
      <c r="B8546">
        <f>IFERROR(__xludf.DUMMYFUNCTION("""COMPUTED_VALUE"""),692416.0)</f>
        <v>692416</v>
      </c>
      <c r="C8546" t="str">
        <f>IFERROR(__xludf.DUMMYFUNCTION("""COMPUTED_VALUE"""),"Neo4j: GraphDB Foundations with Cypher")</f>
        <v>Neo4j: GraphDB Foundations with Cypher</v>
      </c>
    </row>
    <row r="8547">
      <c r="A8547" s="140" t="str">
        <f>IFERROR(__xludf.DUMMYFUNCTION("""COMPUTED_VALUE"""),"en")</f>
        <v>en</v>
      </c>
      <c r="B8547">
        <f>IFERROR(__xludf.DUMMYFUNCTION("""COMPUTED_VALUE"""),3543396.0)</f>
        <v>3543396</v>
      </c>
      <c r="C8547" t="str">
        <f>IFERROR(__xludf.DUMMYFUNCTION("""COMPUTED_VALUE"""),"Robotic Process Automation - Automation Anywhere 360 / A2019")</f>
        <v>Robotic Process Automation - Automation Anywhere 360 / A2019</v>
      </c>
    </row>
    <row r="8548">
      <c r="A8548" s="140" t="str">
        <f>IFERROR(__xludf.DUMMYFUNCTION("""COMPUTED_VALUE"""),"en")</f>
        <v>en</v>
      </c>
      <c r="B8548">
        <f>IFERROR(__xludf.DUMMYFUNCTION("""COMPUTED_VALUE"""),1174274.0)</f>
        <v>1174274</v>
      </c>
      <c r="C8548" t="str">
        <f>IFERROR(__xludf.DUMMYFUNCTION("""COMPUTED_VALUE"""),"Simple Strategies from Game Theory, for Leaders &amp; Managers !")</f>
        <v>Simple Strategies from Game Theory, for Leaders &amp; Managers !</v>
      </c>
    </row>
    <row r="8549">
      <c r="A8549" s="140" t="str">
        <f>IFERROR(__xludf.DUMMYFUNCTION("""COMPUTED_VALUE"""),"en")</f>
        <v>en</v>
      </c>
      <c r="B8549">
        <f>IFERROR(__xludf.DUMMYFUNCTION("""COMPUTED_VALUE"""),671544.0)</f>
        <v>671544</v>
      </c>
      <c r="C8549" t="str">
        <f>IFERROR(__xludf.DUMMYFUNCTION("""COMPUTED_VALUE"""),"Ultimate Google Ads Training 2021: Profit with Pay Per Click")</f>
        <v>Ultimate Google Ads Training 2021: Profit with Pay Per Click</v>
      </c>
    </row>
    <row r="8550">
      <c r="A8550" s="140" t="str">
        <f>IFERROR(__xludf.DUMMYFUNCTION("""COMPUTED_VALUE"""),"es")</f>
        <v>es</v>
      </c>
      <c r="B8550">
        <f>IFERROR(__xludf.DUMMYFUNCTION("""COMPUTED_VALUE"""),2235804.0)</f>
        <v>2235804</v>
      </c>
      <c r="C8550" t="str">
        <f>IFERROR(__xludf.DUMMYFUNCTION("""COMPUTED_VALUE"""),"Excel Masterclass: Nivel 2 - Avanzado")</f>
        <v>Excel Masterclass: Nivel 2 - Avanzado</v>
      </c>
    </row>
    <row r="8551">
      <c r="A8551" s="140" t="str">
        <f>IFERROR(__xludf.DUMMYFUNCTION("""COMPUTED_VALUE"""),"en")</f>
        <v>en</v>
      </c>
      <c r="B8551">
        <f>IFERROR(__xludf.DUMMYFUNCTION("""COMPUTED_VALUE"""),950390.0)</f>
        <v>950390</v>
      </c>
      <c r="C8551" t="str">
        <f>IFERROR(__xludf.DUMMYFUNCTION("""COMPUTED_VALUE"""),"Machine Learning A-Z™: Hands-On Python &amp; R In Data Science")</f>
        <v>Machine Learning A-Z™: Hands-On Python &amp; R In Data Science</v>
      </c>
    </row>
    <row r="8552">
      <c r="A8552" s="140" t="str">
        <f>IFERROR(__xludf.DUMMYFUNCTION("""COMPUTED_VALUE"""),"en")</f>
        <v>en</v>
      </c>
      <c r="B8552">
        <f>IFERROR(__xludf.DUMMYFUNCTION("""COMPUTED_VALUE"""),551498.0)</f>
        <v>551498</v>
      </c>
      <c r="C8552" t="str">
        <f>IFERROR(__xludf.DUMMYFUNCTION("""COMPUTED_VALUE"""),"Entity Framework in Depth: The Complete Guide")</f>
        <v>Entity Framework in Depth: The Complete Guide</v>
      </c>
    </row>
    <row r="8553">
      <c r="A8553" s="140" t="str">
        <f>IFERROR(__xludf.DUMMYFUNCTION("""COMPUTED_VALUE"""),"en")</f>
        <v>en</v>
      </c>
      <c r="B8553">
        <f>IFERROR(__xludf.DUMMYFUNCTION("""COMPUTED_VALUE"""),1743834.0)</f>
        <v>1743834</v>
      </c>
      <c r="C8553" t="str">
        <f>IFERROR(__xludf.DUMMYFUNCTION("""COMPUTED_VALUE"""),"Process Capability Analysis")</f>
        <v>Process Capability Analysis</v>
      </c>
    </row>
    <row r="8554">
      <c r="A8554" s="140" t="str">
        <f>IFERROR(__xludf.DUMMYFUNCTION("""COMPUTED_VALUE"""),"fr")</f>
        <v>fr</v>
      </c>
      <c r="B8554">
        <f>IFERROR(__xludf.DUMMYFUNCTION("""COMPUTED_VALUE"""),2504794.0)</f>
        <v>2504794</v>
      </c>
      <c r="C8554" t="str">
        <f>IFERROR(__xludf.DUMMYFUNCTION("""COMPUTED_VALUE"""),"AZ-900 - Cloud Microsoft Azure - Fondamentaux (2021)")</f>
        <v>AZ-900 - Cloud Microsoft Azure - Fondamentaux (2021)</v>
      </c>
    </row>
    <row r="8555">
      <c r="A8555" s="140" t="str">
        <f>IFERROR(__xludf.DUMMYFUNCTION("""COMPUTED_VALUE"""),"ja")</f>
        <v>ja</v>
      </c>
      <c r="B8555">
        <f>IFERROR(__xludf.DUMMYFUNCTION("""COMPUTED_VALUE"""),2696626.0)</f>
        <v>2696626</v>
      </c>
      <c r="C8555" t="str">
        <f>IFERROR(__xludf.DUMMYFUNCTION("""COMPUTED_VALUE"""),"【数学/プログラミング不要】ディープラーニングの実装体験でビジネスのためのAI活用を理解する")</f>
        <v>【数学/プログラミング不要】ディープラーニングの実装体験でビジネスのためのAI活用を理解する</v>
      </c>
    </row>
    <row r="8556">
      <c r="A8556" s="140" t="str">
        <f>IFERROR(__xludf.DUMMYFUNCTION("""COMPUTED_VALUE"""),"es")</f>
        <v>es</v>
      </c>
      <c r="B8556">
        <f>IFERROR(__xludf.DUMMYFUNCTION("""COMPUTED_VALUE"""),1591370.0)</f>
        <v>1591370</v>
      </c>
      <c r="C8556" t="str">
        <f>IFERROR(__xludf.DUMMYFUNCTION("""COMPUTED_VALUE"""),"Blockchain y Bitcoin: Fundamentos Esenciales")</f>
        <v>Blockchain y Bitcoin: Fundamentos Esenciales</v>
      </c>
    </row>
    <row r="8557">
      <c r="A8557" s="140" t="str">
        <f>IFERROR(__xludf.DUMMYFUNCTION("""COMPUTED_VALUE"""),"es")</f>
        <v>es</v>
      </c>
      <c r="B8557">
        <f>IFERROR(__xludf.DUMMYFUNCTION("""COMPUTED_VALUE"""),1725152.0)</f>
        <v>1725152</v>
      </c>
      <c r="C8557" t="str">
        <f>IFERROR(__xludf.DUMMYFUNCTION("""COMPUTED_VALUE"""),"Adobe Premiere Pro CC para Principiantes: Edición de Videos")</f>
        <v>Adobe Premiere Pro CC para Principiantes: Edición de Videos</v>
      </c>
    </row>
    <row r="8558">
      <c r="A8558" s="140" t="str">
        <f>IFERROR(__xludf.DUMMYFUNCTION("""COMPUTED_VALUE"""),"es")</f>
        <v>es</v>
      </c>
      <c r="B8558">
        <f>IFERROR(__xludf.DUMMYFUNCTION("""COMPUTED_VALUE"""),1935446.0)</f>
        <v>1935446</v>
      </c>
      <c r="C8558" t="str">
        <f>IFERROR(__xludf.DUMMYFUNCTION("""COMPUTED_VALUE"""),"Analista de Help Desk")</f>
        <v>Analista de Help Desk</v>
      </c>
    </row>
    <row r="8559">
      <c r="A8559" s="140" t="str">
        <f>IFERROR(__xludf.DUMMYFUNCTION("""COMPUTED_VALUE"""),"en")</f>
        <v>en</v>
      </c>
      <c r="B8559">
        <f>IFERROR(__xludf.DUMMYFUNCTION("""COMPUTED_VALUE"""),3794914.0)</f>
        <v>3794914</v>
      </c>
      <c r="C8559" t="str">
        <f>IFERROR(__xludf.DUMMYFUNCTION("""COMPUTED_VALUE"""),"Ultimate Agile &amp; Scrum Master 2021 + Certification Prep")</f>
        <v>Ultimate Agile &amp; Scrum Master 2021 + Certification Prep</v>
      </c>
    </row>
    <row r="8560">
      <c r="A8560" s="140" t="str">
        <f>IFERROR(__xludf.DUMMYFUNCTION("""COMPUTED_VALUE"""),"en")</f>
        <v>en</v>
      </c>
      <c r="B8560">
        <f>IFERROR(__xludf.DUMMYFUNCTION("""COMPUTED_VALUE"""),3341386.0)</f>
        <v>3341386</v>
      </c>
      <c r="C8560" t="str">
        <f>IFERROR(__xludf.DUMMYFUNCTION("""COMPUTED_VALUE"""),"Sales Methodologies: Best Practices for Enterprise Selling")</f>
        <v>Sales Methodologies: Best Practices for Enterprise Selling</v>
      </c>
    </row>
    <row r="8561">
      <c r="A8561" s="140" t="str">
        <f>IFERROR(__xludf.DUMMYFUNCTION("""COMPUTED_VALUE"""),"ja")</f>
        <v>ja</v>
      </c>
      <c r="B8561">
        <f>IFERROR(__xludf.DUMMYFUNCTION("""COMPUTED_VALUE"""),2619622.0)</f>
        <v>2619622</v>
      </c>
      <c r="C8561" t="str">
        <f>IFERROR(__xludf.DUMMYFUNCTION("""COMPUTED_VALUE"""),"はじめてのLINEBOTの作り方　秘書ボットを作ろう")</f>
        <v>はじめてのLINEBOTの作り方　秘書ボットを作ろう</v>
      </c>
    </row>
    <row r="8562">
      <c r="A8562" s="140" t="str">
        <f>IFERROR(__xludf.DUMMYFUNCTION("""COMPUTED_VALUE"""),"en")</f>
        <v>en</v>
      </c>
      <c r="B8562">
        <f>IFERROR(__xludf.DUMMYFUNCTION("""COMPUTED_VALUE"""),3655024.0)</f>
        <v>3655024</v>
      </c>
      <c r="C8562" t="str">
        <f>IFERROR(__xludf.DUMMYFUNCTION("""COMPUTED_VALUE"""),"MEAN Stack E-Commerce App: Angular 13, NX, PrimeNg [2021]")</f>
        <v>MEAN Stack E-Commerce App: Angular 13, NX, PrimeNg [2021]</v>
      </c>
    </row>
    <row r="8563">
      <c r="A8563" s="140" t="str">
        <f>IFERROR(__xludf.DUMMYFUNCTION("""COMPUTED_VALUE"""),"pt")</f>
        <v>pt</v>
      </c>
      <c r="B8563">
        <f>IFERROR(__xludf.DUMMYFUNCTION("""COMPUTED_VALUE"""),2221810.0)</f>
        <v>2221810</v>
      </c>
      <c r="C8563" t="str">
        <f>IFERROR(__xludf.DUMMYFUNCTION("""COMPUTED_VALUE"""),"Tableau de A a Z - Modulo I - Business Analytics")</f>
        <v>Tableau de A a Z - Modulo I - Business Analytics</v>
      </c>
    </row>
    <row r="8564">
      <c r="A8564" s="140" t="str">
        <f>IFERROR(__xludf.DUMMYFUNCTION("""COMPUTED_VALUE"""),"en")</f>
        <v>en</v>
      </c>
      <c r="B8564">
        <f>IFERROR(__xludf.DUMMYFUNCTION("""COMPUTED_VALUE"""),3704956.0)</f>
        <v>3704956</v>
      </c>
      <c r="C8564" t="str">
        <f>IFERROR(__xludf.DUMMYFUNCTION("""COMPUTED_VALUE"""),"Agile Kanban: Kanban for Software Development Teams")</f>
        <v>Agile Kanban: Kanban for Software Development Teams</v>
      </c>
    </row>
    <row r="8565">
      <c r="A8565" s="140" t="str">
        <f>IFERROR(__xludf.DUMMYFUNCTION("""COMPUTED_VALUE"""),"ja")</f>
        <v>ja</v>
      </c>
      <c r="B8565">
        <f>IFERROR(__xludf.DUMMYFUNCTION("""COMPUTED_VALUE"""),1960606.0)</f>
        <v>1960606</v>
      </c>
      <c r="C8565" t="str">
        <f>IFERROR(__xludf.DUMMYFUNCTION("""COMPUTED_VALUE"""),"経験ゼロからSQLServerをインストールしてある程度SQLが書けるようになる方法")</f>
        <v>経験ゼロからSQLServerをインストールしてある程度SQLが書けるようになる方法</v>
      </c>
    </row>
    <row r="8566">
      <c r="A8566" s="140" t="str">
        <f>IFERROR(__xludf.DUMMYFUNCTION("""COMPUTED_VALUE"""),"en")</f>
        <v>en</v>
      </c>
      <c r="B8566">
        <f>IFERROR(__xludf.DUMMYFUNCTION("""COMPUTED_VALUE"""),258316.0)</f>
        <v>258316</v>
      </c>
      <c r="C8566" t="str">
        <f>IFERROR(__xludf.DUMMYFUNCTION("""COMPUTED_VALUE"""),"Complete C# Unity Game Developer 2D")</f>
        <v>Complete C# Unity Game Developer 2D</v>
      </c>
    </row>
    <row r="8567">
      <c r="A8567" s="140" t="str">
        <f>IFERROR(__xludf.DUMMYFUNCTION("""COMPUTED_VALUE"""),"en")</f>
        <v>en</v>
      </c>
      <c r="B8567">
        <f>IFERROR(__xludf.DUMMYFUNCTION("""COMPUTED_VALUE"""),1573030.0)</f>
        <v>1573030</v>
      </c>
      <c r="C8567" t="str">
        <f>IFERROR(__xludf.DUMMYFUNCTION("""COMPUTED_VALUE"""),"Burp-suite: A Master of bug bounty hunter")</f>
        <v>Burp-suite: A Master of bug bounty hunter</v>
      </c>
    </row>
    <row r="8568">
      <c r="A8568" s="140" t="str">
        <f>IFERROR(__xludf.DUMMYFUNCTION("""COMPUTED_VALUE"""),"en")</f>
        <v>en</v>
      </c>
      <c r="B8568">
        <f>IFERROR(__xludf.DUMMYFUNCTION("""COMPUTED_VALUE"""),749224.0)</f>
        <v>749224</v>
      </c>
      <c r="C8568" t="str">
        <f>IFERROR(__xludf.DUMMYFUNCTION("""COMPUTED_VALUE"""),"Patents &amp; Trademarks: Learn the Patent and Trademark Process")</f>
        <v>Patents &amp; Trademarks: Learn the Patent and Trademark Process</v>
      </c>
    </row>
    <row r="8569">
      <c r="A8569" s="140" t="str">
        <f>IFERROR(__xludf.DUMMYFUNCTION("""COMPUTED_VALUE"""),"en")</f>
        <v>en</v>
      </c>
      <c r="B8569">
        <f>IFERROR(__xludf.DUMMYFUNCTION("""COMPUTED_VALUE"""),1672380.0)</f>
        <v>1672380</v>
      </c>
      <c r="C8569" t="str">
        <f>IFERROR(__xludf.DUMMYFUNCTION("""COMPUTED_VALUE"""),"Learn C++ Programming -Beginner to Advance- Deep Dive in C++")</f>
        <v>Learn C++ Programming -Beginner to Advance- Deep Dive in C++</v>
      </c>
    </row>
    <row r="8570">
      <c r="A8570" s="140" t="str">
        <f>IFERROR(__xludf.DUMMYFUNCTION("""COMPUTED_VALUE"""),"en")</f>
        <v>en</v>
      </c>
      <c r="B8570">
        <f>IFERROR(__xludf.DUMMYFUNCTION("""COMPUTED_VALUE"""),2741358.0)</f>
        <v>2741358</v>
      </c>
      <c r="C8570" t="str">
        <f>IFERROR(__xludf.DUMMYFUNCTION("""COMPUTED_VALUE"""),"AZ-304 Microsoft Azure Architect Design Certification 2021")</f>
        <v>AZ-304 Microsoft Azure Architect Design Certification 2021</v>
      </c>
    </row>
    <row r="8571">
      <c r="A8571" s="140" t="str">
        <f>IFERROR(__xludf.DUMMYFUNCTION("""COMPUTED_VALUE"""),"en")</f>
        <v>en</v>
      </c>
      <c r="B8571">
        <f>IFERROR(__xludf.DUMMYFUNCTION("""COMPUTED_VALUE"""),1303866.0)</f>
        <v>1303866</v>
      </c>
      <c r="C8571" t="str">
        <f>IFERROR(__xludf.DUMMYFUNCTION("""COMPUTED_VALUE"""),"Learn Risk Analysis, Evaluation &amp; Assessment - from A to Z")</f>
        <v>Learn Risk Analysis, Evaluation &amp; Assessment - from A to Z</v>
      </c>
    </row>
    <row r="8572">
      <c r="A8572" s="140" t="str">
        <f>IFERROR(__xludf.DUMMYFUNCTION("""COMPUTED_VALUE"""),"en")</f>
        <v>en</v>
      </c>
      <c r="B8572">
        <f>IFERROR(__xludf.DUMMYFUNCTION("""COMPUTED_VALUE"""),577354.0)</f>
        <v>577354</v>
      </c>
      <c r="C8572" t="str">
        <f>IFERROR(__xludf.DUMMYFUNCTION("""COMPUTED_VALUE"""),"GMAT/GRE Math- Permutations &amp; Combinations(18,000+ students)")</f>
        <v>GMAT/GRE Math- Permutations &amp; Combinations(18,000+ students)</v>
      </c>
    </row>
    <row r="8573">
      <c r="A8573" s="140" t="str">
        <f>IFERROR(__xludf.DUMMYFUNCTION("""COMPUTED_VALUE"""),"es")</f>
        <v>es</v>
      </c>
      <c r="B8573">
        <f>IFERROR(__xludf.DUMMYFUNCTION("""COMPUTED_VALUE"""),1992318.0)</f>
        <v>1992318</v>
      </c>
      <c r="C8573" t="str">
        <f>IFERROR(__xludf.DUMMYFUNCTION("""COMPUTED_VALUE"""),"NPM Desarrollar y publicar librerias JS,TS, Angular, ReactJS")</f>
        <v>NPM Desarrollar y publicar librerias JS,TS, Angular, ReactJS</v>
      </c>
    </row>
    <row r="8574">
      <c r="A8574" s="140" t="str">
        <f>IFERROR(__xludf.DUMMYFUNCTION("""COMPUTED_VALUE"""),"en")</f>
        <v>en</v>
      </c>
      <c r="B8574">
        <f>IFERROR(__xludf.DUMMYFUNCTION("""COMPUTED_VALUE"""),4388546.0)</f>
        <v>4388546</v>
      </c>
      <c r="C8574" t="str">
        <f>IFERROR(__xludf.DUMMYFUNCTION("""COMPUTED_VALUE"""),"Smart Tips: Product Management")</f>
        <v>Smart Tips: Product Management</v>
      </c>
    </row>
    <row r="8575">
      <c r="A8575" s="140" t="str">
        <f>IFERROR(__xludf.DUMMYFUNCTION("""COMPUTED_VALUE"""),"en")</f>
        <v>en</v>
      </c>
      <c r="B8575">
        <f>IFERROR(__xludf.DUMMYFUNCTION("""COMPUTED_VALUE"""),1580400.0)</f>
        <v>1580400</v>
      </c>
      <c r="C8575" t="str">
        <f>IFERROR(__xludf.DUMMYFUNCTION("""COMPUTED_VALUE"""),"ASIC Bootcamp for VLSI Engineer: STA Basic Concepts")</f>
        <v>ASIC Bootcamp for VLSI Engineer: STA Basic Concepts</v>
      </c>
    </row>
    <row r="8576">
      <c r="A8576" s="140" t="str">
        <f>IFERROR(__xludf.DUMMYFUNCTION("""COMPUTED_VALUE"""),"en")</f>
        <v>en</v>
      </c>
      <c r="B8576">
        <f>IFERROR(__xludf.DUMMYFUNCTION("""COMPUTED_VALUE"""),678658.0)</f>
        <v>678658</v>
      </c>
      <c r="C8576" t="str">
        <f>IFERROR(__xludf.DUMMYFUNCTION("""COMPUTED_VALUE"""),"3DSMax 2016 &amp; Substance Painter for Videogame Production")</f>
        <v>3DSMax 2016 &amp; Substance Painter for Videogame Production</v>
      </c>
    </row>
    <row r="8577">
      <c r="A8577" s="140" t="str">
        <f>IFERROR(__xludf.DUMMYFUNCTION("""COMPUTED_VALUE"""),"en")</f>
        <v>en</v>
      </c>
      <c r="B8577">
        <f>IFERROR(__xludf.DUMMYFUNCTION("""COMPUTED_VALUE"""),295981.0)</f>
        <v>295981</v>
      </c>
      <c r="C8577" t="str">
        <f>IFERROR(__xludf.DUMMYFUNCTION("""COMPUTED_VALUE"""),"Learn SSRS SQL Reporting &amp; Business Intelligence Essentials")</f>
        <v>Learn SSRS SQL Reporting &amp; Business Intelligence Essentials</v>
      </c>
    </row>
    <row r="8578">
      <c r="A8578" s="140" t="str">
        <f>IFERROR(__xludf.DUMMYFUNCTION("""COMPUTED_VALUE"""),"ar")</f>
        <v>ar</v>
      </c>
      <c r="B8578">
        <f>IFERROR(__xludf.DUMMYFUNCTION("""COMPUTED_VALUE"""),2039352.0)</f>
        <v>2039352</v>
      </c>
      <c r="C8578" t="str">
        <f>IFERROR(__xludf.DUMMYFUNCTION("""COMPUTED_VALUE"""),"(  Learn Autocad 2019 )اتعلم اوتوكاد 2019")</f>
        <v>(  Learn Autocad 2019 )اتعلم اوتوكاد 2019</v>
      </c>
    </row>
    <row r="8579">
      <c r="A8579" s="140" t="str">
        <f>IFERROR(__xludf.DUMMYFUNCTION("""COMPUTED_VALUE"""),"en")</f>
        <v>en</v>
      </c>
      <c r="B8579">
        <f>IFERROR(__xludf.DUMMYFUNCTION("""COMPUTED_VALUE"""),1867334.0)</f>
        <v>1867334</v>
      </c>
      <c r="C8579" t="str">
        <f>IFERROR(__xludf.DUMMYFUNCTION("""COMPUTED_VALUE"""),"From Sketch Design to iOS App with Swift and Xcode")</f>
        <v>From Sketch Design to iOS App with Swift and Xcode</v>
      </c>
    </row>
    <row r="8580">
      <c r="A8580" s="140" t="str">
        <f>IFERROR(__xludf.DUMMYFUNCTION("""COMPUTED_VALUE"""),"zh")</f>
        <v>zh</v>
      </c>
      <c r="B8580">
        <f>IFERROR(__xludf.DUMMYFUNCTION("""COMPUTED_VALUE"""),2915068.0)</f>
        <v>2915068</v>
      </c>
      <c r="C8580" t="str">
        <f>IFERROR(__xludf.DUMMYFUNCTION("""COMPUTED_VALUE"""),"从零开始学习 Tableau 数据分析")</f>
        <v>从零开始学习 Tableau 数据分析</v>
      </c>
    </row>
    <row r="8581">
      <c r="A8581" s="140" t="str">
        <f>IFERROR(__xludf.DUMMYFUNCTION("""COMPUTED_VALUE"""),"ja")</f>
        <v>ja</v>
      </c>
      <c r="B8581">
        <f>IFERROR(__xludf.DUMMYFUNCTION("""COMPUTED_VALUE"""),2844258.0)</f>
        <v>2844258</v>
      </c>
      <c r="C8581" t="str">
        <f>IFERROR(__xludf.DUMMYFUNCTION("""COMPUTED_VALUE"""),"｢PMP®認定試験｣で一発合格を目指す！ 試験攻略のための実践問題演習コース 全100問 (2020)")</f>
        <v>｢PMP®認定試験｣で一発合格を目指す！ 試験攻略のための実践問題演習コース 全100問 (2020)</v>
      </c>
    </row>
    <row r="8582">
      <c r="A8582" s="140" t="str">
        <f>IFERROR(__xludf.DUMMYFUNCTION("""COMPUTED_VALUE"""),"en")</f>
        <v>en</v>
      </c>
      <c r="B8582">
        <f>IFERROR(__xludf.DUMMYFUNCTION("""COMPUTED_VALUE"""),2900240.0)</f>
        <v>2900240</v>
      </c>
      <c r="C8582" t="str">
        <f>IFERROR(__xludf.DUMMYFUNCTION("""COMPUTED_VALUE"""),"Real World BizTalk 2020 For Developers")</f>
        <v>Real World BizTalk 2020 For Developers</v>
      </c>
    </row>
    <row r="8583">
      <c r="A8583" s="140" t="str">
        <f>IFERROR(__xludf.DUMMYFUNCTION("""COMPUTED_VALUE"""),"en")</f>
        <v>en</v>
      </c>
      <c r="B8583">
        <f>IFERROR(__xludf.DUMMYFUNCTION("""COMPUTED_VALUE"""),3119796.0)</f>
        <v>3119796</v>
      </c>
      <c r="C8583" t="str">
        <f>IFERROR(__xludf.DUMMYFUNCTION("""COMPUTED_VALUE"""),"Complete CATIA V5 Express Training")</f>
        <v>Complete CATIA V5 Express Training</v>
      </c>
    </row>
    <row r="8584">
      <c r="A8584" s="140" t="str">
        <f>IFERROR(__xludf.DUMMYFUNCTION("""COMPUTED_VALUE"""),"ar")</f>
        <v>ar</v>
      </c>
      <c r="B8584">
        <f>IFERROR(__xludf.DUMMYFUNCTION("""COMPUTED_VALUE"""),3291360.0)</f>
        <v>3291360</v>
      </c>
      <c r="C8584" t="str">
        <f>IFERROR(__xludf.DUMMYFUNCTION("""COMPUTED_VALUE"""),"The Complete Flutter Development Guide [2022 Edition]")</f>
        <v>The Complete Flutter Development Guide [2022 Edition]</v>
      </c>
    </row>
    <row r="8585">
      <c r="A8585" s="140" t="str">
        <f>IFERROR(__xludf.DUMMYFUNCTION("""COMPUTED_VALUE"""),"en")</f>
        <v>en</v>
      </c>
      <c r="B8585">
        <f>IFERROR(__xludf.DUMMYFUNCTION("""COMPUTED_VALUE"""),990850.0)</f>
        <v>990850</v>
      </c>
      <c r="C8585" t="str">
        <f>IFERROR(__xludf.DUMMYFUNCTION("""COMPUTED_VALUE"""),"Chef Fundamentals: A Recipe for Automating Infrastructure")</f>
        <v>Chef Fundamentals: A Recipe for Automating Infrastructure</v>
      </c>
    </row>
    <row r="8586">
      <c r="A8586" s="140" t="str">
        <f>IFERROR(__xludf.DUMMYFUNCTION("""COMPUTED_VALUE"""),"en")</f>
        <v>en</v>
      </c>
      <c r="B8586">
        <f>IFERROR(__xludf.DUMMYFUNCTION("""COMPUTED_VALUE"""),2559680.0)</f>
        <v>2559680</v>
      </c>
      <c r="C8586" t="str">
        <f>IFERROR(__xludf.DUMMYFUNCTION("""COMPUTED_VALUE"""),"Computational Fluid Dynamics Fundamentals Course 2")</f>
        <v>Computational Fluid Dynamics Fundamentals Course 2</v>
      </c>
    </row>
    <row r="8587">
      <c r="A8587" s="140" t="str">
        <f>IFERROR(__xludf.DUMMYFUNCTION("""COMPUTED_VALUE"""),"en")</f>
        <v>en</v>
      </c>
      <c r="B8587">
        <f>IFERROR(__xludf.DUMMYFUNCTION("""COMPUTED_VALUE"""),1904290.0)</f>
        <v>1904290</v>
      </c>
      <c r="C8587" t="str">
        <f>IFERROR(__xludf.DUMMYFUNCTION("""COMPUTED_VALUE"""),"OWASP: Threats Fundamentals")</f>
        <v>OWASP: Threats Fundamentals</v>
      </c>
    </row>
    <row r="8588">
      <c r="A8588" s="140" t="str">
        <f>IFERROR(__xludf.DUMMYFUNCTION("""COMPUTED_VALUE"""),"en")</f>
        <v>en</v>
      </c>
      <c r="B8588">
        <f>IFERROR(__xludf.DUMMYFUNCTION("""COMPUTED_VALUE"""),1963306.0)</f>
        <v>1963306</v>
      </c>
      <c r="C8588" t="str">
        <f>IFERROR(__xludf.DUMMYFUNCTION("""COMPUTED_VALUE"""),"Cryptography Beginners Guide with openSSL")</f>
        <v>Cryptography Beginners Guide with openSSL</v>
      </c>
    </row>
    <row r="8589">
      <c r="A8589" s="140" t="str">
        <f>IFERROR(__xludf.DUMMYFUNCTION("""COMPUTED_VALUE"""),"fr")</f>
        <v>fr</v>
      </c>
      <c r="B8589">
        <f>IFERROR(__xludf.DUMMYFUNCTION("""COMPUTED_VALUE"""),181470.0)</f>
        <v>181470</v>
      </c>
      <c r="C8589" t="str">
        <f>IFERROR(__xludf.DUMMYFUNCTION("""COMPUTED_VALUE"""),"Parler anglais comme un anglophone – Speak English Better")</f>
        <v>Parler anglais comme un anglophone – Speak English Better</v>
      </c>
    </row>
    <row r="8590">
      <c r="A8590" s="140" t="str">
        <f>IFERROR(__xludf.DUMMYFUNCTION("""COMPUTED_VALUE"""),"en")</f>
        <v>en</v>
      </c>
      <c r="B8590">
        <f>IFERROR(__xludf.DUMMYFUNCTION("""COMPUTED_VALUE"""),362632.0)</f>
        <v>362632</v>
      </c>
      <c r="C8590" t="str">
        <f>IFERROR(__xludf.DUMMYFUNCTION("""COMPUTED_VALUE"""),"Scrum Certification Prep +Scrum Master+ Agile Scrum Training")</f>
        <v>Scrum Certification Prep +Scrum Master+ Agile Scrum Training</v>
      </c>
    </row>
    <row r="8591">
      <c r="A8591" s="140" t="str">
        <f>IFERROR(__xludf.DUMMYFUNCTION("""COMPUTED_VALUE"""),"pt")</f>
        <v>pt</v>
      </c>
      <c r="B8591">
        <f>IFERROR(__xludf.DUMMYFUNCTION("""COMPUTED_VALUE"""),2098536.0)</f>
        <v>2098536</v>
      </c>
      <c r="C8591" t="str">
        <f>IFERROR(__xludf.DUMMYFUNCTION("""COMPUTED_VALUE"""),"Curso de Inglês: Completo, Fácil e Prático")</f>
        <v>Curso de Inglês: Completo, Fácil e Prático</v>
      </c>
    </row>
    <row r="8592">
      <c r="A8592" s="140" t="str">
        <f>IFERROR(__xludf.DUMMYFUNCTION("""COMPUTED_VALUE"""),"en")</f>
        <v>en</v>
      </c>
      <c r="B8592">
        <f>IFERROR(__xludf.DUMMYFUNCTION("""COMPUTED_VALUE"""),2201164.0)</f>
        <v>2201164</v>
      </c>
      <c r="C8592" t="str">
        <f>IFERROR(__xludf.DUMMYFUNCTION("""COMPUTED_VALUE"""),"Modern JavaScript (Complete guide, from Novice to Ninja)")</f>
        <v>Modern JavaScript (Complete guide, from Novice to Ninja)</v>
      </c>
    </row>
    <row r="8593">
      <c r="A8593" s="140" t="str">
        <f>IFERROR(__xludf.DUMMYFUNCTION("""COMPUTED_VALUE"""),"en")</f>
        <v>en</v>
      </c>
      <c r="B8593">
        <f>IFERROR(__xludf.DUMMYFUNCTION("""COMPUTED_VALUE"""),1313502.0)</f>
        <v>1313502</v>
      </c>
      <c r="C8593" t="str">
        <f>IFERROR(__xludf.DUMMYFUNCTION("""COMPUTED_VALUE"""),"Bootstrap 4 From Scratch With 5 Projects")</f>
        <v>Bootstrap 4 From Scratch With 5 Projects</v>
      </c>
    </row>
    <row r="8594">
      <c r="A8594" s="140" t="str">
        <f>IFERROR(__xludf.DUMMYFUNCTION("""COMPUTED_VALUE"""),"en")</f>
        <v>en</v>
      </c>
      <c r="B8594">
        <f>IFERROR(__xludf.DUMMYFUNCTION("""COMPUTED_VALUE"""),593544.0)</f>
        <v>593544</v>
      </c>
      <c r="C8594" t="str">
        <f>IFERROR(__xludf.DUMMYFUNCTION("""COMPUTED_VALUE"""),"PHP MVC Framework CodeIgniter Tutorial for Beginners Project")</f>
        <v>PHP MVC Framework CodeIgniter Tutorial for Beginners Project</v>
      </c>
    </row>
    <row r="8595">
      <c r="A8595" s="140" t="str">
        <f>IFERROR(__xludf.DUMMYFUNCTION("""COMPUTED_VALUE"""),"en")</f>
        <v>en</v>
      </c>
      <c r="B8595">
        <f>IFERROR(__xludf.DUMMYFUNCTION("""COMPUTED_VALUE"""),1576710.0)</f>
        <v>1576710</v>
      </c>
      <c r="C8595" t="str">
        <f>IFERROR(__xludf.DUMMYFUNCTION("""COMPUTED_VALUE"""),"2021 Complete Public Speaking Masterclass For Every Occasion")</f>
        <v>2021 Complete Public Speaking Masterclass For Every Occasion</v>
      </c>
    </row>
    <row r="8596">
      <c r="A8596" s="140" t="str">
        <f>IFERROR(__xludf.DUMMYFUNCTION("""COMPUTED_VALUE"""),"en")</f>
        <v>en</v>
      </c>
      <c r="B8596">
        <f>IFERROR(__xludf.DUMMYFUNCTION("""COMPUTED_VALUE"""),28295.0)</f>
        <v>28295</v>
      </c>
      <c r="C8596" t="str">
        <f>IFERROR(__xludf.DUMMYFUNCTION("""COMPUTED_VALUE"""),"Learn Web Designing &amp; HTML5/CSS3 Essentials in 4-Hours")</f>
        <v>Learn Web Designing &amp; HTML5/CSS3 Essentials in 4-Hours</v>
      </c>
    </row>
    <row r="8597">
      <c r="A8597" s="140" t="str">
        <f>IFERROR(__xludf.DUMMYFUNCTION("""COMPUTED_VALUE"""),"es")</f>
        <v>es</v>
      </c>
      <c r="B8597">
        <f>IFERROR(__xludf.DUMMYFUNCTION("""COMPUTED_VALUE"""),721844.0)</f>
        <v>721844</v>
      </c>
      <c r="C8597" t="str">
        <f>IFERROR(__xludf.DUMMYFUNCTION("""COMPUTED_VALUE"""),"Aprende a crear webs desde cero con HTML Y CSS")</f>
        <v>Aprende a crear webs desde cero con HTML Y CSS</v>
      </c>
    </row>
    <row r="8598">
      <c r="A8598" s="140" t="str">
        <f>IFERROR(__xludf.DUMMYFUNCTION("""COMPUTED_VALUE"""),"en")</f>
        <v>en</v>
      </c>
      <c r="B8598">
        <f>IFERROR(__xludf.DUMMYFUNCTION("""COMPUTED_VALUE"""),2390272.0)</f>
        <v>2390272</v>
      </c>
      <c r="C8598" t="str">
        <f>IFERROR(__xludf.DUMMYFUNCTION("""COMPUTED_VALUE"""),"Docker, From Zero To Hero: Become a DevOps Docker Master")</f>
        <v>Docker, From Zero To Hero: Become a DevOps Docker Master</v>
      </c>
    </row>
    <row r="8599">
      <c r="A8599" s="140" t="str">
        <f>IFERROR(__xludf.DUMMYFUNCTION("""COMPUTED_VALUE"""),"en")</f>
        <v>en</v>
      </c>
      <c r="B8599">
        <f>IFERROR(__xludf.DUMMYFUNCTION("""COMPUTED_VALUE"""),2653732.0)</f>
        <v>2653732</v>
      </c>
      <c r="C8599" t="str">
        <f>IFERROR(__xludf.DUMMYFUNCTION("""COMPUTED_VALUE"""),"Behavioral Economics &amp; Consumer Psychology in Marketing")</f>
        <v>Behavioral Economics &amp; Consumer Psychology in Marketing</v>
      </c>
    </row>
    <row r="8600">
      <c r="A8600" s="140" t="str">
        <f>IFERROR(__xludf.DUMMYFUNCTION("""COMPUTED_VALUE"""),"en")</f>
        <v>en</v>
      </c>
      <c r="B8600">
        <f>IFERROR(__xludf.DUMMYFUNCTION("""COMPUTED_VALUE"""),281000.0)</f>
        <v>281000</v>
      </c>
      <c r="C8600" t="str">
        <f>IFERROR(__xludf.DUMMYFUNCTION("""COMPUTED_VALUE"""),"Posturecise (Level 1) Create Healthy Posture Habits for Life")</f>
        <v>Posturecise (Level 1) Create Healthy Posture Habits for Life</v>
      </c>
    </row>
    <row r="8601">
      <c r="A8601" s="140" t="str">
        <f>IFERROR(__xludf.DUMMYFUNCTION("""COMPUTED_VALUE"""),"en")</f>
        <v>en</v>
      </c>
      <c r="B8601">
        <f>IFERROR(__xludf.DUMMYFUNCTION("""COMPUTED_VALUE"""),1903444.0)</f>
        <v>1903444</v>
      </c>
      <c r="C8601" t="str">
        <f>IFERROR(__xludf.DUMMYFUNCTION("""COMPUTED_VALUE"""),"Mobile Application Hacking and Penetration Testing (Android)")</f>
        <v>Mobile Application Hacking and Penetration Testing (Android)</v>
      </c>
    </row>
    <row r="8602">
      <c r="A8602" s="140" t="str">
        <f>IFERROR(__xludf.DUMMYFUNCTION("""COMPUTED_VALUE"""),"pt")</f>
        <v>pt</v>
      </c>
      <c r="B8602">
        <f>IFERROR(__xludf.DUMMYFUNCTION("""COMPUTED_VALUE"""),1403484.0)</f>
        <v>1403484</v>
      </c>
      <c r="C8602" t="str">
        <f>IFERROR(__xludf.DUMMYFUNCTION("""COMPUTED_VALUE"""),"Cisco CCENT ICND1(100-105) Questões com perguntas e resposta")</f>
        <v>Cisco CCENT ICND1(100-105) Questões com perguntas e resposta</v>
      </c>
    </row>
    <row r="8603">
      <c r="A8603" s="140" t="str">
        <f>IFERROR(__xludf.DUMMYFUNCTION("""COMPUTED_VALUE"""),"en")</f>
        <v>en</v>
      </c>
      <c r="B8603">
        <f>IFERROR(__xludf.DUMMYFUNCTION("""COMPUTED_VALUE"""),2108504.0)</f>
        <v>2108504</v>
      </c>
      <c r="C8603" t="str">
        <f>IFERROR(__xludf.DUMMYFUNCTION("""COMPUTED_VALUE"""),"Customer Experience Certification Workshop")</f>
        <v>Customer Experience Certification Workshop</v>
      </c>
    </row>
    <row r="8604">
      <c r="A8604" s="140" t="str">
        <f>IFERROR(__xludf.DUMMYFUNCTION("""COMPUTED_VALUE"""),"pt")</f>
        <v>pt</v>
      </c>
      <c r="B8604">
        <f>IFERROR(__xludf.DUMMYFUNCTION("""COMPUTED_VALUE"""),2250582.0)</f>
        <v>2250582</v>
      </c>
      <c r="C8604" t="str">
        <f>IFERROR(__xludf.DUMMYFUNCTION("""COMPUTED_VALUE"""),"Marketing 4.0 - Na prática - Completo 2020")</f>
        <v>Marketing 4.0 - Na prática - Completo 2020</v>
      </c>
    </row>
    <row r="8605">
      <c r="A8605" s="140" t="str">
        <f>IFERROR(__xludf.DUMMYFUNCTION("""COMPUTED_VALUE"""),"ja")</f>
        <v>ja</v>
      </c>
      <c r="B8605">
        <f>IFERROR(__xludf.DUMMYFUNCTION("""COMPUTED_VALUE"""),3776858.0)</f>
        <v>3776858</v>
      </c>
      <c r="C8605" t="str">
        <f>IFERROR(__xludf.DUMMYFUNCTION("""COMPUTED_VALUE"""),"DaVinci Resolve 17 カラーコレクション＆カラーグレーディング基礎マスターコース")</f>
        <v>DaVinci Resolve 17 カラーコレクション＆カラーグレーディング基礎マスターコース</v>
      </c>
    </row>
    <row r="8606">
      <c r="A8606" s="140" t="str">
        <f>IFERROR(__xludf.DUMMYFUNCTION("""COMPUTED_VALUE"""),"en")</f>
        <v>en</v>
      </c>
      <c r="B8606">
        <f>IFERROR(__xludf.DUMMYFUNCTION("""COMPUTED_VALUE"""),854440.0)</f>
        <v>854440</v>
      </c>
      <c r="C8606" t="str">
        <f>IFERROR(__xludf.DUMMYFUNCTION("""COMPUTED_VALUE"""),"American English Pronunciation")</f>
        <v>American English Pronunciation</v>
      </c>
    </row>
    <row r="8607">
      <c r="A8607" s="140" t="str">
        <f>IFERROR(__xludf.DUMMYFUNCTION("""COMPUTED_VALUE"""),"ja")</f>
        <v>ja</v>
      </c>
      <c r="B8607">
        <f>IFERROR(__xludf.DUMMYFUNCTION("""COMPUTED_VALUE"""),647536.0)</f>
        <v>647536</v>
      </c>
      <c r="C8607" t="str">
        <f>IFERROR(__xludf.DUMMYFUNCTION("""COMPUTED_VALUE"""),"Excel中級者への150分【ピボット・VLOOKUP・条件付き書式・グラフ応用】")</f>
        <v>Excel中級者への150分【ピボット・VLOOKUP・条件付き書式・グラフ応用】</v>
      </c>
    </row>
    <row r="8608">
      <c r="A8608" s="140" t="str">
        <f>IFERROR(__xludf.DUMMYFUNCTION("""COMPUTED_VALUE"""),"en")</f>
        <v>en</v>
      </c>
      <c r="B8608">
        <f>IFERROR(__xludf.DUMMYFUNCTION("""COMPUTED_VALUE"""),1952038.0)</f>
        <v>1952038</v>
      </c>
      <c r="C8608" t="str">
        <f>IFERROR(__xludf.DUMMYFUNCTION("""COMPUTED_VALUE"""),"Free Tools for Penetration Testing and Ethical Hacking")</f>
        <v>Free Tools for Penetration Testing and Ethical Hacking</v>
      </c>
    </row>
    <row r="8609">
      <c r="A8609" s="140" t="str">
        <f>IFERROR(__xludf.DUMMYFUNCTION("""COMPUTED_VALUE"""),"fr")</f>
        <v>fr</v>
      </c>
      <c r="B8609">
        <f>IFERROR(__xludf.DUMMYFUNCTION("""COMPUTED_VALUE"""),1702314.0)</f>
        <v>1702314</v>
      </c>
      <c r="C8609" t="str">
        <f>IFERROR(__xludf.DUMMYFUNCTION("""COMPUTED_VALUE"""),"YOUTUBE : 21 hacks pour avoir plus de vues")</f>
        <v>YOUTUBE : 21 hacks pour avoir plus de vues</v>
      </c>
    </row>
    <row r="8610">
      <c r="A8610" s="140" t="str">
        <f>IFERROR(__xludf.DUMMYFUNCTION("""COMPUTED_VALUE"""),"en")</f>
        <v>en</v>
      </c>
      <c r="B8610">
        <f>IFERROR(__xludf.DUMMYFUNCTION("""COMPUTED_VALUE"""),1048360.0)</f>
        <v>1048360</v>
      </c>
      <c r="C8610" t="str">
        <f>IFERROR(__xludf.DUMMYFUNCTION("""COMPUTED_VALUE"""),"Landing Page Design &amp; Conversion Rate Optimization 2018")</f>
        <v>Landing Page Design &amp; Conversion Rate Optimization 2018</v>
      </c>
    </row>
    <row r="8611">
      <c r="A8611" s="140" t="str">
        <f>IFERROR(__xludf.DUMMYFUNCTION("""COMPUTED_VALUE"""),"pt")</f>
        <v>pt</v>
      </c>
      <c r="B8611">
        <f>IFERROR(__xludf.DUMMYFUNCTION("""COMPUTED_VALUE"""),2380108.0)</f>
        <v>2380108</v>
      </c>
      <c r="C8611" t="str">
        <f>IFERROR(__xludf.DUMMYFUNCTION("""COMPUTED_VALUE"""),"ISO 27001: Simulados comentados para certificação EXIN ISFS!")</f>
        <v>ISO 27001: Simulados comentados para certificação EXIN ISFS!</v>
      </c>
    </row>
    <row r="8612">
      <c r="A8612" s="140" t="str">
        <f>IFERROR(__xludf.DUMMYFUNCTION("""COMPUTED_VALUE"""),"en")</f>
        <v>en</v>
      </c>
      <c r="B8612">
        <f>IFERROR(__xludf.DUMMYFUNCTION("""COMPUTED_VALUE"""),1772682.0)</f>
        <v>1772682</v>
      </c>
      <c r="C8612" t="str">
        <f>IFERROR(__xludf.DUMMYFUNCTION("""COMPUTED_VALUE"""),"Mindset Mastery: How To Upgrade Your Beliefs &amp; Life")</f>
        <v>Mindset Mastery: How To Upgrade Your Beliefs &amp; Life</v>
      </c>
    </row>
    <row r="8613">
      <c r="A8613" s="140" t="str">
        <f>IFERROR(__xludf.DUMMYFUNCTION("""COMPUTED_VALUE"""),"en")</f>
        <v>en</v>
      </c>
      <c r="B8613">
        <f>IFERROR(__xludf.DUMMYFUNCTION("""COMPUTED_VALUE"""),441920.0)</f>
        <v>441920</v>
      </c>
      <c r="C8613" t="str">
        <f>IFERROR(__xludf.DUMMYFUNCTION("""COMPUTED_VALUE"""),"Confidence On Camera: Make Amazing Videos, Easily.")</f>
        <v>Confidence On Camera: Make Amazing Videos, Easily.</v>
      </c>
    </row>
    <row r="8614">
      <c r="A8614" s="140" t="str">
        <f>IFERROR(__xludf.DUMMYFUNCTION("""COMPUTED_VALUE"""),"en")</f>
        <v>en</v>
      </c>
      <c r="B8614">
        <f>IFERROR(__xludf.DUMMYFUNCTION("""COMPUTED_VALUE"""),1048360.0)</f>
        <v>1048360</v>
      </c>
      <c r="C8614" t="str">
        <f>IFERROR(__xludf.DUMMYFUNCTION("""COMPUTED_VALUE"""),"Landing Page Design &amp; Conversion Rate Optimization 2018")</f>
        <v>Landing Page Design &amp; Conversion Rate Optimization 2018</v>
      </c>
    </row>
    <row r="8615">
      <c r="A8615" s="140" t="str">
        <f>IFERROR(__xludf.DUMMYFUNCTION("""COMPUTED_VALUE"""),"de")</f>
        <v>de</v>
      </c>
      <c r="B8615">
        <f>IFERROR(__xludf.DUMMYFUNCTION("""COMPUTED_VALUE"""),912660.0)</f>
        <v>912660</v>
      </c>
      <c r="C8615" t="str">
        <f>IFERROR(__xludf.DUMMYFUNCTION("""COMPUTED_VALUE"""),"Fusion 360: Schneller Einstieg in die CAD Konstruktion")</f>
        <v>Fusion 360: Schneller Einstieg in die CAD Konstruktion</v>
      </c>
    </row>
    <row r="8616">
      <c r="A8616" s="140" t="str">
        <f>IFERROR(__xludf.DUMMYFUNCTION("""COMPUTED_VALUE"""),"es")</f>
        <v>es</v>
      </c>
      <c r="B8616">
        <f>IFERROR(__xludf.DUMMYFUNCTION("""COMPUTED_VALUE"""),4273954.0)</f>
        <v>4273954</v>
      </c>
      <c r="C8616" t="str">
        <f>IFERROR(__xludf.DUMMYFUNCTION("""COMPUTED_VALUE"""),"Curso Completo de Google Ads (Adwords) 2022")</f>
        <v>Curso Completo de Google Ads (Adwords) 2022</v>
      </c>
    </row>
    <row r="8617">
      <c r="A8617" s="140" t="str">
        <f>IFERROR(__xludf.DUMMYFUNCTION("""COMPUTED_VALUE"""),"en")</f>
        <v>en</v>
      </c>
      <c r="B8617">
        <f>IFERROR(__xludf.DUMMYFUNCTION("""COMPUTED_VALUE"""),3862876.0)</f>
        <v>3862876</v>
      </c>
      <c r="C8617" t="str">
        <f>IFERROR(__xludf.DUMMYFUNCTION("""COMPUTED_VALUE"""),"Salesforce Devops With Salesforce DX")</f>
        <v>Salesforce Devops With Salesforce DX</v>
      </c>
    </row>
    <row r="8618">
      <c r="A8618" s="140" t="str">
        <f>IFERROR(__xludf.DUMMYFUNCTION("""COMPUTED_VALUE"""),"en")</f>
        <v>en</v>
      </c>
      <c r="B8618">
        <f>IFERROR(__xludf.DUMMYFUNCTION("""COMPUTED_VALUE"""),344138.0)</f>
        <v>344138</v>
      </c>
      <c r="C8618" t="str">
        <f>IFERROR(__xludf.DUMMYFUNCTION("""COMPUTED_VALUE"""),"Excel at Teaching English: Be a Better ESL Teacher")</f>
        <v>Excel at Teaching English: Be a Better ESL Teacher</v>
      </c>
    </row>
    <row r="8619">
      <c r="A8619" s="140" t="str">
        <f>IFERROR(__xludf.DUMMYFUNCTION("""COMPUTED_VALUE"""),"de")</f>
        <v>de</v>
      </c>
      <c r="B8619">
        <f>IFERROR(__xludf.DUMMYFUNCTION("""COMPUTED_VALUE"""),2509572.0)</f>
        <v>2509572</v>
      </c>
      <c r="C8619" t="str">
        <f>IFERROR(__xludf.DUMMYFUNCTION("""COMPUTED_VALUE"""),"WinCC Professional im TIA Portal in der Praxis")</f>
        <v>WinCC Professional im TIA Portal in der Praxis</v>
      </c>
    </row>
    <row r="8620">
      <c r="A8620" s="140" t="str">
        <f>IFERROR(__xludf.DUMMYFUNCTION("""COMPUTED_VALUE"""),"en")</f>
        <v>en</v>
      </c>
      <c r="B8620">
        <f>IFERROR(__xludf.DUMMYFUNCTION("""COMPUTED_VALUE"""),3082678.0)</f>
        <v>3082678</v>
      </c>
      <c r="C8620" t="str">
        <f>IFERROR(__xludf.DUMMYFUNCTION("""COMPUTED_VALUE"""),"AWS Certification - Solutions Architect Associate - 2021")</f>
        <v>AWS Certification - Solutions Architect Associate - 2021</v>
      </c>
    </row>
    <row r="8621">
      <c r="A8621" s="140" t="str">
        <f>IFERROR(__xludf.DUMMYFUNCTION("""COMPUTED_VALUE"""),"en")</f>
        <v>en</v>
      </c>
      <c r="B8621">
        <f>IFERROR(__xludf.DUMMYFUNCTION("""COMPUTED_VALUE"""),1525414.0)</f>
        <v>1525414</v>
      </c>
      <c r="C8621" t="str">
        <f>IFERROR(__xludf.DUMMYFUNCTION("""COMPUTED_VALUE"""),"STM32Fx Microcontroller Custom Bootloader Development")</f>
        <v>STM32Fx Microcontroller Custom Bootloader Development</v>
      </c>
    </row>
    <row r="8622">
      <c r="A8622" s="140" t="str">
        <f>IFERROR(__xludf.DUMMYFUNCTION("""COMPUTED_VALUE"""),"fr")</f>
        <v>fr</v>
      </c>
      <c r="B8622">
        <f>IFERROR(__xludf.DUMMYFUNCTION("""COMPUTED_VALUE"""),2383702.0)</f>
        <v>2383702</v>
      </c>
      <c r="C8622" t="str">
        <f>IFERROR(__xludf.DUMMYFUNCTION("""COMPUTED_VALUE"""),"Blender 2.8 La formation complète du débutant à l'avancé")</f>
        <v>Blender 2.8 La formation complète du débutant à l'avancé</v>
      </c>
    </row>
    <row r="8623">
      <c r="A8623" s="140" t="str">
        <f>IFERROR(__xludf.DUMMYFUNCTION("""COMPUTED_VALUE"""),"es")</f>
        <v>es</v>
      </c>
      <c r="B8623">
        <f>IFERROR(__xludf.DUMMYFUNCTION("""COMPUTED_VALUE"""),2566626.0)</f>
        <v>2566626</v>
      </c>
      <c r="C8623" t="str">
        <f>IFERROR(__xludf.DUMMYFUNCTION("""COMPUTED_VALUE"""),"Finanzas Personales para Personas de Países con Inflación")</f>
        <v>Finanzas Personales para Personas de Países con Inflación</v>
      </c>
    </row>
    <row r="8624">
      <c r="A8624" s="140" t="str">
        <f>IFERROR(__xludf.DUMMYFUNCTION("""COMPUTED_VALUE"""),"en")</f>
        <v>en</v>
      </c>
      <c r="B8624">
        <f>IFERROR(__xludf.DUMMYFUNCTION("""COMPUTED_VALUE"""),4146768.0)</f>
        <v>4146768</v>
      </c>
      <c r="C8624" t="str">
        <f>IFERROR(__xludf.DUMMYFUNCTION("""COMPUTED_VALUE"""),"SAP S/4HANA for Beginner: Learn SAP Overview 2021")</f>
        <v>SAP S/4HANA for Beginner: Learn SAP Overview 2021</v>
      </c>
    </row>
    <row r="8625">
      <c r="A8625" s="140" t="str">
        <f>IFERROR(__xludf.DUMMYFUNCTION("""COMPUTED_VALUE"""),"en")</f>
        <v>en</v>
      </c>
      <c r="B8625">
        <f>IFERROR(__xludf.DUMMYFUNCTION("""COMPUTED_VALUE"""),3833552.0)</f>
        <v>3833552</v>
      </c>
      <c r="C8625" t="str">
        <f>IFERROR(__xludf.DUMMYFUNCTION("""COMPUTED_VALUE"""),"IBM WebSphere Network Deployment 9 - Level 2 Administration")</f>
        <v>IBM WebSphere Network Deployment 9 - Level 2 Administration</v>
      </c>
    </row>
    <row r="8626">
      <c r="A8626" s="140" t="str">
        <f>IFERROR(__xludf.DUMMYFUNCTION("""COMPUTED_VALUE"""),"en")</f>
        <v>en</v>
      </c>
      <c r="B8626">
        <f>IFERROR(__xludf.DUMMYFUNCTION("""COMPUTED_VALUE"""),1278524.0)</f>
        <v>1278524</v>
      </c>
      <c r="C8626" t="str">
        <f>IFERROR(__xludf.DUMMYFUNCTION("""COMPUTED_VALUE"""),"AWS MasterClass: DevOps w/ AWS Command Line Interface (CLI)")</f>
        <v>AWS MasterClass: DevOps w/ AWS Command Line Interface (CLI)</v>
      </c>
    </row>
    <row r="8627">
      <c r="A8627" s="140" t="str">
        <f>IFERROR(__xludf.DUMMYFUNCTION("""COMPUTED_VALUE"""),"de")</f>
        <v>de</v>
      </c>
      <c r="B8627">
        <f>IFERROR(__xludf.DUMMYFUNCTION("""COMPUTED_VALUE"""),3507178.0)</f>
        <v>3507178</v>
      </c>
      <c r="C8627" t="str">
        <f>IFERROR(__xludf.DUMMYFUNCTION("""COMPUTED_VALUE"""),"Adobe Photoshop 2021 CC - Vom Anfänger zum Fortgeschrittenen")</f>
        <v>Adobe Photoshop 2021 CC - Vom Anfänger zum Fortgeschrittenen</v>
      </c>
    </row>
    <row r="8628">
      <c r="A8628" s="140" t="str">
        <f>IFERROR(__xludf.DUMMYFUNCTION("""COMPUTED_VALUE"""),"en")</f>
        <v>en</v>
      </c>
      <c r="B8628">
        <f>IFERROR(__xludf.DUMMYFUNCTION("""COMPUTED_VALUE"""),2389282.0)</f>
        <v>2389282</v>
      </c>
      <c r="C8628" t="str">
        <f>IFERROR(__xludf.DUMMYFUNCTION("""COMPUTED_VALUE"""),"SDR for Ethical Hackers and Security Researchers")</f>
        <v>SDR for Ethical Hackers and Security Researchers</v>
      </c>
    </row>
    <row r="8629">
      <c r="A8629" s="140" t="str">
        <f>IFERROR(__xludf.DUMMYFUNCTION("""COMPUTED_VALUE"""),"en")</f>
        <v>en</v>
      </c>
      <c r="B8629">
        <f>IFERROR(__xludf.DUMMYFUNCTION("""COMPUTED_VALUE"""),560664.0)</f>
        <v>560664</v>
      </c>
      <c r="C8629" t="str">
        <f>IFERROR(__xludf.DUMMYFUNCTION("""COMPUTED_VALUE"""),"Learn How to Make Electronic Music with Cubase")</f>
        <v>Learn How to Make Electronic Music with Cubase</v>
      </c>
    </row>
    <row r="8630">
      <c r="A8630" s="140" t="str">
        <f>IFERROR(__xludf.DUMMYFUNCTION("""COMPUTED_VALUE"""),"tr")</f>
        <v>tr</v>
      </c>
      <c r="B8630">
        <f>IFERROR(__xludf.DUMMYFUNCTION("""COMPUTED_VALUE"""),2434776.0)</f>
        <v>2434776</v>
      </c>
      <c r="C8630" t="str">
        <f>IFERROR(__xludf.DUMMYFUNCTION("""COMPUTED_VALUE"""),"İngilizce - Konuşarak ve Keşfederek İngilizce Öğreniyoruz!")</f>
        <v>İngilizce - Konuşarak ve Keşfederek İngilizce Öğreniyoruz!</v>
      </c>
    </row>
    <row r="8631">
      <c r="A8631" s="140" t="str">
        <f>IFERROR(__xludf.DUMMYFUNCTION("""COMPUTED_VALUE"""),"en")</f>
        <v>en</v>
      </c>
      <c r="B8631">
        <f>IFERROR(__xludf.DUMMYFUNCTION("""COMPUTED_VALUE"""),1758098.0)</f>
        <v>1758098</v>
      </c>
      <c r="C8631" t="str">
        <f>IFERROR(__xludf.DUMMYFUNCTION("""COMPUTED_VALUE"""),"How to tell a story with data")</f>
        <v>How to tell a story with data</v>
      </c>
    </row>
    <row r="8632">
      <c r="A8632" s="140" t="str">
        <f>IFERROR(__xludf.DUMMYFUNCTION("""COMPUTED_VALUE"""),"en")</f>
        <v>en</v>
      </c>
      <c r="B8632">
        <f>IFERROR(__xludf.DUMMYFUNCTION("""COMPUTED_VALUE"""),3545572.0)</f>
        <v>3545572</v>
      </c>
      <c r="C8632" t="str">
        <f>IFERROR(__xludf.DUMMYFUNCTION("""COMPUTED_VALUE"""),"How to Shoot Food Photography: Complete Guide for Beginners")</f>
        <v>How to Shoot Food Photography: Complete Guide for Beginners</v>
      </c>
    </row>
    <row r="8633">
      <c r="A8633" s="140" t="str">
        <f>IFERROR(__xludf.DUMMYFUNCTION("""COMPUTED_VALUE"""),"en")</f>
        <v>en</v>
      </c>
      <c r="B8633">
        <f>IFERROR(__xludf.DUMMYFUNCTION("""COMPUTED_VALUE"""),898082.0)</f>
        <v>898082</v>
      </c>
      <c r="C8633" t="str">
        <f>IFERROR(__xludf.DUMMYFUNCTION("""COMPUTED_VALUE"""),"Kickstart a Freelance Editor &amp; Proofreader Career on Upwork")</f>
        <v>Kickstart a Freelance Editor &amp; Proofreader Career on Upwork</v>
      </c>
    </row>
    <row r="8634">
      <c r="A8634" s="140" t="str">
        <f>IFERROR(__xludf.DUMMYFUNCTION("""COMPUTED_VALUE"""),"es")</f>
        <v>es</v>
      </c>
      <c r="B8634">
        <f>IFERROR(__xludf.DUMMYFUNCTION("""COMPUTED_VALUE"""),2318250.0)</f>
        <v>2318250</v>
      </c>
      <c r="C8634" t="str">
        <f>IFERROR(__xludf.DUMMYFUNCTION("""COMPUTED_VALUE"""),"Microsoft Excel - Visualización de Datos y Gráficos en Excel")</f>
        <v>Microsoft Excel - Visualización de Datos y Gráficos en Excel</v>
      </c>
    </row>
    <row r="8635">
      <c r="A8635" s="140" t="str">
        <f>IFERROR(__xludf.DUMMYFUNCTION("""COMPUTED_VALUE"""),"es")</f>
        <v>es</v>
      </c>
      <c r="B8635">
        <f>IFERROR(__xludf.DUMMYFUNCTION("""COMPUTED_VALUE"""),2071191.0)</f>
        <v>2071191</v>
      </c>
      <c r="C8635" t="str">
        <f>IFERROR(__xludf.DUMMYFUNCTION("""COMPUTED_VALUE"""),"Java Masterclass: De cero a Heroe en tiempo record")</f>
        <v>Java Masterclass: De cero a Heroe en tiempo record</v>
      </c>
    </row>
    <row r="8636">
      <c r="A8636" s="140" t="str">
        <f>IFERROR(__xludf.DUMMYFUNCTION("""COMPUTED_VALUE"""),"en")</f>
        <v>en</v>
      </c>
      <c r="B8636">
        <f>IFERROR(__xludf.DUMMYFUNCTION("""COMPUTED_VALUE"""),2169476.0)</f>
        <v>2169476</v>
      </c>
      <c r="C8636" t="str">
        <f>IFERROR(__xludf.DUMMYFUNCTION("""COMPUTED_VALUE"""),"Blockchain in Supply Chain Management")</f>
        <v>Blockchain in Supply Chain Management</v>
      </c>
    </row>
    <row r="8637">
      <c r="A8637" s="140" t="str">
        <f>IFERROR(__xludf.DUMMYFUNCTION("""COMPUTED_VALUE"""),"en")</f>
        <v>en</v>
      </c>
      <c r="B8637">
        <f>IFERROR(__xludf.DUMMYFUNCTION("""COMPUTED_VALUE"""),2621544.0)</f>
        <v>2621544</v>
      </c>
      <c r="C8637" t="str">
        <f>IFERROR(__xludf.DUMMYFUNCTION("""COMPUTED_VALUE"""),"Python Game Development using Pygame and Python 3")</f>
        <v>Python Game Development using Pygame and Python 3</v>
      </c>
    </row>
    <row r="8638">
      <c r="A8638" s="140" t="str">
        <f>IFERROR(__xludf.DUMMYFUNCTION("""COMPUTED_VALUE"""),"en")</f>
        <v>en</v>
      </c>
      <c r="B8638">
        <f>IFERROR(__xludf.DUMMYFUNCTION("""COMPUTED_VALUE"""),1886802.0)</f>
        <v>1886802</v>
      </c>
      <c r="C8638" t="str">
        <f>IFERROR(__xludf.DUMMYFUNCTION("""COMPUTED_VALUE"""),"Vector Drawing on the iPad with Affinity Designer")</f>
        <v>Vector Drawing on the iPad with Affinity Designer</v>
      </c>
    </row>
    <row r="8639">
      <c r="A8639" s="140" t="str">
        <f>IFERROR(__xludf.DUMMYFUNCTION("""COMPUTED_VALUE"""),"en")</f>
        <v>en</v>
      </c>
      <c r="B8639">
        <f>IFERROR(__xludf.DUMMYFUNCTION("""COMPUTED_VALUE"""),1653446.0)</f>
        <v>1653446</v>
      </c>
      <c r="C8639" t="str">
        <f>IFERROR(__xludf.DUMMYFUNCTION("""COMPUTED_VALUE"""),"2021 New Google Ads (AdWords) Course - From Beginner to PRO")</f>
        <v>2021 New Google Ads (AdWords) Course - From Beginner to PRO</v>
      </c>
    </row>
    <row r="8640">
      <c r="A8640" s="140" t="str">
        <f>IFERROR(__xludf.DUMMYFUNCTION("""COMPUTED_VALUE"""),"en")</f>
        <v>en</v>
      </c>
      <c r="B8640">
        <f>IFERROR(__xludf.DUMMYFUNCTION("""COMPUTED_VALUE"""),1207536.0)</f>
        <v>1207536</v>
      </c>
      <c r="C8640" t="str">
        <f>IFERROR(__xludf.DUMMYFUNCTION("""COMPUTED_VALUE"""),"Business English Vocabulary: Learn Essential Business Words")</f>
        <v>Business English Vocabulary: Learn Essential Business Words</v>
      </c>
    </row>
    <row r="8641">
      <c r="A8641" s="140" t="str">
        <f>IFERROR(__xludf.DUMMYFUNCTION("""COMPUTED_VALUE"""),"en")</f>
        <v>en</v>
      </c>
      <c r="B8641">
        <f>IFERROR(__xludf.DUMMYFUNCTION("""COMPUTED_VALUE"""),2603984.0)</f>
        <v>2603984</v>
      </c>
      <c r="C8641" t="str">
        <f>IFERROR(__xludf.DUMMYFUNCTION("""COMPUTED_VALUE"""),"Dynamic Dashboards and Data Analysis with Data Studio - 2021")</f>
        <v>Dynamic Dashboards and Data Analysis with Data Studio - 2021</v>
      </c>
    </row>
    <row r="8642">
      <c r="A8642" s="140" t="str">
        <f>IFERROR(__xludf.DUMMYFUNCTION("""COMPUTED_VALUE"""),"de")</f>
        <v>de</v>
      </c>
      <c r="B8642">
        <f>IFERROR(__xludf.DUMMYFUNCTION("""COMPUTED_VALUE"""),2233408.0)</f>
        <v>2233408</v>
      </c>
      <c r="C8642" t="str">
        <f>IFERROR(__xludf.DUMMYFUNCTION("""COMPUTED_VALUE"""),"Algorithmen und Datenstrukturen mit Python")</f>
        <v>Algorithmen und Datenstrukturen mit Python</v>
      </c>
    </row>
    <row r="8643">
      <c r="A8643" s="140" t="str">
        <f>IFERROR(__xludf.DUMMYFUNCTION("""COMPUTED_VALUE"""),"en")</f>
        <v>en</v>
      </c>
      <c r="B8643">
        <f>IFERROR(__xludf.DUMMYFUNCTION("""COMPUTED_VALUE"""),405440.0)</f>
        <v>405440</v>
      </c>
      <c r="C8643" t="str">
        <f>IFERROR(__xludf.DUMMYFUNCTION("""COMPUTED_VALUE"""),"Leadership: New Manager Training for Technical Professionals")</f>
        <v>Leadership: New Manager Training for Technical Professionals</v>
      </c>
    </row>
    <row r="8644">
      <c r="A8644" s="140" t="str">
        <f>IFERROR(__xludf.DUMMYFUNCTION("""COMPUTED_VALUE"""),"en")</f>
        <v>en</v>
      </c>
      <c r="B8644">
        <f>IFERROR(__xludf.DUMMYFUNCTION("""COMPUTED_VALUE"""),1619484.0)</f>
        <v>1619484</v>
      </c>
      <c r="C8644" t="str">
        <f>IFERROR(__xludf.DUMMYFUNCTION("""COMPUTED_VALUE"""),"Performance Testing using LoadRunner 12.50")</f>
        <v>Performance Testing using LoadRunner 12.50</v>
      </c>
    </row>
    <row r="8645">
      <c r="A8645" s="140" t="str">
        <f>IFERROR(__xludf.DUMMYFUNCTION("""COMPUTED_VALUE"""),"en")</f>
        <v>en</v>
      </c>
      <c r="B8645">
        <f>IFERROR(__xludf.DUMMYFUNCTION("""COMPUTED_VALUE"""),2434376.0)</f>
        <v>2434376</v>
      </c>
      <c r="C8645" t="str">
        <f>IFERROR(__xludf.DUMMYFUNCTION("""COMPUTED_VALUE"""),"CCNP SECURITY - SVPN 300-730 PART 1/3")</f>
        <v>CCNP SECURITY - SVPN 300-730 PART 1/3</v>
      </c>
    </row>
    <row r="8646">
      <c r="A8646" s="140" t="str">
        <f>IFERROR(__xludf.DUMMYFUNCTION("""COMPUTED_VALUE"""),"es")</f>
        <v>es</v>
      </c>
      <c r="B8646">
        <f>IFERROR(__xludf.DUMMYFUNCTION("""COMPUTED_VALUE"""),2525406.0)</f>
        <v>2525406</v>
      </c>
      <c r="C8646" t="str">
        <f>IFERROR(__xludf.DUMMYFUNCTION("""COMPUTED_VALUE"""),"Kali Linux. Seguridad Informática. Pentesting. Hacking. 2021")</f>
        <v>Kali Linux. Seguridad Informática. Pentesting. Hacking. 2021</v>
      </c>
    </row>
    <row r="8647">
      <c r="A8647" s="140" t="str">
        <f>IFERROR(__xludf.DUMMYFUNCTION("""COMPUTED_VALUE"""),"en")</f>
        <v>en</v>
      </c>
      <c r="B8647">
        <f>IFERROR(__xludf.DUMMYFUNCTION("""COMPUTED_VALUE"""),1583482.0)</f>
        <v>1583482</v>
      </c>
      <c r="C8647" t="str">
        <f>IFERROR(__xludf.DUMMYFUNCTION("""COMPUTED_VALUE"""),"Bash Shell Scripting: Crash Course For Beginners")</f>
        <v>Bash Shell Scripting: Crash Course For Beginners</v>
      </c>
    </row>
    <row r="8648">
      <c r="A8648" s="140" t="str">
        <f>IFERROR(__xludf.DUMMYFUNCTION("""COMPUTED_VALUE"""),"en")</f>
        <v>en</v>
      </c>
      <c r="B8648">
        <f>IFERROR(__xludf.DUMMYFUNCTION("""COMPUTED_VALUE"""),1486960.0)</f>
        <v>1486960</v>
      </c>
      <c r="C8648" t="str">
        <f>IFERROR(__xludf.DUMMYFUNCTION("""COMPUTED_VALUE"""),"Docker - Introducing Docker Essentials, Containers, and more")</f>
        <v>Docker - Introducing Docker Essentials, Containers, and more</v>
      </c>
    </row>
    <row r="8649">
      <c r="A8649" s="140" t="str">
        <f>IFERROR(__xludf.DUMMYFUNCTION("""COMPUTED_VALUE"""),"es")</f>
        <v>es</v>
      </c>
      <c r="B8649">
        <f>IFERROR(__xludf.DUMMYFUNCTION("""COMPUTED_VALUE"""),1536640.0)</f>
        <v>1536640</v>
      </c>
      <c r="C8649" t="str">
        <f>IFERROR(__xludf.DUMMYFUNCTION("""COMPUTED_VALUE"""),"[A-Z] Google Tag Manager de básico a especialista de tags")</f>
        <v>[A-Z] Google Tag Manager de básico a especialista de tags</v>
      </c>
    </row>
    <row r="8650">
      <c r="A8650" s="140" t="str">
        <f>IFERROR(__xludf.DUMMYFUNCTION("""COMPUTED_VALUE"""),"en")</f>
        <v>en</v>
      </c>
      <c r="B8650">
        <f>IFERROR(__xludf.DUMMYFUNCTION("""COMPUTED_VALUE"""),4181202.0)</f>
        <v>4181202</v>
      </c>
      <c r="C8650" t="str">
        <f>IFERROR(__xludf.DUMMYFUNCTION("""COMPUTED_VALUE"""),"Jira Essentials | A complete Jira guide for beginners")</f>
        <v>Jira Essentials | A complete Jira guide for beginners</v>
      </c>
    </row>
    <row r="8651">
      <c r="A8651" s="140" t="str">
        <f>IFERROR(__xludf.DUMMYFUNCTION("""COMPUTED_VALUE"""),"pt")</f>
        <v>pt</v>
      </c>
      <c r="B8651">
        <f>IFERROR(__xludf.DUMMYFUNCTION("""COMPUTED_VALUE"""),358456.0)</f>
        <v>358456</v>
      </c>
      <c r="C8651" t="str">
        <f>IFERROR(__xludf.DUMMYFUNCTION("""COMPUTED_VALUE"""),"Ginástica Aeróbica em casa (sem equipamentos)")</f>
        <v>Ginástica Aeróbica em casa (sem equipamentos)</v>
      </c>
    </row>
    <row r="8652">
      <c r="A8652" s="140" t="str">
        <f>IFERROR(__xludf.DUMMYFUNCTION("""COMPUTED_VALUE"""),"en")</f>
        <v>en</v>
      </c>
      <c r="B8652">
        <f>IFERROR(__xludf.DUMMYFUNCTION("""COMPUTED_VALUE"""),3122312.0)</f>
        <v>3122312</v>
      </c>
      <c r="C8652" t="str">
        <f>IFERROR(__xludf.DUMMYFUNCTION("""COMPUTED_VALUE"""),"The Complete Programmatic Advertising Course - 2021")</f>
        <v>The Complete Programmatic Advertising Course - 2021</v>
      </c>
    </row>
    <row r="8653">
      <c r="A8653" s="140" t="str">
        <f>IFERROR(__xludf.DUMMYFUNCTION("""COMPUTED_VALUE"""),"en")</f>
        <v>en</v>
      </c>
      <c r="B8653">
        <f>IFERROR(__xludf.DUMMYFUNCTION("""COMPUTED_VALUE"""),1613230.0)</f>
        <v>1613230</v>
      </c>
      <c r="C8653" t="str">
        <f>IFERROR(__xludf.DUMMYFUNCTION("""COMPUTED_VALUE"""),"Drone Photography | Shoot Professional Photos With Any Drone")</f>
        <v>Drone Photography | Shoot Professional Photos With Any Drone</v>
      </c>
    </row>
    <row r="8654">
      <c r="A8654" s="140" t="str">
        <f>IFERROR(__xludf.DUMMYFUNCTION("""COMPUTED_VALUE"""),"en")</f>
        <v>en</v>
      </c>
      <c r="B8654">
        <f>IFERROR(__xludf.DUMMYFUNCTION("""COMPUTED_VALUE"""),1626048.0)</f>
        <v>1626048</v>
      </c>
      <c r="C8654" t="str">
        <f>IFERROR(__xludf.DUMMYFUNCTION("""COMPUTED_VALUE"""),"Kali Linux Web App Pentesting Labs")</f>
        <v>Kali Linux Web App Pentesting Labs</v>
      </c>
    </row>
    <row r="8655">
      <c r="A8655" s="140" t="str">
        <f>IFERROR(__xludf.DUMMYFUNCTION("""COMPUTED_VALUE"""),"en")</f>
        <v>en</v>
      </c>
      <c r="B8655">
        <f>IFERROR(__xludf.DUMMYFUNCTION("""COMPUTED_VALUE"""),815212.0)</f>
        <v>815212</v>
      </c>
      <c r="C8655" t="str">
        <f>IFERROR(__xludf.DUMMYFUNCTION("""COMPUTED_VALUE"""),"Research Methods For Business Students")</f>
        <v>Research Methods For Business Students</v>
      </c>
    </row>
    <row r="8656">
      <c r="A8656" s="140" t="str">
        <f>IFERROR(__xludf.DUMMYFUNCTION("""COMPUTED_VALUE"""),"en")</f>
        <v>en</v>
      </c>
      <c r="B8656">
        <f>IFERROR(__xludf.DUMMYFUNCTION("""COMPUTED_VALUE"""),2240978.0)</f>
        <v>2240978</v>
      </c>
      <c r="C8656" t="str">
        <f>IFERROR(__xludf.DUMMYFUNCTION("""COMPUTED_VALUE"""),"Disciplined Dreaming: Lead Breakthrough Creativity at Work")</f>
        <v>Disciplined Dreaming: Lead Breakthrough Creativity at Work</v>
      </c>
    </row>
    <row r="8657">
      <c r="A8657" s="140" t="str">
        <f>IFERROR(__xludf.DUMMYFUNCTION("""COMPUTED_VALUE"""),"en")</f>
        <v>en</v>
      </c>
      <c r="B8657">
        <f>IFERROR(__xludf.DUMMYFUNCTION("""COMPUTED_VALUE"""),2676366.0)</f>
        <v>2676366</v>
      </c>
      <c r="C8657" t="str">
        <f>IFERROR(__xludf.DUMMYFUNCTION("""COMPUTED_VALUE"""),"Azure Serverless - Hands on Learning!")</f>
        <v>Azure Serverless - Hands on Learning!</v>
      </c>
    </row>
    <row r="8658">
      <c r="A8658" s="140" t="str">
        <f>IFERROR(__xludf.DUMMYFUNCTION("""COMPUTED_VALUE"""),"en")</f>
        <v>en</v>
      </c>
      <c r="B8658">
        <f>IFERROR(__xludf.DUMMYFUNCTION("""COMPUTED_VALUE"""),2491774.0)</f>
        <v>2491774</v>
      </c>
      <c r="C8658" t="str">
        <f>IFERROR(__xludf.DUMMYFUNCTION("""COMPUTED_VALUE"""),"STAAD Pro: For Complete Beginners [No Experience Required]")</f>
        <v>STAAD Pro: For Complete Beginners [No Experience Required]</v>
      </c>
    </row>
    <row r="8659">
      <c r="A8659" s="140" t="str">
        <f>IFERROR(__xludf.DUMMYFUNCTION("""COMPUTED_VALUE"""),"es")</f>
        <v>es</v>
      </c>
      <c r="B8659">
        <f>IFERROR(__xludf.DUMMYFUNCTION("""COMPUTED_VALUE"""),1426148.0)</f>
        <v>1426148</v>
      </c>
      <c r="C8659" t="str">
        <f>IFERROR(__xludf.DUMMYFUNCTION("""COMPUTED_VALUE"""),"Crea Aplicaciones Java Web. Completísimo y Desde Cero!")</f>
        <v>Crea Aplicaciones Java Web. Completísimo y Desde Cero!</v>
      </c>
    </row>
    <row r="8660">
      <c r="A8660" s="140" t="str">
        <f>IFERROR(__xludf.DUMMYFUNCTION("""COMPUTED_VALUE"""),"es")</f>
        <v>es</v>
      </c>
      <c r="B8660">
        <f>IFERROR(__xludf.DUMMYFUNCTION("""COMPUTED_VALUE"""),2615564.0)</f>
        <v>2615564</v>
      </c>
      <c r="C8660" t="str">
        <f>IFERROR(__xludf.DUMMYFUNCTION("""COMPUTED_VALUE"""),"Moodle para administradores")</f>
        <v>Moodle para administradores</v>
      </c>
    </row>
    <row r="8661">
      <c r="A8661" s="140" t="str">
        <f>IFERROR(__xludf.DUMMYFUNCTION("""COMPUTED_VALUE"""),"de")</f>
        <v>de</v>
      </c>
      <c r="B8661">
        <f>IFERROR(__xludf.DUMMYFUNCTION("""COMPUTED_VALUE"""),2760158.0)</f>
        <v>2760158</v>
      </c>
      <c r="C8661" t="str">
        <f>IFERROR(__xludf.DUMMYFUNCTION("""COMPUTED_VALUE"""),"Kanji Lesen und Schreiben lernen - Einführung")</f>
        <v>Kanji Lesen und Schreiben lernen - Einführung</v>
      </c>
    </row>
    <row r="8662">
      <c r="A8662" s="140" t="str">
        <f>IFERROR(__xludf.DUMMYFUNCTION("""COMPUTED_VALUE"""),"en")</f>
        <v>en</v>
      </c>
      <c r="B8662">
        <f>IFERROR(__xludf.DUMMYFUNCTION("""COMPUTED_VALUE"""),1597698.0)</f>
        <v>1597698</v>
      </c>
      <c r="C8662" t="str">
        <f>IFERROR(__xludf.DUMMYFUNCTION("""COMPUTED_VALUE"""),"Advanced Agile and Scrum (PMI 8 Contact Hours)")</f>
        <v>Advanced Agile and Scrum (PMI 8 Contact Hours)</v>
      </c>
    </row>
    <row r="8663">
      <c r="A8663" s="140" t="str">
        <f>IFERROR(__xludf.DUMMYFUNCTION("""COMPUTED_VALUE"""),"es")</f>
        <v>es</v>
      </c>
      <c r="B8663">
        <f>IFERROR(__xludf.DUMMYFUNCTION("""COMPUTED_VALUE"""),3581573.0)</f>
        <v>3581573</v>
      </c>
      <c r="C8663" t="str">
        <f>IFERROR(__xludf.DUMMYFUNCTION("""COMPUTED_VALUE"""),"Guía de Google Cloud Platform | Laboratorios | Cuestionarios")</f>
        <v>Guía de Google Cloud Platform | Laboratorios | Cuestionarios</v>
      </c>
    </row>
    <row r="8664">
      <c r="A8664" s="140" t="str">
        <f>IFERROR(__xludf.DUMMYFUNCTION("""COMPUTED_VALUE"""),"en")</f>
        <v>en</v>
      </c>
      <c r="B8664">
        <f>IFERROR(__xludf.DUMMYFUNCTION("""COMPUTED_VALUE"""),2648806.0)</f>
        <v>2648806</v>
      </c>
      <c r="C8664" t="str">
        <f>IFERROR(__xludf.DUMMYFUNCTION("""COMPUTED_VALUE"""),"Prometheus Alerting and Monitoring")</f>
        <v>Prometheus Alerting and Monitoring</v>
      </c>
    </row>
    <row r="8665">
      <c r="A8665" s="140" t="str">
        <f>IFERROR(__xludf.DUMMYFUNCTION("""COMPUTED_VALUE"""),"de")</f>
        <v>de</v>
      </c>
      <c r="B8665">
        <f>IFERROR(__xludf.DUMMYFUNCTION("""COMPUTED_VALUE"""),1964458.0)</f>
        <v>1964458</v>
      </c>
      <c r="C8665" t="str">
        <f>IFERROR(__xludf.DUMMYFUNCTION("""COMPUTED_VALUE"""),"Lernen Sie Deutsch: Deutschkurs für Anfänger")</f>
        <v>Lernen Sie Deutsch: Deutschkurs für Anfänger</v>
      </c>
    </row>
    <row r="8666">
      <c r="A8666" s="140" t="str">
        <f>IFERROR(__xludf.DUMMYFUNCTION("""COMPUTED_VALUE"""),"ko")</f>
        <v>ko</v>
      </c>
      <c r="B8666">
        <f>IFERROR(__xludf.DUMMYFUNCTION("""COMPUTED_VALUE"""),1341186.0)</f>
        <v>1341186</v>
      </c>
      <c r="C8666" t="str">
        <f>IFERROR(__xludf.DUMMYFUNCTION("""COMPUTED_VALUE"""),"retr0의 유니티 (Unity C#) 게임 프로그래밍 에센스")</f>
        <v>retr0의 유니티 (Unity C#) 게임 프로그래밍 에센스</v>
      </c>
    </row>
    <row r="8667">
      <c r="A8667" s="140" t="str">
        <f>IFERROR(__xludf.DUMMYFUNCTION("""COMPUTED_VALUE"""),"fr")</f>
        <v>fr</v>
      </c>
      <c r="B8667">
        <f>IFERROR(__xludf.DUMMYFUNCTION("""COMPUTED_VALUE"""),2895174.0)</f>
        <v>2895174</v>
      </c>
      <c r="C8667" t="str">
        <f>IFERROR(__xludf.DUMMYFUNCTION("""COMPUTED_VALUE"""),"Créer une API REST avec Node.js &amp; Express.js")</f>
        <v>Créer une API REST avec Node.js &amp; Express.js</v>
      </c>
    </row>
    <row r="8668">
      <c r="A8668" s="140" t="str">
        <f>IFERROR(__xludf.DUMMYFUNCTION("""COMPUTED_VALUE"""),"de")</f>
        <v>de</v>
      </c>
      <c r="B8668">
        <f>IFERROR(__xludf.DUMMYFUNCTION("""COMPUTED_VALUE"""),1993672.0)</f>
        <v>1993672</v>
      </c>
      <c r="C8668" t="str">
        <f>IFERROR(__xludf.DUMMYFUNCTION("""COMPUTED_VALUE"""),"Public Speaking Masterclass: Präsentieren wie ein TED-Talk!")</f>
        <v>Public Speaking Masterclass: Präsentieren wie ein TED-Talk!</v>
      </c>
    </row>
    <row r="8669">
      <c r="A8669" s="140" t="str">
        <f>IFERROR(__xludf.DUMMYFUNCTION("""COMPUTED_VALUE"""),"pt")</f>
        <v>pt</v>
      </c>
      <c r="B8669">
        <f>IFERROR(__xludf.DUMMYFUNCTION("""COMPUTED_VALUE"""),3110166.0)</f>
        <v>3110166</v>
      </c>
      <c r="C8669" t="str">
        <f>IFERROR(__xludf.DUMMYFUNCTION("""COMPUTED_VALUE"""),"Curso de Edição de Vídeo com Vegas Pro")</f>
        <v>Curso de Edição de Vídeo com Vegas Pro</v>
      </c>
    </row>
    <row r="8670">
      <c r="A8670" s="140" t="str">
        <f>IFERROR(__xludf.DUMMYFUNCTION("""COMPUTED_VALUE"""),"en")</f>
        <v>en</v>
      </c>
      <c r="B8670">
        <f>IFERROR(__xludf.DUMMYFUNCTION("""COMPUTED_VALUE"""),2530102.0)</f>
        <v>2530102</v>
      </c>
      <c r="C8670" t="str">
        <f>IFERROR(__xludf.DUMMYFUNCTION("""COMPUTED_VALUE"""),"Account Based Marketing (ABM) 2021 - B2B Marketing Strategy")</f>
        <v>Account Based Marketing (ABM) 2021 - B2B Marketing Strategy</v>
      </c>
    </row>
    <row r="8671">
      <c r="A8671" s="140" t="str">
        <f>IFERROR(__xludf.DUMMYFUNCTION("""COMPUTED_VALUE"""),"de")</f>
        <v>de</v>
      </c>
      <c r="B8671">
        <f>IFERROR(__xludf.DUMMYFUNCTION("""COMPUTED_VALUE"""),1881192.0)</f>
        <v>1881192</v>
      </c>
      <c r="C8671" t="str">
        <f>IFERROR(__xludf.DUMMYFUNCTION("""COMPUTED_VALUE"""),"Exzellenter Kundenservice - Begeistern Sie Ihre Kunden!")</f>
        <v>Exzellenter Kundenservice - Begeistern Sie Ihre Kunden!</v>
      </c>
    </row>
    <row r="8672">
      <c r="A8672" s="140" t="str">
        <f>IFERROR(__xludf.DUMMYFUNCTION("""COMPUTED_VALUE"""),"en")</f>
        <v>en</v>
      </c>
      <c r="B8672">
        <f>IFERROR(__xludf.DUMMYFUNCTION("""COMPUTED_VALUE"""),95246.0)</f>
        <v>95246</v>
      </c>
      <c r="C8672" t="str">
        <f>IFERROR(__xludf.DUMMYFUNCTION("""COMPUTED_VALUE"""),"Linux Command Line Basics")</f>
        <v>Linux Command Line Basics</v>
      </c>
    </row>
    <row r="8673">
      <c r="A8673" s="140" t="str">
        <f>IFERROR(__xludf.DUMMYFUNCTION("""COMPUTED_VALUE"""),"pt")</f>
        <v>pt</v>
      </c>
      <c r="B8673">
        <f>IFERROR(__xludf.DUMMYFUNCTION("""COMPUTED_VALUE"""),1694544.0)</f>
        <v>1694544</v>
      </c>
      <c r="C8673" t="str">
        <f>IFERROR(__xludf.DUMMYFUNCTION("""COMPUTED_VALUE"""),"Inbound Marketing: Conquiste Muitos Clientes Pela Internet")</f>
        <v>Inbound Marketing: Conquiste Muitos Clientes Pela Internet</v>
      </c>
    </row>
    <row r="8674">
      <c r="A8674" s="140" t="str">
        <f>IFERROR(__xludf.DUMMYFUNCTION("""COMPUTED_VALUE"""),"pt")</f>
        <v>pt</v>
      </c>
      <c r="B8674">
        <f>IFERROR(__xludf.DUMMYFUNCTION("""COMPUTED_VALUE"""),2073136.0)</f>
        <v>2073136</v>
      </c>
      <c r="C8674" t="str">
        <f>IFERROR(__xludf.DUMMYFUNCTION("""COMPUTED_VALUE"""),"Motion Graphics com Cinema 4D")</f>
        <v>Motion Graphics com Cinema 4D</v>
      </c>
    </row>
    <row r="8675">
      <c r="A8675" s="140" t="str">
        <f>IFERROR(__xludf.DUMMYFUNCTION("""COMPUTED_VALUE"""),"en")</f>
        <v>en</v>
      </c>
      <c r="B8675">
        <f>IFERROR(__xludf.DUMMYFUNCTION("""COMPUTED_VALUE"""),2209466.0)</f>
        <v>2209466</v>
      </c>
      <c r="C8675" t="str">
        <f>IFERROR(__xludf.DUMMYFUNCTION("""COMPUTED_VALUE"""),"Snowflake Masterclass[stored proc+demos+Best practices+Labs]")</f>
        <v>Snowflake Masterclass[stored proc+demos+Best practices+Labs]</v>
      </c>
    </row>
    <row r="8676">
      <c r="A8676" s="140" t="str">
        <f>IFERROR(__xludf.DUMMYFUNCTION("""COMPUTED_VALUE"""),"tr")</f>
        <v>tr</v>
      </c>
      <c r="B8676">
        <f>IFERROR(__xludf.DUMMYFUNCTION("""COMPUTED_VALUE"""),3366564.0)</f>
        <v>3366564</v>
      </c>
      <c r="C8676" t="str">
        <f>IFERROR(__xludf.DUMMYFUNCTION("""COMPUTED_VALUE"""),"Sıfırdan Uygulamalı React Geliştirme: Hooks,Redux &amp; Firebase")</f>
        <v>Sıfırdan Uygulamalı React Geliştirme: Hooks,Redux &amp; Firebase</v>
      </c>
    </row>
    <row r="8677">
      <c r="A8677" s="140" t="str">
        <f>IFERROR(__xludf.DUMMYFUNCTION("""COMPUTED_VALUE"""),"es")</f>
        <v>es</v>
      </c>
      <c r="B8677">
        <f>IFERROR(__xludf.DUMMYFUNCTION("""COMPUTED_VALUE"""),4088866.0)</f>
        <v>4088866</v>
      </c>
      <c r="C8677" t="str">
        <f>IFERROR(__xludf.DUMMYFUNCTION("""COMPUTED_VALUE"""),"Smart Contracts y Blockchain con Solidity de la A a la Z")</f>
        <v>Smart Contracts y Blockchain con Solidity de la A a la Z</v>
      </c>
    </row>
    <row r="8678">
      <c r="A8678" s="140" t="str">
        <f>IFERROR(__xludf.DUMMYFUNCTION("""COMPUTED_VALUE"""),"es")</f>
        <v>es</v>
      </c>
      <c r="B8678">
        <f>IFERROR(__xludf.DUMMYFUNCTION("""COMPUTED_VALUE"""),1504576.0)</f>
        <v>1504576</v>
      </c>
      <c r="C8678" t="str">
        <f>IFERROR(__xludf.DUMMYFUNCTION("""COMPUTED_VALUE"""),"Desarrollo web en PHP con Laravel 5.6, VueJS y MariaDB Mysql")</f>
        <v>Desarrollo web en PHP con Laravel 5.6, VueJS y MariaDB Mysql</v>
      </c>
    </row>
    <row r="8679">
      <c r="A8679" s="140" t="str">
        <f>IFERROR(__xludf.DUMMYFUNCTION("""COMPUTED_VALUE"""),"en")</f>
        <v>en</v>
      </c>
      <c r="B8679">
        <f>IFERROR(__xludf.DUMMYFUNCTION("""COMPUTED_VALUE"""),757450.0)</f>
        <v>757450</v>
      </c>
      <c r="C8679" t="str">
        <f>IFERROR(__xludf.DUMMYFUNCTION("""COMPUTED_VALUE"""),"Bulletproof Personal Finance: Expert Asset Allocation")</f>
        <v>Bulletproof Personal Finance: Expert Asset Allocation</v>
      </c>
    </row>
    <row r="8680">
      <c r="A8680" s="140" t="str">
        <f>IFERROR(__xludf.DUMMYFUNCTION("""COMPUTED_VALUE"""),"es")</f>
        <v>es</v>
      </c>
      <c r="B8680">
        <f>IFERROR(__xludf.DUMMYFUNCTION("""COMPUTED_VALUE"""),796764.0)</f>
        <v>796764</v>
      </c>
      <c r="C8680" t="str">
        <f>IFERROR(__xludf.DUMMYFUNCTION("""COMPUTED_VALUE"""),"Inglés de Negocios: Vocabulario y Expresiones Esenciales")</f>
        <v>Inglés de Negocios: Vocabulario y Expresiones Esenciales</v>
      </c>
    </row>
    <row r="8681">
      <c r="A8681" s="140" t="str">
        <f>IFERROR(__xludf.DUMMYFUNCTION("""COMPUTED_VALUE"""),"en")</f>
        <v>en</v>
      </c>
      <c r="B8681">
        <f>IFERROR(__xludf.DUMMYFUNCTION("""COMPUTED_VALUE"""),2904799.0)</f>
        <v>2904799</v>
      </c>
      <c r="C8681" t="str">
        <f>IFERROR(__xludf.DUMMYFUNCTION("""COMPUTED_VALUE"""),"CCNP ENTERPRISE -ENCOR -350-401 PART3/5")</f>
        <v>CCNP ENTERPRISE -ENCOR -350-401 PART3/5</v>
      </c>
    </row>
    <row r="8682">
      <c r="A8682" s="140" t="str">
        <f>IFERROR(__xludf.DUMMYFUNCTION("""COMPUTED_VALUE"""),"en")</f>
        <v>en</v>
      </c>
      <c r="B8682">
        <f>IFERROR(__xludf.DUMMYFUNCTION("""COMPUTED_VALUE"""),1569552.0)</f>
        <v>1569552</v>
      </c>
      <c r="C8682" t="str">
        <f>IFERROR(__xludf.DUMMYFUNCTION("""COMPUTED_VALUE"""),"Hands-On ZYNQ: Mastering AXI4 Bus Protocol")</f>
        <v>Hands-On ZYNQ: Mastering AXI4 Bus Protocol</v>
      </c>
    </row>
    <row r="8683">
      <c r="A8683" s="140" t="str">
        <f>IFERROR(__xludf.DUMMYFUNCTION("""COMPUTED_VALUE"""),"fr")</f>
        <v>fr</v>
      </c>
      <c r="B8683">
        <f>IFERROR(__xludf.DUMMYFUNCTION("""COMPUTED_VALUE"""),2559100.0)</f>
        <v>2559100</v>
      </c>
      <c r="C8683" t="str">
        <f>IFERROR(__xludf.DUMMYFUNCTION("""COMPUTED_VALUE"""),"JavaScript : la formation ULTIME")</f>
        <v>JavaScript : la formation ULTIME</v>
      </c>
    </row>
    <row r="8684">
      <c r="A8684" s="140" t="str">
        <f>IFERROR(__xludf.DUMMYFUNCTION("""COMPUTED_VALUE"""),"ko")</f>
        <v>ko</v>
      </c>
      <c r="B8684">
        <f>IFERROR(__xludf.DUMMYFUNCTION("""COMPUTED_VALUE"""),1426612.0)</f>
        <v>1426612</v>
      </c>
      <c r="C8684" t="str">
        <f>IFERROR(__xludf.DUMMYFUNCTION("""COMPUTED_VALUE"""),"언리얼 엔진4(Unreal Engine) 3D 횡스크롤 게임 만들기")</f>
        <v>언리얼 엔진4(Unreal Engine) 3D 횡스크롤 게임 만들기</v>
      </c>
    </row>
    <row r="8685">
      <c r="A8685" s="140" t="str">
        <f>IFERROR(__xludf.DUMMYFUNCTION("""COMPUTED_VALUE"""),"en")</f>
        <v>en</v>
      </c>
      <c r="B8685">
        <f>IFERROR(__xludf.DUMMYFUNCTION("""COMPUTED_VALUE"""),1392824.0)</f>
        <v>1392824</v>
      </c>
      <c r="C8685" t="str">
        <f>IFERROR(__xludf.DUMMYFUNCTION("""COMPUTED_VALUE"""),"Inclusive Leadership: Working with Equality and Diversity")</f>
        <v>Inclusive Leadership: Working with Equality and Diversity</v>
      </c>
    </row>
    <row r="8686">
      <c r="A8686" s="140" t="str">
        <f>IFERROR(__xludf.DUMMYFUNCTION("""COMPUTED_VALUE"""),"es")</f>
        <v>es</v>
      </c>
      <c r="B8686">
        <f>IFERROR(__xludf.DUMMYFUNCTION("""COMPUTED_VALUE"""),2588072.0)</f>
        <v>2588072</v>
      </c>
      <c r="C8686" t="str">
        <f>IFERROR(__xludf.DUMMYFUNCTION("""COMPUTED_VALUE"""),"Microsoft Excel - Análisis de Datos con Tablas Dinámicas")</f>
        <v>Microsoft Excel - Análisis de Datos con Tablas Dinámicas</v>
      </c>
    </row>
    <row r="8687">
      <c r="A8687" s="140" t="str">
        <f>IFERROR(__xludf.DUMMYFUNCTION("""COMPUTED_VALUE"""),"es")</f>
        <v>es</v>
      </c>
      <c r="B8687">
        <f>IFERROR(__xludf.DUMMYFUNCTION("""COMPUTED_VALUE"""),1893356.0)</f>
        <v>1893356</v>
      </c>
      <c r="C8687" t="str">
        <f>IFERROR(__xludf.DUMMYFUNCTION("""COMPUTED_VALUE"""),"[2021] SCRUM Práctico en Proyectos de Software")</f>
        <v>[2021] SCRUM Práctico en Proyectos de Software</v>
      </c>
    </row>
    <row r="8688">
      <c r="A8688" s="140" t="str">
        <f>IFERROR(__xludf.DUMMYFUNCTION("""COMPUTED_VALUE"""),"ja")</f>
        <v>ja</v>
      </c>
      <c r="B8688">
        <f>IFERROR(__xludf.DUMMYFUNCTION("""COMPUTED_VALUE"""),3826742.0)</f>
        <v>3826742</v>
      </c>
      <c r="C8688" t="str">
        <f>IFERROR(__xludf.DUMMYFUNCTION("""COMPUTED_VALUE"""),"【世界で1万人が受講！】職場での仕事を成功させるための“目標設定”")</f>
        <v>【世界で1万人が受講！】職場での仕事を成功させるための“目標設定”</v>
      </c>
    </row>
    <row r="8689">
      <c r="A8689" s="140" t="str">
        <f>IFERROR(__xludf.DUMMYFUNCTION("""COMPUTED_VALUE"""),"tr")</f>
        <v>tr</v>
      </c>
      <c r="B8689">
        <f>IFERROR(__xludf.DUMMYFUNCTION("""COMPUTED_VALUE"""),3645474.0)</f>
        <v>3645474</v>
      </c>
      <c r="C8689" t="str">
        <f>IFERROR(__xludf.DUMMYFUNCTION("""COMPUTED_VALUE"""),"Yapay Zekalı CorelDraw 2020 ile Grafikerliğe Doğru")</f>
        <v>Yapay Zekalı CorelDraw 2020 ile Grafikerliğe Doğru</v>
      </c>
    </row>
    <row r="8690">
      <c r="A8690" s="140" t="str">
        <f>IFERROR(__xludf.DUMMYFUNCTION("""COMPUTED_VALUE"""),"en")</f>
        <v>en</v>
      </c>
      <c r="B8690">
        <f>IFERROR(__xludf.DUMMYFUNCTION("""COMPUTED_VALUE"""),2851148.0)</f>
        <v>2851148</v>
      </c>
      <c r="C8690" t="str">
        <f>IFERROR(__xludf.DUMMYFUNCTION("""COMPUTED_VALUE"""),"Creating A Chip-8 Emulator In C")</f>
        <v>Creating A Chip-8 Emulator In C</v>
      </c>
    </row>
    <row r="8691">
      <c r="A8691" s="140" t="str">
        <f>IFERROR(__xludf.DUMMYFUNCTION("""COMPUTED_VALUE"""),"en")</f>
        <v>en</v>
      </c>
      <c r="B8691">
        <f>IFERROR(__xludf.DUMMYFUNCTION("""COMPUTED_VALUE"""),416548.0)</f>
        <v>416548</v>
      </c>
      <c r="C8691" t="str">
        <f>IFERROR(__xludf.DUMMYFUNCTION("""COMPUTED_VALUE"""),"Logo Design Masterclass: Learn Logo Design and Illustrator")</f>
        <v>Logo Design Masterclass: Learn Logo Design and Illustrator</v>
      </c>
    </row>
    <row r="8692">
      <c r="A8692" s="140" t="str">
        <f>IFERROR(__xludf.DUMMYFUNCTION("""COMPUTED_VALUE"""),"en")</f>
        <v>en</v>
      </c>
      <c r="B8692">
        <f>IFERROR(__xludf.DUMMYFUNCTION("""COMPUTED_VALUE"""),2586430.0)</f>
        <v>2586430</v>
      </c>
      <c r="C8692" t="str">
        <f>IFERROR(__xludf.DUMMYFUNCTION("""COMPUTED_VALUE"""),"Job oriented - Practical Software QA Testing")</f>
        <v>Job oriented - Practical Software QA Testing</v>
      </c>
    </row>
    <row r="8693">
      <c r="A8693" s="140" t="str">
        <f>IFERROR(__xludf.DUMMYFUNCTION("""COMPUTED_VALUE"""),"en")</f>
        <v>en</v>
      </c>
      <c r="B8693">
        <f>IFERROR(__xludf.DUMMYFUNCTION("""COMPUTED_VALUE"""),3495118.0)</f>
        <v>3495118</v>
      </c>
      <c r="C8693" t="str">
        <f>IFERROR(__xludf.DUMMYFUNCTION("""COMPUTED_VALUE"""),"MS-100 Microsoft 365 Identity and Services Course with Sims")</f>
        <v>MS-100 Microsoft 365 Identity and Services Course with Sims</v>
      </c>
    </row>
    <row r="8694">
      <c r="A8694" s="140" t="str">
        <f>IFERROR(__xludf.DUMMYFUNCTION("""COMPUTED_VALUE"""),"en")</f>
        <v>en</v>
      </c>
      <c r="B8694">
        <f>IFERROR(__xludf.DUMMYFUNCTION("""COMPUTED_VALUE"""),1119356.0)</f>
        <v>1119356</v>
      </c>
      <c r="C8694" t="str">
        <f>IFERROR(__xludf.DUMMYFUNCTION("""COMPUTED_VALUE"""),"Emotional Intelligence: Master Anxiety, Fear, &amp; Emotions")</f>
        <v>Emotional Intelligence: Master Anxiety, Fear, &amp; Emotions</v>
      </c>
    </row>
    <row r="8695">
      <c r="A8695" s="140" t="str">
        <f>IFERROR(__xludf.DUMMYFUNCTION("""COMPUTED_VALUE"""),"en")</f>
        <v>en</v>
      </c>
      <c r="B8695">
        <f>IFERROR(__xludf.DUMMYFUNCTION("""COMPUTED_VALUE"""),1514914.0)</f>
        <v>1514914</v>
      </c>
      <c r="C8695" t="str">
        <f>IFERROR(__xludf.DUMMYFUNCTION("""COMPUTED_VALUE"""),"Executive Assistants: Managing Client's Calendar (Beginners)")</f>
        <v>Executive Assistants: Managing Client's Calendar (Beginners)</v>
      </c>
    </row>
    <row r="8696">
      <c r="A8696" s="140" t="str">
        <f>IFERROR(__xludf.DUMMYFUNCTION("""COMPUTED_VALUE"""),"es")</f>
        <v>es</v>
      </c>
      <c r="B8696">
        <f>IFERROR(__xludf.DUMMYFUNCTION("""COMPUTED_VALUE"""),2455156.0)</f>
        <v>2455156</v>
      </c>
      <c r="C8696" t="str">
        <f>IFERROR(__xludf.DUMMYFUNCTION("""COMPUTED_VALUE"""),"Xamarin Forms: Aprende los Conceptos de MVVM")</f>
        <v>Xamarin Forms: Aprende los Conceptos de MVVM</v>
      </c>
    </row>
    <row r="8697">
      <c r="A8697" s="140" t="str">
        <f>IFERROR(__xludf.DUMMYFUNCTION("""COMPUTED_VALUE"""),"en")</f>
        <v>en</v>
      </c>
      <c r="B8697">
        <f>IFERROR(__xludf.DUMMYFUNCTION("""COMPUTED_VALUE"""),1518026.0)</f>
        <v>1518026</v>
      </c>
      <c r="C8697" t="str">
        <f>IFERROR(__xludf.DUMMYFUNCTION("""COMPUTED_VALUE"""),"Javascript Tutorial and Projects Course")</f>
        <v>Javascript Tutorial and Projects Course</v>
      </c>
    </row>
    <row r="8698">
      <c r="A8698" s="140" t="str">
        <f>IFERROR(__xludf.DUMMYFUNCTION("""COMPUTED_VALUE"""),"pt")</f>
        <v>pt</v>
      </c>
      <c r="B8698">
        <f>IFERROR(__xludf.DUMMYFUNCTION("""COMPUTED_VALUE"""),2024958.0)</f>
        <v>2024958</v>
      </c>
      <c r="C8698" t="str">
        <f>IFERROR(__xludf.DUMMYFUNCTION("""COMPUTED_VALUE"""),"Bootcamp: Microserviços, Docker, Kubernetes, Jenkins e Helm")</f>
        <v>Bootcamp: Microserviços, Docker, Kubernetes, Jenkins e Helm</v>
      </c>
    </row>
    <row r="8699">
      <c r="A8699" s="140" t="str">
        <f>IFERROR(__xludf.DUMMYFUNCTION("""COMPUTED_VALUE"""),"en")</f>
        <v>en</v>
      </c>
      <c r="B8699">
        <f>IFERROR(__xludf.DUMMYFUNCTION("""COMPUTED_VALUE"""),671052.0)</f>
        <v>671052</v>
      </c>
      <c r="C8699" t="str">
        <f>IFERROR(__xludf.DUMMYFUNCTION("""COMPUTED_VALUE"""),"Leadership Skills Training: Become an Inspiring Leader!")</f>
        <v>Leadership Skills Training: Become an Inspiring Leader!</v>
      </c>
    </row>
    <row r="8700">
      <c r="A8700" s="140" t="str">
        <f>IFERROR(__xludf.DUMMYFUNCTION("""COMPUTED_VALUE"""),"en")</f>
        <v>en</v>
      </c>
      <c r="B8700">
        <f>IFERROR(__xludf.DUMMYFUNCTION("""COMPUTED_VALUE"""),1473344.0)</f>
        <v>1473344</v>
      </c>
      <c r="C8700" t="str">
        <f>IFERROR(__xludf.DUMMYFUNCTION("""COMPUTED_VALUE"""),"CISSP Easy/Mid practice questions: Domain 7 &amp; 8 - 2022")</f>
        <v>CISSP Easy/Mid practice questions: Domain 7 &amp; 8 - 2022</v>
      </c>
    </row>
    <row r="8701">
      <c r="A8701" s="140" t="str">
        <f>IFERROR(__xludf.DUMMYFUNCTION("""COMPUTED_VALUE"""),"es")</f>
        <v>es</v>
      </c>
      <c r="B8701">
        <f>IFERROR(__xludf.DUMMYFUNCTION("""COMPUTED_VALUE"""),1692790.0)</f>
        <v>1692790</v>
      </c>
      <c r="C8701" t="str">
        <f>IFERROR(__xludf.DUMMYFUNCTION("""COMPUTED_VALUE"""),"Android Completo con Kotlin: Aprende creando apps")</f>
        <v>Android Completo con Kotlin: Aprende creando apps</v>
      </c>
    </row>
    <row r="8702">
      <c r="A8702" s="140" t="str">
        <f>IFERROR(__xludf.DUMMYFUNCTION("""COMPUTED_VALUE"""),"en")</f>
        <v>en</v>
      </c>
      <c r="B8702">
        <f>IFERROR(__xludf.DUMMYFUNCTION("""COMPUTED_VALUE"""),2337614.0)</f>
        <v>2337614</v>
      </c>
      <c r="C8702" t="str">
        <f>IFERROR(__xludf.DUMMYFUNCTION("""COMPUTED_VALUE"""),"Use Laravel to Consume APIs and Services Over HTTP")</f>
        <v>Use Laravel to Consume APIs and Services Over HTTP</v>
      </c>
    </row>
    <row r="8703">
      <c r="A8703" s="140" t="str">
        <f>IFERROR(__xludf.DUMMYFUNCTION("""COMPUTED_VALUE"""),"pt")</f>
        <v>pt</v>
      </c>
      <c r="B8703">
        <f>IFERROR(__xludf.DUMMYFUNCTION("""COMPUTED_VALUE"""),1639760.0)</f>
        <v>1639760</v>
      </c>
      <c r="C8703" t="str">
        <f>IFERROR(__xludf.DUMMYFUNCTION("""COMPUTED_VALUE"""),"Curso WordPress Completo - 4 cursos COMPLETOS.")</f>
        <v>Curso WordPress Completo - 4 cursos COMPLETOS.</v>
      </c>
    </row>
    <row r="8704">
      <c r="A8704" s="140" t="str">
        <f>IFERROR(__xludf.DUMMYFUNCTION("""COMPUTED_VALUE"""),"en")</f>
        <v>en</v>
      </c>
      <c r="B8704">
        <f>IFERROR(__xludf.DUMMYFUNCTION("""COMPUTED_VALUE"""),2052309.0)</f>
        <v>2052309</v>
      </c>
      <c r="C8704" t="str">
        <f>IFERROR(__xludf.DUMMYFUNCTION("""COMPUTED_VALUE"""),"Clear and Simple VMware vSphere 6.7 Professional VCP-DCV")</f>
        <v>Clear and Simple VMware vSphere 6.7 Professional VCP-DCV</v>
      </c>
    </row>
    <row r="8705">
      <c r="A8705" s="140" t="str">
        <f>IFERROR(__xludf.DUMMYFUNCTION("""COMPUTED_VALUE"""),"pt")</f>
        <v>pt</v>
      </c>
      <c r="B8705">
        <f>IFERROR(__xludf.DUMMYFUNCTION("""COMPUTED_VALUE"""),865650.0)</f>
        <v>865650</v>
      </c>
      <c r="C8705" t="str">
        <f>IFERROR(__xludf.DUMMYFUNCTION("""COMPUTED_VALUE"""),"Curso Completo de Design de Interface")</f>
        <v>Curso Completo de Design de Interface</v>
      </c>
    </row>
    <row r="8706">
      <c r="A8706" s="140" t="str">
        <f>IFERROR(__xludf.DUMMYFUNCTION("""COMPUTED_VALUE"""),"en")</f>
        <v>en</v>
      </c>
      <c r="B8706">
        <f>IFERROR(__xludf.DUMMYFUNCTION("""COMPUTED_VALUE"""),3437374.0)</f>
        <v>3437374</v>
      </c>
      <c r="C8706" t="str">
        <f>IFERROR(__xludf.DUMMYFUNCTION("""COMPUTED_VALUE"""),"ServiceNow Professional Suite Certification Path: All Micros")</f>
        <v>ServiceNow Professional Suite Certification Path: All Micros</v>
      </c>
    </row>
    <row r="8707">
      <c r="A8707" s="140" t="str">
        <f>IFERROR(__xludf.DUMMYFUNCTION("""COMPUTED_VALUE"""),"en")</f>
        <v>en</v>
      </c>
      <c r="B8707">
        <f>IFERROR(__xludf.DUMMYFUNCTION("""COMPUTED_VALUE"""),4001218.0)</f>
        <v>4001218</v>
      </c>
      <c r="C8707" t="str">
        <f>IFERROR(__xludf.DUMMYFUNCTION("""COMPUTED_VALUE"""),"Learn Go for Beginners Crash Course (Golang)")</f>
        <v>Learn Go for Beginners Crash Course (Golang)</v>
      </c>
    </row>
    <row r="8708">
      <c r="A8708" s="140" t="str">
        <f>IFERROR(__xludf.DUMMYFUNCTION("""COMPUTED_VALUE"""),"ja")</f>
        <v>ja</v>
      </c>
      <c r="B8708">
        <f>IFERROR(__xludf.DUMMYFUNCTION("""COMPUTED_VALUE"""),1553822.0)</f>
        <v>1553822</v>
      </c>
      <c r="C8708" t="str">
        <f>IFERROR(__xludf.DUMMYFUNCTION("""COMPUTED_VALUE"""),"【資格予備校講師が解説】スキマ時間で！ビジュアル簿記２級【工業簿記編】")</f>
        <v>【資格予備校講師が解説】スキマ時間で！ビジュアル簿記２級【工業簿記編】</v>
      </c>
    </row>
    <row r="8709">
      <c r="A8709" s="140" t="str">
        <f>IFERROR(__xludf.DUMMYFUNCTION("""COMPUTED_VALUE"""),"en")</f>
        <v>en</v>
      </c>
      <c r="B8709">
        <f>IFERROR(__xludf.DUMMYFUNCTION("""COMPUTED_VALUE"""),3211545.0)</f>
        <v>3211545</v>
      </c>
      <c r="C8709" t="str">
        <f>IFERROR(__xludf.DUMMYFUNCTION("""COMPUTED_VALUE"""),"Reverse Engineering 1: x64dbg Debugger for Beginners")</f>
        <v>Reverse Engineering 1: x64dbg Debugger for Beginners</v>
      </c>
    </row>
    <row r="8710">
      <c r="A8710" s="140" t="str">
        <f>IFERROR(__xludf.DUMMYFUNCTION("""COMPUTED_VALUE"""),"es")</f>
        <v>es</v>
      </c>
      <c r="B8710">
        <f>IFERROR(__xludf.DUMMYFUNCTION("""COMPUTED_VALUE"""),2021914.0)</f>
        <v>2021914</v>
      </c>
      <c r="C8710" t="str">
        <f>IFERROR(__xludf.DUMMYFUNCTION("""COMPUTED_VALUE"""),"Diseña tu e-book profesionalmente para Amazon Kindle")</f>
        <v>Diseña tu e-book profesionalmente para Amazon Kindle</v>
      </c>
    </row>
    <row r="8711">
      <c r="A8711" s="140" t="str">
        <f>IFERROR(__xludf.DUMMYFUNCTION("""COMPUTED_VALUE"""),"en")</f>
        <v>en</v>
      </c>
      <c r="B8711">
        <f>IFERROR(__xludf.DUMMYFUNCTION("""COMPUTED_VALUE"""),1951248.0)</f>
        <v>1951248</v>
      </c>
      <c r="C8711" t="str">
        <f>IFERROR(__xludf.DUMMYFUNCTION("""COMPUTED_VALUE"""),"Complete Introduction to Excel Power Pivot")</f>
        <v>Complete Introduction to Excel Power Pivot</v>
      </c>
    </row>
    <row r="8712">
      <c r="A8712" s="140" t="str">
        <f>IFERROR(__xludf.DUMMYFUNCTION("""COMPUTED_VALUE"""),"de")</f>
        <v>de</v>
      </c>
      <c r="B8712">
        <f>IFERROR(__xludf.DUMMYFUNCTION("""COMPUTED_VALUE"""),2494450.0)</f>
        <v>2494450</v>
      </c>
      <c r="C8712" t="str">
        <f>IFERROR(__xludf.DUMMYFUNCTION("""COMPUTED_VALUE"""),"Lerne Flutter &amp; Dart und erstelle native iOS &amp; Android Apps")</f>
        <v>Lerne Flutter &amp; Dart und erstelle native iOS &amp; Android Apps</v>
      </c>
    </row>
    <row r="8713">
      <c r="A8713" s="140" t="str">
        <f>IFERROR(__xludf.DUMMYFUNCTION("""COMPUTED_VALUE"""),"ja")</f>
        <v>ja</v>
      </c>
      <c r="B8713">
        <f>IFERROR(__xludf.DUMMYFUNCTION("""COMPUTED_VALUE"""),2862014.0)</f>
        <v>2862014</v>
      </c>
      <c r="C8713" t="str">
        <f>IFERROR(__xludf.DUMMYFUNCTION("""COMPUTED_VALUE"""),"【2日で学べる】専門用語を使わない「AI/人工知能」ビジネス活用講座")</f>
        <v>【2日で学べる】専門用語を使わない「AI/人工知能」ビジネス活用講座</v>
      </c>
    </row>
    <row r="8714">
      <c r="A8714" s="140" t="str">
        <f>IFERROR(__xludf.DUMMYFUNCTION("""COMPUTED_VALUE"""),"en")</f>
        <v>en</v>
      </c>
      <c r="B8714">
        <f>IFERROR(__xludf.DUMMYFUNCTION("""COMPUTED_VALUE"""),2869382.0)</f>
        <v>2869382</v>
      </c>
      <c r="C8714" t="str">
        <f>IFERROR(__xludf.DUMMYFUNCTION("""COMPUTED_VALUE"""),"OKR: Methodology and Application")</f>
        <v>OKR: Methodology and Application</v>
      </c>
    </row>
    <row r="8715">
      <c r="A8715" s="140" t="str">
        <f>IFERROR(__xludf.DUMMYFUNCTION("""COMPUTED_VALUE"""),"en")</f>
        <v>en</v>
      </c>
      <c r="B8715">
        <f>IFERROR(__xludf.DUMMYFUNCTION("""COMPUTED_VALUE"""),1115984.0)</f>
        <v>1115984</v>
      </c>
      <c r="C8715" t="str">
        <f>IFERROR(__xludf.DUMMYFUNCTION("""COMPUTED_VALUE"""),"Learning Cisco Unified Computing System - UCS")</f>
        <v>Learning Cisco Unified Computing System - UCS</v>
      </c>
    </row>
    <row r="8716">
      <c r="A8716" s="140" t="str">
        <f>IFERROR(__xludf.DUMMYFUNCTION("""COMPUTED_VALUE"""),"en")</f>
        <v>en</v>
      </c>
      <c r="B8716">
        <f>IFERROR(__xludf.DUMMYFUNCTION("""COMPUTED_VALUE"""),936690.0)</f>
        <v>936690</v>
      </c>
      <c r="C8716" t="str">
        <f>IFERROR(__xludf.DUMMYFUNCTION("""COMPUTED_VALUE"""),"Information Architecture (IA) Fundamentals")</f>
        <v>Information Architecture (IA) Fundamentals</v>
      </c>
    </row>
    <row r="8717">
      <c r="A8717" s="140" t="str">
        <f>IFERROR(__xludf.DUMMYFUNCTION("""COMPUTED_VALUE"""),"en")</f>
        <v>en</v>
      </c>
      <c r="B8717">
        <f>IFERROR(__xludf.DUMMYFUNCTION("""COMPUTED_VALUE"""),1614076.0)</f>
        <v>1614076</v>
      </c>
      <c r="C8717" t="str">
        <f>IFERROR(__xludf.DUMMYFUNCTION("""COMPUTED_VALUE"""),"Cisco CCENT Packet Tracer Ultimate labs: ICND1 Exam prep lab")</f>
        <v>Cisco CCENT Packet Tracer Ultimate labs: ICND1 Exam prep lab</v>
      </c>
    </row>
    <row r="8718">
      <c r="A8718" s="140" t="str">
        <f>IFERROR(__xludf.DUMMYFUNCTION("""COMPUTED_VALUE"""),"de")</f>
        <v>de</v>
      </c>
      <c r="B8718">
        <f>IFERROR(__xludf.DUMMYFUNCTION("""COMPUTED_VALUE"""),2309504.0)</f>
        <v>2309504</v>
      </c>
      <c r="C8718" t="str">
        <f>IFERROR(__xludf.DUMMYFUNCTION("""COMPUTED_VALUE"""),"EPLAN P8 - Der Fortgeschrittenen Kurs (2021)")</f>
        <v>EPLAN P8 - Der Fortgeschrittenen Kurs (2021)</v>
      </c>
    </row>
    <row r="8719">
      <c r="A8719" s="140" t="str">
        <f>IFERROR(__xludf.DUMMYFUNCTION("""COMPUTED_VALUE"""),"en")</f>
        <v>en</v>
      </c>
      <c r="B8719">
        <f>IFERROR(__xludf.DUMMYFUNCTION("""COMPUTED_VALUE"""),185678.0)</f>
        <v>185678</v>
      </c>
      <c r="C8719" t="str">
        <f>IFERROR(__xludf.DUMMYFUNCTION("""COMPUTED_VALUE"""),"Learn C#.Net Core With Real World Examples")</f>
        <v>Learn C#.Net Core With Real World Examples</v>
      </c>
    </row>
    <row r="8720">
      <c r="A8720" s="140" t="str">
        <f>IFERROR(__xludf.DUMMYFUNCTION("""COMPUTED_VALUE"""),"en")</f>
        <v>en</v>
      </c>
      <c r="B8720">
        <f>IFERROR(__xludf.DUMMYFUNCTION("""COMPUTED_VALUE"""),1241254.0)</f>
        <v>1241254</v>
      </c>
      <c r="C8720" t="str">
        <f>IFERROR(__xludf.DUMMYFUNCTION("""COMPUTED_VALUE"""),"AWS Serverless APIs &amp; Apps - A Complete Introduction")</f>
        <v>AWS Serverless APIs &amp; Apps - A Complete Introduction</v>
      </c>
    </row>
    <row r="8721">
      <c r="A8721" s="140" t="str">
        <f>IFERROR(__xludf.DUMMYFUNCTION("""COMPUTED_VALUE"""),"de")</f>
        <v>de</v>
      </c>
      <c r="B8721">
        <f>IFERROR(__xludf.DUMMYFUNCTION("""COMPUTED_VALUE"""),1317696.0)</f>
        <v>1317696</v>
      </c>
      <c r="C8721" t="str">
        <f>IFERROR(__xludf.DUMMYFUNCTION("""COMPUTED_VALUE"""),"Jetzt mit Bootstrap 4 starten - mit Praxisprojekt!")</f>
        <v>Jetzt mit Bootstrap 4 starten - mit Praxisprojekt!</v>
      </c>
    </row>
    <row r="8722">
      <c r="A8722" s="140" t="str">
        <f>IFERROR(__xludf.DUMMYFUNCTION("""COMPUTED_VALUE"""),"en")</f>
        <v>en</v>
      </c>
      <c r="B8722">
        <f>IFERROR(__xludf.DUMMYFUNCTION("""COMPUTED_VALUE"""),1045078.0)</f>
        <v>1045078</v>
      </c>
      <c r="C8722" t="str">
        <f>IFERROR(__xludf.DUMMYFUNCTION("""COMPUTED_VALUE"""),"Microsoft Access VBA, Design and Advanced Methods Workshop 1")</f>
        <v>Microsoft Access VBA, Design and Advanced Methods Workshop 1</v>
      </c>
    </row>
    <row r="8723">
      <c r="A8723" s="140" t="str">
        <f>IFERROR(__xludf.DUMMYFUNCTION("""COMPUTED_VALUE"""),"pt")</f>
        <v>pt</v>
      </c>
      <c r="B8723">
        <f>IFERROR(__xludf.DUMMYFUNCTION("""COMPUTED_VALUE"""),2601728.0)</f>
        <v>2601728</v>
      </c>
      <c r="C8723" t="str">
        <f>IFERROR(__xludf.DUMMYFUNCTION("""COMPUTED_VALUE"""),"Excel : Gráficos, infográficos e Dashboards Profissionais.")</f>
        <v>Excel : Gráficos, infográficos e Dashboards Profissionais.</v>
      </c>
    </row>
    <row r="8724">
      <c r="A8724" s="140" t="str">
        <f>IFERROR(__xludf.DUMMYFUNCTION("""COMPUTED_VALUE"""),"en")</f>
        <v>en</v>
      </c>
      <c r="B8724">
        <f>IFERROR(__xludf.DUMMYFUNCTION("""COMPUTED_VALUE"""),1614454.0)</f>
        <v>1614454</v>
      </c>
      <c r="C8724" t="str">
        <f>IFERROR(__xludf.DUMMYFUNCTION("""COMPUTED_VALUE"""),"Azure MasterClass: Manage Azure Cloud with ARM Templates")</f>
        <v>Azure MasterClass: Manage Azure Cloud with ARM Templates</v>
      </c>
    </row>
    <row r="8725">
      <c r="A8725" s="140" t="str">
        <f>IFERROR(__xludf.DUMMYFUNCTION("""COMPUTED_VALUE"""),"es")</f>
        <v>es</v>
      </c>
      <c r="B8725">
        <f>IFERROR(__xludf.DUMMYFUNCTION("""COMPUTED_VALUE"""),3005766.0)</f>
        <v>3005766</v>
      </c>
      <c r="C8725" t="str">
        <f>IFERROR(__xludf.DUMMYFUNCTION("""COMPUTED_VALUE"""),"Tableau 2020 de la A-Z: Formación en Análisis de Datos")</f>
        <v>Tableau 2020 de la A-Z: Formación en Análisis de Datos</v>
      </c>
    </row>
    <row r="8726">
      <c r="A8726" s="140" t="str">
        <f>IFERROR(__xludf.DUMMYFUNCTION("""COMPUTED_VALUE"""),"ja")</f>
        <v>ja</v>
      </c>
      <c r="B8726">
        <f>IFERROR(__xludf.DUMMYFUNCTION("""COMPUTED_VALUE"""),2948214.0)</f>
        <v>2948214</v>
      </c>
      <c r="C8726" t="str">
        <f>IFERROR(__xludf.DUMMYFUNCTION("""COMPUTED_VALUE"""),"Pythonによるビジネスに役立つWebスクレイピング（BeautifulSoup、Selenium、Requests）")</f>
        <v>Pythonによるビジネスに役立つWebスクレイピング（BeautifulSoup、Selenium、Requests）</v>
      </c>
    </row>
    <row r="8727">
      <c r="A8727" s="140" t="str">
        <f>IFERROR(__xludf.DUMMYFUNCTION("""COMPUTED_VALUE"""),"en")</f>
        <v>en</v>
      </c>
      <c r="B8727">
        <f>IFERROR(__xludf.DUMMYFUNCTION("""COMPUTED_VALUE"""),512470.0)</f>
        <v>512470</v>
      </c>
      <c r="C8727" t="str">
        <f>IFERROR(__xludf.DUMMYFUNCTION("""COMPUTED_VALUE"""),"C Programming Step by Step - Complete Tutorial For Beginners")</f>
        <v>C Programming Step by Step - Complete Tutorial For Beginners</v>
      </c>
    </row>
    <row r="8728">
      <c r="A8728" s="140" t="str">
        <f>IFERROR(__xludf.DUMMYFUNCTION("""COMPUTED_VALUE"""),"en")</f>
        <v>en</v>
      </c>
      <c r="B8728">
        <f>IFERROR(__xludf.DUMMYFUNCTION("""COMPUTED_VALUE"""),123588.0)</f>
        <v>123588</v>
      </c>
      <c r="C8728" t="str">
        <f>IFERROR(__xludf.DUMMYFUNCTION("""COMPUTED_VALUE"""),"Customer Success | How to Actively Engage Your Customers")</f>
        <v>Customer Success | How to Actively Engage Your Customers</v>
      </c>
    </row>
    <row r="8729">
      <c r="A8729" s="140" t="str">
        <f>IFERROR(__xludf.DUMMYFUNCTION("""COMPUTED_VALUE"""),"en")</f>
        <v>en</v>
      </c>
      <c r="B8729">
        <f>IFERROR(__xludf.DUMMYFUNCTION("""COMPUTED_VALUE"""),3114984.0)</f>
        <v>3114984</v>
      </c>
      <c r="C8729" t="str">
        <f>IFERROR(__xludf.DUMMYFUNCTION("""COMPUTED_VALUE"""),"SAP S/4HANA Finance &amp; Controlling - Configuration &amp; End User")</f>
        <v>SAP S/4HANA Finance &amp; Controlling - Configuration &amp; End User</v>
      </c>
    </row>
    <row r="8730">
      <c r="A8730" s="140" t="str">
        <f>IFERROR(__xludf.DUMMYFUNCTION("""COMPUTED_VALUE"""),"en")</f>
        <v>en</v>
      </c>
      <c r="B8730">
        <f>IFERROR(__xludf.DUMMYFUNCTION("""COMPUTED_VALUE"""),759420.0)</f>
        <v>759420</v>
      </c>
      <c r="C8730" t="str">
        <f>IFERROR(__xludf.DUMMYFUNCTION("""COMPUTED_VALUE"""),"Applied ISO14971 Medical Device Risk Management")</f>
        <v>Applied ISO14971 Medical Device Risk Management</v>
      </c>
    </row>
    <row r="8731">
      <c r="A8731" s="140" t="str">
        <f>IFERROR(__xludf.DUMMYFUNCTION("""COMPUTED_VALUE"""),"en")</f>
        <v>en</v>
      </c>
      <c r="B8731">
        <f>IFERROR(__xludf.DUMMYFUNCTION("""COMPUTED_VALUE"""),1646980.0)</f>
        <v>1646980</v>
      </c>
      <c r="C8731" t="str">
        <f>IFERROR(__xludf.DUMMYFUNCTION("""COMPUTED_VALUE"""),"MERN Stack Front To Back: Full Stack React, Redux &amp; Node.js")</f>
        <v>MERN Stack Front To Back: Full Stack React, Redux &amp; Node.js</v>
      </c>
    </row>
    <row r="8732">
      <c r="A8732" s="140" t="str">
        <f>IFERROR(__xludf.DUMMYFUNCTION("""COMPUTED_VALUE"""),"en")</f>
        <v>en</v>
      </c>
      <c r="B8732">
        <f>IFERROR(__xludf.DUMMYFUNCTION("""COMPUTED_VALUE"""),405576.0)</f>
        <v>405576</v>
      </c>
      <c r="C8732" t="str">
        <f>IFERROR(__xludf.DUMMYFUNCTION("""COMPUTED_VALUE"""),"Parenting Skills to Raise Responsible, Mature Children")</f>
        <v>Parenting Skills to Raise Responsible, Mature Children</v>
      </c>
    </row>
    <row r="8733">
      <c r="A8733" s="140" t="str">
        <f>IFERROR(__xludf.DUMMYFUNCTION("""COMPUTED_VALUE"""),"en")</f>
        <v>en</v>
      </c>
      <c r="B8733">
        <f>IFERROR(__xludf.DUMMYFUNCTION("""COMPUTED_VALUE"""),3062318.0)</f>
        <v>3062318</v>
      </c>
      <c r="C8733" t="str">
        <f>IFERROR(__xludf.DUMMYFUNCTION("""COMPUTED_VALUE"""),"Strategic HR in Modern Times")</f>
        <v>Strategic HR in Modern Times</v>
      </c>
    </row>
    <row r="8734">
      <c r="A8734" s="140" t="str">
        <f>IFERROR(__xludf.DUMMYFUNCTION("""COMPUTED_VALUE"""),"ko")</f>
        <v>ko</v>
      </c>
      <c r="B8734">
        <f>IFERROR(__xludf.DUMMYFUNCTION("""COMPUTED_VALUE"""),4312502.0)</f>
        <v>4312502</v>
      </c>
      <c r="C8734" t="str">
        <f>IFERROR(__xludf.DUMMYFUNCTION("""COMPUTED_VALUE"""),"컴공선배와 함께하는 안드로이드 클론코딩 with Kotlin")</f>
        <v>컴공선배와 함께하는 안드로이드 클론코딩 with Kotlin</v>
      </c>
    </row>
    <row r="8735">
      <c r="A8735" s="140" t="str">
        <f>IFERROR(__xludf.DUMMYFUNCTION("""COMPUTED_VALUE"""),"en")</f>
        <v>en</v>
      </c>
      <c r="B8735">
        <f>IFERROR(__xludf.DUMMYFUNCTION("""COMPUTED_VALUE"""),1209988.0)</f>
        <v>1209988</v>
      </c>
      <c r="C8735" t="str">
        <f>IFERROR(__xludf.DUMMYFUNCTION("""COMPUTED_VALUE"""),"Drawing for Meetings, Presentations and Trainings")</f>
        <v>Drawing for Meetings, Presentations and Trainings</v>
      </c>
    </row>
    <row r="8736">
      <c r="A8736" s="140" t="str">
        <f>IFERROR(__xludf.DUMMYFUNCTION("""COMPUTED_VALUE"""),"en")</f>
        <v>en</v>
      </c>
      <c r="B8736">
        <f>IFERROR(__xludf.DUMMYFUNCTION("""COMPUTED_VALUE"""),2391168.0)</f>
        <v>2391168</v>
      </c>
      <c r="C8736" t="str">
        <f>IFERROR(__xludf.DUMMYFUNCTION("""COMPUTED_VALUE"""),"WordPress Intermediate Skills")</f>
        <v>WordPress Intermediate Skills</v>
      </c>
    </row>
    <row r="8737">
      <c r="A8737" s="140" t="str">
        <f>IFERROR(__xludf.DUMMYFUNCTION("""COMPUTED_VALUE"""),"zh")</f>
        <v>zh</v>
      </c>
      <c r="B8737">
        <f>IFERROR(__xludf.DUMMYFUNCTION("""COMPUTED_VALUE"""),2234810.0)</f>
        <v>2234810</v>
      </c>
      <c r="C8737" t="str">
        <f>IFERROR(__xludf.DUMMYFUNCTION("""COMPUTED_VALUE"""),"计算机视觉-Opencv项目实战(Python版)")</f>
        <v>计算机视觉-Opencv项目实战(Python版)</v>
      </c>
    </row>
    <row r="8738">
      <c r="A8738" s="140" t="str">
        <f>IFERROR(__xludf.DUMMYFUNCTION("""COMPUTED_VALUE"""),"pt")</f>
        <v>pt</v>
      </c>
      <c r="B8738">
        <f>IFERROR(__xludf.DUMMYFUNCTION("""COMPUTED_VALUE"""),1746908.0)</f>
        <v>1746908</v>
      </c>
      <c r="C8738" t="str">
        <f>IFERROR(__xludf.DUMMYFUNCTION("""COMPUTED_VALUE"""),"Ataques de Negação de Serviço (DoS e DDoS) com Kali Linux")</f>
        <v>Ataques de Negação de Serviço (DoS e DDoS) com Kali Linux</v>
      </c>
    </row>
    <row r="8739">
      <c r="A8739" s="140" t="str">
        <f>IFERROR(__xludf.DUMMYFUNCTION("""COMPUTED_VALUE"""),"en")</f>
        <v>en</v>
      </c>
      <c r="B8739">
        <f>IFERROR(__xludf.DUMMYFUNCTION("""COMPUTED_VALUE"""),571298.0)</f>
        <v>571298</v>
      </c>
      <c r="C8739" t="str">
        <f>IFERROR(__xludf.DUMMYFUNCTION("""COMPUTED_VALUE"""),"10 Things Every Production SQL Server Should Have")</f>
        <v>10 Things Every Production SQL Server Should Have</v>
      </c>
    </row>
    <row r="8740">
      <c r="A8740" s="140" t="str">
        <f>IFERROR(__xludf.DUMMYFUNCTION("""COMPUTED_VALUE"""),"fr")</f>
        <v>fr</v>
      </c>
      <c r="B8740">
        <f>IFERROR(__xludf.DUMMYFUNCTION("""COMPUTED_VALUE"""),1934170.0)</f>
        <v>1934170</v>
      </c>
      <c r="C8740" t="str">
        <f>IFERROR(__xludf.DUMMYFUNCTION("""COMPUTED_VALUE"""),"Google Ads (AdWords) - Guide Complet - Réseau de Recherche")</f>
        <v>Google Ads (AdWords) - Guide Complet - Réseau de Recherche</v>
      </c>
    </row>
    <row r="8741">
      <c r="A8741" s="140" t="str">
        <f>IFERROR(__xludf.DUMMYFUNCTION("""COMPUTED_VALUE"""),"zh")</f>
        <v>zh</v>
      </c>
      <c r="B8741">
        <f>IFERROR(__xludf.DUMMYFUNCTION("""COMPUTED_VALUE"""),2171320.0)</f>
        <v>2171320</v>
      </c>
      <c r="C8741" t="str">
        <f>IFERROR(__xludf.DUMMYFUNCTION("""COMPUTED_VALUE"""),"Python与量化投资：从基础到实战 (Python for Finance in Chinese)")</f>
        <v>Python与量化投资：从基础到实战 (Python for Finance in Chinese)</v>
      </c>
    </row>
    <row r="8742">
      <c r="A8742" s="140" t="str">
        <f>IFERROR(__xludf.DUMMYFUNCTION("""COMPUTED_VALUE"""),"en")</f>
        <v>en</v>
      </c>
      <c r="B8742">
        <f>IFERROR(__xludf.DUMMYFUNCTION("""COMPUTED_VALUE"""),109988.0)</f>
        <v>109988</v>
      </c>
      <c r="C8742" t="str">
        <f>IFERROR(__xludf.DUMMYFUNCTION("""COMPUTED_VALUE"""),"Understand Banks &amp; Financial Markets")</f>
        <v>Understand Banks &amp; Financial Markets</v>
      </c>
    </row>
    <row r="8743">
      <c r="A8743" s="140" t="str">
        <f>IFERROR(__xludf.DUMMYFUNCTION("""COMPUTED_VALUE"""),"en")</f>
        <v>en</v>
      </c>
      <c r="B8743">
        <f>IFERROR(__xludf.DUMMYFUNCTION("""COMPUTED_VALUE"""),1787702.0)</f>
        <v>1787702</v>
      </c>
      <c r="C8743" t="str">
        <f>IFERROR(__xludf.DUMMYFUNCTION("""COMPUTED_VALUE"""),"The Complete Business Plan Course (Includes 50 Templates)")</f>
        <v>The Complete Business Plan Course (Includes 50 Templates)</v>
      </c>
    </row>
    <row r="8744">
      <c r="A8744" s="140" t="str">
        <f>IFERROR(__xludf.DUMMYFUNCTION("""COMPUTED_VALUE"""),"es")</f>
        <v>es</v>
      </c>
      <c r="B8744">
        <f>IFERROR(__xludf.DUMMYFUNCTION("""COMPUTED_VALUE"""),1813796.0)</f>
        <v>1813796</v>
      </c>
      <c r="C8744" t="str">
        <f>IFERROR(__xludf.DUMMYFUNCTION("""COMPUTED_VALUE"""),"Arquitectura de Aplicaciones Empresariales con .NET Core")</f>
        <v>Arquitectura de Aplicaciones Empresariales con .NET Core</v>
      </c>
    </row>
    <row r="8745">
      <c r="A8745" s="140" t="str">
        <f>IFERROR(__xludf.DUMMYFUNCTION("""COMPUTED_VALUE"""),"en")</f>
        <v>en</v>
      </c>
      <c r="B8745">
        <f>IFERROR(__xludf.DUMMYFUNCTION("""COMPUTED_VALUE"""),576876.0)</f>
        <v>576876</v>
      </c>
      <c r="C8745" t="str">
        <f>IFERROR(__xludf.DUMMYFUNCTION("""COMPUTED_VALUE"""),"CMOS Analog Circuit Design")</f>
        <v>CMOS Analog Circuit Design</v>
      </c>
    </row>
    <row r="8746">
      <c r="A8746" s="140" t="str">
        <f>IFERROR(__xludf.DUMMYFUNCTION("""COMPUTED_VALUE"""),"en")</f>
        <v>en</v>
      </c>
      <c r="B8746">
        <f>IFERROR(__xludf.DUMMYFUNCTION("""COMPUTED_VALUE"""),3329766.0)</f>
        <v>3329766</v>
      </c>
      <c r="C8746" t="str">
        <f>IFERROR(__xludf.DUMMYFUNCTION("""COMPUTED_VALUE"""),"Concept Environment Art Using Krita")</f>
        <v>Concept Environment Art Using Krita</v>
      </c>
    </row>
    <row r="8747">
      <c r="A8747" s="140" t="str">
        <f>IFERROR(__xludf.DUMMYFUNCTION("""COMPUTED_VALUE"""),"pt")</f>
        <v>pt</v>
      </c>
      <c r="B8747">
        <f>IFERROR(__xludf.DUMMYFUNCTION("""COMPUTED_VALUE"""),2633022.0)</f>
        <v>2633022</v>
      </c>
      <c r="C8747" t="str">
        <f>IFERROR(__xludf.DUMMYFUNCTION("""COMPUTED_VALUE"""),"Design de API's RestFul com Spring Boot, TDD e o novo JUnit5")</f>
        <v>Design de API's RestFul com Spring Boot, TDD e o novo JUnit5</v>
      </c>
    </row>
    <row r="8748">
      <c r="A8748" s="140" t="str">
        <f>IFERROR(__xludf.DUMMYFUNCTION("""COMPUTED_VALUE"""),"en")</f>
        <v>en</v>
      </c>
      <c r="B8748">
        <f>IFERROR(__xludf.DUMMYFUNCTION("""COMPUTED_VALUE"""),3778360.0)</f>
        <v>3778360</v>
      </c>
      <c r="C8748" t="str">
        <f>IFERROR(__xludf.DUMMYFUNCTION("""COMPUTED_VALUE"""),"Master the New Google Analytics 4 with Tag Manager in 2021")</f>
        <v>Master the New Google Analytics 4 with Tag Manager in 2021</v>
      </c>
    </row>
    <row r="8749">
      <c r="A8749" s="140" t="str">
        <f>IFERROR(__xludf.DUMMYFUNCTION("""COMPUTED_VALUE"""),"en")</f>
        <v>en</v>
      </c>
      <c r="B8749">
        <f>IFERROR(__xludf.DUMMYFUNCTION("""COMPUTED_VALUE"""),1078832.0)</f>
        <v>1078832</v>
      </c>
      <c r="C8749" t="str">
        <f>IFERROR(__xludf.DUMMYFUNCTION("""COMPUTED_VALUE"""),"Get your PgMP® Certification on your first attempt [4th Ed]")</f>
        <v>Get your PgMP® Certification on your first attempt [4th Ed]</v>
      </c>
    </row>
    <row r="8750">
      <c r="A8750" s="140" t="str">
        <f>IFERROR(__xludf.DUMMYFUNCTION("""COMPUTED_VALUE"""),"en")</f>
        <v>en</v>
      </c>
      <c r="B8750">
        <f>IFERROR(__xludf.DUMMYFUNCTION("""COMPUTED_VALUE"""),719294.0)</f>
        <v>719294</v>
      </c>
      <c r="C8750" t="str">
        <f>IFERROR(__xludf.DUMMYFUNCTION("""COMPUTED_VALUE"""),"SharePoint Online - Level 1")</f>
        <v>SharePoint Online - Level 1</v>
      </c>
    </row>
    <row r="8751">
      <c r="A8751" s="140" t="str">
        <f>IFERROR(__xludf.DUMMYFUNCTION("""COMPUTED_VALUE"""),"en")</f>
        <v>en</v>
      </c>
      <c r="B8751">
        <f>IFERROR(__xludf.DUMMYFUNCTION("""COMPUTED_VALUE"""),2468060.0)</f>
        <v>2468060</v>
      </c>
      <c r="C8751" t="str">
        <f>IFERROR(__xludf.DUMMYFUNCTION("""COMPUTED_VALUE"""),"AZ-900 - Microsoft Azure Fundamentals Training Bootcamp 2021")</f>
        <v>AZ-900 - Microsoft Azure Fundamentals Training Bootcamp 2021</v>
      </c>
    </row>
    <row r="8752">
      <c r="A8752" s="140" t="str">
        <f>IFERROR(__xludf.DUMMYFUNCTION("""COMPUTED_VALUE"""),"es")</f>
        <v>es</v>
      </c>
      <c r="B8752">
        <f>IFERROR(__xludf.DUMMYFUNCTION("""COMPUTED_VALUE"""),1531520.0)</f>
        <v>1531520</v>
      </c>
      <c r="C8752" t="str">
        <f>IFERROR(__xludf.DUMMYFUNCTION("""COMPUTED_VALUE"""),"Implementación de soluciones en Microsoft Azure")</f>
        <v>Implementación de soluciones en Microsoft Azure</v>
      </c>
    </row>
    <row r="8753">
      <c r="A8753" s="140" t="str">
        <f>IFERROR(__xludf.DUMMYFUNCTION("""COMPUTED_VALUE"""),"pt")</f>
        <v>pt</v>
      </c>
      <c r="B8753">
        <f>IFERROR(__xludf.DUMMYFUNCTION("""COMPUTED_VALUE"""),1508608.0)</f>
        <v>1508608</v>
      </c>
      <c r="C8753" t="str">
        <f>IFERROR(__xludf.DUMMYFUNCTION("""COMPUTED_VALUE"""),"Inteligência Artificial: Buscas em Textos com Python")</f>
        <v>Inteligência Artificial: Buscas em Textos com Python</v>
      </c>
    </row>
    <row r="8754">
      <c r="A8754" s="140" t="str">
        <f>IFERROR(__xludf.DUMMYFUNCTION("""COMPUTED_VALUE"""),"es")</f>
        <v>es</v>
      </c>
      <c r="B8754">
        <f>IFERROR(__xludf.DUMMYFUNCTION("""COMPUTED_VALUE"""),865750.0)</f>
        <v>865750</v>
      </c>
      <c r="C8754" t="str">
        <f>IFERROR(__xludf.DUMMYFUNCTION("""COMPUTED_VALUE"""),"Curso completo de Core Data en Swift - Persistencia de datos")</f>
        <v>Curso completo de Core Data en Swift - Persistencia de datos</v>
      </c>
    </row>
    <row r="8755">
      <c r="A8755" s="140" t="str">
        <f>IFERROR(__xludf.DUMMYFUNCTION("""COMPUTED_VALUE"""),"en")</f>
        <v>en</v>
      </c>
      <c r="B8755">
        <f>IFERROR(__xludf.DUMMYFUNCTION("""COMPUTED_VALUE"""),822820.0)</f>
        <v>822820</v>
      </c>
      <c r="C8755" t="str">
        <f>IFERROR(__xludf.DUMMYFUNCTION("""COMPUTED_VALUE"""),"Overcome &amp; Develop Any Habit: Use Full Potential in Life")</f>
        <v>Overcome &amp; Develop Any Habit: Use Full Potential in Life</v>
      </c>
    </row>
    <row r="8756">
      <c r="A8756" s="140" t="str">
        <f>IFERROR(__xludf.DUMMYFUNCTION("""COMPUTED_VALUE"""),"en")</f>
        <v>en</v>
      </c>
      <c r="B8756">
        <f>IFERROR(__xludf.DUMMYFUNCTION("""COMPUTED_VALUE"""),3296310.0)</f>
        <v>3296310</v>
      </c>
      <c r="C8756" t="str">
        <f>IFERROR(__xludf.DUMMYFUNCTION("""COMPUTED_VALUE"""),"The Complete 2021 LEED Green Associate Training")</f>
        <v>The Complete 2021 LEED Green Associate Training</v>
      </c>
    </row>
    <row r="8757">
      <c r="A8757" s="140" t="str">
        <f>IFERROR(__xludf.DUMMYFUNCTION("""COMPUTED_VALUE"""),"en")</f>
        <v>en</v>
      </c>
      <c r="B8757">
        <f>IFERROR(__xludf.DUMMYFUNCTION("""COMPUTED_VALUE"""),1505192.0)</f>
        <v>1505192</v>
      </c>
      <c r="C8757" t="str">
        <f>IFERROR(__xludf.DUMMYFUNCTION("""COMPUTED_VALUE"""),"Digital Transformation and Industry 4.0")</f>
        <v>Digital Transformation and Industry 4.0</v>
      </c>
    </row>
    <row r="8758">
      <c r="A8758" s="140" t="str">
        <f>IFERROR(__xludf.DUMMYFUNCTION("""COMPUTED_VALUE"""),"ja")</f>
        <v>ja</v>
      </c>
      <c r="B8758">
        <f>IFERROR(__xludf.DUMMYFUNCTION("""COMPUTED_VALUE"""),1012796.0)</f>
        <v>1012796</v>
      </c>
      <c r="C8758" t="str">
        <f>IFERROR(__xludf.DUMMYFUNCTION("""COMPUTED_VALUE"""),"Excelエキスパート認定への道【MOS資格エキスパート試験対策オンライン講座】エクセル兄さんのスピードMOS合格コース")</f>
        <v>Excelエキスパート認定への道【MOS資格エキスパート試験対策オンライン講座】エクセル兄さんのスピードMOS合格コース</v>
      </c>
    </row>
    <row r="8759">
      <c r="A8759" s="140" t="str">
        <f>IFERROR(__xludf.DUMMYFUNCTION("""COMPUTED_VALUE"""),"en")</f>
        <v>en</v>
      </c>
      <c r="B8759">
        <f>IFERROR(__xludf.DUMMYFUNCTION("""COMPUTED_VALUE"""),3631250.0)</f>
        <v>3631250</v>
      </c>
      <c r="C8759" t="str">
        <f>IFERROR(__xludf.DUMMYFUNCTION("""COMPUTED_VALUE"""),"Get Kanban Organised: From To-Do To Done With Kanban Boards")</f>
        <v>Get Kanban Organised: From To-Do To Done With Kanban Boards</v>
      </c>
    </row>
    <row r="8760">
      <c r="A8760" s="140" t="str">
        <f>IFERROR(__xludf.DUMMYFUNCTION("""COMPUTED_VALUE"""),"en")</f>
        <v>en</v>
      </c>
      <c r="B8760">
        <f>IFERROR(__xludf.DUMMYFUNCTION("""COMPUTED_VALUE"""),4079122.0)</f>
        <v>4079122</v>
      </c>
      <c r="C8760" t="str">
        <f>IFERROR(__xludf.DUMMYFUNCTION("""COMPUTED_VALUE"""),"Bootstrap 5 Essential Training : With Projects")</f>
        <v>Bootstrap 5 Essential Training : With Projects</v>
      </c>
    </row>
    <row r="8761">
      <c r="A8761" s="140" t="str">
        <f>IFERROR(__xludf.DUMMYFUNCTION("""COMPUTED_VALUE"""),"ja")</f>
        <v>ja</v>
      </c>
      <c r="B8761">
        <f>IFERROR(__xludf.DUMMYFUNCTION("""COMPUTED_VALUE"""),3742822.0)</f>
        <v>3742822</v>
      </c>
      <c r="C8761" t="str">
        <f>IFERROR(__xludf.DUMMYFUNCTION("""COMPUTED_VALUE"""),"【超入門】プロマネが教えるチームマネジメントの基礎")</f>
        <v>【超入門】プロマネが教えるチームマネジメントの基礎</v>
      </c>
    </row>
    <row r="8762">
      <c r="A8762" s="140" t="str">
        <f>IFERROR(__xludf.DUMMYFUNCTION("""COMPUTED_VALUE"""),"en")</f>
        <v>en</v>
      </c>
      <c r="B8762">
        <f>IFERROR(__xludf.DUMMYFUNCTION("""COMPUTED_VALUE"""),1202988.0)</f>
        <v>1202988</v>
      </c>
      <c r="C8762" t="str">
        <f>IFERROR(__xludf.DUMMYFUNCTION("""COMPUTED_VALUE"""),"The Complete Financial Analyst Training &amp; Investing Course")</f>
        <v>The Complete Financial Analyst Training &amp; Investing Course</v>
      </c>
    </row>
    <row r="8763">
      <c r="A8763" s="140" t="str">
        <f>IFERROR(__xludf.DUMMYFUNCTION("""COMPUTED_VALUE"""),"en")</f>
        <v>en</v>
      </c>
      <c r="B8763">
        <f>IFERROR(__xludf.DUMMYFUNCTION("""COMPUTED_VALUE"""),1341284.0)</f>
        <v>1341284</v>
      </c>
      <c r="C8763" t="str">
        <f>IFERROR(__xludf.DUMMYFUNCTION("""COMPUTED_VALUE"""),"Rhino 3D ( any version )  Beginner Level to Advanced Level")</f>
        <v>Rhino 3D ( any version )  Beginner Level to Advanced Level</v>
      </c>
    </row>
    <row r="8764">
      <c r="A8764" s="140" t="str">
        <f>IFERROR(__xludf.DUMMYFUNCTION("""COMPUTED_VALUE"""),"en")</f>
        <v>en</v>
      </c>
      <c r="B8764">
        <f>IFERROR(__xludf.DUMMYFUNCTION("""COMPUTED_VALUE"""),1757576.0)</f>
        <v>1757576</v>
      </c>
      <c r="C8764" t="str">
        <f>IFERROR(__xludf.DUMMYFUNCTION("""COMPUTED_VALUE"""),"Oracle Analytic Functions In-Depth &amp; Advanced Oracle SQL")</f>
        <v>Oracle Analytic Functions In-Depth &amp; Advanced Oracle SQL</v>
      </c>
    </row>
    <row r="8765">
      <c r="A8765" s="140" t="str">
        <f>IFERROR(__xludf.DUMMYFUNCTION("""COMPUTED_VALUE"""),"en")</f>
        <v>en</v>
      </c>
      <c r="B8765">
        <f>IFERROR(__xludf.DUMMYFUNCTION("""COMPUTED_VALUE"""),2707652.0)</f>
        <v>2707652</v>
      </c>
      <c r="C8765" t="str">
        <f>IFERROR(__xludf.DUMMYFUNCTION("""COMPUTED_VALUE"""),"Acceptance and Commitment Therapy (ACT) -  ACCREDITED CERT")</f>
        <v>Acceptance and Commitment Therapy (ACT) -  ACCREDITED CERT</v>
      </c>
    </row>
    <row r="8766">
      <c r="A8766" s="140" t="str">
        <f>IFERROR(__xludf.DUMMYFUNCTION("""COMPUTED_VALUE"""),"en")</f>
        <v>en</v>
      </c>
      <c r="B8766">
        <f>IFERROR(__xludf.DUMMYFUNCTION("""COMPUTED_VALUE"""),1459052.0)</f>
        <v>1459052</v>
      </c>
      <c r="C8766" t="str">
        <f>IFERROR(__xludf.DUMMYFUNCTION("""COMPUTED_VALUE"""),"Legal Compliance of  WSH Management System")</f>
        <v>Legal Compliance of  WSH Management System</v>
      </c>
    </row>
    <row r="8767">
      <c r="A8767" s="140" t="str">
        <f>IFERROR(__xludf.DUMMYFUNCTION("""COMPUTED_VALUE"""),"de")</f>
        <v>de</v>
      </c>
      <c r="B8767">
        <f>IFERROR(__xludf.DUMMYFUNCTION("""COMPUTED_VALUE"""),678136.0)</f>
        <v>678136</v>
      </c>
      <c r="C8767" t="str">
        <f>IFERROR(__xludf.DUMMYFUNCTION("""COMPUTED_VALUE"""),"AngularJS - Entwickle eigene Angular Webapplikationen")</f>
        <v>AngularJS - Entwickle eigene Angular Webapplikationen</v>
      </c>
    </row>
    <row r="8768">
      <c r="A8768" s="140" t="str">
        <f>IFERROR(__xludf.DUMMYFUNCTION("""COMPUTED_VALUE"""),"ja")</f>
        <v>ja</v>
      </c>
      <c r="B8768">
        <f>IFERROR(__xludf.DUMMYFUNCTION("""COMPUTED_VALUE"""),3723270.0)</f>
        <v>3723270</v>
      </c>
      <c r="C8768" t="str">
        <f>IFERROR(__xludf.DUMMYFUNCTION("""COMPUTED_VALUE"""),"Nextjs + Tailwind CSS +  Django REST Framework で学ぶモダンReact開発")</f>
        <v>Nextjs + Tailwind CSS +  Django REST Framework で学ぶモダンReact開発</v>
      </c>
    </row>
    <row r="8769">
      <c r="A8769" s="140" t="str">
        <f>IFERROR(__xludf.DUMMYFUNCTION("""COMPUTED_VALUE"""),"en")</f>
        <v>en</v>
      </c>
      <c r="B8769">
        <f>IFERROR(__xludf.DUMMYFUNCTION("""COMPUTED_VALUE"""),1956890.0)</f>
        <v>1956890</v>
      </c>
      <c r="C8769" t="str">
        <f>IFERROR(__xludf.DUMMYFUNCTION("""COMPUTED_VALUE"""),"Red Hat Satellite Technical Overview (RH053)")</f>
        <v>Red Hat Satellite Technical Overview (RH053)</v>
      </c>
    </row>
    <row r="8770">
      <c r="A8770" s="140" t="str">
        <f>IFERROR(__xludf.DUMMYFUNCTION("""COMPUTED_VALUE"""),"en")</f>
        <v>en</v>
      </c>
      <c r="B8770">
        <f>IFERROR(__xludf.DUMMYFUNCTION("""COMPUTED_VALUE"""),1998938.0)</f>
        <v>1998938</v>
      </c>
      <c r="C8770" t="str">
        <f>IFERROR(__xludf.DUMMYFUNCTION("""COMPUTED_VALUE"""),"The Complete Guide to Service Portal in ServiceNow")</f>
        <v>The Complete Guide to Service Portal in ServiceNow</v>
      </c>
    </row>
    <row r="8771">
      <c r="A8771" s="140" t="str">
        <f>IFERROR(__xludf.DUMMYFUNCTION("""COMPUTED_VALUE"""),"ja")</f>
        <v>ja</v>
      </c>
      <c r="B8771">
        <f>IFERROR(__xludf.DUMMYFUNCTION("""COMPUTED_VALUE"""),2666182.0)</f>
        <v>2666182</v>
      </c>
      <c r="C8771" t="str">
        <f>IFERROR(__xludf.DUMMYFUNCTION("""COMPUTED_VALUE"""),"最短２週間で変化が出る！初心者向けのWEBサイト分析・改善【実践講座】")</f>
        <v>最短２週間で変化が出る！初心者向けのWEBサイト分析・改善【実践講座】</v>
      </c>
    </row>
    <row r="8772">
      <c r="A8772" s="140" t="str">
        <f>IFERROR(__xludf.DUMMYFUNCTION("""COMPUTED_VALUE"""),"en")</f>
        <v>en</v>
      </c>
      <c r="B8772">
        <f>IFERROR(__xludf.DUMMYFUNCTION("""COMPUTED_VALUE"""),1305343.0)</f>
        <v>1305343</v>
      </c>
      <c r="C8772" t="str">
        <f>IFERROR(__xludf.DUMMYFUNCTION("""COMPUTED_VALUE"""),"How to Program Voxel Worlds Like Minecraft with C# in Unity")</f>
        <v>How to Program Voxel Worlds Like Minecraft with C# in Unity</v>
      </c>
    </row>
    <row r="8773">
      <c r="A8773" s="140" t="str">
        <f>IFERROR(__xludf.DUMMYFUNCTION("""COMPUTED_VALUE"""),"en")</f>
        <v>en</v>
      </c>
      <c r="B8773">
        <f>IFERROR(__xludf.DUMMYFUNCTION("""COMPUTED_VALUE"""),719002.0)</f>
        <v>719002</v>
      </c>
      <c r="C8773" t="str">
        <f>IFERROR(__xludf.DUMMYFUNCTION("""COMPUTED_VALUE"""),"Angular Crash Course for Busy Developers")</f>
        <v>Angular Crash Course for Busy Developers</v>
      </c>
    </row>
    <row r="8774">
      <c r="A8774" s="140" t="str">
        <f>IFERROR(__xludf.DUMMYFUNCTION("""COMPUTED_VALUE"""),"en")</f>
        <v>en</v>
      </c>
      <c r="B8774">
        <f>IFERROR(__xludf.DUMMYFUNCTION("""COMPUTED_VALUE"""),405456.0)</f>
        <v>405456</v>
      </c>
      <c r="C8774" t="str">
        <f>IFERROR(__xludf.DUMMYFUNCTION("""COMPUTED_VALUE"""),"Python Network Programming Complete Masterclass")</f>
        <v>Python Network Programming Complete Masterclass</v>
      </c>
    </row>
    <row r="8775">
      <c r="A8775" s="140" t="str">
        <f>IFERROR(__xludf.DUMMYFUNCTION("""COMPUTED_VALUE"""),"en")</f>
        <v>en</v>
      </c>
      <c r="B8775">
        <f>IFERROR(__xludf.DUMMYFUNCTION("""COMPUTED_VALUE"""),1250096.0)</f>
        <v>1250096</v>
      </c>
      <c r="C8775" t="str">
        <f>IFERROR(__xludf.DUMMYFUNCTION("""COMPUTED_VALUE"""),"Digital Advertising and Marketing 201: Top Topic &amp; Trends")</f>
        <v>Digital Advertising and Marketing 201: Top Topic &amp; Trends</v>
      </c>
    </row>
    <row r="8776">
      <c r="A8776" s="140" t="str">
        <f>IFERROR(__xludf.DUMMYFUNCTION("""COMPUTED_VALUE"""),"en")</f>
        <v>en</v>
      </c>
      <c r="B8776">
        <f>IFERROR(__xludf.DUMMYFUNCTION("""COMPUTED_VALUE"""),1337472.0)</f>
        <v>1337472</v>
      </c>
      <c r="C8776" t="str">
        <f>IFERROR(__xludf.DUMMYFUNCTION("""COMPUTED_VALUE"""),"Change Management: Real World Strategies &amp; Tools")</f>
        <v>Change Management: Real World Strategies &amp; Tools</v>
      </c>
    </row>
    <row r="8777">
      <c r="A8777" s="140" t="str">
        <f>IFERROR(__xludf.DUMMYFUNCTION("""COMPUTED_VALUE"""),"en")</f>
        <v>en</v>
      </c>
      <c r="B8777">
        <f>IFERROR(__xludf.DUMMYFUNCTION("""COMPUTED_VALUE"""),1747524.0)</f>
        <v>1747524</v>
      </c>
      <c r="C8777" t="str">
        <f>IFERROR(__xludf.DUMMYFUNCTION("""COMPUTED_VALUE"""),"3D Programming with JavaScript and the Three.js 3D Library")</f>
        <v>3D Programming with JavaScript and the Three.js 3D Library</v>
      </c>
    </row>
    <row r="8778">
      <c r="A8778" s="140" t="str">
        <f>IFERROR(__xludf.DUMMYFUNCTION("""COMPUTED_VALUE"""),"ko")</f>
        <v>ko</v>
      </c>
      <c r="B8778">
        <f>IFERROR(__xludf.DUMMYFUNCTION("""COMPUTED_VALUE"""),4306525.0)</f>
        <v>4306525</v>
      </c>
      <c r="C8778" t="str">
        <f>IFERROR(__xludf.DUMMYFUNCTION("""COMPUTED_VALUE"""),"왕초보 데이터 분석 with R")</f>
        <v>왕초보 데이터 분석 with R</v>
      </c>
    </row>
    <row r="8779">
      <c r="A8779" s="140" t="str">
        <f>IFERROR(__xludf.DUMMYFUNCTION("""COMPUTED_VALUE"""),"en")</f>
        <v>en</v>
      </c>
      <c r="B8779">
        <f>IFERROR(__xludf.DUMMYFUNCTION("""COMPUTED_VALUE"""),1442446.0)</f>
        <v>1442446</v>
      </c>
      <c r="C8779" t="str">
        <f>IFERROR(__xludf.DUMMYFUNCTION("""COMPUTED_VALUE"""),"Futuristic HUD Motion Graphics in After Effects")</f>
        <v>Futuristic HUD Motion Graphics in After Effects</v>
      </c>
    </row>
    <row r="8780">
      <c r="A8780" s="140" t="str">
        <f>IFERROR(__xludf.DUMMYFUNCTION("""COMPUTED_VALUE"""),"fr")</f>
        <v>fr</v>
      </c>
      <c r="B8780">
        <f>IFERROR(__xludf.DUMMYFUNCTION("""COMPUTED_VALUE"""),3346430.0)</f>
        <v>3346430</v>
      </c>
      <c r="C8780" t="str">
        <f>IFERROR(__xludf.DUMMYFUNCTION("""COMPUTED_VALUE"""),"SwiftUI pour iOS 14, iPadOS 14 et macOS 11")</f>
        <v>SwiftUI pour iOS 14, iPadOS 14 et macOS 11</v>
      </c>
    </row>
    <row r="8781">
      <c r="A8781" s="140" t="str">
        <f>IFERROR(__xludf.DUMMYFUNCTION("""COMPUTED_VALUE"""),"en")</f>
        <v>en</v>
      </c>
      <c r="B8781">
        <f>IFERROR(__xludf.DUMMYFUNCTION("""COMPUTED_VALUE"""),1379522.0)</f>
        <v>1379522</v>
      </c>
      <c r="C8781" t="str">
        <f>IFERROR(__xludf.DUMMYFUNCTION("""COMPUTED_VALUE"""),"Difficult Conversations: Master Difficult Conversations")</f>
        <v>Difficult Conversations: Master Difficult Conversations</v>
      </c>
    </row>
    <row r="8782">
      <c r="A8782" s="140" t="str">
        <f>IFERROR(__xludf.DUMMYFUNCTION("""COMPUTED_VALUE"""),"fr")</f>
        <v>fr</v>
      </c>
      <c r="B8782">
        <f>IFERROR(__xludf.DUMMYFUNCTION("""COMPUTED_VALUE"""),1836564.0)</f>
        <v>1836564</v>
      </c>
      <c r="C8782" t="str">
        <f>IFERROR(__xludf.DUMMYFUNCTION("""COMPUTED_VALUE"""),"Illustrator CC 2020 - Apprenez à faire des logos percutants")</f>
        <v>Illustrator CC 2020 - Apprenez à faire des logos percutants</v>
      </c>
    </row>
    <row r="8783">
      <c r="A8783" s="140" t="str">
        <f>IFERROR(__xludf.DUMMYFUNCTION("""COMPUTED_VALUE"""),"en")</f>
        <v>en</v>
      </c>
      <c r="B8783">
        <f>IFERROR(__xludf.DUMMYFUNCTION("""COMPUTED_VALUE"""),2220628.0)</f>
        <v>2220628</v>
      </c>
      <c r="C8783" t="str">
        <f>IFERROR(__xludf.DUMMYFUNCTION("""COMPUTED_VALUE"""),"Oracle Application Framework (OAF) &amp; Workflow Bonus Sessions")</f>
        <v>Oracle Application Framework (OAF) &amp; Workflow Bonus Sessions</v>
      </c>
    </row>
    <row r="8784">
      <c r="A8784" s="140" t="str">
        <f>IFERROR(__xludf.DUMMYFUNCTION("""COMPUTED_VALUE"""),"pt")</f>
        <v>pt</v>
      </c>
      <c r="B8784">
        <f>IFERROR(__xludf.DUMMYFUNCTION("""COMPUTED_VALUE"""),2999782.0)</f>
        <v>2999782</v>
      </c>
      <c r="C8784" t="str">
        <f>IFERROR(__xludf.DUMMYFUNCTION("""COMPUTED_VALUE"""),"React Completo do básico ao avançado")</f>
        <v>React Completo do básico ao avançado</v>
      </c>
    </row>
    <row r="8785">
      <c r="A8785" s="140" t="str">
        <f>IFERROR(__xludf.DUMMYFUNCTION("""COMPUTED_VALUE"""),"tr")</f>
        <v>tr</v>
      </c>
      <c r="B8785">
        <f>IFERROR(__xludf.DUMMYFUNCTION("""COMPUTED_VALUE"""),1346050.0)</f>
        <v>1346050</v>
      </c>
      <c r="C8785" t="str">
        <f>IFERROR(__xludf.DUMMYFUNCTION("""COMPUTED_VALUE"""),"Sıfırdan İleri Seviyeye Komple PHP ile Web Geliştirme 2022")</f>
        <v>Sıfırdan İleri Seviyeye Komple PHP ile Web Geliştirme 2022</v>
      </c>
    </row>
    <row r="8786">
      <c r="A8786" s="140" t="str">
        <f>IFERROR(__xludf.DUMMYFUNCTION("""COMPUTED_VALUE"""),"es")</f>
        <v>es</v>
      </c>
      <c r="B8786">
        <f>IFERROR(__xludf.DUMMYFUNCTION("""COMPUTED_VALUE"""),3731216.0)</f>
        <v>3731216</v>
      </c>
      <c r="C8786" t="str">
        <f>IFERROR(__xludf.DUMMYFUNCTION("""COMPUTED_VALUE"""),"AZ-900 Azure Fundamentals Español 2021 + AZ-900 GRATIS +Guía")</f>
        <v>AZ-900 Azure Fundamentals Español 2021 + AZ-900 GRATIS +Guía</v>
      </c>
    </row>
    <row r="8787">
      <c r="A8787" s="140" t="str">
        <f>IFERROR(__xludf.DUMMYFUNCTION("""COMPUTED_VALUE"""),"en")</f>
        <v>en</v>
      </c>
      <c r="B8787">
        <f>IFERROR(__xludf.DUMMYFUNCTION("""COMPUTED_VALUE"""),2486612.0)</f>
        <v>2486612</v>
      </c>
      <c r="C8787" t="str">
        <f>IFERROR(__xludf.DUMMYFUNCTION("""COMPUTED_VALUE"""),"MO-100 Exam - MOS Word 2019 / 365 Microsoft Certification")</f>
        <v>MO-100 Exam - MOS Word 2019 / 365 Microsoft Certification</v>
      </c>
    </row>
    <row r="8788">
      <c r="A8788" s="140" t="str">
        <f>IFERROR(__xludf.DUMMYFUNCTION("""COMPUTED_VALUE"""),"en")</f>
        <v>en</v>
      </c>
      <c r="B8788">
        <f>IFERROR(__xludf.DUMMYFUNCTION("""COMPUTED_VALUE"""),578762.0)</f>
        <v>578762</v>
      </c>
      <c r="C8788" t="str">
        <f>IFERROR(__xludf.DUMMYFUNCTION("""COMPUTED_VALUE"""),"Beyond Arduino: Electronics for Developers &amp; Makers - (GPIO)")</f>
        <v>Beyond Arduino: Electronics for Developers &amp; Makers - (GPIO)</v>
      </c>
    </row>
    <row r="8789">
      <c r="A8789" s="140" t="str">
        <f>IFERROR(__xludf.DUMMYFUNCTION("""COMPUTED_VALUE"""),"en")</f>
        <v>en</v>
      </c>
      <c r="B8789">
        <f>IFERROR(__xludf.DUMMYFUNCTION("""COMPUTED_VALUE"""),395170.0)</f>
        <v>395170</v>
      </c>
      <c r="C8789" t="str">
        <f>IFERROR(__xludf.DUMMYFUNCTION("""COMPUTED_VALUE"""),"15 Minutes x 15 Days Yoga Mobility Challenge")</f>
        <v>15 Minutes x 15 Days Yoga Mobility Challenge</v>
      </c>
    </row>
    <row r="8790">
      <c r="A8790" s="140" t="str">
        <f>IFERROR(__xludf.DUMMYFUNCTION("""COMPUTED_VALUE"""),"en")</f>
        <v>en</v>
      </c>
      <c r="B8790">
        <f>IFERROR(__xludf.DUMMYFUNCTION("""COMPUTED_VALUE"""),636822.0)</f>
        <v>636822</v>
      </c>
      <c r="C8790" t="str">
        <f>IFERROR(__xludf.DUMMYFUNCTION("""COMPUTED_VALUE"""),"Microsoft Excel - Data Visualization, Excel Charts &amp; Graphs")</f>
        <v>Microsoft Excel - Data Visualization, Excel Charts &amp; Graphs</v>
      </c>
    </row>
    <row r="8791">
      <c r="A8791" s="140" t="str">
        <f>IFERROR(__xludf.DUMMYFUNCTION("""COMPUTED_VALUE"""),"tr")</f>
        <v>tr</v>
      </c>
      <c r="B8791">
        <f>IFERROR(__xludf.DUMMYFUNCTION("""COMPUTED_VALUE"""),1495782.0)</f>
        <v>1495782</v>
      </c>
      <c r="C8791" t="str">
        <f>IFERROR(__xludf.DUMMYFUNCTION("""COMPUTED_VALUE"""),"ISTQB 2018 Temel Seviye (CTFL) Sertifika Sınavına Hazırlık")</f>
        <v>ISTQB 2018 Temel Seviye (CTFL) Sertifika Sınavına Hazırlık</v>
      </c>
    </row>
    <row r="8792">
      <c r="A8792" s="140" t="str">
        <f>IFERROR(__xludf.DUMMYFUNCTION("""COMPUTED_VALUE"""),"ar")</f>
        <v>ar</v>
      </c>
      <c r="B8792">
        <f>IFERROR(__xludf.DUMMYFUNCTION("""COMPUTED_VALUE"""),2067309.0)</f>
        <v>2067309</v>
      </c>
      <c r="C8792" t="str">
        <f>IFERROR(__xludf.DUMMYFUNCTION("""COMPUTED_VALUE"""),"(Updated 2021) التسعير السيكولوجي")</f>
        <v>(Updated 2021) التسعير السيكولوجي</v>
      </c>
    </row>
    <row r="8793">
      <c r="A8793" s="140" t="str">
        <f>IFERROR(__xludf.DUMMYFUNCTION("""COMPUTED_VALUE"""),"en")</f>
        <v>en</v>
      </c>
      <c r="B8793">
        <f>IFERROR(__xludf.DUMMYFUNCTION("""COMPUTED_VALUE"""),1292918.0)</f>
        <v>1292918</v>
      </c>
      <c r="C8793" t="str">
        <f>IFERROR(__xludf.DUMMYFUNCTION("""COMPUTED_VALUE"""),"VB.Net for Beginners Step by Step Projects and Exercises")</f>
        <v>VB.Net for Beginners Step by Step Projects and Exercises</v>
      </c>
    </row>
    <row r="8794">
      <c r="A8794" s="140" t="str">
        <f>IFERROR(__xludf.DUMMYFUNCTION("""COMPUTED_VALUE"""),"en")</f>
        <v>en</v>
      </c>
      <c r="B8794">
        <f>IFERROR(__xludf.DUMMYFUNCTION("""COMPUTED_VALUE"""),2549063.0)</f>
        <v>2549063</v>
      </c>
      <c r="C8794" t="str">
        <f>IFERROR(__xludf.DUMMYFUNCTION("""COMPUTED_VALUE"""),"The Complete Android 12 Developer Course - Mastering Android")</f>
        <v>The Complete Android 12 Developer Course - Mastering Android</v>
      </c>
    </row>
    <row r="8795">
      <c r="A8795" s="140" t="str">
        <f>IFERROR(__xludf.DUMMYFUNCTION("""COMPUTED_VALUE"""),"es")</f>
        <v>es</v>
      </c>
      <c r="B8795">
        <f>IFERROR(__xludf.DUMMYFUNCTION("""COMPUTED_VALUE"""),1220378.0)</f>
        <v>1220378</v>
      </c>
      <c r="C8795" t="str">
        <f>IFERROR(__xludf.DUMMYFUNCTION("""COMPUTED_VALUE"""),"Desarrollar una red social con JavaScript, Angular y NodeJS")</f>
        <v>Desarrollar una red social con JavaScript, Angular y NodeJS</v>
      </c>
    </row>
    <row r="8796">
      <c r="A8796" s="140" t="str">
        <f>IFERROR(__xludf.DUMMYFUNCTION("""COMPUTED_VALUE"""),"pt")</f>
        <v>pt</v>
      </c>
      <c r="B8796">
        <f>IFERROR(__xludf.DUMMYFUNCTION("""COMPUTED_VALUE"""),2187504.0)</f>
        <v>2187504</v>
      </c>
      <c r="C8796" t="str">
        <f>IFERROR(__xludf.DUMMYFUNCTION("""COMPUTED_VALUE"""),"Curso Blender 2.8 | Aprenda 3D do Zero!")</f>
        <v>Curso Blender 2.8 | Aprenda 3D do Zero!</v>
      </c>
    </row>
    <row r="8797">
      <c r="A8797" s="140" t="str">
        <f>IFERROR(__xludf.DUMMYFUNCTION("""COMPUTED_VALUE"""),"en")</f>
        <v>en</v>
      </c>
      <c r="B8797">
        <f>IFERROR(__xludf.DUMMYFUNCTION("""COMPUTED_VALUE"""),656522.0)</f>
        <v>656522</v>
      </c>
      <c r="C8797" t="str">
        <f>IFERROR(__xludf.DUMMYFUNCTION("""COMPUTED_VALUE"""),"Ruby on Rails Foundations")</f>
        <v>Ruby on Rails Foundations</v>
      </c>
    </row>
    <row r="8798">
      <c r="A8798" s="140" t="str">
        <f>IFERROR(__xludf.DUMMYFUNCTION("""COMPUTED_VALUE"""),"en")</f>
        <v>en</v>
      </c>
      <c r="B8798">
        <f>IFERROR(__xludf.DUMMYFUNCTION("""COMPUTED_VALUE"""),1699476.0)</f>
        <v>1699476</v>
      </c>
      <c r="C8798" t="str">
        <f>IFERROR(__xludf.DUMMYFUNCTION("""COMPUTED_VALUE"""),"Learn Protractor(Angular Testing) from scratch +Framework")</f>
        <v>Learn Protractor(Angular Testing) from scratch +Framework</v>
      </c>
    </row>
    <row r="8799">
      <c r="A8799" s="140" t="str">
        <f>IFERROR(__xludf.DUMMYFUNCTION("""COMPUTED_VALUE"""),"ja")</f>
        <v>ja</v>
      </c>
      <c r="B8799">
        <f>IFERROR(__xludf.DUMMYFUNCTION("""COMPUTED_VALUE"""),1938484.0)</f>
        <v>1938484</v>
      </c>
      <c r="C8799" t="str">
        <f>IFERROR(__xludf.DUMMYFUNCTION("""COMPUTED_VALUE"""),"人工知能（AI）×IoT×ブロックチェーン時代のテクノロジー／次世代ビジネスモデルノウハウの全ての基礎知識を獲得する講座")</f>
        <v>人工知能（AI）×IoT×ブロックチェーン時代のテクノロジー／次世代ビジネスモデルノウハウの全ての基礎知識を獲得する講座</v>
      </c>
    </row>
    <row r="8800">
      <c r="A8800" s="140" t="str">
        <f>IFERROR(__xludf.DUMMYFUNCTION("""COMPUTED_VALUE"""),"en")</f>
        <v>en</v>
      </c>
      <c r="B8800">
        <f>IFERROR(__xludf.DUMMYFUNCTION("""COMPUTED_VALUE"""),1087374.0)</f>
        <v>1087374</v>
      </c>
      <c r="C8800" t="str">
        <f>IFERROR(__xludf.DUMMYFUNCTION("""COMPUTED_VALUE"""),"Essentials in JavaScript ES6 - A Fun and Clear Introduction")</f>
        <v>Essentials in JavaScript ES6 - A Fun and Clear Introduction</v>
      </c>
    </row>
    <row r="8801">
      <c r="A8801" s="140" t="str">
        <f>IFERROR(__xludf.DUMMYFUNCTION("""COMPUTED_VALUE"""),"ar")</f>
        <v>ar</v>
      </c>
      <c r="B8801">
        <f>IFERROR(__xludf.DUMMYFUNCTION("""COMPUTED_VALUE"""),885892.0)</f>
        <v>885892</v>
      </c>
      <c r="C8801" t="str">
        <f>IFERROR(__xludf.DUMMYFUNCTION("""COMPUTED_VALUE"""),"Branding Basics (Arabic) | سلسلة التسويق: أساسيات البراندنج")</f>
        <v>Branding Basics (Arabic) | سلسلة التسويق: أساسيات البراندنج</v>
      </c>
    </row>
    <row r="8802">
      <c r="A8802" s="140" t="str">
        <f>IFERROR(__xludf.DUMMYFUNCTION("""COMPUTED_VALUE"""),"de")</f>
        <v>de</v>
      </c>
      <c r="B8802">
        <f>IFERROR(__xludf.DUMMYFUNCTION("""COMPUTED_VALUE"""),2529774.0)</f>
        <v>2529774</v>
      </c>
      <c r="C8802" t="str">
        <f>IFERROR(__xludf.DUMMYFUNCTION("""COMPUTED_VALUE"""),"Adobe Illustrator CC - Der große &amp; einfache Praxis-Kurs.")</f>
        <v>Adobe Illustrator CC - Der große &amp; einfache Praxis-Kurs.</v>
      </c>
    </row>
    <row r="8803">
      <c r="A8803" s="140" t="str">
        <f>IFERROR(__xludf.DUMMYFUNCTION("""COMPUTED_VALUE"""),"es")</f>
        <v>es</v>
      </c>
      <c r="B8803">
        <f>IFERROR(__xludf.DUMMYFUNCTION("""COMPUTED_VALUE"""),1485712.0)</f>
        <v>1485712</v>
      </c>
      <c r="C8803" t="str">
        <f>IFERROR(__xludf.DUMMYFUNCTION("""COMPUTED_VALUE"""),"Email Marketing: La herramienta de ventas más efectiva")</f>
        <v>Email Marketing: La herramienta de ventas más efectiva</v>
      </c>
    </row>
    <row r="8804">
      <c r="A8804" s="140" t="str">
        <f>IFERROR(__xludf.DUMMYFUNCTION("""COMPUTED_VALUE"""),"en")</f>
        <v>en</v>
      </c>
      <c r="B8804">
        <f>IFERROR(__xludf.DUMMYFUNCTION("""COMPUTED_VALUE"""),1716506.0)</f>
        <v>1716506</v>
      </c>
      <c r="C8804" t="str">
        <f>IFERROR(__xludf.DUMMYFUNCTION("""COMPUTED_VALUE"""),"Audio Engineering: Mixing with Studio One")</f>
        <v>Audio Engineering: Mixing with Studio One</v>
      </c>
    </row>
    <row r="8805">
      <c r="A8805" s="140" t="str">
        <f>IFERROR(__xludf.DUMMYFUNCTION("""COMPUTED_VALUE"""),"en")</f>
        <v>en</v>
      </c>
      <c r="B8805">
        <f>IFERROR(__xludf.DUMMYFUNCTION("""COMPUTED_VALUE"""),2313966.0)</f>
        <v>2313966</v>
      </c>
      <c r="C8805" t="str">
        <f>IFERROR(__xludf.DUMMYFUNCTION("""COMPUTED_VALUE"""),"Qt 5 C++ GUI Development - Intermediate")</f>
        <v>Qt 5 C++ GUI Development - Intermediate</v>
      </c>
    </row>
    <row r="8806">
      <c r="A8806" s="140" t="str">
        <f>IFERROR(__xludf.DUMMYFUNCTION("""COMPUTED_VALUE"""),"en")</f>
        <v>en</v>
      </c>
      <c r="B8806">
        <f>IFERROR(__xludf.DUMMYFUNCTION("""COMPUTED_VALUE"""),1587644.0)</f>
        <v>1587644</v>
      </c>
      <c r="C8806" t="str">
        <f>IFERROR(__xludf.DUMMYFUNCTION("""COMPUTED_VALUE"""),"Advanced Stock Trading Course + Strategies")</f>
        <v>Advanced Stock Trading Course + Strategies</v>
      </c>
    </row>
    <row r="8807">
      <c r="A8807" s="140" t="str">
        <f>IFERROR(__xludf.DUMMYFUNCTION("""COMPUTED_VALUE"""),"tr")</f>
        <v>tr</v>
      </c>
      <c r="B8807">
        <f>IFERROR(__xludf.DUMMYFUNCTION("""COMPUTED_VALUE"""),3037338.0)</f>
        <v>3037338</v>
      </c>
      <c r="C8807" t="str">
        <f>IFERROR(__xludf.DUMMYFUNCTION("""COMPUTED_VALUE"""),"Sıfırdan Uygulamalı Etik Hacker ve Siber Güvenlik Eğitimi")</f>
        <v>Sıfırdan Uygulamalı Etik Hacker ve Siber Güvenlik Eğitimi</v>
      </c>
    </row>
    <row r="8808">
      <c r="A8808" s="140" t="str">
        <f>IFERROR(__xludf.DUMMYFUNCTION("""COMPUTED_VALUE"""),"en")</f>
        <v>en</v>
      </c>
      <c r="B8808">
        <f>IFERROR(__xludf.DUMMYFUNCTION("""COMPUTED_VALUE"""),326326.0)</f>
        <v>326326</v>
      </c>
      <c r="C8808" t="str">
        <f>IFERROR(__xludf.DUMMYFUNCTION("""COMPUTED_VALUE"""),"Mastering SharePoint 2013 Development Using C# - Part I")</f>
        <v>Mastering SharePoint 2013 Development Using C# - Part I</v>
      </c>
    </row>
    <row r="8809">
      <c r="A8809" s="140" t="str">
        <f>IFERROR(__xludf.DUMMYFUNCTION("""COMPUTED_VALUE"""),"es")</f>
        <v>es</v>
      </c>
      <c r="B8809">
        <f>IFERROR(__xludf.DUMMYFUNCTION("""COMPUTED_VALUE"""),728634.0)</f>
        <v>728634</v>
      </c>
      <c r="C8809" t="str">
        <f>IFERROR(__xludf.DUMMYFUNCTION("""COMPUTED_VALUE"""),"Aprende Programación en C desde cero")</f>
        <v>Aprende Programación en C desde cero</v>
      </c>
    </row>
    <row r="8810">
      <c r="A8810" s="140" t="str">
        <f>IFERROR(__xludf.DUMMYFUNCTION("""COMPUTED_VALUE"""),"en")</f>
        <v>en</v>
      </c>
      <c r="B8810">
        <f>IFERROR(__xludf.DUMMYFUNCTION("""COMPUTED_VALUE"""),671150.0)</f>
        <v>671150</v>
      </c>
      <c r="C8810" t="str">
        <f>IFERROR(__xludf.DUMMYFUNCTION("""COMPUTED_VALUE"""),"Sales Training – Everyone sells!")</f>
        <v>Sales Training – Everyone sells!</v>
      </c>
    </row>
    <row r="8811">
      <c r="A8811" s="140" t="str">
        <f>IFERROR(__xludf.DUMMYFUNCTION("""COMPUTED_VALUE"""),"ja")</f>
        <v>ja</v>
      </c>
      <c r="B8811">
        <f>IFERROR(__xludf.DUMMYFUNCTION("""COMPUTED_VALUE"""),3157054.0)</f>
        <v>3157054</v>
      </c>
      <c r="C8811" t="str">
        <f>IFERROR(__xludf.DUMMYFUNCTION("""COMPUTED_VALUE"""),"画像処理の基礎：フィルタリング，パターン認識から撮像過程モデルまで")</f>
        <v>画像処理の基礎：フィルタリング，パターン認識から撮像過程モデルまで</v>
      </c>
    </row>
    <row r="8812">
      <c r="A8812" s="140" t="str">
        <f>IFERROR(__xludf.DUMMYFUNCTION("""COMPUTED_VALUE"""),"en")</f>
        <v>en</v>
      </c>
      <c r="B8812">
        <f>IFERROR(__xludf.DUMMYFUNCTION("""COMPUTED_VALUE"""),1425762.0)</f>
        <v>1425762</v>
      </c>
      <c r="C8812" t="str">
        <f>IFERROR(__xludf.DUMMYFUNCTION("""COMPUTED_VALUE"""),"AWS Certified Solutions Architect - Professional 2021")</f>
        <v>AWS Certified Solutions Architect - Professional 2021</v>
      </c>
    </row>
    <row r="8813">
      <c r="A8813" s="140" t="str">
        <f>IFERROR(__xludf.DUMMYFUNCTION("""COMPUTED_VALUE"""),"en")</f>
        <v>en</v>
      </c>
      <c r="B8813">
        <f>IFERROR(__xludf.DUMMYFUNCTION("""COMPUTED_VALUE"""),1256116.0)</f>
        <v>1256116</v>
      </c>
      <c r="C8813" t="str">
        <f>IFERROR(__xludf.DUMMYFUNCTION("""COMPUTED_VALUE"""),"English Idioms Launch: Upgrade your speaking and listening")</f>
        <v>English Idioms Launch: Upgrade your speaking and listening</v>
      </c>
    </row>
    <row r="8814">
      <c r="A8814" s="140" t="str">
        <f>IFERROR(__xludf.DUMMYFUNCTION("""COMPUTED_VALUE"""),"en")</f>
        <v>en</v>
      </c>
      <c r="B8814">
        <f>IFERROR(__xludf.DUMMYFUNCTION("""COMPUTED_VALUE"""),3344496.0)</f>
        <v>3344496</v>
      </c>
      <c r="C8814" t="str">
        <f>IFERROR(__xludf.DUMMYFUNCTION("""COMPUTED_VALUE"""),"Space Entrepreneurship 101")</f>
        <v>Space Entrepreneurship 101</v>
      </c>
    </row>
    <row r="8815">
      <c r="A8815" s="140" t="str">
        <f>IFERROR(__xludf.DUMMYFUNCTION("""COMPUTED_VALUE"""),"en")</f>
        <v>en</v>
      </c>
      <c r="B8815">
        <f>IFERROR(__xludf.DUMMYFUNCTION("""COMPUTED_VALUE"""),2995300.0)</f>
        <v>2995300</v>
      </c>
      <c r="C8815" t="str">
        <f>IFERROR(__xludf.DUMMYFUNCTION("""COMPUTED_VALUE"""),"Learning and Development Methods")</f>
        <v>Learning and Development Methods</v>
      </c>
    </row>
    <row r="8816">
      <c r="A8816" s="140" t="str">
        <f>IFERROR(__xludf.DUMMYFUNCTION("""COMPUTED_VALUE"""),"en")</f>
        <v>en</v>
      </c>
      <c r="B8816">
        <f>IFERROR(__xludf.DUMMYFUNCTION("""COMPUTED_VALUE"""),287862.0)</f>
        <v>287862</v>
      </c>
      <c r="C8816" t="str">
        <f>IFERROR(__xludf.DUMMYFUNCTION("""COMPUTED_VALUE"""),"[2022] Learn How to Build a Personal Brand on LinkedIn®")</f>
        <v>[2022] Learn How to Build a Personal Brand on LinkedIn®</v>
      </c>
    </row>
    <row r="8817">
      <c r="A8817" s="140" t="str">
        <f>IFERROR(__xludf.DUMMYFUNCTION("""COMPUTED_VALUE"""),"en")</f>
        <v>en</v>
      </c>
      <c r="B8817">
        <f>IFERROR(__xludf.DUMMYFUNCTION("""COMPUTED_VALUE"""),1190936.0)</f>
        <v>1190936</v>
      </c>
      <c r="C8817" t="str">
        <f>IFERROR(__xludf.DUMMYFUNCTION("""COMPUTED_VALUE"""),"SQL Server Migration and Upgrade Process")</f>
        <v>SQL Server Migration and Upgrade Process</v>
      </c>
    </row>
    <row r="8818">
      <c r="A8818" s="140" t="str">
        <f>IFERROR(__xludf.DUMMYFUNCTION("""COMPUTED_VALUE"""),"de")</f>
        <v>de</v>
      </c>
      <c r="B8818">
        <f>IFERROR(__xludf.DUMMYFUNCTION("""COMPUTED_VALUE"""),1622104.0)</f>
        <v>1622104</v>
      </c>
      <c r="C8818" t="str">
        <f>IFERROR(__xludf.DUMMYFUNCTION("""COMPUTED_VALUE"""),"Facebook Marketing - Seite, Gruppe, Livestream, Bots und Co.")</f>
        <v>Facebook Marketing - Seite, Gruppe, Livestream, Bots und Co.</v>
      </c>
    </row>
    <row r="8819">
      <c r="A8819" s="140" t="str">
        <f>IFERROR(__xludf.DUMMYFUNCTION("""COMPUTED_VALUE"""),"en")</f>
        <v>en</v>
      </c>
      <c r="B8819">
        <f>IFERROR(__xludf.DUMMYFUNCTION("""COMPUTED_VALUE"""),739512.0)</f>
        <v>739512</v>
      </c>
      <c r="C8819" t="str">
        <f>IFERROR(__xludf.DUMMYFUNCTION("""COMPUTED_VALUE"""),"Comprehensive Ruby Programming")</f>
        <v>Comprehensive Ruby Programming</v>
      </c>
    </row>
    <row r="8820">
      <c r="A8820" s="140" t="str">
        <f>IFERROR(__xludf.DUMMYFUNCTION("""COMPUTED_VALUE"""),"en")</f>
        <v>en</v>
      </c>
      <c r="B8820">
        <f>IFERROR(__xludf.DUMMYFUNCTION("""COMPUTED_VALUE"""),401998.0)</f>
        <v>401998</v>
      </c>
      <c r="C8820" t="str">
        <f>IFERROR(__xludf.DUMMYFUNCTION("""COMPUTED_VALUE"""),"Crash Course Electronics and PCB Design")</f>
        <v>Crash Course Electronics and PCB Design</v>
      </c>
    </row>
    <row r="8821">
      <c r="A8821" s="140" t="str">
        <f>IFERROR(__xludf.DUMMYFUNCTION("""COMPUTED_VALUE"""),"pt")</f>
        <v>pt</v>
      </c>
      <c r="B8821">
        <f>IFERROR(__xludf.DUMMYFUNCTION("""COMPUTED_VALUE"""),2306930.0)</f>
        <v>2306930</v>
      </c>
      <c r="C8821" t="str">
        <f>IFERROR(__xludf.DUMMYFUNCTION("""COMPUTED_VALUE"""),"Certificação Amazon AWS Solution Architect 2021 + 3 CURSOS")</f>
        <v>Certificação Amazon AWS Solution Architect 2021 + 3 CURSOS</v>
      </c>
    </row>
    <row r="8822">
      <c r="A8822" s="140" t="str">
        <f>IFERROR(__xludf.DUMMYFUNCTION("""COMPUTED_VALUE"""),"de")</f>
        <v>de</v>
      </c>
      <c r="B8822">
        <f>IFERROR(__xludf.DUMMYFUNCTION("""COMPUTED_VALUE"""),2818119.0)</f>
        <v>2818119</v>
      </c>
      <c r="C8822" t="str">
        <f>IFERROR(__xludf.DUMMYFUNCTION("""COMPUTED_VALUE"""),"Körpersprache: Menschen einfach lesen.")</f>
        <v>Körpersprache: Menschen einfach lesen.</v>
      </c>
    </row>
    <row r="8823">
      <c r="A8823" s="140" t="str">
        <f>IFERROR(__xludf.DUMMYFUNCTION("""COMPUTED_VALUE"""),"en")</f>
        <v>en</v>
      </c>
      <c r="B8823">
        <f>IFERROR(__xludf.DUMMYFUNCTION("""COMPUTED_VALUE"""),3834716.0)</f>
        <v>3834716</v>
      </c>
      <c r="C8823" t="str">
        <f>IFERROR(__xludf.DUMMYFUNCTION("""COMPUTED_VALUE"""),"DP-100 Microsoft Azure Data Scientist Complete Exam Prep")</f>
        <v>DP-100 Microsoft Azure Data Scientist Complete Exam Prep</v>
      </c>
    </row>
    <row r="8824">
      <c r="A8824" s="140" t="str">
        <f>IFERROR(__xludf.DUMMYFUNCTION("""COMPUTED_VALUE"""),"en")</f>
        <v>en</v>
      </c>
      <c r="B8824">
        <f>IFERROR(__xludf.DUMMYFUNCTION("""COMPUTED_VALUE"""),1037646.0)</f>
        <v>1037646</v>
      </c>
      <c r="C8824" t="str">
        <f>IFERROR(__xludf.DUMMYFUNCTION("""COMPUTED_VALUE"""),"Consulting Approach to Problem Solving")</f>
        <v>Consulting Approach to Problem Solving</v>
      </c>
    </row>
    <row r="8825">
      <c r="A8825" s="140" t="str">
        <f>IFERROR(__xludf.DUMMYFUNCTION("""COMPUTED_VALUE"""),"en")</f>
        <v>en</v>
      </c>
      <c r="B8825">
        <f>IFERROR(__xludf.DUMMYFUNCTION("""COMPUTED_VALUE"""),1266724.0)</f>
        <v>1266724</v>
      </c>
      <c r="C8825" t="str">
        <f>IFERROR(__xludf.DUMMYFUNCTION("""COMPUTED_VALUE"""),"SAP SD Advanced Training")</f>
        <v>SAP SD Advanced Training</v>
      </c>
    </row>
    <row r="8826">
      <c r="A8826" s="140" t="str">
        <f>IFERROR(__xludf.DUMMYFUNCTION("""COMPUTED_VALUE"""),"es")</f>
        <v>es</v>
      </c>
      <c r="B8826">
        <f>IFERROR(__xludf.DUMMYFUNCTION("""COMPUTED_VALUE"""),1726548.0)</f>
        <v>1726548</v>
      </c>
      <c r="C8826" t="str">
        <f>IFERROR(__xludf.DUMMYFUNCTION("""COMPUTED_VALUE"""),"Angular con DevOps, TDD, Pruebas Unitarias, Pipelines, Azure")</f>
        <v>Angular con DevOps, TDD, Pruebas Unitarias, Pipelines, Azure</v>
      </c>
    </row>
    <row r="8827">
      <c r="A8827" s="140" t="str">
        <f>IFERROR(__xludf.DUMMYFUNCTION("""COMPUTED_VALUE"""),"tr")</f>
        <v>tr</v>
      </c>
      <c r="B8827">
        <f>IFERROR(__xludf.DUMMYFUNCTION("""COMPUTED_VALUE"""),3314934.0)</f>
        <v>3314934</v>
      </c>
      <c r="C8827" t="str">
        <f>IFERROR(__xludf.DUMMYFUNCTION("""COMPUTED_VALUE"""),"WEB 2.0 ARAÇLARI")</f>
        <v>WEB 2.0 ARAÇLARI</v>
      </c>
    </row>
    <row r="8828">
      <c r="A8828" s="140" t="str">
        <f>IFERROR(__xludf.DUMMYFUNCTION("""COMPUTED_VALUE"""),"en")</f>
        <v>en</v>
      </c>
      <c r="B8828">
        <f>IFERROR(__xludf.DUMMYFUNCTION("""COMPUTED_VALUE"""),530022.0)</f>
        <v>530022</v>
      </c>
      <c r="C8828" t="str">
        <f>IFERROR(__xludf.DUMMYFUNCTION("""COMPUTED_VALUE"""),"SAS Programming BASE certification course for SAS Beginners")</f>
        <v>SAS Programming BASE certification course for SAS Beginners</v>
      </c>
    </row>
    <row r="8829">
      <c r="A8829" s="140" t="str">
        <f>IFERROR(__xludf.DUMMYFUNCTION("""COMPUTED_VALUE"""),"en")</f>
        <v>en</v>
      </c>
      <c r="B8829">
        <f>IFERROR(__xludf.DUMMYFUNCTION("""COMPUTED_VALUE"""),2523606.0)</f>
        <v>2523606</v>
      </c>
      <c r="C8829" t="str">
        <f>IFERROR(__xludf.DUMMYFUNCTION("""COMPUTED_VALUE"""),"Learn HubSpot CRM From Scratch")</f>
        <v>Learn HubSpot CRM From Scratch</v>
      </c>
    </row>
    <row r="8830">
      <c r="A8830" s="140" t="str">
        <f>IFERROR(__xludf.DUMMYFUNCTION("""COMPUTED_VALUE"""),"en")</f>
        <v>en</v>
      </c>
      <c r="B8830">
        <f>IFERROR(__xludf.DUMMYFUNCTION("""COMPUTED_VALUE"""),32199.0)</f>
        <v>32199</v>
      </c>
      <c r="C8830" t="str">
        <f>IFERROR(__xludf.DUMMYFUNCTION("""COMPUTED_VALUE"""),"IT Troubleshooting Skill Training")</f>
        <v>IT Troubleshooting Skill Training</v>
      </c>
    </row>
    <row r="8831">
      <c r="A8831" s="140" t="str">
        <f>IFERROR(__xludf.DUMMYFUNCTION("""COMPUTED_VALUE"""),"de")</f>
        <v>de</v>
      </c>
      <c r="B8831">
        <f>IFERROR(__xludf.DUMMYFUNCTION("""COMPUTED_VALUE"""),1129198.0)</f>
        <v>1129198</v>
      </c>
      <c r="C8831" t="str">
        <f>IFERROR(__xludf.DUMMYFUNCTION("""COMPUTED_VALUE"""),"Code-Editor Vim: Booste deine Produktivität (Komplett-Kurs)")</f>
        <v>Code-Editor Vim: Booste deine Produktivität (Komplett-Kurs)</v>
      </c>
    </row>
    <row r="8832">
      <c r="A8832" s="140" t="str">
        <f>IFERROR(__xludf.DUMMYFUNCTION("""COMPUTED_VALUE"""),"en")</f>
        <v>en</v>
      </c>
      <c r="B8832">
        <f>IFERROR(__xludf.DUMMYFUNCTION("""COMPUTED_VALUE"""),448610.0)</f>
        <v>448610</v>
      </c>
      <c r="C8832" t="str">
        <f>IFERROR(__xludf.DUMMYFUNCTION("""COMPUTED_VALUE"""),"Train the Trainer Serenity: How to Handle Challenging People")</f>
        <v>Train the Trainer Serenity: How to Handle Challenging People</v>
      </c>
    </row>
    <row r="8833">
      <c r="A8833" s="140" t="str">
        <f>IFERROR(__xludf.DUMMYFUNCTION("""COMPUTED_VALUE"""),"en")</f>
        <v>en</v>
      </c>
      <c r="B8833">
        <f>IFERROR(__xludf.DUMMYFUNCTION("""COMPUTED_VALUE"""),775346.0)</f>
        <v>775346</v>
      </c>
      <c r="C8833" t="str">
        <f>IFERROR(__xludf.DUMMYFUNCTION("""COMPUTED_VALUE"""),"SharePoint 2013 Complete Training")</f>
        <v>SharePoint 2013 Complete Training</v>
      </c>
    </row>
    <row r="8834">
      <c r="A8834" s="140" t="str">
        <f>IFERROR(__xludf.DUMMYFUNCTION("""COMPUTED_VALUE"""),"pt")</f>
        <v>pt</v>
      </c>
      <c r="B8834">
        <f>IFERROR(__xludf.DUMMYFUNCTION("""COMPUTED_VALUE"""),566284.0)</f>
        <v>566284</v>
      </c>
      <c r="C8834" t="str">
        <f>IFERROR(__xludf.DUMMYFUNCTION("""COMPUTED_VALUE"""),"Do Básico ao Avançado - O Curso Completo de Microsoft Excel")</f>
        <v>Do Básico ao Avançado - O Curso Completo de Microsoft Excel</v>
      </c>
    </row>
    <row r="8835">
      <c r="A8835" s="140" t="str">
        <f>IFERROR(__xludf.DUMMYFUNCTION("""COMPUTED_VALUE"""),"zh")</f>
        <v>zh</v>
      </c>
      <c r="B8835">
        <f>IFERROR(__xludf.DUMMYFUNCTION("""COMPUTED_VALUE"""),1865400.0)</f>
        <v>1865400</v>
      </c>
      <c r="C8835" t="str">
        <f>IFERROR(__xludf.DUMMYFUNCTION("""COMPUTED_VALUE"""),"MySQL 零基础从入门到精通")</f>
        <v>MySQL 零基础从入门到精通</v>
      </c>
    </row>
    <row r="8836">
      <c r="A8836" s="140" t="str">
        <f>IFERROR(__xludf.DUMMYFUNCTION("""COMPUTED_VALUE"""),"en")</f>
        <v>en</v>
      </c>
      <c r="B8836">
        <f>IFERROR(__xludf.DUMMYFUNCTION("""COMPUTED_VALUE"""),4281666.0)</f>
        <v>4281666</v>
      </c>
      <c r="C8836" t="str">
        <f>IFERROR(__xludf.DUMMYFUNCTION("""COMPUTED_VALUE"""),"[NEW] AI-900: Microsoft Azure AI Fundamentals in a Weekend")</f>
        <v>[NEW] AI-900: Microsoft Azure AI Fundamentals in a Weekend</v>
      </c>
    </row>
    <row r="8837">
      <c r="A8837" s="140" t="str">
        <f>IFERROR(__xludf.DUMMYFUNCTION("""COMPUTED_VALUE"""),"ko")</f>
        <v>ko</v>
      </c>
      <c r="B8837">
        <f>IFERROR(__xludf.DUMMYFUNCTION("""COMPUTED_VALUE"""),4115896.0)</f>
        <v>4115896</v>
      </c>
      <c r="C8837" t="str">
        <f>IFERROR(__xludf.DUMMYFUNCTION("""COMPUTED_VALUE"""),"데이터 분석이 쉬워지는 R 프로그래밍의 모든 것")</f>
        <v>데이터 분석이 쉬워지는 R 프로그래밍의 모든 것</v>
      </c>
    </row>
    <row r="8838">
      <c r="A8838" s="140" t="str">
        <f>IFERROR(__xludf.DUMMYFUNCTION("""COMPUTED_VALUE"""),"en")</f>
        <v>en</v>
      </c>
      <c r="B8838">
        <f>IFERROR(__xludf.DUMMYFUNCTION("""COMPUTED_VALUE"""),1361814.0)</f>
        <v>1361814</v>
      </c>
      <c r="C8838" t="str">
        <f>IFERROR(__xludf.DUMMYFUNCTION("""COMPUTED_VALUE"""),"Giving Effective Feedback: Empower and Retain Your Employees")</f>
        <v>Giving Effective Feedback: Empower and Retain Your Employees</v>
      </c>
    </row>
    <row r="8839">
      <c r="A8839" s="140" t="str">
        <f>IFERROR(__xludf.DUMMYFUNCTION("""COMPUTED_VALUE"""),"ja")</f>
        <v>ja</v>
      </c>
      <c r="B8839">
        <f>IFERROR(__xludf.DUMMYFUNCTION("""COMPUTED_VALUE"""),3656264.0)</f>
        <v>3656264</v>
      </c>
      <c r="C8839" t="str">
        <f>IFERROR(__xludf.DUMMYFUNCTION("""COMPUTED_VALUE"""),"説得力を高め問題解決に導く！実務直結”データを活かした”戦略的ストーリーメイキング講座")</f>
        <v>説得力を高め問題解決に導く！実務直結”データを活かした”戦略的ストーリーメイキング講座</v>
      </c>
    </row>
    <row r="8840">
      <c r="A8840" s="140" t="str">
        <f>IFERROR(__xludf.DUMMYFUNCTION("""COMPUTED_VALUE"""),"pt")</f>
        <v>pt</v>
      </c>
      <c r="B8840">
        <f>IFERROR(__xludf.DUMMYFUNCTION("""COMPUTED_VALUE"""),3524572.0)</f>
        <v>3524572</v>
      </c>
      <c r="C8840" t="str">
        <f>IFERROR(__xludf.DUMMYFUNCTION("""COMPUTED_VALUE"""),"Curso básico de atenção plena - Mindfulness")</f>
        <v>Curso básico de atenção plena - Mindfulness</v>
      </c>
    </row>
    <row r="8841">
      <c r="A8841" s="140" t="str">
        <f>IFERROR(__xludf.DUMMYFUNCTION("""COMPUTED_VALUE"""),"en")</f>
        <v>en</v>
      </c>
      <c r="B8841">
        <f>IFERROR(__xludf.DUMMYFUNCTION("""COMPUTED_VALUE"""),886046.0)</f>
        <v>886046</v>
      </c>
      <c r="C8841" t="str">
        <f>IFERROR(__xludf.DUMMYFUNCTION("""COMPUTED_VALUE"""),"Learn by Example : HBase - The Hadoop Database")</f>
        <v>Learn by Example : HBase - The Hadoop Database</v>
      </c>
    </row>
    <row r="8842">
      <c r="A8842" s="140" t="str">
        <f>IFERROR(__xludf.DUMMYFUNCTION("""COMPUTED_VALUE"""),"en")</f>
        <v>en</v>
      </c>
      <c r="B8842">
        <f>IFERROR(__xludf.DUMMYFUNCTION("""COMPUTED_VALUE"""),1635492.0)</f>
        <v>1635492</v>
      </c>
      <c r="C8842" t="str">
        <f>IFERROR(__xludf.DUMMYFUNCTION("""COMPUTED_VALUE"""),"Master Java Unit Testing with Spring Boot &amp; Mockito")</f>
        <v>Master Java Unit Testing with Spring Boot &amp; Mockito</v>
      </c>
    </row>
    <row r="8843">
      <c r="A8843" s="140" t="str">
        <f>IFERROR(__xludf.DUMMYFUNCTION("""COMPUTED_VALUE"""),"tr")</f>
        <v>tr</v>
      </c>
      <c r="B8843">
        <f>IFERROR(__xludf.DUMMYFUNCTION("""COMPUTED_VALUE"""),3523266.0)</f>
        <v>3523266</v>
      </c>
      <c r="C8843" t="str">
        <f>IFERROR(__xludf.DUMMYFUNCTION("""COMPUTED_VALUE"""),"PİYASALARDA 6 AY ! Gün ve Gün Piyasa Analiz ve Portföy Yönet")</f>
        <v>PİYASALARDA 6 AY ! Gün ve Gün Piyasa Analiz ve Portföy Yönet</v>
      </c>
    </row>
    <row r="8844">
      <c r="A8844" s="140" t="str">
        <f>IFERROR(__xludf.DUMMYFUNCTION("""COMPUTED_VALUE"""),"pt")</f>
        <v>pt</v>
      </c>
      <c r="B8844">
        <f>IFERROR(__xludf.DUMMYFUNCTION("""COMPUTED_VALUE"""),3485624.0)</f>
        <v>3485624</v>
      </c>
      <c r="C8844" t="str">
        <f>IFERROR(__xludf.DUMMYFUNCTION("""COMPUTED_VALUE"""),"Data Science Descomplicado Vol. 1: A Base Matemática")</f>
        <v>Data Science Descomplicado Vol. 1: A Base Matemática</v>
      </c>
    </row>
    <row r="8845">
      <c r="A8845" s="140" t="str">
        <f>IFERROR(__xludf.DUMMYFUNCTION("""COMPUTED_VALUE"""),"en")</f>
        <v>en</v>
      </c>
      <c r="B8845">
        <f>IFERROR(__xludf.DUMMYFUNCTION("""COMPUTED_VALUE"""),3914960.0)</f>
        <v>3914960</v>
      </c>
      <c r="C8845" t="str">
        <f>IFERROR(__xludf.DUMMYFUNCTION("""COMPUTED_VALUE"""),"Machine Learning for BI, PART 2: Classification Modeling")</f>
        <v>Machine Learning for BI, PART 2: Classification Modeling</v>
      </c>
    </row>
    <row r="8846">
      <c r="A8846" s="140" t="str">
        <f>IFERROR(__xludf.DUMMYFUNCTION("""COMPUTED_VALUE"""),"de")</f>
        <v>de</v>
      </c>
      <c r="B8846">
        <f>IFERROR(__xludf.DUMMYFUNCTION("""COMPUTED_VALUE"""),670618.0)</f>
        <v>670618</v>
      </c>
      <c r="C8846" t="str">
        <f>IFERROR(__xludf.DUMMYFUNCTION("""COMPUTED_VALUE"""),"UITableView mit Swift - von A bis Z")</f>
        <v>UITableView mit Swift - von A bis Z</v>
      </c>
    </row>
    <row r="8847">
      <c r="A8847" s="140" t="str">
        <f>IFERROR(__xludf.DUMMYFUNCTION("""COMPUTED_VALUE"""),"es")</f>
        <v>es</v>
      </c>
      <c r="B8847">
        <f>IFERROR(__xludf.DUMMYFUNCTION("""COMPUTED_VALUE"""),2982132.0)</f>
        <v>2982132</v>
      </c>
      <c r="C8847" t="str">
        <f>IFERROR(__xludf.DUMMYFUNCTION("""COMPUTED_VALUE"""),"Liderazgo: Gerencia en Tecnología / Ingeniería 2021")</f>
        <v>Liderazgo: Gerencia en Tecnología / Ingeniería 2021</v>
      </c>
    </row>
    <row r="8848">
      <c r="A8848" s="140" t="str">
        <f>IFERROR(__xludf.DUMMYFUNCTION("""COMPUTED_VALUE"""),"en")</f>
        <v>en</v>
      </c>
      <c r="B8848">
        <f>IFERROR(__xludf.DUMMYFUNCTION("""COMPUTED_VALUE"""),2340560.0)</f>
        <v>2340560</v>
      </c>
      <c r="C8848" t="str">
        <f>IFERROR(__xludf.DUMMYFUNCTION("""COMPUTED_VALUE"""),"Leadership, Business Process Improvement, &amp; Process Mapping!")</f>
        <v>Leadership, Business Process Improvement, &amp; Process Mapping!</v>
      </c>
    </row>
    <row r="8849">
      <c r="A8849" s="140" t="str">
        <f>IFERROR(__xludf.DUMMYFUNCTION("""COMPUTED_VALUE"""),"en")</f>
        <v>en</v>
      </c>
      <c r="B8849">
        <f>IFERROR(__xludf.DUMMYFUNCTION("""COMPUTED_VALUE"""),1288044.0)</f>
        <v>1288044</v>
      </c>
      <c r="C8849" t="str">
        <f>IFERROR(__xludf.DUMMYFUNCTION("""COMPUTED_VALUE"""),"The Complete Foundation Stock Trading Course")</f>
        <v>The Complete Foundation Stock Trading Course</v>
      </c>
    </row>
    <row r="8850">
      <c r="A8850" s="140" t="str">
        <f>IFERROR(__xludf.DUMMYFUNCTION("""COMPUTED_VALUE"""),"en")</f>
        <v>en</v>
      </c>
      <c r="B8850">
        <f>IFERROR(__xludf.DUMMYFUNCTION("""COMPUTED_VALUE"""),332662.0)</f>
        <v>332662</v>
      </c>
      <c r="C8850" t="str">
        <f>IFERROR(__xludf.DUMMYFUNCTION("""COMPUTED_VALUE"""),"Marketing Fundamentals: Discover The 5 Marketing Pillars")</f>
        <v>Marketing Fundamentals: Discover The 5 Marketing Pillars</v>
      </c>
    </row>
    <row r="8851">
      <c r="A8851" s="140" t="str">
        <f>IFERROR(__xludf.DUMMYFUNCTION("""COMPUTED_VALUE"""),"en")</f>
        <v>en</v>
      </c>
      <c r="B8851">
        <f>IFERROR(__xludf.DUMMYFUNCTION("""COMPUTED_VALUE"""),2538600.0)</f>
        <v>2538600</v>
      </c>
      <c r="C8851" t="str">
        <f>IFERROR(__xludf.DUMMYFUNCTION("""COMPUTED_VALUE"""),"SAP Data Services (BODS) Masterclass : Learn From Scratch")</f>
        <v>SAP Data Services (BODS) Masterclass : Learn From Scratch</v>
      </c>
    </row>
    <row r="8852">
      <c r="A8852" s="140" t="str">
        <f>IFERROR(__xludf.DUMMYFUNCTION("""COMPUTED_VALUE"""),"en")</f>
        <v>en</v>
      </c>
      <c r="B8852">
        <f>IFERROR(__xludf.DUMMYFUNCTION("""COMPUTED_VALUE"""),1645222.0)</f>
        <v>1645222</v>
      </c>
      <c r="C8852" t="str">
        <f>IFERROR(__xludf.DUMMYFUNCTION("""COMPUTED_VALUE"""),"The Social Media Marketing Masterclass - 10 Courses in 1")</f>
        <v>The Social Media Marketing Masterclass - 10 Courses in 1</v>
      </c>
    </row>
    <row r="8853">
      <c r="A8853" s="140" t="str">
        <f>IFERROR(__xludf.DUMMYFUNCTION("""COMPUTED_VALUE"""),"en")</f>
        <v>en</v>
      </c>
      <c r="B8853">
        <f>IFERROR(__xludf.DUMMYFUNCTION("""COMPUTED_VALUE"""),1949428.0)</f>
        <v>1949428</v>
      </c>
      <c r="C8853" t="str">
        <f>IFERROR(__xludf.DUMMYFUNCTION("""COMPUTED_VALUE"""),"How to succeed in a Data Protection Officer Role (GDPR DPO)")</f>
        <v>How to succeed in a Data Protection Officer Role (GDPR DPO)</v>
      </c>
    </row>
    <row r="8854">
      <c r="A8854" s="140" t="str">
        <f>IFERROR(__xludf.DUMMYFUNCTION("""COMPUTED_VALUE"""),"ja")</f>
        <v>ja</v>
      </c>
      <c r="B8854">
        <f>IFERROR(__xludf.DUMMYFUNCTION("""COMPUTED_VALUE"""),3271146.0)</f>
        <v>3271146</v>
      </c>
      <c r="C8854" t="str">
        <f>IFERROR(__xludf.DUMMYFUNCTION("""COMPUTED_VALUE"""),"これだけでOK! AWS認定クラウドプラクティショナー試験突破講座（豊富な試験問題290問付き）")</f>
        <v>これだけでOK! AWS認定クラウドプラクティショナー試験突破講座（豊富な試験問題290問付き）</v>
      </c>
    </row>
    <row r="8855">
      <c r="A8855" s="140" t="str">
        <f>IFERROR(__xludf.DUMMYFUNCTION("""COMPUTED_VALUE"""),"pt")</f>
        <v>pt</v>
      </c>
      <c r="B8855">
        <f>IFERROR(__xludf.DUMMYFUNCTION("""COMPUTED_VALUE"""),1068098.0)</f>
        <v>1068098</v>
      </c>
      <c r="C8855" t="str">
        <f>IFERROR(__xludf.DUMMYFUNCTION("""COMPUTED_VALUE"""),"Teste de Software: Seja um Expert e Impulsione Sua Carreira")</f>
        <v>Teste de Software: Seja um Expert e Impulsione Sua Carreira</v>
      </c>
    </row>
    <row r="8856">
      <c r="A8856" s="140" t="str">
        <f>IFERROR(__xludf.DUMMYFUNCTION("""COMPUTED_VALUE"""),"tr")</f>
        <v>tr</v>
      </c>
      <c r="B8856">
        <f>IFERROR(__xludf.DUMMYFUNCTION("""COMPUTED_VALUE"""),2154346.0)</f>
        <v>2154346</v>
      </c>
      <c r="C8856" t="str">
        <f>IFERROR(__xludf.DUMMYFUNCTION("""COMPUTED_VALUE"""),"React|Apollo|GraphQL ile Uygulama Geliştirelim")</f>
        <v>React|Apollo|GraphQL ile Uygulama Geliştirelim</v>
      </c>
    </row>
    <row r="8857">
      <c r="A8857" s="140" t="str">
        <f>IFERROR(__xludf.DUMMYFUNCTION("""COMPUTED_VALUE"""),"fr")</f>
        <v>fr</v>
      </c>
      <c r="B8857">
        <f>IFERROR(__xludf.DUMMYFUNCTION("""COMPUTED_VALUE"""),3589636.0)</f>
        <v>3589636</v>
      </c>
      <c r="C8857" t="str">
        <f>IFERROR(__xludf.DUMMYFUNCTION("""COMPUTED_VALUE"""),"La comptabilité facile : comprendre et débuter simplement")</f>
        <v>La comptabilité facile : comprendre et débuter simplement</v>
      </c>
    </row>
    <row r="8858">
      <c r="A8858" s="140" t="str">
        <f>IFERROR(__xludf.DUMMYFUNCTION("""COMPUTED_VALUE"""),"es")</f>
        <v>es</v>
      </c>
      <c r="B8858">
        <f>IFERROR(__xludf.DUMMYFUNCTION("""COMPUTED_VALUE"""),851918.0)</f>
        <v>851918</v>
      </c>
      <c r="C8858" t="str">
        <f>IFERROR(__xludf.DUMMYFUNCTION("""COMPUTED_VALUE"""),"After Effects: De zero a Master")</f>
        <v>After Effects: De zero a Master</v>
      </c>
    </row>
    <row r="8859">
      <c r="A8859" s="140" t="str">
        <f>IFERROR(__xludf.DUMMYFUNCTION("""COMPUTED_VALUE"""),"de")</f>
        <v>de</v>
      </c>
      <c r="B8859">
        <f>IFERROR(__xludf.DUMMYFUNCTION("""COMPUTED_VALUE"""),958698.0)</f>
        <v>958698</v>
      </c>
      <c r="C8859" t="str">
        <f>IFERROR(__xludf.DUMMYFUNCTION("""COMPUTED_VALUE"""),"Linux Bash Scripting – Für Einsteiger in der Praxis")</f>
        <v>Linux Bash Scripting – Für Einsteiger in der Praxis</v>
      </c>
    </row>
    <row r="8860">
      <c r="A8860" s="140" t="str">
        <f>IFERROR(__xludf.DUMMYFUNCTION("""COMPUTED_VALUE"""),"tr")</f>
        <v>tr</v>
      </c>
      <c r="B8860">
        <f>IFERROR(__xludf.DUMMYFUNCTION("""COMPUTED_VALUE"""),2997018.0)</f>
        <v>2997018</v>
      </c>
      <c r="C8860" t="str">
        <f>IFERROR(__xludf.DUMMYFUNCTION("""COMPUTED_VALUE"""),"Kriz döneminde telefonda satış")</f>
        <v>Kriz döneminde telefonda satış</v>
      </c>
    </row>
    <row r="8861">
      <c r="A8861" s="140" t="str">
        <f>IFERROR(__xludf.DUMMYFUNCTION("""COMPUTED_VALUE"""),"en")</f>
        <v>en</v>
      </c>
      <c r="B8861">
        <f>IFERROR(__xludf.DUMMYFUNCTION("""COMPUTED_VALUE"""),2032186.0)</f>
        <v>2032186</v>
      </c>
      <c r="C8861" t="str">
        <f>IFERROR(__xludf.DUMMYFUNCTION("""COMPUTED_VALUE"""),"BPMN 2.0 with Brian: From Beginner to Winner")</f>
        <v>BPMN 2.0 with Brian: From Beginner to Winner</v>
      </c>
    </row>
    <row r="8862">
      <c r="A8862" s="140" t="str">
        <f>IFERROR(__xludf.DUMMYFUNCTION("""COMPUTED_VALUE"""),"en")</f>
        <v>en</v>
      </c>
      <c r="B8862">
        <f>IFERROR(__xludf.DUMMYFUNCTION("""COMPUTED_VALUE"""),1951908.0)</f>
        <v>1951908</v>
      </c>
      <c r="C8862" t="str">
        <f>IFERROR(__xludf.DUMMYFUNCTION("""COMPUTED_VALUE"""),"Beginners guide to drawing cartoon characters in Procreate")</f>
        <v>Beginners guide to drawing cartoon characters in Procreate</v>
      </c>
    </row>
    <row r="8863">
      <c r="A8863" s="140" t="str">
        <f>IFERROR(__xludf.DUMMYFUNCTION("""COMPUTED_VALUE"""),"en")</f>
        <v>en</v>
      </c>
      <c r="B8863">
        <f>IFERROR(__xludf.DUMMYFUNCTION("""COMPUTED_VALUE"""),890622.0)</f>
        <v>890622</v>
      </c>
      <c r="C8863" t="str">
        <f>IFERROR(__xludf.DUMMYFUNCTION("""COMPUTED_VALUE"""),"What No One Taught Me as a Film, TV, &amp; Game Music Composer")</f>
        <v>What No One Taught Me as a Film, TV, &amp; Game Music Composer</v>
      </c>
    </row>
    <row r="8864">
      <c r="A8864" s="140" t="str">
        <f>IFERROR(__xludf.DUMMYFUNCTION("""COMPUTED_VALUE"""),"en")</f>
        <v>en</v>
      </c>
      <c r="B8864">
        <f>IFERROR(__xludf.DUMMYFUNCTION("""COMPUTED_VALUE"""),903378.0)</f>
        <v>903378</v>
      </c>
      <c r="C8864" t="str">
        <f>IFERROR(__xludf.DUMMYFUNCTION("""COMPUTED_VALUE"""),"The Python Bible™ | Everything You Need to Program in Python")</f>
        <v>The Python Bible™ | Everything You Need to Program in Python</v>
      </c>
    </row>
    <row r="8865">
      <c r="A8865" s="140" t="str">
        <f>IFERROR(__xludf.DUMMYFUNCTION("""COMPUTED_VALUE"""),"en")</f>
        <v>en</v>
      </c>
      <c r="B8865">
        <f>IFERROR(__xludf.DUMMYFUNCTION("""COMPUTED_VALUE"""),903378.0)</f>
        <v>903378</v>
      </c>
      <c r="C8865" t="str">
        <f>IFERROR(__xludf.DUMMYFUNCTION("""COMPUTED_VALUE"""),"The Python Bible™ | Everything You Need to Program in Python")</f>
        <v>The Python Bible™ | Everything You Need to Program in Python</v>
      </c>
    </row>
    <row r="8866">
      <c r="A8866" s="140" t="str">
        <f>IFERROR(__xludf.DUMMYFUNCTION("""COMPUTED_VALUE"""),"ko")</f>
        <v>ko</v>
      </c>
      <c r="B8866">
        <f>IFERROR(__xludf.DUMMYFUNCTION("""COMPUTED_VALUE"""),1034434.0)</f>
        <v>1034434</v>
      </c>
      <c r="C8866" t="str">
        <f>IFERROR(__xludf.DUMMYFUNCTION("""COMPUTED_VALUE"""),"누구나 쉽게 배우는 Git(깃) &amp; Github(깃허브)")</f>
        <v>누구나 쉽게 배우는 Git(깃) &amp; Github(깃허브)</v>
      </c>
    </row>
    <row r="8867">
      <c r="A8867" s="140" t="str">
        <f>IFERROR(__xludf.DUMMYFUNCTION("""COMPUTED_VALUE"""),"en")</f>
        <v>en</v>
      </c>
      <c r="B8867">
        <f>IFERROR(__xludf.DUMMYFUNCTION("""COMPUTED_VALUE"""),2231706.0)</f>
        <v>2231706</v>
      </c>
      <c r="C8867" t="str">
        <f>IFERROR(__xludf.DUMMYFUNCTION("""COMPUTED_VALUE"""),"JavaScript Projects Games 55 Modern JavaScript DOM ES6")</f>
        <v>JavaScript Projects Games 55 Modern JavaScript DOM ES6</v>
      </c>
    </row>
    <row r="8868">
      <c r="A8868" s="140" t="str">
        <f>IFERROR(__xludf.DUMMYFUNCTION("""COMPUTED_VALUE"""),"fr")</f>
        <v>fr</v>
      </c>
      <c r="B8868">
        <f>IFERROR(__xludf.DUMMYFUNCTION("""COMPUTED_VALUE"""),1384436.0)</f>
        <v>1384436</v>
      </c>
      <c r="C8868" t="str">
        <f>IFERROR(__xludf.DUMMYFUNCTION("""COMPUTED_VALUE"""),"Guide pratique de finances personnelles")</f>
        <v>Guide pratique de finances personnelles</v>
      </c>
    </row>
    <row r="8869">
      <c r="A8869" s="140" t="str">
        <f>IFERROR(__xludf.DUMMYFUNCTION("""COMPUTED_VALUE"""),"ja")</f>
        <v>ja</v>
      </c>
      <c r="B8869">
        <f>IFERROR(__xludf.DUMMYFUNCTION("""COMPUTED_VALUE"""),1886786.0)</f>
        <v>1886786</v>
      </c>
      <c r="C8869" t="str">
        <f>IFERROR(__xludf.DUMMYFUNCTION("""COMPUTED_VALUE"""),"医師が教えるR言語での医療データ分析入門 -発展編(集計)： 集計表と公的なデータから レポートを作ってみよう！")</f>
        <v>医師が教えるR言語での医療データ分析入門 -発展編(集計)： 集計表と公的なデータから レポートを作ってみよう！</v>
      </c>
    </row>
    <row r="8870">
      <c r="A8870" s="140" t="str">
        <f>IFERROR(__xludf.DUMMYFUNCTION("""COMPUTED_VALUE"""),"ja")</f>
        <v>ja</v>
      </c>
      <c r="B8870">
        <f>IFERROR(__xludf.DUMMYFUNCTION("""COMPUTED_VALUE"""),2457048.0)</f>
        <v>2457048</v>
      </c>
      <c r="C8870" t="str">
        <f>IFERROR(__xludf.DUMMYFUNCTION("""COMPUTED_VALUE"""),"C#のコーディングルール：スタイルコップアナライザーを使ってチーム全員が同じコードを書く方法")</f>
        <v>C#のコーディングルール：スタイルコップアナライザーを使ってチーム全員が同じコードを書く方法</v>
      </c>
    </row>
    <row r="8871">
      <c r="A8871" s="140" t="str">
        <f>IFERROR(__xludf.DUMMYFUNCTION("""COMPUTED_VALUE"""),"de")</f>
        <v>de</v>
      </c>
      <c r="B8871">
        <f>IFERROR(__xludf.DUMMYFUNCTION("""COMPUTED_VALUE"""),1870598.0)</f>
        <v>1870598</v>
      </c>
      <c r="C8871" t="str">
        <f>IFERROR(__xludf.DUMMYFUNCTION("""COMPUTED_VALUE"""),"Daytrading: An der Börse Geld verdienen für Einsteiger")</f>
        <v>Daytrading: An der Börse Geld verdienen für Einsteiger</v>
      </c>
    </row>
    <row r="8872">
      <c r="A8872" s="140" t="str">
        <f>IFERROR(__xludf.DUMMYFUNCTION("""COMPUTED_VALUE"""),"en")</f>
        <v>en</v>
      </c>
      <c r="B8872">
        <f>IFERROR(__xludf.DUMMYFUNCTION("""COMPUTED_VALUE"""),2529790.0)</f>
        <v>2529790</v>
      </c>
      <c r="C8872" t="str">
        <f>IFERROR(__xludf.DUMMYFUNCTION("""COMPUTED_VALUE"""),"AWS Certified Machine Learning Specialty 2021 - Hands On!")</f>
        <v>AWS Certified Machine Learning Specialty 2021 - Hands On!</v>
      </c>
    </row>
    <row r="8873">
      <c r="A8873" s="140" t="str">
        <f>IFERROR(__xludf.DUMMYFUNCTION("""COMPUTED_VALUE"""),"en")</f>
        <v>en</v>
      </c>
      <c r="B8873">
        <f>IFERROR(__xludf.DUMMYFUNCTION("""COMPUTED_VALUE"""),1886576.0)</f>
        <v>1886576</v>
      </c>
      <c r="C8873" t="str">
        <f>IFERROR(__xludf.DUMMYFUNCTION("""COMPUTED_VALUE"""),"Introduction to Cloud Security with Microsoft Azure")</f>
        <v>Introduction to Cloud Security with Microsoft Azure</v>
      </c>
    </row>
    <row r="8874">
      <c r="A8874" s="140" t="str">
        <f>IFERROR(__xludf.DUMMYFUNCTION("""COMPUTED_VALUE"""),"en")</f>
        <v>en</v>
      </c>
      <c r="B8874">
        <f>IFERROR(__xludf.DUMMYFUNCTION("""COMPUTED_VALUE"""),2024062.0)</f>
        <v>2024062</v>
      </c>
      <c r="C8874" t="str">
        <f>IFERROR(__xludf.DUMMYFUNCTION("""COMPUTED_VALUE"""),"Master RxJS Without Breaking A Sweat")</f>
        <v>Master RxJS Without Breaking A Sweat</v>
      </c>
    </row>
    <row r="8875">
      <c r="A8875" s="140" t="str">
        <f>IFERROR(__xludf.DUMMYFUNCTION("""COMPUTED_VALUE"""),"en")</f>
        <v>en</v>
      </c>
      <c r="B8875">
        <f>IFERROR(__xludf.DUMMYFUNCTION("""COMPUTED_VALUE"""),1563128.0)</f>
        <v>1563128</v>
      </c>
      <c r="C8875" t="str">
        <f>IFERROR(__xludf.DUMMYFUNCTION("""COMPUTED_VALUE"""),"Ethical Hacking: Network Scan Nmap&amp;Nessus | ethical hacking")</f>
        <v>Ethical Hacking: Network Scan Nmap&amp;Nessus | ethical hacking</v>
      </c>
    </row>
    <row r="8876">
      <c r="A8876" s="140" t="str">
        <f>IFERROR(__xludf.DUMMYFUNCTION("""COMPUTED_VALUE"""),"en")</f>
        <v>en</v>
      </c>
      <c r="B8876">
        <f>IFERROR(__xludf.DUMMYFUNCTION("""COMPUTED_VALUE"""),390658.0)</f>
        <v>390658</v>
      </c>
      <c r="C8876" t="str">
        <f>IFERROR(__xludf.DUMMYFUNCTION("""COMPUTED_VALUE"""),"Top Five Wage and Hour Traps for Business")</f>
        <v>Top Five Wage and Hour Traps for Business</v>
      </c>
    </row>
    <row r="8877">
      <c r="A8877" s="140" t="str">
        <f>IFERROR(__xludf.DUMMYFUNCTION("""COMPUTED_VALUE"""),"ar")</f>
        <v>ar</v>
      </c>
      <c r="B8877">
        <f>IFERROR(__xludf.DUMMYFUNCTION("""COMPUTED_VALUE"""),3545726.0)</f>
        <v>3545726</v>
      </c>
      <c r="C8877" t="str">
        <f>IFERROR(__xludf.DUMMYFUNCTION("""COMPUTED_VALUE"""),"ICT Taskforce: Microsoft Office | Word Expert")</f>
        <v>ICT Taskforce: Microsoft Office | Word Expert</v>
      </c>
    </row>
    <row r="8878">
      <c r="A8878" s="140" t="str">
        <f>IFERROR(__xludf.DUMMYFUNCTION("""COMPUTED_VALUE"""),"en")</f>
        <v>en</v>
      </c>
      <c r="B8878">
        <f>IFERROR(__xludf.DUMMYFUNCTION("""COMPUTED_VALUE"""),1095384.0)</f>
        <v>1095384</v>
      </c>
      <c r="C8878" t="str">
        <f>IFERROR(__xludf.DUMMYFUNCTION("""COMPUTED_VALUE"""),"3ds Max + AE: Learn VFX, Camera Tracking and Compositing")</f>
        <v>3ds Max + AE: Learn VFX, Camera Tracking and Compositing</v>
      </c>
    </row>
    <row r="8879">
      <c r="A8879" s="140" t="str">
        <f>IFERROR(__xludf.DUMMYFUNCTION("""COMPUTED_VALUE"""),"fr")</f>
        <v>fr</v>
      </c>
      <c r="B8879">
        <f>IFERROR(__xludf.DUMMYFUNCTION("""COMPUTED_VALUE"""),3167010.0)</f>
        <v>3167010</v>
      </c>
      <c r="C8879" t="str">
        <f>IFERROR(__xludf.DUMMYFUNCTION("""COMPUTED_VALUE"""),"Azure DevOps - Pipelines : l'automatisation de votre projet")</f>
        <v>Azure DevOps - Pipelines : l'automatisation de votre projet</v>
      </c>
    </row>
    <row r="8880">
      <c r="A8880" s="140" t="str">
        <f>IFERROR(__xludf.DUMMYFUNCTION("""COMPUTED_VALUE"""),"en")</f>
        <v>en</v>
      </c>
      <c r="B8880">
        <f>IFERROR(__xludf.DUMMYFUNCTION("""COMPUTED_VALUE"""),3493058.0)</f>
        <v>3493058</v>
      </c>
      <c r="C8880" t="str">
        <f>IFERROR(__xludf.DUMMYFUNCTION("""COMPUTED_VALUE"""),"SAP CO Product Costing-""By Sales Order Scenario""S4/HANA 1909")</f>
        <v>SAP CO Product Costing-"By Sales Order Scenario"S4/HANA 1909</v>
      </c>
    </row>
    <row r="8881">
      <c r="A8881" s="140" t="str">
        <f>IFERROR(__xludf.DUMMYFUNCTION("""COMPUTED_VALUE"""),"en")</f>
        <v>en</v>
      </c>
      <c r="B8881">
        <f>IFERROR(__xludf.DUMMYFUNCTION("""COMPUTED_VALUE"""),1801852.0)</f>
        <v>1801852</v>
      </c>
      <c r="C8881" t="str">
        <f>IFERROR(__xludf.DUMMYFUNCTION("""COMPUTED_VALUE"""),"Blockchain and Healthcare")</f>
        <v>Blockchain and Healthcare</v>
      </c>
    </row>
    <row r="8882">
      <c r="A8882" s="140" t="str">
        <f>IFERROR(__xludf.DUMMYFUNCTION("""COMPUTED_VALUE"""),"tr")</f>
        <v>tr</v>
      </c>
      <c r="B8882">
        <f>IFERROR(__xludf.DUMMYFUNCTION("""COMPUTED_VALUE"""),1788236.0)</f>
        <v>1788236</v>
      </c>
      <c r="C8882" t="str">
        <f>IFERROR(__xludf.DUMMYFUNCTION("""COMPUTED_VALUE"""),"Machine Learning ve Python: A'dan Z'ye Makine Öğrenmesi (4)")</f>
        <v>Machine Learning ve Python: A'dan Z'ye Makine Öğrenmesi (4)</v>
      </c>
    </row>
    <row r="8883">
      <c r="A8883" s="140" t="str">
        <f>IFERROR(__xludf.DUMMYFUNCTION("""COMPUTED_VALUE"""),"en")</f>
        <v>en</v>
      </c>
      <c r="B8883">
        <f>IFERROR(__xludf.DUMMYFUNCTION("""COMPUTED_VALUE"""),2267906.0)</f>
        <v>2267906</v>
      </c>
      <c r="C8883" t="str">
        <f>IFERROR(__xludf.DUMMYFUNCTION("""COMPUTED_VALUE"""),"Software Engineering 101: Plan and Execute Better Software.")</f>
        <v>Software Engineering 101: Plan and Execute Better Software.</v>
      </c>
    </row>
    <row r="8884">
      <c r="A8884" s="140" t="str">
        <f>IFERROR(__xludf.DUMMYFUNCTION("""COMPUTED_VALUE"""),"en")</f>
        <v>en</v>
      </c>
      <c r="B8884">
        <f>IFERROR(__xludf.DUMMYFUNCTION("""COMPUTED_VALUE"""),685562.0)</f>
        <v>685562</v>
      </c>
      <c r="C8884" t="str">
        <f>IFERROR(__xludf.DUMMYFUNCTION("""COMPUTED_VALUE"""),"SDF: Memory Forensics 2")</f>
        <v>SDF: Memory Forensics 2</v>
      </c>
    </row>
    <row r="8885">
      <c r="A8885" s="140" t="str">
        <f>IFERROR(__xludf.DUMMYFUNCTION("""COMPUTED_VALUE"""),"ja")</f>
        <v>ja</v>
      </c>
      <c r="B8885">
        <f>IFERROR(__xludf.DUMMYFUNCTION("""COMPUTED_VALUE"""),3847704.0)</f>
        <v>3847704</v>
      </c>
      <c r="C8885" t="str">
        <f>IFERROR(__xludf.DUMMYFUNCTION("""COMPUTED_VALUE"""),"「行政あるある」を乗り越えて、地方自治体の広報・情報発信をアップデートしよう")</f>
        <v>「行政あるある」を乗り越えて、地方自治体の広報・情報発信をアップデートしよう</v>
      </c>
    </row>
    <row r="8886">
      <c r="A8886" s="140" t="str">
        <f>IFERROR(__xludf.DUMMYFUNCTION("""COMPUTED_VALUE"""),"ko")</f>
        <v>ko</v>
      </c>
      <c r="B8886">
        <f>IFERROR(__xludf.DUMMYFUNCTION("""COMPUTED_VALUE"""),4263792.0)</f>
        <v>4263792</v>
      </c>
      <c r="C8886" t="str">
        <f>IFERROR(__xludf.DUMMYFUNCTION("""COMPUTED_VALUE"""),"일 잘하는 마케터가 업무에 피그마를 활용하는 방법")</f>
        <v>일 잘하는 마케터가 업무에 피그마를 활용하는 방법</v>
      </c>
    </row>
    <row r="8887">
      <c r="A8887" s="140" t="str">
        <f>IFERROR(__xludf.DUMMYFUNCTION("""COMPUTED_VALUE"""),"de")</f>
        <v>de</v>
      </c>
      <c r="B8887">
        <f>IFERROR(__xludf.DUMMYFUNCTION("""COMPUTED_VALUE"""),2309504.0)</f>
        <v>2309504</v>
      </c>
      <c r="C8887" t="str">
        <f>IFERROR(__xludf.DUMMYFUNCTION("""COMPUTED_VALUE"""),"EPLAN P8 - Der Fortgeschrittenen Kurs (2021)")</f>
        <v>EPLAN P8 - Der Fortgeschrittenen Kurs (2021)</v>
      </c>
    </row>
    <row r="8888">
      <c r="A8888" s="140" t="str">
        <f>IFERROR(__xludf.DUMMYFUNCTION("""COMPUTED_VALUE"""),"en")</f>
        <v>en</v>
      </c>
      <c r="B8888">
        <f>IFERROR(__xludf.DUMMYFUNCTION("""COMPUTED_VALUE"""),3220009.0)</f>
        <v>3220009</v>
      </c>
      <c r="C8888" t="str">
        <f>IFERROR(__xludf.DUMMYFUNCTION("""COMPUTED_VALUE"""),"Azure Data Factory V2:Premium Hands on Practical Course 2021")</f>
        <v>Azure Data Factory V2:Premium Hands on Practical Course 2021</v>
      </c>
    </row>
    <row r="8889">
      <c r="A8889" s="140" t="str">
        <f>IFERROR(__xludf.DUMMYFUNCTION("""COMPUTED_VALUE"""),"en")</f>
        <v>en</v>
      </c>
      <c r="B8889">
        <f>IFERROR(__xludf.DUMMYFUNCTION("""COMPUTED_VALUE"""),1417868.0)</f>
        <v>1417868</v>
      </c>
      <c r="C8889" t="str">
        <f>IFERROR(__xludf.DUMMYFUNCTION("""COMPUTED_VALUE"""),"Leading Effective 1-on-1 Meetings: Win loyalty and retention")</f>
        <v>Leading Effective 1-on-1 Meetings: Win loyalty and retention</v>
      </c>
    </row>
    <row r="8890">
      <c r="A8890" s="140" t="str">
        <f>IFERROR(__xludf.DUMMYFUNCTION("""COMPUTED_VALUE"""),"en")</f>
        <v>en</v>
      </c>
      <c r="B8890">
        <f>IFERROR(__xludf.DUMMYFUNCTION("""COMPUTED_VALUE"""),1228704.0)</f>
        <v>1228704</v>
      </c>
      <c r="C8890" t="str">
        <f>IFERROR(__xludf.DUMMYFUNCTION("""COMPUTED_VALUE"""),"Forecasting and Time Series Analysis in Tableau")</f>
        <v>Forecasting and Time Series Analysis in Tableau</v>
      </c>
    </row>
    <row r="8891">
      <c r="A8891" s="140" t="str">
        <f>IFERROR(__xludf.DUMMYFUNCTION("""COMPUTED_VALUE"""),"en")</f>
        <v>en</v>
      </c>
      <c r="B8891">
        <f>IFERROR(__xludf.DUMMYFUNCTION("""COMPUTED_VALUE"""),2175714.0)</f>
        <v>2175714</v>
      </c>
      <c r="C8891" t="str">
        <f>IFERROR(__xludf.DUMMYFUNCTION("""COMPUTED_VALUE"""),"Develop Discord Bots in nodejs Complete course")</f>
        <v>Develop Discord Bots in nodejs Complete course</v>
      </c>
    </row>
    <row r="8892">
      <c r="A8892" s="140" t="str">
        <f>IFERROR(__xludf.DUMMYFUNCTION("""COMPUTED_VALUE"""),"de")</f>
        <v>de</v>
      </c>
      <c r="B8892">
        <f>IFERROR(__xludf.DUMMYFUNCTION("""COMPUTED_VALUE"""),3097064.0)</f>
        <v>3097064</v>
      </c>
      <c r="C8892" t="str">
        <f>IFERROR(__xludf.DUMMYFUNCTION("""COMPUTED_VALUE"""),"Agiles Projektmanagement mit Scrum, Kanban und OKR")</f>
        <v>Agiles Projektmanagement mit Scrum, Kanban und OKR</v>
      </c>
    </row>
    <row r="8893">
      <c r="A8893" s="140" t="str">
        <f>IFERROR(__xludf.DUMMYFUNCTION("""COMPUTED_VALUE"""),"es")</f>
        <v>es</v>
      </c>
      <c r="B8893">
        <f>IFERROR(__xludf.DUMMYFUNCTION("""COMPUTED_VALUE"""),2736436.0)</f>
        <v>2736436</v>
      </c>
      <c r="C8893" t="str">
        <f>IFERROR(__xludf.DUMMYFUNCTION("""COMPUTED_VALUE"""),"Curso de redes en Amazon Web Services")</f>
        <v>Curso de redes en Amazon Web Services</v>
      </c>
    </row>
    <row r="8894">
      <c r="A8894" s="140" t="str">
        <f>IFERROR(__xludf.DUMMYFUNCTION("""COMPUTED_VALUE"""),"en")</f>
        <v>en</v>
      </c>
      <c r="B8894">
        <f>IFERROR(__xludf.DUMMYFUNCTION("""COMPUTED_VALUE"""),1350906.0)</f>
        <v>1350906</v>
      </c>
      <c r="C8894" t="str">
        <f>IFERROR(__xludf.DUMMYFUNCTION("""COMPUTED_VALUE"""),"How to automate active directory labs for pentesting")</f>
        <v>How to automate active directory labs for pentesting</v>
      </c>
    </row>
    <row r="8895">
      <c r="A8895" s="140" t="str">
        <f>IFERROR(__xludf.DUMMYFUNCTION("""COMPUTED_VALUE"""),"de")</f>
        <v>de</v>
      </c>
      <c r="B8895">
        <f>IFERROR(__xludf.DUMMYFUNCTION("""COMPUTED_VALUE"""),771724.0)</f>
        <v>771724</v>
      </c>
      <c r="C8895" t="str">
        <f>IFERROR(__xludf.DUMMYFUNCTION("""COMPUTED_VALUE"""),"Mentaltraining:Von der kleinen Angst zur großen Gelassenheit")</f>
        <v>Mentaltraining:Von der kleinen Angst zur großen Gelassenheit</v>
      </c>
    </row>
    <row r="8896">
      <c r="A8896" s="140" t="str">
        <f>IFERROR(__xludf.DUMMYFUNCTION("""COMPUTED_VALUE"""),"pt")</f>
        <v>pt</v>
      </c>
      <c r="B8896">
        <f>IFERROR(__xludf.DUMMYFUNCTION("""COMPUTED_VALUE"""),3412302.0)</f>
        <v>3412302</v>
      </c>
      <c r="C8896" t="str">
        <f>IFERROR(__xludf.DUMMYFUNCTION("""COMPUTED_VALUE"""),"Vendas de Serviços de Alto Valor")</f>
        <v>Vendas de Serviços de Alto Valor</v>
      </c>
    </row>
    <row r="8897">
      <c r="A8897" s="140" t="str">
        <f>IFERROR(__xludf.DUMMYFUNCTION("""COMPUTED_VALUE"""),"pt")</f>
        <v>pt</v>
      </c>
      <c r="B8897">
        <f>IFERROR(__xludf.DUMMYFUNCTION("""COMPUTED_VALUE"""),2339714.0)</f>
        <v>2339714</v>
      </c>
      <c r="C8897" t="str">
        <f>IFERROR(__xludf.DUMMYFUNCTION("""COMPUTED_VALUE"""),"Visualização de Dados-Data Science: R Markdown e Dashboard")</f>
        <v>Visualização de Dados-Data Science: R Markdown e Dashboard</v>
      </c>
    </row>
    <row r="8898">
      <c r="A8898" s="140" t="str">
        <f>IFERROR(__xludf.DUMMYFUNCTION("""COMPUTED_VALUE"""),"ar")</f>
        <v>ar</v>
      </c>
      <c r="B8898">
        <f>IFERROR(__xludf.DUMMYFUNCTION("""COMPUTED_VALUE"""),3127514.0)</f>
        <v>3127514</v>
      </c>
      <c r="C8898" t="str">
        <f>IFERROR(__xludf.DUMMYFUNCTION("""COMPUTED_VALUE"""),"Certified Cost Professional Certification CCP")</f>
        <v>Certified Cost Professional Certification CCP</v>
      </c>
    </row>
    <row r="8899">
      <c r="A8899" s="140" t="str">
        <f>IFERROR(__xludf.DUMMYFUNCTION("""COMPUTED_VALUE"""),"es")</f>
        <v>es</v>
      </c>
      <c r="B8899">
        <f>IFERROR(__xludf.DUMMYFUNCTION("""COMPUTED_VALUE"""),1873960.0)</f>
        <v>1873960</v>
      </c>
      <c r="C8899" t="str">
        <f>IFERROR(__xludf.DUMMYFUNCTION("""COMPUTED_VALUE"""),"Implementación de Servidores DNS (Módulo III)")</f>
        <v>Implementación de Servidores DNS (Módulo III)</v>
      </c>
    </row>
    <row r="8900">
      <c r="A8900" s="140" t="str">
        <f>IFERROR(__xludf.DUMMYFUNCTION("""COMPUTED_VALUE"""),"en")</f>
        <v>en</v>
      </c>
      <c r="B8900">
        <f>IFERROR(__xludf.DUMMYFUNCTION("""COMPUTED_VALUE"""),897238.0)</f>
        <v>897238</v>
      </c>
      <c r="C8900" t="str">
        <f>IFERROR(__xludf.DUMMYFUNCTION("""COMPUTED_VALUE"""),"Canva Graphic Design for Entrepreneurs - Design 11 Projects")</f>
        <v>Canva Graphic Design for Entrepreneurs - Design 11 Projects</v>
      </c>
    </row>
    <row r="8901">
      <c r="A8901" s="140" t="str">
        <f>IFERROR(__xludf.DUMMYFUNCTION("""COMPUTED_VALUE"""),"de")</f>
        <v>de</v>
      </c>
      <c r="B8901">
        <f>IFERROR(__xludf.DUMMYFUNCTION("""COMPUTED_VALUE"""),3691060.0)</f>
        <v>3691060</v>
      </c>
      <c r="C8901" t="str">
        <f>IFERROR(__xludf.DUMMYFUNCTION("""COMPUTED_VALUE"""),"Lightroom lernen KOMPAKT")</f>
        <v>Lightroom lernen KOMPAKT</v>
      </c>
    </row>
    <row r="8902">
      <c r="A8902" s="140" t="str">
        <f>IFERROR(__xludf.DUMMYFUNCTION("""COMPUTED_VALUE"""),"pt")</f>
        <v>pt</v>
      </c>
      <c r="B8902">
        <f>IFERROR(__xludf.DUMMYFUNCTION("""COMPUTED_VALUE"""),3940062.0)</f>
        <v>3940062</v>
      </c>
      <c r="C8902" t="str">
        <f>IFERROR(__xludf.DUMMYFUNCTION("""COMPUTED_VALUE"""),"Databricks - unificando seus dados e análise")</f>
        <v>Databricks - unificando seus dados e análise</v>
      </c>
    </row>
    <row r="8903">
      <c r="A8903" s="140" t="str">
        <f>IFERROR(__xludf.DUMMYFUNCTION("""COMPUTED_VALUE"""),"pt")</f>
        <v>pt</v>
      </c>
      <c r="B8903">
        <f>IFERROR(__xludf.DUMMYFUNCTION("""COMPUTED_VALUE"""),1582350.0)</f>
        <v>1582350</v>
      </c>
      <c r="C8903" t="str">
        <f>IFERROR(__xludf.DUMMYFUNCTION("""COMPUTED_VALUE"""),"Asterisk Essencial")</f>
        <v>Asterisk Essencial</v>
      </c>
    </row>
    <row r="8904">
      <c r="A8904" s="140" t="str">
        <f>IFERROR(__xludf.DUMMYFUNCTION("""COMPUTED_VALUE"""),"en")</f>
        <v>en</v>
      </c>
      <c r="B8904">
        <f>IFERROR(__xludf.DUMMYFUNCTION("""COMPUTED_VALUE"""),687586.0)</f>
        <v>687586</v>
      </c>
      <c r="C8904" t="str">
        <f>IFERROR(__xludf.DUMMYFUNCTION("""COMPUTED_VALUE"""),"Windows Server 2012 System Administration: Get an IT Job!")</f>
        <v>Windows Server 2012 System Administration: Get an IT Job!</v>
      </c>
    </row>
    <row r="8905">
      <c r="A8905" s="140" t="str">
        <f>IFERROR(__xludf.DUMMYFUNCTION("""COMPUTED_VALUE"""),"fr")</f>
        <v>fr</v>
      </c>
      <c r="B8905">
        <f>IFERROR(__xludf.DUMMYFUNCTION("""COMPUTED_VALUE"""),2449224.0)</f>
        <v>2449224</v>
      </c>
      <c r="C8905" t="str">
        <f>IFERROR(__xludf.DUMMYFUNCTION("""COMPUTED_VALUE"""),"Langage corporel pour la réussite et la confiance en soi")</f>
        <v>Langage corporel pour la réussite et la confiance en soi</v>
      </c>
    </row>
    <row r="8906">
      <c r="A8906" s="140" t="str">
        <f>IFERROR(__xludf.DUMMYFUNCTION("""COMPUTED_VALUE"""),"es")</f>
        <v>es</v>
      </c>
      <c r="B8906">
        <f>IFERROR(__xludf.DUMMYFUNCTION("""COMPUTED_VALUE"""),1787526.0)</f>
        <v>1787526</v>
      </c>
      <c r="C8906" t="str">
        <f>IFERROR(__xludf.DUMMYFUNCTION("""COMPUTED_VALUE"""),"[2021] Aprueba la certificación EXIN Agile Scrum Foundation")</f>
        <v>[2021] Aprueba la certificación EXIN Agile Scrum Foundation</v>
      </c>
    </row>
    <row r="8907">
      <c r="A8907" s="140" t="str">
        <f>IFERROR(__xludf.DUMMYFUNCTION("""COMPUTED_VALUE"""),"en")</f>
        <v>en</v>
      </c>
      <c r="B8907">
        <f>IFERROR(__xludf.DUMMYFUNCTION("""COMPUTED_VALUE"""),3060114.0)</f>
        <v>3060114</v>
      </c>
      <c r="C8907" t="str">
        <f>IFERROR(__xludf.DUMMYFUNCTION("""COMPUTED_VALUE"""),"Data Center Essentials: General Introduction")</f>
        <v>Data Center Essentials: General Introduction</v>
      </c>
    </row>
    <row r="8908">
      <c r="A8908" s="140" t="str">
        <f>IFERROR(__xludf.DUMMYFUNCTION("""COMPUTED_VALUE"""),"ko")</f>
        <v>ko</v>
      </c>
      <c r="B8908">
        <f>IFERROR(__xludf.DUMMYFUNCTION("""COMPUTED_VALUE"""),4294156.0)</f>
        <v>4294156</v>
      </c>
      <c r="C8908" t="str">
        <f>IFERROR(__xludf.DUMMYFUNCTION("""COMPUTED_VALUE"""),"【글로벌 Best강의】 태블로 고수되기: Tableau 20 고급 트레이닝 (한글자막)")</f>
        <v>【글로벌 Best강의】 태블로 고수되기: Tableau 20 고급 트레이닝 (한글자막)</v>
      </c>
    </row>
    <row r="8909">
      <c r="A8909" s="140" t="str">
        <f>IFERROR(__xludf.DUMMYFUNCTION("""COMPUTED_VALUE"""),"es")</f>
        <v>es</v>
      </c>
      <c r="B8909">
        <f>IFERROR(__xludf.DUMMYFUNCTION("""COMPUTED_VALUE"""),899216.0)</f>
        <v>899216</v>
      </c>
      <c r="C8909" t="str">
        <f>IFERROR(__xludf.DUMMYFUNCTION("""COMPUTED_VALUE"""),"Negociación: Cómo Negociar con Eficacia y Éxito")</f>
        <v>Negociación: Cómo Negociar con Eficacia y Éxito</v>
      </c>
    </row>
    <row r="8910">
      <c r="A8910" s="140" t="str">
        <f>IFERROR(__xludf.DUMMYFUNCTION("""COMPUTED_VALUE"""),"tr")</f>
        <v>tr</v>
      </c>
      <c r="B8910">
        <f>IFERROR(__xludf.DUMMYFUNCTION("""COMPUTED_VALUE"""),3874342.0)</f>
        <v>3874342</v>
      </c>
      <c r="C8910" t="str">
        <f>IFERROR(__xludf.DUMMYFUNCTION("""COMPUTED_VALUE"""),"Photoshop İle Sıfırdan İleri Seviye Dersler")</f>
        <v>Photoshop İle Sıfırdan İleri Seviye Dersler</v>
      </c>
    </row>
    <row r="8911">
      <c r="A8911" s="140" t="str">
        <f>IFERROR(__xludf.DUMMYFUNCTION("""COMPUTED_VALUE"""),"pt")</f>
        <v>pt</v>
      </c>
      <c r="B8911">
        <f>IFERROR(__xludf.DUMMYFUNCTION("""COMPUTED_VALUE"""),2522198.0)</f>
        <v>2522198</v>
      </c>
      <c r="C8911" t="str">
        <f>IFERROR(__xludf.DUMMYFUNCTION("""COMPUTED_VALUE"""),"A arte de criar marcas e logotipos")</f>
        <v>A arte de criar marcas e logotipos</v>
      </c>
    </row>
    <row r="8912">
      <c r="A8912" s="140" t="str">
        <f>IFERROR(__xludf.DUMMYFUNCTION("""COMPUTED_VALUE"""),"fr")</f>
        <v>fr</v>
      </c>
      <c r="B8912">
        <f>IFERROR(__xludf.DUMMYFUNCTION("""COMPUTED_VALUE"""),1204420.0)</f>
        <v>1204420</v>
      </c>
      <c r="C8912" t="str">
        <f>IFERROR(__xludf.DUMMYFUNCTION("""COMPUTED_VALUE"""),"Formation à la photographie pour les débutants")</f>
        <v>Formation à la photographie pour les débutants</v>
      </c>
    </row>
    <row r="8913">
      <c r="A8913" s="140" t="str">
        <f>IFERROR(__xludf.DUMMYFUNCTION("""COMPUTED_VALUE"""),"fr")</f>
        <v>fr</v>
      </c>
      <c r="B8913">
        <f>IFERROR(__xludf.DUMMYFUNCTION("""COMPUTED_VALUE"""),3051392.0)</f>
        <v>3051392</v>
      </c>
      <c r="C8913" t="str">
        <f>IFERROR(__xludf.DUMMYFUNCTION("""COMPUTED_VALUE"""),"LinkedIn et Sales Navigator : le guide complet de A à Z")</f>
        <v>LinkedIn et Sales Navigator : le guide complet de A à Z</v>
      </c>
    </row>
    <row r="8914">
      <c r="A8914" s="140" t="str">
        <f>IFERROR(__xludf.DUMMYFUNCTION("""COMPUTED_VALUE"""),"es")</f>
        <v>es</v>
      </c>
      <c r="B8914">
        <f>IFERROR(__xludf.DUMMYFUNCTION("""COMPUTED_VALUE"""),997140.0)</f>
        <v>997140</v>
      </c>
      <c r="C8914" t="str">
        <f>IFERROR(__xludf.DUMMYFUNCTION("""COMPUTED_VALUE"""),"COBOL curso completo: Empieza a programar ¡Ya!")</f>
        <v>COBOL curso completo: Empieza a programar ¡Ya!</v>
      </c>
    </row>
    <row r="8915">
      <c r="A8915" s="140" t="str">
        <f>IFERROR(__xludf.DUMMYFUNCTION("""COMPUTED_VALUE"""),"en")</f>
        <v>en</v>
      </c>
      <c r="B8915">
        <f>IFERROR(__xludf.DUMMYFUNCTION("""COMPUTED_VALUE"""),937134.0)</f>
        <v>937134</v>
      </c>
      <c r="C8915" t="str">
        <f>IFERROR(__xludf.DUMMYFUNCTION("""COMPUTED_VALUE"""),"Javascript Intermediate level 3 - JSON")</f>
        <v>Javascript Intermediate level 3 - JSON</v>
      </c>
    </row>
    <row r="8916">
      <c r="A8916" s="140" t="str">
        <f>IFERROR(__xludf.DUMMYFUNCTION("""COMPUTED_VALUE"""),"en")</f>
        <v>en</v>
      </c>
      <c r="B8916">
        <f>IFERROR(__xludf.DUMMYFUNCTION("""COMPUTED_VALUE"""),868176.0)</f>
        <v>868176</v>
      </c>
      <c r="C8916" t="str">
        <f>IFERROR(__xludf.DUMMYFUNCTION("""COMPUTED_VALUE"""),"Mac Pages: Mastering Apple's Word Processing App")</f>
        <v>Mac Pages: Mastering Apple's Word Processing App</v>
      </c>
    </row>
    <row r="8917">
      <c r="A8917" s="140" t="str">
        <f>IFERROR(__xludf.DUMMYFUNCTION("""COMPUTED_VALUE"""),"ar")</f>
        <v>ar</v>
      </c>
      <c r="B8917">
        <f>IFERROR(__xludf.DUMMYFUNCTION("""COMPUTED_VALUE"""),3339190.0)</f>
        <v>3339190</v>
      </c>
      <c r="C8917" t="str">
        <f>IFERROR(__xludf.DUMMYFUNCTION("""COMPUTED_VALUE"""),"H2S Gas awareness (Advanced level) - Arabic")</f>
        <v>H2S Gas awareness (Advanced level) - Arabic</v>
      </c>
    </row>
    <row r="8918">
      <c r="A8918" s="140" t="str">
        <f>IFERROR(__xludf.DUMMYFUNCTION("""COMPUTED_VALUE"""),"pt")</f>
        <v>pt</v>
      </c>
      <c r="B8918">
        <f>IFERROR(__xludf.DUMMYFUNCTION("""COMPUTED_VALUE"""),3207549.0)</f>
        <v>3207549</v>
      </c>
      <c r="C8918" t="str">
        <f>IFERROR(__xludf.DUMMYFUNCTION("""COMPUTED_VALUE"""),"Curso completo para falar em público e fazer apresentações")</f>
        <v>Curso completo para falar em público e fazer apresentações</v>
      </c>
    </row>
    <row r="8919">
      <c r="A8919" s="140" t="str">
        <f>IFERROR(__xludf.DUMMYFUNCTION("""COMPUTED_VALUE"""),"en")</f>
        <v>en</v>
      </c>
      <c r="B8919">
        <f>IFERROR(__xludf.DUMMYFUNCTION("""COMPUTED_VALUE"""),977438.0)</f>
        <v>977438</v>
      </c>
      <c r="C8919" t="str">
        <f>IFERROR(__xludf.DUMMYFUNCTION("""COMPUTED_VALUE"""),"Microsoft Excel - Data Analysis with Excel Pivot Tables")</f>
        <v>Microsoft Excel - Data Analysis with Excel Pivot Tables</v>
      </c>
    </row>
    <row r="8920">
      <c r="A8920" s="140" t="str">
        <f>IFERROR(__xludf.DUMMYFUNCTION("""COMPUTED_VALUE"""),"en")</f>
        <v>en</v>
      </c>
      <c r="B8920">
        <f>IFERROR(__xludf.DUMMYFUNCTION("""COMPUTED_VALUE"""),1866224.0)</f>
        <v>1866224</v>
      </c>
      <c r="C8920" t="str">
        <f>IFERROR(__xludf.DUMMYFUNCTION("""COMPUTED_VALUE"""),"Azure Machine Learning using Cognitive Services")</f>
        <v>Azure Machine Learning using Cognitive Services</v>
      </c>
    </row>
    <row r="8921">
      <c r="A8921" s="140" t="str">
        <f>IFERROR(__xludf.DUMMYFUNCTION("""COMPUTED_VALUE"""),"en")</f>
        <v>en</v>
      </c>
      <c r="B8921">
        <f>IFERROR(__xludf.DUMMYFUNCTION("""COMPUTED_VALUE"""),4126398.0)</f>
        <v>4126398</v>
      </c>
      <c r="C8921" t="str">
        <f>IFERROR(__xludf.DUMMYFUNCTION("""COMPUTED_VALUE"""),"Google Professional Cloud Security Engineer Certification")</f>
        <v>Google Professional Cloud Security Engineer Certification</v>
      </c>
    </row>
    <row r="8922">
      <c r="A8922" s="140" t="str">
        <f>IFERROR(__xludf.DUMMYFUNCTION("""COMPUTED_VALUE"""),"fr")</f>
        <v>fr</v>
      </c>
      <c r="B8922">
        <f>IFERROR(__xludf.DUMMYFUNCTION("""COMPUTED_VALUE"""),2815411.0)</f>
        <v>2815411</v>
      </c>
      <c r="C8922" t="str">
        <f>IFERROR(__xludf.DUMMYFUNCTION("""COMPUTED_VALUE"""),"Prévenir et désamorcer les conflits interpersonnels")</f>
        <v>Prévenir et désamorcer les conflits interpersonnels</v>
      </c>
    </row>
    <row r="8923">
      <c r="A8923" s="140" t="str">
        <f>IFERROR(__xludf.DUMMYFUNCTION("""COMPUTED_VALUE"""),"en")</f>
        <v>en</v>
      </c>
      <c r="B8923">
        <f>IFERROR(__xludf.DUMMYFUNCTION("""COMPUTED_VALUE"""),2257592.0)</f>
        <v>2257592</v>
      </c>
      <c r="C8923" t="str">
        <f>IFERROR(__xludf.DUMMYFUNCTION("""COMPUTED_VALUE"""),"Mastering drawing and coloring: Beginner to Pro")</f>
        <v>Mastering drawing and coloring: Beginner to Pro</v>
      </c>
    </row>
    <row r="8924">
      <c r="A8924" s="140" t="str">
        <f>IFERROR(__xludf.DUMMYFUNCTION("""COMPUTED_VALUE"""),"es")</f>
        <v>es</v>
      </c>
      <c r="B8924">
        <f>IFERROR(__xludf.DUMMYFUNCTION("""COMPUTED_VALUE"""),4287776.0)</f>
        <v>4287776</v>
      </c>
      <c r="C8924" t="str">
        <f>IFERROR(__xludf.DUMMYFUNCTION("""COMPUTED_VALUE"""),"DA-100 Microsoft Power BI Exam | Explicaciones en Español")</f>
        <v>DA-100 Microsoft Power BI Exam | Explicaciones en Español</v>
      </c>
    </row>
    <row r="8925">
      <c r="A8925" s="140" t="str">
        <f>IFERROR(__xludf.DUMMYFUNCTION("""COMPUTED_VALUE"""),"en")</f>
        <v>en</v>
      </c>
      <c r="B8925">
        <f>IFERROR(__xludf.DUMMYFUNCTION("""COMPUTED_VALUE"""),1171814.0)</f>
        <v>1171814</v>
      </c>
      <c r="C8925" t="str">
        <f>IFERROR(__xludf.DUMMYFUNCTION("""COMPUTED_VALUE"""),"Radical Acceptance with Tara Brach")</f>
        <v>Radical Acceptance with Tara Brach</v>
      </c>
    </row>
    <row r="8926">
      <c r="A8926" s="140" t="str">
        <f>IFERROR(__xludf.DUMMYFUNCTION("""COMPUTED_VALUE"""),"pt")</f>
        <v>pt</v>
      </c>
      <c r="B8926">
        <f>IFERROR(__xludf.DUMMYFUNCTION("""COMPUTED_VALUE"""),3100368.0)</f>
        <v>3100368</v>
      </c>
      <c r="C8926" t="str">
        <f>IFERROR(__xludf.DUMMYFUNCTION("""COMPUTED_VALUE"""),"Praticando Customer Experience")</f>
        <v>Praticando Customer Experience</v>
      </c>
    </row>
    <row r="8927">
      <c r="A8927" s="140" t="str">
        <f>IFERROR(__xludf.DUMMYFUNCTION("""COMPUTED_VALUE"""),"de")</f>
        <v>de</v>
      </c>
      <c r="B8927">
        <f>IFERROR(__xludf.DUMMYFUNCTION("""COMPUTED_VALUE"""),1346816.0)</f>
        <v>1346816</v>
      </c>
      <c r="C8927" t="str">
        <f>IFERROR(__xludf.DUMMYFUNCTION("""COMPUTED_VALUE"""),"Integralrechnung")</f>
        <v>Integralrechnung</v>
      </c>
    </row>
    <row r="8928">
      <c r="A8928" s="140" t="str">
        <f>IFERROR(__xludf.DUMMYFUNCTION("""COMPUTED_VALUE"""),"en")</f>
        <v>en</v>
      </c>
      <c r="B8928">
        <f>IFERROR(__xludf.DUMMYFUNCTION("""COMPUTED_VALUE"""),138374.0)</f>
        <v>138374</v>
      </c>
      <c r="C8928" t="str">
        <f>IFERROR(__xludf.DUMMYFUNCTION("""COMPUTED_VALUE"""),"Beginner Nikon Digital SLR (DSLR) Photography")</f>
        <v>Beginner Nikon Digital SLR (DSLR) Photography</v>
      </c>
    </row>
    <row r="8929">
      <c r="A8929" s="140" t="str">
        <f>IFERROR(__xludf.DUMMYFUNCTION("""COMPUTED_VALUE"""),"pt")</f>
        <v>pt</v>
      </c>
      <c r="B8929">
        <f>IFERROR(__xludf.DUMMYFUNCTION("""COMPUTED_VALUE"""),1693748.0)</f>
        <v>1693748</v>
      </c>
      <c r="C8929" t="str">
        <f>IFERROR(__xludf.DUMMYFUNCTION("""COMPUTED_VALUE"""),"Algoritmos e Lógica de Programação do básico ao avançado")</f>
        <v>Algoritmos e Lógica de Programação do básico ao avançado</v>
      </c>
    </row>
    <row r="8930">
      <c r="A8930" s="140" t="str">
        <f>IFERROR(__xludf.DUMMYFUNCTION("""COMPUTED_VALUE"""),"de")</f>
        <v>de</v>
      </c>
      <c r="B8930">
        <f>IFERROR(__xludf.DUMMYFUNCTION("""COMPUTED_VALUE"""),1939102.0)</f>
        <v>1939102</v>
      </c>
      <c r="C8930" t="str">
        <f>IFERROR(__xludf.DUMMYFUNCTION("""COMPUTED_VALUE"""),"Emotionale Intelligenz -  Wie man gute Entscheidungen trifft")</f>
        <v>Emotionale Intelligenz -  Wie man gute Entscheidungen trifft</v>
      </c>
    </row>
    <row r="8931">
      <c r="A8931" s="140" t="str">
        <f>IFERROR(__xludf.DUMMYFUNCTION("""COMPUTED_VALUE"""),"en")</f>
        <v>en</v>
      </c>
      <c r="B8931">
        <f>IFERROR(__xludf.DUMMYFUNCTION("""COMPUTED_VALUE"""),708568.0)</f>
        <v>708568</v>
      </c>
      <c r="C8931" t="str">
        <f>IFERROR(__xludf.DUMMYFUNCTION("""COMPUTED_VALUE"""),"Mac OS X Superuser - Use Mac OS X like a Pro - BLACK FRIDAY")</f>
        <v>Mac OS X Superuser - Use Mac OS X like a Pro - BLACK FRIDAY</v>
      </c>
    </row>
    <row r="8932">
      <c r="A8932" s="140" t="str">
        <f>IFERROR(__xludf.DUMMYFUNCTION("""COMPUTED_VALUE"""),"en")</f>
        <v>en</v>
      </c>
      <c r="B8932">
        <f>IFERROR(__xludf.DUMMYFUNCTION("""COMPUTED_VALUE"""),2507564.0)</f>
        <v>2507564</v>
      </c>
      <c r="C8932" t="str">
        <f>IFERROR(__xludf.DUMMYFUNCTION("""COMPUTED_VALUE"""),"Microsoft AZ-500 Certification: Azure Security Technologies")</f>
        <v>Microsoft AZ-500 Certification: Azure Security Technologies</v>
      </c>
    </row>
    <row r="8933">
      <c r="A8933" s="140" t="str">
        <f>IFERROR(__xludf.DUMMYFUNCTION("""COMPUTED_VALUE"""),"en")</f>
        <v>en</v>
      </c>
      <c r="B8933">
        <f>IFERROR(__xludf.DUMMYFUNCTION("""COMPUTED_VALUE"""),2470214.0)</f>
        <v>2470214</v>
      </c>
      <c r="C8933" t="str">
        <f>IFERROR(__xludf.DUMMYFUNCTION("""COMPUTED_VALUE"""),"Cypress -Modern Automation Testing from Scratch + Frameworks")</f>
        <v>Cypress -Modern Automation Testing from Scratch + Frameworks</v>
      </c>
    </row>
    <row r="8934">
      <c r="A8934" s="140" t="str">
        <f>IFERROR(__xludf.DUMMYFUNCTION("""COMPUTED_VALUE"""),"ar")</f>
        <v>ar</v>
      </c>
      <c r="B8934">
        <f>IFERROR(__xludf.DUMMYFUNCTION("""COMPUTED_VALUE"""),3557173.0)</f>
        <v>3557173</v>
      </c>
      <c r="C8934" t="str">
        <f>IFERROR(__xludf.DUMMYFUNCTION("""COMPUTED_VALUE"""),"Google Forms: احترف نماذج جوجل بالعربي")</f>
        <v>Google Forms: احترف نماذج جوجل بالعربي</v>
      </c>
    </row>
    <row r="8935">
      <c r="A8935" s="140" t="str">
        <f>IFERROR(__xludf.DUMMYFUNCTION("""COMPUTED_VALUE"""),"tr")</f>
        <v>tr</v>
      </c>
      <c r="B8935">
        <f>IFERROR(__xludf.DUMMYFUNCTION("""COMPUTED_VALUE"""),3731554.0)</f>
        <v>3731554</v>
      </c>
      <c r="C8935" t="str">
        <f>IFERROR(__xludf.DUMMYFUNCTION("""COMPUTED_VALUE"""),"Waterfall (PMP) Temel Proje Yönetimi Yaklaşımı")</f>
        <v>Waterfall (PMP) Temel Proje Yönetimi Yaklaşımı</v>
      </c>
    </row>
    <row r="8936">
      <c r="A8936" s="140" t="str">
        <f>IFERROR(__xludf.DUMMYFUNCTION("""COMPUTED_VALUE"""),"pt")</f>
        <v>pt</v>
      </c>
      <c r="B8936">
        <f>IFERROR(__xludf.DUMMYFUNCTION("""COMPUTED_VALUE"""),3871000.0)</f>
        <v>3871000</v>
      </c>
      <c r="C8936" t="str">
        <f>IFERROR(__xludf.DUMMYFUNCTION("""COMPUTED_VALUE"""),"Web Analytics (COMPLETO) - Muito além do Google Analytics")</f>
        <v>Web Analytics (COMPLETO) - Muito além do Google Analytics</v>
      </c>
    </row>
    <row r="8937">
      <c r="A8937" s="140" t="str">
        <f>IFERROR(__xludf.DUMMYFUNCTION("""COMPUTED_VALUE"""),"en")</f>
        <v>en</v>
      </c>
      <c r="B8937">
        <f>IFERROR(__xludf.DUMMYFUNCTION("""COMPUTED_VALUE"""),2412230.0)</f>
        <v>2412230</v>
      </c>
      <c r="C8937" t="str">
        <f>IFERROR(__xludf.DUMMYFUNCTION("""COMPUTED_VALUE"""),"Awesome Electronics Course. Electronics from Soup to Nuts")</f>
        <v>Awesome Electronics Course. Electronics from Soup to Nuts</v>
      </c>
    </row>
    <row r="8938">
      <c r="A8938" s="140" t="str">
        <f>IFERROR(__xludf.DUMMYFUNCTION("""COMPUTED_VALUE"""),"en")</f>
        <v>en</v>
      </c>
      <c r="B8938">
        <f>IFERROR(__xludf.DUMMYFUNCTION("""COMPUTED_VALUE"""),834690.0)</f>
        <v>834690</v>
      </c>
      <c r="C8938" t="str">
        <f>IFERROR(__xludf.DUMMYFUNCTION("""COMPUTED_VALUE"""),"Microsoft Access Complete Beginner to Advanced")</f>
        <v>Microsoft Access Complete Beginner to Advanced</v>
      </c>
    </row>
    <row r="8939">
      <c r="A8939" s="140" t="str">
        <f>IFERROR(__xludf.DUMMYFUNCTION("""COMPUTED_VALUE"""),"en")</f>
        <v>en</v>
      </c>
      <c r="B8939">
        <f>IFERROR(__xludf.DUMMYFUNCTION("""COMPUTED_VALUE"""),790516.0)</f>
        <v>790516</v>
      </c>
      <c r="C8939" t="str">
        <f>IFERROR(__xludf.DUMMYFUNCTION("""COMPUTED_VALUE"""),"The Complete Cisco CCNA &amp; CCNP Networking Labs Course 2022")</f>
        <v>The Complete Cisco CCNA &amp; CCNP Networking Labs Course 2022</v>
      </c>
    </row>
    <row r="8940">
      <c r="A8940" s="140" t="str">
        <f>IFERROR(__xludf.DUMMYFUNCTION("""COMPUTED_VALUE"""),"en")</f>
        <v>en</v>
      </c>
      <c r="B8940">
        <f>IFERROR(__xludf.DUMMYFUNCTION("""COMPUTED_VALUE"""),3936580.0)</f>
        <v>3936580</v>
      </c>
      <c r="C8940" t="str">
        <f>IFERROR(__xludf.DUMMYFUNCTION("""COMPUTED_VALUE"""),"XSS Survival Guide")</f>
        <v>XSS Survival Guide</v>
      </c>
    </row>
    <row r="8941">
      <c r="A8941" s="140" t="str">
        <f>IFERROR(__xludf.DUMMYFUNCTION("""COMPUTED_VALUE"""),"en")</f>
        <v>en</v>
      </c>
      <c r="B8941">
        <f>IFERROR(__xludf.DUMMYFUNCTION("""COMPUTED_VALUE"""),242084.0)</f>
        <v>242084</v>
      </c>
      <c r="C8941" t="str">
        <f>IFERROR(__xludf.DUMMYFUNCTION("""COMPUTED_VALUE"""),"Facebook Marketing 2021: 1000% Facebook Engagement &amp; Sales")</f>
        <v>Facebook Marketing 2021: 1000% Facebook Engagement &amp; Sales</v>
      </c>
    </row>
    <row r="8942">
      <c r="A8942" s="140" t="str">
        <f>IFERROR(__xludf.DUMMYFUNCTION("""COMPUTED_VALUE"""),"en")</f>
        <v>en</v>
      </c>
      <c r="B8942">
        <f>IFERROR(__xludf.DUMMYFUNCTION("""COMPUTED_VALUE"""),1938584.0)</f>
        <v>1938584</v>
      </c>
      <c r="C8942" t="str">
        <f>IFERROR(__xludf.DUMMYFUNCTION("""COMPUTED_VALUE"""),"English Grammar &amp; Pronunciation: Talking About The Past")</f>
        <v>English Grammar &amp; Pronunciation: Talking About The Past</v>
      </c>
    </row>
    <row r="8943">
      <c r="A8943" s="140" t="str">
        <f>IFERROR(__xludf.DUMMYFUNCTION("""COMPUTED_VALUE"""),"ko")</f>
        <v>ko</v>
      </c>
      <c r="B8943">
        <f>IFERROR(__xludf.DUMMYFUNCTION("""COMPUTED_VALUE"""),4298905.0)</f>
        <v>4298905</v>
      </c>
      <c r="C8943" t="str">
        <f>IFERROR(__xludf.DUMMYFUNCTION("""COMPUTED_VALUE"""),"【글로벌 Best강의】 리액트 : React 완벽가이드 Hooks, React Router, Redux 포함")</f>
        <v>【글로벌 Best강의】 리액트 : React 완벽가이드 Hooks, React Router, Redux 포함</v>
      </c>
    </row>
    <row r="8944">
      <c r="A8944" s="140" t="str">
        <f>IFERROR(__xludf.DUMMYFUNCTION("""COMPUTED_VALUE"""),"es")</f>
        <v>es</v>
      </c>
      <c r="B8944">
        <f>IFERROR(__xludf.DUMMYFUNCTION("""COMPUTED_VALUE"""),844176.0)</f>
        <v>844176</v>
      </c>
      <c r="C8944" t="str">
        <f>IFERROR(__xludf.DUMMYFUNCTION("""COMPUTED_VALUE"""),"Cisco CCNA 200-301 - Practicas de configuracion en español")</f>
        <v>Cisco CCNA 200-301 - Practicas de configuracion en español</v>
      </c>
    </row>
    <row r="8945">
      <c r="A8945" s="140" t="str">
        <f>IFERROR(__xludf.DUMMYFUNCTION("""COMPUTED_VALUE"""),"de")</f>
        <v>de</v>
      </c>
      <c r="B8945">
        <f>IFERROR(__xludf.DUMMYFUNCTION("""COMPUTED_VALUE"""),1000848.0)</f>
        <v>1000848</v>
      </c>
      <c r="C8945" t="str">
        <f>IFERROR(__xludf.DUMMYFUNCTION("""COMPUTED_VALUE"""),"SAP ABAP für Anfänger 4: Das Data Dictionary")</f>
        <v>SAP ABAP für Anfänger 4: Das Data Dictionary</v>
      </c>
    </row>
    <row r="8946">
      <c r="A8946" s="140" t="str">
        <f>IFERROR(__xludf.DUMMYFUNCTION("""COMPUTED_VALUE"""),"en")</f>
        <v>en</v>
      </c>
      <c r="B8946">
        <f>IFERROR(__xludf.DUMMYFUNCTION("""COMPUTED_VALUE"""),1218642.0)</f>
        <v>1218642</v>
      </c>
      <c r="C8946" t="str">
        <f>IFERROR(__xludf.DUMMYFUNCTION("""COMPUTED_VALUE"""),"Learn Robot Framework (Selenium) from Industry Expert|22+hr⭐")</f>
        <v>Learn Robot Framework (Selenium) from Industry Expert|22+hr⭐</v>
      </c>
    </row>
    <row r="8947">
      <c r="A8947" s="140" t="str">
        <f>IFERROR(__xludf.DUMMYFUNCTION("""COMPUTED_VALUE"""),"en")</f>
        <v>en</v>
      </c>
      <c r="B8947">
        <f>IFERROR(__xludf.DUMMYFUNCTION("""COMPUTED_VALUE"""),1745282.0)</f>
        <v>1745282</v>
      </c>
      <c r="C8947" t="str">
        <f>IFERROR(__xludf.DUMMYFUNCTION("""COMPUTED_VALUE"""),"SQL Programming Basics")</f>
        <v>SQL Programming Basics</v>
      </c>
    </row>
    <row r="8948">
      <c r="A8948" s="140" t="str">
        <f>IFERROR(__xludf.DUMMYFUNCTION("""COMPUTED_VALUE"""),"en")</f>
        <v>en</v>
      </c>
      <c r="B8948">
        <f>IFERROR(__xludf.DUMMYFUNCTION("""COMPUTED_VALUE"""),1400614.0)</f>
        <v>1400614</v>
      </c>
      <c r="C8948" t="str">
        <f>IFERROR(__xludf.DUMMYFUNCTION("""COMPUTED_VALUE"""),"A Diversity Deep-Dive, Leadership Insights and Lessons !")</f>
        <v>A Diversity Deep-Dive, Leadership Insights and Lessons !</v>
      </c>
    </row>
    <row r="8949">
      <c r="A8949" s="140" t="str">
        <f>IFERROR(__xludf.DUMMYFUNCTION("""COMPUTED_VALUE"""),"en")</f>
        <v>en</v>
      </c>
      <c r="B8949">
        <f>IFERROR(__xludf.DUMMYFUNCTION("""COMPUTED_VALUE"""),1047328.0)</f>
        <v>1047328</v>
      </c>
      <c r="C8949" t="str">
        <f>IFERROR(__xludf.DUMMYFUNCTION("""COMPUTED_VALUE"""),"Six Sigma Black Belt: Certified QFD Specialist (Accredited)")</f>
        <v>Six Sigma Black Belt: Certified QFD Specialist (Accredited)</v>
      </c>
    </row>
    <row r="8950">
      <c r="A8950" s="140" t="str">
        <f>IFERROR(__xludf.DUMMYFUNCTION("""COMPUTED_VALUE"""),"en")</f>
        <v>en</v>
      </c>
      <c r="B8950">
        <f>IFERROR(__xludf.DUMMYFUNCTION("""COMPUTED_VALUE"""),214008.0)</f>
        <v>214008</v>
      </c>
      <c r="C8950" t="str">
        <f>IFERROR(__xludf.DUMMYFUNCTION("""COMPUTED_VALUE"""),"Fundamentals of Business Analysis")</f>
        <v>Fundamentals of Business Analysis</v>
      </c>
    </row>
    <row r="8951">
      <c r="A8951" s="140" t="str">
        <f>IFERROR(__xludf.DUMMYFUNCTION("""COMPUTED_VALUE"""),"tr")</f>
        <v>tr</v>
      </c>
      <c r="B8951">
        <f>IFERROR(__xludf.DUMMYFUNCTION("""COMPUTED_VALUE"""),3199024.0)</f>
        <v>3199024</v>
      </c>
      <c r="C8951" t="str">
        <f>IFERROR(__xludf.DUMMYFUNCTION("""COMPUTED_VALUE"""),"Android Mobil Uygulama Geliştirme Eğitimi | Kotlin | 2021")</f>
        <v>Android Mobil Uygulama Geliştirme Eğitimi | Kotlin | 2021</v>
      </c>
    </row>
    <row r="8952">
      <c r="A8952" s="140" t="str">
        <f>IFERROR(__xludf.DUMMYFUNCTION("""COMPUTED_VALUE"""),"en")</f>
        <v>en</v>
      </c>
      <c r="B8952">
        <f>IFERROR(__xludf.DUMMYFUNCTION("""COMPUTED_VALUE"""),1277850.0)</f>
        <v>1277850</v>
      </c>
      <c r="C8952" t="str">
        <f>IFERROR(__xludf.DUMMYFUNCTION("""COMPUTED_VALUE"""),"3 Minute Italian - Course 2 | Language lessons for beginners")</f>
        <v>3 Minute Italian - Course 2 | Language lessons for beginners</v>
      </c>
    </row>
    <row r="8953">
      <c r="A8953" s="140" t="str">
        <f>IFERROR(__xludf.DUMMYFUNCTION("""COMPUTED_VALUE"""),"ja")</f>
        <v>ja</v>
      </c>
      <c r="B8953">
        <f>IFERROR(__xludf.DUMMYFUNCTION("""COMPUTED_VALUE"""),2628116.0)</f>
        <v>2628116</v>
      </c>
      <c r="C8953" t="str">
        <f>IFERROR(__xludf.DUMMYFUNCTION("""COMPUTED_VALUE"""),"SQL入門 - MySQLで学ぶデータベース")</f>
        <v>SQL入門 - MySQLで学ぶデータベース</v>
      </c>
    </row>
    <row r="8954">
      <c r="A8954" s="140" t="str">
        <f>IFERROR(__xludf.DUMMYFUNCTION("""COMPUTED_VALUE"""),"en")</f>
        <v>en</v>
      </c>
      <c r="B8954">
        <f>IFERROR(__xludf.DUMMYFUNCTION("""COMPUTED_VALUE"""),526000.0)</f>
        <v>526000</v>
      </c>
      <c r="C8954" t="str">
        <f>IFERROR(__xludf.DUMMYFUNCTION("""COMPUTED_VALUE"""),"How to Manage Difficult Conversations: Beginner's Guide")</f>
        <v>How to Manage Difficult Conversations: Beginner's Guide</v>
      </c>
    </row>
    <row r="8955">
      <c r="A8955" s="140" t="str">
        <f>IFERROR(__xludf.DUMMYFUNCTION("""COMPUTED_VALUE"""),"en")</f>
        <v>en</v>
      </c>
      <c r="B8955">
        <f>IFERROR(__xludf.DUMMYFUNCTION("""COMPUTED_VALUE"""),1024172.0)</f>
        <v>1024172</v>
      </c>
      <c r="C8955" t="str">
        <f>IFERROR(__xludf.DUMMYFUNCTION("""COMPUTED_VALUE"""),"Certifications &amp; requirements when importing from China")</f>
        <v>Certifications &amp; requirements when importing from China</v>
      </c>
    </row>
    <row r="8956">
      <c r="A8956" s="140" t="str">
        <f>IFERROR(__xludf.DUMMYFUNCTION("""COMPUTED_VALUE"""),"en")</f>
        <v>en</v>
      </c>
      <c r="B8956">
        <f>IFERROR(__xludf.DUMMYFUNCTION("""COMPUTED_VALUE"""),1921058.0)</f>
        <v>1921058</v>
      </c>
      <c r="C8956" t="str">
        <f>IFERROR(__xludf.DUMMYFUNCTION("""COMPUTED_VALUE"""),"Microsoft Azure, DevOps and MicroServices with .NET")</f>
        <v>Microsoft Azure, DevOps and MicroServices with .NET</v>
      </c>
    </row>
    <row r="8957">
      <c r="A8957" s="140" t="str">
        <f>IFERROR(__xludf.DUMMYFUNCTION("""COMPUTED_VALUE"""),"ar")</f>
        <v>ar</v>
      </c>
      <c r="B8957">
        <f>IFERROR(__xludf.DUMMYFUNCTION("""COMPUTED_VALUE"""),2096786.0)</f>
        <v>2096786</v>
      </c>
      <c r="C8957" t="str">
        <f>IFERROR(__xludf.DUMMYFUNCTION("""COMPUTED_VALUE"""),"Adobe After Effects - 2D animation")</f>
        <v>Adobe After Effects - 2D animation</v>
      </c>
    </row>
    <row r="8958">
      <c r="A8958" s="140" t="str">
        <f>IFERROR(__xludf.DUMMYFUNCTION("""COMPUTED_VALUE"""),"en")</f>
        <v>en</v>
      </c>
      <c r="B8958">
        <f>IFERROR(__xludf.DUMMYFUNCTION("""COMPUTED_VALUE"""),1641648.0)</f>
        <v>1641648</v>
      </c>
      <c r="C8958" t="str">
        <f>IFERROR(__xludf.DUMMYFUNCTION("""COMPUTED_VALUE"""),"Python - The Practical Guide [2022 Edition]")</f>
        <v>Python - The Practical Guide [2022 Edition]</v>
      </c>
    </row>
    <row r="8959">
      <c r="A8959" s="140" t="str">
        <f>IFERROR(__xludf.DUMMYFUNCTION("""COMPUTED_VALUE"""),"en")</f>
        <v>en</v>
      </c>
      <c r="B8959">
        <f>IFERROR(__xludf.DUMMYFUNCTION("""COMPUTED_VALUE"""),1200530.0)</f>
        <v>1200530</v>
      </c>
      <c r="C8959" t="str">
        <f>IFERROR(__xludf.DUMMYFUNCTION("""COMPUTED_VALUE"""),"Electron for Desktop Apps: The Complete Developer's Guide")</f>
        <v>Electron for Desktop Apps: The Complete Developer's Guide</v>
      </c>
    </row>
    <row r="8960">
      <c r="A8960" s="140" t="str">
        <f>IFERROR(__xludf.DUMMYFUNCTION("""COMPUTED_VALUE"""),"pt")</f>
        <v>pt</v>
      </c>
      <c r="B8960">
        <f>IFERROR(__xludf.DUMMYFUNCTION("""COMPUTED_VALUE"""),1478360.0)</f>
        <v>1478360</v>
      </c>
      <c r="C8960" t="str">
        <f>IFERROR(__xludf.DUMMYFUNCTION("""COMPUTED_VALUE"""),"Chatbot para Telegram com Node + 3 Projetos")</f>
        <v>Chatbot para Telegram com Node + 3 Projetos</v>
      </c>
    </row>
    <row r="8961">
      <c r="A8961" s="140" t="str">
        <f>IFERROR(__xludf.DUMMYFUNCTION("""COMPUTED_VALUE"""),"en")</f>
        <v>en</v>
      </c>
      <c r="B8961">
        <f>IFERROR(__xludf.DUMMYFUNCTION("""COMPUTED_VALUE"""),2276337.0)</f>
        <v>2276337</v>
      </c>
      <c r="C8961" t="str">
        <f>IFERROR(__xludf.DUMMYFUNCTION("""COMPUTED_VALUE"""),"Big Data Analyst -using Sqoop and Advance Hive (CCA159)")</f>
        <v>Big Data Analyst -using Sqoop and Advance Hive (CCA159)</v>
      </c>
    </row>
    <row r="8962">
      <c r="A8962" s="140" t="str">
        <f>IFERROR(__xludf.DUMMYFUNCTION("""COMPUTED_VALUE"""),"tr")</f>
        <v>tr</v>
      </c>
      <c r="B8962">
        <f>IFERROR(__xludf.DUMMYFUNCTION("""COMPUTED_VALUE"""),2797580.0)</f>
        <v>2797580</v>
      </c>
      <c r="C8962" t="str">
        <f>IFERROR(__xludf.DUMMYFUNCTION("""COMPUTED_VALUE"""),"YDS, YÖKDİL ve YDT Gramer Soru Çözüm Teknikleri")</f>
        <v>YDS, YÖKDİL ve YDT Gramer Soru Çözüm Teknikleri</v>
      </c>
    </row>
    <row r="8963">
      <c r="A8963" s="140" t="str">
        <f>IFERROR(__xludf.DUMMYFUNCTION("""COMPUTED_VALUE"""),"tr")</f>
        <v>tr</v>
      </c>
      <c r="B8963">
        <f>IFERROR(__xludf.DUMMYFUNCTION("""COMPUTED_VALUE"""),2340382.0)</f>
        <v>2340382</v>
      </c>
      <c r="C8963" t="str">
        <f>IFERROR(__xludf.DUMMYFUNCTION("""COMPUTED_VALUE"""),"R Programlama: R Programını R ile Veri Analizi Yaparak Öğren")</f>
        <v>R Programlama: R Programını R ile Veri Analizi Yaparak Öğren</v>
      </c>
    </row>
    <row r="8964">
      <c r="A8964" s="140" t="str">
        <f>IFERROR(__xludf.DUMMYFUNCTION("""COMPUTED_VALUE"""),"pt")</f>
        <v>pt</v>
      </c>
      <c r="B8964">
        <f>IFERROR(__xludf.DUMMYFUNCTION("""COMPUTED_VALUE"""),1692520.0)</f>
        <v>1692520</v>
      </c>
      <c r="C8964" t="str">
        <f>IFERROR(__xludf.DUMMYFUNCTION("""COMPUTED_VALUE"""),"Aprendendo programação básica e avançada com Linguagem C++")</f>
        <v>Aprendendo programação básica e avançada com Linguagem C++</v>
      </c>
    </row>
    <row r="8965">
      <c r="A8965" s="140" t="str">
        <f>IFERROR(__xludf.DUMMYFUNCTION("""COMPUTED_VALUE"""),"en")</f>
        <v>en</v>
      </c>
      <c r="B8965">
        <f>IFERROR(__xludf.DUMMYFUNCTION("""COMPUTED_VALUE"""),1898708.0)</f>
        <v>1898708</v>
      </c>
      <c r="C8965" t="str">
        <f>IFERROR(__xludf.DUMMYFUNCTION("""COMPUTED_VALUE"""),"Building Cloud Infrastructure with Terraform")</f>
        <v>Building Cloud Infrastructure with Terraform</v>
      </c>
    </row>
    <row r="8966">
      <c r="A8966" s="140" t="str">
        <f>IFERROR(__xludf.DUMMYFUNCTION("""COMPUTED_VALUE"""),"fr")</f>
        <v>fr</v>
      </c>
      <c r="B8966">
        <f>IFERROR(__xludf.DUMMYFUNCTION("""COMPUTED_VALUE"""),2978660.0)</f>
        <v>2978660</v>
      </c>
      <c r="C8966" t="str">
        <f>IFERROR(__xludf.DUMMYFUNCTION("""COMPUTED_VALUE"""),"DevOps - Introduction aux fondements et principes clés")</f>
        <v>DevOps - Introduction aux fondements et principes clés</v>
      </c>
    </row>
    <row r="8967">
      <c r="A8967" s="140" t="str">
        <f>IFERROR(__xludf.DUMMYFUNCTION("""COMPUTED_VALUE"""),"ja")</f>
        <v>ja</v>
      </c>
      <c r="B8967">
        <f>IFERROR(__xludf.DUMMYFUNCTION("""COMPUTED_VALUE"""),3893252.0)</f>
        <v>3893252</v>
      </c>
      <c r="C8967" t="str">
        <f>IFERROR(__xludf.DUMMYFUNCTION("""COMPUTED_VALUE"""),"illustrator iPad版をマスターする! iPadだけで完結、おしゃれアイコンの作り方！")</f>
        <v>illustrator iPad版をマスターする! iPadだけで完結、おしゃれアイコンの作り方！</v>
      </c>
    </row>
    <row r="8968">
      <c r="A8968" s="140" t="str">
        <f>IFERROR(__xludf.DUMMYFUNCTION("""COMPUTED_VALUE"""),"es")</f>
        <v>es</v>
      </c>
      <c r="B8968">
        <f>IFERROR(__xludf.DUMMYFUNCTION("""COMPUTED_VALUE"""),1429164.0)</f>
        <v>1429164</v>
      </c>
      <c r="C8968" t="str">
        <f>IFERROR(__xludf.DUMMYFUNCTION("""COMPUTED_VALUE"""),"Curso Programador Java Certificado I")</f>
        <v>Curso Programador Java Certificado I</v>
      </c>
    </row>
    <row r="8969">
      <c r="A8969" s="140" t="str">
        <f>IFERROR(__xludf.DUMMYFUNCTION("""COMPUTED_VALUE"""),"de")</f>
        <v>de</v>
      </c>
      <c r="B8969">
        <f>IFERROR(__xludf.DUMMYFUNCTION("""COMPUTED_VALUE"""),1852254.0)</f>
        <v>1852254</v>
      </c>
      <c r="C8969" t="str">
        <f>IFERROR(__xludf.DUMMYFUNCTION("""COMPUTED_VALUE"""),"Fail2Ban Firewall Brute-Force-Angriffe in den Griff bekommen")</f>
        <v>Fail2Ban Firewall Brute-Force-Angriffe in den Griff bekommen</v>
      </c>
    </row>
    <row r="8970">
      <c r="A8970" s="140" t="str">
        <f>IFERROR(__xludf.DUMMYFUNCTION("""COMPUTED_VALUE"""),"ja")</f>
        <v>ja</v>
      </c>
      <c r="B8970">
        <f>IFERROR(__xludf.DUMMYFUNCTION("""COMPUTED_VALUE"""),1853610.0)</f>
        <v>1853610</v>
      </c>
      <c r="C8970" t="str">
        <f>IFERROR(__xludf.DUMMYFUNCTION("""COMPUTED_VALUE"""),"【収益分析に強くなる】エクセルで学ぶマーケティング収益分析＆シミュレーション")</f>
        <v>【収益分析に強くなる】エクセルで学ぶマーケティング収益分析＆シミュレーション</v>
      </c>
    </row>
    <row r="8971">
      <c r="A8971" s="140" t="str">
        <f>IFERROR(__xludf.DUMMYFUNCTION("""COMPUTED_VALUE"""),"zh")</f>
        <v>zh</v>
      </c>
      <c r="B8971">
        <f>IFERROR(__xludf.DUMMYFUNCTION("""COMPUTED_VALUE"""),1932846.0)</f>
        <v>1932846</v>
      </c>
      <c r="C8971" t="str">
        <f>IFERROR(__xludf.DUMMYFUNCTION("""COMPUTED_VALUE"""),"VueCli3.0全栈开发Node后台/Vue前端/ElementUi")</f>
        <v>VueCli3.0全栈开发Node后台/Vue前端/ElementUi</v>
      </c>
    </row>
    <row r="8972">
      <c r="A8972" s="140" t="str">
        <f>IFERROR(__xludf.DUMMYFUNCTION("""COMPUTED_VALUE"""),"ja")</f>
        <v>ja</v>
      </c>
      <c r="B8972">
        <f>IFERROR(__xludf.DUMMYFUNCTION("""COMPUTED_VALUE"""),3141372.0)</f>
        <v>3141372</v>
      </c>
      <c r="C8972" t="str">
        <f>IFERROR(__xludf.DUMMYFUNCTION("""COMPUTED_VALUE"""),"【論理的思考を身に付ける】売上・利益を上げるために使える24の実践フレームワーク")</f>
        <v>【論理的思考を身に付ける】売上・利益を上げるために使える24の実践フレームワーク</v>
      </c>
    </row>
    <row r="8973">
      <c r="A8973" s="140" t="str">
        <f>IFERROR(__xludf.DUMMYFUNCTION("""COMPUTED_VALUE"""),"en")</f>
        <v>en</v>
      </c>
      <c r="B8973">
        <f>IFERROR(__xludf.DUMMYFUNCTION("""COMPUTED_VALUE"""),231944.0)</f>
        <v>231944</v>
      </c>
      <c r="C8973" t="str">
        <f>IFERROR(__xludf.DUMMYFUNCTION("""COMPUTED_VALUE"""),"Customer Experience Management Blueprint")</f>
        <v>Customer Experience Management Blueprint</v>
      </c>
    </row>
    <row r="8974">
      <c r="A8974" s="140" t="str">
        <f>IFERROR(__xludf.DUMMYFUNCTION("""COMPUTED_VALUE"""),"es")</f>
        <v>es</v>
      </c>
      <c r="B8974">
        <f>IFERROR(__xludf.DUMMYFUNCTION("""COMPUTED_VALUE"""),1726548.0)</f>
        <v>1726548</v>
      </c>
      <c r="C8974" t="str">
        <f>IFERROR(__xludf.DUMMYFUNCTION("""COMPUTED_VALUE"""),"Angular con DevOps, TDD, Pruebas Unitarias, Pipelines, Azure")</f>
        <v>Angular con DevOps, TDD, Pruebas Unitarias, Pipelines, Azure</v>
      </c>
    </row>
    <row r="8975">
      <c r="A8975" s="140" t="str">
        <f>IFERROR(__xludf.DUMMYFUNCTION("""COMPUTED_VALUE"""),"ja")</f>
        <v>ja</v>
      </c>
      <c r="B8975">
        <f>IFERROR(__xludf.DUMMYFUNCTION("""COMPUTED_VALUE"""),3884472.0)</f>
        <v>3884472</v>
      </c>
      <c r="C8975" t="str">
        <f>IFERROR(__xludf.DUMMYFUNCTION("""COMPUTED_VALUE"""),"2時間で学ぶ！ソフトウェアテスト設計講座（シナリオテスト編）～業務視点でのテスト設計手法を習得～")</f>
        <v>2時間で学ぶ！ソフトウェアテスト設計講座（シナリオテスト編）～業務視点でのテスト設計手法を習得～</v>
      </c>
    </row>
    <row r="8976">
      <c r="A8976" s="140" t="str">
        <f>IFERROR(__xludf.DUMMYFUNCTION("""COMPUTED_VALUE"""),"en")</f>
        <v>en</v>
      </c>
      <c r="B8976">
        <f>IFERROR(__xludf.DUMMYFUNCTION("""COMPUTED_VALUE"""),3304948.0)</f>
        <v>3304948</v>
      </c>
      <c r="C8976" t="str">
        <f>IFERROR(__xludf.DUMMYFUNCTION("""COMPUTED_VALUE"""),"Become a Top Banker with Complete Retail Banking Training")</f>
        <v>Become a Top Banker with Complete Retail Banking Training</v>
      </c>
    </row>
    <row r="8977">
      <c r="A8977" s="140" t="str">
        <f>IFERROR(__xludf.DUMMYFUNCTION("""COMPUTED_VALUE"""),"en")</f>
        <v>en</v>
      </c>
      <c r="B8977">
        <f>IFERROR(__xludf.DUMMYFUNCTION("""COMPUTED_VALUE"""),1343556.0)</f>
        <v>1343556</v>
      </c>
      <c r="C8977" t="str">
        <f>IFERROR(__xludf.DUMMYFUNCTION("""COMPUTED_VALUE"""),"Kali Linux Tutorial For Beginners")</f>
        <v>Kali Linux Tutorial For Beginners</v>
      </c>
    </row>
    <row r="8978">
      <c r="A8978" s="140" t="str">
        <f>IFERROR(__xludf.DUMMYFUNCTION("""COMPUTED_VALUE"""),"pt")</f>
        <v>pt</v>
      </c>
      <c r="B8978">
        <f>IFERROR(__xludf.DUMMYFUNCTION("""COMPUTED_VALUE"""),411462.0)</f>
        <v>411462</v>
      </c>
      <c r="C8978" t="str">
        <f>IFERROR(__xludf.DUMMYFUNCTION("""COMPUTED_VALUE"""),"Wordpress - Como Criar Um Site Profissional Para Seu Negócio")</f>
        <v>Wordpress - Como Criar Um Site Profissional Para Seu Negócio</v>
      </c>
    </row>
    <row r="8979">
      <c r="A8979" s="140" t="str">
        <f>IFERROR(__xludf.DUMMYFUNCTION("""COMPUTED_VALUE"""),"tr")</f>
        <v>tr</v>
      </c>
      <c r="B8979">
        <f>IFERROR(__xludf.DUMMYFUNCTION("""COMPUTED_VALUE"""),3326806.0)</f>
        <v>3326806</v>
      </c>
      <c r="C8979" t="str">
        <f>IFERROR(__xludf.DUMMYFUNCTION("""COMPUTED_VALUE"""),"Microsoft PowerPoint | Sıfırdan Zirveye |2021|")</f>
        <v>Microsoft PowerPoint | Sıfırdan Zirveye |2021|</v>
      </c>
    </row>
    <row r="8980">
      <c r="A8980" s="140" t="str">
        <f>IFERROR(__xludf.DUMMYFUNCTION("""COMPUTED_VALUE"""),"pt")</f>
        <v>pt</v>
      </c>
      <c r="B8980">
        <f>IFERROR(__xludf.DUMMYFUNCTION("""COMPUTED_VALUE"""),3516644.0)</f>
        <v>3516644</v>
      </c>
      <c r="C8980" t="str">
        <f>IFERROR(__xludf.DUMMYFUNCTION("""COMPUTED_VALUE"""),"Automação para Amazon AWS com Python 3")</f>
        <v>Automação para Amazon AWS com Python 3</v>
      </c>
    </row>
    <row r="8981">
      <c r="A8981" s="140" t="str">
        <f>IFERROR(__xludf.DUMMYFUNCTION("""COMPUTED_VALUE"""),"pt")</f>
        <v>pt</v>
      </c>
      <c r="B8981">
        <f>IFERROR(__xludf.DUMMYFUNCTION("""COMPUTED_VALUE"""),1866008.0)</f>
        <v>1866008</v>
      </c>
      <c r="C8981" t="str">
        <f>IFERROR(__xludf.DUMMYFUNCTION("""COMPUTED_VALUE"""),"Camtasia : Crie Vídeos para Youtube, Cursos e Muito Mais")</f>
        <v>Camtasia : Crie Vídeos para Youtube, Cursos e Muito Mais</v>
      </c>
    </row>
    <row r="8982">
      <c r="A8982" s="140" t="str">
        <f>IFERROR(__xludf.DUMMYFUNCTION("""COMPUTED_VALUE"""),"en")</f>
        <v>en</v>
      </c>
      <c r="B8982">
        <f>IFERROR(__xludf.DUMMYFUNCTION("""COMPUTED_VALUE"""),3323814.0)</f>
        <v>3323814</v>
      </c>
      <c r="C8982" t="str">
        <f>IFERROR(__xludf.DUMMYFUNCTION("""COMPUTED_VALUE"""),"VMware NSX-T 3.0 Fundamentals Part Two (Security) 2020")</f>
        <v>VMware NSX-T 3.0 Fundamentals Part Two (Security) 2020</v>
      </c>
    </row>
    <row r="8983">
      <c r="A8983" s="140" t="str">
        <f>IFERROR(__xludf.DUMMYFUNCTION("""COMPUTED_VALUE"""),"tr")</f>
        <v>tr</v>
      </c>
      <c r="B8983">
        <f>IFERROR(__xludf.DUMMYFUNCTION("""COMPUTED_VALUE"""),1736664.0)</f>
        <v>1736664</v>
      </c>
      <c r="C8983" t="str">
        <f>IFERROR(__xludf.DUMMYFUNCTION("""COMPUTED_VALUE"""),"Sıfırdan SAS Öğrenin (Türkçe)")</f>
        <v>Sıfırdan SAS Öğrenin (Türkçe)</v>
      </c>
    </row>
    <row r="8984">
      <c r="A8984" s="140" t="str">
        <f>IFERROR(__xludf.DUMMYFUNCTION("""COMPUTED_VALUE"""),"en")</f>
        <v>en</v>
      </c>
      <c r="B8984">
        <f>IFERROR(__xludf.DUMMYFUNCTION("""COMPUTED_VALUE"""),3256626.0)</f>
        <v>3256626</v>
      </c>
      <c r="C8984" t="str">
        <f>IFERROR(__xludf.DUMMYFUNCTION("""COMPUTED_VALUE"""),"Learn Advanced Java")</f>
        <v>Learn Advanced Java</v>
      </c>
    </row>
    <row r="8985">
      <c r="A8985" s="140" t="str">
        <f>IFERROR(__xludf.DUMMYFUNCTION("""COMPUTED_VALUE"""),"es")</f>
        <v>es</v>
      </c>
      <c r="B8985">
        <f>IFERROR(__xludf.DUMMYFUNCTION("""COMPUTED_VALUE"""),452264.0)</f>
        <v>452264</v>
      </c>
      <c r="C8985" t="str">
        <f>IFERROR(__xludf.DUMMYFUNCTION("""COMPUTED_VALUE"""),"jQuery: De cero a avanzado mediante ejercicios prácticos.")</f>
        <v>jQuery: De cero a avanzado mediante ejercicios prácticos.</v>
      </c>
    </row>
    <row r="8986">
      <c r="A8986" s="140" t="str">
        <f>IFERROR(__xludf.DUMMYFUNCTION("""COMPUTED_VALUE"""),"en")</f>
        <v>en</v>
      </c>
      <c r="B8986">
        <f>IFERROR(__xludf.DUMMYFUNCTION("""COMPUTED_VALUE"""),638292.0)</f>
        <v>638292</v>
      </c>
      <c r="C8986" t="str">
        <f>IFERROR(__xludf.DUMMYFUNCTION("""COMPUTED_VALUE"""),"Master Microsoft Project 2016 - 6 PDUs")</f>
        <v>Master Microsoft Project 2016 - 6 PDUs</v>
      </c>
    </row>
    <row r="8987">
      <c r="A8987" s="140" t="str">
        <f>IFERROR(__xludf.DUMMYFUNCTION("""COMPUTED_VALUE"""),"de")</f>
        <v>de</v>
      </c>
      <c r="B8987">
        <f>IFERROR(__xludf.DUMMYFUNCTION("""COMPUTED_VALUE"""),665064.0)</f>
        <v>665064</v>
      </c>
      <c r="C8987" t="str">
        <f>IFERROR(__xludf.DUMMYFUNCTION("""COMPUTED_VALUE"""),"Basis Kochen - Selber kochen statt Fastfood")</f>
        <v>Basis Kochen - Selber kochen statt Fastfood</v>
      </c>
    </row>
    <row r="8988">
      <c r="A8988" s="140" t="str">
        <f>IFERROR(__xludf.DUMMYFUNCTION("""COMPUTED_VALUE"""),"fr")</f>
        <v>fr</v>
      </c>
      <c r="B8988">
        <f>IFERROR(__xludf.DUMMYFUNCTION("""COMPUTED_VALUE"""),2419476.0)</f>
        <v>2419476</v>
      </c>
      <c r="C8988" t="str">
        <f>IFERROR(__xludf.DUMMYFUNCTION("""COMPUTED_VALUE"""),"Machine Learning avec Python : La formation complète")</f>
        <v>Machine Learning avec Python : La formation complète</v>
      </c>
    </row>
    <row r="8989">
      <c r="A8989" s="140" t="str">
        <f>IFERROR(__xludf.DUMMYFUNCTION("""COMPUTED_VALUE"""),"es")</f>
        <v>es</v>
      </c>
      <c r="B8989">
        <f>IFERROR(__xludf.DUMMYFUNCTION("""COMPUTED_VALUE"""),1455532.0)</f>
        <v>1455532</v>
      </c>
      <c r="C8989" t="str">
        <f>IFERROR(__xludf.DUMMYFUNCTION("""COMPUTED_VALUE"""),"Lambdas y Streams en Java. Aprende programación funcional.")</f>
        <v>Lambdas y Streams en Java. Aprende programación funcional.</v>
      </c>
    </row>
    <row r="8990">
      <c r="A8990" s="140" t="str">
        <f>IFERROR(__xludf.DUMMYFUNCTION("""COMPUTED_VALUE"""),"en")</f>
        <v>en</v>
      </c>
      <c r="B8990">
        <f>IFERROR(__xludf.DUMMYFUNCTION("""COMPUTED_VALUE"""),4095944.0)</f>
        <v>4095944</v>
      </c>
      <c r="C8990" t="str">
        <f>IFERROR(__xludf.DUMMYFUNCTION("""COMPUTED_VALUE"""),"Applied Control Systems 2: autonomous cars (360 tracking)")</f>
        <v>Applied Control Systems 2: autonomous cars (360 tracking)</v>
      </c>
    </row>
    <row r="8991">
      <c r="A8991" s="140" t="str">
        <f>IFERROR(__xludf.DUMMYFUNCTION("""COMPUTED_VALUE"""),"en")</f>
        <v>en</v>
      </c>
      <c r="B8991">
        <f>IFERROR(__xludf.DUMMYFUNCTION("""COMPUTED_VALUE"""),2027138.0)</f>
        <v>2027138</v>
      </c>
      <c r="C8991" t="str">
        <f>IFERROR(__xludf.DUMMYFUNCTION("""COMPUTED_VALUE"""),"The Result-Oriented Web Developer Course -BOOTCAMP 2021-2022")</f>
        <v>The Result-Oriented Web Developer Course -BOOTCAMP 2021-2022</v>
      </c>
    </row>
    <row r="8992">
      <c r="A8992" s="140" t="str">
        <f>IFERROR(__xludf.DUMMYFUNCTION("""COMPUTED_VALUE"""),"en")</f>
        <v>en</v>
      </c>
      <c r="B8992">
        <f>IFERROR(__xludf.DUMMYFUNCTION("""COMPUTED_VALUE"""),1301968.0)</f>
        <v>1301968</v>
      </c>
      <c r="C8992" t="str">
        <f>IFERROR(__xludf.DUMMYFUNCTION("""COMPUTED_VALUE"""),"Agile PM 402 - Enterprise-level Agile Project Management")</f>
        <v>Agile PM 402 - Enterprise-level Agile Project Management</v>
      </c>
    </row>
    <row r="8993">
      <c r="A8993" s="140" t="str">
        <f>IFERROR(__xludf.DUMMYFUNCTION("""COMPUTED_VALUE"""),"pt")</f>
        <v>pt</v>
      </c>
      <c r="B8993">
        <f>IFERROR(__xludf.DUMMYFUNCTION("""COMPUTED_VALUE"""),967528.0)</f>
        <v>967528</v>
      </c>
      <c r="C8993" t="str">
        <f>IFERROR(__xludf.DUMMYFUNCTION("""COMPUTED_VALUE"""),"Curso Completo de Facebook Ads &amp; Instagram Ads")</f>
        <v>Curso Completo de Facebook Ads &amp; Instagram Ads</v>
      </c>
    </row>
    <row r="8994">
      <c r="A8994" s="140" t="str">
        <f>IFERROR(__xludf.DUMMYFUNCTION("""COMPUTED_VALUE"""),"en")</f>
        <v>en</v>
      </c>
      <c r="B8994">
        <f>IFERROR(__xludf.DUMMYFUNCTION("""COMPUTED_VALUE"""),452208.0)</f>
        <v>452208</v>
      </c>
      <c r="C8994" t="str">
        <f>IFERROR(__xludf.DUMMYFUNCTION("""COMPUTED_VALUE"""),"JSF 2.2 - Java Server Faces for Beginners - Build a DB App")</f>
        <v>JSF 2.2 - Java Server Faces for Beginners - Build a DB App</v>
      </c>
    </row>
    <row r="8995">
      <c r="A8995" s="140" t="str">
        <f>IFERROR(__xludf.DUMMYFUNCTION("""COMPUTED_VALUE"""),"pt")</f>
        <v>pt</v>
      </c>
      <c r="B8995">
        <f>IFERROR(__xludf.DUMMYFUNCTION("""COMPUTED_VALUE"""),1946194.0)</f>
        <v>1946194</v>
      </c>
      <c r="C8995" t="str">
        <f>IFERROR(__xludf.DUMMYFUNCTION("""COMPUTED_VALUE"""),"Gestão de Projetos com Agile &amp; Scrum: O Guia Definitivo")</f>
        <v>Gestão de Projetos com Agile &amp; Scrum: O Guia Definitivo</v>
      </c>
    </row>
    <row r="8996">
      <c r="A8996" s="140" t="str">
        <f>IFERROR(__xludf.DUMMYFUNCTION("""COMPUTED_VALUE"""),"es")</f>
        <v>es</v>
      </c>
      <c r="B8996">
        <f>IFERROR(__xludf.DUMMYFUNCTION("""COMPUTED_VALUE"""),3790626.0)</f>
        <v>3790626</v>
      </c>
      <c r="C8996" t="str">
        <f>IFERROR(__xludf.DUMMYFUNCTION("""COMPUTED_VALUE"""),"Principios SOLID y Clean Code. Escribe código de calidad.")</f>
        <v>Principios SOLID y Clean Code. Escribe código de calidad.</v>
      </c>
    </row>
    <row r="8997">
      <c r="A8997" s="140" t="str">
        <f>IFERROR(__xludf.DUMMYFUNCTION("""COMPUTED_VALUE"""),"en")</f>
        <v>en</v>
      </c>
      <c r="B8997">
        <f>IFERROR(__xludf.DUMMYFUNCTION("""COMPUTED_VALUE"""),354324.0)</f>
        <v>354324</v>
      </c>
      <c r="C8997" t="str">
        <f>IFERROR(__xludf.DUMMYFUNCTION("""COMPUTED_VALUE"""),"Accounting 2 Simplified for You")</f>
        <v>Accounting 2 Simplified for You</v>
      </c>
    </row>
    <row r="8998">
      <c r="A8998" s="140" t="str">
        <f>IFERROR(__xludf.DUMMYFUNCTION("""COMPUTED_VALUE"""),"en")</f>
        <v>en</v>
      </c>
      <c r="B8998">
        <f>IFERROR(__xludf.DUMMYFUNCTION("""COMPUTED_VALUE"""),1333184.0)</f>
        <v>1333184</v>
      </c>
      <c r="C8998" t="str">
        <f>IFERROR(__xludf.DUMMYFUNCTION("""COMPUTED_VALUE"""),"Giving and Receiving Feedback for Management and Leadership")</f>
        <v>Giving and Receiving Feedback for Management and Leadership</v>
      </c>
    </row>
    <row r="8999">
      <c r="A8999" s="140" t="str">
        <f>IFERROR(__xludf.DUMMYFUNCTION("""COMPUTED_VALUE"""),"en")</f>
        <v>en</v>
      </c>
      <c r="B8999">
        <f>IFERROR(__xludf.DUMMYFUNCTION("""COMPUTED_VALUE"""),2668814.0)</f>
        <v>2668814</v>
      </c>
      <c r="C8999" t="str">
        <f>IFERROR(__xludf.DUMMYFUNCTION("""COMPUTED_VALUE"""),"Master Solidworks 2019 - 3D CAD using real-world examples")</f>
        <v>Master Solidworks 2019 - 3D CAD using real-world examples</v>
      </c>
    </row>
    <row r="9000">
      <c r="A9000" s="140" t="str">
        <f>IFERROR(__xludf.DUMMYFUNCTION("""COMPUTED_VALUE"""),"en")</f>
        <v>en</v>
      </c>
      <c r="B9000">
        <f>IFERROR(__xludf.DUMMYFUNCTION("""COMPUTED_VALUE"""),2858580.0)</f>
        <v>2858580</v>
      </c>
      <c r="C9000" t="str">
        <f>IFERROR(__xludf.DUMMYFUNCTION("""COMPUTED_VALUE"""),"ServiceNow CIS - Discovery Practice Exams | Rome | 2021")</f>
        <v>ServiceNow CIS - Discovery Practice Exams | Rome | 2021</v>
      </c>
    </row>
    <row r="9001">
      <c r="A9001" s="140" t="str">
        <f>IFERROR(__xludf.DUMMYFUNCTION("""COMPUTED_VALUE"""),"en")</f>
        <v>en</v>
      </c>
      <c r="B9001">
        <f>IFERROR(__xludf.DUMMYFUNCTION("""COMPUTED_VALUE"""),2505982.0)</f>
        <v>2505982</v>
      </c>
      <c r="C9001" t="str">
        <f>IFERROR(__xludf.DUMMYFUNCTION("""COMPUTED_VALUE"""),"Amazon SEO, Reviews &amp; Listing Optimization SECRETS (2021)")</f>
        <v>Amazon SEO, Reviews &amp; Listing Optimization SECRETS (2021)</v>
      </c>
    </row>
    <row r="9002">
      <c r="A9002" s="140" t="str">
        <f>IFERROR(__xludf.DUMMYFUNCTION("""COMPUTED_VALUE"""),"en")</f>
        <v>en</v>
      </c>
      <c r="B9002">
        <f>IFERROR(__xludf.DUMMYFUNCTION("""COMPUTED_VALUE"""),297044.0)</f>
        <v>297044</v>
      </c>
      <c r="C9002" t="str">
        <f>IFERROR(__xludf.DUMMYFUNCTION("""COMPUTED_VALUE"""),"Learn WCF And Web APIs From Scratch")</f>
        <v>Learn WCF And Web APIs From Scratch</v>
      </c>
    </row>
    <row r="9003">
      <c r="A9003" s="140" t="str">
        <f>IFERROR(__xludf.DUMMYFUNCTION("""COMPUTED_VALUE"""),"de")</f>
        <v>de</v>
      </c>
      <c r="B9003">
        <f>IFERROR(__xludf.DUMMYFUNCTION("""COMPUTED_VALUE"""),2846104.0)</f>
        <v>2846104</v>
      </c>
      <c r="C9003" t="str">
        <f>IFERROR(__xludf.DUMMYFUNCTION("""COMPUTED_VALUE"""),"Laravel 7 - Praxiskurs für Anfänger: Alle Grundlagen am Bsp.")</f>
        <v>Laravel 7 - Praxiskurs für Anfänger: Alle Grundlagen am Bsp.</v>
      </c>
    </row>
    <row r="9004">
      <c r="A9004" s="140" t="str">
        <f>IFERROR(__xludf.DUMMYFUNCTION("""COMPUTED_VALUE"""),"es")</f>
        <v>es</v>
      </c>
      <c r="B9004">
        <f>IFERROR(__xludf.DUMMYFUNCTION("""COMPUTED_VALUE"""),486808.0)</f>
        <v>486808</v>
      </c>
      <c r="C9004" t="str">
        <f>IFERROR(__xludf.DUMMYFUNCTION("""COMPUTED_VALUE"""),"Desarrollo de Aplicaciones móviles Android con App Inventor")</f>
        <v>Desarrollo de Aplicaciones móviles Android con App Inventor</v>
      </c>
    </row>
    <row r="9005">
      <c r="A9005" s="140" t="str">
        <f>IFERROR(__xludf.DUMMYFUNCTION("""COMPUTED_VALUE"""),"es")</f>
        <v>es</v>
      </c>
      <c r="B9005">
        <f>IFERROR(__xludf.DUMMYFUNCTION("""COMPUTED_VALUE"""),2201832.0)</f>
        <v>2201832</v>
      </c>
      <c r="C9005" t="str">
        <f>IFERROR(__xludf.DUMMYFUNCTION("""COMPUTED_VALUE"""),"Creación de Tiendas Online: Fácil, Completo y desde Cero")</f>
        <v>Creación de Tiendas Online: Fácil, Completo y desde Cero</v>
      </c>
    </row>
    <row r="9006">
      <c r="A9006" s="140" t="str">
        <f>IFERROR(__xludf.DUMMYFUNCTION("""COMPUTED_VALUE"""),"en")</f>
        <v>en</v>
      </c>
      <c r="B9006">
        <f>IFERROR(__xludf.DUMMYFUNCTION("""COMPUTED_VALUE"""),2394610.0)</f>
        <v>2394610</v>
      </c>
      <c r="C9006" t="str">
        <f>IFERROR(__xludf.DUMMYFUNCTION("""COMPUTED_VALUE"""),"Kafka &amp; Kafka Stream With Java Spring Boot - Hands-on Coding")</f>
        <v>Kafka &amp; Kafka Stream With Java Spring Boot - Hands-on Coding</v>
      </c>
    </row>
    <row r="9007">
      <c r="A9007" s="140" t="str">
        <f>IFERROR(__xludf.DUMMYFUNCTION("""COMPUTED_VALUE"""),"en")</f>
        <v>en</v>
      </c>
      <c r="B9007">
        <f>IFERROR(__xludf.DUMMYFUNCTION("""COMPUTED_VALUE"""),2808253.0)</f>
        <v>2808253</v>
      </c>
      <c r="C9007" t="str">
        <f>IFERROR(__xludf.DUMMYFUNCTION("""COMPUTED_VALUE"""),"QC201 : Advanced Math for Quantum Computing")</f>
        <v>QC201 : Advanced Math for Quantum Computing</v>
      </c>
    </row>
    <row r="9008">
      <c r="A9008" s="140" t="str">
        <f>IFERROR(__xludf.DUMMYFUNCTION("""COMPUTED_VALUE"""),"en")</f>
        <v>en</v>
      </c>
      <c r="B9008">
        <f>IFERROR(__xludf.DUMMYFUNCTION("""COMPUTED_VALUE"""),1672222.0)</f>
        <v>1672222</v>
      </c>
      <c r="C9008" t="str">
        <f>IFERROR(__xludf.DUMMYFUNCTION("""COMPUTED_VALUE"""),"Petroleum refining demystified - Oil &amp; Gas industry")</f>
        <v>Petroleum refining demystified - Oil &amp; Gas industry</v>
      </c>
    </row>
    <row r="9009">
      <c r="A9009" s="140" t="str">
        <f>IFERROR(__xludf.DUMMYFUNCTION("""COMPUTED_VALUE"""),"ja")</f>
        <v>ja</v>
      </c>
      <c r="B9009">
        <f>IFERROR(__xludf.DUMMYFUNCTION("""COMPUTED_VALUE"""),3536216.0)</f>
        <v>3536216</v>
      </c>
      <c r="C9009" t="str">
        <f>IFERROR(__xludf.DUMMYFUNCTION("""COMPUTED_VALUE"""),"TOEIC L&amp;Rテスト・リーディング絶対攻略！1ヶ月で英語の長文がスムーズに読めるようになるタニケイ式速読トレーニング")</f>
        <v>TOEIC L&amp;Rテスト・リーディング絶対攻略！1ヶ月で英語の長文がスムーズに読めるようになるタニケイ式速読トレーニング</v>
      </c>
    </row>
    <row r="9010">
      <c r="A9010" s="140" t="str">
        <f>IFERROR(__xludf.DUMMYFUNCTION("""COMPUTED_VALUE"""),"pt")</f>
        <v>pt</v>
      </c>
      <c r="B9010">
        <f>IFERROR(__xludf.DUMMYFUNCTION("""COMPUTED_VALUE"""),1089910.0)</f>
        <v>1089910</v>
      </c>
      <c r="C9010" t="str">
        <f>IFERROR(__xludf.DUMMYFUNCTION("""COMPUTED_VALUE"""),"Python Scrapy: Capture Dados Web de forma rápida e escalável")</f>
        <v>Python Scrapy: Capture Dados Web de forma rápida e escalável</v>
      </c>
    </row>
    <row r="9011">
      <c r="A9011" s="140" t="str">
        <f>IFERROR(__xludf.DUMMYFUNCTION("""COMPUTED_VALUE"""),"de")</f>
        <v>de</v>
      </c>
      <c r="B9011">
        <f>IFERROR(__xludf.DUMMYFUNCTION("""COMPUTED_VALUE"""),2331796.0)</f>
        <v>2331796</v>
      </c>
      <c r="C9011" t="str">
        <f>IFERROR(__xludf.DUMMYFUNCTION("""COMPUTED_VALUE"""),"Meistere die asynchrone Programmierung mit .Net und C#")</f>
        <v>Meistere die asynchrone Programmierung mit .Net und C#</v>
      </c>
    </row>
    <row r="9012">
      <c r="A9012" s="140" t="str">
        <f>IFERROR(__xludf.DUMMYFUNCTION("""COMPUTED_VALUE"""),"ja")</f>
        <v>ja</v>
      </c>
      <c r="B9012">
        <f>IFERROR(__xludf.DUMMYFUNCTION("""COMPUTED_VALUE"""),1486378.0)</f>
        <v>1486378</v>
      </c>
      <c r="C9012" t="str">
        <f>IFERROR(__xludf.DUMMYFUNCTION("""COMPUTED_VALUE"""),"【初心者から上級者まで】１日で学べるエクセルの教科書　マスターコース")</f>
        <v>【初心者から上級者まで】１日で学べるエクセルの教科書　マスターコース</v>
      </c>
    </row>
    <row r="9013">
      <c r="A9013" s="140" t="str">
        <f>IFERROR(__xludf.DUMMYFUNCTION("""COMPUTED_VALUE"""),"tr")</f>
        <v>tr</v>
      </c>
      <c r="B9013">
        <f>IFERROR(__xludf.DUMMYFUNCTION("""COMPUTED_VALUE"""),1661602.0)</f>
        <v>1661602</v>
      </c>
      <c r="C9013" t="str">
        <f>IFERROR(__xludf.DUMMYFUNCTION("""COMPUTED_VALUE"""),"56+ Saat | Cisco CCNA 200-301 Sınav Rehberi | 2020 |")</f>
        <v>56+ Saat | Cisco CCNA 200-301 Sınav Rehberi | 2020 |</v>
      </c>
    </row>
    <row r="9014">
      <c r="A9014" s="140" t="str">
        <f>IFERROR(__xludf.DUMMYFUNCTION("""COMPUTED_VALUE"""),"en")</f>
        <v>en</v>
      </c>
      <c r="B9014">
        <f>IFERROR(__xludf.DUMMYFUNCTION("""COMPUTED_VALUE"""),2348618.0)</f>
        <v>2348618</v>
      </c>
      <c r="C9014" t="str">
        <f>IFERROR(__xludf.DUMMYFUNCTION("""COMPUTED_VALUE"""),"Spanish: The Most Useful Phrases +300")</f>
        <v>Spanish: The Most Useful Phrases +300</v>
      </c>
    </row>
    <row r="9015">
      <c r="A9015" s="140" t="str">
        <f>IFERROR(__xludf.DUMMYFUNCTION("""COMPUTED_VALUE"""),"pt")</f>
        <v>pt</v>
      </c>
      <c r="B9015">
        <f>IFERROR(__xludf.DUMMYFUNCTION("""COMPUTED_VALUE"""),3614806.0)</f>
        <v>3614806</v>
      </c>
      <c r="C9015" t="str">
        <f>IFERROR(__xludf.DUMMYFUNCTION("""COMPUTED_VALUE"""),"Design Patterns com Java - Entendendo Padrões de Projetos")</f>
        <v>Design Patterns com Java - Entendendo Padrões de Projetos</v>
      </c>
    </row>
    <row r="9016">
      <c r="A9016" s="140" t="str">
        <f>IFERROR(__xludf.DUMMYFUNCTION("""COMPUTED_VALUE"""),"en")</f>
        <v>en</v>
      </c>
      <c r="B9016">
        <f>IFERROR(__xludf.DUMMYFUNCTION("""COMPUTED_VALUE"""),1358570.0)</f>
        <v>1358570</v>
      </c>
      <c r="C9016" t="str">
        <f>IFERROR(__xludf.DUMMYFUNCTION("""COMPUTED_VALUE"""),"Design Patterns in Java")</f>
        <v>Design Patterns in Java</v>
      </c>
    </row>
    <row r="9017">
      <c r="A9017" s="140" t="str">
        <f>IFERROR(__xludf.DUMMYFUNCTION("""COMPUTED_VALUE"""),"tr")</f>
        <v>tr</v>
      </c>
      <c r="B9017">
        <f>IFERROR(__xludf.DUMMYFUNCTION("""COMPUTED_VALUE"""),3519316.0)</f>
        <v>3519316</v>
      </c>
      <c r="C9017" t="str">
        <f>IFERROR(__xludf.DUMMYFUNCTION("""COMPUTED_VALUE"""),"PIC Programlama Kursu | MPLAB X IDE ve Proteus")</f>
        <v>PIC Programlama Kursu | MPLAB X IDE ve Proteus</v>
      </c>
    </row>
    <row r="9018">
      <c r="A9018" s="140" t="str">
        <f>IFERROR(__xludf.DUMMYFUNCTION("""COMPUTED_VALUE"""),"en")</f>
        <v>en</v>
      </c>
      <c r="B9018">
        <f>IFERROR(__xludf.DUMMYFUNCTION("""COMPUTED_VALUE"""),739888.0)</f>
        <v>739888</v>
      </c>
      <c r="C9018" t="str">
        <f>IFERROR(__xludf.DUMMYFUNCTION("""COMPUTED_VALUE"""),"SAP WM Warehouse Management")</f>
        <v>SAP WM Warehouse Management</v>
      </c>
    </row>
    <row r="9019">
      <c r="A9019" s="140" t="str">
        <f>IFERROR(__xludf.DUMMYFUNCTION("""COMPUTED_VALUE"""),"en")</f>
        <v>en</v>
      </c>
      <c r="B9019">
        <f>IFERROR(__xludf.DUMMYFUNCTION("""COMPUTED_VALUE"""),1835828.0)</f>
        <v>1835828</v>
      </c>
      <c r="C9019" t="str">
        <f>IFERROR(__xludf.DUMMYFUNCTION("""COMPUTED_VALUE"""),"Adobe Photoshop CC – Advanced Training Course")</f>
        <v>Adobe Photoshop CC – Advanced Training Course</v>
      </c>
    </row>
    <row r="9020">
      <c r="A9020" s="140" t="str">
        <f>IFERROR(__xludf.DUMMYFUNCTION("""COMPUTED_VALUE"""),"en")</f>
        <v>en</v>
      </c>
      <c r="B9020">
        <f>IFERROR(__xludf.DUMMYFUNCTION("""COMPUTED_VALUE"""),1426704.0)</f>
        <v>1426704</v>
      </c>
      <c r="C9020" t="str">
        <f>IFERROR(__xludf.DUMMYFUNCTION("""COMPUTED_VALUE"""),"End to End Project Development Using Spring Boot")</f>
        <v>End to End Project Development Using Spring Boot</v>
      </c>
    </row>
    <row r="9021">
      <c r="A9021" s="140" t="str">
        <f>IFERROR(__xludf.DUMMYFUNCTION("""COMPUTED_VALUE"""),"ja")</f>
        <v>ja</v>
      </c>
      <c r="B9021">
        <f>IFERROR(__xludf.DUMMYFUNCTION("""COMPUTED_VALUE"""),1401310.0)</f>
        <v>1401310</v>
      </c>
      <c r="C9021" t="str">
        <f>IFERROR(__xludf.DUMMYFUNCTION("""COMPUTED_VALUE"""),"ゼロからはじめる Dockerによるアプリケーション実行環境構築")</f>
        <v>ゼロからはじめる Dockerによるアプリケーション実行環境構築</v>
      </c>
    </row>
    <row r="9022">
      <c r="A9022" s="140" t="str">
        <f>IFERROR(__xludf.DUMMYFUNCTION("""COMPUTED_VALUE"""),"en")</f>
        <v>en</v>
      </c>
      <c r="B9022">
        <f>IFERROR(__xludf.DUMMYFUNCTION("""COMPUTED_VALUE"""),1450130.0)</f>
        <v>1450130</v>
      </c>
      <c r="C9022" t="str">
        <f>IFERROR(__xludf.DUMMYFUNCTION("""COMPUTED_VALUE"""),"CCIE Enterprise Infrastructure - OSPF")</f>
        <v>CCIE Enterprise Infrastructure - OSPF</v>
      </c>
    </row>
    <row r="9023">
      <c r="A9023" s="140" t="str">
        <f>IFERROR(__xludf.DUMMYFUNCTION("""COMPUTED_VALUE"""),"en")</f>
        <v>en</v>
      </c>
      <c r="B9023">
        <f>IFERROR(__xludf.DUMMYFUNCTION("""COMPUTED_VALUE"""),2386102.0)</f>
        <v>2386102</v>
      </c>
      <c r="C9023" t="str">
        <f>IFERROR(__xludf.DUMMYFUNCTION("""COMPUTED_VALUE"""),"B2B Sales Skills: Handle the Objection")</f>
        <v>B2B Sales Skills: Handle the Objection</v>
      </c>
    </row>
    <row r="9024">
      <c r="A9024" s="140" t="str">
        <f>IFERROR(__xludf.DUMMYFUNCTION("""COMPUTED_VALUE"""),"pt")</f>
        <v>pt</v>
      </c>
      <c r="B9024">
        <f>IFERROR(__xludf.DUMMYFUNCTION("""COMPUTED_VALUE"""),1905360.0)</f>
        <v>1905360</v>
      </c>
      <c r="C9024" t="str">
        <f>IFERROR(__xludf.DUMMYFUNCTION("""COMPUTED_VALUE"""),"Curso de tabela dinâmica no Excel - Prático e rápido!")</f>
        <v>Curso de tabela dinâmica no Excel - Prático e rápido!</v>
      </c>
    </row>
    <row r="9025">
      <c r="A9025" s="140" t="str">
        <f>IFERROR(__xludf.DUMMYFUNCTION("""COMPUTED_VALUE"""),"es")</f>
        <v>es</v>
      </c>
      <c r="B9025">
        <f>IFERROR(__xludf.DUMMYFUNCTION("""COMPUTED_VALUE"""),1238042.0)</f>
        <v>1238042</v>
      </c>
      <c r="C9025" t="str">
        <f>IFERROR(__xludf.DUMMYFUNCTION("""COMPUTED_VALUE"""),"Curso de Facebook Messenger ChatBot")</f>
        <v>Curso de Facebook Messenger ChatBot</v>
      </c>
    </row>
    <row r="9026">
      <c r="A9026" s="140" t="str">
        <f>IFERROR(__xludf.DUMMYFUNCTION("""COMPUTED_VALUE"""),"en")</f>
        <v>en</v>
      </c>
      <c r="B9026">
        <f>IFERROR(__xludf.DUMMYFUNCTION("""COMPUTED_VALUE"""),646038.0)</f>
        <v>646038</v>
      </c>
      <c r="C9026" t="str">
        <f>IFERROR(__xludf.DUMMYFUNCTION("""COMPUTED_VALUE"""),"Designing Server 2012 (70-413)")</f>
        <v>Designing Server 2012 (70-413)</v>
      </c>
    </row>
    <row r="9027">
      <c r="A9027" s="140" t="str">
        <f>IFERROR(__xludf.DUMMYFUNCTION("""COMPUTED_VALUE"""),"en")</f>
        <v>en</v>
      </c>
      <c r="B9027">
        <f>IFERROR(__xludf.DUMMYFUNCTION("""COMPUTED_VALUE"""),996228.0)</f>
        <v>996228</v>
      </c>
      <c r="C9027" t="str">
        <f>IFERROR(__xludf.DUMMYFUNCTION("""COMPUTED_VALUE"""),"The Ultimate Hands-On Hadoop: Tame your Big Data!")</f>
        <v>The Ultimate Hands-On Hadoop: Tame your Big Data!</v>
      </c>
    </row>
    <row r="9028">
      <c r="A9028" s="140" t="str">
        <f>IFERROR(__xludf.DUMMYFUNCTION("""COMPUTED_VALUE"""),"en")</f>
        <v>en</v>
      </c>
      <c r="B9028">
        <f>IFERROR(__xludf.DUMMYFUNCTION("""COMPUTED_VALUE"""),2495958.0)</f>
        <v>2495958</v>
      </c>
      <c r="C9028" t="str">
        <f>IFERROR(__xludf.DUMMYFUNCTION("""COMPUTED_VALUE"""),"Master RESTful APIs with Spring Boot 2 in 100 Steps")</f>
        <v>Master RESTful APIs with Spring Boot 2 in 100 Steps</v>
      </c>
    </row>
    <row r="9029">
      <c r="A9029" s="140" t="str">
        <f>IFERROR(__xludf.DUMMYFUNCTION("""COMPUTED_VALUE"""),"en")</f>
        <v>en</v>
      </c>
      <c r="B9029">
        <f>IFERROR(__xludf.DUMMYFUNCTION("""COMPUTED_VALUE"""),2053219.0)</f>
        <v>2053219</v>
      </c>
      <c r="C9029" t="str">
        <f>IFERROR(__xludf.DUMMYFUNCTION("""COMPUTED_VALUE"""),"NestJS Zero to Hero - Modern TypeScript Back-end Development")</f>
        <v>NestJS Zero to Hero - Modern TypeScript Back-end Development</v>
      </c>
    </row>
    <row r="9030">
      <c r="A9030" s="140" t="str">
        <f>IFERROR(__xludf.DUMMYFUNCTION("""COMPUTED_VALUE"""),"pt")</f>
        <v>pt</v>
      </c>
      <c r="B9030">
        <f>IFERROR(__xludf.DUMMYFUNCTION("""COMPUTED_VALUE"""),1857560.0)</f>
        <v>1857560</v>
      </c>
      <c r="C9030" t="str">
        <f>IFERROR(__xludf.DUMMYFUNCTION("""COMPUTED_VALUE"""),"JavaScript: Algoritmos + Estruturas de Dados")</f>
        <v>JavaScript: Algoritmos + Estruturas de Dados</v>
      </c>
    </row>
    <row r="9031">
      <c r="A9031" s="140" t="str">
        <f>IFERROR(__xludf.DUMMYFUNCTION("""COMPUTED_VALUE"""),"en")</f>
        <v>en</v>
      </c>
      <c r="B9031">
        <f>IFERROR(__xludf.DUMMYFUNCTION("""COMPUTED_VALUE"""),2417990.0)</f>
        <v>2417990</v>
      </c>
      <c r="C9031" t="str">
        <f>IFERROR(__xludf.DUMMYFUNCTION("""COMPUTED_VALUE"""),"The Complete SSL and TLS Guide 2021: HTTP to HTTPS")</f>
        <v>The Complete SSL and TLS Guide 2021: HTTP to HTTPS</v>
      </c>
    </row>
    <row r="9032">
      <c r="A9032" s="140" t="str">
        <f>IFERROR(__xludf.DUMMYFUNCTION("""COMPUTED_VALUE"""),"en")</f>
        <v>en</v>
      </c>
      <c r="B9032">
        <f>IFERROR(__xludf.DUMMYFUNCTION("""COMPUTED_VALUE"""),1691528.0)</f>
        <v>1691528</v>
      </c>
      <c r="C9032" t="str">
        <f>IFERROR(__xludf.DUMMYFUNCTION("""COMPUTED_VALUE"""),"Game Writing: Storytelling through Video Game Design")</f>
        <v>Game Writing: Storytelling through Video Game Design</v>
      </c>
    </row>
    <row r="9033">
      <c r="A9033" s="140" t="str">
        <f>IFERROR(__xludf.DUMMYFUNCTION("""COMPUTED_VALUE"""),"en")</f>
        <v>en</v>
      </c>
      <c r="B9033">
        <f>IFERROR(__xludf.DUMMYFUNCTION("""COMPUTED_VALUE"""),3959190.0)</f>
        <v>3959190</v>
      </c>
      <c r="C9033" t="str">
        <f>IFERROR(__xludf.DUMMYFUNCTION("""COMPUTED_VALUE"""),"The Complete NFT Course - Learn Everything About NFTs")</f>
        <v>The Complete NFT Course - Learn Everything About NFTs</v>
      </c>
    </row>
    <row r="9034">
      <c r="A9034" s="140" t="str">
        <f>IFERROR(__xludf.DUMMYFUNCTION("""COMPUTED_VALUE"""),"en")</f>
        <v>en</v>
      </c>
      <c r="B9034">
        <f>IFERROR(__xludf.DUMMYFUNCTION("""COMPUTED_VALUE"""),937894.0)</f>
        <v>937894</v>
      </c>
      <c r="C9034" t="str">
        <f>IFERROR(__xludf.DUMMYFUNCTION("""COMPUTED_VALUE"""),"Sales Cloud Consultant Certification: Rapid Exam Prep")</f>
        <v>Sales Cloud Consultant Certification: Rapid Exam Prep</v>
      </c>
    </row>
    <row r="9035">
      <c r="A9035" s="140" t="str">
        <f>IFERROR(__xludf.DUMMYFUNCTION("""COMPUTED_VALUE"""),"tr")</f>
        <v>tr</v>
      </c>
      <c r="B9035">
        <f>IFERROR(__xludf.DUMMYFUNCTION("""COMPUTED_VALUE"""),1850300.0)</f>
        <v>1850300</v>
      </c>
      <c r="C9035" t="str">
        <f>IFERROR(__xludf.DUMMYFUNCTION("""COMPUTED_VALUE"""),"Satış Teknikleri ve İkna Eğitimi: Satış Gücünü İkiye Katla")</f>
        <v>Satış Teknikleri ve İkna Eğitimi: Satış Gücünü İkiye Katla</v>
      </c>
    </row>
    <row r="9036">
      <c r="A9036" s="140" t="str">
        <f>IFERROR(__xludf.DUMMYFUNCTION("""COMPUTED_VALUE"""),"en")</f>
        <v>en</v>
      </c>
      <c r="B9036">
        <f>IFERROR(__xludf.DUMMYFUNCTION("""COMPUTED_VALUE"""),4049392.0)</f>
        <v>4049392</v>
      </c>
      <c r="C9036" t="str">
        <f>IFERROR(__xludf.DUMMYFUNCTION("""COMPUTED_VALUE"""),"[NEW] AZ-900: Microsoft Azure Fundamentals in a Weekend")</f>
        <v>[NEW] AZ-900: Microsoft Azure Fundamentals in a Weekend</v>
      </c>
    </row>
    <row r="9037">
      <c r="A9037" s="140" t="str">
        <f>IFERROR(__xludf.DUMMYFUNCTION("""COMPUTED_VALUE"""),"en")</f>
        <v>en</v>
      </c>
      <c r="B9037">
        <f>IFERROR(__xludf.DUMMYFUNCTION("""COMPUTED_VALUE"""),1326668.0)</f>
        <v>1326668</v>
      </c>
      <c r="C9037" t="str">
        <f>IFERROR(__xludf.DUMMYFUNCTION("""COMPUTED_VALUE"""),"Facebook ChatBot Marketing: The Smart Way To Use ManyChat")</f>
        <v>Facebook ChatBot Marketing: The Smart Way To Use ManyChat</v>
      </c>
    </row>
    <row r="9038">
      <c r="A9038" s="140" t="str">
        <f>IFERROR(__xludf.DUMMYFUNCTION("""COMPUTED_VALUE"""),"en")</f>
        <v>en</v>
      </c>
      <c r="B9038">
        <f>IFERROR(__xludf.DUMMYFUNCTION("""COMPUTED_VALUE"""),947354.0)</f>
        <v>947354</v>
      </c>
      <c r="C9038" t="str">
        <f>IFERROR(__xludf.DUMMYFUNCTION("""COMPUTED_VALUE"""),"Ultimate Microsoft Project 2016 Course - Beginner to Expert")</f>
        <v>Ultimate Microsoft Project 2016 Course - Beginner to Expert</v>
      </c>
    </row>
    <row r="9039">
      <c r="A9039" s="140" t="str">
        <f>IFERROR(__xludf.DUMMYFUNCTION("""COMPUTED_VALUE"""),"en")</f>
        <v>en</v>
      </c>
      <c r="B9039">
        <f>IFERROR(__xludf.DUMMYFUNCTION("""COMPUTED_VALUE"""),2643050.0)</f>
        <v>2643050</v>
      </c>
      <c r="C9039" t="str">
        <f>IFERROR(__xludf.DUMMYFUNCTION("""COMPUTED_VALUE"""),"Customer Analytics in Python 2021")</f>
        <v>Customer Analytics in Python 2021</v>
      </c>
    </row>
    <row r="9040">
      <c r="A9040" s="140" t="str">
        <f>IFERROR(__xludf.DUMMYFUNCTION("""COMPUTED_VALUE"""),"en")</f>
        <v>en</v>
      </c>
      <c r="B9040">
        <f>IFERROR(__xludf.DUMMYFUNCTION("""COMPUTED_VALUE"""),2280266.0)</f>
        <v>2280266</v>
      </c>
      <c r="C9040" t="str">
        <f>IFERROR(__xludf.DUMMYFUNCTION("""COMPUTED_VALUE"""),"Easily Create a vSphere 6.7 VCP Lab with VMware Workstation")</f>
        <v>Easily Create a vSphere 6.7 VCP Lab with VMware Workstation</v>
      </c>
    </row>
    <row r="9041">
      <c r="A9041" s="140" t="str">
        <f>IFERROR(__xludf.DUMMYFUNCTION("""COMPUTED_VALUE"""),"tr")</f>
        <v>tr</v>
      </c>
      <c r="B9041">
        <f>IFERROR(__xludf.DUMMYFUNCTION("""COMPUTED_VALUE"""),1589248.0)</f>
        <v>1589248</v>
      </c>
      <c r="C9041" t="str">
        <f>IFERROR(__xludf.DUMMYFUNCTION("""COMPUTED_VALUE"""),"Özel Ders Formatında Sıfırdan Zirveye İngilizce Eğitim Seti")</f>
        <v>Özel Ders Formatında Sıfırdan Zirveye İngilizce Eğitim Seti</v>
      </c>
    </row>
    <row r="9042">
      <c r="A9042" s="140" t="str">
        <f>IFERROR(__xludf.DUMMYFUNCTION("""COMPUTED_VALUE"""),"es")</f>
        <v>es</v>
      </c>
      <c r="B9042">
        <f>IFERROR(__xludf.DUMMYFUNCTION("""COMPUTED_VALUE"""),2597356.0)</f>
        <v>2597356</v>
      </c>
      <c r="C9042" t="str">
        <f>IFERROR(__xludf.DUMMYFUNCTION("""COMPUTED_VALUE"""),"Xamarin Forms: Desarrolla más rápido con FreshMvvm")</f>
        <v>Xamarin Forms: Desarrolla más rápido con FreshMvvm</v>
      </c>
    </row>
    <row r="9043">
      <c r="A9043" s="140" t="str">
        <f>IFERROR(__xludf.DUMMYFUNCTION("""COMPUTED_VALUE"""),"en")</f>
        <v>en</v>
      </c>
      <c r="B9043">
        <f>IFERROR(__xludf.DUMMYFUNCTION("""COMPUTED_VALUE"""),1841876.0)</f>
        <v>1841876</v>
      </c>
      <c r="C9043" t="str">
        <f>IFERROR(__xludf.DUMMYFUNCTION("""COMPUTED_VALUE"""),"TIBCO Cloud Spotfire Data Visualization and Analytics")</f>
        <v>TIBCO Cloud Spotfire Data Visualization and Analytics</v>
      </c>
    </row>
    <row r="9044">
      <c r="A9044" s="140" t="str">
        <f>IFERROR(__xludf.DUMMYFUNCTION("""COMPUTED_VALUE"""),"en")</f>
        <v>en</v>
      </c>
      <c r="B9044">
        <f>IFERROR(__xludf.DUMMYFUNCTION("""COMPUTED_VALUE"""),1692878.0)</f>
        <v>1692878</v>
      </c>
      <c r="C9044" t="str">
        <f>IFERROR(__xludf.DUMMYFUNCTION("""COMPUTED_VALUE"""),"Apache Flink | A Real Time &amp; Hands-On course on Flink")</f>
        <v>Apache Flink | A Real Time &amp; Hands-On course on Flink</v>
      </c>
    </row>
    <row r="9045">
      <c r="A9045" s="140" t="str">
        <f>IFERROR(__xludf.DUMMYFUNCTION("""COMPUTED_VALUE"""),"en")</f>
        <v>en</v>
      </c>
      <c r="B9045">
        <f>IFERROR(__xludf.DUMMYFUNCTION("""COMPUTED_VALUE"""),615274.0)</f>
        <v>615274</v>
      </c>
      <c r="C9045" t="str">
        <f>IFERROR(__xludf.DUMMYFUNCTION("""COMPUTED_VALUE"""),"Learn to Fully Charge Your Work &amp; Life by Tom Rath")</f>
        <v>Learn to Fully Charge Your Work &amp; Life by Tom Rath</v>
      </c>
    </row>
    <row r="9046">
      <c r="A9046" s="140" t="str">
        <f>IFERROR(__xludf.DUMMYFUNCTION("""COMPUTED_VALUE"""),"en")</f>
        <v>en</v>
      </c>
      <c r="B9046">
        <f>IFERROR(__xludf.DUMMYFUNCTION("""COMPUTED_VALUE"""),2103578.0)</f>
        <v>2103578</v>
      </c>
      <c r="C9046" t="str">
        <f>IFERROR(__xludf.DUMMYFUNCTION("""COMPUTED_VALUE"""),"Certified Six Sigma Green Belt Training")</f>
        <v>Certified Six Sigma Green Belt Training</v>
      </c>
    </row>
    <row r="9047">
      <c r="A9047" s="140" t="str">
        <f>IFERROR(__xludf.DUMMYFUNCTION("""COMPUTED_VALUE"""),"es")</f>
        <v>es</v>
      </c>
      <c r="B9047">
        <f>IFERROR(__xludf.DUMMYFUNCTION("""COMPUTED_VALUE"""),1913984.0)</f>
        <v>1913984</v>
      </c>
      <c r="C9047" t="str">
        <f>IFERROR(__xludf.DUMMYFUNCTION("""COMPUTED_VALUE"""),"Secretos del Marketing Digital Orgánico en Redes Sociales.")</f>
        <v>Secretos del Marketing Digital Orgánico en Redes Sociales.</v>
      </c>
    </row>
    <row r="9048">
      <c r="A9048" s="140" t="str">
        <f>IFERROR(__xludf.DUMMYFUNCTION("""COMPUTED_VALUE"""),"pt")</f>
        <v>pt</v>
      </c>
      <c r="B9048">
        <f>IFERROR(__xludf.DUMMYFUNCTION("""COMPUTED_VALUE"""),2285545.0)</f>
        <v>2285545</v>
      </c>
      <c r="C9048" t="str">
        <f>IFERROR(__xludf.DUMMYFUNCTION("""COMPUTED_VALUE"""),"Negociação Corporativa")</f>
        <v>Negociação Corporativa</v>
      </c>
    </row>
    <row r="9049">
      <c r="A9049" s="140" t="str">
        <f>IFERROR(__xludf.DUMMYFUNCTION("""COMPUTED_VALUE"""),"en")</f>
        <v>en</v>
      </c>
      <c r="B9049">
        <f>IFERROR(__xludf.DUMMYFUNCTION("""COMPUTED_VALUE"""),2305334.0)</f>
        <v>2305334</v>
      </c>
      <c r="C9049" t="str">
        <f>IFERROR(__xludf.DUMMYFUNCTION("""COMPUTED_VALUE"""),"Learn to master ETL data integration with Pentaho kettle PDI")</f>
        <v>Learn to master ETL data integration with Pentaho kettle PDI</v>
      </c>
    </row>
    <row r="9050">
      <c r="A9050" s="140" t="str">
        <f>IFERROR(__xludf.DUMMYFUNCTION("""COMPUTED_VALUE"""),"en")</f>
        <v>en</v>
      </c>
      <c r="B9050">
        <f>IFERROR(__xludf.DUMMYFUNCTION("""COMPUTED_VALUE"""),2997692.0)</f>
        <v>2997692</v>
      </c>
      <c r="C9050" t="str">
        <f>IFERROR(__xludf.DUMMYFUNCTION("""COMPUTED_VALUE"""),"Serverless Framework Bootcamp: Node.js, AWS &amp; Microservices")</f>
        <v>Serverless Framework Bootcamp: Node.js, AWS &amp; Microservices</v>
      </c>
    </row>
    <row r="9051">
      <c r="A9051" s="140" t="str">
        <f>IFERROR(__xludf.DUMMYFUNCTION("""COMPUTED_VALUE"""),"en")</f>
        <v>en</v>
      </c>
      <c r="B9051">
        <f>IFERROR(__xludf.DUMMYFUNCTION("""COMPUTED_VALUE"""),1248842.0)</f>
        <v>1248842</v>
      </c>
      <c r="C9051" t="str">
        <f>IFERROR(__xludf.DUMMYFUNCTION("""COMPUTED_VALUE"""),"The Complete Facebook Retargeting &amp; Facebook Marketing")</f>
        <v>The Complete Facebook Retargeting &amp; Facebook Marketing</v>
      </c>
    </row>
    <row r="9052">
      <c r="A9052" s="140" t="str">
        <f>IFERROR(__xludf.DUMMYFUNCTION("""COMPUTED_VALUE"""),"es")</f>
        <v>es</v>
      </c>
      <c r="B9052">
        <f>IFERROR(__xludf.DUMMYFUNCTION("""COMPUTED_VALUE"""),3245408.0)</f>
        <v>3245408</v>
      </c>
      <c r="C9052" t="str">
        <f>IFERROR(__xludf.DUMMYFUNCTION("""COMPUTED_VALUE"""),"MÁSTER en Penetration Testing y Ethical Hacking con Python 3")</f>
        <v>MÁSTER en Penetration Testing y Ethical Hacking con Python 3</v>
      </c>
    </row>
    <row r="9053">
      <c r="A9053" s="140" t="str">
        <f>IFERROR(__xludf.DUMMYFUNCTION("""COMPUTED_VALUE"""),"en")</f>
        <v>en</v>
      </c>
      <c r="B9053">
        <f>IFERROR(__xludf.DUMMYFUNCTION("""COMPUTED_VALUE"""),3927504.0)</f>
        <v>3927504</v>
      </c>
      <c r="C9053" t="str">
        <f>IFERROR(__xludf.DUMMYFUNCTION("""COMPUTED_VALUE"""),"Your Customer Service Toolbox: Best Practices for Beginners")</f>
        <v>Your Customer Service Toolbox: Best Practices for Beginners</v>
      </c>
    </row>
    <row r="9054">
      <c r="A9054" s="140" t="str">
        <f>IFERROR(__xludf.DUMMYFUNCTION("""COMPUTED_VALUE"""),"en")</f>
        <v>en</v>
      </c>
      <c r="B9054">
        <f>IFERROR(__xludf.DUMMYFUNCTION("""COMPUTED_VALUE"""),1887122.0)</f>
        <v>1887122</v>
      </c>
      <c r="C9054" t="str">
        <f>IFERROR(__xludf.DUMMYFUNCTION("""COMPUTED_VALUE"""),"Python 3: Deep Dive (Part 3 - Hash Maps)")</f>
        <v>Python 3: Deep Dive (Part 3 - Hash Maps)</v>
      </c>
    </row>
    <row r="9055">
      <c r="A9055" s="140" t="str">
        <f>IFERROR(__xludf.DUMMYFUNCTION("""COMPUTED_VALUE"""),"en")</f>
        <v>en</v>
      </c>
      <c r="B9055">
        <f>IFERROR(__xludf.DUMMYFUNCTION("""COMPUTED_VALUE"""),619260.0)</f>
        <v>619260</v>
      </c>
      <c r="C9055" t="str">
        <f>IFERROR(__xludf.DUMMYFUNCTION("""COMPUTED_VALUE"""),"Goals: The Lifelong Project - 8 PDUs")</f>
        <v>Goals: The Lifelong Project - 8 PDUs</v>
      </c>
    </row>
    <row r="9056">
      <c r="A9056" s="140" t="str">
        <f>IFERROR(__xludf.DUMMYFUNCTION("""COMPUTED_VALUE"""),"en")</f>
        <v>en</v>
      </c>
      <c r="B9056">
        <f>IFERROR(__xludf.DUMMYFUNCTION("""COMPUTED_VALUE"""),374568.0)</f>
        <v>374568</v>
      </c>
      <c r="C9056" t="str">
        <f>IFERROR(__xludf.DUMMYFUNCTION("""COMPUTED_VALUE"""),"Part 1 and Part 2 Certification Exam Strategy")</f>
        <v>Part 1 and Part 2 Certification Exam Strategy</v>
      </c>
    </row>
    <row r="9057">
      <c r="A9057" s="140" t="str">
        <f>IFERROR(__xludf.DUMMYFUNCTION("""COMPUTED_VALUE"""),"zh")</f>
        <v>zh</v>
      </c>
      <c r="B9057">
        <f>IFERROR(__xludf.DUMMYFUNCTION("""COMPUTED_VALUE"""),2241850.0)</f>
        <v>2241850</v>
      </c>
      <c r="C9057" t="str">
        <f>IFERROR(__xludf.DUMMYFUNCTION("""COMPUTED_VALUE"""),"Ai工程师-自然语言处理实战(Python版)")</f>
        <v>Ai工程师-自然语言处理实战(Python版)</v>
      </c>
    </row>
    <row r="9058">
      <c r="A9058" s="140" t="str">
        <f>IFERROR(__xludf.DUMMYFUNCTION("""COMPUTED_VALUE"""),"pt")</f>
        <v>pt</v>
      </c>
      <c r="B9058">
        <f>IFERROR(__xludf.DUMMYFUNCTION("""COMPUTED_VALUE"""),1593414.0)</f>
        <v>1593414</v>
      </c>
      <c r="C9058" t="str">
        <f>IFERROR(__xludf.DUMMYFUNCTION("""COMPUTED_VALUE"""),"Curso Oracle Developer SQL e PL/SQL.")</f>
        <v>Curso Oracle Developer SQL e PL/SQL.</v>
      </c>
    </row>
    <row r="9059">
      <c r="A9059" s="140" t="str">
        <f>IFERROR(__xludf.DUMMYFUNCTION("""COMPUTED_VALUE"""),"es")</f>
        <v>es</v>
      </c>
      <c r="B9059">
        <f>IFERROR(__xludf.DUMMYFUNCTION("""COMPUTED_VALUE"""),2510620.0)</f>
        <v>2510620</v>
      </c>
      <c r="C9059" t="str">
        <f>IFERROR(__xludf.DUMMYFUNCTION("""COMPUTED_VALUE"""),"Servicios de Dominio de Active Directory de cero a EXPERTO")</f>
        <v>Servicios de Dominio de Active Directory de cero a EXPERTO</v>
      </c>
    </row>
    <row r="9060">
      <c r="A9060" s="140" t="str">
        <f>IFERROR(__xludf.DUMMYFUNCTION("""COMPUTED_VALUE"""),"en")</f>
        <v>en</v>
      </c>
      <c r="B9060">
        <f>IFERROR(__xludf.DUMMYFUNCTION("""COMPUTED_VALUE"""),3342260.0)</f>
        <v>3342260</v>
      </c>
      <c r="C9060" t="str">
        <f>IFERROR(__xludf.DUMMYFUNCTION("""COMPUTED_VALUE"""),"Recon for Ethical Hacking / Penetration Testing &amp; Bug Bounty")</f>
        <v>Recon for Ethical Hacking / Penetration Testing &amp; Bug Bounty</v>
      </c>
    </row>
    <row r="9061">
      <c r="A9061" s="140" t="str">
        <f>IFERROR(__xludf.DUMMYFUNCTION("""COMPUTED_VALUE"""),"ja")</f>
        <v>ja</v>
      </c>
      <c r="B9061">
        <f>IFERROR(__xludf.DUMMYFUNCTION("""COMPUTED_VALUE"""),891778.0)</f>
        <v>891778</v>
      </c>
      <c r="C9061" t="str">
        <f>IFERROR(__xludf.DUMMYFUNCTION("""COMPUTED_VALUE"""),"【2日で撮れる】超簡単・図解でスッキリ!!一眼レフカメラ・写真入門")</f>
        <v>【2日で撮れる】超簡単・図解でスッキリ!!一眼レフカメラ・写真入門</v>
      </c>
    </row>
    <row r="9062">
      <c r="A9062" s="140" t="str">
        <f>IFERROR(__xludf.DUMMYFUNCTION("""COMPUTED_VALUE"""),"en")</f>
        <v>en</v>
      </c>
      <c r="B9062">
        <f>IFERROR(__xludf.DUMMYFUNCTION("""COMPUTED_VALUE"""),1721378.0)</f>
        <v>1721378</v>
      </c>
      <c r="C9062" t="str">
        <f>IFERROR(__xludf.DUMMYFUNCTION("""COMPUTED_VALUE"""),"CAPM Exam Cram Session - PMBOK Guide, 6th edition")</f>
        <v>CAPM Exam Cram Session - PMBOK Guide, 6th edition</v>
      </c>
    </row>
    <row r="9063">
      <c r="A9063" s="140" t="str">
        <f>IFERROR(__xludf.DUMMYFUNCTION("""COMPUTED_VALUE"""),"en")</f>
        <v>en</v>
      </c>
      <c r="B9063">
        <f>IFERROR(__xludf.DUMMYFUNCTION("""COMPUTED_VALUE"""),1743328.0)</f>
        <v>1743328</v>
      </c>
      <c r="C9063" t="str">
        <f>IFERROR(__xludf.DUMMYFUNCTION("""COMPUTED_VALUE"""),"The Complete Beginners Guide to Autodesk Revit Architecture")</f>
        <v>The Complete Beginners Guide to Autodesk Revit Architecture</v>
      </c>
    </row>
    <row r="9064">
      <c r="A9064" s="140" t="str">
        <f>IFERROR(__xludf.DUMMYFUNCTION("""COMPUTED_VALUE"""),"de")</f>
        <v>de</v>
      </c>
      <c r="B9064">
        <f>IFERROR(__xludf.DUMMYFUNCTION("""COMPUTED_VALUE"""),2137242.0)</f>
        <v>2137242</v>
      </c>
      <c r="C9064" t="str">
        <f>IFERROR(__xludf.DUMMYFUNCTION("""COMPUTED_VALUE"""),"Mit Microsoft Teams Projekte erfolgreich bewältigen")</f>
        <v>Mit Microsoft Teams Projekte erfolgreich bewältigen</v>
      </c>
    </row>
    <row r="9065">
      <c r="A9065" s="140" t="str">
        <f>IFERROR(__xludf.DUMMYFUNCTION("""COMPUTED_VALUE"""),"fr")</f>
        <v>fr</v>
      </c>
      <c r="B9065">
        <f>IFERROR(__xludf.DUMMYFUNCTION("""COMPUTED_VALUE"""),1644504.0)</f>
        <v>1644504</v>
      </c>
      <c r="C9065" t="str">
        <f>IFERROR(__xludf.DUMMYFUNCTION("""COMPUTED_VALUE"""),"Sécurité sur Linux - Apprenez à sécuriser votre système")</f>
        <v>Sécurité sur Linux - Apprenez à sécuriser votre système</v>
      </c>
    </row>
    <row r="9066">
      <c r="A9066" s="140" t="str">
        <f>IFERROR(__xludf.DUMMYFUNCTION("""COMPUTED_VALUE"""),"en")</f>
        <v>en</v>
      </c>
      <c r="B9066">
        <f>IFERROR(__xludf.DUMMYFUNCTION("""COMPUTED_VALUE"""),4036306.0)</f>
        <v>4036306</v>
      </c>
      <c r="C9066" t="str">
        <f>IFERROR(__xludf.DUMMYFUNCTION("""COMPUTED_VALUE"""),"Adobe XD for Web Design: Essential Principles for UI &amp; UX")</f>
        <v>Adobe XD for Web Design: Essential Principles for UI &amp; UX</v>
      </c>
    </row>
    <row r="9067">
      <c r="A9067" s="140" t="str">
        <f>IFERROR(__xludf.DUMMYFUNCTION("""COMPUTED_VALUE"""),"en")</f>
        <v>en</v>
      </c>
      <c r="B9067">
        <f>IFERROR(__xludf.DUMMYFUNCTION("""COMPUTED_VALUE"""),956404.0)</f>
        <v>956404</v>
      </c>
      <c r="C9067" t="str">
        <f>IFERROR(__xludf.DUMMYFUNCTION("""COMPUTED_VALUE"""),"Programming 101")</f>
        <v>Programming 101</v>
      </c>
    </row>
    <row r="9068">
      <c r="A9068" s="140" t="str">
        <f>IFERROR(__xludf.DUMMYFUNCTION("""COMPUTED_VALUE"""),"en")</f>
        <v>en</v>
      </c>
      <c r="B9068">
        <f>IFERROR(__xludf.DUMMYFUNCTION("""COMPUTED_VALUE"""),2437250.0)</f>
        <v>2437250</v>
      </c>
      <c r="C9068" t="str">
        <f>IFERROR(__xludf.DUMMYFUNCTION("""COMPUTED_VALUE"""),"Microsoft Word 2019-2016-2013 Course Bundle: 3 In 1")</f>
        <v>Microsoft Word 2019-2016-2013 Course Bundle: 3 In 1</v>
      </c>
    </row>
    <row r="9069">
      <c r="A9069" s="140" t="str">
        <f>IFERROR(__xludf.DUMMYFUNCTION("""COMPUTED_VALUE"""),"en")</f>
        <v>en</v>
      </c>
      <c r="B9069">
        <f>IFERROR(__xludf.DUMMYFUNCTION("""COMPUTED_VALUE"""),2913998.0)</f>
        <v>2913998</v>
      </c>
      <c r="C9069" t="str">
        <f>IFERROR(__xludf.DUMMYFUNCTION("""COMPUTED_VALUE"""),"ARCore and Sceneform Masterclass for Android")</f>
        <v>ARCore and Sceneform Masterclass for Android</v>
      </c>
    </row>
    <row r="9070">
      <c r="A9070" s="140" t="str">
        <f>IFERROR(__xludf.DUMMYFUNCTION("""COMPUTED_VALUE"""),"en")</f>
        <v>en</v>
      </c>
      <c r="B9070">
        <f>IFERROR(__xludf.DUMMYFUNCTION("""COMPUTED_VALUE"""),1976202.0)</f>
        <v>1976202</v>
      </c>
      <c r="C9070" t="str">
        <f>IFERROR(__xludf.DUMMYFUNCTION("""COMPUTED_VALUE"""),"IT for beginners | IT for dummies | IT for non-IT")</f>
        <v>IT for beginners | IT for dummies | IT for non-IT</v>
      </c>
    </row>
    <row r="9071">
      <c r="A9071" s="140" t="str">
        <f>IFERROR(__xludf.DUMMYFUNCTION("""COMPUTED_VALUE"""),"es")</f>
        <v>es</v>
      </c>
      <c r="B9071">
        <f>IFERROR(__xludf.DUMMYFUNCTION("""COMPUTED_VALUE"""),1266732.0)</f>
        <v>1266732</v>
      </c>
      <c r="C9071" t="str">
        <f>IFERROR(__xludf.DUMMYFUNCTION("""COMPUTED_VALUE"""),"Curso Completo de Hacking Ético")</f>
        <v>Curso Completo de Hacking Ético</v>
      </c>
    </row>
    <row r="9072">
      <c r="A9072" s="140" t="str">
        <f>IFERROR(__xludf.DUMMYFUNCTION("""COMPUTED_VALUE"""),"pt")</f>
        <v>pt</v>
      </c>
      <c r="B9072">
        <f>IFERROR(__xludf.DUMMYFUNCTION("""COMPUTED_VALUE"""),1051756.0)</f>
        <v>1051756</v>
      </c>
      <c r="C9072" t="str">
        <f>IFERROR(__xludf.DUMMYFUNCTION("""COMPUTED_VALUE"""),"O que é Business Intelligence? Teoria sem mistérios!")</f>
        <v>O que é Business Intelligence? Teoria sem mistérios!</v>
      </c>
    </row>
    <row r="9073">
      <c r="A9073" s="140" t="str">
        <f>IFERROR(__xludf.DUMMYFUNCTION("""COMPUTED_VALUE"""),"en")</f>
        <v>en</v>
      </c>
      <c r="B9073">
        <f>IFERROR(__xludf.DUMMYFUNCTION("""COMPUTED_VALUE"""),749542.0)</f>
        <v>749542</v>
      </c>
      <c r="C9073" t="str">
        <f>IFERROR(__xludf.DUMMYFUNCTION("""COMPUTED_VALUE"""),"Graphic Design Bootcamp: Photoshop, Illustrator, InDesign")</f>
        <v>Graphic Design Bootcamp: Photoshop, Illustrator, InDesign</v>
      </c>
    </row>
    <row r="9074">
      <c r="A9074" s="140" t="str">
        <f>IFERROR(__xludf.DUMMYFUNCTION("""COMPUTED_VALUE"""),"en")</f>
        <v>en</v>
      </c>
      <c r="B9074">
        <f>IFERROR(__xludf.DUMMYFUNCTION("""COMPUTED_VALUE"""),3443000.0)</f>
        <v>3443000</v>
      </c>
      <c r="C9074" t="str">
        <f>IFERROR(__xludf.DUMMYFUNCTION("""COMPUTED_VALUE"""),"Aspen Plus V11 Masterclass : From beginner to advanced user")</f>
        <v>Aspen Plus V11 Masterclass : From beginner to advanced user</v>
      </c>
    </row>
    <row r="9075">
      <c r="A9075" s="140" t="str">
        <f>IFERROR(__xludf.DUMMYFUNCTION("""COMPUTED_VALUE"""),"tr")</f>
        <v>tr</v>
      </c>
      <c r="B9075">
        <f>IFERROR(__xludf.DUMMYFUNCTION("""COMPUTED_VALUE"""),2650766.0)</f>
        <v>2650766</v>
      </c>
      <c r="C9075" t="str">
        <f>IFERROR(__xludf.DUMMYFUNCTION("""COMPUTED_VALUE"""),"N11'de Satış Yapma ve E-Ticaret Eğitimi - (12 + SAAT )")</f>
        <v>N11'de Satış Yapma ve E-Ticaret Eğitimi - (12 + SAAT )</v>
      </c>
    </row>
    <row r="9076">
      <c r="A9076" s="140" t="str">
        <f>IFERROR(__xludf.DUMMYFUNCTION("""COMPUTED_VALUE"""),"en")</f>
        <v>en</v>
      </c>
      <c r="B9076">
        <f>IFERROR(__xludf.DUMMYFUNCTION("""COMPUTED_VALUE"""),1652728.0)</f>
        <v>1652728</v>
      </c>
      <c r="C9076" t="str">
        <f>IFERROR(__xludf.DUMMYFUNCTION("""COMPUTED_VALUE"""),"REST API with Ruby on Rails: The Complete Guide")</f>
        <v>REST API with Ruby on Rails: The Complete Guide</v>
      </c>
    </row>
    <row r="9077">
      <c r="A9077" s="140" t="str">
        <f>IFERROR(__xludf.DUMMYFUNCTION("""COMPUTED_VALUE"""),"de")</f>
        <v>de</v>
      </c>
      <c r="B9077">
        <f>IFERROR(__xludf.DUMMYFUNCTION("""COMPUTED_VALUE"""),2168110.0)</f>
        <v>2168110</v>
      </c>
      <c r="C9077" t="str">
        <f>IFERROR(__xludf.DUMMYFUNCTION("""COMPUTED_VALUE"""),"Coach werden: Lösungsorientiertes Kurzzeitcoaching")</f>
        <v>Coach werden: Lösungsorientiertes Kurzzeitcoaching</v>
      </c>
    </row>
    <row r="9078">
      <c r="A9078" s="140" t="str">
        <f>IFERROR(__xludf.DUMMYFUNCTION("""COMPUTED_VALUE"""),"en")</f>
        <v>en</v>
      </c>
      <c r="B9078">
        <f>IFERROR(__xludf.DUMMYFUNCTION("""COMPUTED_VALUE"""),2066425.0)</f>
        <v>2066425</v>
      </c>
      <c r="C9078" t="str">
        <f>IFERROR(__xludf.DUMMYFUNCTION("""COMPUTED_VALUE"""),"React JS and Redux Bootcamp - Master React Web Development")</f>
        <v>React JS and Redux Bootcamp - Master React Web Development</v>
      </c>
    </row>
    <row r="9079">
      <c r="A9079" s="140" t="str">
        <f>IFERROR(__xludf.DUMMYFUNCTION("""COMPUTED_VALUE"""),"ja")</f>
        <v>ja</v>
      </c>
      <c r="B9079">
        <f>IFERROR(__xludf.DUMMYFUNCTION("""COMPUTED_VALUE"""),3637780.0)</f>
        <v>3637780</v>
      </c>
      <c r="C9079" t="str">
        <f>IFERROR(__xludf.DUMMYFUNCTION("""COMPUTED_VALUE"""),"【Blender 2.9】初めての３DCG｜基本的な使い方からモデリングやアニメーションまで【入門講座】")</f>
        <v>【Blender 2.9】初めての３DCG｜基本的な使い方からモデリングやアニメーションまで【入門講座】</v>
      </c>
    </row>
    <row r="9080">
      <c r="A9080" s="140" t="str">
        <f>IFERROR(__xludf.DUMMYFUNCTION("""COMPUTED_VALUE"""),"pt")</f>
        <v>pt</v>
      </c>
      <c r="B9080">
        <f>IFERROR(__xludf.DUMMYFUNCTION("""COMPUTED_VALUE"""),2278463.0)</f>
        <v>2278463</v>
      </c>
      <c r="C9080" t="str">
        <f>IFERROR(__xludf.DUMMYFUNCTION("""COMPUTED_VALUE"""),"Curso Básico de Investimentos")</f>
        <v>Curso Básico de Investimentos</v>
      </c>
    </row>
    <row r="9081">
      <c r="A9081" s="140" t="str">
        <f>IFERROR(__xludf.DUMMYFUNCTION("""COMPUTED_VALUE"""),"en")</f>
        <v>en</v>
      </c>
      <c r="B9081">
        <f>IFERROR(__xludf.DUMMYFUNCTION("""COMPUTED_VALUE"""),926390.0)</f>
        <v>926390</v>
      </c>
      <c r="C9081" t="str">
        <f>IFERROR(__xludf.DUMMYFUNCTION("""COMPUTED_VALUE"""),"SAP DeepDive - SD Orders - Backorder using SAP Best Practice")</f>
        <v>SAP DeepDive - SD Orders - Backorder using SAP Best Practice</v>
      </c>
    </row>
    <row r="9082">
      <c r="A9082" s="140" t="str">
        <f>IFERROR(__xludf.DUMMYFUNCTION("""COMPUTED_VALUE"""),"es")</f>
        <v>es</v>
      </c>
      <c r="B9082">
        <f>IFERROR(__xludf.DUMMYFUNCTION("""COMPUTED_VALUE"""),809410.0)</f>
        <v>809410</v>
      </c>
      <c r="C9082" t="str">
        <f>IFERROR(__xludf.DUMMYFUNCTION("""COMPUTED_VALUE"""),"Diseño Web Desde Cero a Avanzado 45h Curso COMPLETO")</f>
        <v>Diseño Web Desde Cero a Avanzado 45h Curso COMPLETO</v>
      </c>
    </row>
    <row r="9083">
      <c r="A9083" s="140" t="str">
        <f>IFERROR(__xludf.DUMMYFUNCTION("""COMPUTED_VALUE"""),"en")</f>
        <v>en</v>
      </c>
      <c r="B9083">
        <f>IFERROR(__xludf.DUMMYFUNCTION("""COMPUTED_VALUE"""),2512570.0)</f>
        <v>2512570</v>
      </c>
      <c r="C9083" t="str">
        <f>IFERROR(__xludf.DUMMYFUNCTION("""COMPUTED_VALUE"""),"Econometrics for Business in R and Python")</f>
        <v>Econometrics for Business in R and Python</v>
      </c>
    </row>
    <row r="9084">
      <c r="A9084" s="140" t="str">
        <f>IFERROR(__xludf.DUMMYFUNCTION("""COMPUTED_VALUE"""),"en")</f>
        <v>en</v>
      </c>
      <c r="B9084">
        <f>IFERROR(__xludf.DUMMYFUNCTION("""COMPUTED_VALUE"""),989650.0)</f>
        <v>989650</v>
      </c>
      <c r="C9084" t="str">
        <f>IFERROR(__xludf.DUMMYFUNCTION("""COMPUTED_VALUE"""),"Marketing Psychology: How To Become A Master Of Influence")</f>
        <v>Marketing Psychology: How To Become A Master Of Influence</v>
      </c>
    </row>
    <row r="9085">
      <c r="A9085" s="140" t="str">
        <f>IFERROR(__xludf.DUMMYFUNCTION("""COMPUTED_VALUE"""),"pt")</f>
        <v>pt</v>
      </c>
      <c r="B9085">
        <f>IFERROR(__xludf.DUMMYFUNCTION("""COMPUTED_VALUE"""),1692552.0)</f>
        <v>1692552</v>
      </c>
      <c r="C9085" t="str">
        <f>IFERROR(__xludf.DUMMYFUNCTION("""COMPUTED_VALUE"""),"Day Trade e Swing Trade com Análise Técnica")</f>
        <v>Day Trade e Swing Trade com Análise Técnica</v>
      </c>
    </row>
    <row r="9086">
      <c r="A9086" s="140" t="str">
        <f>IFERROR(__xludf.DUMMYFUNCTION("""COMPUTED_VALUE"""),"en")</f>
        <v>en</v>
      </c>
      <c r="B9086">
        <f>IFERROR(__xludf.DUMMYFUNCTION("""COMPUTED_VALUE"""),986016.0)</f>
        <v>986016</v>
      </c>
      <c r="C9086" t="str">
        <f>IFERROR(__xludf.DUMMYFUNCTION("""COMPUTED_VALUE"""),"IT Help Desk Professional")</f>
        <v>IT Help Desk Professional</v>
      </c>
    </row>
    <row r="9087">
      <c r="A9087" s="140" t="str">
        <f>IFERROR(__xludf.DUMMYFUNCTION("""COMPUTED_VALUE"""),"es")</f>
        <v>es</v>
      </c>
      <c r="B9087">
        <f>IFERROR(__xludf.DUMMYFUNCTION("""COMPUTED_VALUE"""),2566272.0)</f>
        <v>2566272</v>
      </c>
      <c r="C9087" t="str">
        <f>IFERROR(__xludf.DUMMYFUNCTION("""COMPUTED_VALUE"""),"ISO 50001:2018, Certificación auditor eficiencia energética")</f>
        <v>ISO 50001:2018, Certificación auditor eficiencia energética</v>
      </c>
    </row>
    <row r="9088">
      <c r="A9088" s="140" t="str">
        <f>IFERROR(__xludf.DUMMYFUNCTION("""COMPUTED_VALUE"""),"ja")</f>
        <v>ja</v>
      </c>
      <c r="B9088">
        <f>IFERROR(__xludf.DUMMYFUNCTION("""COMPUTED_VALUE"""),3617994.0)</f>
        <v>3617994</v>
      </c>
      <c r="C9088" t="str">
        <f>IFERROR(__xludf.DUMMYFUNCTION("""COMPUTED_VALUE"""),"プロジェクト成功のカギ！プロマネが教える進捗管理(基礎＆EVM)")</f>
        <v>プロジェクト成功のカギ！プロマネが教える進捗管理(基礎＆EVM)</v>
      </c>
    </row>
    <row r="9089">
      <c r="A9089" s="140" t="str">
        <f>IFERROR(__xludf.DUMMYFUNCTION("""COMPUTED_VALUE"""),"en")</f>
        <v>en</v>
      </c>
      <c r="B9089">
        <f>IFERROR(__xludf.DUMMYFUNCTION("""COMPUTED_VALUE"""),335610.0)</f>
        <v>335610</v>
      </c>
      <c r="C9089" t="str">
        <f>IFERROR(__xludf.DUMMYFUNCTION("""COMPUTED_VALUE"""),"Writing With Confidence: Writing Beginner To Writing Pro")</f>
        <v>Writing With Confidence: Writing Beginner To Writing Pro</v>
      </c>
    </row>
    <row r="9090">
      <c r="A9090" s="140" t="str">
        <f>IFERROR(__xludf.DUMMYFUNCTION("""COMPUTED_VALUE"""),"en")</f>
        <v>en</v>
      </c>
      <c r="B9090">
        <f>IFERROR(__xludf.DUMMYFUNCTION("""COMPUTED_VALUE"""),300316.0)</f>
        <v>300316</v>
      </c>
      <c r="C9090" t="str">
        <f>IFERROR(__xludf.DUMMYFUNCTION("""COMPUTED_VALUE"""),"C# Developers: Double Your Coding Speed with Visual Studio")</f>
        <v>C# Developers: Double Your Coding Speed with Visual Studio</v>
      </c>
    </row>
    <row r="9091">
      <c r="A9091" s="140" t="str">
        <f>IFERROR(__xludf.DUMMYFUNCTION("""COMPUTED_VALUE"""),"ja")</f>
        <v>ja</v>
      </c>
      <c r="B9091">
        <f>IFERROR(__xludf.DUMMYFUNCTION("""COMPUTED_VALUE"""),2359590.0)</f>
        <v>2359590</v>
      </c>
      <c r="C9091" t="str">
        <f>IFERROR(__xludf.DUMMYFUNCTION("""COMPUTED_VALUE"""),"【5分で相手が変わる】メンバーを育てるコーチング入門～リーダー支援10年以上の実績を持つ講師が事例をもとに解説～")</f>
        <v>【5分で相手が変わる】メンバーを育てるコーチング入門～リーダー支援10年以上の実績を持つ講師が事例をもとに解説～</v>
      </c>
    </row>
    <row r="9092">
      <c r="A9092" s="140" t="str">
        <f>IFERROR(__xludf.DUMMYFUNCTION("""COMPUTED_VALUE"""),"en")</f>
        <v>en</v>
      </c>
      <c r="B9092">
        <f>IFERROR(__xludf.DUMMYFUNCTION("""COMPUTED_VALUE"""),1824130.0)</f>
        <v>1824130</v>
      </c>
      <c r="C9092" t="str">
        <f>IFERROR(__xludf.DUMMYFUNCTION("""COMPUTED_VALUE"""),"Graphic Design Masterclass Intermediate: The NEXT Level")</f>
        <v>Graphic Design Masterclass Intermediate: The NEXT Level</v>
      </c>
    </row>
    <row r="9093">
      <c r="A9093" s="140" t="str">
        <f>IFERROR(__xludf.DUMMYFUNCTION("""COMPUTED_VALUE"""),"fr")</f>
        <v>fr</v>
      </c>
      <c r="B9093">
        <f>IFERROR(__xludf.DUMMYFUNCTION("""COMPUTED_VALUE"""),1231776.0)</f>
        <v>1231776</v>
      </c>
      <c r="C9093" t="str">
        <f>IFERROR(__xludf.DUMMYFUNCTION("""COMPUTED_VALUE"""),"La plateforme Docker")</f>
        <v>La plateforme Docker</v>
      </c>
    </row>
    <row r="9094">
      <c r="A9094" s="140" t="str">
        <f>IFERROR(__xludf.DUMMYFUNCTION("""COMPUTED_VALUE"""),"en")</f>
        <v>en</v>
      </c>
      <c r="B9094">
        <f>IFERROR(__xludf.DUMMYFUNCTION("""COMPUTED_VALUE"""),3854354.0)</f>
        <v>3854354</v>
      </c>
      <c r="C9094" t="str">
        <f>IFERROR(__xludf.DUMMYFUNCTION("""COMPUTED_VALUE"""),"Lead &amp; Empower Agile Teams To Achieve Success")</f>
        <v>Lead &amp; Empower Agile Teams To Achieve Success</v>
      </c>
    </row>
    <row r="9095">
      <c r="A9095" s="140" t="str">
        <f>IFERROR(__xludf.DUMMYFUNCTION("""COMPUTED_VALUE"""),"en")</f>
        <v>en</v>
      </c>
      <c r="B9095">
        <f>IFERROR(__xludf.DUMMYFUNCTION("""COMPUTED_VALUE"""),1862678.0)</f>
        <v>1862678</v>
      </c>
      <c r="C9095" t="str">
        <f>IFERROR(__xludf.DUMMYFUNCTION("""COMPUTED_VALUE"""),"iOS &amp; Swift: Become An App Developer")</f>
        <v>iOS &amp; Swift: Become An App Developer</v>
      </c>
    </row>
    <row r="9096">
      <c r="A9096" s="140" t="str">
        <f>IFERROR(__xludf.DUMMYFUNCTION("""COMPUTED_VALUE"""),"en")</f>
        <v>en</v>
      </c>
      <c r="B9096">
        <f>IFERROR(__xludf.DUMMYFUNCTION("""COMPUTED_VALUE"""),707876.0)</f>
        <v>707876</v>
      </c>
      <c r="C9096" t="str">
        <f>IFERROR(__xludf.DUMMYFUNCTION("""COMPUTED_VALUE"""),"Learn Professional 2D Game Graphic Design in Photoshop")</f>
        <v>Learn Professional 2D Game Graphic Design in Photoshop</v>
      </c>
    </row>
    <row r="9097">
      <c r="A9097" s="140" t="str">
        <f>IFERROR(__xludf.DUMMYFUNCTION("""COMPUTED_VALUE"""),"es")</f>
        <v>es</v>
      </c>
      <c r="B9097">
        <f>IFERROR(__xludf.DUMMYFUNCTION("""COMPUTED_VALUE"""),3334470.0)</f>
        <v>3334470</v>
      </c>
      <c r="C9097" t="str">
        <f>IFERROR(__xludf.DUMMYFUNCTION("""COMPUTED_VALUE"""),"Aprende BERT, el algoritmo de NLP más avanzado de Google")</f>
        <v>Aprende BERT, el algoritmo de NLP más avanzado de Google</v>
      </c>
    </row>
    <row r="9098">
      <c r="A9098" s="140" t="str">
        <f>IFERROR(__xludf.DUMMYFUNCTION("""COMPUTED_VALUE"""),"en")</f>
        <v>en</v>
      </c>
      <c r="B9098">
        <f>IFERROR(__xludf.DUMMYFUNCTION("""COMPUTED_VALUE"""),866470.0)</f>
        <v>866470</v>
      </c>
      <c r="C9098" t="str">
        <f>IFERROR(__xludf.DUMMYFUNCTION("""COMPUTED_VALUE"""),"Fashion Design: Sketch in 3D using Marvelous Designer")</f>
        <v>Fashion Design: Sketch in 3D using Marvelous Designer</v>
      </c>
    </row>
    <row r="9099">
      <c r="A9099" s="140" t="str">
        <f>IFERROR(__xludf.DUMMYFUNCTION("""COMPUTED_VALUE"""),"es")</f>
        <v>es</v>
      </c>
      <c r="B9099">
        <f>IFERROR(__xludf.DUMMYFUNCTION("""COMPUTED_VALUE"""),2111190.0)</f>
        <v>2111190</v>
      </c>
      <c r="C9099" t="str">
        <f>IFERROR(__xludf.DUMMYFUNCTION("""COMPUTED_VALUE"""),"Máster en CodeIgniter 3 con Bootstrap 4 y Vue - Desde Cero")</f>
        <v>Máster en CodeIgniter 3 con Bootstrap 4 y Vue - Desde Cero</v>
      </c>
    </row>
    <row r="9100">
      <c r="A9100" s="140" t="str">
        <f>IFERROR(__xludf.DUMMYFUNCTION("""COMPUTED_VALUE"""),"en")</f>
        <v>en</v>
      </c>
      <c r="B9100">
        <f>IFERROR(__xludf.DUMMYFUNCTION("""COMPUTED_VALUE"""),1093956.0)</f>
        <v>1093956</v>
      </c>
      <c r="C9100" t="str">
        <f>IFERROR(__xludf.DUMMYFUNCTION("""COMPUTED_VALUE"""),"3 Minute French - Course 2 | Language lessons for beginners")</f>
        <v>3 Minute French - Course 2 | Language lessons for beginners</v>
      </c>
    </row>
    <row r="9101">
      <c r="A9101" s="140" t="str">
        <f>IFERROR(__xludf.DUMMYFUNCTION("""COMPUTED_VALUE"""),"es")</f>
        <v>es</v>
      </c>
      <c r="B9101">
        <f>IFERROR(__xludf.DUMMYFUNCTION("""COMPUTED_VALUE"""),3615940.0)</f>
        <v>3615940</v>
      </c>
      <c r="C9101" t="str">
        <f>IFERROR(__xludf.DUMMYFUNCTION("""COMPUTED_VALUE"""),"Comienza con MongoDB: Curso de MongoDB desde cero")</f>
        <v>Comienza con MongoDB: Curso de MongoDB desde cero</v>
      </c>
    </row>
    <row r="9102">
      <c r="A9102" s="140" t="str">
        <f>IFERROR(__xludf.DUMMYFUNCTION("""COMPUTED_VALUE"""),"en")</f>
        <v>en</v>
      </c>
      <c r="B9102">
        <f>IFERROR(__xludf.DUMMYFUNCTION("""COMPUTED_VALUE"""),332928.0)</f>
        <v>332928</v>
      </c>
      <c r="C9102" t="str">
        <f>IFERROR(__xludf.DUMMYFUNCTION("""COMPUTED_VALUE"""),"Successful HR in Business")</f>
        <v>Successful HR in Business</v>
      </c>
    </row>
    <row r="9103">
      <c r="A9103" s="140" t="str">
        <f>IFERROR(__xludf.DUMMYFUNCTION("""COMPUTED_VALUE"""),"en")</f>
        <v>en</v>
      </c>
      <c r="B9103">
        <f>IFERROR(__xludf.DUMMYFUNCTION("""COMPUTED_VALUE"""),1078830.0)</f>
        <v>1078830</v>
      </c>
      <c r="C9103" t="str">
        <f>IFERROR(__xludf.DUMMYFUNCTION("""COMPUTED_VALUE"""),"Map Series made easy using ArcGIS Pro")</f>
        <v>Map Series made easy using ArcGIS Pro</v>
      </c>
    </row>
    <row r="9104">
      <c r="A9104" s="140" t="str">
        <f>IFERROR(__xludf.DUMMYFUNCTION("""COMPUTED_VALUE"""),"en")</f>
        <v>en</v>
      </c>
      <c r="B9104">
        <f>IFERROR(__xludf.DUMMYFUNCTION("""COMPUTED_VALUE"""),2862896.0)</f>
        <v>2862896</v>
      </c>
      <c r="C9104" t="str">
        <f>IFERROR(__xludf.DUMMYFUNCTION("""COMPUTED_VALUE"""),"Best Practices for Working Remotely")</f>
        <v>Best Practices for Working Remotely</v>
      </c>
    </row>
    <row r="9105">
      <c r="A9105" s="140" t="str">
        <f>IFERROR(__xludf.DUMMYFUNCTION("""COMPUTED_VALUE"""),"en")</f>
        <v>en</v>
      </c>
      <c r="B9105">
        <f>IFERROR(__xludf.DUMMYFUNCTION("""COMPUTED_VALUE"""),2539828.0)</f>
        <v>2539828</v>
      </c>
      <c r="C9105" t="str">
        <f>IFERROR(__xludf.DUMMYFUNCTION("""COMPUTED_VALUE"""),"AZ-204 Developing Solutions for Azure Certification 2021")</f>
        <v>AZ-204 Developing Solutions for Azure Certification 2021</v>
      </c>
    </row>
    <row r="9106">
      <c r="A9106" s="140" t="str">
        <f>IFERROR(__xludf.DUMMYFUNCTION("""COMPUTED_VALUE"""),"en")</f>
        <v>en</v>
      </c>
      <c r="B9106">
        <f>IFERROR(__xludf.DUMMYFUNCTION("""COMPUTED_VALUE"""),3316532.0)</f>
        <v>3316532</v>
      </c>
      <c r="C9106" t="str">
        <f>IFERROR(__xludf.DUMMYFUNCTION("""COMPUTED_VALUE"""),"Improve Your Job Prospects And Accelerate Your Career Growth")</f>
        <v>Improve Your Job Prospects And Accelerate Your Career Growth</v>
      </c>
    </row>
    <row r="9107">
      <c r="A9107" s="140" t="str">
        <f>IFERROR(__xludf.DUMMYFUNCTION("""COMPUTED_VALUE"""),"es")</f>
        <v>es</v>
      </c>
      <c r="B9107">
        <f>IFERROR(__xludf.DUMMYFUNCTION("""COMPUTED_VALUE"""),1732748.0)</f>
        <v>1732748</v>
      </c>
      <c r="C9107" t="str">
        <f>IFERROR(__xludf.DUMMYFUNCTION("""COMPUTED_VALUE"""),"Administración y productividad personal")</f>
        <v>Administración y productividad personal</v>
      </c>
    </row>
    <row r="9108">
      <c r="A9108" s="140" t="str">
        <f>IFERROR(__xludf.DUMMYFUNCTION("""COMPUTED_VALUE"""),"en")</f>
        <v>en</v>
      </c>
      <c r="B9108">
        <f>IFERROR(__xludf.DUMMYFUNCTION("""COMPUTED_VALUE"""),945610.0)</f>
        <v>945610</v>
      </c>
      <c r="C9108" t="str">
        <f>IFERROR(__xludf.DUMMYFUNCTION("""COMPUTED_VALUE"""),"SQL Server SSAS (Multidimensional MDX) - an Introduction")</f>
        <v>SQL Server SSAS (Multidimensional MDX) - an Introduction</v>
      </c>
    </row>
    <row r="9109">
      <c r="A9109" s="140" t="str">
        <f>IFERROR(__xludf.DUMMYFUNCTION("""COMPUTED_VALUE"""),"en")</f>
        <v>en</v>
      </c>
      <c r="B9109">
        <f>IFERROR(__xludf.DUMMYFUNCTION("""COMPUTED_VALUE"""),852606.0)</f>
        <v>852606</v>
      </c>
      <c r="C9109" t="str">
        <f>IFERROR(__xludf.DUMMYFUNCTION("""COMPUTED_VALUE"""),"Coaching Managers &amp; Leaders for Continuous Improvement")</f>
        <v>Coaching Managers &amp; Leaders for Continuous Improvement</v>
      </c>
    </row>
    <row r="9110">
      <c r="A9110" s="140" t="str">
        <f>IFERROR(__xludf.DUMMYFUNCTION("""COMPUTED_VALUE"""),"es")</f>
        <v>es</v>
      </c>
      <c r="B9110">
        <f>IFERROR(__xludf.DUMMYFUNCTION("""COMPUTED_VALUE"""),3698552.0)</f>
        <v>3698552</v>
      </c>
      <c r="C9110" t="str">
        <f>IFERROR(__xludf.DUMMYFUNCTION("""COMPUTED_VALUE"""),"Delegar tareas en la empresa")</f>
        <v>Delegar tareas en la empresa</v>
      </c>
    </row>
    <row r="9111">
      <c r="A9111" s="140" t="str">
        <f>IFERROR(__xludf.DUMMYFUNCTION("""COMPUTED_VALUE"""),"en")</f>
        <v>en</v>
      </c>
      <c r="B9111">
        <f>IFERROR(__xludf.DUMMYFUNCTION("""COMPUTED_VALUE"""),484990.0)</f>
        <v>484990</v>
      </c>
      <c r="C9111" t="str">
        <f>IFERROR(__xludf.DUMMYFUNCTION("""COMPUTED_VALUE"""),"Apple Watch UX: Design Beautiful UI and User Experiences")</f>
        <v>Apple Watch UX: Design Beautiful UI and User Experiences</v>
      </c>
    </row>
    <row r="9112">
      <c r="A9112" s="140" t="str">
        <f>IFERROR(__xludf.DUMMYFUNCTION("""COMPUTED_VALUE"""),"pt")</f>
        <v>pt</v>
      </c>
      <c r="B9112">
        <f>IFERROR(__xludf.DUMMYFUNCTION("""COMPUTED_VALUE"""),2067263.0)</f>
        <v>2067263</v>
      </c>
      <c r="C9112" t="str">
        <f>IFERROR(__xludf.DUMMYFUNCTION("""COMPUTED_VALUE"""),"Gestão Estratégica Focada em Vendas (COMPLETO)")</f>
        <v>Gestão Estratégica Focada em Vendas (COMPLETO)</v>
      </c>
    </row>
    <row r="9113">
      <c r="A9113" s="140" t="str">
        <f>IFERROR(__xludf.DUMMYFUNCTION("""COMPUTED_VALUE"""),"en")</f>
        <v>en</v>
      </c>
      <c r="B9113">
        <f>IFERROR(__xludf.DUMMYFUNCTION("""COMPUTED_VALUE"""),3538356.0)</f>
        <v>3538356</v>
      </c>
      <c r="C9113" t="str">
        <f>IFERROR(__xludf.DUMMYFUNCTION("""COMPUTED_VALUE"""),"SAP BW4HANA  - Essential Training - Complete Hands-on Course")</f>
        <v>SAP BW4HANA  - Essential Training - Complete Hands-on Course</v>
      </c>
    </row>
    <row r="9114">
      <c r="A9114" s="140" t="str">
        <f>IFERROR(__xludf.DUMMYFUNCTION("""COMPUTED_VALUE"""),"en")</f>
        <v>en</v>
      </c>
      <c r="B9114">
        <f>IFERROR(__xludf.DUMMYFUNCTION("""COMPUTED_VALUE"""),4360278.0)</f>
        <v>4360278</v>
      </c>
      <c r="C9114" t="str">
        <f>IFERROR(__xludf.DUMMYFUNCTION("""COMPUTED_VALUE"""),"Entrepreneurship Masterclass: Grow Your Company")</f>
        <v>Entrepreneurship Masterclass: Grow Your Company</v>
      </c>
    </row>
    <row r="9115">
      <c r="A9115" s="140" t="str">
        <f>IFERROR(__xludf.DUMMYFUNCTION("""COMPUTED_VALUE"""),"de")</f>
        <v>de</v>
      </c>
      <c r="B9115">
        <f>IFERROR(__xludf.DUMMYFUNCTION("""COMPUTED_VALUE"""),1472750.0)</f>
        <v>1472750</v>
      </c>
      <c r="C9115" t="str">
        <f>IFERROR(__xludf.DUMMYFUNCTION("""COMPUTED_VALUE"""),"SEO: Suchmaschinenoptimierung für Google in 8 Tagen umsetzen")</f>
        <v>SEO: Suchmaschinenoptimierung für Google in 8 Tagen umsetzen</v>
      </c>
    </row>
    <row r="9116">
      <c r="A9116" s="140" t="str">
        <f>IFERROR(__xludf.DUMMYFUNCTION("""COMPUTED_VALUE"""),"pt")</f>
        <v>pt</v>
      </c>
      <c r="B9116">
        <f>IFERROR(__xludf.DUMMYFUNCTION("""COMPUTED_VALUE"""),1899018.0)</f>
        <v>1899018</v>
      </c>
      <c r="C9116" t="str">
        <f>IFERROR(__xludf.DUMMYFUNCTION("""COMPUTED_VALUE"""),"Dialogflow Completo-Domine a Criação de Assistentes Virtuais")</f>
        <v>Dialogflow Completo-Domine a Criação de Assistentes Virtuais</v>
      </c>
    </row>
    <row r="9117">
      <c r="A9117" s="140" t="str">
        <f>IFERROR(__xludf.DUMMYFUNCTION("""COMPUTED_VALUE"""),"es")</f>
        <v>es</v>
      </c>
      <c r="B9117">
        <f>IFERROR(__xludf.DUMMYFUNCTION("""COMPUTED_VALUE"""),2993366.0)</f>
        <v>2993366</v>
      </c>
      <c r="C9117" t="str">
        <f>IFERROR(__xludf.DUMMYFUNCTION("""COMPUTED_VALUE"""),"Microservicios con Spring Boot, Cloud y Docker")</f>
        <v>Microservicios con Spring Boot, Cloud y Docker</v>
      </c>
    </row>
    <row r="9118">
      <c r="A9118" s="140" t="str">
        <f>IFERROR(__xludf.DUMMYFUNCTION("""COMPUTED_VALUE"""),"en")</f>
        <v>en</v>
      </c>
      <c r="B9118">
        <f>IFERROR(__xludf.DUMMYFUNCTION("""COMPUTED_VALUE"""),815474.0)</f>
        <v>815474</v>
      </c>
      <c r="C9118" t="str">
        <f>IFERROR(__xludf.DUMMYFUNCTION("""COMPUTED_VALUE"""),"Master Cognitive Biases and Improve Your Critical Thinking")</f>
        <v>Master Cognitive Biases and Improve Your Critical Thinking</v>
      </c>
    </row>
    <row r="9119">
      <c r="A9119" s="140" t="str">
        <f>IFERROR(__xludf.DUMMYFUNCTION("""COMPUTED_VALUE"""),"en")</f>
        <v>en</v>
      </c>
      <c r="B9119">
        <f>IFERROR(__xludf.DUMMYFUNCTION("""COMPUTED_VALUE"""),1175520.0)</f>
        <v>1175520</v>
      </c>
      <c r="C9119" t="str">
        <f>IFERROR(__xludf.DUMMYFUNCTION("""COMPUTED_VALUE"""),"Electrical Control &amp; Protection Systems part 2")</f>
        <v>Electrical Control &amp; Protection Systems part 2</v>
      </c>
    </row>
    <row r="9120">
      <c r="A9120" s="140" t="str">
        <f>IFERROR(__xludf.DUMMYFUNCTION("""COMPUTED_VALUE"""),"en")</f>
        <v>en</v>
      </c>
      <c r="B9120">
        <f>IFERROR(__xludf.DUMMYFUNCTION("""COMPUTED_VALUE"""),1622298.0)</f>
        <v>1622298</v>
      </c>
      <c r="C9120" t="str">
        <f>IFERROR(__xludf.DUMMYFUNCTION("""COMPUTED_VALUE"""),"Linkedin Marketing: B2B Sales &amp; Lead Generation From Scratch")</f>
        <v>Linkedin Marketing: B2B Sales &amp; Lead Generation From Scratch</v>
      </c>
    </row>
    <row r="9121">
      <c r="A9121" s="140" t="str">
        <f>IFERROR(__xludf.DUMMYFUNCTION("""COMPUTED_VALUE"""),"en")</f>
        <v>en</v>
      </c>
      <c r="B9121">
        <f>IFERROR(__xludf.DUMMYFUNCTION("""COMPUTED_VALUE"""),697910.0)</f>
        <v>697910</v>
      </c>
      <c r="C9121" t="str">
        <f>IFERROR(__xludf.DUMMYFUNCTION("""COMPUTED_VALUE"""),"Copywriting: How To Convert Features Into Benefits That Sell")</f>
        <v>Copywriting: How To Convert Features Into Benefits That Sell</v>
      </c>
    </row>
    <row r="9122">
      <c r="A9122" s="140" t="str">
        <f>IFERROR(__xludf.DUMMYFUNCTION("""COMPUTED_VALUE"""),"en")</f>
        <v>en</v>
      </c>
      <c r="B9122">
        <f>IFERROR(__xludf.DUMMYFUNCTION("""COMPUTED_VALUE"""),1089734.0)</f>
        <v>1089734</v>
      </c>
      <c r="C9122" t="str">
        <f>IFERROR(__xludf.DUMMYFUNCTION("""COMPUTED_VALUE"""),"Mind Maps/ Mind Mapping for Teachers, Trainers, &amp; Presenters")</f>
        <v>Mind Maps/ Mind Mapping for Teachers, Trainers, &amp; Presenters</v>
      </c>
    </row>
    <row r="9123">
      <c r="A9123" s="140" t="str">
        <f>IFERROR(__xludf.DUMMYFUNCTION("""COMPUTED_VALUE"""),"en")</f>
        <v>en</v>
      </c>
      <c r="B9123">
        <f>IFERROR(__xludf.DUMMYFUNCTION("""COMPUTED_VALUE"""),509618.0)</f>
        <v>509618</v>
      </c>
      <c r="C9123" t="str">
        <f>IFERROR(__xludf.DUMMYFUNCTION("""COMPUTED_VALUE"""),"5 Amazing Psychology Experiments")</f>
        <v>5 Amazing Psychology Experiments</v>
      </c>
    </row>
    <row r="9124">
      <c r="A9124" s="140" t="str">
        <f>IFERROR(__xludf.DUMMYFUNCTION("""COMPUTED_VALUE"""),"ko")</f>
        <v>ko</v>
      </c>
      <c r="B9124">
        <f>IFERROR(__xludf.DUMMYFUNCTION("""COMPUTED_VALUE"""),3111674.0)</f>
        <v>3111674</v>
      </c>
      <c r="C9124" t="str">
        <f>IFERROR(__xludf.DUMMYFUNCTION("""COMPUTED_VALUE"""),"메타분석 입문을 위한 RevMan 배우기")</f>
        <v>메타분석 입문을 위한 RevMan 배우기</v>
      </c>
    </row>
    <row r="9125">
      <c r="A9125" s="140" t="str">
        <f>IFERROR(__xludf.DUMMYFUNCTION("""COMPUTED_VALUE"""),"en")</f>
        <v>en</v>
      </c>
      <c r="B9125">
        <f>IFERROR(__xludf.DUMMYFUNCTION("""COMPUTED_VALUE"""),1578230.0)</f>
        <v>1578230</v>
      </c>
      <c r="C9125" t="str">
        <f>IFERROR(__xludf.DUMMYFUNCTION("""COMPUTED_VALUE"""),"Dart - Intermediate Course")</f>
        <v>Dart - Intermediate Course</v>
      </c>
    </row>
    <row r="9126">
      <c r="A9126" s="140" t="str">
        <f>IFERROR(__xludf.DUMMYFUNCTION("""COMPUTED_VALUE"""),"es")</f>
        <v>es</v>
      </c>
      <c r="B9126">
        <f>IFERROR(__xludf.DUMMYFUNCTION("""COMPUTED_VALUE"""),2562548.0)</f>
        <v>2562548</v>
      </c>
      <c r="C9126" t="str">
        <f>IFERROR(__xludf.DUMMYFUNCTION("""COMPUTED_VALUE"""),"Análisis de Datos con Pandas y Python 2021")</f>
        <v>Análisis de Datos con Pandas y Python 2021</v>
      </c>
    </row>
    <row r="9127">
      <c r="A9127" s="140" t="str">
        <f>IFERROR(__xludf.DUMMYFUNCTION("""COMPUTED_VALUE"""),"en")</f>
        <v>en</v>
      </c>
      <c r="B9127">
        <f>IFERROR(__xludf.DUMMYFUNCTION("""COMPUTED_VALUE"""),2369182.0)</f>
        <v>2369182</v>
      </c>
      <c r="C9127" t="str">
        <f>IFERROR(__xludf.DUMMYFUNCTION("""COMPUTED_VALUE"""),"AWS Solutions Architect Associate 2021 with Practice Test")</f>
        <v>AWS Solutions Architect Associate 2021 with Practice Test</v>
      </c>
    </row>
    <row r="9128">
      <c r="A9128" s="140" t="str">
        <f>IFERROR(__xludf.DUMMYFUNCTION("""COMPUTED_VALUE"""),"ja")</f>
        <v>ja</v>
      </c>
      <c r="B9128">
        <f>IFERROR(__xludf.DUMMYFUNCTION("""COMPUTED_VALUE"""),3246832.0)</f>
        <v>3246832</v>
      </c>
      <c r="C9128" t="str">
        <f>IFERROR(__xludf.DUMMYFUNCTION("""COMPUTED_VALUE"""),"【E資格の前に】PyTorchで学ぶディープラーニング実装")</f>
        <v>【E資格の前に】PyTorchで学ぶディープラーニング実装</v>
      </c>
    </row>
    <row r="9129">
      <c r="A9129" s="140" t="str">
        <f>IFERROR(__xludf.DUMMYFUNCTION("""COMPUTED_VALUE"""),"en")</f>
        <v>en</v>
      </c>
      <c r="B9129">
        <f>IFERROR(__xludf.DUMMYFUNCTION("""COMPUTED_VALUE"""),3380886.0)</f>
        <v>3380886</v>
      </c>
      <c r="C9129" t="str">
        <f>IFERROR(__xludf.DUMMYFUNCTION("""COMPUTED_VALUE"""),"ServiceNow Agile &amp; Test Management 2.0: Micro-Certification")</f>
        <v>ServiceNow Agile &amp; Test Management 2.0: Micro-Certification</v>
      </c>
    </row>
    <row r="9130">
      <c r="A9130" s="140" t="str">
        <f>IFERROR(__xludf.DUMMYFUNCTION("""COMPUTED_VALUE"""),"en")</f>
        <v>en</v>
      </c>
      <c r="B9130">
        <f>IFERROR(__xludf.DUMMYFUNCTION("""COMPUTED_VALUE"""),1135330.0)</f>
        <v>1135330</v>
      </c>
      <c r="C9130" t="str">
        <f>IFERROR(__xludf.DUMMYFUNCTION("""COMPUTED_VALUE"""),"Part 1: AWS Certified Solutions Architect SAA C02")</f>
        <v>Part 1: AWS Certified Solutions Architect SAA C02</v>
      </c>
    </row>
    <row r="9131">
      <c r="A9131" s="140" t="str">
        <f>IFERROR(__xludf.DUMMYFUNCTION("""COMPUTED_VALUE"""),"pt")</f>
        <v>pt</v>
      </c>
      <c r="B9131">
        <f>IFERROR(__xludf.DUMMYFUNCTION("""COMPUTED_VALUE"""),1595076.0)</f>
        <v>1595076</v>
      </c>
      <c r="C9131" t="str">
        <f>IFERROR(__xludf.DUMMYFUNCTION("""COMPUTED_VALUE"""),"Curso CSS3 Avançado - Projeto Web Responsive")</f>
        <v>Curso CSS3 Avançado - Projeto Web Responsive</v>
      </c>
    </row>
    <row r="9132">
      <c r="A9132" s="140" t="str">
        <f>IFERROR(__xludf.DUMMYFUNCTION("""COMPUTED_VALUE"""),"en")</f>
        <v>en</v>
      </c>
      <c r="B9132">
        <f>IFERROR(__xludf.DUMMYFUNCTION("""COMPUTED_VALUE"""),384774.0)</f>
        <v>384774</v>
      </c>
      <c r="C9132" t="str">
        <f>IFERROR(__xludf.DUMMYFUNCTION("""COMPUTED_VALUE"""),"Blackberry 10 Native Development using Cascades")</f>
        <v>Blackberry 10 Native Development using Cascades</v>
      </c>
    </row>
    <row r="9133">
      <c r="A9133" s="140" t="str">
        <f>IFERROR(__xludf.DUMMYFUNCTION("""COMPUTED_VALUE"""),"en")</f>
        <v>en</v>
      </c>
      <c r="B9133">
        <f>IFERROR(__xludf.DUMMYFUNCTION("""COMPUTED_VALUE"""),708568.0)</f>
        <v>708568</v>
      </c>
      <c r="C9133" t="str">
        <f>IFERROR(__xludf.DUMMYFUNCTION("""COMPUTED_VALUE"""),"Mac OS X Superuser - Use Mac OS X like a Pro - BLACK FRIDAY")</f>
        <v>Mac OS X Superuser - Use Mac OS X like a Pro - BLACK FRIDAY</v>
      </c>
    </row>
    <row r="9134">
      <c r="A9134" s="140" t="str">
        <f>IFERROR(__xludf.DUMMYFUNCTION("""COMPUTED_VALUE"""),"de")</f>
        <v>de</v>
      </c>
      <c r="B9134">
        <f>IFERROR(__xludf.DUMMYFUNCTION("""COMPUTED_VALUE"""),1745078.0)</f>
        <v>1745078</v>
      </c>
      <c r="C9134" t="str">
        <f>IFERROR(__xludf.DUMMYFUNCTION("""COMPUTED_VALUE"""),"Deep Learning, Neuronale Netze &amp; AI: Der Komplettkurs")</f>
        <v>Deep Learning, Neuronale Netze &amp; AI: Der Komplettkurs</v>
      </c>
    </row>
    <row r="9135">
      <c r="A9135" s="140" t="str">
        <f>IFERROR(__xludf.DUMMYFUNCTION("""COMPUTED_VALUE"""),"en")</f>
        <v>en</v>
      </c>
      <c r="B9135">
        <f>IFERROR(__xludf.DUMMYFUNCTION("""COMPUTED_VALUE"""),787618.0)</f>
        <v>787618</v>
      </c>
      <c r="C9135" t="str">
        <f>IFERROR(__xludf.DUMMYFUNCTION("""COMPUTED_VALUE"""),"Leadership: Leading When You Are Not In Charge!")</f>
        <v>Leadership: Leading When You Are Not In Charge!</v>
      </c>
    </row>
    <row r="9136">
      <c r="A9136" s="140" t="str">
        <f>IFERROR(__xludf.DUMMYFUNCTION("""COMPUTED_VALUE"""),"es")</f>
        <v>es</v>
      </c>
      <c r="B9136">
        <f>IFERROR(__xludf.DUMMYFUNCTION("""COMPUTED_VALUE"""),1292574.0)</f>
        <v>1292574</v>
      </c>
      <c r="C9136" t="str">
        <f>IFERROR(__xludf.DUMMYFUNCTION("""COMPUTED_VALUE"""),"Desarrollo de Aplicaciones en Android Studio con Kotlin")</f>
        <v>Desarrollo de Aplicaciones en Android Studio con Kotlin</v>
      </c>
    </row>
    <row r="9137">
      <c r="A9137" s="140" t="str">
        <f>IFERROR(__xludf.DUMMYFUNCTION("""COMPUTED_VALUE"""),"es")</f>
        <v>es</v>
      </c>
      <c r="B9137">
        <f>IFERROR(__xludf.DUMMYFUNCTION("""COMPUTED_VALUE"""),3681792.0)</f>
        <v>3681792</v>
      </c>
      <c r="C9137" t="str">
        <f>IFERROR(__xludf.DUMMYFUNCTION("""COMPUTED_VALUE"""),"Curso definitivo para aprender a programar en Android")</f>
        <v>Curso definitivo para aprender a programar en Android</v>
      </c>
    </row>
    <row r="9138">
      <c r="A9138" s="140" t="str">
        <f>IFERROR(__xludf.DUMMYFUNCTION("""COMPUTED_VALUE"""),"en")</f>
        <v>en</v>
      </c>
      <c r="B9138">
        <f>IFERROR(__xludf.DUMMYFUNCTION("""COMPUTED_VALUE"""),342322.0)</f>
        <v>342322</v>
      </c>
      <c r="C9138" t="str">
        <f>IFERROR(__xludf.DUMMYFUNCTION("""COMPUTED_VALUE"""),"Chinese Made Easy L2: Understand Chinese in 10 hours")</f>
        <v>Chinese Made Easy L2: Understand Chinese in 10 hours</v>
      </c>
    </row>
    <row r="9139">
      <c r="A9139" s="140" t="str">
        <f>IFERROR(__xludf.DUMMYFUNCTION("""COMPUTED_VALUE"""),"ko")</f>
        <v>ko</v>
      </c>
      <c r="B9139">
        <f>IFERROR(__xludf.DUMMYFUNCTION("""COMPUTED_VALUE"""),4278410.0)</f>
        <v>4278410</v>
      </c>
      <c r="C9139" t="str">
        <f>IFERROR(__xludf.DUMMYFUNCTION("""COMPUTED_VALUE"""),"【글로벌 Best강의】 Scala를 이용한 Apache Spark - 빅 데이터 실습! (한글자막)")</f>
        <v>【글로벌 Best강의】 Scala를 이용한 Apache Spark - 빅 데이터 실습! (한글자막)</v>
      </c>
    </row>
    <row r="9140">
      <c r="A9140" s="140" t="str">
        <f>IFERROR(__xludf.DUMMYFUNCTION("""COMPUTED_VALUE"""),"fr")</f>
        <v>fr</v>
      </c>
      <c r="B9140">
        <f>IFERROR(__xludf.DUMMYFUNCTION("""COMPUTED_VALUE"""),1740038.0)</f>
        <v>1740038</v>
      </c>
      <c r="C9140" t="str">
        <f>IFERROR(__xludf.DUMMYFUNCTION("""COMPUTED_VALUE"""),"Python par la pratique : 101 Exercices Corrigés")</f>
        <v>Python par la pratique : 101 Exercices Corrigés</v>
      </c>
    </row>
    <row r="9141">
      <c r="A9141" s="140" t="str">
        <f>IFERROR(__xludf.DUMMYFUNCTION("""COMPUTED_VALUE"""),"es")</f>
        <v>es</v>
      </c>
      <c r="B9141">
        <f>IFERROR(__xludf.DUMMYFUNCTION("""COMPUTED_VALUE"""),3984974.0)</f>
        <v>3984974</v>
      </c>
      <c r="C9141" t="str">
        <f>IFERROR(__xludf.DUMMYFUNCTION("""COMPUTED_VALUE"""),"Scrum Master y Product Owner Certificación Año 2021")</f>
        <v>Scrum Master y Product Owner Certificación Año 2021</v>
      </c>
    </row>
    <row r="9142">
      <c r="A9142" s="140" t="str">
        <f>IFERROR(__xludf.DUMMYFUNCTION("""COMPUTED_VALUE"""),"ko")</f>
        <v>ko</v>
      </c>
      <c r="B9142">
        <f>IFERROR(__xludf.DUMMYFUNCTION("""COMPUTED_VALUE"""),4299845.0)</f>
        <v>4299845</v>
      </c>
      <c r="C9142" t="str">
        <f>IFERROR(__xludf.DUMMYFUNCTION("""COMPUTED_VALUE"""),"[주식을 위한 재무분석] 시장을 이길 수 밖에 없는 재무회계")</f>
        <v>[주식을 위한 재무분석] 시장을 이길 수 밖에 없는 재무회계</v>
      </c>
    </row>
    <row r="9143">
      <c r="A9143" s="140" t="str">
        <f>IFERROR(__xludf.DUMMYFUNCTION("""COMPUTED_VALUE"""),"es")</f>
        <v>es</v>
      </c>
      <c r="B9143">
        <f>IFERROR(__xludf.DUMMYFUNCTION("""COMPUTED_VALUE"""),2328604.0)</f>
        <v>2328604</v>
      </c>
      <c r="C9143" t="str">
        <f>IFERROR(__xludf.DUMMYFUNCTION("""COMPUTED_VALUE"""),"RHEL 8 - Camino a la Certificación RHCSA")</f>
        <v>RHEL 8 - Camino a la Certificación RHCSA</v>
      </c>
    </row>
    <row r="9144">
      <c r="A9144" s="140" t="str">
        <f>IFERROR(__xludf.DUMMYFUNCTION("""COMPUTED_VALUE"""),"pt")</f>
        <v>pt</v>
      </c>
      <c r="B9144">
        <f>IFERROR(__xludf.DUMMYFUNCTION("""COMPUTED_VALUE"""),733184.0)</f>
        <v>733184</v>
      </c>
      <c r="C9144" t="str">
        <f>IFERROR(__xludf.DUMMYFUNCTION("""COMPUTED_VALUE"""),"Sem Medo, Sem Crise e Vendendo Como Nunca!")</f>
        <v>Sem Medo, Sem Crise e Vendendo Como Nunca!</v>
      </c>
    </row>
    <row r="9145">
      <c r="A9145" s="140" t="str">
        <f>IFERROR(__xludf.DUMMYFUNCTION("""COMPUTED_VALUE"""),"ko")</f>
        <v>ko</v>
      </c>
      <c r="B9145">
        <f>IFERROR(__xludf.DUMMYFUNCTION("""COMPUTED_VALUE"""),4259828.0)</f>
        <v>4259828</v>
      </c>
      <c r="C9145" t="str">
        <f>IFERROR(__xludf.DUMMYFUNCTION("""COMPUTED_VALUE"""),"Microsoft Teams 관리자 교육")</f>
        <v>Microsoft Teams 관리자 교육</v>
      </c>
    </row>
    <row r="9146">
      <c r="A9146" s="140" t="str">
        <f>IFERROR(__xludf.DUMMYFUNCTION("""COMPUTED_VALUE"""),"en")</f>
        <v>en</v>
      </c>
      <c r="B9146">
        <f>IFERROR(__xludf.DUMMYFUNCTION("""COMPUTED_VALUE"""),2121820.0)</f>
        <v>2121820</v>
      </c>
      <c r="C9146" t="str">
        <f>IFERROR(__xludf.DUMMYFUNCTION("""COMPUTED_VALUE"""),"AutoCAD - Advanced 2D to 3D Course")</f>
        <v>AutoCAD - Advanced 2D to 3D Course</v>
      </c>
    </row>
    <row r="9147">
      <c r="A9147" s="140" t="str">
        <f>IFERROR(__xludf.DUMMYFUNCTION("""COMPUTED_VALUE"""),"de")</f>
        <v>de</v>
      </c>
      <c r="B9147">
        <f>IFERROR(__xludf.DUMMYFUNCTION("""COMPUTED_VALUE"""),2098692.0)</f>
        <v>2098692</v>
      </c>
      <c r="C9147" t="str">
        <f>IFERROR(__xludf.DUMMYFUNCTION("""COMPUTED_VALUE"""),"Dash - Interaktive Python Visualisierungen für Data Science")</f>
        <v>Dash - Interaktive Python Visualisierungen für Data Science</v>
      </c>
    </row>
    <row r="9148">
      <c r="A9148" s="140" t="str">
        <f>IFERROR(__xludf.DUMMYFUNCTION("""COMPUTED_VALUE"""),"en")</f>
        <v>en</v>
      </c>
      <c r="B9148">
        <f>IFERROR(__xludf.DUMMYFUNCTION("""COMPUTED_VALUE"""),1692350.0)</f>
        <v>1692350</v>
      </c>
      <c r="C9148" t="str">
        <f>IFERROR(__xludf.DUMMYFUNCTION("""COMPUTED_VALUE"""),"Create Chatbot for Website with React and Node.js")</f>
        <v>Create Chatbot for Website with React and Node.js</v>
      </c>
    </row>
    <row r="9149">
      <c r="A9149" s="140" t="str">
        <f>IFERROR(__xludf.DUMMYFUNCTION("""COMPUTED_VALUE"""),"en")</f>
        <v>en</v>
      </c>
      <c r="B9149">
        <f>IFERROR(__xludf.DUMMYFUNCTION("""COMPUTED_VALUE"""),203732.0)</f>
        <v>203732</v>
      </c>
      <c r="C9149" t="str">
        <f>IFERROR(__xludf.DUMMYFUNCTION("""COMPUTED_VALUE"""),"Value Investing Bootcamp: How to Invest Wisely")</f>
        <v>Value Investing Bootcamp: How to Invest Wisely</v>
      </c>
    </row>
    <row r="9150">
      <c r="A9150" s="140" t="str">
        <f>IFERROR(__xludf.DUMMYFUNCTION("""COMPUTED_VALUE"""),"en")</f>
        <v>en</v>
      </c>
      <c r="B9150">
        <f>IFERROR(__xludf.DUMMYFUNCTION("""COMPUTED_VALUE"""),3527932.0)</f>
        <v>3527932</v>
      </c>
      <c r="C9150" t="str">
        <f>IFERROR(__xludf.DUMMYFUNCTION("""COMPUTED_VALUE"""),"Palo Alto Security Administrator - Part 2 PCNSA (EDU-210)")</f>
        <v>Palo Alto Security Administrator - Part 2 PCNSA (EDU-210)</v>
      </c>
    </row>
    <row r="9151">
      <c r="A9151" s="140" t="str">
        <f>IFERROR(__xludf.DUMMYFUNCTION("""COMPUTED_VALUE"""),"en")</f>
        <v>en</v>
      </c>
      <c r="B9151">
        <f>IFERROR(__xludf.DUMMYFUNCTION("""COMPUTED_VALUE"""),767564.0)</f>
        <v>767564</v>
      </c>
      <c r="C9151" t="str">
        <f>IFERROR(__xludf.DUMMYFUNCTION("""COMPUTED_VALUE"""),"SAP BI/BW 7.4 Training")</f>
        <v>SAP BI/BW 7.4 Training</v>
      </c>
    </row>
    <row r="9152">
      <c r="A9152" s="140" t="str">
        <f>IFERROR(__xludf.DUMMYFUNCTION("""COMPUTED_VALUE"""),"es")</f>
        <v>es</v>
      </c>
      <c r="B9152">
        <f>IFERROR(__xludf.DUMMYFUNCTION("""COMPUTED_VALUE"""),404502.0)</f>
        <v>404502</v>
      </c>
      <c r="C9152" t="str">
        <f>IFERROR(__xludf.DUMMYFUNCTION("""COMPUTED_VALUE"""),"Innovación Destilada: de la Creatividad a los Resultados")</f>
        <v>Innovación Destilada: de la Creatividad a los Resultados</v>
      </c>
    </row>
    <row r="9153">
      <c r="A9153" s="140" t="str">
        <f>IFERROR(__xludf.DUMMYFUNCTION("""COMPUTED_VALUE"""),"ja")</f>
        <v>ja</v>
      </c>
      <c r="B9153">
        <f>IFERROR(__xludf.DUMMYFUNCTION("""COMPUTED_VALUE"""),3672948.0)</f>
        <v>3672948</v>
      </c>
      <c r="C9153" t="str">
        <f>IFERROR(__xludf.DUMMYFUNCTION("""COMPUTED_VALUE"""),"科学技術計算のためのPython入門")</f>
        <v>科学技術計算のためのPython入門</v>
      </c>
    </row>
    <row r="9154">
      <c r="A9154" s="140" t="str">
        <f>IFERROR(__xludf.DUMMYFUNCTION("""COMPUTED_VALUE"""),"tr")</f>
        <v>tr</v>
      </c>
      <c r="B9154">
        <f>IFERROR(__xludf.DUMMYFUNCTION("""COMPUTED_VALUE"""),2693120.0)</f>
        <v>2693120</v>
      </c>
      <c r="C9154" t="str">
        <f>IFERROR(__xludf.DUMMYFUNCTION("""COMPUTED_VALUE"""),"Gann Fanları ile Teknik Analizi ve Trade Stratejisi")</f>
        <v>Gann Fanları ile Teknik Analizi ve Trade Stratejisi</v>
      </c>
    </row>
    <row r="9155">
      <c r="A9155" s="140" t="str">
        <f>IFERROR(__xludf.DUMMYFUNCTION("""COMPUTED_VALUE"""),"en")</f>
        <v>en</v>
      </c>
      <c r="B9155">
        <f>IFERROR(__xludf.DUMMYFUNCTION("""COMPUTED_VALUE"""),3058812.0)</f>
        <v>3058812</v>
      </c>
      <c r="C9155" t="str">
        <f>IFERROR(__xludf.DUMMYFUNCTION("""COMPUTED_VALUE"""),"Identity and Access Management:ForgeRock OpenIDM")</f>
        <v>Identity and Access Management:ForgeRock OpenIDM</v>
      </c>
    </row>
    <row r="9156">
      <c r="A9156" s="140" t="str">
        <f>IFERROR(__xludf.DUMMYFUNCTION("""COMPUTED_VALUE"""),"en")</f>
        <v>en</v>
      </c>
      <c r="B9156">
        <f>IFERROR(__xludf.DUMMYFUNCTION("""COMPUTED_VALUE"""),2665128.0)</f>
        <v>2665128</v>
      </c>
      <c r="C9156" t="str">
        <f>IFERROR(__xludf.DUMMYFUNCTION("""COMPUTED_VALUE"""),"Getting Started with HashiCorp Vault (Updated for 2021)")</f>
        <v>Getting Started with HashiCorp Vault (Updated for 2021)</v>
      </c>
    </row>
    <row r="9157">
      <c r="A9157" s="140" t="str">
        <f>IFERROR(__xludf.DUMMYFUNCTION("""COMPUTED_VALUE"""),"es")</f>
        <v>es</v>
      </c>
      <c r="B9157">
        <f>IFERROR(__xludf.DUMMYFUNCTION("""COMPUTED_VALUE"""),2704300.0)</f>
        <v>2704300</v>
      </c>
      <c r="C9157" t="str">
        <f>IFERROR(__xludf.DUMMYFUNCTION("""COMPUTED_VALUE"""),"Microservicios con Spring Cloud y Angular full stack")</f>
        <v>Microservicios con Spring Cloud y Angular full stack</v>
      </c>
    </row>
    <row r="9158">
      <c r="A9158" s="140" t="str">
        <f>IFERROR(__xludf.DUMMYFUNCTION("""COMPUTED_VALUE"""),"es")</f>
        <v>es</v>
      </c>
      <c r="B9158">
        <f>IFERROR(__xludf.DUMMYFUNCTION("""COMPUTED_VALUE"""),2077810.0)</f>
        <v>2077810</v>
      </c>
      <c r="C9158" t="str">
        <f>IFERROR(__xludf.DUMMYFUNCTION("""COMPUTED_VALUE"""),"Diseño Web Profesional y Completo con HTML5 CSS3 y BOOTSTRAP")</f>
        <v>Diseño Web Profesional y Completo con HTML5 CSS3 y BOOTSTRAP</v>
      </c>
    </row>
    <row r="9159">
      <c r="A9159" s="140" t="str">
        <f>IFERROR(__xludf.DUMMYFUNCTION("""COMPUTED_VALUE"""),"en")</f>
        <v>en</v>
      </c>
      <c r="B9159">
        <f>IFERROR(__xludf.DUMMYFUNCTION("""COMPUTED_VALUE"""),548764.0)</f>
        <v>548764</v>
      </c>
      <c r="C9159" t="str">
        <f>IFERROR(__xludf.DUMMYFUNCTION("""COMPUTED_VALUE"""),"ACCA FA1 Recording Financial Transactions")</f>
        <v>ACCA FA1 Recording Financial Transactions</v>
      </c>
    </row>
    <row r="9160">
      <c r="A9160" s="140" t="str">
        <f>IFERROR(__xludf.DUMMYFUNCTION("""COMPUTED_VALUE"""),"en")</f>
        <v>en</v>
      </c>
      <c r="B9160">
        <f>IFERROR(__xludf.DUMMYFUNCTION("""COMPUTED_VALUE"""),482882.0)</f>
        <v>482882</v>
      </c>
      <c r="C9160" t="str">
        <f>IFERROR(__xludf.DUMMYFUNCTION("""COMPUTED_VALUE"""),"Produce Engaging Whiteboard Animations in VideoScribe")</f>
        <v>Produce Engaging Whiteboard Animations in VideoScribe</v>
      </c>
    </row>
    <row r="9161">
      <c r="A9161" s="140" t="str">
        <f>IFERROR(__xludf.DUMMYFUNCTION("""COMPUTED_VALUE"""),"es")</f>
        <v>es</v>
      </c>
      <c r="B9161">
        <f>IFERROR(__xludf.DUMMYFUNCTION("""COMPUTED_VALUE"""),1863776.0)</f>
        <v>1863776</v>
      </c>
      <c r="C9161" t="str">
        <f>IFERROR(__xludf.DUMMYFUNCTION("""COMPUTED_VALUE"""),"Aprenda Hacking Web y Pentesting")</f>
        <v>Aprenda Hacking Web y Pentesting</v>
      </c>
    </row>
    <row r="9162">
      <c r="A9162" s="140" t="str">
        <f>IFERROR(__xludf.DUMMYFUNCTION("""COMPUTED_VALUE"""),"en")</f>
        <v>en</v>
      </c>
      <c r="B9162">
        <f>IFERROR(__xludf.DUMMYFUNCTION("""COMPUTED_VALUE"""),1942278.0)</f>
        <v>1942278</v>
      </c>
      <c r="C9162" t="str">
        <f>IFERROR(__xludf.DUMMYFUNCTION("""COMPUTED_VALUE"""),"MTA: Windows Server 2016 Administration Fundamentals: 98-365")</f>
        <v>MTA: Windows Server 2016 Administration Fundamentals: 98-365</v>
      </c>
    </row>
    <row r="9163">
      <c r="A9163" s="140" t="str">
        <f>IFERROR(__xludf.DUMMYFUNCTION("""COMPUTED_VALUE"""),"pt")</f>
        <v>pt</v>
      </c>
      <c r="B9163">
        <f>IFERROR(__xludf.DUMMYFUNCTION("""COMPUTED_VALUE"""),3217533.0)</f>
        <v>3217533</v>
      </c>
      <c r="C9163" t="str">
        <f>IFERROR(__xludf.DUMMYFUNCTION("""COMPUTED_VALUE"""),"Django framework na prática")</f>
        <v>Django framework na prática</v>
      </c>
    </row>
    <row r="9164">
      <c r="A9164" s="140" t="str">
        <f>IFERROR(__xludf.DUMMYFUNCTION("""COMPUTED_VALUE"""),"ko")</f>
        <v>ko</v>
      </c>
      <c r="B9164">
        <f>IFERROR(__xludf.DUMMYFUNCTION("""COMPUTED_VALUE"""),1750578.0)</f>
        <v>1750578</v>
      </c>
      <c r="C9164" t="str">
        <f>IFERROR(__xludf.DUMMYFUNCTION("""COMPUTED_VALUE"""),"DIY Bootstrap 4 - 10시간 만에 부트스트랩 기초부터 마스터하기(+ 웹팩, 프로젝트 제작)")</f>
        <v>DIY Bootstrap 4 - 10시간 만에 부트스트랩 기초부터 마스터하기(+ 웹팩, 프로젝트 제작)</v>
      </c>
    </row>
    <row r="9165">
      <c r="A9165" s="140" t="str">
        <f>IFERROR(__xludf.DUMMYFUNCTION("""COMPUTED_VALUE"""),"es")</f>
        <v>es</v>
      </c>
      <c r="B9165">
        <f>IFERROR(__xludf.DUMMYFUNCTION("""COMPUTED_VALUE"""),3401358.0)</f>
        <v>3401358</v>
      </c>
      <c r="C9165" t="str">
        <f>IFERROR(__xludf.DUMMYFUNCTION("""COMPUTED_VALUE"""),"Crea Paginas Web de Otro Planeta (Wordpress y Elementor)")</f>
        <v>Crea Paginas Web de Otro Planeta (Wordpress y Elementor)</v>
      </c>
    </row>
    <row r="9166">
      <c r="A9166" s="140" t="str">
        <f>IFERROR(__xludf.DUMMYFUNCTION("""COMPUTED_VALUE"""),"en")</f>
        <v>en</v>
      </c>
      <c r="B9166">
        <f>IFERROR(__xludf.DUMMYFUNCTION("""COMPUTED_VALUE"""),535622.0)</f>
        <v>535622</v>
      </c>
      <c r="C9166" t="str">
        <f>IFERROR(__xludf.DUMMYFUNCTION("""COMPUTED_VALUE"""),"Python for Data Structures, Algorithms, and Interviews!")</f>
        <v>Python for Data Structures, Algorithms, and Interviews!</v>
      </c>
    </row>
    <row r="9167">
      <c r="A9167" s="140" t="str">
        <f>IFERROR(__xludf.DUMMYFUNCTION("""COMPUTED_VALUE"""),"en")</f>
        <v>en</v>
      </c>
      <c r="B9167">
        <f>IFERROR(__xludf.DUMMYFUNCTION("""COMPUTED_VALUE"""),1775858.0)</f>
        <v>1775858</v>
      </c>
      <c r="C9167" t="str">
        <f>IFERROR(__xludf.DUMMYFUNCTION("""COMPUTED_VALUE"""),"Advanced Scala and Functional Programming | Rock the JVM")</f>
        <v>Advanced Scala and Functional Programming | Rock the JVM</v>
      </c>
    </row>
    <row r="9168">
      <c r="A9168" s="140" t="str">
        <f>IFERROR(__xludf.DUMMYFUNCTION("""COMPUTED_VALUE"""),"ar")</f>
        <v>ar</v>
      </c>
      <c r="B9168">
        <f>IFERROR(__xludf.DUMMYFUNCTION("""COMPUTED_VALUE"""),3505484.0)</f>
        <v>3505484</v>
      </c>
      <c r="C9168" t="str">
        <f>IFERROR(__xludf.DUMMYFUNCTION("""COMPUTED_VALUE"""),"iOS &amp; Swift - The Complete iOS App Development (Arabic)")</f>
        <v>iOS &amp; Swift - The Complete iOS App Development (Arabic)</v>
      </c>
    </row>
    <row r="9169">
      <c r="A9169" s="140" t="str">
        <f>IFERROR(__xludf.DUMMYFUNCTION("""COMPUTED_VALUE"""),"en")</f>
        <v>en</v>
      </c>
      <c r="B9169">
        <f>IFERROR(__xludf.DUMMYFUNCTION("""COMPUTED_VALUE"""),751792.0)</f>
        <v>751792</v>
      </c>
      <c r="C9169" t="str">
        <f>IFERROR(__xludf.DUMMYFUNCTION("""COMPUTED_VALUE"""),"Business Analysis Fundamentals")</f>
        <v>Business Analysis Fundamentals</v>
      </c>
    </row>
    <row r="9170">
      <c r="A9170" s="140" t="str">
        <f>IFERROR(__xludf.DUMMYFUNCTION("""COMPUTED_VALUE"""),"es")</f>
        <v>es</v>
      </c>
      <c r="B9170">
        <f>IFERROR(__xludf.DUMMYFUNCTION("""COMPUTED_VALUE"""),3700988.0)</f>
        <v>3700988</v>
      </c>
      <c r="C9170" t="str">
        <f>IFERROR(__xludf.DUMMYFUNCTION("""COMPUTED_VALUE"""),"Implementación NIST Cybersecurity Framework")</f>
        <v>Implementación NIST Cybersecurity Framework</v>
      </c>
    </row>
    <row r="9171">
      <c r="A9171" s="140" t="str">
        <f>IFERROR(__xludf.DUMMYFUNCTION("""COMPUTED_VALUE"""),"pt")</f>
        <v>pt</v>
      </c>
      <c r="B9171">
        <f>IFERROR(__xludf.DUMMYFUNCTION("""COMPUTED_VALUE"""),2324248.0)</f>
        <v>2324248</v>
      </c>
      <c r="C9171" t="str">
        <f>IFERROR(__xludf.DUMMYFUNCTION("""COMPUTED_VALUE"""),"Curso Básico de Substance Painter")</f>
        <v>Curso Básico de Substance Painter</v>
      </c>
    </row>
    <row r="9172">
      <c r="A9172" s="140" t="str">
        <f>IFERROR(__xludf.DUMMYFUNCTION("""COMPUTED_VALUE"""),"en")</f>
        <v>en</v>
      </c>
      <c r="B9172">
        <f>IFERROR(__xludf.DUMMYFUNCTION("""COMPUTED_VALUE"""),1061278.0)</f>
        <v>1061278</v>
      </c>
      <c r="C9172" t="str">
        <f>IFERROR(__xludf.DUMMYFUNCTION("""COMPUTED_VALUE"""),"Dynamic 2D video game character animation with free tools")</f>
        <v>Dynamic 2D video game character animation with free tools</v>
      </c>
    </row>
    <row r="9173">
      <c r="A9173" s="140" t="str">
        <f>IFERROR(__xludf.DUMMYFUNCTION("""COMPUTED_VALUE"""),"es")</f>
        <v>es</v>
      </c>
      <c r="B9173">
        <f>IFERROR(__xludf.DUMMYFUNCTION("""COMPUTED_VALUE"""),3214311.0)</f>
        <v>3214311</v>
      </c>
      <c r="C9173" t="str">
        <f>IFERROR(__xludf.DUMMYFUNCTION("""COMPUTED_VALUE"""),"Fundamentos del técnico en redes de fibra óptica")</f>
        <v>Fundamentos del técnico en redes de fibra óptica</v>
      </c>
    </row>
    <row r="9174">
      <c r="A9174" s="140" t="str">
        <f>IFERROR(__xludf.DUMMYFUNCTION("""COMPUTED_VALUE"""),"en")</f>
        <v>en</v>
      </c>
      <c r="B9174">
        <f>IFERROR(__xludf.DUMMYFUNCTION("""COMPUTED_VALUE"""),2522582.0)</f>
        <v>2522582</v>
      </c>
      <c r="C9174" t="str">
        <f>IFERROR(__xludf.DUMMYFUNCTION("""COMPUTED_VALUE"""),"Marketing Customer Analytics, Segmentation, and Targeting")</f>
        <v>Marketing Customer Analytics, Segmentation, and Targeting</v>
      </c>
    </row>
    <row r="9175">
      <c r="A9175" s="140" t="str">
        <f>IFERROR(__xludf.DUMMYFUNCTION("""COMPUTED_VALUE"""),"fr")</f>
        <v>fr</v>
      </c>
      <c r="B9175">
        <f>IFERROR(__xludf.DUMMYFUNCTION("""COMPUTED_VALUE"""),1154564.0)</f>
        <v>1154564</v>
      </c>
      <c r="C9175" t="str">
        <f>IFERROR(__xludf.DUMMYFUNCTION("""COMPUTED_VALUE"""),"Améliorez votre tennis aux côtés du champion Andre Agassi")</f>
        <v>Améliorez votre tennis aux côtés du champion Andre Agassi</v>
      </c>
    </row>
    <row r="9176">
      <c r="A9176" s="140" t="str">
        <f>IFERROR(__xludf.DUMMYFUNCTION("""COMPUTED_VALUE"""),"ar")</f>
        <v>ar</v>
      </c>
      <c r="B9176">
        <f>IFERROR(__xludf.DUMMYFUNCTION("""COMPUTED_VALUE"""),1625252.0)</f>
        <v>1625252</v>
      </c>
      <c r="C9176" t="str">
        <f>IFERROR(__xludf.DUMMYFUNCTION("""COMPUTED_VALUE"""),"OSHA General Industry  الأوشا للسلامة فى الصناعات العامة")</f>
        <v>OSHA General Industry  الأوشا للسلامة فى الصناعات العامة</v>
      </c>
    </row>
    <row r="9177">
      <c r="A9177" s="140" t="str">
        <f>IFERROR(__xludf.DUMMYFUNCTION("""COMPUTED_VALUE"""),"en")</f>
        <v>en</v>
      </c>
      <c r="B9177">
        <f>IFERROR(__xludf.DUMMYFUNCTION("""COMPUTED_VALUE"""),4131340.0)</f>
        <v>4131340</v>
      </c>
      <c r="C9177" t="str">
        <f>IFERROR(__xludf.DUMMYFUNCTION("""COMPUTED_VALUE"""),"The Complete Guide to Corporate Governance")</f>
        <v>The Complete Guide to Corporate Governance</v>
      </c>
    </row>
    <row r="9178">
      <c r="A9178" s="140" t="str">
        <f>IFERROR(__xludf.DUMMYFUNCTION("""COMPUTED_VALUE"""),"pt")</f>
        <v>pt</v>
      </c>
      <c r="B9178">
        <f>IFERROR(__xludf.DUMMYFUNCTION("""COMPUTED_VALUE"""),2535512.0)</f>
        <v>2535512</v>
      </c>
      <c r="C9178" t="str">
        <f>IFERROR(__xludf.DUMMYFUNCTION("""COMPUTED_VALUE"""),"UX Design de A a Z: tudo sobre experiência do usuário")</f>
        <v>UX Design de A a Z: tudo sobre experiência do usuário</v>
      </c>
    </row>
    <row r="9179">
      <c r="A9179" s="140" t="str">
        <f>IFERROR(__xludf.DUMMYFUNCTION("""COMPUTED_VALUE"""),"fr")</f>
        <v>fr</v>
      </c>
      <c r="B9179">
        <f>IFERROR(__xludf.DUMMYFUNCTION("""COMPUTED_VALUE"""),2445156.0)</f>
        <v>2445156</v>
      </c>
      <c r="C9179" t="str">
        <f>IFERROR(__xludf.DUMMYFUNCTION("""COMPUTED_VALUE"""),"Formation complète : montage sur Final Cut Pro X")</f>
        <v>Formation complète : montage sur Final Cut Pro X</v>
      </c>
    </row>
    <row r="9180">
      <c r="A9180" s="140" t="str">
        <f>IFERROR(__xludf.DUMMYFUNCTION("""COMPUTED_VALUE"""),"de")</f>
        <v>de</v>
      </c>
      <c r="B9180">
        <f>IFERROR(__xludf.DUMMYFUNCTION("""COMPUTED_VALUE"""),2541474.0)</f>
        <v>2541474</v>
      </c>
      <c r="C9180" t="str">
        <f>IFERROR(__xludf.DUMMYFUNCTION("""COMPUTED_VALUE"""),"Adobe Illustrator CC – Illustrator Werkzeuge &amp; Logodesign")</f>
        <v>Adobe Illustrator CC – Illustrator Werkzeuge &amp; Logodesign</v>
      </c>
    </row>
    <row r="9181">
      <c r="A9181" s="140" t="str">
        <f>IFERROR(__xludf.DUMMYFUNCTION("""COMPUTED_VALUE"""),"de")</f>
        <v>de</v>
      </c>
      <c r="B9181">
        <f>IFERROR(__xludf.DUMMYFUNCTION("""COMPUTED_VALUE"""),1238968.0)</f>
        <v>1238968</v>
      </c>
      <c r="C9181" t="str">
        <f>IFERROR(__xludf.DUMMYFUNCTION("""COMPUTED_VALUE"""),"Deine perfekte Morgenroutine")</f>
        <v>Deine perfekte Morgenroutine</v>
      </c>
    </row>
    <row r="9182">
      <c r="A9182" s="140" t="str">
        <f>IFERROR(__xludf.DUMMYFUNCTION("""COMPUTED_VALUE"""),"fr")</f>
        <v>fr</v>
      </c>
      <c r="B9182">
        <f>IFERROR(__xludf.DUMMYFUNCTION("""COMPUTED_VALUE"""),3287008.0)</f>
        <v>3287008</v>
      </c>
      <c r="C9182" t="str">
        <f>IFERROR(__xludf.DUMMYFUNCTION("""COMPUTED_VALUE"""),"Cloud Azure 2021: maîtriser les fondamentaux par la pratique")</f>
        <v>Cloud Azure 2021: maîtriser les fondamentaux par la pratique</v>
      </c>
    </row>
    <row r="9183">
      <c r="A9183" s="140" t="str">
        <f>IFERROR(__xludf.DUMMYFUNCTION("""COMPUTED_VALUE"""),"de")</f>
        <v>de</v>
      </c>
      <c r="B9183">
        <f>IFERROR(__xludf.DUMMYFUNCTION("""COMPUTED_VALUE"""),912660.0)</f>
        <v>912660</v>
      </c>
      <c r="C9183" t="str">
        <f>IFERROR(__xludf.DUMMYFUNCTION("""COMPUTED_VALUE"""),"Fusion 360: Schneller Einstieg in die CAD Konstruktion")</f>
        <v>Fusion 360: Schneller Einstieg in die CAD Konstruktion</v>
      </c>
    </row>
    <row r="9184">
      <c r="A9184" s="140" t="str">
        <f>IFERROR(__xludf.DUMMYFUNCTION("""COMPUTED_VALUE"""),"pt")</f>
        <v>pt</v>
      </c>
      <c r="B9184">
        <f>IFERROR(__xludf.DUMMYFUNCTION("""COMPUTED_VALUE"""),1732564.0)</f>
        <v>1732564</v>
      </c>
      <c r="C9184" t="str">
        <f>IFERROR(__xludf.DUMMYFUNCTION("""COMPUTED_VALUE"""),"Deep Learning com Python de A a Z - O Curso Completo")</f>
        <v>Deep Learning com Python de A a Z - O Curso Completo</v>
      </c>
    </row>
    <row r="9185">
      <c r="A9185" s="140" t="str">
        <f>IFERROR(__xludf.DUMMYFUNCTION("""COMPUTED_VALUE"""),"pt")</f>
        <v>pt</v>
      </c>
      <c r="B9185">
        <f>IFERROR(__xludf.DUMMYFUNCTION("""COMPUTED_VALUE"""),2430024.0)</f>
        <v>2430024</v>
      </c>
      <c r="C9185" t="str">
        <f>IFERROR(__xludf.DUMMYFUNCTION("""COMPUTED_VALUE"""),"Recursos Humanos e a Gestão de Talentos")</f>
        <v>Recursos Humanos e a Gestão de Talentos</v>
      </c>
    </row>
    <row r="9186">
      <c r="A9186" s="140" t="str">
        <f>IFERROR(__xludf.DUMMYFUNCTION("""COMPUTED_VALUE"""),"es")</f>
        <v>es</v>
      </c>
      <c r="B9186">
        <f>IFERROR(__xludf.DUMMYFUNCTION("""COMPUTED_VALUE"""),1721258.0)</f>
        <v>1721258</v>
      </c>
      <c r="C9186" t="str">
        <f>IFERROR(__xludf.DUMMYFUNCTION("""COMPUTED_VALUE"""),"Guía completa de ELK Stack: Elasticsearch, Logstash, Kibana")</f>
        <v>Guía completa de ELK Stack: Elasticsearch, Logstash, Kibana</v>
      </c>
    </row>
    <row r="9187">
      <c r="A9187" s="140" t="str">
        <f>IFERROR(__xludf.DUMMYFUNCTION("""COMPUTED_VALUE"""),"es")</f>
        <v>es</v>
      </c>
      <c r="B9187">
        <f>IFERROR(__xludf.DUMMYFUNCTION("""COMPUTED_VALUE"""),1075334.0)</f>
        <v>1075334</v>
      </c>
      <c r="C9187" t="str">
        <f>IFERROR(__xludf.DUMMYFUNCTION("""COMPUTED_VALUE"""),"Angular: De cero a experto (Legacy)")</f>
        <v>Angular: De cero a experto (Legacy)</v>
      </c>
    </row>
    <row r="9188">
      <c r="A9188" s="140" t="str">
        <f>IFERROR(__xludf.DUMMYFUNCTION("""COMPUTED_VALUE"""),"ja")</f>
        <v>ja</v>
      </c>
      <c r="B9188">
        <f>IFERROR(__xludf.DUMMYFUNCTION("""COMPUTED_VALUE"""),801618.0)</f>
        <v>801618</v>
      </c>
      <c r="C9188" t="str">
        <f>IFERROR(__xludf.DUMMYFUNCTION("""COMPUTED_VALUE"""),"【プログラミング不要！】2日でできるWordPress超入門")</f>
        <v>【プログラミング不要！】2日でできるWordPress超入門</v>
      </c>
    </row>
    <row r="9189">
      <c r="A9189" s="140" t="str">
        <f>IFERROR(__xludf.DUMMYFUNCTION("""COMPUTED_VALUE"""),"pt")</f>
        <v>pt</v>
      </c>
      <c r="B9189">
        <f>IFERROR(__xludf.DUMMYFUNCTION("""COMPUTED_VALUE"""),2742558.0)</f>
        <v>2742558</v>
      </c>
      <c r="C9189" t="str">
        <f>IFERROR(__xludf.DUMMYFUNCTION("""COMPUTED_VALUE"""),"Expert em TELEVENDAS e VENDAS POR TELEFONE na Era Digital")</f>
        <v>Expert em TELEVENDAS e VENDAS POR TELEFONE na Era Digital</v>
      </c>
    </row>
    <row r="9190">
      <c r="A9190" s="140" t="str">
        <f>IFERROR(__xludf.DUMMYFUNCTION("""COMPUTED_VALUE"""),"ja")</f>
        <v>ja</v>
      </c>
      <c r="B9190">
        <f>IFERROR(__xludf.DUMMYFUNCTION("""COMPUTED_VALUE"""),4017346.0)</f>
        <v>4017346</v>
      </c>
      <c r="C9190" t="str">
        <f>IFERROR(__xludf.DUMMYFUNCTION("""COMPUTED_VALUE"""),"＜UB確認テスト＞創造性をビジネスに活かせる！アート×デザイン思考実践セミナー")</f>
        <v>＜UB確認テスト＞創造性をビジネスに活かせる！アート×デザイン思考実践セミナー</v>
      </c>
    </row>
    <row r="9191">
      <c r="A9191" s="140" t="str">
        <f>IFERROR(__xludf.DUMMYFUNCTION("""COMPUTED_VALUE"""),"en")</f>
        <v>en</v>
      </c>
      <c r="B9191">
        <f>IFERROR(__xludf.DUMMYFUNCTION("""COMPUTED_VALUE"""),1180626.0)</f>
        <v>1180626</v>
      </c>
      <c r="C9191" t="str">
        <f>IFERROR(__xludf.DUMMYFUNCTION("""COMPUTED_VALUE"""),"HP UFT - Basic to Intermediate")</f>
        <v>HP UFT - Basic to Intermediate</v>
      </c>
    </row>
    <row r="9192">
      <c r="A9192" s="140" t="str">
        <f>IFERROR(__xludf.DUMMYFUNCTION("""COMPUTED_VALUE"""),"en")</f>
        <v>en</v>
      </c>
      <c r="B9192">
        <f>IFERROR(__xludf.DUMMYFUNCTION("""COMPUTED_VALUE"""),2184976.0)</f>
        <v>2184976</v>
      </c>
      <c r="C9192" t="str">
        <f>IFERROR(__xludf.DUMMYFUNCTION("""COMPUTED_VALUE"""),"Creating VR Experiences with React 360")</f>
        <v>Creating VR Experiences with React 360</v>
      </c>
    </row>
    <row r="9193">
      <c r="A9193" s="140" t="str">
        <f>IFERROR(__xludf.DUMMYFUNCTION("""COMPUTED_VALUE"""),"pt")</f>
        <v>pt</v>
      </c>
      <c r="B9193">
        <f>IFERROR(__xludf.DUMMYFUNCTION("""COMPUTED_VALUE"""),2755068.0)</f>
        <v>2755068</v>
      </c>
      <c r="C9193" t="str">
        <f>IFERROR(__xludf.DUMMYFUNCTION("""COMPUTED_VALUE"""),"Excel-ProcV sem Limites")</f>
        <v>Excel-ProcV sem Limites</v>
      </c>
    </row>
    <row r="9194">
      <c r="A9194" s="140" t="str">
        <f>IFERROR(__xludf.DUMMYFUNCTION("""COMPUTED_VALUE"""),"ja")</f>
        <v>ja</v>
      </c>
      <c r="B9194">
        <f>IFERROR(__xludf.DUMMYFUNCTION("""COMPUTED_VALUE"""),900920.0)</f>
        <v>900920</v>
      </c>
      <c r="C9194" t="str">
        <f>IFERROR(__xludf.DUMMYFUNCTION("""COMPUTED_VALUE"""),"〜デザイナーの頭の中、大公開〜　企画を「１枚の紙」で、伝えきる。")</f>
        <v>〜デザイナーの頭の中、大公開〜　企画を「１枚の紙」で、伝えきる。</v>
      </c>
    </row>
    <row r="9195">
      <c r="A9195" s="140" t="str">
        <f>IFERROR(__xludf.DUMMYFUNCTION("""COMPUTED_VALUE"""),"en")</f>
        <v>en</v>
      </c>
      <c r="B9195">
        <f>IFERROR(__xludf.DUMMYFUNCTION("""COMPUTED_VALUE"""),2847388.0)</f>
        <v>2847388</v>
      </c>
      <c r="C9195" t="str">
        <f>IFERROR(__xludf.DUMMYFUNCTION("""COMPUTED_VALUE"""),"Data Lake, Firehose, Glue, Athena, S3 and AWS SDK for .NET")</f>
        <v>Data Lake, Firehose, Glue, Athena, S3 and AWS SDK for .NET</v>
      </c>
    </row>
    <row r="9196">
      <c r="A9196" s="140" t="str">
        <f>IFERROR(__xludf.DUMMYFUNCTION("""COMPUTED_VALUE"""),"en")</f>
        <v>en</v>
      </c>
      <c r="B9196">
        <f>IFERROR(__xludf.DUMMYFUNCTION("""COMPUTED_VALUE"""),1036342.0)</f>
        <v>1036342</v>
      </c>
      <c r="C9196" t="str">
        <f>IFERROR(__xludf.DUMMYFUNCTION("""COMPUTED_VALUE"""),"SQL &amp; Database Design A-Z™: Learn MS SQL Server + PostgreSQL")</f>
        <v>SQL &amp; Database Design A-Z™: Learn MS SQL Server + PostgreSQL</v>
      </c>
    </row>
    <row r="9197">
      <c r="A9197" s="140" t="str">
        <f>IFERROR(__xludf.DUMMYFUNCTION("""COMPUTED_VALUE"""),"en")</f>
        <v>en</v>
      </c>
      <c r="B9197">
        <f>IFERROR(__xludf.DUMMYFUNCTION("""COMPUTED_VALUE"""),3899854.0)</f>
        <v>3899854</v>
      </c>
      <c r="C9197" t="str">
        <f>IFERROR(__xludf.DUMMYFUNCTION("""COMPUTED_VALUE"""),"Qt 6 Core Beginners with C++")</f>
        <v>Qt 6 Core Beginners with C++</v>
      </c>
    </row>
    <row r="9198">
      <c r="A9198" s="140" t="str">
        <f>IFERROR(__xludf.DUMMYFUNCTION("""COMPUTED_VALUE"""),"es")</f>
        <v>es</v>
      </c>
      <c r="B9198">
        <f>IFERROR(__xludf.DUMMYFUNCTION("""COMPUTED_VALUE"""),1422246.0)</f>
        <v>1422246</v>
      </c>
      <c r="C9198" t="str">
        <f>IFERROR(__xludf.DUMMYFUNCTION("""COMPUTED_VALUE"""),"Experto en Firebase para Android con Java y MVP 2019")</f>
        <v>Experto en Firebase para Android con Java y MVP 2019</v>
      </c>
    </row>
    <row r="9199">
      <c r="A9199" s="140" t="str">
        <f>IFERROR(__xludf.DUMMYFUNCTION("""COMPUTED_VALUE"""),"pt")</f>
        <v>pt</v>
      </c>
      <c r="B9199">
        <f>IFERROR(__xludf.DUMMYFUNCTION("""COMPUTED_VALUE"""),2197486.0)</f>
        <v>2197486</v>
      </c>
      <c r="C9199" t="str">
        <f>IFERROR(__xludf.DUMMYFUNCTION("""COMPUTED_VALUE"""),"Curso Completo de Google Ads (AdWords) do Básico ao Avançado")</f>
        <v>Curso Completo de Google Ads (AdWords) do Básico ao Avançado</v>
      </c>
    </row>
    <row r="9200">
      <c r="A9200" s="140" t="str">
        <f>IFERROR(__xludf.DUMMYFUNCTION("""COMPUTED_VALUE"""),"de")</f>
        <v>de</v>
      </c>
      <c r="B9200">
        <f>IFERROR(__xludf.DUMMYFUNCTION("""COMPUTED_VALUE"""),2826519.0)</f>
        <v>2826519</v>
      </c>
      <c r="C9200" t="str">
        <f>IFERROR(__xludf.DUMMYFUNCTION("""COMPUTED_VALUE"""),"Effektives Supply Chain Management und Logistikstrategien")</f>
        <v>Effektives Supply Chain Management und Logistikstrategien</v>
      </c>
    </row>
    <row r="9201">
      <c r="A9201" s="140" t="str">
        <f>IFERROR(__xludf.DUMMYFUNCTION("""COMPUTED_VALUE"""),"en")</f>
        <v>en</v>
      </c>
      <c r="B9201">
        <f>IFERROR(__xludf.DUMMYFUNCTION("""COMPUTED_VALUE"""),3230309.0)</f>
        <v>3230309</v>
      </c>
      <c r="C9201" t="str">
        <f>IFERROR(__xludf.DUMMYFUNCTION("""COMPUTED_VALUE"""),"Build REST API with Spring Boot &amp; Spring Data JPA")</f>
        <v>Build REST API with Spring Boot &amp; Spring Data JPA</v>
      </c>
    </row>
    <row r="9202">
      <c r="A9202" s="140" t="str">
        <f>IFERROR(__xludf.DUMMYFUNCTION("""COMPUTED_VALUE"""),"en")</f>
        <v>en</v>
      </c>
      <c r="B9202">
        <f>IFERROR(__xludf.DUMMYFUNCTION("""COMPUTED_VALUE"""),1691546.0)</f>
        <v>1691546</v>
      </c>
      <c r="C9202" t="str">
        <f>IFERROR(__xludf.DUMMYFUNCTION("""COMPUTED_VALUE"""),"Complete Day Trading : Stock Trading With Technical Analysis")</f>
        <v>Complete Day Trading : Stock Trading With Technical Analysis</v>
      </c>
    </row>
    <row r="9203">
      <c r="A9203" s="140" t="str">
        <f>IFERROR(__xludf.DUMMYFUNCTION("""COMPUTED_VALUE"""),"pt")</f>
        <v>pt</v>
      </c>
      <c r="B9203">
        <f>IFERROR(__xludf.DUMMYFUNCTION("""COMPUTED_VALUE"""),1390244.0)</f>
        <v>1390244</v>
      </c>
      <c r="C9203" t="str">
        <f>IFERROR(__xludf.DUMMYFUNCTION("""COMPUTED_VALUE"""),"Autodesk Maya : Design 3D do Básico ao Avançado Rápido")</f>
        <v>Autodesk Maya : Design 3D do Básico ao Avançado Rápido</v>
      </c>
    </row>
    <row r="9204">
      <c r="A9204" s="140" t="str">
        <f>IFERROR(__xludf.DUMMYFUNCTION("""COMPUTED_VALUE"""),"de")</f>
        <v>de</v>
      </c>
      <c r="B9204">
        <f>IFERROR(__xludf.DUMMYFUNCTION("""COMPUTED_VALUE"""),1402414.0)</f>
        <v>1402414</v>
      </c>
      <c r="C9204" t="str">
        <f>IFERROR(__xludf.DUMMYFUNCTION("""COMPUTED_VALUE"""),"Der große Kurs der Webentwicklung: HTML, CSS, JS, PHP und Co")</f>
        <v>Der große Kurs der Webentwicklung: HTML, CSS, JS, PHP und Co</v>
      </c>
    </row>
    <row r="9205">
      <c r="A9205" s="140" t="str">
        <f>IFERROR(__xludf.DUMMYFUNCTION("""COMPUTED_VALUE"""),"en")</f>
        <v>en</v>
      </c>
      <c r="B9205">
        <f>IFERROR(__xludf.DUMMYFUNCTION("""COMPUTED_VALUE"""),1260092.0)</f>
        <v>1260092</v>
      </c>
      <c r="C9205" t="str">
        <f>IFERROR(__xludf.DUMMYFUNCTION("""COMPUTED_VALUE"""),"Practical Customer Development")</f>
        <v>Practical Customer Development</v>
      </c>
    </row>
    <row r="9206">
      <c r="A9206" s="140" t="str">
        <f>IFERROR(__xludf.DUMMYFUNCTION("""COMPUTED_VALUE"""),"en")</f>
        <v>en</v>
      </c>
      <c r="B9206">
        <f>IFERROR(__xludf.DUMMYFUNCTION("""COMPUTED_VALUE"""),1420956.0)</f>
        <v>1420956</v>
      </c>
      <c r="C9206" t="str">
        <f>IFERROR(__xludf.DUMMYFUNCTION("""COMPUTED_VALUE"""),"Deep Learning with TensorFlow 2.0 [2021]")</f>
        <v>Deep Learning with TensorFlow 2.0 [2021]</v>
      </c>
    </row>
    <row r="9207">
      <c r="A9207" s="140" t="str">
        <f>IFERROR(__xludf.DUMMYFUNCTION("""COMPUTED_VALUE"""),"fr")</f>
        <v>fr</v>
      </c>
      <c r="B9207">
        <f>IFERROR(__xludf.DUMMYFUNCTION("""COMPUTED_VALUE"""),2438418.0)</f>
        <v>2438418</v>
      </c>
      <c r="C9207" t="str">
        <f>IFERROR(__xludf.DUMMYFUNCTION("""COMPUTED_VALUE"""),"Google Sheets : Fonctionnalités Avancées")</f>
        <v>Google Sheets : Fonctionnalités Avancées</v>
      </c>
    </row>
    <row r="9208">
      <c r="A9208" s="140" t="str">
        <f>IFERROR(__xludf.DUMMYFUNCTION("""COMPUTED_VALUE"""),"en")</f>
        <v>en</v>
      </c>
      <c r="B9208">
        <f>IFERROR(__xludf.DUMMYFUNCTION("""COMPUTED_VALUE"""),640940.0)</f>
        <v>640940</v>
      </c>
      <c r="C9208" t="str">
        <f>IFERROR(__xludf.DUMMYFUNCTION("""COMPUTED_VALUE"""),"Customer | How to Manage Customer Feedback")</f>
        <v>Customer | How to Manage Customer Feedback</v>
      </c>
    </row>
    <row r="9209">
      <c r="A9209" s="140" t="str">
        <f>IFERROR(__xludf.DUMMYFUNCTION("""COMPUTED_VALUE"""),"en")</f>
        <v>en</v>
      </c>
      <c r="B9209">
        <f>IFERROR(__xludf.DUMMYFUNCTION("""COMPUTED_VALUE"""),2168574.0)</f>
        <v>2168574</v>
      </c>
      <c r="C9209" t="str">
        <f>IFERROR(__xludf.DUMMYFUNCTION("""COMPUTED_VALUE"""),"SAS Programming - Learn SAS from Beginner to Advanced")</f>
        <v>SAS Programming - Learn SAS from Beginner to Advanced</v>
      </c>
    </row>
    <row r="9210">
      <c r="A9210" s="140" t="str">
        <f>IFERROR(__xludf.DUMMYFUNCTION("""COMPUTED_VALUE"""),"en")</f>
        <v>en</v>
      </c>
      <c r="B9210">
        <f>IFERROR(__xludf.DUMMYFUNCTION("""COMPUTED_VALUE"""),3772378.0)</f>
        <v>3772378</v>
      </c>
      <c r="C9210" t="str">
        <f>IFERROR(__xludf.DUMMYFUNCTION("""COMPUTED_VALUE"""),"REST Assured API Automation + Framework: From Zero to Hero!")</f>
        <v>REST Assured API Automation + Framework: From Zero to Hero!</v>
      </c>
    </row>
    <row r="9211">
      <c r="A9211" s="140" t="str">
        <f>IFERROR(__xludf.DUMMYFUNCTION("""COMPUTED_VALUE"""),"en")</f>
        <v>en</v>
      </c>
      <c r="B9211">
        <f>IFERROR(__xludf.DUMMYFUNCTION("""COMPUTED_VALUE"""),403780.0)</f>
        <v>403780</v>
      </c>
      <c r="C9211" t="str">
        <f>IFERROR(__xludf.DUMMYFUNCTION("""COMPUTED_VALUE"""),"Excel Charts - Excel Charts and Graphs Basic Training")</f>
        <v>Excel Charts - Excel Charts and Graphs Basic Training</v>
      </c>
    </row>
    <row r="9212">
      <c r="A9212" s="140" t="str">
        <f>IFERROR(__xludf.DUMMYFUNCTION("""COMPUTED_VALUE"""),"ja")</f>
        <v>ja</v>
      </c>
      <c r="B9212">
        <f>IFERROR(__xludf.DUMMYFUNCTION("""COMPUTED_VALUE"""),2435026.0)</f>
        <v>2435026</v>
      </c>
      <c r="C9212" t="str">
        <f>IFERROR(__xludf.DUMMYFUNCTION("""COMPUTED_VALUE"""),"現役シリコンバレーエンジニアが教えるPythonで始めるスクラッチからのブロックチェーン開発入門")</f>
        <v>現役シリコンバレーエンジニアが教えるPythonで始めるスクラッチからのブロックチェーン開発入門</v>
      </c>
    </row>
    <row r="9213">
      <c r="A9213" s="140" t="str">
        <f>IFERROR(__xludf.DUMMYFUNCTION("""COMPUTED_VALUE"""),"en")</f>
        <v>en</v>
      </c>
      <c r="B9213">
        <f>IFERROR(__xludf.DUMMYFUNCTION("""COMPUTED_VALUE"""),1635660.0)</f>
        <v>1635660</v>
      </c>
      <c r="C9213" t="str">
        <f>IFERROR(__xludf.DUMMYFUNCTION("""COMPUTED_VALUE"""),"Bank Reconciliations &amp; Cash Internal Controls")</f>
        <v>Bank Reconciliations &amp; Cash Internal Controls</v>
      </c>
    </row>
    <row r="9214">
      <c r="A9214" s="140" t="str">
        <f>IFERROR(__xludf.DUMMYFUNCTION("""COMPUTED_VALUE"""),"en")</f>
        <v>en</v>
      </c>
      <c r="B9214">
        <f>IFERROR(__xludf.DUMMYFUNCTION("""COMPUTED_VALUE"""),115758.0)</f>
        <v>115758</v>
      </c>
      <c r="C9214" t="str">
        <f>IFERROR(__xludf.DUMMYFUNCTION("""COMPUTED_VALUE"""),"Learn the Fundamentals of Adobe Edge Animate")</f>
        <v>Learn the Fundamentals of Adobe Edge Animate</v>
      </c>
    </row>
    <row r="9215">
      <c r="A9215" s="140" t="str">
        <f>IFERROR(__xludf.DUMMYFUNCTION("""COMPUTED_VALUE"""),"en")</f>
        <v>en</v>
      </c>
      <c r="B9215">
        <f>IFERROR(__xludf.DUMMYFUNCTION("""COMPUTED_VALUE"""),1102452.0)</f>
        <v>1102452</v>
      </c>
      <c r="C9215" t="str">
        <f>IFERROR(__xludf.DUMMYFUNCTION("""COMPUTED_VALUE"""),"Create an Explosive Resume")</f>
        <v>Create an Explosive Resume</v>
      </c>
    </row>
    <row r="9216">
      <c r="A9216" s="140" t="str">
        <f>IFERROR(__xludf.DUMMYFUNCTION("""COMPUTED_VALUE"""),"en")</f>
        <v>en</v>
      </c>
      <c r="B9216">
        <f>IFERROR(__xludf.DUMMYFUNCTION("""COMPUTED_VALUE"""),3359012.0)</f>
        <v>3359012</v>
      </c>
      <c r="C9216" t="str">
        <f>IFERROR(__xludf.DUMMYFUNCTION("""COMPUTED_VALUE"""),"Cypress by Examples")</f>
        <v>Cypress by Examples</v>
      </c>
    </row>
    <row r="9217">
      <c r="A9217" s="140" t="str">
        <f>IFERROR(__xludf.DUMMYFUNCTION("""COMPUTED_VALUE"""),"en")</f>
        <v>en</v>
      </c>
      <c r="B9217">
        <f>IFERROR(__xludf.DUMMYFUNCTION("""COMPUTED_VALUE"""),1644756.0)</f>
        <v>1644756</v>
      </c>
      <c r="C9217" t="str">
        <f>IFERROR(__xludf.DUMMYFUNCTION("""COMPUTED_VALUE"""),"Algorithmic Trading &amp; Quantitative Analysis Using Python")</f>
        <v>Algorithmic Trading &amp; Quantitative Analysis Using Python</v>
      </c>
    </row>
    <row r="9218">
      <c r="A9218" s="140" t="str">
        <f>IFERROR(__xludf.DUMMYFUNCTION("""COMPUTED_VALUE"""),"en")</f>
        <v>en</v>
      </c>
      <c r="B9218">
        <f>IFERROR(__xludf.DUMMYFUNCTION("""COMPUTED_VALUE"""),1417860.0)</f>
        <v>1417860</v>
      </c>
      <c r="C9218" t="str">
        <f>IFERROR(__xludf.DUMMYFUNCTION("""COMPUTED_VALUE"""),"The Podcast Masterclass: The Complete Guide to Podcasting")</f>
        <v>The Podcast Masterclass: The Complete Guide to Podcasting</v>
      </c>
    </row>
    <row r="9219">
      <c r="A9219" s="140" t="str">
        <f>IFERROR(__xludf.DUMMYFUNCTION("""COMPUTED_VALUE"""),"pt")</f>
        <v>pt</v>
      </c>
      <c r="B9219">
        <f>IFERROR(__xludf.DUMMYFUNCTION("""COMPUTED_VALUE"""),1952012.0)</f>
        <v>1952012</v>
      </c>
      <c r="C9219" t="str">
        <f>IFERROR(__xludf.DUMMYFUNCTION("""COMPUTED_VALUE"""),"Previdência Privada - PGBL e VGBL")</f>
        <v>Previdência Privada - PGBL e VGBL</v>
      </c>
    </row>
    <row r="9220">
      <c r="A9220" s="140" t="str">
        <f>IFERROR(__xludf.DUMMYFUNCTION("""COMPUTED_VALUE"""),"en")</f>
        <v>en</v>
      </c>
      <c r="B9220">
        <f>IFERROR(__xludf.DUMMYFUNCTION("""COMPUTED_VALUE"""),3434284.0)</f>
        <v>3434284</v>
      </c>
      <c r="C9220" t="str">
        <f>IFERROR(__xludf.DUMMYFUNCTION("""COMPUTED_VALUE"""),"Monday - Project Management - The Complete Beginners Course")</f>
        <v>Monday - Project Management - The Complete Beginners Course</v>
      </c>
    </row>
    <row r="9221">
      <c r="A9221" s="140" t="str">
        <f>IFERROR(__xludf.DUMMYFUNCTION("""COMPUTED_VALUE"""),"en")</f>
        <v>en</v>
      </c>
      <c r="B9221">
        <f>IFERROR(__xludf.DUMMYFUNCTION("""COMPUTED_VALUE"""),3475510.0)</f>
        <v>3475510</v>
      </c>
      <c r="C9221" t="str">
        <f>IFERROR(__xludf.DUMMYFUNCTION("""COMPUTED_VALUE"""),"Salesforce Integration With External Systems")</f>
        <v>Salesforce Integration With External Systems</v>
      </c>
    </row>
    <row r="9222">
      <c r="A9222" s="140" t="str">
        <f>IFERROR(__xludf.DUMMYFUNCTION("""COMPUTED_VALUE"""),"en")</f>
        <v>en</v>
      </c>
      <c r="B9222">
        <f>IFERROR(__xludf.DUMMYFUNCTION("""COMPUTED_VALUE"""),1813098.0)</f>
        <v>1813098</v>
      </c>
      <c r="C9222" t="str">
        <f>IFERROR(__xludf.DUMMYFUNCTION("""COMPUTED_VALUE"""),"Kubernetes Hands-On - Deploy Microservices to the AWS Cloud")</f>
        <v>Kubernetes Hands-On - Deploy Microservices to the AWS Cloud</v>
      </c>
    </row>
    <row r="9223">
      <c r="A9223" s="140" t="str">
        <f>IFERROR(__xludf.DUMMYFUNCTION("""COMPUTED_VALUE"""),"es")</f>
        <v>es</v>
      </c>
      <c r="B9223">
        <f>IFERROR(__xludf.DUMMYFUNCTION("""COMPUTED_VALUE"""),4167180.0)</f>
        <v>4167180</v>
      </c>
      <c r="C9223" t="str">
        <f>IFERROR(__xludf.DUMMYFUNCTION("""COMPUTED_VALUE"""),"Curso de C#")</f>
        <v>Curso de C#</v>
      </c>
    </row>
    <row r="9224">
      <c r="A9224" s="140" t="str">
        <f>IFERROR(__xludf.DUMMYFUNCTION("""COMPUTED_VALUE"""),"en")</f>
        <v>en</v>
      </c>
      <c r="B9224">
        <f>IFERROR(__xludf.DUMMYFUNCTION("""COMPUTED_VALUE"""),2013754.0)</f>
        <v>2013754</v>
      </c>
      <c r="C9224" t="str">
        <f>IFERROR(__xludf.DUMMYFUNCTION("""COMPUTED_VALUE"""),"Unlocking the Unreal Engine Material Editor")</f>
        <v>Unlocking the Unreal Engine Material Editor</v>
      </c>
    </row>
    <row r="9225">
      <c r="A9225" s="140" t="str">
        <f>IFERROR(__xludf.DUMMYFUNCTION("""COMPUTED_VALUE"""),"en")</f>
        <v>en</v>
      </c>
      <c r="B9225">
        <f>IFERROR(__xludf.DUMMYFUNCTION("""COMPUTED_VALUE"""),1882842.0)</f>
        <v>1882842</v>
      </c>
      <c r="C9225" t="str">
        <f>IFERROR(__xludf.DUMMYFUNCTION("""COMPUTED_VALUE"""),"Practical Java : Spring Boot REST API with Elasticsearch")</f>
        <v>Practical Java : Spring Boot REST API with Elasticsearch</v>
      </c>
    </row>
    <row r="9226">
      <c r="A9226" s="140" t="str">
        <f>IFERROR(__xludf.DUMMYFUNCTION("""COMPUTED_VALUE"""),"es")</f>
        <v>es</v>
      </c>
      <c r="B9226">
        <f>IFERROR(__xludf.DUMMYFUNCTION("""COMPUTED_VALUE"""),1890954.0)</f>
        <v>1890954</v>
      </c>
      <c r="C9226" t="str">
        <f>IFERROR(__xludf.DUMMYFUNCTION("""COMPUTED_VALUE"""),"DevOps - Las Artes Marciales del Software")</f>
        <v>DevOps - Las Artes Marciales del Software</v>
      </c>
    </row>
    <row r="9227">
      <c r="A9227" s="140" t="str">
        <f>IFERROR(__xludf.DUMMYFUNCTION("""COMPUTED_VALUE"""),"ko")</f>
        <v>ko</v>
      </c>
      <c r="B9227">
        <f>IFERROR(__xludf.DUMMYFUNCTION("""COMPUTED_VALUE"""),4265612.0)</f>
        <v>4265612</v>
      </c>
      <c r="C9227" t="str">
        <f>IFERROR(__xludf.DUMMYFUNCTION("""COMPUTED_VALUE"""),"제임스킴의 RPG 게임밸런스 기획")</f>
        <v>제임스킴의 RPG 게임밸런스 기획</v>
      </c>
    </row>
    <row r="9228">
      <c r="A9228" s="140" t="str">
        <f>IFERROR(__xludf.DUMMYFUNCTION("""COMPUTED_VALUE"""),"en")</f>
        <v>en</v>
      </c>
      <c r="B9228">
        <f>IFERROR(__xludf.DUMMYFUNCTION("""COMPUTED_VALUE"""),1400208.0)</f>
        <v>1400208</v>
      </c>
      <c r="C9228" t="str">
        <f>IFERROR(__xludf.DUMMYFUNCTION("""COMPUTED_VALUE"""),"Adobe Illustrator CC 2018 - New Features")</f>
        <v>Adobe Illustrator CC 2018 - New Features</v>
      </c>
    </row>
    <row r="9229">
      <c r="A9229" s="140" t="str">
        <f>IFERROR(__xludf.DUMMYFUNCTION("""COMPUTED_VALUE"""),"fr")</f>
        <v>fr</v>
      </c>
      <c r="B9229">
        <f>IFERROR(__xludf.DUMMYFUNCTION("""COMPUTED_VALUE"""),1664520.0)</f>
        <v>1664520</v>
      </c>
      <c r="C9229" t="str">
        <f>IFERROR(__xludf.DUMMYFUNCTION("""COMPUTED_VALUE"""),"Speak and Sound Like a Native French for intermediate level")</f>
        <v>Speak and Sound Like a Native French for intermediate level</v>
      </c>
    </row>
    <row r="9230">
      <c r="A9230" s="140" t="str">
        <f>IFERROR(__xludf.DUMMYFUNCTION("""COMPUTED_VALUE"""),"en")</f>
        <v>en</v>
      </c>
      <c r="B9230">
        <f>IFERROR(__xludf.DUMMYFUNCTION("""COMPUTED_VALUE"""),1952540.0)</f>
        <v>1952540</v>
      </c>
      <c r="C9230" t="str">
        <f>IFERROR(__xludf.DUMMYFUNCTION("""COMPUTED_VALUE"""),"Python Django Dev To Deployment")</f>
        <v>Python Django Dev To Deployment</v>
      </c>
    </row>
    <row r="9231">
      <c r="A9231" s="140" t="str">
        <f>IFERROR(__xludf.DUMMYFUNCTION("""COMPUTED_VALUE"""),"ar")</f>
        <v>ar</v>
      </c>
      <c r="B9231">
        <f>IFERROR(__xludf.DUMMYFUNCTION("""COMPUTED_VALUE"""),1788550.0)</f>
        <v>1788550</v>
      </c>
      <c r="C9231" t="str">
        <f>IFERROR(__xludf.DUMMYFUNCTION("""COMPUTED_VALUE"""),"احترف تصميم واجهات المواقع والتطبيقات UI/UX with Adobe XD")</f>
        <v>احترف تصميم واجهات المواقع والتطبيقات UI/UX with Adobe XD</v>
      </c>
    </row>
    <row r="9232">
      <c r="A9232" s="140" t="str">
        <f>IFERROR(__xludf.DUMMYFUNCTION("""COMPUTED_VALUE"""),"tr")</f>
        <v>tr</v>
      </c>
      <c r="B9232">
        <f>IFERROR(__xludf.DUMMYFUNCTION("""COMPUTED_VALUE"""),1716046.0)</f>
        <v>1716046</v>
      </c>
      <c r="C9232" t="str">
        <f>IFERROR(__xludf.DUMMYFUNCTION("""COMPUTED_VALUE"""),"C# ve DevExpress ile Gelişmiş Ön Muhasebe Yazılımı (Bölüm-3)")</f>
        <v>C# ve DevExpress ile Gelişmiş Ön Muhasebe Yazılımı (Bölüm-3)</v>
      </c>
    </row>
    <row r="9233">
      <c r="A9233" s="140" t="str">
        <f>IFERROR(__xludf.DUMMYFUNCTION("""COMPUTED_VALUE"""),"tr")</f>
        <v>tr</v>
      </c>
      <c r="B9233">
        <f>IFERROR(__xludf.DUMMYFUNCTION("""COMPUTED_VALUE"""),3548506.0)</f>
        <v>3548506</v>
      </c>
      <c r="C9233" t="str">
        <f>IFERROR(__xludf.DUMMYFUNCTION("""COMPUTED_VALUE"""),"Proje Yönetiminin Temelleri")</f>
        <v>Proje Yönetiminin Temelleri</v>
      </c>
    </row>
    <row r="9234">
      <c r="A9234" s="140" t="str">
        <f>IFERROR(__xludf.DUMMYFUNCTION("""COMPUTED_VALUE"""),"en")</f>
        <v>en</v>
      </c>
      <c r="B9234">
        <f>IFERROR(__xludf.DUMMYFUNCTION("""COMPUTED_VALUE"""),2650252.0)</f>
        <v>2650252</v>
      </c>
      <c r="C9234" t="str">
        <f>IFERROR(__xludf.DUMMYFUNCTION("""COMPUTED_VALUE"""),"The Complete Power BI Practical Course 2021")</f>
        <v>The Complete Power BI Practical Course 2021</v>
      </c>
    </row>
    <row r="9235">
      <c r="A9235" s="140" t="str">
        <f>IFERROR(__xludf.DUMMYFUNCTION("""COMPUTED_VALUE"""),"de")</f>
        <v>de</v>
      </c>
      <c r="B9235">
        <f>IFERROR(__xludf.DUMMYFUNCTION("""COMPUTED_VALUE"""),2733610.0)</f>
        <v>2733610</v>
      </c>
      <c r="C9235" t="str">
        <f>IFERROR(__xludf.DUMMYFUNCTION("""COMPUTED_VALUE"""),"Coaching - So machen's die Profis.")</f>
        <v>Coaching - So machen's die Profis.</v>
      </c>
    </row>
    <row r="9236">
      <c r="A9236" s="140" t="str">
        <f>IFERROR(__xludf.DUMMYFUNCTION("""COMPUTED_VALUE"""),"es")</f>
        <v>es</v>
      </c>
      <c r="B9236">
        <f>IFERROR(__xludf.DUMMYFUNCTION("""COMPUTED_VALUE"""),2743330.0)</f>
        <v>2743330</v>
      </c>
      <c r="C9236" t="str">
        <f>IFERROR(__xludf.DUMMYFUNCTION("""COMPUTED_VALUE"""),"Diseño UX: experiencia de usuario UX / UI + Figma")</f>
        <v>Diseño UX: experiencia de usuario UX / UI + Figma</v>
      </c>
    </row>
    <row r="9237">
      <c r="A9237" s="140" t="str">
        <f>IFERROR(__xludf.DUMMYFUNCTION("""COMPUTED_VALUE"""),"fr")</f>
        <v>fr</v>
      </c>
      <c r="B9237">
        <f>IFERROR(__xludf.DUMMYFUNCTION("""COMPUTED_VALUE"""),3518494.0)</f>
        <v>3518494</v>
      </c>
      <c r="C9237" t="str">
        <f>IFERROR(__xludf.DUMMYFUNCTION("""COMPUTED_VALUE"""),"Power BI Masterclass - Intermédiaires et Avancés [2021]")</f>
        <v>Power BI Masterclass - Intermédiaires et Avancés [2021]</v>
      </c>
    </row>
    <row r="9238">
      <c r="A9238" s="140" t="str">
        <f>IFERROR(__xludf.DUMMYFUNCTION("""COMPUTED_VALUE"""),"fr")</f>
        <v>fr</v>
      </c>
      <c r="B9238">
        <f>IFERROR(__xludf.DUMMYFUNCTION("""COMPUTED_VALUE"""),1347140.0)</f>
        <v>1347140</v>
      </c>
      <c r="C9238" t="str">
        <f>IFERROR(__xludf.DUMMYFUNCTION("""COMPUTED_VALUE"""),"Python : les interfaces graphiques avec PySide")</f>
        <v>Python : les interfaces graphiques avec PySide</v>
      </c>
    </row>
    <row r="9239">
      <c r="A9239" s="140" t="str">
        <f>IFERROR(__xludf.DUMMYFUNCTION("""COMPUTED_VALUE"""),"en")</f>
        <v>en</v>
      </c>
      <c r="B9239">
        <f>IFERROR(__xludf.DUMMYFUNCTION("""COMPUTED_VALUE"""),1673442.0)</f>
        <v>1673442</v>
      </c>
      <c r="C9239" t="str">
        <f>IFERROR(__xludf.DUMMYFUNCTION("""COMPUTED_VALUE"""),"Master MATLAB through Guided Problem Solving")</f>
        <v>Master MATLAB through Guided Problem Solving</v>
      </c>
    </row>
    <row r="9240">
      <c r="A9240" s="140" t="str">
        <f>IFERROR(__xludf.DUMMYFUNCTION("""COMPUTED_VALUE"""),"en")</f>
        <v>en</v>
      </c>
      <c r="B9240">
        <f>IFERROR(__xludf.DUMMYFUNCTION("""COMPUTED_VALUE"""),343816.0)</f>
        <v>343816</v>
      </c>
      <c r="C9240" t="str">
        <f>IFERROR(__xludf.DUMMYFUNCTION("""COMPUTED_VALUE"""),"SASS from Beginner to Expert")</f>
        <v>SASS from Beginner to Expert</v>
      </c>
    </row>
    <row r="9241">
      <c r="A9241" s="140" t="str">
        <f>IFERROR(__xludf.DUMMYFUNCTION("""COMPUTED_VALUE"""),"fr")</f>
        <v>fr</v>
      </c>
      <c r="B9241">
        <f>IFERROR(__xludf.DUMMYFUNCTION("""COMPUTED_VALUE"""),1689228.0)</f>
        <v>1689228</v>
      </c>
      <c r="C9241" t="str">
        <f>IFERROR(__xludf.DUMMYFUNCTION("""COMPUTED_VALUE"""),"Devenez un(e) Praticien(ne) PNL certifié(e)")</f>
        <v>Devenez un(e) Praticien(ne) PNL certifié(e)</v>
      </c>
    </row>
    <row r="9242">
      <c r="A9242" s="140" t="str">
        <f>IFERROR(__xludf.DUMMYFUNCTION("""COMPUTED_VALUE"""),"ko")</f>
        <v>ko</v>
      </c>
      <c r="B9242">
        <f>IFERROR(__xludf.DUMMYFUNCTION("""COMPUTED_VALUE"""),934584.0)</f>
        <v>934584</v>
      </c>
      <c r="C9242" t="str">
        <f>IFERROR(__xludf.DUMMYFUNCTION("""COMPUTED_VALUE"""),"영어 e메일 바로쓰기 : 제니퍼의 매일 10분 비지니스 영어 클리닉")</f>
        <v>영어 e메일 바로쓰기 : 제니퍼의 매일 10분 비지니스 영어 클리닉</v>
      </c>
    </row>
    <row r="9243">
      <c r="A9243" s="140" t="str">
        <f>IFERROR(__xludf.DUMMYFUNCTION("""COMPUTED_VALUE"""),"de")</f>
        <v>de</v>
      </c>
      <c r="B9243">
        <f>IFERROR(__xludf.DUMMYFUNCTION("""COMPUTED_VALUE"""),846406.0)</f>
        <v>846406</v>
      </c>
      <c r="C9243" t="str">
        <f>IFERROR(__xludf.DUMMYFUNCTION("""COMPUTED_VALUE"""),"Objektorientierte Entwicklung mit PHP 7")</f>
        <v>Objektorientierte Entwicklung mit PHP 7</v>
      </c>
    </row>
    <row r="9244">
      <c r="A9244" s="140" t="str">
        <f>IFERROR(__xludf.DUMMYFUNCTION("""COMPUTED_VALUE"""),"en")</f>
        <v>en</v>
      </c>
      <c r="B9244">
        <f>IFERROR(__xludf.DUMMYFUNCTION("""COMPUTED_VALUE"""),2167462.0)</f>
        <v>2167462</v>
      </c>
      <c r="C9244" t="str">
        <f>IFERROR(__xludf.DUMMYFUNCTION("""COMPUTED_VALUE"""),"Salesforce Marketing Cloud Email Specialist Practice Tests")</f>
        <v>Salesforce Marketing Cloud Email Specialist Practice Tests</v>
      </c>
    </row>
    <row r="9245">
      <c r="A9245" s="140" t="str">
        <f>IFERROR(__xludf.DUMMYFUNCTION("""COMPUTED_VALUE"""),"en")</f>
        <v>en</v>
      </c>
      <c r="B9245">
        <f>IFERROR(__xludf.DUMMYFUNCTION("""COMPUTED_VALUE"""),292612.0)</f>
        <v>292612</v>
      </c>
      <c r="C9245" t="str">
        <f>IFERROR(__xludf.DUMMYFUNCTION("""COMPUTED_VALUE"""),"Project Management With MS Project - Scheduling Master Class")</f>
        <v>Project Management With MS Project - Scheduling Master Class</v>
      </c>
    </row>
    <row r="9246">
      <c r="A9246" s="140" t="str">
        <f>IFERROR(__xludf.DUMMYFUNCTION("""COMPUTED_VALUE"""),"en")</f>
        <v>en</v>
      </c>
      <c r="B9246">
        <f>IFERROR(__xludf.DUMMYFUNCTION("""COMPUTED_VALUE"""),2438804.0)</f>
        <v>2438804</v>
      </c>
      <c r="C9246" t="str">
        <f>IFERROR(__xludf.DUMMYFUNCTION("""COMPUTED_VALUE"""),"Complete Python Scripting for Automation")</f>
        <v>Complete Python Scripting for Automation</v>
      </c>
    </row>
    <row r="9247">
      <c r="A9247" s="140" t="str">
        <f>IFERROR(__xludf.DUMMYFUNCTION("""COMPUTED_VALUE"""),"en")</f>
        <v>en</v>
      </c>
      <c r="B9247">
        <f>IFERROR(__xludf.DUMMYFUNCTION("""COMPUTED_VALUE"""),1582278.0)</f>
        <v>1582278</v>
      </c>
      <c r="C9247" t="str">
        <f>IFERROR(__xludf.DUMMYFUNCTION("""COMPUTED_VALUE"""),"Beginner Violin Lessons - VIOLIN MASTERY FROM THE BEGINNING")</f>
        <v>Beginner Violin Lessons - VIOLIN MASTERY FROM THE BEGINNING</v>
      </c>
    </row>
    <row r="9248">
      <c r="A9248" s="140" t="str">
        <f>IFERROR(__xludf.DUMMYFUNCTION("""COMPUTED_VALUE"""),"ko")</f>
        <v>ko</v>
      </c>
      <c r="B9248">
        <f>IFERROR(__xludf.DUMMYFUNCTION("""COMPUTED_VALUE"""),2888184.0)</f>
        <v>2888184</v>
      </c>
      <c r="C9248" t="str">
        <f>IFERROR(__xludf.DUMMYFUNCTION("""COMPUTED_VALUE"""),"아빠가 들려주는 ggplot2 + 알파")</f>
        <v>아빠가 들려주는 ggplot2 + 알파</v>
      </c>
    </row>
    <row r="9249">
      <c r="A9249" s="140" t="str">
        <f>IFERROR(__xludf.DUMMYFUNCTION("""COMPUTED_VALUE"""),"en")</f>
        <v>en</v>
      </c>
      <c r="B9249">
        <f>IFERROR(__xludf.DUMMYFUNCTION("""COMPUTED_VALUE"""),2304734.0)</f>
        <v>2304734</v>
      </c>
      <c r="C9249" t="str">
        <f>IFERROR(__xludf.DUMMYFUNCTION("""COMPUTED_VALUE"""),"The Complete Guide to Becoming a Software Architect")</f>
        <v>The Complete Guide to Becoming a Software Architect</v>
      </c>
    </row>
    <row r="9250">
      <c r="A9250" s="140" t="str">
        <f>IFERROR(__xludf.DUMMYFUNCTION("""COMPUTED_VALUE"""),"de")</f>
        <v>de</v>
      </c>
      <c r="B9250">
        <f>IFERROR(__xludf.DUMMYFUNCTION("""COMPUTED_VALUE"""),2726018.0)</f>
        <v>2726018</v>
      </c>
      <c r="C9250" t="str">
        <f>IFERROR(__xludf.DUMMYFUNCTION("""COMPUTED_VALUE"""),"Microsoft Planner für Einsteiger")</f>
        <v>Microsoft Planner für Einsteiger</v>
      </c>
    </row>
    <row r="9251">
      <c r="A9251" s="140" t="str">
        <f>IFERROR(__xludf.DUMMYFUNCTION("""COMPUTED_VALUE"""),"en")</f>
        <v>en</v>
      </c>
      <c r="B9251">
        <f>IFERROR(__xludf.DUMMYFUNCTION("""COMPUTED_VALUE"""),2726362.0)</f>
        <v>2726362</v>
      </c>
      <c r="C9251" t="str">
        <f>IFERROR(__xludf.DUMMYFUNCTION("""COMPUTED_VALUE"""),"Google Cloud Platform (GCP) Cert: Associate Cloud Engineer")</f>
        <v>Google Cloud Platform (GCP) Cert: Associate Cloud Engineer</v>
      </c>
    </row>
    <row r="9252">
      <c r="A9252" s="140" t="str">
        <f>IFERROR(__xludf.DUMMYFUNCTION("""COMPUTED_VALUE"""),"ja")</f>
        <v>ja</v>
      </c>
      <c r="B9252">
        <f>IFERROR(__xludf.DUMMYFUNCTION("""COMPUTED_VALUE"""),2609206.0)</f>
        <v>2609206</v>
      </c>
      <c r="C9252" t="str">
        <f>IFERROR(__xludf.DUMMYFUNCTION("""COMPUTED_VALUE"""),"誰でも取れるテレアポ術｜4つの事を繰り返すだけで驚くほど営業でアポが取れるテレアポ術")</f>
        <v>誰でも取れるテレアポ術｜4つの事を繰り返すだけで驚くほど営業でアポが取れるテレアポ術</v>
      </c>
    </row>
    <row r="9253">
      <c r="A9253" s="140" t="str">
        <f>IFERROR(__xludf.DUMMYFUNCTION("""COMPUTED_VALUE"""),"pt")</f>
        <v>pt</v>
      </c>
      <c r="B9253">
        <f>IFERROR(__xludf.DUMMYFUNCTION("""COMPUTED_VALUE"""),2430260.0)</f>
        <v>2430260</v>
      </c>
      <c r="C9253" t="str">
        <f>IFERROR(__xludf.DUMMYFUNCTION("""COMPUTED_VALUE"""),"Tableau Desktop Avançado")</f>
        <v>Tableau Desktop Avançado</v>
      </c>
    </row>
    <row r="9254">
      <c r="A9254" s="140" t="str">
        <f>IFERROR(__xludf.DUMMYFUNCTION("""COMPUTED_VALUE"""),"en")</f>
        <v>en</v>
      </c>
      <c r="B9254">
        <f>IFERROR(__xludf.DUMMYFUNCTION("""COMPUTED_VALUE"""),2641896.0)</f>
        <v>2641896</v>
      </c>
      <c r="C9254" t="str">
        <f>IFERROR(__xludf.DUMMYFUNCTION("""COMPUTED_VALUE"""),"Apache Airflow on AWS EKS: The Hands-On Guide")</f>
        <v>Apache Airflow on AWS EKS: The Hands-On Guide</v>
      </c>
    </row>
    <row r="9255">
      <c r="A9255" s="140" t="str">
        <f>IFERROR(__xludf.DUMMYFUNCTION("""COMPUTED_VALUE"""),"en")</f>
        <v>en</v>
      </c>
      <c r="B9255">
        <f>IFERROR(__xludf.DUMMYFUNCTION("""COMPUTED_VALUE"""),2815357.0)</f>
        <v>2815357</v>
      </c>
      <c r="C9255" t="str">
        <f>IFERROR(__xludf.DUMMYFUNCTION("""COMPUTED_VALUE"""),"Advanced React (Render Performance Best Practices Patterns)")</f>
        <v>Advanced React (Render Performance Best Practices Patterns)</v>
      </c>
    </row>
    <row r="9256">
      <c r="A9256" s="140" t="str">
        <f>IFERROR(__xludf.DUMMYFUNCTION("""COMPUTED_VALUE"""),"en")</f>
        <v>en</v>
      </c>
      <c r="B9256">
        <f>IFERROR(__xludf.DUMMYFUNCTION("""COMPUTED_VALUE"""),1302816.0)</f>
        <v>1302816</v>
      </c>
      <c r="C9256" t="str">
        <f>IFERROR(__xludf.DUMMYFUNCTION("""COMPUTED_VALUE"""),"The Complete Open Broadcaster (obs) Almanac for 2020")</f>
        <v>The Complete Open Broadcaster (obs) Almanac for 2020</v>
      </c>
    </row>
    <row r="9257">
      <c r="A9257" s="140" t="str">
        <f>IFERROR(__xludf.DUMMYFUNCTION("""COMPUTED_VALUE"""),"es")</f>
        <v>es</v>
      </c>
      <c r="B9257">
        <f>IFERROR(__xludf.DUMMYFUNCTION("""COMPUTED_VALUE"""),1977120.0)</f>
        <v>1977120</v>
      </c>
      <c r="C9257" t="str">
        <f>IFERROR(__xludf.DUMMYFUNCTION("""COMPUTED_VALUE"""),"Habilidades Comunicativas: Mejora Tu Comunicación")</f>
        <v>Habilidades Comunicativas: Mejora Tu Comunicación</v>
      </c>
    </row>
    <row r="9258">
      <c r="A9258" s="140" t="str">
        <f>IFERROR(__xludf.DUMMYFUNCTION("""COMPUTED_VALUE"""),"en")</f>
        <v>en</v>
      </c>
      <c r="B9258">
        <f>IFERROR(__xludf.DUMMYFUNCTION("""COMPUTED_VALUE"""),886300.0)</f>
        <v>886300</v>
      </c>
      <c r="C9258" t="str">
        <f>IFERROR(__xludf.DUMMYFUNCTION("""COMPUTED_VALUE"""),"Accelerated JavaScript Training")</f>
        <v>Accelerated JavaScript Training</v>
      </c>
    </row>
    <row r="9259">
      <c r="A9259" s="140" t="str">
        <f>IFERROR(__xludf.DUMMYFUNCTION("""COMPUTED_VALUE"""),"en")</f>
        <v>en</v>
      </c>
      <c r="B9259">
        <f>IFERROR(__xludf.DUMMYFUNCTION("""COMPUTED_VALUE"""),2447630.0)</f>
        <v>2447630</v>
      </c>
      <c r="C9259" t="str">
        <f>IFERROR(__xludf.DUMMYFUNCTION("""COMPUTED_VALUE"""),"Salesforce Heroku Masterclass")</f>
        <v>Salesforce Heroku Masterclass</v>
      </c>
    </row>
    <row r="9260">
      <c r="A9260" s="140" t="str">
        <f>IFERROR(__xludf.DUMMYFUNCTION("""COMPUTED_VALUE"""),"es")</f>
        <v>es</v>
      </c>
      <c r="B9260">
        <f>IFERROR(__xludf.DUMMYFUNCTION("""COMPUTED_VALUE"""),3409170.0)</f>
        <v>3409170</v>
      </c>
      <c r="C9260" t="str">
        <f>IFERROR(__xludf.DUMMYFUNCTION("""COMPUTED_VALUE"""),"Manejo Efectivo del Tiempo")</f>
        <v>Manejo Efectivo del Tiempo</v>
      </c>
    </row>
    <row r="9261">
      <c r="A9261" s="140" t="str">
        <f>IFERROR(__xludf.DUMMYFUNCTION("""COMPUTED_VALUE"""),"de")</f>
        <v>de</v>
      </c>
      <c r="B9261">
        <f>IFERROR(__xludf.DUMMYFUNCTION("""COMPUTED_VALUE"""),1732194.0)</f>
        <v>1732194</v>
      </c>
      <c r="C9261" t="str">
        <f>IFERROR(__xludf.DUMMYFUNCTION("""COMPUTED_VALUE"""),"Instandhaltung und Steuerungstechnik")</f>
        <v>Instandhaltung und Steuerungstechnik</v>
      </c>
    </row>
    <row r="9262">
      <c r="A9262" s="140" t="str">
        <f>IFERROR(__xludf.DUMMYFUNCTION("""COMPUTED_VALUE"""),"de")</f>
        <v>de</v>
      </c>
      <c r="B9262">
        <f>IFERROR(__xludf.DUMMYFUNCTION("""COMPUTED_VALUE"""),1514132.0)</f>
        <v>1514132</v>
      </c>
      <c r="C9262" t="str">
        <f>IFERROR(__xludf.DUMMYFUNCTION("""COMPUTED_VALUE"""),"Professionell visualisieren mit Redshift in Cinema 4D")</f>
        <v>Professionell visualisieren mit Redshift in Cinema 4D</v>
      </c>
    </row>
    <row r="9263">
      <c r="A9263" s="140" t="str">
        <f>IFERROR(__xludf.DUMMYFUNCTION("""COMPUTED_VALUE"""),"ja")</f>
        <v>ja</v>
      </c>
      <c r="B9263">
        <f>IFERROR(__xludf.DUMMYFUNCTION("""COMPUTED_VALUE"""),3316102.0)</f>
        <v>3316102</v>
      </c>
      <c r="C9263" t="str">
        <f>IFERROR(__xludf.DUMMYFUNCTION("""COMPUTED_VALUE"""),"【未経験者向け】今日から使えるGoogle Apps Script入門")</f>
        <v>【未経験者向け】今日から使えるGoogle Apps Script入門</v>
      </c>
    </row>
    <row r="9264">
      <c r="A9264" s="140" t="str">
        <f>IFERROR(__xludf.DUMMYFUNCTION("""COMPUTED_VALUE"""),"en")</f>
        <v>en</v>
      </c>
      <c r="B9264">
        <f>IFERROR(__xludf.DUMMYFUNCTION("""COMPUTED_VALUE"""),1215970.0)</f>
        <v>1215970</v>
      </c>
      <c r="C9264" t="str">
        <f>IFERROR(__xludf.DUMMYFUNCTION("""COMPUTED_VALUE"""),"The Complete Basic Electricity &amp; Electronics Course")</f>
        <v>The Complete Basic Electricity &amp; Electronics Course</v>
      </c>
    </row>
    <row r="9265">
      <c r="A9265" s="140" t="str">
        <f>IFERROR(__xludf.DUMMYFUNCTION("""COMPUTED_VALUE"""),"es")</f>
        <v>es</v>
      </c>
      <c r="B9265">
        <f>IFERROR(__xludf.DUMMYFUNCTION("""COMPUTED_VALUE"""),505956.0)</f>
        <v>505956</v>
      </c>
      <c r="C9265" t="str">
        <f>IFERROR(__xludf.DUMMYFUNCTION("""COMPUTED_VALUE"""),"Ventas: 25 Cierres de Venta para Superar Objeciones")</f>
        <v>Ventas: 25 Cierres de Venta para Superar Objeciones</v>
      </c>
    </row>
    <row r="9266">
      <c r="A9266" s="140" t="str">
        <f>IFERROR(__xludf.DUMMYFUNCTION("""COMPUTED_VALUE"""),"fr")</f>
        <v>fr</v>
      </c>
      <c r="B9266">
        <f>IFERROR(__xludf.DUMMYFUNCTION("""COMPUTED_VALUE"""),3380600.0)</f>
        <v>3380600</v>
      </c>
      <c r="C9266" t="str">
        <f>IFERROR(__xludf.DUMMYFUNCTION("""COMPUTED_VALUE"""),"Unreal Engine 4 : Le Guide Complet (2020)")</f>
        <v>Unreal Engine 4 : Le Guide Complet (2020)</v>
      </c>
    </row>
    <row r="9267">
      <c r="A9267" s="140" t="str">
        <f>IFERROR(__xludf.DUMMYFUNCTION("""COMPUTED_VALUE"""),"en")</f>
        <v>en</v>
      </c>
      <c r="B9267">
        <f>IFERROR(__xludf.DUMMYFUNCTION("""COMPUTED_VALUE"""),3323422.0)</f>
        <v>3323422</v>
      </c>
      <c r="C9267" t="str">
        <f>IFERROR(__xludf.DUMMYFUNCTION("""COMPUTED_VALUE"""),"Aviatrix ACE - Multi-Cloud Network Associate Certification")</f>
        <v>Aviatrix ACE - Multi-Cloud Network Associate Certification</v>
      </c>
    </row>
    <row r="9268">
      <c r="A9268" s="140" t="str">
        <f>IFERROR(__xludf.DUMMYFUNCTION("""COMPUTED_VALUE"""),"en")</f>
        <v>en</v>
      </c>
      <c r="B9268">
        <f>IFERROR(__xludf.DUMMYFUNCTION("""COMPUTED_VALUE"""),2831952.0)</f>
        <v>2831952</v>
      </c>
      <c r="C9268" t="str">
        <f>IFERROR(__xludf.DUMMYFUNCTION("""COMPUTED_VALUE"""),"The Ultimate Pandas Bootcamp: Advanced Python Data Analysis")</f>
        <v>The Ultimate Pandas Bootcamp: Advanced Python Data Analysis</v>
      </c>
    </row>
    <row r="9269">
      <c r="A9269" s="140" t="str">
        <f>IFERROR(__xludf.DUMMYFUNCTION("""COMPUTED_VALUE"""),"en")</f>
        <v>en</v>
      </c>
      <c r="B9269">
        <f>IFERROR(__xludf.DUMMYFUNCTION("""COMPUTED_VALUE"""),2401188.0)</f>
        <v>2401188</v>
      </c>
      <c r="C9269" t="str">
        <f>IFERROR(__xludf.DUMMYFUNCTION("""COMPUTED_VALUE"""),"IT Network cabling :Start your cabling career now !")</f>
        <v>IT Network cabling :Start your cabling career now !</v>
      </c>
    </row>
    <row r="9270">
      <c r="A9270" s="140" t="str">
        <f>IFERROR(__xludf.DUMMYFUNCTION("""COMPUTED_VALUE"""),"en")</f>
        <v>en</v>
      </c>
      <c r="B9270">
        <f>IFERROR(__xludf.DUMMYFUNCTION("""COMPUTED_VALUE"""),3640842.0)</f>
        <v>3640842</v>
      </c>
      <c r="C9270" t="str">
        <f>IFERROR(__xludf.DUMMYFUNCTION("""COMPUTED_VALUE"""),"AWS Certified Developer Associate - EXAM REVIEW - 2021")</f>
        <v>AWS Certified Developer Associate - EXAM REVIEW - 2021</v>
      </c>
    </row>
    <row r="9271">
      <c r="A9271" s="140" t="str">
        <f>IFERROR(__xludf.DUMMYFUNCTION("""COMPUTED_VALUE"""),"en")</f>
        <v>en</v>
      </c>
      <c r="B9271">
        <f>IFERROR(__xludf.DUMMYFUNCTION("""COMPUTED_VALUE"""),2630450.0)</f>
        <v>2630450</v>
      </c>
      <c r="C9271" t="str">
        <f>IFERROR(__xludf.DUMMYFUNCTION("""COMPUTED_VALUE"""),"Proofread Like a Pro")</f>
        <v>Proofread Like a Pro</v>
      </c>
    </row>
    <row r="9272">
      <c r="A9272" s="140" t="str">
        <f>IFERROR(__xludf.DUMMYFUNCTION("""COMPUTED_VALUE"""),"en")</f>
        <v>en</v>
      </c>
      <c r="B9272">
        <f>IFERROR(__xludf.DUMMYFUNCTION("""COMPUTED_VALUE"""),2064969.0)</f>
        <v>2064969</v>
      </c>
      <c r="C9272" t="str">
        <f>IFERROR(__xludf.DUMMYFUNCTION("""COMPUTED_VALUE"""),"Become an AWS Certified Cloud Practitioner: 2020 - Updated")</f>
        <v>Become an AWS Certified Cloud Practitioner: 2020 - Updated</v>
      </c>
    </row>
    <row r="9273">
      <c r="A9273" s="140" t="str">
        <f>IFERROR(__xludf.DUMMYFUNCTION("""COMPUTED_VALUE"""),"en")</f>
        <v>en</v>
      </c>
      <c r="B9273">
        <f>IFERROR(__xludf.DUMMYFUNCTION("""COMPUTED_VALUE"""),479440.0)</f>
        <v>479440</v>
      </c>
      <c r="C9273" t="str">
        <f>IFERROR(__xludf.DUMMYFUNCTION("""COMPUTED_VALUE"""),"Standard 9.1- Part 2 Certified Enterprise Architect Course")</f>
        <v>Standard 9.1- Part 2 Certified Enterprise Architect Course</v>
      </c>
    </row>
    <row r="9274">
      <c r="A9274" s="140" t="str">
        <f>IFERROR(__xludf.DUMMYFUNCTION("""COMPUTED_VALUE"""),"pt")</f>
        <v>pt</v>
      </c>
      <c r="B9274">
        <f>IFERROR(__xludf.DUMMYFUNCTION("""COMPUTED_VALUE"""),2429796.0)</f>
        <v>2429796</v>
      </c>
      <c r="C9274" t="str">
        <f>IFERROR(__xludf.DUMMYFUNCTION("""COMPUTED_VALUE"""),"CURSO DE VENDAS COMPLETO - Foco em Vendas B2B")</f>
        <v>CURSO DE VENDAS COMPLETO - Foco em Vendas B2B</v>
      </c>
    </row>
    <row r="9275">
      <c r="A9275" s="140" t="str">
        <f>IFERROR(__xludf.DUMMYFUNCTION("""COMPUTED_VALUE"""),"en")</f>
        <v>en</v>
      </c>
      <c r="B9275">
        <f>IFERROR(__xludf.DUMMYFUNCTION("""COMPUTED_VALUE"""),2720818.0)</f>
        <v>2720818</v>
      </c>
      <c r="C9275" t="str">
        <f>IFERROR(__xludf.DUMMYFUNCTION("""COMPUTED_VALUE"""),"Apache Kafka for absolute beginners")</f>
        <v>Apache Kafka for absolute beginners</v>
      </c>
    </row>
    <row r="9276">
      <c r="A9276" s="140" t="str">
        <f>IFERROR(__xludf.DUMMYFUNCTION("""COMPUTED_VALUE"""),"en")</f>
        <v>en</v>
      </c>
      <c r="B9276">
        <f>IFERROR(__xludf.DUMMYFUNCTION("""COMPUTED_VALUE"""),4178136.0)</f>
        <v>4178136</v>
      </c>
      <c r="C9276" t="str">
        <f>IFERROR(__xludf.DUMMYFUNCTION("""COMPUTED_VALUE"""),"Google Cloud Developer - GCP Professional Certification 2021")</f>
        <v>Google Cloud Developer - GCP Professional Certification 2021</v>
      </c>
    </row>
    <row r="9277">
      <c r="A9277" s="140" t="str">
        <f>IFERROR(__xludf.DUMMYFUNCTION("""COMPUTED_VALUE"""),"en")</f>
        <v>en</v>
      </c>
      <c r="B9277">
        <f>IFERROR(__xludf.DUMMYFUNCTION("""COMPUTED_VALUE"""),722848.0)</f>
        <v>722848</v>
      </c>
      <c r="C9277" t="str">
        <f>IFERROR(__xludf.DUMMYFUNCTION("""COMPUTED_VALUE"""),"Wanna Learn JMeter ?Get Training by Industry Experts-18+hrs")</f>
        <v>Wanna Learn JMeter ?Get Training by Industry Experts-18+hrs</v>
      </c>
    </row>
    <row r="9278">
      <c r="A9278" s="140" t="str">
        <f>IFERROR(__xludf.DUMMYFUNCTION("""COMPUTED_VALUE"""),"pt")</f>
        <v>pt</v>
      </c>
      <c r="B9278">
        <f>IFERROR(__xludf.DUMMYFUNCTION("""COMPUTED_VALUE"""),3639332.0)</f>
        <v>3639332</v>
      </c>
      <c r="C9278" t="str">
        <f>IFERROR(__xludf.DUMMYFUNCTION("""COMPUTED_VALUE"""),"Elasticsearch 7 e Elastic Stack: o Curso Completo!")</f>
        <v>Elasticsearch 7 e Elastic Stack: o Curso Completo!</v>
      </c>
    </row>
    <row r="9279">
      <c r="A9279" s="140" t="str">
        <f>IFERROR(__xludf.DUMMYFUNCTION("""COMPUTED_VALUE"""),"en")</f>
        <v>en</v>
      </c>
      <c r="B9279">
        <f>IFERROR(__xludf.DUMMYFUNCTION("""COMPUTED_VALUE"""),1650610.0)</f>
        <v>1650610</v>
      </c>
      <c r="C9279" t="str">
        <f>IFERROR(__xludf.DUMMYFUNCTION("""COMPUTED_VALUE"""),"The Complete Junior to Senior Web Developer Roadmap (2022)")</f>
        <v>The Complete Junior to Senior Web Developer Roadmap (2022)</v>
      </c>
    </row>
    <row r="9280">
      <c r="A9280" s="140" t="str">
        <f>IFERROR(__xludf.DUMMYFUNCTION("""COMPUTED_VALUE"""),"es")</f>
        <v>es</v>
      </c>
      <c r="B9280">
        <f>IFERROR(__xludf.DUMMYFUNCTION("""COMPUTED_VALUE"""),3577263.0)</f>
        <v>3577263</v>
      </c>
      <c r="C9280" t="str">
        <f>IFERROR(__xludf.DUMMYFUNCTION("""COMPUTED_VALUE"""),"Modelos Financieros en Excel para la Valoración de Empresas")</f>
        <v>Modelos Financieros en Excel para la Valoración de Empresas</v>
      </c>
    </row>
    <row r="9281">
      <c r="A9281" s="140" t="str">
        <f>IFERROR(__xludf.DUMMYFUNCTION("""COMPUTED_VALUE"""),"es")</f>
        <v>es</v>
      </c>
      <c r="B9281">
        <f>IFERROR(__xludf.DUMMYFUNCTION("""COMPUTED_VALUE"""),2303374.0)</f>
        <v>2303374</v>
      </c>
      <c r="C9281" t="str">
        <f>IFERROR(__xludf.DUMMYFUNCTION("""COMPUTED_VALUE"""),"Aprende Microsoft Project 2019")</f>
        <v>Aprende Microsoft Project 2019</v>
      </c>
    </row>
    <row r="9282">
      <c r="A9282" s="140" t="str">
        <f>IFERROR(__xludf.DUMMYFUNCTION("""COMPUTED_VALUE"""),"en")</f>
        <v>en</v>
      </c>
      <c r="B9282">
        <f>IFERROR(__xludf.DUMMYFUNCTION("""COMPUTED_VALUE"""),496050.0)</f>
        <v>496050</v>
      </c>
      <c r="C9282" t="str">
        <f>IFERROR(__xludf.DUMMYFUNCTION("""COMPUTED_VALUE"""),"Microservices with Spring Cloud")</f>
        <v>Microservices with Spring Cloud</v>
      </c>
    </row>
    <row r="9283">
      <c r="A9283" s="140" t="str">
        <f>IFERROR(__xludf.DUMMYFUNCTION("""COMPUTED_VALUE"""),"de")</f>
        <v>de</v>
      </c>
      <c r="B9283">
        <f>IFERROR(__xludf.DUMMYFUNCTION("""COMPUTED_VALUE"""),4073596.0)</f>
        <v>4073596</v>
      </c>
      <c r="C9283" t="str">
        <f>IFERROR(__xludf.DUMMYFUNCTION("""COMPUTED_VALUE"""),"Der HTML5, CSS, Bootstrap 5 &amp; JavaScript Entwicklerkurs 2021")</f>
        <v>Der HTML5, CSS, Bootstrap 5 &amp; JavaScript Entwicklerkurs 2021</v>
      </c>
    </row>
    <row r="9284">
      <c r="A9284" s="140" t="str">
        <f>IFERROR(__xludf.DUMMYFUNCTION("""COMPUTED_VALUE"""),"en")</f>
        <v>en</v>
      </c>
      <c r="B9284">
        <f>IFERROR(__xludf.DUMMYFUNCTION("""COMPUTED_VALUE"""),1054336.0)</f>
        <v>1054336</v>
      </c>
      <c r="C9284" t="str">
        <f>IFERROR(__xludf.DUMMYFUNCTION("""COMPUTED_VALUE"""),"Functional Programming using C++")</f>
        <v>Functional Programming using C++</v>
      </c>
    </row>
    <row r="9285">
      <c r="A9285" s="140" t="str">
        <f>IFERROR(__xludf.DUMMYFUNCTION("""COMPUTED_VALUE"""),"tr")</f>
        <v>tr</v>
      </c>
      <c r="B9285">
        <f>IFERROR(__xludf.DUMMYFUNCTION("""COMPUTED_VALUE"""),492470.0)</f>
        <v>492470</v>
      </c>
      <c r="C9285" t="str">
        <f>IFERROR(__xludf.DUMMYFUNCTION("""COMPUTED_VALUE"""),"Microsoft Excel | Sıfırdan Zirveye |2021|")</f>
        <v>Microsoft Excel | Sıfırdan Zirveye |2021|</v>
      </c>
    </row>
    <row r="9286">
      <c r="A9286" s="140" t="str">
        <f>IFERROR(__xludf.DUMMYFUNCTION("""COMPUTED_VALUE"""),"fr")</f>
        <v>fr</v>
      </c>
      <c r="B9286">
        <f>IFERROR(__xludf.DUMMYFUNCTION("""COMPUTED_VALUE"""),2080654.0)</f>
        <v>2080654</v>
      </c>
      <c r="C9286" t="str">
        <f>IFERROR(__xludf.DUMMYFUNCTION("""COMPUTED_VALUE"""),"Illustrator -Facebook -Teespring -Créez, vendez vos t-shirts")</f>
        <v>Illustrator -Facebook -Teespring -Créez, vendez vos t-shirts</v>
      </c>
    </row>
    <row r="9287">
      <c r="A9287" s="140" t="str">
        <f>IFERROR(__xludf.DUMMYFUNCTION("""COMPUTED_VALUE"""),"de")</f>
        <v>de</v>
      </c>
      <c r="B9287">
        <f>IFERROR(__xludf.DUMMYFUNCTION("""COMPUTED_VALUE"""),1321492.0)</f>
        <v>1321492</v>
      </c>
      <c r="C9287" t="str">
        <f>IFERROR(__xludf.DUMMYFUNCTION("""COMPUTED_VALUE"""),"Bing Ads Masterclass: Werde zum Bing Ads Profi")</f>
        <v>Bing Ads Masterclass: Werde zum Bing Ads Profi</v>
      </c>
    </row>
    <row r="9288">
      <c r="A9288" s="140" t="str">
        <f>IFERROR(__xludf.DUMMYFUNCTION("""COMPUTED_VALUE"""),"en")</f>
        <v>en</v>
      </c>
      <c r="B9288">
        <f>IFERROR(__xludf.DUMMYFUNCTION("""COMPUTED_VALUE"""),3808338.0)</f>
        <v>3808338</v>
      </c>
      <c r="C9288" t="str">
        <f>IFERROR(__xludf.DUMMYFUNCTION("""COMPUTED_VALUE"""),"RPG Shops &amp; Abilities:  Intermediate C# Game Coding")</f>
        <v>RPG Shops &amp; Abilities:  Intermediate C# Game Coding</v>
      </c>
    </row>
    <row r="9289">
      <c r="A9289" s="140" t="str">
        <f>IFERROR(__xludf.DUMMYFUNCTION("""COMPUTED_VALUE"""),"en")</f>
        <v>en</v>
      </c>
      <c r="B9289">
        <f>IFERROR(__xludf.DUMMYFUNCTION("""COMPUTED_VALUE"""),287474.0)</f>
        <v>287474</v>
      </c>
      <c r="C9289" t="str">
        <f>IFERROR(__xludf.DUMMYFUNCTION("""COMPUTED_VALUE"""),"Lean Project Management")</f>
        <v>Lean Project Management</v>
      </c>
    </row>
    <row r="9290">
      <c r="A9290" s="140" t="str">
        <f>IFERROR(__xludf.DUMMYFUNCTION("""COMPUTED_VALUE"""),"en")</f>
        <v>en</v>
      </c>
      <c r="B9290">
        <f>IFERROR(__xludf.DUMMYFUNCTION("""COMPUTED_VALUE"""),29942.0)</f>
        <v>29942</v>
      </c>
      <c r="C9290" t="str">
        <f>IFERROR(__xludf.DUMMYFUNCTION("""COMPUTED_VALUE"""),"Learn Adobe Dreamweaver CS6 - For Absolute Beginners")</f>
        <v>Learn Adobe Dreamweaver CS6 - For Absolute Beginners</v>
      </c>
    </row>
    <row r="9291">
      <c r="A9291" s="140" t="str">
        <f>IFERROR(__xludf.DUMMYFUNCTION("""COMPUTED_VALUE"""),"en")</f>
        <v>en</v>
      </c>
      <c r="B9291">
        <f>IFERROR(__xludf.DUMMYFUNCTION("""COMPUTED_VALUE"""),237128.0)</f>
        <v>237128</v>
      </c>
      <c r="C9291" t="str">
        <f>IFERROR(__xludf.DUMMYFUNCTION("""COMPUTED_VALUE"""),"The Complete ASP.Net Web Forms with ADO.Net From Scratch")</f>
        <v>The Complete ASP.Net Web Forms with ADO.Net From Scratch</v>
      </c>
    </row>
    <row r="9292">
      <c r="A9292" s="140" t="str">
        <f>IFERROR(__xludf.DUMMYFUNCTION("""COMPUTED_VALUE"""),"en")</f>
        <v>en</v>
      </c>
      <c r="B9292">
        <f>IFERROR(__xludf.DUMMYFUNCTION("""COMPUTED_VALUE"""),1149730.0)</f>
        <v>1149730</v>
      </c>
      <c r="C9292" t="str">
        <f>IFERROR(__xludf.DUMMYFUNCTION("""COMPUTED_VALUE"""),"Cisco ASA Firewall Fundamentals")</f>
        <v>Cisco ASA Firewall Fundamentals</v>
      </c>
    </row>
    <row r="9293">
      <c r="A9293" s="140" t="str">
        <f>IFERROR(__xludf.DUMMYFUNCTION("""COMPUTED_VALUE"""),"de")</f>
        <v>de</v>
      </c>
      <c r="B9293">
        <f>IFERROR(__xludf.DUMMYFUNCTION("""COMPUTED_VALUE"""),765138.0)</f>
        <v>765138</v>
      </c>
      <c r="C9293" t="str">
        <f>IFERROR(__xludf.DUMMYFUNCTION("""COMPUTED_VALUE"""),"Souverän reagieren lernen in 50 Minuten")</f>
        <v>Souverän reagieren lernen in 50 Minuten</v>
      </c>
    </row>
    <row r="9294">
      <c r="A9294" s="140" t="str">
        <f>IFERROR(__xludf.DUMMYFUNCTION("""COMPUTED_VALUE"""),"en")</f>
        <v>en</v>
      </c>
      <c r="B9294">
        <f>IFERROR(__xludf.DUMMYFUNCTION("""COMPUTED_VALUE"""),1223370.0)</f>
        <v>1223370</v>
      </c>
      <c r="C9294" t="str">
        <f>IFERROR(__xludf.DUMMYFUNCTION("""COMPUTED_VALUE"""),"Kotlin Android Development Masterclass")</f>
        <v>Kotlin Android Development Masterclass</v>
      </c>
    </row>
    <row r="9295">
      <c r="A9295" s="140" t="str">
        <f>IFERROR(__xludf.DUMMYFUNCTION("""COMPUTED_VALUE"""),"en")</f>
        <v>en</v>
      </c>
      <c r="B9295">
        <f>IFERROR(__xludf.DUMMYFUNCTION("""COMPUTED_VALUE"""),863126.0)</f>
        <v>863126</v>
      </c>
      <c r="C9295" t="str">
        <f>IFERROR(__xludf.DUMMYFUNCTION("""COMPUTED_VALUE"""),"Healthy Cooking Fundamentals")</f>
        <v>Healthy Cooking Fundamentals</v>
      </c>
    </row>
    <row r="9296">
      <c r="A9296" s="140" t="str">
        <f>IFERROR(__xludf.DUMMYFUNCTION("""COMPUTED_VALUE"""),"es")</f>
        <v>es</v>
      </c>
      <c r="B9296">
        <f>IFERROR(__xludf.DUMMYFUNCTION("""COMPUTED_VALUE"""),1656124.0)</f>
        <v>1656124</v>
      </c>
      <c r="C9296" t="str">
        <f>IFERROR(__xludf.DUMMYFUNCTION("""COMPUTED_VALUE"""),"Power BI Máster en poco tiempo - Desktop, Móvil y en la Nube")</f>
        <v>Power BI Máster en poco tiempo - Desktop, Móvil y en la Nube</v>
      </c>
    </row>
    <row r="9297">
      <c r="A9297" s="140" t="str">
        <f>IFERROR(__xludf.DUMMYFUNCTION("""COMPUTED_VALUE"""),"es")</f>
        <v>es</v>
      </c>
      <c r="B9297">
        <f>IFERROR(__xludf.DUMMYFUNCTION("""COMPUTED_VALUE"""),1440104.0)</f>
        <v>1440104</v>
      </c>
      <c r="C9297" t="str">
        <f>IFERROR(__xludf.DUMMYFUNCTION("""COMPUTED_VALUE"""),"Pfsense Firewall Fundamentals en Español")</f>
        <v>Pfsense Firewall Fundamentals en Español</v>
      </c>
    </row>
    <row r="9298">
      <c r="A9298" s="140" t="str">
        <f>IFERROR(__xludf.DUMMYFUNCTION("""COMPUTED_VALUE"""),"en")</f>
        <v>en</v>
      </c>
      <c r="B9298">
        <f>IFERROR(__xludf.DUMMYFUNCTION("""COMPUTED_VALUE"""),1326292.0)</f>
        <v>1326292</v>
      </c>
      <c r="C9298" t="str">
        <f>IFERROR(__xludf.DUMMYFUNCTION("""COMPUTED_VALUE"""),"Complete Guide to TensorFlow for Deep Learning with Python")</f>
        <v>Complete Guide to TensorFlow for Deep Learning with Python</v>
      </c>
    </row>
    <row r="9299">
      <c r="A9299" s="140" t="str">
        <f>IFERROR(__xludf.DUMMYFUNCTION("""COMPUTED_VALUE"""),"en")</f>
        <v>en</v>
      </c>
      <c r="B9299">
        <f>IFERROR(__xludf.DUMMYFUNCTION("""COMPUTED_VALUE"""),2244796.0)</f>
        <v>2244796</v>
      </c>
      <c r="C9299" t="str">
        <f>IFERROR(__xludf.DUMMYFUNCTION("""COMPUTED_VALUE"""),"The Ultimate Blender Low Poly Guide")</f>
        <v>The Ultimate Blender Low Poly Guide</v>
      </c>
    </row>
    <row r="9300">
      <c r="A9300" s="140" t="str">
        <f>IFERROR(__xludf.DUMMYFUNCTION("""COMPUTED_VALUE"""),"en")</f>
        <v>en</v>
      </c>
      <c r="B9300">
        <f>IFERROR(__xludf.DUMMYFUNCTION("""COMPUTED_VALUE"""),1877906.0)</f>
        <v>1877906</v>
      </c>
      <c r="C9300" t="str">
        <f>IFERROR(__xludf.DUMMYFUNCTION("""COMPUTED_VALUE"""),"How to make a Social Networking app -Android App Development")</f>
        <v>How to make a Social Networking app -Android App Development</v>
      </c>
    </row>
    <row r="9301">
      <c r="A9301" s="140" t="str">
        <f>IFERROR(__xludf.DUMMYFUNCTION("""COMPUTED_VALUE"""),"en")</f>
        <v>en</v>
      </c>
      <c r="B9301">
        <f>IFERROR(__xludf.DUMMYFUNCTION("""COMPUTED_VALUE"""),481148.0)</f>
        <v>481148</v>
      </c>
      <c r="C9301" t="str">
        <f>IFERROR(__xludf.DUMMYFUNCTION("""COMPUTED_VALUE"""),"Form Your Virtual Team &amp; Lead Your Virtual Team")</f>
        <v>Form Your Virtual Team &amp; Lead Your Virtual Team</v>
      </c>
    </row>
    <row r="9302">
      <c r="A9302" s="140" t="str">
        <f>IFERROR(__xludf.DUMMYFUNCTION("""COMPUTED_VALUE"""),"tr")</f>
        <v>tr</v>
      </c>
      <c r="B9302">
        <f>IFERROR(__xludf.DUMMYFUNCTION("""COMPUTED_VALUE"""),2805347.0)</f>
        <v>2805347</v>
      </c>
      <c r="C9302" t="str">
        <f>IFERROR(__xludf.DUMMYFUNCTION("""COMPUTED_VALUE"""),"Projelerle İleri Css ve Flexbox | 2021")</f>
        <v>Projelerle İleri Css ve Flexbox | 2021</v>
      </c>
    </row>
    <row r="9303">
      <c r="A9303" s="140" t="str">
        <f>IFERROR(__xludf.DUMMYFUNCTION("""COMPUTED_VALUE"""),"en")</f>
        <v>en</v>
      </c>
      <c r="B9303">
        <f>IFERROR(__xludf.DUMMYFUNCTION("""COMPUTED_VALUE"""),1008174.0)</f>
        <v>1008174</v>
      </c>
      <c r="C9303" t="str">
        <f>IFERROR(__xludf.DUMMYFUNCTION("""COMPUTED_VALUE"""),"Automation framework with Selenium Java (Advanced)")</f>
        <v>Automation framework with Selenium Java (Advanced)</v>
      </c>
    </row>
    <row r="9304">
      <c r="A9304" s="140" t="str">
        <f>IFERROR(__xludf.DUMMYFUNCTION("""COMPUTED_VALUE"""),"en")</f>
        <v>en</v>
      </c>
      <c r="B9304">
        <f>IFERROR(__xludf.DUMMYFUNCTION("""COMPUTED_VALUE"""),802116.0)</f>
        <v>802116</v>
      </c>
      <c r="C9304" t="str">
        <f>IFERROR(__xludf.DUMMYFUNCTION("""COMPUTED_VALUE"""),"Email Marketing 2021: Build and Launch Effective Campaigns")</f>
        <v>Email Marketing 2021: Build and Launch Effective Campaigns</v>
      </c>
    </row>
    <row r="9305">
      <c r="A9305" s="140" t="str">
        <f>IFERROR(__xludf.DUMMYFUNCTION("""COMPUTED_VALUE"""),"fr")</f>
        <v>fr</v>
      </c>
      <c r="B9305">
        <f>IFERROR(__xludf.DUMMYFUNCTION("""COMPUTED_VALUE"""),2467056.0)</f>
        <v>2467056</v>
      </c>
      <c r="C9305" t="str">
        <f>IFERROR(__xludf.DUMMYFUNCTION("""COMPUTED_VALUE"""),"Gestion de projet : devenez un chef de projet performant")</f>
        <v>Gestion de projet : devenez un chef de projet performant</v>
      </c>
    </row>
    <row r="9306">
      <c r="A9306" s="140" t="str">
        <f>IFERROR(__xludf.DUMMYFUNCTION("""COMPUTED_VALUE"""),"en")</f>
        <v>en</v>
      </c>
      <c r="B9306">
        <f>IFERROR(__xludf.DUMMYFUNCTION("""COMPUTED_VALUE"""),1895164.0)</f>
        <v>1895164</v>
      </c>
      <c r="C9306" t="str">
        <f>IFERROR(__xludf.DUMMYFUNCTION("""COMPUTED_VALUE"""),"Certified Lean Six Sigma Black Belt Training, BKO Accredited")</f>
        <v>Certified Lean Six Sigma Black Belt Training, BKO Accredited</v>
      </c>
    </row>
    <row r="9307">
      <c r="A9307" s="140" t="str">
        <f>IFERROR(__xludf.DUMMYFUNCTION("""COMPUTED_VALUE"""),"en")</f>
        <v>en</v>
      </c>
      <c r="B9307">
        <f>IFERROR(__xludf.DUMMYFUNCTION("""COMPUTED_VALUE"""),354186.0)</f>
        <v>354186</v>
      </c>
      <c r="C9307" t="str">
        <f>IFERROR(__xludf.DUMMYFUNCTION("""COMPUTED_VALUE"""),"Master Adobe Photoshop Elements 13 the Easy Way - 15 Hours")</f>
        <v>Master Adobe Photoshop Elements 13 the Easy Way - 15 Hours</v>
      </c>
    </row>
    <row r="9308">
      <c r="A9308" s="140" t="str">
        <f>IFERROR(__xludf.DUMMYFUNCTION("""COMPUTED_VALUE"""),"en")</f>
        <v>en</v>
      </c>
      <c r="B9308">
        <f>IFERROR(__xludf.DUMMYFUNCTION("""COMPUTED_VALUE"""),528440.0)</f>
        <v>528440</v>
      </c>
      <c r="C9308" t="str">
        <f>IFERROR(__xludf.DUMMYFUNCTION("""COMPUTED_VALUE"""),"Finance 101: Financial Skills for the Real World")</f>
        <v>Finance 101: Financial Skills for the Real World</v>
      </c>
    </row>
    <row r="9309">
      <c r="A9309" s="140" t="str">
        <f>IFERROR(__xludf.DUMMYFUNCTION("""COMPUTED_VALUE"""),"de")</f>
        <v>de</v>
      </c>
      <c r="B9309">
        <f>IFERROR(__xludf.DUMMYFUNCTION("""COMPUTED_VALUE"""),2098690.0)</f>
        <v>2098690</v>
      </c>
      <c r="C9309" t="str">
        <f>IFERROR(__xludf.DUMMYFUNCTION("""COMPUTED_VALUE"""),"Python für Computer Vision und Data Science mit OpenCV")</f>
        <v>Python für Computer Vision und Data Science mit OpenCV</v>
      </c>
    </row>
    <row r="9310">
      <c r="A9310" s="140" t="str">
        <f>IFERROR(__xludf.DUMMYFUNCTION("""COMPUTED_VALUE"""),"ar")</f>
        <v>ar</v>
      </c>
      <c r="B9310">
        <f>IFERROR(__xludf.DUMMYFUNCTION("""COMPUTED_VALUE"""),1821618.0)</f>
        <v>1821618</v>
      </c>
      <c r="C9310" t="str">
        <f>IFERROR(__xludf.DUMMYFUNCTION("""COMPUTED_VALUE"""),"The C++ Learning Guide")</f>
        <v>The C++ Learning Guide</v>
      </c>
    </row>
    <row r="9311">
      <c r="A9311" s="140" t="str">
        <f>IFERROR(__xludf.DUMMYFUNCTION("""COMPUTED_VALUE"""),"ar")</f>
        <v>ar</v>
      </c>
      <c r="B9311">
        <f>IFERROR(__xludf.DUMMYFUNCTION("""COMPUTED_VALUE"""),2886738.0)</f>
        <v>2886738</v>
      </c>
      <c r="C9311" t="str">
        <f>IFERROR(__xludf.DUMMYFUNCTION("""COMPUTED_VALUE"""),"كورس الاكسيل الشامل من البداية للاحتراف")</f>
        <v>كورس الاكسيل الشامل من البداية للاحتراف</v>
      </c>
    </row>
    <row r="9312">
      <c r="A9312" s="140" t="str">
        <f>IFERROR(__xludf.DUMMYFUNCTION("""COMPUTED_VALUE"""),"es")</f>
        <v>es</v>
      </c>
      <c r="B9312">
        <f>IFERROR(__xludf.DUMMYFUNCTION("""COMPUTED_VALUE"""),1759102.0)</f>
        <v>1759102</v>
      </c>
      <c r="C9312" t="str">
        <f>IFERROR(__xludf.DUMMYFUNCTION("""COMPUTED_VALUE"""),"Implementación de Servidores Linux (Módulo I)")</f>
        <v>Implementación de Servidores Linux (Módulo I)</v>
      </c>
    </row>
    <row r="9313">
      <c r="A9313" s="140" t="str">
        <f>IFERROR(__xludf.DUMMYFUNCTION("""COMPUTED_VALUE"""),"en")</f>
        <v>en</v>
      </c>
      <c r="B9313">
        <f>IFERROR(__xludf.DUMMYFUNCTION("""COMPUTED_VALUE"""),2618840.0)</f>
        <v>2618840</v>
      </c>
      <c r="C9313" t="str">
        <f>IFERROR(__xludf.DUMMYFUNCTION("""COMPUTED_VALUE"""),"Complete Salesforce LIGHTNING Certified Administrator-2021")</f>
        <v>Complete Salesforce LIGHTNING Certified Administrator-2021</v>
      </c>
    </row>
    <row r="9314">
      <c r="A9314" s="140" t="str">
        <f>IFERROR(__xludf.DUMMYFUNCTION("""COMPUTED_VALUE"""),"en")</f>
        <v>en</v>
      </c>
      <c r="B9314">
        <f>IFERROR(__xludf.DUMMYFUNCTION("""COMPUTED_VALUE"""),1334924.0)</f>
        <v>1334924</v>
      </c>
      <c r="C9314" t="str">
        <f>IFERROR(__xludf.DUMMYFUNCTION("""COMPUTED_VALUE"""),"CISSP EASY/MID questions #3 - ALL CISSP domains 250 Q - 2022")</f>
        <v>CISSP EASY/MID questions #3 - ALL CISSP domains 250 Q - 2022</v>
      </c>
    </row>
    <row r="9315">
      <c r="A9315" s="140" t="str">
        <f>IFERROR(__xludf.DUMMYFUNCTION("""COMPUTED_VALUE"""),"tr")</f>
        <v>tr</v>
      </c>
      <c r="B9315">
        <f>IFERROR(__xludf.DUMMYFUNCTION("""COMPUTED_VALUE"""),1760384.0)</f>
        <v>1760384</v>
      </c>
      <c r="C9315" t="str">
        <f>IFERROR(__xludf.DUMMYFUNCTION("""COMPUTED_VALUE"""),"İspanyolca'da Zamanlar - Türkler için İspanyolca 2")</f>
        <v>İspanyolca'da Zamanlar - Türkler için İspanyolca 2</v>
      </c>
    </row>
    <row r="9316">
      <c r="A9316" s="140" t="str">
        <f>IFERROR(__xludf.DUMMYFUNCTION("""COMPUTED_VALUE"""),"de")</f>
        <v>de</v>
      </c>
      <c r="B9316">
        <f>IFERROR(__xludf.DUMMYFUNCTION("""COMPUTED_VALUE"""),2293259.0)</f>
        <v>2293259</v>
      </c>
      <c r="C9316" t="str">
        <f>IFERROR(__xludf.DUMMYFUNCTION("""COMPUTED_VALUE"""),"Einführung in Power Pivot")</f>
        <v>Einführung in Power Pivot</v>
      </c>
    </row>
    <row r="9317">
      <c r="A9317" s="140" t="str">
        <f>IFERROR(__xludf.DUMMYFUNCTION("""COMPUTED_VALUE"""),"ja")</f>
        <v>ja</v>
      </c>
      <c r="B9317">
        <f>IFERROR(__xludf.DUMMYFUNCTION("""COMPUTED_VALUE"""),2766948.0)</f>
        <v>2766948</v>
      </c>
      <c r="C9317" t="str">
        <f>IFERROR(__xludf.DUMMYFUNCTION("""COMPUTED_VALUE"""),"【続】Microsoft Power BI Desktop - 入門講座 ～予算実績比較編～")</f>
        <v>【続】Microsoft Power BI Desktop - 入門講座 ～予算実績比較編～</v>
      </c>
    </row>
    <row r="9318">
      <c r="A9318" s="140" t="str">
        <f>IFERROR(__xludf.DUMMYFUNCTION("""COMPUTED_VALUE"""),"en")</f>
        <v>en</v>
      </c>
      <c r="B9318">
        <f>IFERROR(__xludf.DUMMYFUNCTION("""COMPUTED_VALUE"""),1928352.0)</f>
        <v>1928352</v>
      </c>
      <c r="C9318" t="str">
        <f>IFERROR(__xludf.DUMMYFUNCTION("""COMPUTED_VALUE"""),"PMI-ACP Practice Exam")</f>
        <v>PMI-ACP Practice Exam</v>
      </c>
    </row>
    <row r="9319">
      <c r="A9319" s="140" t="str">
        <f>IFERROR(__xludf.DUMMYFUNCTION("""COMPUTED_VALUE"""),"en")</f>
        <v>en</v>
      </c>
      <c r="B9319">
        <f>IFERROR(__xludf.DUMMYFUNCTION("""COMPUTED_VALUE"""),3509676.0)</f>
        <v>3509676</v>
      </c>
      <c r="C9319" t="str">
        <f>IFERROR(__xludf.DUMMYFUNCTION("""COMPUTED_VALUE"""),"Zoom Crash Course - Clear, Simple, and Concise for Beginners")</f>
        <v>Zoom Crash Course - Clear, Simple, and Concise for Beginners</v>
      </c>
    </row>
    <row r="9320">
      <c r="A9320" s="140" t="str">
        <f>IFERROR(__xludf.DUMMYFUNCTION("""COMPUTED_VALUE"""),"fr")</f>
        <v>fr</v>
      </c>
      <c r="B9320">
        <f>IFERROR(__xludf.DUMMYFUNCTION("""COMPUTED_VALUE"""),1028768.0)</f>
        <v>1028768</v>
      </c>
      <c r="C9320" t="str">
        <f>IFERROR(__xludf.DUMMYFUNCTION("""COMPUTED_VALUE"""),"APPRENEZ À APPRENDRE VITE ET BIEN : méthode TOP CHRONO")</f>
        <v>APPRENEZ À APPRENDRE VITE ET BIEN : méthode TOP CHRONO</v>
      </c>
    </row>
    <row r="9321">
      <c r="A9321" s="140" t="str">
        <f>IFERROR(__xludf.DUMMYFUNCTION("""COMPUTED_VALUE"""),"en")</f>
        <v>en</v>
      </c>
      <c r="B9321">
        <f>IFERROR(__xludf.DUMMYFUNCTION("""COMPUTED_VALUE"""),222628.0)</f>
        <v>222628</v>
      </c>
      <c r="C9321" t="str">
        <f>IFERROR(__xludf.DUMMYFUNCTION("""COMPUTED_VALUE"""),"Java/Apache Maven: Stop Building Java Programs the Hard Way!")</f>
        <v>Java/Apache Maven: Stop Building Java Programs the Hard Way!</v>
      </c>
    </row>
    <row r="9322">
      <c r="A9322" s="140" t="str">
        <f>IFERROR(__xludf.DUMMYFUNCTION("""COMPUTED_VALUE"""),"tr")</f>
        <v>tr</v>
      </c>
      <c r="B9322">
        <f>IFERROR(__xludf.DUMMYFUNCTION("""COMPUTED_VALUE"""),2502254.0)</f>
        <v>2502254</v>
      </c>
      <c r="C9322" t="str">
        <f>IFERROR(__xludf.DUMMYFUNCTION("""COMPUTED_VALUE"""),"Sıfırdan En ince Ayarlarına Kadar Profesyonel Wordpress Site")</f>
        <v>Sıfırdan En ince Ayarlarına Kadar Profesyonel Wordpress Site</v>
      </c>
    </row>
    <row r="9323">
      <c r="A9323" s="140" t="str">
        <f>IFERROR(__xludf.DUMMYFUNCTION("""COMPUTED_VALUE"""),"es")</f>
        <v>es</v>
      </c>
      <c r="B9323">
        <f>IFERROR(__xludf.DUMMYFUNCTION("""COMPUTED_VALUE"""),1890922.0)</f>
        <v>1890922</v>
      </c>
      <c r="C9323" t="str">
        <f>IFERROR(__xludf.DUMMYFUNCTION("""COMPUTED_VALUE"""),"UX: Máster en Diseño web y Experiencia de Usuario")</f>
        <v>UX: Máster en Diseño web y Experiencia de Usuario</v>
      </c>
    </row>
    <row r="9324">
      <c r="A9324" s="140" t="str">
        <f>IFERROR(__xludf.DUMMYFUNCTION("""COMPUTED_VALUE"""),"en")</f>
        <v>en</v>
      </c>
      <c r="B9324">
        <f>IFERROR(__xludf.DUMMYFUNCTION("""COMPUTED_VALUE"""),1141776.0)</f>
        <v>1141776</v>
      </c>
      <c r="C9324" t="str">
        <f>IFERROR(__xludf.DUMMYFUNCTION("""COMPUTED_VALUE"""),"Spanish Made Simple: Advanced Spanish")</f>
        <v>Spanish Made Simple: Advanced Spanish</v>
      </c>
    </row>
    <row r="9325">
      <c r="A9325" s="140" t="str">
        <f>IFERROR(__xludf.DUMMYFUNCTION("""COMPUTED_VALUE"""),"en")</f>
        <v>en</v>
      </c>
      <c r="B9325">
        <f>IFERROR(__xludf.DUMMYFUNCTION("""COMPUTED_VALUE"""),1327744.0)</f>
        <v>1327744</v>
      </c>
      <c r="C9325" t="str">
        <f>IFERROR(__xludf.DUMMYFUNCTION("""COMPUTED_VALUE"""),"Complete Oracle ADF 12c Course for Beginners (step-by-step)")</f>
        <v>Complete Oracle ADF 12c Course for Beginners (step-by-step)</v>
      </c>
    </row>
    <row r="9326">
      <c r="A9326" s="140" t="str">
        <f>IFERROR(__xludf.DUMMYFUNCTION("""COMPUTED_VALUE"""),"en")</f>
        <v>en</v>
      </c>
      <c r="B9326">
        <f>IFERROR(__xludf.DUMMYFUNCTION("""COMPUTED_VALUE"""),359550.0)</f>
        <v>359550</v>
      </c>
      <c r="C9326" t="str">
        <f>IFERROR(__xludf.DUMMYFUNCTION("""COMPUTED_VALUE"""),"Master Object Oriented Design in Java - Homework + Solutions")</f>
        <v>Master Object Oriented Design in Java - Homework + Solutions</v>
      </c>
    </row>
    <row r="9327">
      <c r="A9327" s="140" t="str">
        <f>IFERROR(__xludf.DUMMYFUNCTION("""COMPUTED_VALUE"""),"en")</f>
        <v>en</v>
      </c>
      <c r="B9327">
        <f>IFERROR(__xludf.DUMMYFUNCTION("""COMPUTED_VALUE"""),778280.0)</f>
        <v>778280</v>
      </c>
      <c r="C9327" t="str">
        <f>IFERROR(__xludf.DUMMYFUNCTION("""COMPUTED_VALUE"""),"C# Intermediate Programming : The Next Steps")</f>
        <v>C# Intermediate Programming : The Next Steps</v>
      </c>
    </row>
    <row r="9328">
      <c r="A9328" s="140" t="str">
        <f>IFERROR(__xludf.DUMMYFUNCTION("""COMPUTED_VALUE"""),"zh")</f>
        <v>zh</v>
      </c>
      <c r="B9328">
        <f>IFERROR(__xludf.DUMMYFUNCTION("""COMPUTED_VALUE"""),1816584.0)</f>
        <v>1816584</v>
      </c>
      <c r="C9328" t="str">
        <f>IFERROR(__xludf.DUMMYFUNCTION("""COMPUTED_VALUE"""),"学会如何搭建动态Web网站")</f>
        <v>学会如何搭建动态Web网站</v>
      </c>
    </row>
    <row r="9329">
      <c r="A9329" s="140" t="str">
        <f>IFERROR(__xludf.DUMMYFUNCTION("""COMPUTED_VALUE"""),"en")</f>
        <v>en</v>
      </c>
      <c r="B9329">
        <f>IFERROR(__xludf.DUMMYFUNCTION("""COMPUTED_VALUE"""),1642176.0)</f>
        <v>1642176</v>
      </c>
      <c r="C9329" t="str">
        <f>IFERROR(__xludf.DUMMYFUNCTION("""COMPUTED_VALUE"""),"TOTAL: Active Directory with Windows Server 2016")</f>
        <v>TOTAL: Active Directory with Windows Server 2016</v>
      </c>
    </row>
    <row r="9330">
      <c r="A9330" s="140" t="str">
        <f>IFERROR(__xludf.DUMMYFUNCTION("""COMPUTED_VALUE"""),"en")</f>
        <v>en</v>
      </c>
      <c r="B9330">
        <f>IFERROR(__xludf.DUMMYFUNCTION("""COMPUTED_VALUE"""),1187210.0)</f>
        <v>1187210</v>
      </c>
      <c r="C9330" t="str">
        <f>IFERROR(__xludf.DUMMYFUNCTION("""COMPUTED_VALUE"""),"Learning Pentaho - From PDI to Full Dashboard")</f>
        <v>Learning Pentaho - From PDI to Full Dashboard</v>
      </c>
    </row>
    <row r="9331">
      <c r="A9331" s="140" t="str">
        <f>IFERROR(__xludf.DUMMYFUNCTION("""COMPUTED_VALUE"""),"pt")</f>
        <v>pt</v>
      </c>
      <c r="B9331">
        <f>IFERROR(__xludf.DUMMYFUNCTION("""COMPUTED_VALUE"""),870252.0)</f>
        <v>870252</v>
      </c>
      <c r="C9331" t="str">
        <f>IFERROR(__xludf.DUMMYFUNCTION("""COMPUTED_VALUE"""),"Java 2021 COMPLETO: Do Zero ao Profissional + Projetos!")</f>
        <v>Java 2021 COMPLETO: Do Zero ao Profissional + Projetos!</v>
      </c>
    </row>
    <row r="9332">
      <c r="A9332" s="140" t="str">
        <f>IFERROR(__xludf.DUMMYFUNCTION("""COMPUTED_VALUE"""),"en")</f>
        <v>en</v>
      </c>
      <c r="B9332">
        <f>IFERROR(__xludf.DUMMYFUNCTION("""COMPUTED_VALUE"""),2215064.0)</f>
        <v>2215064</v>
      </c>
      <c r="C9332" t="str">
        <f>IFERROR(__xludf.DUMMYFUNCTION("""COMPUTED_VALUE"""),"The Essential Guide for Effective Managers")</f>
        <v>The Essential Guide for Effective Managers</v>
      </c>
    </row>
    <row r="9333">
      <c r="A9333" s="140" t="str">
        <f>IFERROR(__xludf.DUMMYFUNCTION("""COMPUTED_VALUE"""),"es")</f>
        <v>es</v>
      </c>
      <c r="B9333">
        <f>IFERROR(__xludf.DUMMYFUNCTION("""COMPUTED_VALUE"""),900338.0)</f>
        <v>900338</v>
      </c>
      <c r="C9333" t="str">
        <f>IFERROR(__xludf.DUMMYFUNCTION("""COMPUTED_VALUE"""),"Esculpido Orgánico Digital con ZBrush")</f>
        <v>Esculpido Orgánico Digital con ZBrush</v>
      </c>
    </row>
    <row r="9334">
      <c r="A9334" s="140" t="str">
        <f>IFERROR(__xludf.DUMMYFUNCTION("""COMPUTED_VALUE"""),"en")</f>
        <v>en</v>
      </c>
      <c r="B9334">
        <f>IFERROR(__xludf.DUMMYFUNCTION("""COMPUTED_VALUE"""),3294444.0)</f>
        <v>3294444</v>
      </c>
      <c r="C9334" t="str">
        <f>IFERROR(__xludf.DUMMYFUNCTION("""COMPUTED_VALUE"""),"Reverse Engineering 3: x64dbg Graphical Static Analysis")</f>
        <v>Reverse Engineering 3: x64dbg Graphical Static Analysis</v>
      </c>
    </row>
    <row r="9335">
      <c r="A9335" s="140" t="str">
        <f>IFERROR(__xludf.DUMMYFUNCTION("""COMPUTED_VALUE"""),"en")</f>
        <v>en</v>
      </c>
      <c r="B9335">
        <f>IFERROR(__xludf.DUMMYFUNCTION("""COMPUTED_VALUE"""),3573825.0)</f>
        <v>3573825</v>
      </c>
      <c r="C9335" t="str">
        <f>IFERROR(__xludf.DUMMYFUNCTION("""COMPUTED_VALUE"""),"Snowflake SnowPro Core Certification Exam Practice Sets")</f>
        <v>Snowflake SnowPro Core Certification Exam Practice Sets</v>
      </c>
    </row>
    <row r="9336">
      <c r="A9336" s="140" t="str">
        <f>IFERROR(__xludf.DUMMYFUNCTION("""COMPUTED_VALUE"""),"en")</f>
        <v>en</v>
      </c>
      <c r="B9336">
        <f>IFERROR(__xludf.DUMMYFUNCTION("""COMPUTED_VALUE"""),3018838.0)</f>
        <v>3018838</v>
      </c>
      <c r="C9336" t="str">
        <f>IFERROR(__xludf.DUMMYFUNCTION("""COMPUTED_VALUE"""),"Hadoop Administration: An easy way to become a Hadoop Admin")</f>
        <v>Hadoop Administration: An easy way to become a Hadoop Admin</v>
      </c>
    </row>
    <row r="9337">
      <c r="A9337" s="140" t="str">
        <f>IFERROR(__xludf.DUMMYFUNCTION("""COMPUTED_VALUE"""),"en")</f>
        <v>en</v>
      </c>
      <c r="B9337">
        <f>IFERROR(__xludf.DUMMYFUNCTION("""COMPUTED_VALUE"""),3736782.0)</f>
        <v>3736782</v>
      </c>
      <c r="C9337" t="str">
        <f>IFERROR(__xludf.DUMMYFUNCTION("""COMPUTED_VALUE"""),"End to End Test Automation with Playwright (JS/TS/C#/Java)")</f>
        <v>End to End Test Automation with Playwright (JS/TS/C#/Java)</v>
      </c>
    </row>
    <row r="9338">
      <c r="A9338" s="140" t="str">
        <f>IFERROR(__xludf.DUMMYFUNCTION("""COMPUTED_VALUE"""),"pt")</f>
        <v>pt</v>
      </c>
      <c r="B9338">
        <f>IFERROR(__xludf.DUMMYFUNCTION("""COMPUTED_VALUE"""),1694356.0)</f>
        <v>1694356</v>
      </c>
      <c r="C9338" t="str">
        <f>IFERROR(__xludf.DUMMYFUNCTION("""COMPUTED_VALUE"""),"Pricing . Gestão Estratégica de Preços")</f>
        <v>Pricing . Gestão Estratégica de Preços</v>
      </c>
    </row>
    <row r="9339">
      <c r="A9339" s="140" t="str">
        <f>IFERROR(__xludf.DUMMYFUNCTION("""COMPUTED_VALUE"""),"en")</f>
        <v>en</v>
      </c>
      <c r="B9339">
        <f>IFERROR(__xludf.DUMMYFUNCTION("""COMPUTED_VALUE"""),594926.0)</f>
        <v>594926</v>
      </c>
      <c r="C9339" t="str">
        <f>IFERROR(__xludf.DUMMYFUNCTION("""COMPUTED_VALUE"""),"Siemens NX 10 Essential Training")</f>
        <v>Siemens NX 10 Essential Training</v>
      </c>
    </row>
    <row r="9340">
      <c r="A9340" s="140" t="str">
        <f>IFERROR(__xludf.DUMMYFUNCTION("""COMPUTED_VALUE"""),"es")</f>
        <v>es</v>
      </c>
      <c r="B9340">
        <f>IFERROR(__xludf.DUMMYFUNCTION("""COMPUTED_VALUE"""),3105886.0)</f>
        <v>3105886</v>
      </c>
      <c r="C9340" t="str">
        <f>IFERROR(__xludf.DUMMYFUNCTION("""COMPUTED_VALUE"""),"WhatsApp Analytica &amp; Minería de Texto con R &amp; Power BI")</f>
        <v>WhatsApp Analytica &amp; Minería de Texto con R &amp; Power BI</v>
      </c>
    </row>
    <row r="9341">
      <c r="A9341" s="140" t="str">
        <f>IFERROR(__xludf.DUMMYFUNCTION("""COMPUTED_VALUE"""),"es")</f>
        <v>es</v>
      </c>
      <c r="B9341">
        <f>IFERROR(__xludf.DUMMYFUNCTION("""COMPUTED_VALUE"""),1234270.0)</f>
        <v>1234270</v>
      </c>
      <c r="C9341" t="str">
        <f>IFERROR(__xludf.DUMMYFUNCTION("""COMPUTED_VALUE"""),"7 Secretos de un CEO para tu nuevo puesto")</f>
        <v>7 Secretos de un CEO para tu nuevo puesto</v>
      </c>
    </row>
    <row r="9342">
      <c r="A9342" s="140" t="str">
        <f>IFERROR(__xludf.DUMMYFUNCTION("""COMPUTED_VALUE"""),"en")</f>
        <v>en</v>
      </c>
      <c r="B9342">
        <f>IFERROR(__xludf.DUMMYFUNCTION("""COMPUTED_VALUE"""),244692.0)</f>
        <v>244692</v>
      </c>
      <c r="C9342" t="str">
        <f>IFERROR(__xludf.DUMMYFUNCTION("""COMPUTED_VALUE"""),"Statistics / Data Analysis: Survey Data and Likert Scales")</f>
        <v>Statistics / Data Analysis: Survey Data and Likert Scales</v>
      </c>
    </row>
    <row r="9343">
      <c r="A9343" s="140" t="str">
        <f>IFERROR(__xludf.DUMMYFUNCTION("""COMPUTED_VALUE"""),"pt")</f>
        <v>pt</v>
      </c>
      <c r="B9343">
        <f>IFERROR(__xludf.DUMMYFUNCTION("""COMPUTED_VALUE"""),1917570.0)</f>
        <v>1917570</v>
      </c>
      <c r="C9343" t="str">
        <f>IFERROR(__xludf.DUMMYFUNCTION("""COMPUTED_VALUE"""),"Criando um jogo de Plataforma 2D na Unity")</f>
        <v>Criando um jogo de Plataforma 2D na Unity</v>
      </c>
    </row>
    <row r="9344">
      <c r="A9344" s="140" t="str">
        <f>IFERROR(__xludf.DUMMYFUNCTION("""COMPUTED_VALUE"""),"en")</f>
        <v>en</v>
      </c>
      <c r="B9344">
        <f>IFERROR(__xludf.DUMMYFUNCTION("""COMPUTED_VALUE"""),3280874.0)</f>
        <v>3280874</v>
      </c>
      <c r="C9344" t="str">
        <f>IFERROR(__xludf.DUMMYFUNCTION("""COMPUTED_VALUE"""),"Complete Katalon Studio 2020 for Web + API Test Automation")</f>
        <v>Complete Katalon Studio 2020 for Web + API Test Automation</v>
      </c>
    </row>
    <row r="9345">
      <c r="A9345" s="140" t="str">
        <f>IFERROR(__xludf.DUMMYFUNCTION("""COMPUTED_VALUE"""),"de")</f>
        <v>de</v>
      </c>
      <c r="B9345">
        <f>IFERROR(__xludf.DUMMYFUNCTION("""COMPUTED_VALUE"""),958608.0)</f>
        <v>958608</v>
      </c>
      <c r="C9345" t="str">
        <f>IFERROR(__xludf.DUMMYFUNCTION("""COMPUTED_VALUE"""),"IPv4-Subnetting - vom Anfänger zum Profi")</f>
        <v>IPv4-Subnetting - vom Anfänger zum Profi</v>
      </c>
    </row>
    <row r="9346">
      <c r="A9346" s="140" t="str">
        <f>IFERROR(__xludf.DUMMYFUNCTION("""COMPUTED_VALUE"""),"tr")</f>
        <v>tr</v>
      </c>
      <c r="B9346">
        <f>IFERROR(__xludf.DUMMYFUNCTION("""COMPUTED_VALUE"""),1850720.0)</f>
        <v>1850720</v>
      </c>
      <c r="C9346" t="str">
        <f>IFERROR(__xludf.DUMMYFUNCTION("""COMPUTED_VALUE"""),"Temel Network Eğitimi")</f>
        <v>Temel Network Eğitimi</v>
      </c>
    </row>
    <row r="9347">
      <c r="A9347" s="140" t="str">
        <f>IFERROR(__xludf.DUMMYFUNCTION("""COMPUTED_VALUE"""),"en")</f>
        <v>en</v>
      </c>
      <c r="B9347">
        <f>IFERROR(__xludf.DUMMYFUNCTION("""COMPUTED_VALUE"""),2643626.0)</f>
        <v>2643626</v>
      </c>
      <c r="C9347" t="str">
        <f>IFERROR(__xludf.DUMMYFUNCTION("""COMPUTED_VALUE"""),"Cisco SD-WAN (Viptela) with Lab Access")</f>
        <v>Cisco SD-WAN (Viptela) with Lab Access</v>
      </c>
    </row>
    <row r="9348">
      <c r="A9348" s="140" t="str">
        <f>IFERROR(__xludf.DUMMYFUNCTION("""COMPUTED_VALUE"""),"en")</f>
        <v>en</v>
      </c>
      <c r="B9348">
        <f>IFERROR(__xludf.DUMMYFUNCTION("""COMPUTED_VALUE"""),698266.0)</f>
        <v>698266</v>
      </c>
      <c r="C9348" t="str">
        <f>IFERROR(__xludf.DUMMYFUNCTION("""COMPUTED_VALUE"""),"Introduction to Windows Server 2012 &amp; Linux for Beginners")</f>
        <v>Introduction to Windows Server 2012 &amp; Linux for Beginners</v>
      </c>
    </row>
    <row r="9349">
      <c r="A9349" s="140" t="str">
        <f>IFERROR(__xludf.DUMMYFUNCTION("""COMPUTED_VALUE"""),"en")</f>
        <v>en</v>
      </c>
      <c r="B9349">
        <f>IFERROR(__xludf.DUMMYFUNCTION("""COMPUTED_VALUE"""),2631848.0)</f>
        <v>2631848</v>
      </c>
      <c r="C9349" t="str">
        <f>IFERROR(__xludf.DUMMYFUNCTION("""COMPUTED_VALUE"""),"Python 3 Programming A Step By Step Guide for Beginners")</f>
        <v>Python 3 Programming A Step By Step Guide for Beginners</v>
      </c>
    </row>
    <row r="9350">
      <c r="A9350" s="140" t="str">
        <f>IFERROR(__xludf.DUMMYFUNCTION("""COMPUTED_VALUE"""),"en")</f>
        <v>en</v>
      </c>
      <c r="B9350">
        <f>IFERROR(__xludf.DUMMYFUNCTION("""COMPUTED_VALUE"""),2776402.0)</f>
        <v>2776402</v>
      </c>
      <c r="C9350" t="str">
        <f>IFERROR(__xludf.DUMMYFUNCTION("""COMPUTED_VALUE"""),"Exploring Spatial Information using ArcGIS Pro")</f>
        <v>Exploring Spatial Information using ArcGIS Pro</v>
      </c>
    </row>
    <row r="9351">
      <c r="A9351" s="140" t="str">
        <f>IFERROR(__xludf.DUMMYFUNCTION("""COMPUTED_VALUE"""),"es")</f>
        <v>es</v>
      </c>
      <c r="B9351">
        <f>IFERROR(__xludf.DUMMYFUNCTION("""COMPUTED_VALUE"""),3614402.0)</f>
        <v>3614402</v>
      </c>
      <c r="C9351" t="str">
        <f>IFERROR(__xludf.DUMMYFUNCTION("""COMPUTED_VALUE"""),"Probabilidad y Estadística aplicada a Data Science y Empresa")</f>
        <v>Probabilidad y Estadística aplicada a Data Science y Empresa</v>
      </c>
    </row>
    <row r="9352">
      <c r="A9352" s="140" t="str">
        <f>IFERROR(__xludf.DUMMYFUNCTION("""COMPUTED_VALUE"""),"es")</f>
        <v>es</v>
      </c>
      <c r="B9352">
        <f>IFERROR(__xludf.DUMMYFUNCTION("""COMPUTED_VALUE"""),3704788.0)</f>
        <v>3704788</v>
      </c>
      <c r="C9352" t="str">
        <f>IFERROR(__xludf.DUMMYFUNCTION("""COMPUTED_VALUE"""),"NLP. Procesamiento del lenguaje natural con NLP y Python")</f>
        <v>NLP. Procesamiento del lenguaje natural con NLP y Python</v>
      </c>
    </row>
    <row r="9353">
      <c r="A9353" s="140" t="str">
        <f>IFERROR(__xludf.DUMMYFUNCTION("""COMPUTED_VALUE"""),"en")</f>
        <v>en</v>
      </c>
      <c r="B9353">
        <f>IFERROR(__xludf.DUMMYFUNCTION("""COMPUTED_VALUE"""),536488.0)</f>
        <v>536488</v>
      </c>
      <c r="C9353" t="str">
        <f>IFERROR(__xludf.DUMMYFUNCTION("""COMPUTED_VALUE"""),"SAP® Netweaver Gateway - Basics, Architecture and CRUD oData")</f>
        <v>SAP® Netweaver Gateway - Basics, Architecture and CRUD oData</v>
      </c>
    </row>
    <row r="9354">
      <c r="A9354" s="140" t="str">
        <f>IFERROR(__xludf.DUMMYFUNCTION("""COMPUTED_VALUE"""),"en")</f>
        <v>en</v>
      </c>
      <c r="B9354">
        <f>IFERROR(__xludf.DUMMYFUNCTION("""COMPUTED_VALUE"""),1547104.0)</f>
        <v>1547104</v>
      </c>
      <c r="C9354" t="str">
        <f>IFERROR(__xludf.DUMMYFUNCTION("""COMPUTED_VALUE"""),"How to create a Slack bot to automate tasks for you")</f>
        <v>How to create a Slack bot to automate tasks for you</v>
      </c>
    </row>
    <row r="9355">
      <c r="A9355" s="140" t="str">
        <f>IFERROR(__xludf.DUMMYFUNCTION("""COMPUTED_VALUE"""),"en")</f>
        <v>en</v>
      </c>
      <c r="B9355">
        <f>IFERROR(__xludf.DUMMYFUNCTION("""COMPUTED_VALUE"""),1119030.0)</f>
        <v>1119030</v>
      </c>
      <c r="C9355" t="str">
        <f>IFERROR(__xludf.DUMMYFUNCTION("""COMPUTED_VALUE"""),"Citrix Application and Desktop Virtualization - 7.6")</f>
        <v>Citrix Application and Desktop Virtualization - 7.6</v>
      </c>
    </row>
    <row r="9356">
      <c r="A9356" s="140" t="str">
        <f>IFERROR(__xludf.DUMMYFUNCTION("""COMPUTED_VALUE"""),"ja")</f>
        <v>ja</v>
      </c>
      <c r="B9356">
        <f>IFERROR(__xludf.DUMMYFUNCTION("""COMPUTED_VALUE"""),3812004.0)</f>
        <v>3812004</v>
      </c>
      <c r="C9356" t="str">
        <f>IFERROR(__xludf.DUMMYFUNCTION("""COMPUTED_VALUE"""),"【経営判断力を高める！】いちばんわかりやすい「戦略的意思決定」マスター講座")</f>
        <v>【経営判断力を高める！】いちばんわかりやすい「戦略的意思決定」マスター講座</v>
      </c>
    </row>
    <row r="9357">
      <c r="A9357" s="140" t="str">
        <f>IFERROR(__xludf.DUMMYFUNCTION("""COMPUTED_VALUE"""),"de")</f>
        <v>de</v>
      </c>
      <c r="B9357">
        <f>IFERROR(__xludf.DUMMYFUNCTION("""COMPUTED_VALUE"""),911286.0)</f>
        <v>911286</v>
      </c>
      <c r="C9357" t="str">
        <f>IFERROR(__xludf.DUMMYFUNCTION("""COMPUTED_VALUE"""),"Wertschätzende Führung")</f>
        <v>Wertschätzende Führung</v>
      </c>
    </row>
    <row r="9358">
      <c r="A9358" s="140" t="str">
        <f>IFERROR(__xludf.DUMMYFUNCTION("""COMPUTED_VALUE"""),"es")</f>
        <v>es</v>
      </c>
      <c r="B9358">
        <f>IFERROR(__xludf.DUMMYFUNCTION("""COMPUTED_VALUE"""),1350012.0)</f>
        <v>1350012</v>
      </c>
      <c r="C9358" t="str">
        <f>IFERROR(__xludf.DUMMYFUNCTION("""COMPUTED_VALUE"""),"Entrenamiento para la Certificación de Red Hat RHCE")</f>
        <v>Entrenamiento para la Certificación de Red Hat RHCE</v>
      </c>
    </row>
    <row r="9359">
      <c r="A9359" s="140" t="str">
        <f>IFERROR(__xludf.DUMMYFUNCTION("""COMPUTED_VALUE"""),"en")</f>
        <v>en</v>
      </c>
      <c r="B9359">
        <f>IFERROR(__xludf.DUMMYFUNCTION("""COMPUTED_VALUE"""),3492150.0)</f>
        <v>3492150</v>
      </c>
      <c r="C9359" t="str">
        <f>IFERROR(__xludf.DUMMYFUNCTION("""COMPUTED_VALUE"""),"AZ-400 Designing and Implementing DevOps Certification 2021")</f>
        <v>AZ-400 Designing and Implementing DevOps Certification 2021</v>
      </c>
    </row>
    <row r="9360">
      <c r="A9360" s="140" t="str">
        <f>IFERROR(__xludf.DUMMYFUNCTION("""COMPUTED_VALUE"""),"en")</f>
        <v>en</v>
      </c>
      <c r="B9360">
        <f>IFERROR(__xludf.DUMMYFUNCTION("""COMPUTED_VALUE"""),1115442.0)</f>
        <v>1115442</v>
      </c>
      <c r="C9360" t="str">
        <f>IFERROR(__xludf.DUMMYFUNCTION("""COMPUTED_VALUE"""),"The Complete Google AdWords Course 2021: Beginner to Expert!")</f>
        <v>The Complete Google AdWords Course 2021: Beginner to Expert!</v>
      </c>
    </row>
    <row r="9361">
      <c r="A9361" s="140" t="str">
        <f>IFERROR(__xludf.DUMMYFUNCTION("""COMPUTED_VALUE"""),"en")</f>
        <v>en</v>
      </c>
      <c r="B9361">
        <f>IFERROR(__xludf.DUMMYFUNCTION("""COMPUTED_VALUE"""),469292.0)</f>
        <v>469292</v>
      </c>
      <c r="C9361" t="str">
        <f>IFERROR(__xludf.DUMMYFUNCTION("""COMPUTED_VALUE"""),"Algorithms and Data Structures in Python (INTERVIEW Q&amp;A)")</f>
        <v>Algorithms and Data Structures in Python (INTERVIEW Q&amp;A)</v>
      </c>
    </row>
    <row r="9362">
      <c r="A9362" s="140" t="str">
        <f>IFERROR(__xludf.DUMMYFUNCTION("""COMPUTED_VALUE"""),"en")</f>
        <v>en</v>
      </c>
      <c r="B9362">
        <f>IFERROR(__xludf.DUMMYFUNCTION("""COMPUTED_VALUE"""),1496348.0)</f>
        <v>1496348</v>
      </c>
      <c r="C9362" t="str">
        <f>IFERROR(__xludf.DUMMYFUNCTION("""COMPUTED_VALUE"""),"Unit Testing for C# Developers")</f>
        <v>Unit Testing for C# Developers</v>
      </c>
    </row>
    <row r="9363">
      <c r="A9363" s="140" t="str">
        <f>IFERROR(__xludf.DUMMYFUNCTION("""COMPUTED_VALUE"""),"en")</f>
        <v>en</v>
      </c>
      <c r="B9363">
        <f>IFERROR(__xludf.DUMMYFUNCTION("""COMPUTED_VALUE"""),3426102.0)</f>
        <v>3426102</v>
      </c>
      <c r="C9363" t="str">
        <f>IFERROR(__xludf.DUMMYFUNCTION("""COMPUTED_VALUE"""),"SAP OData Services (Easiest and simplest way to learn)")</f>
        <v>SAP OData Services (Easiest and simplest way to learn)</v>
      </c>
    </row>
    <row r="9364">
      <c r="A9364" s="140" t="str">
        <f>IFERROR(__xludf.DUMMYFUNCTION("""COMPUTED_VALUE"""),"en")</f>
        <v>en</v>
      </c>
      <c r="B9364">
        <f>IFERROR(__xludf.DUMMYFUNCTION("""COMPUTED_VALUE"""),536482.0)</f>
        <v>536482</v>
      </c>
      <c r="C9364" t="str">
        <f>IFERROR(__xludf.DUMMYFUNCTION("""COMPUTED_VALUE"""),"Security Awareness Training")</f>
        <v>Security Awareness Training</v>
      </c>
    </row>
    <row r="9365">
      <c r="A9365" s="140" t="str">
        <f>IFERROR(__xludf.DUMMYFUNCTION("""COMPUTED_VALUE"""),"en")</f>
        <v>en</v>
      </c>
      <c r="B9365">
        <f>IFERROR(__xludf.DUMMYFUNCTION("""COMPUTED_VALUE"""),656432.0)</f>
        <v>656432</v>
      </c>
      <c r="C9365" t="str">
        <f>IFERROR(__xludf.DUMMYFUNCTION("""COMPUTED_VALUE"""),"Excel Charts - Visualization Secrets for Impressive Charts")</f>
        <v>Excel Charts - Visualization Secrets for Impressive Charts</v>
      </c>
    </row>
    <row r="9366">
      <c r="A9366" s="140" t="str">
        <f>IFERROR(__xludf.DUMMYFUNCTION("""COMPUTED_VALUE"""),"en")</f>
        <v>en</v>
      </c>
      <c r="B9366">
        <f>IFERROR(__xludf.DUMMYFUNCTION("""COMPUTED_VALUE"""),2843526.0)</f>
        <v>2843526</v>
      </c>
      <c r="C9366" t="str">
        <f>IFERROR(__xludf.DUMMYFUNCTION("""COMPUTED_VALUE"""),"Personal Emergency Planning (Coronavirus - COVID-19 Edition)")</f>
        <v>Personal Emergency Planning (Coronavirus - COVID-19 Edition)</v>
      </c>
    </row>
    <row r="9367">
      <c r="A9367" s="140" t="str">
        <f>IFERROR(__xludf.DUMMYFUNCTION("""COMPUTED_VALUE"""),"fr")</f>
        <v>fr</v>
      </c>
      <c r="B9367">
        <f>IFERROR(__xludf.DUMMYFUNCTION("""COMPUTED_VALUE"""),1067008.0)</f>
        <v>1067008</v>
      </c>
      <c r="C9367" t="str">
        <f>IFERROR(__xludf.DUMMYFUNCTION("""COMPUTED_VALUE"""),"Python 3 : Formation complète à la programmation")</f>
        <v>Python 3 : Formation complète à la programmation</v>
      </c>
    </row>
    <row r="9368">
      <c r="A9368" s="140" t="str">
        <f>IFERROR(__xludf.DUMMYFUNCTION("""COMPUTED_VALUE"""),"en")</f>
        <v>en</v>
      </c>
      <c r="B9368">
        <f>IFERROR(__xludf.DUMMYFUNCTION("""COMPUTED_VALUE"""),3075046.0)</f>
        <v>3075046</v>
      </c>
      <c r="C9368" t="str">
        <f>IFERROR(__xludf.DUMMYFUNCTION("""COMPUTED_VALUE"""),"Learn Autosar DCM and Diagstack from scratch")</f>
        <v>Learn Autosar DCM and Diagstack from scratch</v>
      </c>
    </row>
    <row r="9369">
      <c r="A9369" s="140" t="str">
        <f>IFERROR(__xludf.DUMMYFUNCTION("""COMPUTED_VALUE"""),"en")</f>
        <v>en</v>
      </c>
      <c r="B9369">
        <f>IFERROR(__xludf.DUMMYFUNCTION("""COMPUTED_VALUE"""),964680.0)</f>
        <v>964680</v>
      </c>
      <c r="C9369" t="str">
        <f>IFERROR(__xludf.DUMMYFUNCTION("""COMPUTED_VALUE"""),"Investing In Stocks  The Complete Course! (14 Hour)")</f>
        <v>Investing In Stocks  The Complete Course! (14 Hour)</v>
      </c>
    </row>
    <row r="9370">
      <c r="A9370" s="140" t="str">
        <f>IFERROR(__xludf.DUMMYFUNCTION("""COMPUTED_VALUE"""),"en")</f>
        <v>en</v>
      </c>
      <c r="B9370">
        <f>IFERROR(__xludf.DUMMYFUNCTION("""COMPUTED_VALUE"""),1568560.0)</f>
        <v>1568560</v>
      </c>
      <c r="C9370" t="str">
        <f>IFERROR(__xludf.DUMMYFUNCTION("""COMPUTED_VALUE"""),"Options Trading MasterClass: Options With Technical Analysis")</f>
        <v>Options Trading MasterClass: Options With Technical Analysis</v>
      </c>
    </row>
    <row r="9371">
      <c r="A9371" s="140" t="str">
        <f>IFERROR(__xludf.DUMMYFUNCTION("""COMPUTED_VALUE"""),"en")</f>
        <v>en</v>
      </c>
      <c r="B9371">
        <f>IFERROR(__xludf.DUMMYFUNCTION("""COMPUTED_VALUE"""),1640530.0)</f>
        <v>1640530</v>
      </c>
      <c r="C9371" t="str">
        <f>IFERROR(__xludf.DUMMYFUNCTION("""COMPUTED_VALUE"""),"Accounting101: Learn Accounts Receivable From A to Z")</f>
        <v>Accounting101: Learn Accounts Receivable From A to Z</v>
      </c>
    </row>
    <row r="9372">
      <c r="A9372" s="140" t="str">
        <f>IFERROR(__xludf.DUMMYFUNCTION("""COMPUTED_VALUE"""),"ja")</f>
        <v>ja</v>
      </c>
      <c r="B9372">
        <f>IFERROR(__xludf.DUMMYFUNCTION("""COMPUTED_VALUE"""),1732004.0)</f>
        <v>1732004</v>
      </c>
      <c r="C9372" t="str">
        <f>IFERROR(__xludf.DUMMYFUNCTION("""COMPUTED_VALUE"""),"【超初心者向け】Blenderでキャラクターをモデリングしてアンリアルエンジンで動かす講座【ハンズオン】")</f>
        <v>【超初心者向け】Blenderでキャラクターをモデリングしてアンリアルエンジンで動かす講座【ハンズオン】</v>
      </c>
    </row>
    <row r="9373">
      <c r="A9373" s="140" t="str">
        <f>IFERROR(__xludf.DUMMYFUNCTION("""COMPUTED_VALUE"""),"en")</f>
        <v>en</v>
      </c>
      <c r="B9373">
        <f>IFERROR(__xludf.DUMMYFUNCTION("""COMPUTED_VALUE"""),2045722.0)</f>
        <v>2045722</v>
      </c>
      <c r="C9373" t="str">
        <f>IFERROR(__xludf.DUMMYFUNCTION("""COMPUTED_VALUE"""),"AWS Certified DevOps Engineer - Professional 2021")</f>
        <v>AWS Certified DevOps Engineer - Professional 2021</v>
      </c>
    </row>
    <row r="9374">
      <c r="A9374" s="140" t="str">
        <f>IFERROR(__xludf.DUMMYFUNCTION("""COMPUTED_VALUE"""),"pt")</f>
        <v>pt</v>
      </c>
      <c r="B9374">
        <f>IFERROR(__xludf.DUMMYFUNCTION("""COMPUTED_VALUE"""),2445446.0)</f>
        <v>2445446</v>
      </c>
      <c r="C9374" t="str">
        <f>IFERROR(__xludf.DUMMYFUNCTION("""COMPUTED_VALUE"""),"Introdução à Estratégia e Redação Publicitária (Copywriting)")</f>
        <v>Introdução à Estratégia e Redação Publicitária (Copywriting)</v>
      </c>
    </row>
    <row r="9375">
      <c r="A9375" s="140" t="str">
        <f>IFERROR(__xludf.DUMMYFUNCTION("""COMPUTED_VALUE"""),"en")</f>
        <v>en</v>
      </c>
      <c r="B9375">
        <f>IFERROR(__xludf.DUMMYFUNCTION("""COMPUTED_VALUE"""),2488258.0)</f>
        <v>2488258</v>
      </c>
      <c r="C9375" t="str">
        <f>IFERROR(__xludf.DUMMYFUNCTION("""COMPUTED_VALUE"""),"GMAT® Math | Official Guide 2020")</f>
        <v>GMAT® Math | Official Guide 2020</v>
      </c>
    </row>
    <row r="9376">
      <c r="A9376" s="140" t="str">
        <f>IFERROR(__xludf.DUMMYFUNCTION("""COMPUTED_VALUE"""),"tr")</f>
        <v>tr</v>
      </c>
      <c r="B9376">
        <f>IFERROR(__xludf.DUMMYFUNCTION("""COMPUTED_VALUE"""),1771242.0)</f>
        <v>1771242</v>
      </c>
      <c r="C9376" t="str">
        <f>IFERROR(__xludf.DUMMYFUNCTION("""COMPUTED_VALUE"""),"Basitten İleriye Excel ++")</f>
        <v>Basitten İleriye Excel ++</v>
      </c>
    </row>
    <row r="9377">
      <c r="A9377" s="140" t="str">
        <f>IFERROR(__xludf.DUMMYFUNCTION("""COMPUTED_VALUE"""),"es")</f>
        <v>es</v>
      </c>
      <c r="B9377">
        <f>IFERROR(__xludf.DUMMYFUNCTION("""COMPUTED_VALUE"""),1325394.0)</f>
        <v>1325394</v>
      </c>
      <c r="C9377" t="str">
        <f>IFERROR(__xludf.DUMMYFUNCTION("""COMPUTED_VALUE"""),"Java a Profundidad. JEE, MVC, JPA, RegEX, Generics y más")</f>
        <v>Java a Profundidad. JEE, MVC, JPA, RegEX, Generics y más</v>
      </c>
    </row>
    <row r="9378">
      <c r="A9378" s="140" t="str">
        <f>IFERROR(__xludf.DUMMYFUNCTION("""COMPUTED_VALUE"""),"en")</f>
        <v>en</v>
      </c>
      <c r="B9378">
        <f>IFERROR(__xludf.DUMMYFUNCTION("""COMPUTED_VALUE"""),2653926.0)</f>
        <v>2653926</v>
      </c>
      <c r="C9378" t="str">
        <f>IFERROR(__xludf.DUMMYFUNCTION("""COMPUTED_VALUE"""),"RFID Programming and Security Master Class")</f>
        <v>RFID Programming and Security Master Class</v>
      </c>
    </row>
    <row r="9379">
      <c r="A9379" s="140" t="str">
        <f>IFERROR(__xludf.DUMMYFUNCTION("""COMPUTED_VALUE"""),"en")</f>
        <v>en</v>
      </c>
      <c r="B9379">
        <f>IFERROR(__xludf.DUMMYFUNCTION("""COMPUTED_VALUE"""),1340862.0)</f>
        <v>1340862</v>
      </c>
      <c r="C9379" t="str">
        <f>IFERROR(__xludf.DUMMYFUNCTION("""COMPUTED_VALUE"""),"WordPress E-Commerce Development w/ WooCommerce &amp; Storefront")</f>
        <v>WordPress E-Commerce Development w/ WooCommerce &amp; Storefront</v>
      </c>
    </row>
    <row r="9380">
      <c r="A9380" s="140" t="str">
        <f>IFERROR(__xludf.DUMMYFUNCTION("""COMPUTED_VALUE"""),"en")</f>
        <v>en</v>
      </c>
      <c r="B9380">
        <f>IFERROR(__xludf.DUMMYFUNCTION("""COMPUTED_VALUE"""),730438.0)</f>
        <v>730438</v>
      </c>
      <c r="C9380" t="str">
        <f>IFERROR(__xludf.DUMMYFUNCTION("""COMPUTED_VALUE"""),"BPMN Process Analysis using Microsoft Visio Professional")</f>
        <v>BPMN Process Analysis using Microsoft Visio Professional</v>
      </c>
    </row>
    <row r="9381">
      <c r="A9381" s="140" t="str">
        <f>IFERROR(__xludf.DUMMYFUNCTION("""COMPUTED_VALUE"""),"en")</f>
        <v>en</v>
      </c>
      <c r="B9381">
        <f>IFERROR(__xludf.DUMMYFUNCTION("""COMPUTED_VALUE"""),2360122.0)</f>
        <v>2360122</v>
      </c>
      <c r="C9381" t="str">
        <f>IFERROR(__xludf.DUMMYFUNCTION("""COMPUTED_VALUE"""),"Zabbix 5 Application and Network Monitoring")</f>
        <v>Zabbix 5 Application and Network Monitoring</v>
      </c>
    </row>
    <row r="9382">
      <c r="A9382" s="140" t="str">
        <f>IFERROR(__xludf.DUMMYFUNCTION("""COMPUTED_VALUE"""),"es")</f>
        <v>es</v>
      </c>
      <c r="B9382">
        <f>IFERROR(__xludf.DUMMYFUNCTION("""COMPUTED_VALUE"""),3388104.0)</f>
        <v>3388104</v>
      </c>
      <c r="C9382" t="str">
        <f>IFERROR(__xludf.DUMMYFUNCTION("""COMPUTED_VALUE"""),"Curso de Inglés para Hispanos - Nivel A2/B1.1 garantizado")</f>
        <v>Curso de Inglés para Hispanos - Nivel A2/B1.1 garantizado</v>
      </c>
    </row>
    <row r="9383">
      <c r="A9383" s="140" t="str">
        <f>IFERROR(__xludf.DUMMYFUNCTION("""COMPUTED_VALUE"""),"en")</f>
        <v>en</v>
      </c>
      <c r="B9383">
        <f>IFERROR(__xludf.DUMMYFUNCTION("""COMPUTED_VALUE"""),684824.0)</f>
        <v>684824</v>
      </c>
      <c r="C9383" t="str">
        <f>IFERROR(__xludf.DUMMYFUNCTION("""COMPUTED_VALUE"""),"Spring Framework Master Class - Java Spring the Modern Way")</f>
        <v>Spring Framework Master Class - Java Spring the Modern Way</v>
      </c>
    </row>
    <row r="9384">
      <c r="A9384" s="140" t="str">
        <f>IFERROR(__xludf.DUMMYFUNCTION("""COMPUTED_VALUE"""),"en")</f>
        <v>en</v>
      </c>
      <c r="B9384">
        <f>IFERROR(__xludf.DUMMYFUNCTION("""COMPUTED_VALUE"""),180360.0)</f>
        <v>180360</v>
      </c>
      <c r="C9384" t="str">
        <f>IFERROR(__xludf.DUMMYFUNCTION("""COMPUTED_VALUE"""),"Equity Swaps")</f>
        <v>Equity Swaps</v>
      </c>
    </row>
    <row r="9385">
      <c r="A9385" s="140" t="str">
        <f>IFERROR(__xludf.DUMMYFUNCTION("""COMPUTED_VALUE"""),"de")</f>
        <v>de</v>
      </c>
      <c r="B9385">
        <f>IFERROR(__xludf.DUMMYFUNCTION("""COMPUTED_VALUE"""),702198.0)</f>
        <v>702198</v>
      </c>
      <c r="C9385" t="str">
        <f>IFERROR(__xludf.DUMMYFUNCTION("""COMPUTED_VALUE"""),"Von der Vision zur Realität - Erreiche deine Ziele!")</f>
        <v>Von der Vision zur Realität - Erreiche deine Ziele!</v>
      </c>
    </row>
    <row r="9386">
      <c r="A9386" s="140" t="str">
        <f>IFERROR(__xludf.DUMMYFUNCTION("""COMPUTED_VALUE"""),"pt")</f>
        <v>pt</v>
      </c>
      <c r="B9386">
        <f>IFERROR(__xludf.DUMMYFUNCTION("""COMPUTED_VALUE"""),2288865.0)</f>
        <v>2288865</v>
      </c>
      <c r="C9386" t="str">
        <f>IFERROR(__xludf.DUMMYFUNCTION("""COMPUTED_VALUE"""),"Design Sprint")</f>
        <v>Design Sprint</v>
      </c>
    </row>
    <row r="9387">
      <c r="A9387" s="140" t="str">
        <f>IFERROR(__xludf.DUMMYFUNCTION("""COMPUTED_VALUE"""),"tr")</f>
        <v>tr</v>
      </c>
      <c r="B9387">
        <f>IFERROR(__xludf.DUMMYFUNCTION("""COMPUTED_VALUE"""),1397898.0)</f>
        <v>1397898</v>
      </c>
      <c r="C9387" t="str">
        <f>IFERROR(__xludf.DUMMYFUNCTION("""COMPUTED_VALUE"""),"C# Kursu: Yeni Başlayanlar için C# Programlama Dersleri")</f>
        <v>C# Kursu: Yeni Başlayanlar için C# Programlama Dersleri</v>
      </c>
    </row>
    <row r="9388">
      <c r="A9388" s="140" t="str">
        <f>IFERROR(__xludf.DUMMYFUNCTION("""COMPUTED_VALUE"""),"en")</f>
        <v>en</v>
      </c>
      <c r="B9388">
        <f>IFERROR(__xludf.DUMMYFUNCTION("""COMPUTED_VALUE"""),1923692.0)</f>
        <v>1923692</v>
      </c>
      <c r="C9388" t="str">
        <f>IFERROR(__xludf.DUMMYFUNCTION("""COMPUTED_VALUE"""),"The Complete Guide To Build Rest Api's with Asp.Net and C#")</f>
        <v>The Complete Guide To Build Rest Api's with Asp.Net and C#</v>
      </c>
    </row>
    <row r="9389">
      <c r="A9389" s="140" t="str">
        <f>IFERROR(__xludf.DUMMYFUNCTION("""COMPUTED_VALUE"""),"en")</f>
        <v>en</v>
      </c>
      <c r="B9389">
        <f>IFERROR(__xludf.DUMMYFUNCTION("""COMPUTED_VALUE"""),2645936.0)</f>
        <v>2645936</v>
      </c>
      <c r="C9389" t="str">
        <f>IFERROR(__xludf.DUMMYFUNCTION("""COMPUTED_VALUE"""),"AWS Certified Cloud Practitioner - Complete NEW Course 2021")</f>
        <v>AWS Certified Cloud Practitioner - Complete NEW Course 2021</v>
      </c>
    </row>
    <row r="9390">
      <c r="A9390" s="140" t="str">
        <f>IFERROR(__xludf.DUMMYFUNCTION("""COMPUTED_VALUE"""),"fr")</f>
        <v>fr</v>
      </c>
      <c r="B9390">
        <f>IFERROR(__xludf.DUMMYFUNCTION("""COMPUTED_VALUE"""),1511232.0)</f>
        <v>1511232</v>
      </c>
      <c r="C9390" t="str">
        <f>IFERROR(__xludf.DUMMYFUNCTION("""COMPUTED_VALUE"""),"Apprendre et maîtriser Microsoft ACCESS 2016")</f>
        <v>Apprendre et maîtriser Microsoft ACCESS 2016</v>
      </c>
    </row>
    <row r="9391">
      <c r="A9391" s="140" t="str">
        <f>IFERROR(__xludf.DUMMYFUNCTION("""COMPUTED_VALUE"""),"en")</f>
        <v>en</v>
      </c>
      <c r="B9391">
        <f>IFERROR(__xludf.DUMMYFUNCTION("""COMPUTED_VALUE"""),3645715.0)</f>
        <v>3645715</v>
      </c>
      <c r="C9391" t="str">
        <f>IFERROR(__xludf.DUMMYFUNCTION("""COMPUTED_VALUE"""),"Computer Vision Masterclass")</f>
        <v>Computer Vision Masterclass</v>
      </c>
    </row>
    <row r="9392">
      <c r="A9392" s="140" t="str">
        <f>IFERROR(__xludf.DUMMYFUNCTION("""COMPUTED_VALUE"""),"fr")</f>
        <v>fr</v>
      </c>
      <c r="B9392">
        <f>IFERROR(__xludf.DUMMYFUNCTION("""COMPUTED_VALUE"""),654784.0)</f>
        <v>654784</v>
      </c>
      <c r="C9392" t="str">
        <f>IFERROR(__xludf.DUMMYFUNCTION("""COMPUTED_VALUE"""),"jQuery - Le Cours Complet")</f>
        <v>jQuery - Le Cours Complet</v>
      </c>
    </row>
    <row r="9393">
      <c r="A9393" s="140" t="str">
        <f>IFERROR(__xludf.DUMMYFUNCTION("""COMPUTED_VALUE"""),"en")</f>
        <v>en</v>
      </c>
      <c r="B9393">
        <f>IFERROR(__xludf.DUMMYFUNCTION("""COMPUTED_VALUE"""),781502.0)</f>
        <v>781502</v>
      </c>
      <c r="C9393" t="str">
        <f>IFERROR(__xludf.DUMMYFUNCTION("""COMPUTED_VALUE"""),"The Complete Python &amp; PostgreSQL Developer Course")</f>
        <v>The Complete Python &amp; PostgreSQL Developer Course</v>
      </c>
    </row>
    <row r="9394">
      <c r="A9394" s="140" t="str">
        <f>IFERROR(__xludf.DUMMYFUNCTION("""COMPUTED_VALUE"""),"en")</f>
        <v>en</v>
      </c>
      <c r="B9394">
        <f>IFERROR(__xludf.DUMMYFUNCTION("""COMPUTED_VALUE"""),4281666.0)</f>
        <v>4281666</v>
      </c>
      <c r="C9394" t="str">
        <f>IFERROR(__xludf.DUMMYFUNCTION("""COMPUTED_VALUE"""),"[NEW] AI-900: Microsoft Azure AI Fundamentals in a Weekend")</f>
        <v>[NEW] AI-900: Microsoft Azure AI Fundamentals in a Weekend</v>
      </c>
    </row>
    <row r="9395">
      <c r="A9395" s="140" t="str">
        <f>IFERROR(__xludf.DUMMYFUNCTION("""COMPUTED_VALUE"""),"en")</f>
        <v>en</v>
      </c>
      <c r="B9395">
        <f>IFERROR(__xludf.DUMMYFUNCTION("""COMPUTED_VALUE"""),3888812.0)</f>
        <v>3888812</v>
      </c>
      <c r="C9395" t="str">
        <f>IFERROR(__xludf.DUMMYFUNCTION("""COMPUTED_VALUE"""),"Proposal Writing &amp; Management (+APMP Foundation Exam Prep)")</f>
        <v>Proposal Writing &amp; Management (+APMP Foundation Exam Prep)</v>
      </c>
    </row>
    <row r="9396">
      <c r="A9396" s="140" t="str">
        <f>IFERROR(__xludf.DUMMYFUNCTION("""COMPUTED_VALUE"""),"en")</f>
        <v>en</v>
      </c>
      <c r="B9396">
        <f>IFERROR(__xludf.DUMMYFUNCTION("""COMPUTED_VALUE"""),3225717.0)</f>
        <v>3225717</v>
      </c>
      <c r="C9396" t="str">
        <f>IFERROR(__xludf.DUMMYFUNCTION("""COMPUTED_VALUE"""),"Writing DAX Queries")</f>
        <v>Writing DAX Queries</v>
      </c>
    </row>
    <row r="9397">
      <c r="A9397" s="140" t="str">
        <f>IFERROR(__xludf.DUMMYFUNCTION("""COMPUTED_VALUE"""),"ja")</f>
        <v>ja</v>
      </c>
      <c r="B9397">
        <f>IFERROR(__xludf.DUMMYFUNCTION("""COMPUTED_VALUE"""),2115878.0)</f>
        <v>2115878</v>
      </c>
      <c r="C9397" t="str">
        <f>IFERROR(__xludf.DUMMYFUNCTION("""COMPUTED_VALUE"""),"作りながら覚えるMicrosoft Azure入門講座（IaaS編）")</f>
        <v>作りながら覚えるMicrosoft Azure入門講座（IaaS編）</v>
      </c>
    </row>
    <row r="9398">
      <c r="A9398" s="140" t="str">
        <f>IFERROR(__xludf.DUMMYFUNCTION("""COMPUTED_VALUE"""),"en")</f>
        <v>en</v>
      </c>
      <c r="B9398">
        <f>IFERROR(__xludf.DUMMYFUNCTION("""COMPUTED_VALUE"""),2228034.0)</f>
        <v>2228034</v>
      </c>
      <c r="C9398" t="str">
        <f>IFERROR(__xludf.DUMMYFUNCTION("""COMPUTED_VALUE"""),"SAP EDI : SAP PO Interface Development with AS2 B2B ADDON")</f>
        <v>SAP EDI : SAP PO Interface Development with AS2 B2B ADDON</v>
      </c>
    </row>
    <row r="9399">
      <c r="A9399" s="140" t="str">
        <f>IFERROR(__xludf.DUMMYFUNCTION("""COMPUTED_VALUE"""),"ja")</f>
        <v>ja</v>
      </c>
      <c r="B9399">
        <f>IFERROR(__xludf.DUMMYFUNCTION("""COMPUTED_VALUE"""),3634150.0)</f>
        <v>3634150</v>
      </c>
      <c r="C9399" t="str">
        <f>IFERROR(__xludf.DUMMYFUNCTION("""COMPUTED_VALUE"""),"【リーダー向け】リモート・チームビルディング基礎コース")</f>
        <v>【リーダー向け】リモート・チームビルディング基礎コース</v>
      </c>
    </row>
    <row r="9400">
      <c r="A9400" s="140" t="str">
        <f>IFERROR(__xludf.DUMMYFUNCTION("""COMPUTED_VALUE"""),"es")</f>
        <v>es</v>
      </c>
      <c r="B9400">
        <f>IFERROR(__xludf.DUMMYFUNCTION("""COMPUTED_VALUE"""),1182814.0)</f>
        <v>1182814</v>
      </c>
      <c r="C9400" t="str">
        <f>IFERROR(__xludf.DUMMYFUNCTION("""COMPUTED_VALUE"""),"SAP ABAP Programación Iniciación")</f>
        <v>SAP ABAP Programación Iniciación</v>
      </c>
    </row>
    <row r="9401">
      <c r="A9401" s="140" t="str">
        <f>IFERROR(__xludf.DUMMYFUNCTION("""COMPUTED_VALUE"""),"zh")</f>
        <v>zh</v>
      </c>
      <c r="B9401">
        <f>IFERROR(__xludf.DUMMYFUNCTION("""COMPUTED_VALUE"""),1952390.0)</f>
        <v>1952390</v>
      </c>
      <c r="C9401" t="str">
        <f>IFERROR(__xludf.DUMMYFUNCTION("""COMPUTED_VALUE"""),"Java编程语言从入门到精通2021")</f>
        <v>Java编程语言从入门到精通2021</v>
      </c>
    </row>
    <row r="9402">
      <c r="A9402" s="140" t="str">
        <f>IFERROR(__xludf.DUMMYFUNCTION("""COMPUTED_VALUE"""),"en")</f>
        <v>en</v>
      </c>
      <c r="B9402">
        <f>IFERROR(__xludf.DUMMYFUNCTION("""COMPUTED_VALUE"""),1356020.0)</f>
        <v>1356020</v>
      </c>
      <c r="C9402" t="str">
        <f>IFERROR(__xludf.DUMMYFUNCTION("""COMPUTED_VALUE"""),"Blender Character Creator v2.0 for Video Games Design")</f>
        <v>Blender Character Creator v2.0 for Video Games Design</v>
      </c>
    </row>
    <row r="9403">
      <c r="A9403" s="140" t="str">
        <f>IFERROR(__xludf.DUMMYFUNCTION("""COMPUTED_VALUE"""),"en")</f>
        <v>en</v>
      </c>
      <c r="B9403">
        <f>IFERROR(__xludf.DUMMYFUNCTION("""COMPUTED_VALUE"""),1941658.0)</f>
        <v>1941658</v>
      </c>
      <c r="C9403" t="str">
        <f>IFERROR(__xludf.DUMMYFUNCTION("""COMPUTED_VALUE"""),"AWS ECS (Elastic Container Service) - Deep Dive")</f>
        <v>AWS ECS (Elastic Container Service) - Deep Dive</v>
      </c>
    </row>
    <row r="9404">
      <c r="A9404" s="140" t="str">
        <f>IFERROR(__xludf.DUMMYFUNCTION("""COMPUTED_VALUE"""),"pt")</f>
        <v>pt</v>
      </c>
      <c r="B9404">
        <f>IFERROR(__xludf.DUMMYFUNCTION("""COMPUTED_VALUE"""),2689844.0)</f>
        <v>2689844</v>
      </c>
      <c r="C9404" t="str">
        <f>IFERROR(__xludf.DUMMYFUNCTION("""COMPUTED_VALUE"""),"Curso de Francês Completo - Do Básico ao Avançado")</f>
        <v>Curso de Francês Completo - Do Básico ao Avançado</v>
      </c>
    </row>
    <row r="9405">
      <c r="A9405" s="140" t="str">
        <f>IFERROR(__xludf.DUMMYFUNCTION("""COMPUTED_VALUE"""),"es")</f>
        <v>es</v>
      </c>
      <c r="B9405">
        <f>IFERROR(__xludf.DUMMYFUNCTION("""COMPUTED_VALUE"""),1096374.0)</f>
        <v>1096374</v>
      </c>
      <c r="C9405" t="str">
        <f>IFERROR(__xludf.DUMMYFUNCTION("""COMPUTED_VALUE"""),"Mejora tu nivel de tenis con el campeón Andre Agassi")</f>
        <v>Mejora tu nivel de tenis con el campeón Andre Agassi</v>
      </c>
    </row>
    <row r="9406">
      <c r="A9406" s="140" t="str">
        <f>IFERROR(__xludf.DUMMYFUNCTION("""COMPUTED_VALUE"""),"de")</f>
        <v>de</v>
      </c>
      <c r="B9406">
        <f>IFERROR(__xludf.DUMMYFUNCTION("""COMPUTED_VALUE"""),1774922.0)</f>
        <v>1774922</v>
      </c>
      <c r="C9406" t="str">
        <f>IFERROR(__xludf.DUMMYFUNCTION("""COMPUTED_VALUE"""),"Produktfotografie von Low Budget bis Profilösung")</f>
        <v>Produktfotografie von Low Budget bis Profilösung</v>
      </c>
    </row>
    <row r="9407">
      <c r="A9407" s="140" t="str">
        <f>IFERROR(__xludf.DUMMYFUNCTION("""COMPUTED_VALUE"""),"en")</f>
        <v>en</v>
      </c>
      <c r="B9407">
        <f>IFERROR(__xludf.DUMMYFUNCTION("""COMPUTED_VALUE"""),1803806.0)</f>
        <v>1803806</v>
      </c>
      <c r="C9407" t="str">
        <f>IFERROR(__xludf.DUMMYFUNCTION("""COMPUTED_VALUE"""),"Android Architecture Masterclass")</f>
        <v>Android Architecture Masterclass</v>
      </c>
    </row>
    <row r="9408">
      <c r="A9408" s="140" t="str">
        <f>IFERROR(__xludf.DUMMYFUNCTION("""COMPUTED_VALUE"""),"en")</f>
        <v>en</v>
      </c>
      <c r="B9408">
        <f>IFERROR(__xludf.DUMMYFUNCTION("""COMPUTED_VALUE"""),2868768.0)</f>
        <v>2868768</v>
      </c>
      <c r="C9408" t="str">
        <f>IFERROR(__xludf.DUMMYFUNCTION("""COMPUTED_VALUE"""),"Cost Reduction for Managers &amp; Management Consultants")</f>
        <v>Cost Reduction for Managers &amp; Management Consultants</v>
      </c>
    </row>
    <row r="9409">
      <c r="A9409" s="140" t="str">
        <f>IFERROR(__xludf.DUMMYFUNCTION("""COMPUTED_VALUE"""),"en")</f>
        <v>en</v>
      </c>
      <c r="B9409">
        <f>IFERROR(__xludf.DUMMYFUNCTION("""COMPUTED_VALUE"""),385922.0)</f>
        <v>385922</v>
      </c>
      <c r="C9409" t="str">
        <f>IFERROR(__xludf.DUMMYFUNCTION("""COMPUTED_VALUE"""),"Automation Architect - Selenium WebDriver - 9 Live Projects")</f>
        <v>Automation Architect - Selenium WebDriver - 9 Live Projects</v>
      </c>
    </row>
    <row r="9410">
      <c r="A9410" s="140" t="str">
        <f>IFERROR(__xludf.DUMMYFUNCTION("""COMPUTED_VALUE"""),"en")</f>
        <v>en</v>
      </c>
      <c r="B9410">
        <f>IFERROR(__xludf.DUMMYFUNCTION("""COMPUTED_VALUE"""),3633596.0)</f>
        <v>3633596</v>
      </c>
      <c r="C9410" t="str">
        <f>IFERROR(__xludf.DUMMYFUNCTION("""COMPUTED_VALUE"""),"Financial Modeling &amp; Fundamental Analysis")</f>
        <v>Financial Modeling &amp; Fundamental Analysis</v>
      </c>
    </row>
    <row r="9411">
      <c r="A9411" s="140" t="str">
        <f>IFERROR(__xludf.DUMMYFUNCTION("""COMPUTED_VALUE"""),"en")</f>
        <v>en</v>
      </c>
      <c r="B9411">
        <f>IFERROR(__xludf.DUMMYFUNCTION("""COMPUTED_VALUE"""),2193352.0)</f>
        <v>2193352</v>
      </c>
      <c r="C9411" t="str">
        <f>IFERROR(__xludf.DUMMYFUNCTION("""COMPUTED_VALUE"""),"How to Pick a Bestselling Book Title Before Writing a Book")</f>
        <v>How to Pick a Bestselling Book Title Before Writing a Book</v>
      </c>
    </row>
    <row r="9412">
      <c r="A9412" s="140" t="str">
        <f>IFERROR(__xludf.DUMMYFUNCTION("""COMPUTED_VALUE"""),"en")</f>
        <v>en</v>
      </c>
      <c r="B9412">
        <f>IFERROR(__xludf.DUMMYFUNCTION("""COMPUTED_VALUE"""),383398.0)</f>
        <v>383398</v>
      </c>
      <c r="C9412" t="str">
        <f>IFERROR(__xludf.DUMMYFUNCTION("""COMPUTED_VALUE"""),"Customer Service: How to sell more without advertising")</f>
        <v>Customer Service: How to sell more without advertising</v>
      </c>
    </row>
    <row r="9413">
      <c r="A9413" s="140" t="str">
        <f>IFERROR(__xludf.DUMMYFUNCTION("""COMPUTED_VALUE"""),"en")</f>
        <v>en</v>
      </c>
      <c r="B9413">
        <f>IFERROR(__xludf.DUMMYFUNCTION("""COMPUTED_VALUE"""),864546.0)</f>
        <v>864546</v>
      </c>
      <c r="C9413" t="str">
        <f>IFERROR(__xludf.DUMMYFUNCTION("""COMPUTED_VALUE"""),"OSHA Safety Pro: Deadly Concrete Dust. Crystalline Silica.")</f>
        <v>OSHA Safety Pro: Deadly Concrete Dust. Crystalline Silica.</v>
      </c>
    </row>
    <row r="9414">
      <c r="A9414" s="140" t="str">
        <f>IFERROR(__xludf.DUMMYFUNCTION("""COMPUTED_VALUE"""),"en")</f>
        <v>en</v>
      </c>
      <c r="B9414">
        <f>IFERROR(__xludf.DUMMYFUNCTION("""COMPUTED_VALUE"""),2597160.0)</f>
        <v>2597160</v>
      </c>
      <c r="C9414" t="str">
        <f>IFERROR(__xludf.DUMMYFUNCTION("""COMPUTED_VALUE"""),"Practice Exams | AWS Certified Solutions Architect Associate")</f>
        <v>Practice Exams | AWS Certified Solutions Architect Associate</v>
      </c>
    </row>
    <row r="9415">
      <c r="A9415" s="140" t="str">
        <f>IFERROR(__xludf.DUMMYFUNCTION("""COMPUTED_VALUE"""),"en")</f>
        <v>en</v>
      </c>
      <c r="B9415">
        <f>IFERROR(__xludf.DUMMYFUNCTION("""COMPUTED_VALUE"""),970894.0)</f>
        <v>970894</v>
      </c>
      <c r="C9415" t="str">
        <f>IFERROR(__xludf.DUMMYFUNCTION("""COMPUTED_VALUE"""),"Apple Watch Programming for iOS Developers - WatchOS 3 Apps")</f>
        <v>Apple Watch Programming for iOS Developers - WatchOS 3 Apps</v>
      </c>
    </row>
    <row r="9416">
      <c r="A9416" s="140" t="str">
        <f>IFERROR(__xludf.DUMMYFUNCTION("""COMPUTED_VALUE"""),"tr")</f>
        <v>tr</v>
      </c>
      <c r="B9416">
        <f>IFERROR(__xludf.DUMMYFUNCTION("""COMPUTED_VALUE"""),3548854.0)</f>
        <v>3548854</v>
      </c>
      <c r="C9416" t="str">
        <f>IFERROR(__xludf.DUMMYFUNCTION("""COMPUTED_VALUE"""),"C++ ile Görüntü İşleme  (OpenCV)")</f>
        <v>C++ ile Görüntü İşleme  (OpenCV)</v>
      </c>
    </row>
    <row r="9417">
      <c r="A9417" s="140" t="str">
        <f>IFERROR(__xludf.DUMMYFUNCTION("""COMPUTED_VALUE"""),"ja")</f>
        <v>ja</v>
      </c>
      <c r="B9417">
        <f>IFERROR(__xludf.DUMMYFUNCTION("""COMPUTED_VALUE"""),2311722.0)</f>
        <v>2311722</v>
      </c>
      <c r="C9417" t="str">
        <f>IFERROR(__xludf.DUMMYFUNCTION("""COMPUTED_VALUE"""),"Python で Excel・Word を自動操作しよう！【Python 初心者が知るべきモジュールの使いこなし方も】")</f>
        <v>Python で Excel・Word を自動操作しよう！【Python 初心者が知るべきモジュールの使いこなし方も】</v>
      </c>
    </row>
    <row r="9418">
      <c r="A9418" s="140" t="str">
        <f>IFERROR(__xludf.DUMMYFUNCTION("""COMPUTED_VALUE"""),"en")</f>
        <v>en</v>
      </c>
      <c r="B9418">
        <f>IFERROR(__xludf.DUMMYFUNCTION("""COMPUTED_VALUE"""),2697328.0)</f>
        <v>2697328</v>
      </c>
      <c r="C9418" t="str">
        <f>IFERROR(__xludf.DUMMYFUNCTION("""COMPUTED_VALUE"""),"Python Automation for Network Engineers")</f>
        <v>Python Automation for Network Engineers</v>
      </c>
    </row>
    <row r="9419">
      <c r="A9419" s="140" t="str">
        <f>IFERROR(__xludf.DUMMYFUNCTION("""COMPUTED_VALUE"""),"pt")</f>
        <v>pt</v>
      </c>
      <c r="B9419">
        <f>IFERROR(__xludf.DUMMYFUNCTION("""COMPUTED_VALUE"""),3550890.0)</f>
        <v>3550890</v>
      </c>
      <c r="C9419" t="str">
        <f>IFERROR(__xludf.DUMMYFUNCTION("""COMPUTED_VALUE"""),"Detecção de Objetos com YOLO, Darknet, OpenCV e Python")</f>
        <v>Detecção de Objetos com YOLO, Darknet, OpenCV e Python</v>
      </c>
    </row>
    <row r="9420">
      <c r="A9420" s="140" t="str">
        <f>IFERROR(__xludf.DUMMYFUNCTION("""COMPUTED_VALUE"""),"pt")</f>
        <v>pt</v>
      </c>
      <c r="B9420">
        <f>IFERROR(__xludf.DUMMYFUNCTION("""COMPUTED_VALUE"""),2576102.0)</f>
        <v>2576102</v>
      </c>
      <c r="C9420" t="str">
        <f>IFERROR(__xludf.DUMMYFUNCTION("""COMPUTED_VALUE"""),"Programação em JavaScript do básico ao avançado")</f>
        <v>Programação em JavaScript do básico ao avançado</v>
      </c>
    </row>
    <row r="9421">
      <c r="A9421" s="140" t="str">
        <f>IFERROR(__xludf.DUMMYFUNCTION("""COMPUTED_VALUE"""),"tr")</f>
        <v>tr</v>
      </c>
      <c r="B9421">
        <f>IFERROR(__xludf.DUMMYFUNCTION("""COMPUTED_VALUE"""),3312788.0)</f>
        <v>3312788</v>
      </c>
      <c r="C9421" t="str">
        <f>IFERROR(__xludf.DUMMYFUNCTION("""COMPUTED_VALUE"""),"MS Outlook - Temelden Uzmanlığa")</f>
        <v>MS Outlook - Temelden Uzmanlığa</v>
      </c>
    </row>
    <row r="9422">
      <c r="A9422" s="140" t="str">
        <f>IFERROR(__xludf.DUMMYFUNCTION("""COMPUTED_VALUE"""),"en")</f>
        <v>en</v>
      </c>
      <c r="B9422">
        <f>IFERROR(__xludf.DUMMYFUNCTION("""COMPUTED_VALUE"""),1884944.0)</f>
        <v>1884944</v>
      </c>
      <c r="C9422" t="str">
        <f>IFERROR(__xludf.DUMMYFUNCTION("""COMPUTED_VALUE"""),"Combinatorial Problems and Ant Colony Optimization Algorithm")</f>
        <v>Combinatorial Problems and Ant Colony Optimization Algorithm</v>
      </c>
    </row>
    <row r="9423">
      <c r="A9423" s="140" t="str">
        <f>IFERROR(__xludf.DUMMYFUNCTION("""COMPUTED_VALUE"""),"en")</f>
        <v>en</v>
      </c>
      <c r="B9423">
        <f>IFERROR(__xludf.DUMMYFUNCTION("""COMPUTED_VALUE"""),481478.0)</f>
        <v>481478</v>
      </c>
      <c r="C9423" t="str">
        <f>IFERROR(__xludf.DUMMYFUNCTION("""COMPUTED_VALUE"""),"Practical Knowledge Modelling: Ontology Development 101")</f>
        <v>Practical Knowledge Modelling: Ontology Development 101</v>
      </c>
    </row>
    <row r="9424">
      <c r="A9424" s="140" t="str">
        <f>IFERROR(__xludf.DUMMYFUNCTION("""COMPUTED_VALUE"""),"en")</f>
        <v>en</v>
      </c>
      <c r="B9424">
        <f>IFERROR(__xludf.DUMMYFUNCTION("""COMPUTED_VALUE"""),1164278.0)</f>
        <v>1164278</v>
      </c>
      <c r="C9424" t="str">
        <f>IFERROR(__xludf.DUMMYFUNCTION("""COMPUTED_VALUE"""),"UI &amp; Web Design using Adobe Illustrator CC")</f>
        <v>UI &amp; Web Design using Adobe Illustrator CC</v>
      </c>
    </row>
    <row r="9425">
      <c r="A9425" s="140" t="str">
        <f>IFERROR(__xludf.DUMMYFUNCTION("""COMPUTED_VALUE"""),"en")</f>
        <v>en</v>
      </c>
      <c r="B9425">
        <f>IFERROR(__xludf.DUMMYFUNCTION("""COMPUTED_VALUE"""),3165710.0)</f>
        <v>3165710</v>
      </c>
      <c r="C9425" t="str">
        <f>IFERROR(__xludf.DUMMYFUNCTION("""COMPUTED_VALUE"""),"Tableau Desktop Specialist Certification Practice Tests 2021")</f>
        <v>Tableau Desktop Specialist Certification Practice Tests 2021</v>
      </c>
    </row>
    <row r="9426">
      <c r="A9426" s="140" t="str">
        <f>IFERROR(__xludf.DUMMYFUNCTION("""COMPUTED_VALUE"""),"en")</f>
        <v>en</v>
      </c>
      <c r="B9426">
        <f>IFERROR(__xludf.DUMMYFUNCTION("""COMPUTED_VALUE"""),2685492.0)</f>
        <v>2685492</v>
      </c>
      <c r="C9426" t="str">
        <f>IFERROR(__xludf.DUMMYFUNCTION("""COMPUTED_VALUE"""),"Customer Success Manager (CSM) Elite")</f>
        <v>Customer Success Manager (CSM) Elite</v>
      </c>
    </row>
    <row r="9427">
      <c r="A9427" s="140" t="str">
        <f>IFERROR(__xludf.DUMMYFUNCTION("""COMPUTED_VALUE"""),"pt")</f>
        <v>pt</v>
      </c>
      <c r="B9427">
        <f>IFERROR(__xludf.DUMMYFUNCTION("""COMPUTED_VALUE"""),1349030.0)</f>
        <v>1349030</v>
      </c>
      <c r="C9427" t="str">
        <f>IFERROR(__xludf.DUMMYFUNCTION("""COMPUTED_VALUE"""),"Data Science: Correlação no R, do zero ao avançado em 5h")</f>
        <v>Data Science: Correlação no R, do zero ao avançado em 5h</v>
      </c>
    </row>
    <row r="9428">
      <c r="A9428" s="140" t="str">
        <f>IFERROR(__xludf.DUMMYFUNCTION("""COMPUTED_VALUE"""),"ja")</f>
        <v>ja</v>
      </c>
      <c r="B9428">
        <f>IFERROR(__xludf.DUMMYFUNCTION("""COMPUTED_VALUE"""),720490.0)</f>
        <v>720490</v>
      </c>
      <c r="C9428" t="str">
        <f>IFERROR(__xludf.DUMMYFUNCTION("""COMPUTED_VALUE"""),"【3日でできる】はじめての Ruby on Rails 4 入門（Rubyから学べる）")</f>
        <v>【3日でできる】はじめての Ruby on Rails 4 入門（Rubyから学べる）</v>
      </c>
    </row>
    <row r="9429">
      <c r="A9429" s="140" t="str">
        <f>IFERROR(__xludf.DUMMYFUNCTION("""COMPUTED_VALUE"""),"en")</f>
        <v>en</v>
      </c>
      <c r="B9429">
        <f>IFERROR(__xludf.DUMMYFUNCTION("""COMPUTED_VALUE"""),1341538.0)</f>
        <v>1341538</v>
      </c>
      <c r="C9429" t="str">
        <f>IFERROR(__xludf.DUMMYFUNCTION("""COMPUTED_VALUE"""),"Master Hibernate and JPA with Spring Boot in 100 Steps")</f>
        <v>Master Hibernate and JPA with Spring Boot in 100 Steps</v>
      </c>
    </row>
    <row r="9430">
      <c r="A9430" s="140" t="str">
        <f>IFERROR(__xludf.DUMMYFUNCTION("""COMPUTED_VALUE"""),"en")</f>
        <v>en</v>
      </c>
      <c r="B9430">
        <f>IFERROR(__xludf.DUMMYFUNCTION("""COMPUTED_VALUE"""),1176232.0)</f>
        <v>1176232</v>
      </c>
      <c r="C9430" t="str">
        <f>IFERROR(__xludf.DUMMYFUNCTION("""COMPUTED_VALUE"""),"Product Management Fundamentals")</f>
        <v>Product Management Fundamentals</v>
      </c>
    </row>
    <row r="9431">
      <c r="A9431" s="140" t="str">
        <f>IFERROR(__xludf.DUMMYFUNCTION("""COMPUTED_VALUE"""),"en")</f>
        <v>en</v>
      </c>
      <c r="B9431">
        <f>IFERROR(__xludf.DUMMYFUNCTION("""COMPUTED_VALUE"""),3603712.0)</f>
        <v>3603712</v>
      </c>
      <c r="C9431" t="str">
        <f>IFERROR(__xludf.DUMMYFUNCTION("""COMPUTED_VALUE"""),"The Complete Spanish Method. Intermediate. Course 3.")</f>
        <v>The Complete Spanish Method. Intermediate. Course 3.</v>
      </c>
    </row>
    <row r="9432">
      <c r="A9432" s="140" t="str">
        <f>IFERROR(__xludf.DUMMYFUNCTION("""COMPUTED_VALUE"""),"ja")</f>
        <v>ja</v>
      </c>
      <c r="B9432">
        <f>IFERROR(__xludf.DUMMYFUNCTION("""COMPUTED_VALUE"""),2429488.0)</f>
        <v>2429488</v>
      </c>
      <c r="C9432" t="str">
        <f>IFERROR(__xludf.DUMMYFUNCTION("""COMPUTED_VALUE"""),"【Javaプログラマー必須】最強のフレームワーク、Spring。環境構築、Thymeleaf画面作成、依存性の注入まで。")</f>
        <v>【Javaプログラマー必須】最強のフレームワーク、Spring。環境構築、Thymeleaf画面作成、依存性の注入まで。</v>
      </c>
    </row>
    <row r="9433">
      <c r="A9433" s="140" t="str">
        <f>IFERROR(__xludf.DUMMYFUNCTION("""COMPUTED_VALUE"""),"es")</f>
        <v>es</v>
      </c>
      <c r="B9433">
        <f>IFERROR(__xludf.DUMMYFUNCTION("""COMPUTED_VALUE"""),2205298.0)</f>
        <v>2205298</v>
      </c>
      <c r="C9433" t="str">
        <f>IFERROR(__xludf.DUMMYFUNCTION("""COMPUTED_VALUE"""),"Desarrollo Full Stack MEVN: MongoDB, Express, VueJS y NodeJS")</f>
        <v>Desarrollo Full Stack MEVN: MongoDB, Express, VueJS y NodeJS</v>
      </c>
    </row>
    <row r="9434">
      <c r="A9434" s="140" t="str">
        <f>IFERROR(__xludf.DUMMYFUNCTION("""COMPUTED_VALUE"""),"en")</f>
        <v>en</v>
      </c>
      <c r="B9434">
        <f>IFERROR(__xludf.DUMMYFUNCTION("""COMPUTED_VALUE"""),3143396.0)</f>
        <v>3143396</v>
      </c>
      <c r="C9434" t="str">
        <f>IFERROR(__xludf.DUMMYFUNCTION("""COMPUTED_VALUE"""),"MVVM Design Pattern in iOS Using SwiftUI")</f>
        <v>MVVM Design Pattern in iOS Using SwiftUI</v>
      </c>
    </row>
    <row r="9435">
      <c r="A9435" s="140" t="str">
        <f>IFERROR(__xludf.DUMMYFUNCTION("""COMPUTED_VALUE"""),"ja")</f>
        <v>ja</v>
      </c>
      <c r="B9435">
        <f>IFERROR(__xludf.DUMMYFUNCTION("""COMPUTED_VALUE"""),4061144.0)</f>
        <v>4061144</v>
      </c>
      <c r="C9435" t="str">
        <f>IFERROR(__xludf.DUMMYFUNCTION("""COMPUTED_VALUE"""),"＜UB確認テスト＞Microsoft Power BI Desktop 0 to Hero 入門から実戦まで")</f>
        <v>＜UB確認テスト＞Microsoft Power BI Desktop 0 to Hero 入門から実戦まで</v>
      </c>
    </row>
    <row r="9436">
      <c r="A9436" s="140" t="str">
        <f>IFERROR(__xludf.DUMMYFUNCTION("""COMPUTED_VALUE"""),"en")</f>
        <v>en</v>
      </c>
      <c r="B9436">
        <f>IFERROR(__xludf.DUMMYFUNCTION("""COMPUTED_VALUE"""),733146.0)</f>
        <v>733146</v>
      </c>
      <c r="C9436" t="str">
        <f>IFERROR(__xludf.DUMMYFUNCTION("""COMPUTED_VALUE"""),"VMware vSphere 6.0 Part 5 - VM Backup and Replication")</f>
        <v>VMware vSphere 6.0 Part 5 - VM Backup and Replication</v>
      </c>
    </row>
    <row r="9437">
      <c r="A9437" s="140" t="str">
        <f>IFERROR(__xludf.DUMMYFUNCTION("""COMPUTED_VALUE"""),"en")</f>
        <v>en</v>
      </c>
      <c r="B9437">
        <f>IFERROR(__xludf.DUMMYFUNCTION("""COMPUTED_VALUE"""),823902.0)</f>
        <v>823902</v>
      </c>
      <c r="C9437" t="str">
        <f>IFERROR(__xludf.DUMMYFUNCTION("""COMPUTED_VALUE"""),"How to Find, Evaluate and Launch New Startup Ideas")</f>
        <v>How to Find, Evaluate and Launch New Startup Ideas</v>
      </c>
    </row>
    <row r="9438">
      <c r="A9438" s="140" t="str">
        <f>IFERROR(__xludf.DUMMYFUNCTION("""COMPUTED_VALUE"""),"en")</f>
        <v>en</v>
      </c>
      <c r="B9438">
        <f>IFERROR(__xludf.DUMMYFUNCTION("""COMPUTED_VALUE"""),2343632.0)</f>
        <v>2343632</v>
      </c>
      <c r="C9438" t="str">
        <f>IFERROR(__xludf.DUMMYFUNCTION("""COMPUTED_VALUE"""),"Mindfulness for Anxiety and Sleep - with Tara Brach")</f>
        <v>Mindfulness for Anxiety and Sleep - with Tara Brach</v>
      </c>
    </row>
    <row r="9439">
      <c r="A9439" s="140" t="str">
        <f>IFERROR(__xludf.DUMMYFUNCTION("""COMPUTED_VALUE"""),"de")</f>
        <v>de</v>
      </c>
      <c r="B9439">
        <f>IFERROR(__xludf.DUMMYFUNCTION("""COMPUTED_VALUE"""),1152720.0)</f>
        <v>1152720</v>
      </c>
      <c r="C9439" t="str">
        <f>IFERROR(__xludf.DUMMYFUNCTION("""COMPUTED_VALUE"""),"Dein Powerstart für Einsteiger: Android 8 Apps und Firebase")</f>
        <v>Dein Powerstart für Einsteiger: Android 8 Apps und Firebase</v>
      </c>
    </row>
    <row r="9440">
      <c r="A9440" s="140" t="str">
        <f>IFERROR(__xludf.DUMMYFUNCTION("""COMPUTED_VALUE"""),"en")</f>
        <v>en</v>
      </c>
      <c r="B9440">
        <f>IFERROR(__xludf.DUMMYFUNCTION("""COMPUTED_VALUE"""),816152.0)</f>
        <v>816152</v>
      </c>
      <c r="C9440" t="str">
        <f>IFERROR(__xludf.DUMMYFUNCTION("""COMPUTED_VALUE"""),"Algorithms and Data Structures in Java - Part II")</f>
        <v>Algorithms and Data Structures in Java - Part II</v>
      </c>
    </row>
    <row r="9441">
      <c r="A9441" s="140" t="str">
        <f>IFERROR(__xludf.DUMMYFUNCTION("""COMPUTED_VALUE"""),"en")</f>
        <v>en</v>
      </c>
      <c r="B9441">
        <f>IFERROR(__xludf.DUMMYFUNCTION("""COMPUTED_VALUE"""),2294823.0)</f>
        <v>2294823</v>
      </c>
      <c r="C9441" t="str">
        <f>IFERROR(__xludf.DUMMYFUNCTION("""COMPUTED_VALUE"""),"Kubernetes Made Easy: Learn Kubernetes From Scratch")</f>
        <v>Kubernetes Made Easy: Learn Kubernetes From Scratch</v>
      </c>
    </row>
    <row r="9442">
      <c r="A9442" s="140" t="str">
        <f>IFERROR(__xludf.DUMMYFUNCTION("""COMPUTED_VALUE"""),"en")</f>
        <v>en</v>
      </c>
      <c r="B9442">
        <f>IFERROR(__xludf.DUMMYFUNCTION("""COMPUTED_VALUE"""),1332992.0)</f>
        <v>1332992</v>
      </c>
      <c r="C9442" t="str">
        <f>IFERROR(__xludf.DUMMYFUNCTION("""COMPUTED_VALUE"""),"Upgrade your Influencing and Negotiation Skills !")</f>
        <v>Upgrade your Influencing and Negotiation Skills !</v>
      </c>
    </row>
    <row r="9443">
      <c r="A9443" s="140" t="str">
        <f>IFERROR(__xludf.DUMMYFUNCTION("""COMPUTED_VALUE"""),"pt")</f>
        <v>pt</v>
      </c>
      <c r="B9443">
        <f>IFERROR(__xludf.DUMMYFUNCTION("""COMPUTED_VALUE"""),144634.0)</f>
        <v>144634</v>
      </c>
      <c r="C9443" t="str">
        <f>IFERROR(__xludf.DUMMYFUNCTION("""COMPUTED_VALUE"""),"Aprenda Arduino usando o simulador Tinkercad")</f>
        <v>Aprenda Arduino usando o simulador Tinkercad</v>
      </c>
    </row>
    <row r="9444">
      <c r="A9444" s="140" t="str">
        <f>IFERROR(__xludf.DUMMYFUNCTION("""COMPUTED_VALUE"""),"en")</f>
        <v>en</v>
      </c>
      <c r="B9444">
        <f>IFERROR(__xludf.DUMMYFUNCTION("""COMPUTED_VALUE"""),1666670.0)</f>
        <v>1666670</v>
      </c>
      <c r="C9444" t="str">
        <f>IFERROR(__xludf.DUMMYFUNCTION("""COMPUTED_VALUE"""),"Devops: Jenkins Pipeline As Code: All you need to know A - Z")</f>
        <v>Devops: Jenkins Pipeline As Code: All you need to know A - Z</v>
      </c>
    </row>
    <row r="9445">
      <c r="A9445" s="140" t="str">
        <f>IFERROR(__xludf.DUMMYFUNCTION("""COMPUTED_VALUE"""),"en")</f>
        <v>en</v>
      </c>
      <c r="B9445">
        <f>IFERROR(__xludf.DUMMYFUNCTION("""COMPUTED_VALUE"""),2550757.0)</f>
        <v>2550757</v>
      </c>
      <c r="C9445" t="str">
        <f>IFERROR(__xludf.DUMMYFUNCTION("""COMPUTED_VALUE"""),"CFA® Level 1 (2021/2022) - Complete Economics")</f>
        <v>CFA® Level 1 (2021/2022) - Complete Economics</v>
      </c>
    </row>
    <row r="9446">
      <c r="A9446" s="140" t="str">
        <f>IFERROR(__xludf.DUMMYFUNCTION("""COMPUTED_VALUE"""),"en")</f>
        <v>en</v>
      </c>
      <c r="B9446">
        <f>IFERROR(__xludf.DUMMYFUNCTION("""COMPUTED_VALUE"""),1614930.0)</f>
        <v>1614930</v>
      </c>
      <c r="C9446" t="str">
        <f>IFERROR(__xludf.DUMMYFUNCTION("""COMPUTED_VALUE"""),"Financial Accounting – Subsidiary Ledgers &amp; Special Journals")</f>
        <v>Financial Accounting – Subsidiary Ledgers &amp; Special Journals</v>
      </c>
    </row>
    <row r="9447">
      <c r="A9447" s="140" t="str">
        <f>IFERROR(__xludf.DUMMYFUNCTION("""COMPUTED_VALUE"""),"de")</f>
        <v>de</v>
      </c>
      <c r="B9447">
        <f>IFERROR(__xludf.DUMMYFUNCTION("""COMPUTED_VALUE"""),339316.0)</f>
        <v>339316</v>
      </c>
      <c r="C9447" t="str">
        <f>IFERROR(__xludf.DUMMYFUNCTION("""COMPUTED_VALUE"""),"Schlagfertigkeit - sicher und schlagfertig (re)agieren")</f>
        <v>Schlagfertigkeit - sicher und schlagfertig (re)agieren</v>
      </c>
    </row>
    <row r="9448">
      <c r="A9448" s="140" t="str">
        <f>IFERROR(__xludf.DUMMYFUNCTION("""COMPUTED_VALUE"""),"fr")</f>
        <v>fr</v>
      </c>
      <c r="B9448">
        <f>IFERROR(__xludf.DUMMYFUNCTION("""COMPUTED_VALUE"""),2923266.0)</f>
        <v>2923266</v>
      </c>
      <c r="C9448" t="str">
        <f>IFERROR(__xludf.DUMMYFUNCTION("""COMPUTED_VALUE"""),"Développeur Python | Formation Complète 2022")</f>
        <v>Développeur Python | Formation Complète 2022</v>
      </c>
    </row>
    <row r="9449">
      <c r="A9449" s="140" t="str">
        <f>IFERROR(__xludf.DUMMYFUNCTION("""COMPUTED_VALUE"""),"pt")</f>
        <v>pt</v>
      </c>
      <c r="B9449">
        <f>IFERROR(__xludf.DUMMYFUNCTION("""COMPUTED_VALUE"""),2419696.0)</f>
        <v>2419696</v>
      </c>
      <c r="C9449" t="str">
        <f>IFERROR(__xludf.DUMMYFUNCTION("""COMPUTED_VALUE"""),"CRUD Básico com Bootstrap 4 , PHP e MySQL")</f>
        <v>CRUD Básico com Bootstrap 4 , PHP e MySQL</v>
      </c>
    </row>
    <row r="9450">
      <c r="A9450" s="140" t="str">
        <f>IFERROR(__xludf.DUMMYFUNCTION("""COMPUTED_VALUE"""),"en")</f>
        <v>en</v>
      </c>
      <c r="B9450">
        <f>IFERROR(__xludf.DUMMYFUNCTION("""COMPUTED_VALUE"""),851712.0)</f>
        <v>851712</v>
      </c>
      <c r="C9450" t="str">
        <f>IFERROR(__xludf.DUMMYFUNCTION("""COMPUTED_VALUE"""),"The Complete JavaScript Course 2022: From Zero to Expert!")</f>
        <v>The Complete JavaScript Course 2022: From Zero to Expert!</v>
      </c>
    </row>
    <row r="9451">
      <c r="A9451" s="140" t="str">
        <f>IFERROR(__xludf.DUMMYFUNCTION("""COMPUTED_VALUE"""),"en")</f>
        <v>en</v>
      </c>
      <c r="B9451">
        <f>IFERROR(__xludf.DUMMYFUNCTION("""COMPUTED_VALUE"""),963324.0)</f>
        <v>963324</v>
      </c>
      <c r="C9451" t="str">
        <f>IFERROR(__xludf.DUMMYFUNCTION("""COMPUTED_VALUE"""),"Use SAP BRFplus Like a Pro!")</f>
        <v>Use SAP BRFplus Like a Pro!</v>
      </c>
    </row>
    <row r="9452">
      <c r="A9452" s="140" t="str">
        <f>IFERROR(__xludf.DUMMYFUNCTION("""COMPUTED_VALUE"""),"en")</f>
        <v>en</v>
      </c>
      <c r="B9452">
        <f>IFERROR(__xludf.DUMMYFUNCTION("""COMPUTED_VALUE"""),1341646.0)</f>
        <v>1341646</v>
      </c>
      <c r="C9452" t="str">
        <f>IFERROR(__xludf.DUMMYFUNCTION("""COMPUTED_VALUE"""),"Speed Reading MACHINE 3.1: How To Read 307 Books In 2021")</f>
        <v>Speed Reading MACHINE 3.1: How To Read 307 Books In 2021</v>
      </c>
    </row>
    <row r="9453">
      <c r="A9453" s="140" t="str">
        <f>IFERROR(__xludf.DUMMYFUNCTION("""COMPUTED_VALUE"""),"fr")</f>
        <v>fr</v>
      </c>
      <c r="B9453">
        <f>IFERROR(__xludf.DUMMYFUNCTION("""COMPUTED_VALUE"""),1329558.0)</f>
        <v>1329558</v>
      </c>
      <c r="C9453" t="str">
        <f>IFERROR(__xludf.DUMMYFUNCTION("""COMPUTED_VALUE"""),"L'analyse transactionnelle - Isabelle Constant")</f>
        <v>L'analyse transactionnelle - Isabelle Constant</v>
      </c>
    </row>
    <row r="9454">
      <c r="A9454" s="140" t="str">
        <f>IFERROR(__xludf.DUMMYFUNCTION("""COMPUTED_VALUE"""),"en")</f>
        <v>en</v>
      </c>
      <c r="B9454">
        <f>IFERROR(__xludf.DUMMYFUNCTION("""COMPUTED_VALUE"""),519442.0)</f>
        <v>519442</v>
      </c>
      <c r="C9454" t="str">
        <f>IFERROR(__xludf.DUMMYFUNCTION("""COMPUTED_VALUE"""),"The Complete Ruby on Rails Developer Course")</f>
        <v>The Complete Ruby on Rails Developer Course</v>
      </c>
    </row>
    <row r="9455">
      <c r="A9455" s="140" t="str">
        <f>IFERROR(__xludf.DUMMYFUNCTION("""COMPUTED_VALUE"""),"es")</f>
        <v>es</v>
      </c>
      <c r="B9455">
        <f>IFERROR(__xludf.DUMMYFUNCTION("""COMPUTED_VALUE"""),1634442.0)</f>
        <v>1634442</v>
      </c>
      <c r="C9455" t="str">
        <f>IFERROR(__xludf.DUMMYFUNCTION("""COMPUTED_VALUE"""),"Hacking Ético Profesional - Redes y Escaneo de Objetivos")</f>
        <v>Hacking Ético Profesional - Redes y Escaneo de Objetivos</v>
      </c>
    </row>
    <row r="9456">
      <c r="A9456" s="140" t="str">
        <f>IFERROR(__xludf.DUMMYFUNCTION("""COMPUTED_VALUE"""),"es")</f>
        <v>es</v>
      </c>
      <c r="B9456">
        <f>IFERROR(__xludf.DUMMYFUNCTION("""COMPUTED_VALUE"""),1420530.0)</f>
        <v>1420530</v>
      </c>
      <c r="C9456" t="str">
        <f>IFERROR(__xludf.DUMMYFUNCTION("""COMPUTED_VALUE"""),"Cómo facilitar talleres de capacitación (avanzado)")</f>
        <v>Cómo facilitar talleres de capacitación (avanzado)</v>
      </c>
    </row>
    <row r="9457">
      <c r="A9457" s="140" t="str">
        <f>IFERROR(__xludf.DUMMYFUNCTION("""COMPUTED_VALUE"""),"ja")</f>
        <v>ja</v>
      </c>
      <c r="B9457">
        <f>IFERROR(__xludf.DUMMYFUNCTION("""COMPUTED_VALUE"""),3478764.0)</f>
        <v>3478764</v>
      </c>
      <c r="C9457" t="str">
        <f>IFERROR(__xludf.DUMMYFUNCTION("""COMPUTED_VALUE"""),"C#でサービスプログラムを作成して 処理を自動化する方法")</f>
        <v>C#でサービスプログラムを作成して 処理を自動化する方法</v>
      </c>
    </row>
    <row r="9458">
      <c r="A9458" s="140" t="str">
        <f>IFERROR(__xludf.DUMMYFUNCTION("""COMPUTED_VALUE"""),"en")</f>
        <v>en</v>
      </c>
      <c r="B9458">
        <f>IFERROR(__xludf.DUMMYFUNCTION("""COMPUTED_VALUE"""),2355914.0)</f>
        <v>2355914</v>
      </c>
      <c r="C9458" t="str">
        <f>IFERROR(__xludf.DUMMYFUNCTION("""COMPUTED_VALUE"""),"Leadership: Essentials for Career Development")</f>
        <v>Leadership: Essentials for Career Development</v>
      </c>
    </row>
    <row r="9459">
      <c r="A9459" s="140" t="str">
        <f>IFERROR(__xludf.DUMMYFUNCTION("""COMPUTED_VALUE"""),"en")</f>
        <v>en</v>
      </c>
      <c r="B9459">
        <f>IFERROR(__xludf.DUMMYFUNCTION("""COMPUTED_VALUE"""),176138.0)</f>
        <v>176138</v>
      </c>
      <c r="C9459" t="str">
        <f>IFERROR(__xludf.DUMMYFUNCTION("""COMPUTED_VALUE"""),"Business Writing &amp; Technical Writing Immersion")</f>
        <v>Business Writing &amp; Technical Writing Immersion</v>
      </c>
    </row>
    <row r="9460">
      <c r="A9460" s="140" t="str">
        <f>IFERROR(__xludf.DUMMYFUNCTION("""COMPUTED_VALUE"""),"es")</f>
        <v>es</v>
      </c>
      <c r="B9460">
        <f>IFERROR(__xludf.DUMMYFUNCTION("""COMPUTED_VALUE"""),2307340.0)</f>
        <v>2307340</v>
      </c>
      <c r="C9460" t="str">
        <f>IFERROR(__xludf.DUMMYFUNCTION("""COMPUTED_VALUE"""),"Seguridad Informática: Hacking con Python Recargado.Año 2021")</f>
        <v>Seguridad Informática: Hacking con Python Recargado.Año 2021</v>
      </c>
    </row>
    <row r="9461">
      <c r="A9461" s="140" t="str">
        <f>IFERROR(__xludf.DUMMYFUNCTION("""COMPUTED_VALUE"""),"en")</f>
        <v>en</v>
      </c>
      <c r="B9461">
        <f>IFERROR(__xludf.DUMMYFUNCTION("""COMPUTED_VALUE"""),3670420.0)</f>
        <v>3670420</v>
      </c>
      <c r="C9461" t="str">
        <f>IFERROR(__xludf.DUMMYFUNCTION("""COMPUTED_VALUE"""),"LGBT+ 101")</f>
        <v>LGBT+ 101</v>
      </c>
    </row>
    <row r="9462">
      <c r="A9462" s="140" t="str">
        <f>IFERROR(__xludf.DUMMYFUNCTION("""COMPUTED_VALUE"""),"en")</f>
        <v>en</v>
      </c>
      <c r="B9462">
        <f>IFERROR(__xludf.DUMMYFUNCTION("""COMPUTED_VALUE"""),1265410.0)</f>
        <v>1265410</v>
      </c>
      <c r="C9462" t="str">
        <f>IFERROR(__xludf.DUMMYFUNCTION("""COMPUTED_VALUE"""),"Postman: The Complete Guide - REST API Testing")</f>
        <v>Postman: The Complete Guide - REST API Testing</v>
      </c>
    </row>
    <row r="9463">
      <c r="A9463" s="140" t="str">
        <f>IFERROR(__xludf.DUMMYFUNCTION("""COMPUTED_VALUE"""),"de")</f>
        <v>de</v>
      </c>
      <c r="B9463">
        <f>IFERROR(__xludf.DUMMYFUNCTION("""COMPUTED_VALUE"""),2331796.0)</f>
        <v>2331796</v>
      </c>
      <c r="C9463" t="str">
        <f>IFERROR(__xludf.DUMMYFUNCTION("""COMPUTED_VALUE"""),"Meistere die asynchrone Programmierung mit .Net und C#")</f>
        <v>Meistere die asynchrone Programmierung mit .Net und C#</v>
      </c>
    </row>
    <row r="9464">
      <c r="A9464" s="140" t="str">
        <f>IFERROR(__xludf.DUMMYFUNCTION("""COMPUTED_VALUE"""),"en")</f>
        <v>en</v>
      </c>
      <c r="B9464">
        <f>IFERROR(__xludf.DUMMYFUNCTION("""COMPUTED_VALUE"""),1572898.0)</f>
        <v>1572898</v>
      </c>
      <c r="C9464" t="str">
        <f>IFERROR(__xludf.DUMMYFUNCTION("""COMPUTED_VALUE"""),"Angular Universal In Depth")</f>
        <v>Angular Universal In Depth</v>
      </c>
    </row>
    <row r="9465">
      <c r="A9465" s="140" t="str">
        <f>IFERROR(__xludf.DUMMYFUNCTION("""COMPUTED_VALUE"""),"en")</f>
        <v>en</v>
      </c>
      <c r="B9465">
        <f>IFERROR(__xludf.DUMMYFUNCTION("""COMPUTED_VALUE"""),1183780.0)</f>
        <v>1183780</v>
      </c>
      <c r="C9465" t="str">
        <f>IFERROR(__xludf.DUMMYFUNCTION("""COMPUTED_VALUE"""),"Reactive Programming in iOS with RxSwift")</f>
        <v>Reactive Programming in iOS with RxSwift</v>
      </c>
    </row>
    <row r="9466">
      <c r="A9466" s="140" t="str">
        <f>IFERROR(__xludf.DUMMYFUNCTION("""COMPUTED_VALUE"""),"en")</f>
        <v>en</v>
      </c>
      <c r="B9466">
        <f>IFERROR(__xludf.DUMMYFUNCTION("""COMPUTED_VALUE"""),3449288.0)</f>
        <v>3449288</v>
      </c>
      <c r="C9466" t="str">
        <f>IFERROR(__xludf.DUMMYFUNCTION("""COMPUTED_VALUE"""),"The Virtual Manager: Lead Productive Teams From Home")</f>
        <v>The Virtual Manager: Lead Productive Teams From Home</v>
      </c>
    </row>
    <row r="9467">
      <c r="A9467" s="140" t="str">
        <f>IFERROR(__xludf.DUMMYFUNCTION("""COMPUTED_VALUE"""),"es")</f>
        <v>es</v>
      </c>
      <c r="B9467">
        <f>IFERROR(__xludf.DUMMYFUNCTION("""COMPUTED_VALUE"""),3268456.0)</f>
        <v>3268456</v>
      </c>
      <c r="C9467" t="str">
        <f>IFERROR(__xludf.DUMMYFUNCTION("""COMPUTED_VALUE"""),"Curso de Excel Online Completo: De Básico a Profesional")</f>
        <v>Curso de Excel Online Completo: De Básico a Profesional</v>
      </c>
    </row>
    <row r="9468">
      <c r="A9468" s="140" t="str">
        <f>IFERROR(__xludf.DUMMYFUNCTION("""COMPUTED_VALUE"""),"pt")</f>
        <v>pt</v>
      </c>
      <c r="B9468">
        <f>IFERROR(__xludf.DUMMYFUNCTION("""COMPUTED_VALUE"""),3401170.0)</f>
        <v>3401170</v>
      </c>
      <c r="C9468" t="str">
        <f>IFERROR(__xludf.DUMMYFUNCTION("""COMPUTED_VALUE"""),"Introdução ao Mercado de Opções sobre Ações")</f>
        <v>Introdução ao Mercado de Opções sobre Ações</v>
      </c>
    </row>
    <row r="9469">
      <c r="A9469" s="140" t="str">
        <f>IFERROR(__xludf.DUMMYFUNCTION("""COMPUTED_VALUE"""),"en")</f>
        <v>en</v>
      </c>
      <c r="B9469">
        <f>IFERROR(__xludf.DUMMYFUNCTION("""COMPUTED_VALUE"""),1208634.0)</f>
        <v>1208634</v>
      </c>
      <c r="C9469" t="str">
        <f>IFERROR(__xludf.DUMMYFUNCTION("""COMPUTED_VALUE"""),"Microsoft Power BI - A Complete Introduction [2022 EDITION]")</f>
        <v>Microsoft Power BI - A Complete Introduction [2022 EDITION]</v>
      </c>
    </row>
    <row r="9470">
      <c r="A9470" s="140" t="str">
        <f>IFERROR(__xludf.DUMMYFUNCTION("""COMPUTED_VALUE"""),"pt")</f>
        <v>pt</v>
      </c>
      <c r="B9470">
        <f>IFERROR(__xludf.DUMMYFUNCTION("""COMPUTED_VALUE"""),1627482.0)</f>
        <v>1627482</v>
      </c>
      <c r="C9470" t="str">
        <f>IFERROR(__xludf.DUMMYFUNCTION("""COMPUTED_VALUE"""),"Web Design com Adobe XD, Bootstrap, GIMP, HTML e Photoshop")</f>
        <v>Web Design com Adobe XD, Bootstrap, GIMP, HTML e Photoshop</v>
      </c>
    </row>
    <row r="9471">
      <c r="A9471" s="140" t="str">
        <f>IFERROR(__xludf.DUMMYFUNCTION("""COMPUTED_VALUE"""),"en")</f>
        <v>en</v>
      </c>
      <c r="B9471">
        <f>IFERROR(__xludf.DUMMYFUNCTION("""COMPUTED_VALUE"""),2878006.0)</f>
        <v>2878006</v>
      </c>
      <c r="C9471" t="str">
        <f>IFERROR(__xludf.DUMMYFUNCTION("""COMPUTED_VALUE"""),"PgMP (Program Management Professional) Exam Prep Course")</f>
        <v>PgMP (Program Management Professional) Exam Prep Course</v>
      </c>
    </row>
    <row r="9472">
      <c r="A9472" s="140" t="str">
        <f>IFERROR(__xludf.DUMMYFUNCTION("""COMPUTED_VALUE"""),"es")</f>
        <v>es</v>
      </c>
      <c r="B9472">
        <f>IFERROR(__xludf.DUMMYFUNCTION("""COMPUTED_VALUE"""),3783506.0)</f>
        <v>3783506</v>
      </c>
      <c r="C9472" t="str">
        <f>IFERROR(__xludf.DUMMYFUNCTION("""COMPUTED_VALUE"""),"Bootstrap 5 desde cero + HTML, CSS, Flexbox, Sass, GIT, PHP!")</f>
        <v>Bootstrap 5 desde cero + HTML, CSS, Flexbox, Sass, GIT, PHP!</v>
      </c>
    </row>
    <row r="9473">
      <c r="A9473" s="140" t="str">
        <f>IFERROR(__xludf.DUMMYFUNCTION("""COMPUTED_VALUE"""),"en")</f>
        <v>en</v>
      </c>
      <c r="B9473">
        <f>IFERROR(__xludf.DUMMYFUNCTION("""COMPUTED_VALUE"""),586176.0)</f>
        <v>586176</v>
      </c>
      <c r="C9473" t="str">
        <f>IFERROR(__xludf.DUMMYFUNCTION("""COMPUTED_VALUE"""),"Self-coach Your Success Using the GROW Coaching Model")</f>
        <v>Self-coach Your Success Using the GROW Coaching Model</v>
      </c>
    </row>
    <row r="9474">
      <c r="A9474" s="140" t="str">
        <f>IFERROR(__xludf.DUMMYFUNCTION("""COMPUTED_VALUE"""),"es")</f>
        <v>es</v>
      </c>
      <c r="B9474">
        <f>IFERROR(__xludf.DUMMYFUNCTION("""COMPUTED_VALUE"""),2338870.0)</f>
        <v>2338870</v>
      </c>
      <c r="C9474" t="str">
        <f>IFERROR(__xludf.DUMMYFUNCTION("""COMPUTED_VALUE"""),"Guía completa de GraphQL con Angular de 0 a Experto.")</f>
        <v>Guía completa de GraphQL con Angular de 0 a Experto.</v>
      </c>
    </row>
    <row r="9475">
      <c r="A9475" s="140" t="str">
        <f>IFERROR(__xludf.DUMMYFUNCTION("""COMPUTED_VALUE"""),"pt")</f>
        <v>pt</v>
      </c>
      <c r="B9475">
        <f>IFERROR(__xludf.DUMMYFUNCTION("""COMPUTED_VALUE"""),3323220.0)</f>
        <v>3323220</v>
      </c>
      <c r="C9475" t="str">
        <f>IFERROR(__xludf.DUMMYFUNCTION("""COMPUTED_VALUE"""),"Estrutura de Dados e Algoritmos em Python: O Guia Completo")</f>
        <v>Estrutura de Dados e Algoritmos em Python: O Guia Completo</v>
      </c>
    </row>
    <row r="9476">
      <c r="A9476" s="140" t="str">
        <f>IFERROR(__xludf.DUMMYFUNCTION("""COMPUTED_VALUE"""),"en")</f>
        <v>en</v>
      </c>
      <c r="B9476">
        <f>IFERROR(__xludf.DUMMYFUNCTION("""COMPUTED_VALUE"""),580110.0)</f>
        <v>580110</v>
      </c>
      <c r="C9476" t="str">
        <f>IFERROR(__xludf.DUMMYFUNCTION("""COMPUTED_VALUE"""),"An Introduction to Emotional Intelligence")</f>
        <v>An Introduction to Emotional Intelligence</v>
      </c>
    </row>
    <row r="9477">
      <c r="A9477" s="140" t="str">
        <f>IFERROR(__xludf.DUMMYFUNCTION("""COMPUTED_VALUE"""),"en")</f>
        <v>en</v>
      </c>
      <c r="B9477">
        <f>IFERROR(__xludf.DUMMYFUNCTION("""COMPUTED_VALUE"""),3655934.0)</f>
        <v>3655934</v>
      </c>
      <c r="C9477" t="str">
        <f>IFERROR(__xludf.DUMMYFUNCTION("""COMPUTED_VALUE"""),"ServiceNow IT Service Management (CIS - ITSM) Practice Tests")</f>
        <v>ServiceNow IT Service Management (CIS - ITSM) Practice Tests</v>
      </c>
    </row>
    <row r="9478">
      <c r="A9478" s="140" t="str">
        <f>IFERROR(__xludf.DUMMYFUNCTION("""COMPUTED_VALUE"""),"en")</f>
        <v>en</v>
      </c>
      <c r="B9478">
        <f>IFERROR(__xludf.DUMMYFUNCTION("""COMPUTED_VALUE"""),3369858.0)</f>
        <v>3369858</v>
      </c>
      <c r="C9478" t="str">
        <f>IFERROR(__xludf.DUMMYFUNCTION("""COMPUTED_VALUE"""),"How to Start a Career in Data Science 2021")</f>
        <v>How to Start a Career in Data Science 2021</v>
      </c>
    </row>
    <row r="9479">
      <c r="A9479" s="140" t="str">
        <f>IFERROR(__xludf.DUMMYFUNCTION("""COMPUTED_VALUE"""),"es")</f>
        <v>es</v>
      </c>
      <c r="B9479">
        <f>IFERROR(__xludf.DUMMYFUNCTION("""COMPUTED_VALUE"""),2262120.0)</f>
        <v>2262120</v>
      </c>
      <c r="C9479" t="str">
        <f>IFERROR(__xludf.DUMMYFUNCTION("""COMPUTED_VALUE"""),"Análisis de Estados Financieros")</f>
        <v>Análisis de Estados Financieros</v>
      </c>
    </row>
    <row r="9480">
      <c r="A9480" s="140" t="str">
        <f>IFERROR(__xludf.DUMMYFUNCTION("""COMPUTED_VALUE"""),"es")</f>
        <v>es</v>
      </c>
      <c r="B9480">
        <f>IFERROR(__xludf.DUMMYFUNCTION("""COMPUTED_VALUE"""),1692930.0)</f>
        <v>1692930</v>
      </c>
      <c r="C9480" t="str">
        <f>IFERROR(__xludf.DUMMYFUNCTION("""COMPUTED_VALUE"""),"Análisis en Microsoft Excel: Power Pivot, DAX y Power Query.")</f>
        <v>Análisis en Microsoft Excel: Power Pivot, DAX y Power Query.</v>
      </c>
    </row>
    <row r="9481">
      <c r="A9481" s="140" t="str">
        <f>IFERROR(__xludf.DUMMYFUNCTION("""COMPUTED_VALUE"""),"ar")</f>
        <v>ar</v>
      </c>
      <c r="B9481">
        <f>IFERROR(__xludf.DUMMYFUNCTION("""COMPUTED_VALUE"""),3439728.0)</f>
        <v>3439728</v>
      </c>
      <c r="C9481" t="str">
        <f>IFERROR(__xludf.DUMMYFUNCTION("""COMPUTED_VALUE"""),"Financial analysis (in Arabic)")</f>
        <v>Financial analysis (in Arabic)</v>
      </c>
    </row>
    <row r="9482">
      <c r="A9482" s="140" t="str">
        <f>IFERROR(__xludf.DUMMYFUNCTION("""COMPUTED_VALUE"""),"pt")</f>
        <v>pt</v>
      </c>
      <c r="B9482">
        <f>IFERROR(__xludf.DUMMYFUNCTION("""COMPUTED_VALUE"""),1713640.0)</f>
        <v>1713640</v>
      </c>
      <c r="C9482" t="str">
        <f>IFERROR(__xludf.DUMMYFUNCTION("""COMPUTED_VALUE"""),"Design Thinking de A a Z: o curso completo")</f>
        <v>Design Thinking de A a Z: o curso completo</v>
      </c>
    </row>
    <row r="9483">
      <c r="A9483" s="140" t="str">
        <f>IFERROR(__xludf.DUMMYFUNCTION("""COMPUTED_VALUE"""),"tr")</f>
        <v>tr</v>
      </c>
      <c r="B9483">
        <f>IFERROR(__xludf.DUMMYFUNCTION("""COMPUTED_VALUE"""),1443196.0)</f>
        <v>1443196</v>
      </c>
      <c r="C9483" t="str">
        <f>IFERROR(__xludf.DUMMYFUNCTION("""COMPUTED_VALUE"""),"ÖZEL SİSTEM UZMANLIĞI + IP Adresleri ve Bilgisayar Ağları")</f>
        <v>ÖZEL SİSTEM UZMANLIĞI + IP Adresleri ve Bilgisayar Ağları</v>
      </c>
    </row>
    <row r="9484">
      <c r="A9484" s="140" t="str">
        <f>IFERROR(__xludf.DUMMYFUNCTION("""COMPUTED_VALUE"""),"ja")</f>
        <v>ja</v>
      </c>
      <c r="B9484">
        <f>IFERROR(__xludf.DUMMYFUNCTION("""COMPUTED_VALUE"""),3978238.0)</f>
        <v>3978238</v>
      </c>
      <c r="C9484" t="str">
        <f>IFERROR(__xludf.DUMMYFUNCTION("""COMPUTED_VALUE"""),"【データリテラシーの第一歩】集計トラブルを防ぐExcelデータ作成・管理の基本ルール【120分コース】")</f>
        <v>【データリテラシーの第一歩】集計トラブルを防ぐExcelデータ作成・管理の基本ルール【120分コース】</v>
      </c>
    </row>
    <row r="9485">
      <c r="A9485" s="140" t="str">
        <f>IFERROR(__xludf.DUMMYFUNCTION("""COMPUTED_VALUE"""),"en")</f>
        <v>en</v>
      </c>
      <c r="B9485">
        <f>IFERROR(__xludf.DUMMYFUNCTION("""COMPUTED_VALUE"""),1468994.0)</f>
        <v>1468994</v>
      </c>
      <c r="C9485" t="str">
        <f>IFERROR(__xludf.DUMMYFUNCTION("""COMPUTED_VALUE"""),"IQBBA Certified Foundation Level Business Analyst (CFLBA)")</f>
        <v>IQBBA Certified Foundation Level Business Analyst (CFLBA)</v>
      </c>
    </row>
    <row r="9486">
      <c r="A9486" s="140" t="str">
        <f>IFERROR(__xludf.DUMMYFUNCTION("""COMPUTED_VALUE"""),"es")</f>
        <v>es</v>
      </c>
      <c r="B9486">
        <f>IFERROR(__xludf.DUMMYFUNCTION("""COMPUTED_VALUE"""),970528.0)</f>
        <v>970528</v>
      </c>
      <c r="C9486" t="str">
        <f>IFERROR(__xludf.DUMMYFUNCTION("""COMPUTED_VALUE"""),"Máster en PHP 8, POO, MVC, MySQL, Laravel 8, CodeIgniter 4")</f>
        <v>Máster en PHP 8, POO, MVC, MySQL, Laravel 8, CodeIgniter 4</v>
      </c>
    </row>
    <row r="9487">
      <c r="A9487" s="140" t="str">
        <f>IFERROR(__xludf.DUMMYFUNCTION("""COMPUTED_VALUE"""),"en")</f>
        <v>en</v>
      </c>
      <c r="B9487">
        <f>IFERROR(__xludf.DUMMYFUNCTION("""COMPUTED_VALUE"""),1678752.0)</f>
        <v>1678752</v>
      </c>
      <c r="C9487" t="str">
        <f>IFERROR(__xludf.DUMMYFUNCTION("""COMPUTED_VALUE"""),"Practice PMP Exam Questions: 3 Full PMP Exams, Jan 2021")</f>
        <v>Practice PMP Exam Questions: 3 Full PMP Exams, Jan 2021</v>
      </c>
    </row>
    <row r="9488">
      <c r="A9488" s="140" t="str">
        <f>IFERROR(__xludf.DUMMYFUNCTION("""COMPUTED_VALUE"""),"es")</f>
        <v>es</v>
      </c>
      <c r="B9488">
        <f>IFERROR(__xludf.DUMMYFUNCTION("""COMPUTED_VALUE"""),1979544.0)</f>
        <v>1979544</v>
      </c>
      <c r="C9488" t="str">
        <f>IFERROR(__xludf.DUMMYFUNCTION("""COMPUTED_VALUE"""),"Vuejs 2 y Vuex desde 0 con las mejores prácticas")</f>
        <v>Vuejs 2 y Vuex desde 0 con las mejores prácticas</v>
      </c>
    </row>
    <row r="9489">
      <c r="A9489" s="140" t="str">
        <f>IFERROR(__xludf.DUMMYFUNCTION("""COMPUTED_VALUE"""),"en")</f>
        <v>en</v>
      </c>
      <c r="B9489">
        <f>IFERROR(__xludf.DUMMYFUNCTION("""COMPUTED_VALUE"""),1506888.0)</f>
        <v>1506888</v>
      </c>
      <c r="C9489" t="str">
        <f>IFERROR(__xludf.DUMMYFUNCTION("""COMPUTED_VALUE"""),"Unlock Excel VBA and Excel Macros")</f>
        <v>Unlock Excel VBA and Excel Macros</v>
      </c>
    </row>
    <row r="9490">
      <c r="A9490" s="140" t="str">
        <f>IFERROR(__xludf.DUMMYFUNCTION("""COMPUTED_VALUE"""),"en")</f>
        <v>en</v>
      </c>
      <c r="B9490">
        <f>IFERROR(__xludf.DUMMYFUNCTION("""COMPUTED_VALUE"""),2406648.0)</f>
        <v>2406648</v>
      </c>
      <c r="C9490" t="str">
        <f>IFERROR(__xludf.DUMMYFUNCTION("""COMPUTED_VALUE"""),"Microsoft AZ-900 Certification: Azure Fundamentals")</f>
        <v>Microsoft AZ-900 Certification: Azure Fundamentals</v>
      </c>
    </row>
    <row r="9491">
      <c r="A9491" s="140" t="str">
        <f>IFERROR(__xludf.DUMMYFUNCTION("""COMPUTED_VALUE"""),"pt")</f>
        <v>pt</v>
      </c>
      <c r="B9491">
        <f>IFERROR(__xludf.DUMMYFUNCTION("""COMPUTED_VALUE"""),3449268.0)</f>
        <v>3449268</v>
      </c>
      <c r="C9491" t="str">
        <f>IFERROR(__xludf.DUMMYFUNCTION("""COMPUTED_VALUE"""),"SEO para Criação de Conteúdo")</f>
        <v>SEO para Criação de Conteúdo</v>
      </c>
    </row>
    <row r="9492">
      <c r="A9492" s="140" t="str">
        <f>IFERROR(__xludf.DUMMYFUNCTION("""COMPUTED_VALUE"""),"fr")</f>
        <v>fr</v>
      </c>
      <c r="B9492">
        <f>IFERROR(__xludf.DUMMYFUNCTION("""COMPUTED_VALUE"""),1620090.0)</f>
        <v>1620090</v>
      </c>
      <c r="C9492" t="str">
        <f>IFERROR(__xludf.DUMMYFUNCTION("""COMPUTED_VALUE"""),"Data Science : Analyse de données avec Python")</f>
        <v>Data Science : Analyse de données avec Python</v>
      </c>
    </row>
    <row r="9493">
      <c r="A9493" s="140" t="str">
        <f>IFERROR(__xludf.DUMMYFUNCTION("""COMPUTED_VALUE"""),"ja")</f>
        <v>ja</v>
      </c>
      <c r="B9493">
        <f>IFERROR(__xludf.DUMMYFUNCTION("""COMPUTED_VALUE"""),2359590.0)</f>
        <v>2359590</v>
      </c>
      <c r="C9493" t="str">
        <f>IFERROR(__xludf.DUMMYFUNCTION("""COMPUTED_VALUE"""),"【5分で相手が変わる】メンバーを育てるコーチング入門～リーダー支援10年以上の実績を持つ講師が事例をもとに解説～")</f>
        <v>【5分で相手が変わる】メンバーを育てるコーチング入門～リーダー支援10年以上の実績を持つ講師が事例をもとに解説～</v>
      </c>
    </row>
    <row r="9494">
      <c r="A9494" s="140" t="str">
        <f>IFERROR(__xludf.DUMMYFUNCTION("""COMPUTED_VALUE"""),"ko")</f>
        <v>ko</v>
      </c>
      <c r="B9494">
        <f>IFERROR(__xludf.DUMMYFUNCTION("""COMPUTED_VALUE"""),4265658.0)</f>
        <v>4265658</v>
      </c>
      <c r="C9494" t="str">
        <f>IFERROR(__xludf.DUMMYFUNCTION("""COMPUTED_VALUE"""),"잘나가는 마케터의 비밀: 그로스루프, 퍼포먼스, CRM마케팅")</f>
        <v>잘나가는 마케터의 비밀: 그로스루프, 퍼포먼스, CRM마케팅</v>
      </c>
    </row>
    <row r="9495">
      <c r="A9495" s="140" t="str">
        <f>IFERROR(__xludf.DUMMYFUNCTION("""COMPUTED_VALUE"""),"en")</f>
        <v>en</v>
      </c>
      <c r="B9495">
        <f>IFERROR(__xludf.DUMMYFUNCTION("""COMPUTED_VALUE"""),3325392.0)</f>
        <v>3325392</v>
      </c>
      <c r="C9495" t="str">
        <f>IFERROR(__xludf.DUMMYFUNCTION("""COMPUTED_VALUE"""),"AZ-900 - Microsoft Azure Fundamentals Practice Tests 2021")</f>
        <v>AZ-900 - Microsoft Azure Fundamentals Practice Tests 2021</v>
      </c>
    </row>
    <row r="9496">
      <c r="A9496" s="140" t="str">
        <f>IFERROR(__xludf.DUMMYFUNCTION("""COMPUTED_VALUE"""),"en")</f>
        <v>en</v>
      </c>
      <c r="B9496">
        <f>IFERROR(__xludf.DUMMYFUNCTION("""COMPUTED_VALUE"""),2548033.0)</f>
        <v>2548033</v>
      </c>
      <c r="C9496" t="str">
        <f>IFERROR(__xludf.DUMMYFUNCTION("""COMPUTED_VALUE"""),"Apache Beam | A Hands-On course to build Big data Pipelines")</f>
        <v>Apache Beam | A Hands-On course to build Big data Pipelines</v>
      </c>
    </row>
    <row r="9497">
      <c r="A9497" s="140" t="str">
        <f>IFERROR(__xludf.DUMMYFUNCTION("""COMPUTED_VALUE"""),"en")</f>
        <v>en</v>
      </c>
      <c r="B9497">
        <f>IFERROR(__xludf.DUMMYFUNCTION("""COMPUTED_VALUE"""),2971272.0)</f>
        <v>2971272</v>
      </c>
      <c r="C9497" t="str">
        <f>IFERROR(__xludf.DUMMYFUNCTION("""COMPUTED_VALUE"""),"Instagram Ads Masterclass: Complete Guide for Instagram Ads")</f>
        <v>Instagram Ads Masterclass: Complete Guide for Instagram Ads</v>
      </c>
    </row>
    <row r="9498">
      <c r="A9498" s="140" t="str">
        <f>IFERROR(__xludf.DUMMYFUNCTION("""COMPUTED_VALUE"""),"en")</f>
        <v>en</v>
      </c>
      <c r="B9498">
        <f>IFERROR(__xludf.DUMMYFUNCTION("""COMPUTED_VALUE"""),2268034.0)</f>
        <v>2268034</v>
      </c>
      <c r="C9498" t="str">
        <f>IFERROR(__xludf.DUMMYFUNCTION("""COMPUTED_VALUE"""),"How to easily use ANN for prediction mapping using GIS data?")</f>
        <v>How to easily use ANN for prediction mapping using GIS data?</v>
      </c>
    </row>
    <row r="9499">
      <c r="A9499" s="140" t="str">
        <f>IFERROR(__xludf.DUMMYFUNCTION("""COMPUTED_VALUE"""),"en")</f>
        <v>en</v>
      </c>
      <c r="B9499">
        <f>IFERROR(__xludf.DUMMYFUNCTION("""COMPUTED_VALUE"""),3014266.0)</f>
        <v>3014266</v>
      </c>
      <c r="C9499" t="str">
        <f>IFERROR(__xludf.DUMMYFUNCTION("""COMPUTED_VALUE"""),"Build UBER Clone App Using Flutter and Firebase (2020)")</f>
        <v>Build UBER Clone App Using Flutter and Firebase (2020)</v>
      </c>
    </row>
    <row r="9500">
      <c r="A9500" s="140" t="str">
        <f>IFERROR(__xludf.DUMMYFUNCTION("""COMPUTED_VALUE"""),"de")</f>
        <v>de</v>
      </c>
      <c r="B9500">
        <f>IFERROR(__xludf.DUMMYFUNCTION("""COMPUTED_VALUE"""),1982014.0)</f>
        <v>1982014</v>
      </c>
      <c r="C9500" t="str">
        <f>IFERROR(__xludf.DUMMYFUNCTION("""COMPUTED_VALUE"""),"macOS Mojave - Das Einsteiger- &amp; Fortgeschrittenen-Training")</f>
        <v>macOS Mojave - Das Einsteiger- &amp; Fortgeschrittenen-Training</v>
      </c>
    </row>
    <row r="9501">
      <c r="A9501" s="140" t="str">
        <f>IFERROR(__xludf.DUMMYFUNCTION("""COMPUTED_VALUE"""),"en")</f>
        <v>en</v>
      </c>
      <c r="B9501">
        <f>IFERROR(__xludf.DUMMYFUNCTION("""COMPUTED_VALUE"""),3571071.0)</f>
        <v>3571071</v>
      </c>
      <c r="C9501" t="str">
        <f>IFERROR(__xludf.DUMMYFUNCTION("""COMPUTED_VALUE"""),"Mockito: Next-Level Java Unit Testing")</f>
        <v>Mockito: Next-Level Java Unit Testing</v>
      </c>
    </row>
    <row r="9502">
      <c r="A9502" s="140" t="str">
        <f>IFERROR(__xludf.DUMMYFUNCTION("""COMPUTED_VALUE"""),"en")</f>
        <v>en</v>
      </c>
      <c r="B9502">
        <f>IFERROR(__xludf.DUMMYFUNCTION("""COMPUTED_VALUE"""),1444056.0)</f>
        <v>1444056</v>
      </c>
      <c r="C9502" t="str">
        <f>IFERROR(__xludf.DUMMYFUNCTION("""COMPUTED_VALUE"""),"Six Sigma: Certified Lean Six Sigma Yellow Belt (Accredited)")</f>
        <v>Six Sigma: Certified Lean Six Sigma Yellow Belt (Accredited)</v>
      </c>
    </row>
    <row r="9503">
      <c r="A9503" s="140" t="str">
        <f>IFERROR(__xludf.DUMMYFUNCTION("""COMPUTED_VALUE"""),"en")</f>
        <v>en</v>
      </c>
      <c r="B9503">
        <f>IFERROR(__xludf.DUMMYFUNCTION("""COMPUTED_VALUE"""),2014702.0)</f>
        <v>2014702</v>
      </c>
      <c r="C9503" t="str">
        <f>IFERROR(__xludf.DUMMYFUNCTION("""COMPUTED_VALUE"""),"Detecting Memory Leaks in C/C++ Applications")</f>
        <v>Detecting Memory Leaks in C/C++ Applications</v>
      </c>
    </row>
    <row r="9504">
      <c r="A9504" s="140" t="str">
        <f>IFERROR(__xludf.DUMMYFUNCTION("""COMPUTED_VALUE"""),"en")</f>
        <v>en</v>
      </c>
      <c r="B9504">
        <f>IFERROR(__xludf.DUMMYFUNCTION("""COMPUTED_VALUE"""),2035334.0)</f>
        <v>2035334</v>
      </c>
      <c r="C9504" t="str">
        <f>IFERROR(__xludf.DUMMYFUNCTION("""COMPUTED_VALUE"""),"Web Components &amp; Stencil.js - Build Custom HTML Elements")</f>
        <v>Web Components &amp; Stencil.js - Build Custom HTML Elements</v>
      </c>
    </row>
    <row r="9505">
      <c r="A9505" s="140" t="str">
        <f>IFERROR(__xludf.DUMMYFUNCTION("""COMPUTED_VALUE"""),"ja")</f>
        <v>ja</v>
      </c>
      <c r="B9505">
        <f>IFERROR(__xludf.DUMMYFUNCTION("""COMPUTED_VALUE"""),2330494.0)</f>
        <v>2330494</v>
      </c>
      <c r="C9505" t="str">
        <f>IFERROR(__xludf.DUMMYFUNCTION("""COMPUTED_VALUE"""),"【2時間半で学べる！】はじめてのAngular超入門！実践で学ぶ本格Webアプリ開発【TypeScript】")</f>
        <v>【2時間半で学べる！】はじめてのAngular超入門！実践で学ぶ本格Webアプリ開発【TypeScript】</v>
      </c>
    </row>
    <row r="9506">
      <c r="A9506" s="140" t="str">
        <f>IFERROR(__xludf.DUMMYFUNCTION("""COMPUTED_VALUE"""),"en")</f>
        <v>en</v>
      </c>
      <c r="B9506">
        <f>IFERROR(__xludf.DUMMYFUNCTION("""COMPUTED_VALUE"""),1763598.0)</f>
        <v>1763598</v>
      </c>
      <c r="C9506" t="str">
        <f>IFERROR(__xludf.DUMMYFUNCTION("""COMPUTED_VALUE"""),"MATLAB for Engineering Students Part 1")</f>
        <v>MATLAB for Engineering Students Part 1</v>
      </c>
    </row>
    <row r="9507">
      <c r="A9507" s="140" t="str">
        <f>IFERROR(__xludf.DUMMYFUNCTION("""COMPUTED_VALUE"""),"en")</f>
        <v>en</v>
      </c>
      <c r="B9507">
        <f>IFERROR(__xludf.DUMMYFUNCTION("""COMPUTED_VALUE"""),2676528.0)</f>
        <v>2676528</v>
      </c>
      <c r="C9507" t="str">
        <f>IFERROR(__xludf.DUMMYFUNCTION("""COMPUTED_VALUE"""),"Root Cause Analysis and the 8D Corrective Action Process")</f>
        <v>Root Cause Analysis and the 8D Corrective Action Process</v>
      </c>
    </row>
    <row r="9508">
      <c r="A9508" s="140" t="str">
        <f>IFERROR(__xludf.DUMMYFUNCTION("""COMPUTED_VALUE"""),"fr")</f>
        <v>fr</v>
      </c>
      <c r="B9508">
        <f>IFERROR(__xludf.DUMMYFUNCTION("""COMPUTED_VALUE"""),3518142.0)</f>
        <v>3518142</v>
      </c>
      <c r="C9508" t="str">
        <f>IFERROR(__xludf.DUMMYFUNCTION("""COMPUTED_VALUE"""),"Feedly: Automatiser ma Veille digitale - Flux RSS &amp; Contenus")</f>
        <v>Feedly: Automatiser ma Veille digitale - Flux RSS &amp; Contenus</v>
      </c>
    </row>
    <row r="9509">
      <c r="A9509" s="140" t="str">
        <f>IFERROR(__xludf.DUMMYFUNCTION("""COMPUTED_VALUE"""),"en")</f>
        <v>en</v>
      </c>
      <c r="B9509">
        <f>IFERROR(__xludf.DUMMYFUNCTION("""COMPUTED_VALUE"""),2279412.0)</f>
        <v>2279412</v>
      </c>
      <c r="C9509" t="str">
        <f>IFERROR(__xludf.DUMMYFUNCTION("""COMPUTED_VALUE"""),"Complete UiPath RPA Developer Course: Build 7 Robots")</f>
        <v>Complete UiPath RPA Developer Course: Build 7 Robots</v>
      </c>
    </row>
    <row r="9510">
      <c r="A9510" s="140" t="str">
        <f>IFERROR(__xludf.DUMMYFUNCTION("""COMPUTED_VALUE"""),"pt")</f>
        <v>pt</v>
      </c>
      <c r="B9510">
        <f>IFERROR(__xludf.DUMMYFUNCTION("""COMPUTED_VALUE"""),2362200.0)</f>
        <v>2362200</v>
      </c>
      <c r="C9510" t="str">
        <f>IFERROR(__xludf.DUMMYFUNCTION("""COMPUTED_VALUE"""),"Spring Boot &amp; MVC com Spring Security")</f>
        <v>Spring Boot &amp; MVC com Spring Security</v>
      </c>
    </row>
    <row r="9511">
      <c r="A9511" s="140" t="str">
        <f>IFERROR(__xludf.DUMMYFUNCTION("""COMPUTED_VALUE"""),"tr")</f>
        <v>tr</v>
      </c>
      <c r="B9511">
        <f>IFERROR(__xludf.DUMMYFUNCTION("""COMPUTED_VALUE"""),3470194.0)</f>
        <v>3470194</v>
      </c>
      <c r="C9511" t="str">
        <f>IFERROR(__xludf.DUMMYFUNCTION("""COMPUTED_VALUE"""),"RTOS | STM32F4 İle FreeRTOS Kursu")</f>
        <v>RTOS | STM32F4 İle FreeRTOS Kursu</v>
      </c>
    </row>
    <row r="9512">
      <c r="A9512" s="140" t="str">
        <f>IFERROR(__xludf.DUMMYFUNCTION("""COMPUTED_VALUE"""),"ja")</f>
        <v>ja</v>
      </c>
      <c r="B9512">
        <f>IFERROR(__xludf.DUMMYFUNCTION("""COMPUTED_VALUE"""),2560702.0)</f>
        <v>2560702</v>
      </c>
      <c r="C9512" t="str">
        <f>IFERROR(__xludf.DUMMYFUNCTION("""COMPUTED_VALUE"""),"【続】Microsoft Power BI Desktop - 入門講座 ～Data Model編～")</f>
        <v>【続】Microsoft Power BI Desktop - 入門講座 ～Data Model編～</v>
      </c>
    </row>
    <row r="9513">
      <c r="A9513" s="140" t="str">
        <f>IFERROR(__xludf.DUMMYFUNCTION("""COMPUTED_VALUE"""),"en")</f>
        <v>en</v>
      </c>
      <c r="B9513">
        <f>IFERROR(__xludf.DUMMYFUNCTION("""COMPUTED_VALUE"""),553346.0)</f>
        <v>553346</v>
      </c>
      <c r="C9513" t="str">
        <f>IFERROR(__xludf.DUMMYFUNCTION("""COMPUTED_VALUE"""),"Online Reputation Management: Negative Business Reviews")</f>
        <v>Online Reputation Management: Negative Business Reviews</v>
      </c>
    </row>
    <row r="9514">
      <c r="A9514" s="140" t="str">
        <f>IFERROR(__xludf.DUMMYFUNCTION("""COMPUTED_VALUE"""),"de")</f>
        <v>de</v>
      </c>
      <c r="B9514">
        <f>IFERROR(__xludf.DUMMYFUNCTION("""COMPUTED_VALUE"""),950006.0)</f>
        <v>950006</v>
      </c>
      <c r="C9514" t="str">
        <f>IFERROR(__xludf.DUMMYFUNCTION("""COMPUTED_VALUE"""),"Konfliktmanagement: Konflikte erkennen und erfolgreich lösen")</f>
        <v>Konfliktmanagement: Konflikte erkennen und erfolgreich lösen</v>
      </c>
    </row>
    <row r="9515">
      <c r="A9515" s="140" t="str">
        <f>IFERROR(__xludf.DUMMYFUNCTION("""COMPUTED_VALUE"""),"ja")</f>
        <v>ja</v>
      </c>
      <c r="B9515">
        <f>IFERROR(__xludf.DUMMYFUNCTION("""COMPUTED_VALUE"""),4284152.0)</f>
        <v>4284152</v>
      </c>
      <c r="C9515" t="str">
        <f>IFERROR(__xludf.DUMMYFUNCTION("""COMPUTED_VALUE"""),"クラウド版Power Automate基礎マスターコース【業務プロセスの自動化へ一歩踏み出そう】【旧Flow】")</f>
        <v>クラウド版Power Automate基礎マスターコース【業務プロセスの自動化へ一歩踏み出そう】【旧Flow】</v>
      </c>
    </row>
    <row r="9516">
      <c r="A9516" s="140" t="str">
        <f>IFERROR(__xludf.DUMMYFUNCTION("""COMPUTED_VALUE"""),"en")</f>
        <v>en</v>
      </c>
      <c r="B9516">
        <f>IFERROR(__xludf.DUMMYFUNCTION("""COMPUTED_VALUE"""),3368312.0)</f>
        <v>3368312</v>
      </c>
      <c r="C9516" t="str">
        <f>IFERROR(__xludf.DUMMYFUNCTION("""COMPUTED_VALUE"""),"ServiceNow Certified System Administrator (CSA): Rome 2021")</f>
        <v>ServiceNow Certified System Administrator (CSA): Rome 2021</v>
      </c>
    </row>
    <row r="9517">
      <c r="A9517" s="140" t="str">
        <f>IFERROR(__xludf.DUMMYFUNCTION("""COMPUTED_VALUE"""),"ja")</f>
        <v>ja</v>
      </c>
      <c r="B9517">
        <f>IFERROR(__xludf.DUMMYFUNCTION("""COMPUTED_VALUE"""),2230122.0)</f>
        <v>2230122</v>
      </c>
      <c r="C9517" t="str">
        <f>IFERROR(__xludf.DUMMYFUNCTION("""COMPUTED_VALUE"""),"Excel VBA[第4弾]大量ブック・大量シート操作編！50個のExcelブックを一気にデータ収集するマクロ3時間講義")</f>
        <v>Excel VBA[第4弾]大量ブック・大量シート操作編！50個のExcelブックを一気にデータ収集するマクロ3時間講義</v>
      </c>
    </row>
    <row r="9518">
      <c r="A9518" s="140" t="str">
        <f>IFERROR(__xludf.DUMMYFUNCTION("""COMPUTED_VALUE"""),"de")</f>
        <v>de</v>
      </c>
      <c r="B9518">
        <f>IFERROR(__xludf.DUMMYFUNCTION("""COMPUTED_VALUE"""),1530568.0)</f>
        <v>1530568</v>
      </c>
      <c r="C9518" t="str">
        <f>IFERROR(__xludf.DUMMYFUNCTION("""COMPUTED_VALUE"""),"Beeinflussen Sie Ihren Chef &amp; andere Entscheider")</f>
        <v>Beeinflussen Sie Ihren Chef &amp; andere Entscheider</v>
      </c>
    </row>
    <row r="9519">
      <c r="A9519" s="140" t="str">
        <f>IFERROR(__xludf.DUMMYFUNCTION("""COMPUTED_VALUE"""),"pt")</f>
        <v>pt</v>
      </c>
      <c r="B9519">
        <f>IFERROR(__xludf.DUMMYFUNCTION("""COMPUTED_VALUE"""),1925478.0)</f>
        <v>1925478</v>
      </c>
      <c r="C9519" t="str">
        <f>IFERROR(__xludf.DUMMYFUNCTION("""COMPUTED_VALUE"""),"Trello - Como gerenciar projetos pessoais e profissionais")</f>
        <v>Trello - Como gerenciar projetos pessoais e profissionais</v>
      </c>
    </row>
    <row r="9520">
      <c r="A9520" s="140" t="str">
        <f>IFERROR(__xludf.DUMMYFUNCTION("""COMPUTED_VALUE"""),"tr")</f>
        <v>tr</v>
      </c>
      <c r="B9520">
        <f>IFERROR(__xludf.DUMMYFUNCTION("""COMPUTED_VALUE"""),2150368.0)</f>
        <v>2150368</v>
      </c>
      <c r="C9520" t="str">
        <f>IFERROR(__xludf.DUMMYFUNCTION("""COMPUTED_VALUE"""),"İleri Seviye Arapça Eğitimi - YDS ve Arapça Sınavları Kapsar")</f>
        <v>İleri Seviye Arapça Eğitimi - YDS ve Arapça Sınavları Kapsar</v>
      </c>
    </row>
    <row r="9521">
      <c r="A9521" s="140" t="str">
        <f>IFERROR(__xludf.DUMMYFUNCTION("""COMPUTED_VALUE"""),"en")</f>
        <v>en</v>
      </c>
      <c r="B9521">
        <f>IFERROR(__xludf.DUMMYFUNCTION("""COMPUTED_VALUE"""),43319.0)</f>
        <v>43319</v>
      </c>
      <c r="C9521" t="str">
        <f>IFERROR(__xludf.DUMMYFUNCTION("""COMPUTED_VALUE"""),"Options Trading Basics (3-Course Bundle)")</f>
        <v>Options Trading Basics (3-Course Bundle)</v>
      </c>
    </row>
    <row r="9522">
      <c r="A9522" s="140" t="str">
        <f>IFERROR(__xludf.DUMMYFUNCTION("""COMPUTED_VALUE"""),"de")</f>
        <v>de</v>
      </c>
      <c r="B9522">
        <f>IFERROR(__xludf.DUMMYFUNCTION("""COMPUTED_VALUE"""),1057930.0)</f>
        <v>1057930</v>
      </c>
      <c r="C9522" t="str">
        <f>IFERROR(__xludf.DUMMYFUNCTION("""COMPUTED_VALUE"""),"Körpersprache: Die Geheimnisse der Körpersprache entlarvt!")</f>
        <v>Körpersprache: Die Geheimnisse der Körpersprache entlarvt!</v>
      </c>
    </row>
    <row r="9523">
      <c r="A9523" s="140" t="str">
        <f>IFERROR(__xludf.DUMMYFUNCTION("""COMPUTED_VALUE"""),"pt")</f>
        <v>pt</v>
      </c>
      <c r="B9523">
        <f>IFERROR(__xludf.DUMMYFUNCTION("""COMPUTED_VALUE"""),1327322.0)</f>
        <v>1327322</v>
      </c>
      <c r="C9523" t="str">
        <f>IFERROR(__xludf.DUMMYFUNCTION("""COMPUTED_VALUE"""),"Curso Completo de PHP 7 PROFISSIONAL - 6 cursos em 1.")</f>
        <v>Curso Completo de PHP 7 PROFISSIONAL - 6 cursos em 1.</v>
      </c>
    </row>
    <row r="9524">
      <c r="A9524" s="140" t="str">
        <f>IFERROR(__xludf.DUMMYFUNCTION("""COMPUTED_VALUE"""),"ar")</f>
        <v>ar</v>
      </c>
      <c r="B9524">
        <f>IFERROR(__xludf.DUMMYFUNCTION("""COMPUTED_VALUE"""),3397590.0)</f>
        <v>3397590</v>
      </c>
      <c r="C9524" t="str">
        <f>IFERROR(__xludf.DUMMYFUNCTION("""COMPUTED_VALUE"""),"Preparing financial statements (in Arabic)")</f>
        <v>Preparing financial statements (in Arabic)</v>
      </c>
    </row>
    <row r="9525">
      <c r="A9525" s="140" t="str">
        <f>IFERROR(__xludf.DUMMYFUNCTION("""COMPUTED_VALUE"""),"pt")</f>
        <v>pt</v>
      </c>
      <c r="B9525">
        <f>IFERROR(__xludf.DUMMYFUNCTION("""COMPUTED_VALUE"""),1409148.0)</f>
        <v>1409148</v>
      </c>
      <c r="C9525" t="str">
        <f>IFERROR(__xludf.DUMMYFUNCTION("""COMPUTED_VALUE"""),"Aprenda PHP do Zero Com Facilidade e Faça Sites Dinâmicos")</f>
        <v>Aprenda PHP do Zero Com Facilidade e Faça Sites Dinâmicos</v>
      </c>
    </row>
    <row r="9526">
      <c r="A9526" s="140" t="str">
        <f>IFERROR(__xludf.DUMMYFUNCTION("""COMPUTED_VALUE"""),"pt")</f>
        <v>pt</v>
      </c>
      <c r="B9526">
        <f>IFERROR(__xludf.DUMMYFUNCTION("""COMPUTED_VALUE"""),2796690.0)</f>
        <v>2796690</v>
      </c>
      <c r="C9526" t="str">
        <f>IFERROR(__xludf.DUMMYFUNCTION("""COMPUTED_VALUE"""),"Técnicas Essenciais de Vendas")</f>
        <v>Técnicas Essenciais de Vendas</v>
      </c>
    </row>
    <row r="9527">
      <c r="A9527" s="140" t="str">
        <f>IFERROR(__xludf.DUMMYFUNCTION("""COMPUTED_VALUE"""),"en")</f>
        <v>en</v>
      </c>
      <c r="B9527">
        <f>IFERROR(__xludf.DUMMYFUNCTION("""COMPUTED_VALUE"""),2696476.0)</f>
        <v>2696476</v>
      </c>
      <c r="C9527" t="str">
        <f>IFERROR(__xludf.DUMMYFUNCTION("""COMPUTED_VALUE"""),"*NEW* DOM 2021 Build Dynamic Websites with JavaScript Part 1")</f>
        <v>*NEW* DOM 2021 Build Dynamic Websites with JavaScript Part 1</v>
      </c>
    </row>
    <row r="9528">
      <c r="A9528" s="140" t="str">
        <f>IFERROR(__xludf.DUMMYFUNCTION("""COMPUTED_VALUE"""),"en")</f>
        <v>en</v>
      </c>
      <c r="B9528">
        <f>IFERROR(__xludf.DUMMYFUNCTION("""COMPUTED_VALUE"""),1630738.0)</f>
        <v>1630738</v>
      </c>
      <c r="C9528" t="str">
        <f>IFERROR(__xludf.DUMMYFUNCTION("""COMPUTED_VALUE"""),"Complete Media Training Master Class - Confidence on Camera")</f>
        <v>Complete Media Training Master Class - Confidence on Camera</v>
      </c>
    </row>
    <row r="9529">
      <c r="A9529" s="140" t="str">
        <f>IFERROR(__xludf.DUMMYFUNCTION("""COMPUTED_VALUE"""),"en")</f>
        <v>en</v>
      </c>
      <c r="B9529">
        <f>IFERROR(__xludf.DUMMYFUNCTION("""COMPUTED_VALUE"""),2088586.0)</f>
        <v>2088586</v>
      </c>
      <c r="C9529" t="str">
        <f>IFERROR(__xludf.DUMMYFUNCTION("""COMPUTED_VALUE"""),"Asynchronous JavaScript: Promises, Callbacks, Async Await")</f>
        <v>Asynchronous JavaScript: Promises, Callbacks, Async Await</v>
      </c>
    </row>
    <row r="9530">
      <c r="A9530" s="140" t="str">
        <f>IFERROR(__xludf.DUMMYFUNCTION("""COMPUTED_VALUE"""),"en")</f>
        <v>en</v>
      </c>
      <c r="B9530">
        <f>IFERROR(__xludf.DUMMYFUNCTION("""COMPUTED_VALUE"""),1564762.0)</f>
        <v>1564762</v>
      </c>
      <c r="C9530" t="str">
        <f>IFERROR(__xludf.DUMMYFUNCTION("""COMPUTED_VALUE"""),"Winning Communication Skills for Telephone, Conference Calls")</f>
        <v>Winning Communication Skills for Telephone, Conference Calls</v>
      </c>
    </row>
    <row r="9531">
      <c r="A9531" s="140" t="str">
        <f>IFERROR(__xludf.DUMMYFUNCTION("""COMPUTED_VALUE"""),"fr")</f>
        <v>fr</v>
      </c>
      <c r="B9531">
        <f>IFERROR(__xludf.DUMMYFUNCTION("""COMPUTED_VALUE"""),2744388.0)</f>
        <v>2744388</v>
      </c>
      <c r="C9531" t="str">
        <f>IFERROR(__xludf.DUMMYFUNCTION("""COMPUTED_VALUE"""),"Éliminez la peur de prise de parole en public")</f>
        <v>Éliminez la peur de prise de parole en public</v>
      </c>
    </row>
    <row r="9532">
      <c r="A9532" s="140" t="str">
        <f>IFERROR(__xludf.DUMMYFUNCTION("""COMPUTED_VALUE"""),"en")</f>
        <v>en</v>
      </c>
      <c r="B9532">
        <f>IFERROR(__xludf.DUMMYFUNCTION("""COMPUTED_VALUE"""),944366.0)</f>
        <v>944366</v>
      </c>
      <c r="C9532" t="str">
        <f>IFERROR(__xludf.DUMMYFUNCTION("""COMPUTED_VALUE"""),"Learn Parallel Programming with C# and .NET")</f>
        <v>Learn Parallel Programming with C# and .NET</v>
      </c>
    </row>
    <row r="9533">
      <c r="A9533" s="140" t="str">
        <f>IFERROR(__xludf.DUMMYFUNCTION("""COMPUTED_VALUE"""),"en")</f>
        <v>en</v>
      </c>
      <c r="B9533">
        <f>IFERROR(__xludf.DUMMYFUNCTION("""COMPUTED_VALUE"""),4084788.0)</f>
        <v>4084788</v>
      </c>
      <c r="C9533" t="str">
        <f>IFERROR(__xludf.DUMMYFUNCTION("""COMPUTED_VALUE"""),"Unreal Engine 5 - Learn to Create Professional Cinematics")</f>
        <v>Unreal Engine 5 - Learn to Create Professional Cinematics</v>
      </c>
    </row>
    <row r="9534">
      <c r="A9534" s="140" t="str">
        <f>IFERROR(__xludf.DUMMYFUNCTION("""COMPUTED_VALUE"""),"en")</f>
        <v>en</v>
      </c>
      <c r="B9534">
        <f>IFERROR(__xludf.DUMMYFUNCTION("""COMPUTED_VALUE"""),1039124.0)</f>
        <v>1039124</v>
      </c>
      <c r="C9534" t="str">
        <f>IFERROR(__xludf.DUMMYFUNCTION("""COMPUTED_VALUE"""),"Start Finishing Your Projects")</f>
        <v>Start Finishing Your Projects</v>
      </c>
    </row>
    <row r="9535">
      <c r="A9535" s="140" t="str">
        <f>IFERROR(__xludf.DUMMYFUNCTION("""COMPUTED_VALUE"""),"en")</f>
        <v>en</v>
      </c>
      <c r="B9535">
        <f>IFERROR(__xludf.DUMMYFUNCTION("""COMPUTED_VALUE"""),831458.0)</f>
        <v>831458</v>
      </c>
      <c r="C9535" t="str">
        <f>IFERROR(__xludf.DUMMYFUNCTION("""COMPUTED_VALUE"""),"Streaming Big Data with Spark Streaming and Scala - Hands On")</f>
        <v>Streaming Big Data with Spark Streaming and Scala - Hands On</v>
      </c>
    </row>
    <row r="9536">
      <c r="A9536" s="140" t="str">
        <f>IFERROR(__xludf.DUMMYFUNCTION("""COMPUTED_VALUE"""),"ja")</f>
        <v>ja</v>
      </c>
      <c r="B9536">
        <f>IFERROR(__xludf.DUMMYFUNCTION("""COMPUTED_VALUE"""),3221645.0)</f>
        <v>3221645</v>
      </c>
      <c r="C9536" t="str">
        <f>IFERROR(__xludf.DUMMYFUNCTION("""COMPUTED_VALUE"""),"【22倍印象に残る】グローバルでも通用するプレゼンテーション資料作成術 ～思考整理から資料作成までの黄金の4ステップ～")</f>
        <v>【22倍印象に残る】グローバルでも通用するプレゼンテーション資料作成術 ～思考整理から資料作成までの黄金の4ステップ～</v>
      </c>
    </row>
    <row r="9537">
      <c r="A9537" s="140" t="str">
        <f>IFERROR(__xludf.DUMMYFUNCTION("""COMPUTED_VALUE"""),"en")</f>
        <v>en</v>
      </c>
      <c r="B9537">
        <f>IFERROR(__xludf.DUMMYFUNCTION("""COMPUTED_VALUE"""),4188320.0)</f>
        <v>4188320</v>
      </c>
      <c r="C9537" t="str">
        <f>IFERROR(__xludf.DUMMYFUNCTION("""COMPUTED_VALUE"""),"Git &amp; GitHub - The Practical Guide")</f>
        <v>Git &amp; GitHub - The Practical Guide</v>
      </c>
    </row>
    <row r="9538">
      <c r="A9538" s="140" t="str">
        <f>IFERROR(__xludf.DUMMYFUNCTION("""COMPUTED_VALUE"""),"ja")</f>
        <v>ja</v>
      </c>
      <c r="B9538">
        <f>IFERROR(__xludf.DUMMYFUNCTION("""COMPUTED_VALUE"""),3675438.0)</f>
        <v>3675438</v>
      </c>
      <c r="C9538" t="str">
        <f>IFERROR(__xludf.DUMMYFUNCTION("""COMPUTED_VALUE"""),"新CCNA（200-301）完全未経験からの合格講座（コンプリート版）")</f>
        <v>新CCNA（200-301）完全未経験からの合格講座（コンプリート版）</v>
      </c>
    </row>
    <row r="9539">
      <c r="A9539" s="140" t="str">
        <f>IFERROR(__xludf.DUMMYFUNCTION("""COMPUTED_VALUE"""),"de")</f>
        <v>de</v>
      </c>
      <c r="B9539">
        <f>IFERROR(__xludf.DUMMYFUNCTION("""COMPUTED_VALUE"""),685274.0)</f>
        <v>685274</v>
      </c>
      <c r="C9539" t="str">
        <f>IFERROR(__xludf.DUMMYFUNCTION("""COMPUTED_VALUE"""),"YOGABASICS kompletter Yogakurs : 20 Stunden Yoga Einsteiger")</f>
        <v>YOGABASICS kompletter Yogakurs : 20 Stunden Yoga Einsteiger</v>
      </c>
    </row>
    <row r="9540">
      <c r="A9540" s="140" t="str">
        <f>IFERROR(__xludf.DUMMYFUNCTION("""COMPUTED_VALUE"""),"es")</f>
        <v>es</v>
      </c>
      <c r="B9540">
        <f>IFERROR(__xludf.DUMMYFUNCTION("""COMPUTED_VALUE"""),2859004.0)</f>
        <v>2859004</v>
      </c>
      <c r="C9540" t="str">
        <f>IFERROR(__xludf.DUMMYFUNCTION("""COMPUTED_VALUE"""),"Domina WORDPRESS - ¡Aprende a crear TU PROPIA WEB desde 0!")</f>
        <v>Domina WORDPRESS - ¡Aprende a crear TU PROPIA WEB desde 0!</v>
      </c>
    </row>
    <row r="9541">
      <c r="A9541" s="140" t="str">
        <f>IFERROR(__xludf.DUMMYFUNCTION("""COMPUTED_VALUE"""),"en")</f>
        <v>en</v>
      </c>
      <c r="B9541">
        <f>IFERROR(__xludf.DUMMYFUNCTION("""COMPUTED_VALUE"""),4061146.0)</f>
        <v>4061146</v>
      </c>
      <c r="C9541" t="str">
        <f>IFERROR(__xludf.DUMMYFUNCTION("""COMPUTED_VALUE"""),"Unity Game Developer Masterclass 2021 (2D, 3D and FPS)")</f>
        <v>Unity Game Developer Masterclass 2021 (2D, 3D and FPS)</v>
      </c>
    </row>
    <row r="9542">
      <c r="A9542" s="140" t="str">
        <f>IFERROR(__xludf.DUMMYFUNCTION("""COMPUTED_VALUE"""),"en")</f>
        <v>en</v>
      </c>
      <c r="B9542">
        <f>IFERROR(__xludf.DUMMYFUNCTION("""COMPUTED_VALUE"""),1425880.0)</f>
        <v>1425880</v>
      </c>
      <c r="C9542" t="str">
        <f>IFERROR(__xludf.DUMMYFUNCTION("""COMPUTED_VALUE"""),"Java Web Development Under The Hood")</f>
        <v>Java Web Development Under The Hood</v>
      </c>
    </row>
    <row r="9543">
      <c r="A9543" s="140" t="str">
        <f>IFERROR(__xludf.DUMMYFUNCTION("""COMPUTED_VALUE"""),"tr")</f>
        <v>tr</v>
      </c>
      <c r="B9543">
        <f>IFERROR(__xludf.DUMMYFUNCTION("""COMPUTED_VALUE"""),3558097.0)</f>
        <v>3558097</v>
      </c>
      <c r="C9543" t="str">
        <f>IFERROR(__xludf.DUMMYFUNCTION("""COMPUTED_VALUE"""),"Belirsiz ve karmaşık dünyada Liderlik")</f>
        <v>Belirsiz ve karmaşık dünyada Liderlik</v>
      </c>
    </row>
    <row r="9544">
      <c r="A9544" s="140" t="str">
        <f>IFERROR(__xludf.DUMMYFUNCTION("""COMPUTED_VALUE"""),"en")</f>
        <v>en</v>
      </c>
      <c r="B9544">
        <f>IFERROR(__xludf.DUMMYFUNCTION("""COMPUTED_VALUE"""),1112744.0)</f>
        <v>1112744</v>
      </c>
      <c r="C9544" t="str">
        <f>IFERROR(__xludf.DUMMYFUNCTION("""COMPUTED_VALUE"""),"Learn to Write Movies: Screenwriting Step by Step")</f>
        <v>Learn to Write Movies: Screenwriting Step by Step</v>
      </c>
    </row>
    <row r="9545">
      <c r="A9545" s="140" t="str">
        <f>IFERROR(__xludf.DUMMYFUNCTION("""COMPUTED_VALUE"""),"en")</f>
        <v>en</v>
      </c>
      <c r="B9545">
        <f>IFERROR(__xludf.DUMMYFUNCTION("""COMPUTED_VALUE"""),986604.0)</f>
        <v>986604</v>
      </c>
      <c r="C9545" t="str">
        <f>IFERROR(__xludf.DUMMYFUNCTION("""COMPUTED_VALUE"""),"Master Strategic Thinking and Problem Solving Skills")</f>
        <v>Master Strategic Thinking and Problem Solving Skills</v>
      </c>
    </row>
    <row r="9546">
      <c r="A9546" s="140" t="str">
        <f>IFERROR(__xludf.DUMMYFUNCTION("""COMPUTED_VALUE"""),"ja")</f>
        <v>ja</v>
      </c>
      <c r="B9546">
        <f>IFERROR(__xludf.DUMMYFUNCTION("""COMPUTED_VALUE"""),3176920.0)</f>
        <v>3176920</v>
      </c>
      <c r="C9546" t="str">
        <f>IFERROR(__xludf.DUMMYFUNCTION("""COMPUTED_VALUE"""),"＜実はこれだけマネジメント＞組織で成果を出せるマネージャー養成講座～上に立つ人の人間力 &amp; スキルを磨く～")</f>
        <v>＜実はこれだけマネジメント＞組織で成果を出せるマネージャー養成講座～上に立つ人の人間力 &amp; スキルを磨く～</v>
      </c>
    </row>
    <row r="9547">
      <c r="A9547" s="140" t="str">
        <f>IFERROR(__xludf.DUMMYFUNCTION("""COMPUTED_VALUE"""),"en")</f>
        <v>en</v>
      </c>
      <c r="B9547">
        <f>IFERROR(__xludf.DUMMYFUNCTION("""COMPUTED_VALUE"""),1878624.0)</f>
        <v>1878624</v>
      </c>
      <c r="C9547" t="str">
        <f>IFERROR(__xludf.DUMMYFUNCTION("""COMPUTED_VALUE"""),"AWS Certified Solutions Architect Associate Practice Exams")</f>
        <v>AWS Certified Solutions Architect Associate Practice Exams</v>
      </c>
    </row>
    <row r="9548">
      <c r="A9548" s="140" t="str">
        <f>IFERROR(__xludf.DUMMYFUNCTION("""COMPUTED_VALUE"""),"tr")</f>
        <v>tr</v>
      </c>
      <c r="B9548">
        <f>IFERROR(__xludf.DUMMYFUNCTION("""COMPUTED_VALUE"""),1147664.0)</f>
        <v>1147664</v>
      </c>
      <c r="C9548" t="str">
        <f>IFERROR(__xludf.DUMMYFUNCTION("""COMPUTED_VALUE"""),"Photoshop CC 2022 : A'dan Z'ye Kolay Öğrenme! (Güncellenmiş)")</f>
        <v>Photoshop CC 2022 : A'dan Z'ye Kolay Öğrenme! (Güncellenmiş)</v>
      </c>
    </row>
    <row r="9549">
      <c r="A9549" s="140" t="str">
        <f>IFERROR(__xludf.DUMMYFUNCTION("""COMPUTED_VALUE"""),"en")</f>
        <v>en</v>
      </c>
      <c r="B9549">
        <f>IFERROR(__xludf.DUMMYFUNCTION("""COMPUTED_VALUE"""),1218130.0)</f>
        <v>1218130</v>
      </c>
      <c r="C9549" t="str">
        <f>IFERROR(__xludf.DUMMYFUNCTION("""COMPUTED_VALUE"""),"React VR - Creating Virtual Reality Apps")</f>
        <v>React VR - Creating Virtual Reality Apps</v>
      </c>
    </row>
    <row r="9550">
      <c r="A9550" s="140" t="str">
        <f>IFERROR(__xludf.DUMMYFUNCTION("""COMPUTED_VALUE"""),"de")</f>
        <v>de</v>
      </c>
      <c r="B9550">
        <f>IFERROR(__xludf.DUMMYFUNCTION("""COMPUTED_VALUE"""),1210220.0)</f>
        <v>1210220</v>
      </c>
      <c r="C9550" t="str">
        <f>IFERROR(__xludf.DUMMYFUNCTION("""COMPUTED_VALUE"""),"Bildbearbeitung Leicht Gemacht: Schöne Bilder mit Lightroom")</f>
        <v>Bildbearbeitung Leicht Gemacht: Schöne Bilder mit Lightroom</v>
      </c>
    </row>
    <row r="9551">
      <c r="A9551" s="140" t="str">
        <f>IFERROR(__xludf.DUMMYFUNCTION("""COMPUTED_VALUE"""),"en")</f>
        <v>en</v>
      </c>
      <c r="B9551">
        <f>IFERROR(__xludf.DUMMYFUNCTION("""COMPUTED_VALUE"""),2589314.0)</f>
        <v>2589314</v>
      </c>
      <c r="C9551" t="str">
        <f>IFERROR(__xludf.DUMMYFUNCTION("""COMPUTED_VALUE"""),"GUI Development with Python and Tkinter")</f>
        <v>GUI Development with Python and Tkinter</v>
      </c>
    </row>
    <row r="9552">
      <c r="A9552" s="140" t="str">
        <f>IFERROR(__xludf.DUMMYFUNCTION("""COMPUTED_VALUE"""),"en")</f>
        <v>en</v>
      </c>
      <c r="B9552">
        <f>IFERROR(__xludf.DUMMYFUNCTION("""COMPUTED_VALUE"""),4278840.0)</f>
        <v>4278840</v>
      </c>
      <c r="C9552" t="str">
        <f>IFERROR(__xludf.DUMMYFUNCTION("""COMPUTED_VALUE"""),"Lab setup &amp; Test course for Red Hat EX180 Podman &amp; OpenShift")</f>
        <v>Lab setup &amp; Test course for Red Hat EX180 Podman &amp; OpenShift</v>
      </c>
    </row>
    <row r="9553">
      <c r="A9553" s="140" t="str">
        <f>IFERROR(__xludf.DUMMYFUNCTION("""COMPUTED_VALUE"""),"tr")</f>
        <v>tr</v>
      </c>
      <c r="B9553">
        <f>IFERROR(__xludf.DUMMYFUNCTION("""COMPUTED_VALUE"""),2450532.0)</f>
        <v>2450532</v>
      </c>
      <c r="C9553" t="str">
        <f>IFERROR(__xludf.DUMMYFUNCTION("""COMPUTED_VALUE"""),"Wireshark İle Ağ Analizi")</f>
        <v>Wireshark İle Ağ Analizi</v>
      </c>
    </row>
    <row r="9554">
      <c r="A9554" s="140" t="str">
        <f>IFERROR(__xludf.DUMMYFUNCTION("""COMPUTED_VALUE"""),"en")</f>
        <v>en</v>
      </c>
      <c r="B9554">
        <f>IFERROR(__xludf.DUMMYFUNCTION("""COMPUTED_VALUE"""),536706.0)</f>
        <v>536706</v>
      </c>
      <c r="C9554" t="str">
        <f>IFERROR(__xludf.DUMMYFUNCTION("""COMPUTED_VALUE"""),"Tableau for Beginners: Get DA Certified, Grow Your Career")</f>
        <v>Tableau for Beginners: Get DA Certified, Grow Your Career</v>
      </c>
    </row>
    <row r="9555">
      <c r="A9555" s="140" t="str">
        <f>IFERROR(__xludf.DUMMYFUNCTION("""COMPUTED_VALUE"""),"en")</f>
        <v>en</v>
      </c>
      <c r="B9555">
        <f>IFERROR(__xludf.DUMMYFUNCTION("""COMPUTED_VALUE"""),2517972.0)</f>
        <v>2517972</v>
      </c>
      <c r="C9555" t="str">
        <f>IFERROR(__xludf.DUMMYFUNCTION("""COMPUTED_VALUE"""),"Qlik Sense Masterclass for Data Science and BI")</f>
        <v>Qlik Sense Masterclass for Data Science and BI</v>
      </c>
    </row>
    <row r="9556">
      <c r="A9556" s="140" t="str">
        <f>IFERROR(__xludf.DUMMYFUNCTION("""COMPUTED_VALUE"""),"en")</f>
        <v>en</v>
      </c>
      <c r="B9556">
        <f>IFERROR(__xludf.DUMMYFUNCTION("""COMPUTED_VALUE"""),1743420.0)</f>
        <v>1743420</v>
      </c>
      <c r="C9556" t="str">
        <f>IFERROR(__xludf.DUMMYFUNCTION("""COMPUTED_VALUE"""),"JavaScript Basics for Beginners")</f>
        <v>JavaScript Basics for Beginners</v>
      </c>
    </row>
    <row r="9557">
      <c r="A9557" s="140" t="str">
        <f>IFERROR(__xludf.DUMMYFUNCTION("""COMPUTED_VALUE"""),"en")</f>
        <v>en</v>
      </c>
      <c r="B9557">
        <f>IFERROR(__xludf.DUMMYFUNCTION("""COMPUTED_VALUE"""),1652094.0)</f>
        <v>1652094</v>
      </c>
      <c r="C9557" t="str">
        <f>IFERROR(__xludf.DUMMYFUNCTION("""COMPUTED_VALUE"""),"Introduction to Human Resource Concepts")</f>
        <v>Introduction to Human Resource Concepts</v>
      </c>
    </row>
    <row r="9558">
      <c r="A9558" s="140" t="str">
        <f>IFERROR(__xludf.DUMMYFUNCTION("""COMPUTED_VALUE"""),"es")</f>
        <v>es</v>
      </c>
      <c r="B9558">
        <f>IFERROR(__xludf.DUMMYFUNCTION("""COMPUTED_VALUE"""),2556762.0)</f>
        <v>2556762</v>
      </c>
      <c r="C9558" t="str">
        <f>IFERROR(__xludf.DUMMYFUNCTION("""COMPUTED_VALUE"""),"Liderazgo y Gestión de Equipos - Nivel Avanzado 2021")</f>
        <v>Liderazgo y Gestión de Equipos - Nivel Avanzado 2021</v>
      </c>
    </row>
    <row r="9559">
      <c r="A9559" s="140" t="str">
        <f>IFERROR(__xludf.DUMMYFUNCTION("""COMPUTED_VALUE"""),"de")</f>
        <v>de</v>
      </c>
      <c r="B9559">
        <f>IFERROR(__xludf.DUMMYFUNCTION("""COMPUTED_VALUE"""),2490720.0)</f>
        <v>2490720</v>
      </c>
      <c r="C9559" t="str">
        <f>IFERROR(__xludf.DUMMYFUNCTION("""COMPUTED_VALUE"""),"Git Grundlagen (mit GitHub)")</f>
        <v>Git Grundlagen (mit GitHub)</v>
      </c>
    </row>
    <row r="9560">
      <c r="A9560" s="140" t="str">
        <f>IFERROR(__xludf.DUMMYFUNCTION("""COMPUTED_VALUE"""),"pt")</f>
        <v>pt</v>
      </c>
      <c r="B9560">
        <f>IFERROR(__xludf.DUMMYFUNCTION("""COMPUTED_VALUE"""),1559166.0)</f>
        <v>1559166</v>
      </c>
      <c r="C9560" t="str">
        <f>IFERROR(__xludf.DUMMYFUNCTION("""COMPUTED_VALUE"""),"Branding e Marketing - Criação e Gestão de Marcas de Sucesso")</f>
        <v>Branding e Marketing - Criação e Gestão de Marcas de Sucesso</v>
      </c>
    </row>
    <row r="9561">
      <c r="A9561" s="140" t="str">
        <f>IFERROR(__xludf.DUMMYFUNCTION("""COMPUTED_VALUE"""),"fr")</f>
        <v>fr</v>
      </c>
      <c r="B9561">
        <f>IFERROR(__xludf.DUMMYFUNCTION("""COMPUTED_VALUE"""),1745944.0)</f>
        <v>1745944</v>
      </c>
      <c r="C9561" t="str">
        <f>IFERROR(__xludf.DUMMYFUNCTION("""COMPUTED_VALUE"""),"BOOSTEZ VOTRE MÉMOIRE x10 : mémorisez tout plus facilement !")</f>
        <v>BOOSTEZ VOTRE MÉMOIRE x10 : mémorisez tout plus facilement !</v>
      </c>
    </row>
    <row r="9562">
      <c r="A9562" s="140" t="str">
        <f>IFERROR(__xludf.DUMMYFUNCTION("""COMPUTED_VALUE"""),"en")</f>
        <v>en</v>
      </c>
      <c r="B9562">
        <f>IFERROR(__xludf.DUMMYFUNCTION("""COMPUTED_VALUE"""),3009134.0)</f>
        <v>3009134</v>
      </c>
      <c r="C9562" t="str">
        <f>IFERROR(__xludf.DUMMYFUNCTION("""COMPUTED_VALUE"""),"Remote Worker's Guide to Time Management")</f>
        <v>Remote Worker's Guide to Time Management</v>
      </c>
    </row>
    <row r="9563">
      <c r="A9563" s="140" t="str">
        <f>IFERROR(__xludf.DUMMYFUNCTION("""COMPUTED_VALUE"""),"en")</f>
        <v>en</v>
      </c>
      <c r="B9563">
        <f>IFERROR(__xludf.DUMMYFUNCTION("""COMPUTED_VALUE"""),1757906.0)</f>
        <v>1757906</v>
      </c>
      <c r="C9563" t="str">
        <f>IFERROR(__xludf.DUMMYFUNCTION("""COMPUTED_VALUE"""),"Modern Web Scraping with Python using Scrapy Splash Selenium")</f>
        <v>Modern Web Scraping with Python using Scrapy Splash Selenium</v>
      </c>
    </row>
    <row r="9564">
      <c r="A9564" s="140" t="str">
        <f>IFERROR(__xludf.DUMMYFUNCTION("""COMPUTED_VALUE"""),"es")</f>
        <v>es</v>
      </c>
      <c r="B9564">
        <f>IFERROR(__xludf.DUMMYFUNCTION("""COMPUTED_VALUE"""),2730132.0)</f>
        <v>2730132</v>
      </c>
      <c r="C9564" t="str">
        <f>IFERROR(__xludf.DUMMYFUNCTION("""COMPUTED_VALUE"""),"Crea una App como UBER utilizando Android Studio y Firebase")</f>
        <v>Crea una App como UBER utilizando Android Studio y Firebase</v>
      </c>
    </row>
    <row r="9565">
      <c r="A9565" s="140" t="str">
        <f>IFERROR(__xludf.DUMMYFUNCTION("""COMPUTED_VALUE"""),"ja")</f>
        <v>ja</v>
      </c>
      <c r="B9565">
        <f>IFERROR(__xludf.DUMMYFUNCTION("""COMPUTED_VALUE"""),1312406.0)</f>
        <v>1312406</v>
      </c>
      <c r="C9565" t="str">
        <f>IFERROR(__xludf.DUMMYFUNCTION("""COMPUTED_VALUE"""),"Node.js + Express で作る Webアプリケーション 実践講座")</f>
        <v>Node.js + Express で作る Webアプリケーション 実践講座</v>
      </c>
    </row>
    <row r="9566">
      <c r="A9566" s="140" t="str">
        <f>IFERROR(__xludf.DUMMYFUNCTION("""COMPUTED_VALUE"""),"ar")</f>
        <v>ar</v>
      </c>
      <c r="B9566">
        <f>IFERROR(__xludf.DUMMYFUNCTION("""COMPUTED_VALUE"""),1564434.0)</f>
        <v>1564434</v>
      </c>
      <c r="C9566" t="str">
        <f>IFERROR(__xludf.DUMMYFUNCTION("""COMPUTED_VALUE"""),"4G Network Planning From A to Z in Arabic")</f>
        <v>4G Network Planning From A to Z in Arabic</v>
      </c>
    </row>
    <row r="9567">
      <c r="A9567" s="140" t="str">
        <f>IFERROR(__xludf.DUMMYFUNCTION("""COMPUTED_VALUE"""),"en")</f>
        <v>en</v>
      </c>
      <c r="B9567">
        <f>IFERROR(__xludf.DUMMYFUNCTION("""COMPUTED_VALUE"""),3631076.0)</f>
        <v>3631076</v>
      </c>
      <c r="C9567" t="str">
        <f>IFERROR(__xludf.DUMMYFUNCTION("""COMPUTED_VALUE"""),"Solarwinds Server &amp; Application Monitor SAM Full Course 2021")</f>
        <v>Solarwinds Server &amp; Application Monitor SAM Full Course 2021</v>
      </c>
    </row>
    <row r="9568">
      <c r="A9568" s="140" t="str">
        <f>IFERROR(__xludf.DUMMYFUNCTION("""COMPUTED_VALUE"""),"pt")</f>
        <v>pt</v>
      </c>
      <c r="B9568">
        <f>IFERROR(__xludf.DUMMYFUNCTION("""COMPUTED_VALUE"""),2653254.0)</f>
        <v>2653254</v>
      </c>
      <c r="C9568" t="str">
        <f>IFERROR(__xludf.DUMMYFUNCTION("""COMPUTED_VALUE"""),"Curso de Google Ads (AdWords) COMPLETO 2021 - 7 cursos em 1.")</f>
        <v>Curso de Google Ads (AdWords) COMPLETO 2021 - 7 cursos em 1.</v>
      </c>
    </row>
    <row r="9569">
      <c r="A9569" s="140" t="str">
        <f>IFERROR(__xludf.DUMMYFUNCTION("""COMPUTED_VALUE"""),"es")</f>
        <v>es</v>
      </c>
      <c r="B9569">
        <f>IFERROR(__xludf.DUMMYFUNCTION("""COMPUTED_VALUE"""),771766.0)</f>
        <v>771766</v>
      </c>
      <c r="C9569" t="str">
        <f>IFERROR(__xludf.DUMMYFUNCTION("""COMPUTED_VALUE"""),"Macros de Excel y VBA para personas ocupadas")</f>
        <v>Macros de Excel y VBA para personas ocupadas</v>
      </c>
    </row>
    <row r="9570">
      <c r="A9570" s="140" t="str">
        <f>IFERROR(__xludf.DUMMYFUNCTION("""COMPUTED_VALUE"""),"fr")</f>
        <v>fr</v>
      </c>
      <c r="B9570">
        <f>IFERROR(__xludf.DUMMYFUNCTION("""COMPUTED_VALUE"""),3260008.0)</f>
        <v>3260008</v>
      </c>
      <c r="C9570" t="str">
        <f>IFERROR(__xludf.DUMMYFUNCTION("""COMPUTED_VALUE"""),"Créer un espace membre complet en PHP et MySQL")</f>
        <v>Créer un espace membre complet en PHP et MySQL</v>
      </c>
    </row>
    <row r="9571">
      <c r="A9571" s="140" t="str">
        <f>IFERROR(__xludf.DUMMYFUNCTION("""COMPUTED_VALUE"""),"es")</f>
        <v>es</v>
      </c>
      <c r="B9571">
        <f>IFERROR(__xludf.DUMMYFUNCTION("""COMPUTED_VALUE"""),2805445.0)</f>
        <v>2805445</v>
      </c>
      <c r="C9571" t="str">
        <f>IFERROR(__xludf.DUMMYFUNCTION("""COMPUTED_VALUE"""),"AD DS, DNS y DHCP Completo de cero a experto!!")</f>
        <v>AD DS, DNS y DHCP Completo de cero a experto!!</v>
      </c>
    </row>
    <row r="9572">
      <c r="A9572" s="140" t="str">
        <f>IFERROR(__xludf.DUMMYFUNCTION("""COMPUTED_VALUE"""),"de")</f>
        <v>de</v>
      </c>
      <c r="B9572">
        <f>IFERROR(__xludf.DUMMYFUNCTION("""COMPUTED_VALUE"""),2447368.0)</f>
        <v>2447368</v>
      </c>
      <c r="C9572" t="str">
        <f>IFERROR(__xludf.DUMMYFUNCTION("""COMPUTED_VALUE"""),"Rhetorik: Reden ist Wirkung - Wirkung ist Macht")</f>
        <v>Rhetorik: Reden ist Wirkung - Wirkung ist Macht</v>
      </c>
    </row>
    <row r="9573">
      <c r="A9573" s="140" t="str">
        <f>IFERROR(__xludf.DUMMYFUNCTION("""COMPUTED_VALUE"""),"ja")</f>
        <v>ja</v>
      </c>
      <c r="B9573">
        <f>IFERROR(__xludf.DUMMYFUNCTION("""COMPUTED_VALUE"""),4052858.0)</f>
        <v>4052858</v>
      </c>
      <c r="C9573" t="str">
        <f>IFERROR(__xludf.DUMMYFUNCTION("""COMPUTED_VALUE"""),"初心者がReactとfirebaseで作るモバイル対応PWAアプリケーション")</f>
        <v>初心者がReactとfirebaseで作るモバイル対応PWAアプリケーション</v>
      </c>
    </row>
    <row r="9574">
      <c r="A9574" s="140" t="str">
        <f>IFERROR(__xludf.DUMMYFUNCTION("""COMPUTED_VALUE"""),"en")</f>
        <v>en</v>
      </c>
      <c r="B9574">
        <f>IFERROR(__xludf.DUMMYFUNCTION("""COMPUTED_VALUE"""),671208.0)</f>
        <v>671208</v>
      </c>
      <c r="C9574" t="str">
        <f>IFERROR(__xludf.DUMMYFUNCTION("""COMPUTED_VALUE"""),"Change Management Training: Master the Change Process!")</f>
        <v>Change Management Training: Master the Change Process!</v>
      </c>
    </row>
    <row r="9575">
      <c r="A9575" s="140" t="str">
        <f>IFERROR(__xludf.DUMMYFUNCTION("""COMPUTED_VALUE"""),"en")</f>
        <v>en</v>
      </c>
      <c r="B9575">
        <f>IFERROR(__xludf.DUMMYFUNCTION("""COMPUTED_VALUE"""),3720056.0)</f>
        <v>3720056</v>
      </c>
      <c r="C9575" t="str">
        <f>IFERROR(__xludf.DUMMYFUNCTION("""COMPUTED_VALUE"""),"Maintenance engineering optimization - Build the foundations")</f>
        <v>Maintenance engineering optimization - Build the foundations</v>
      </c>
    </row>
    <row r="9576">
      <c r="A9576" s="140" t="str">
        <f>IFERROR(__xludf.DUMMYFUNCTION("""COMPUTED_VALUE"""),"en")</f>
        <v>en</v>
      </c>
      <c r="B9576">
        <f>IFERROR(__xludf.DUMMYFUNCTION("""COMPUTED_VALUE"""),4063496.0)</f>
        <v>4063496</v>
      </c>
      <c r="C9576" t="str">
        <f>IFERROR(__xludf.DUMMYFUNCTION("""COMPUTED_VALUE"""),"Digital Marketing Fundamentals - Beginner to Pro in 3 Hours!")</f>
        <v>Digital Marketing Fundamentals - Beginner to Pro in 3 Hours!</v>
      </c>
    </row>
    <row r="9577">
      <c r="A9577" s="140" t="str">
        <f>IFERROR(__xludf.DUMMYFUNCTION("""COMPUTED_VALUE"""),"es")</f>
        <v>es</v>
      </c>
      <c r="B9577">
        <f>IFERROR(__xludf.DUMMYFUNCTION("""COMPUTED_VALUE"""),235376.0)</f>
        <v>235376</v>
      </c>
      <c r="C9577" t="str">
        <f>IFERROR(__xludf.DUMMYFUNCTION("""COMPUTED_VALUE"""),"Computación Básica, desde cero")</f>
        <v>Computación Básica, desde cero</v>
      </c>
    </row>
    <row r="9578">
      <c r="A9578" s="140" t="str">
        <f>IFERROR(__xludf.DUMMYFUNCTION("""COMPUTED_VALUE"""),"ko")</f>
        <v>ko</v>
      </c>
      <c r="B9578">
        <f>IFERROR(__xludf.DUMMYFUNCTION("""COMPUTED_VALUE"""),3985694.0)</f>
        <v>3985694</v>
      </c>
      <c r="C9578" t="str">
        <f>IFERROR(__xludf.DUMMYFUNCTION("""COMPUTED_VALUE"""),"앱 기획의 새로운 방식, Figma!")</f>
        <v>앱 기획의 새로운 방식, Figma!</v>
      </c>
    </row>
    <row r="9579">
      <c r="A9579" s="140" t="str">
        <f>IFERROR(__xludf.DUMMYFUNCTION("""COMPUTED_VALUE"""),"en")</f>
        <v>en</v>
      </c>
      <c r="B9579">
        <f>IFERROR(__xludf.DUMMYFUNCTION("""COMPUTED_VALUE"""),2070431.0)</f>
        <v>2070431</v>
      </c>
      <c r="C9579" t="str">
        <f>IFERROR(__xludf.DUMMYFUNCTION("""COMPUTED_VALUE"""),"MTA 98-367 Security Fundamentals Class &amp; Exam Prep Bundle")</f>
        <v>MTA 98-367 Security Fundamentals Class &amp; Exam Prep Bundle</v>
      </c>
    </row>
    <row r="9580">
      <c r="A9580" s="140" t="str">
        <f>IFERROR(__xludf.DUMMYFUNCTION("""COMPUTED_VALUE"""),"en")</f>
        <v>en</v>
      </c>
      <c r="B9580">
        <f>IFERROR(__xludf.DUMMYFUNCTION("""COMPUTED_VALUE"""),3748274.0)</f>
        <v>3748274</v>
      </c>
      <c r="C9580" t="str">
        <f>IFERROR(__xludf.DUMMYFUNCTION("""COMPUTED_VALUE"""),"Learn Malaysian Language |Speak in Malay (From Zero to Hero)")</f>
        <v>Learn Malaysian Language |Speak in Malay (From Zero to Hero)</v>
      </c>
    </row>
    <row r="9581">
      <c r="A9581" s="140" t="str">
        <f>IFERROR(__xludf.DUMMYFUNCTION("""COMPUTED_VALUE"""),"en")</f>
        <v>en</v>
      </c>
      <c r="B9581">
        <f>IFERROR(__xludf.DUMMYFUNCTION("""COMPUTED_VALUE"""),2176554.0)</f>
        <v>2176554</v>
      </c>
      <c r="C9581" t="str">
        <f>IFERROR(__xludf.DUMMYFUNCTION("""COMPUTED_VALUE"""),"Gatsby.js Tutorial and Projects Course")</f>
        <v>Gatsby.js Tutorial and Projects Course</v>
      </c>
    </row>
    <row r="9582">
      <c r="A9582" s="140" t="str">
        <f>IFERROR(__xludf.DUMMYFUNCTION("""COMPUTED_VALUE"""),"en")</f>
        <v>en</v>
      </c>
      <c r="B9582">
        <f>IFERROR(__xludf.DUMMYFUNCTION("""COMPUTED_VALUE"""),1465486.0)</f>
        <v>1465486</v>
      </c>
      <c r="C9582" t="str">
        <f>IFERROR(__xludf.DUMMYFUNCTION("""COMPUTED_VALUE"""),"The Ultimate Digital Marketing Bootcamp")</f>
        <v>The Ultimate Digital Marketing Bootcamp</v>
      </c>
    </row>
    <row r="9583">
      <c r="A9583" s="140" t="str">
        <f>IFERROR(__xludf.DUMMYFUNCTION("""COMPUTED_VALUE"""),"en")</f>
        <v>en</v>
      </c>
      <c r="B9583">
        <f>IFERROR(__xludf.DUMMYFUNCTION("""COMPUTED_VALUE"""),2961372.0)</f>
        <v>2961372</v>
      </c>
      <c r="C9583" t="str">
        <f>IFERROR(__xludf.DUMMYFUNCTION("""COMPUTED_VALUE"""),"CCNP ENTERPRISE - ENCOR-350-401 PART4/5")</f>
        <v>CCNP ENTERPRISE - ENCOR-350-401 PART4/5</v>
      </c>
    </row>
    <row r="9584">
      <c r="A9584" s="140" t="str">
        <f>IFERROR(__xludf.DUMMYFUNCTION("""COMPUTED_VALUE"""),"en")</f>
        <v>en</v>
      </c>
      <c r="B9584">
        <f>IFERROR(__xludf.DUMMYFUNCTION("""COMPUTED_VALUE"""),952864.0)</f>
        <v>952864</v>
      </c>
      <c r="C9584" t="str">
        <f>IFERROR(__xludf.DUMMYFUNCTION("""COMPUTED_VALUE"""),"Learn Git by Doing: A step-by-step guide to version control")</f>
        <v>Learn Git by Doing: A step-by-step guide to version control</v>
      </c>
    </row>
    <row r="9585">
      <c r="A9585" s="140" t="str">
        <f>IFERROR(__xludf.DUMMYFUNCTION("""COMPUTED_VALUE"""),"en")</f>
        <v>en</v>
      </c>
      <c r="B9585">
        <f>IFERROR(__xludf.DUMMYFUNCTION("""COMPUTED_VALUE"""),308696.0)</f>
        <v>308696</v>
      </c>
      <c r="C9585" t="str">
        <f>IFERROR(__xludf.DUMMYFUNCTION("""COMPUTED_VALUE"""),"Forex MetaTrader 4: Master MT4 Like A Pro Forex Trader")</f>
        <v>Forex MetaTrader 4: Master MT4 Like A Pro Forex Trader</v>
      </c>
    </row>
    <row r="9586">
      <c r="A9586" s="140" t="str">
        <f>IFERROR(__xludf.DUMMYFUNCTION("""COMPUTED_VALUE"""),"en")</f>
        <v>en</v>
      </c>
      <c r="B9586">
        <f>IFERROR(__xludf.DUMMYFUNCTION("""COMPUTED_VALUE"""),2204636.0)</f>
        <v>2204636</v>
      </c>
      <c r="C9586" t="str">
        <f>IFERROR(__xludf.DUMMYFUNCTION("""COMPUTED_VALUE"""),"Mastering RxSwift in iOS")</f>
        <v>Mastering RxSwift in iOS</v>
      </c>
    </row>
    <row r="9587">
      <c r="A9587" s="140" t="str">
        <f>IFERROR(__xludf.DUMMYFUNCTION("""COMPUTED_VALUE"""),"es")</f>
        <v>es</v>
      </c>
      <c r="B9587">
        <f>IFERROR(__xludf.DUMMYFUNCTION("""COMPUTED_VALUE"""),1381626.0)</f>
        <v>1381626</v>
      </c>
      <c r="C9587" t="str">
        <f>IFERROR(__xludf.DUMMYFUNCTION("""COMPUTED_VALUE"""),"Desarrollo de módulos Drupal 8 y actualizado a Drupal 9")</f>
        <v>Desarrollo de módulos Drupal 8 y actualizado a Drupal 9</v>
      </c>
    </row>
    <row r="9588">
      <c r="A9588" s="140" t="str">
        <f>IFERROR(__xludf.DUMMYFUNCTION("""COMPUTED_VALUE"""),"en")</f>
        <v>en</v>
      </c>
      <c r="B9588">
        <f>IFERROR(__xludf.DUMMYFUNCTION("""COMPUTED_VALUE"""),1399440.0)</f>
        <v>1399440</v>
      </c>
      <c r="C9588" t="str">
        <f>IFERROR(__xludf.DUMMYFUNCTION("""COMPUTED_VALUE"""),"Weight Loss And Nutrition: Lose Fat &amp; Get Your Dream Body")</f>
        <v>Weight Loss And Nutrition: Lose Fat &amp; Get Your Dream Body</v>
      </c>
    </row>
    <row r="9589">
      <c r="A9589" s="140" t="str">
        <f>IFERROR(__xludf.DUMMYFUNCTION("""COMPUTED_VALUE"""),"en")</f>
        <v>en</v>
      </c>
      <c r="B9589">
        <f>IFERROR(__xludf.DUMMYFUNCTION("""COMPUTED_VALUE"""),1302740.0)</f>
        <v>1302740</v>
      </c>
      <c r="C9589" t="str">
        <f>IFERROR(__xludf.DUMMYFUNCTION("""COMPUTED_VALUE"""),"Chris Bryant's CCNA Practice Exam Pack #1   (ICND1 Topics)")</f>
        <v>Chris Bryant's CCNA Practice Exam Pack #1   (ICND1 Topics)</v>
      </c>
    </row>
    <row r="9590">
      <c r="A9590" s="140" t="str">
        <f>IFERROR(__xludf.DUMMYFUNCTION("""COMPUTED_VALUE"""),"en")</f>
        <v>en</v>
      </c>
      <c r="B9590">
        <f>IFERROR(__xludf.DUMMYFUNCTION("""COMPUTED_VALUE"""),39207.0)</f>
        <v>39207</v>
      </c>
      <c r="C9590" t="str">
        <f>IFERROR(__xludf.DUMMYFUNCTION("""COMPUTED_VALUE"""),"Prenatal Yoga")</f>
        <v>Prenatal Yoga</v>
      </c>
    </row>
    <row r="9591">
      <c r="A9591" s="140" t="str">
        <f>IFERROR(__xludf.DUMMYFUNCTION("""COMPUTED_VALUE"""),"en")</f>
        <v>en</v>
      </c>
      <c r="B9591">
        <f>IFERROR(__xludf.DUMMYFUNCTION("""COMPUTED_VALUE"""),2019358.0)</f>
        <v>2019358</v>
      </c>
      <c r="C9591" t="str">
        <f>IFERROR(__xludf.DUMMYFUNCTION("""COMPUTED_VALUE"""),"Universal React with Next.js - The Ultimate Guide")</f>
        <v>Universal React with Next.js - The Ultimate Guide</v>
      </c>
    </row>
    <row r="9592">
      <c r="A9592" s="140" t="str">
        <f>IFERROR(__xludf.DUMMYFUNCTION("""COMPUTED_VALUE"""),"fr")</f>
        <v>fr</v>
      </c>
      <c r="B9592">
        <f>IFERROR(__xludf.DUMMYFUNCTION("""COMPUTED_VALUE"""),2983204.0)</f>
        <v>2983204</v>
      </c>
      <c r="C9592" t="str">
        <f>IFERROR(__xludf.DUMMYFUNCTION("""COMPUTED_VALUE"""),"Python — Le Cours Ultime pour passer de Zéro à Pro")</f>
        <v>Python — Le Cours Ultime pour passer de Zéro à Pro</v>
      </c>
    </row>
    <row r="9593">
      <c r="A9593" s="140" t="str">
        <f>IFERROR(__xludf.DUMMYFUNCTION("""COMPUTED_VALUE"""),"de")</f>
        <v>de</v>
      </c>
      <c r="B9593">
        <f>IFERROR(__xludf.DUMMYFUNCTION("""COMPUTED_VALUE"""),3025710.0)</f>
        <v>3025710</v>
      </c>
      <c r="C9593" t="str">
        <f>IFERROR(__xludf.DUMMYFUNCTION("""COMPUTED_VALUE"""),"Scrum, Kanban, Design Thinking - Agile Methoden und Mindset")</f>
        <v>Scrum, Kanban, Design Thinking - Agile Methoden und Mindset</v>
      </c>
    </row>
    <row r="9594">
      <c r="A9594" s="140" t="str">
        <f>IFERROR(__xludf.DUMMYFUNCTION("""COMPUTED_VALUE"""),"es")</f>
        <v>es</v>
      </c>
      <c r="B9594">
        <f>IFERROR(__xludf.DUMMYFUNCTION("""COMPUTED_VALUE"""),3334456.0)</f>
        <v>3334456</v>
      </c>
      <c r="C9594" t="str">
        <f>IFERROR(__xludf.DUMMYFUNCTION("""COMPUTED_VALUE"""),"Procesamiento del Lenguaje Natural Moderno en Python")</f>
        <v>Procesamiento del Lenguaje Natural Moderno en Python</v>
      </c>
    </row>
    <row r="9595">
      <c r="A9595" s="140" t="str">
        <f>IFERROR(__xludf.DUMMYFUNCTION("""COMPUTED_VALUE"""),"en")</f>
        <v>en</v>
      </c>
      <c r="B9595">
        <f>IFERROR(__xludf.DUMMYFUNCTION("""COMPUTED_VALUE"""),2509804.0)</f>
        <v>2509804</v>
      </c>
      <c r="C9595" t="str">
        <f>IFERROR(__xludf.DUMMYFUNCTION("""COMPUTED_VALUE"""),"VMware vSphere Foundations Exam (VCP-DCV 2020)")</f>
        <v>VMware vSphere Foundations Exam (VCP-DCV 2020)</v>
      </c>
    </row>
    <row r="9596">
      <c r="A9596" s="140" t="str">
        <f>IFERROR(__xludf.DUMMYFUNCTION("""COMPUTED_VALUE"""),"en")</f>
        <v>en</v>
      </c>
      <c r="B9596">
        <f>IFERROR(__xludf.DUMMYFUNCTION("""COMPUTED_VALUE"""),1794901.0)</f>
        <v>1794901</v>
      </c>
      <c r="C9596" t="str">
        <f>IFERROR(__xludf.DUMMYFUNCTION("""COMPUTED_VALUE"""),"LinkedIn Marketing, Lead Generation &amp; B2B Sales for LinkedIn")</f>
        <v>LinkedIn Marketing, Lead Generation &amp; B2B Sales for LinkedIn</v>
      </c>
    </row>
    <row r="9597">
      <c r="A9597" s="140" t="str">
        <f>IFERROR(__xludf.DUMMYFUNCTION("""COMPUTED_VALUE"""),"en")</f>
        <v>en</v>
      </c>
      <c r="B9597">
        <f>IFERROR(__xludf.DUMMYFUNCTION("""COMPUTED_VALUE"""),2986288.0)</f>
        <v>2986288</v>
      </c>
      <c r="C9597" t="str">
        <f>IFERROR(__xludf.DUMMYFUNCTION("""COMPUTED_VALUE"""),"Spatial Analysis and Geospatial Data Science With Python")</f>
        <v>Spatial Analysis and Geospatial Data Science With Python</v>
      </c>
    </row>
    <row r="9598">
      <c r="A9598" s="140" t="str">
        <f>IFERROR(__xludf.DUMMYFUNCTION("""COMPUTED_VALUE"""),"en")</f>
        <v>en</v>
      </c>
      <c r="B9598">
        <f>IFERROR(__xludf.DUMMYFUNCTION("""COMPUTED_VALUE"""),2784114.0)</f>
        <v>2784114</v>
      </c>
      <c r="C9598" t="str">
        <f>IFERROR(__xludf.DUMMYFUNCTION("""COMPUTED_VALUE"""),"SOLID C++")</f>
        <v>SOLID C++</v>
      </c>
    </row>
    <row r="9599">
      <c r="A9599" s="140" t="str">
        <f>IFERROR(__xludf.DUMMYFUNCTION("""COMPUTED_VALUE"""),"es")</f>
        <v>es</v>
      </c>
      <c r="B9599">
        <f>IFERROR(__xludf.DUMMYFUNCTION("""COMPUTED_VALUE"""),1985216.0)</f>
        <v>1985216</v>
      </c>
      <c r="C9599" t="str">
        <f>IFERROR(__xludf.DUMMYFUNCTION("""COMPUTED_VALUE"""),"Serverless RESTFul API con NodeJS: guía fácil y definitiva")</f>
        <v>Serverless RESTFul API con NodeJS: guía fácil y definitiva</v>
      </c>
    </row>
    <row r="9600">
      <c r="A9600" s="140" t="str">
        <f>IFERROR(__xludf.DUMMYFUNCTION("""COMPUTED_VALUE"""),"es")</f>
        <v>es</v>
      </c>
      <c r="B9600">
        <f>IFERROR(__xludf.DUMMYFUNCTION("""COMPUTED_VALUE"""),2580700.0)</f>
        <v>2580700</v>
      </c>
      <c r="C9600" t="str">
        <f>IFERROR(__xludf.DUMMYFUNCTION("""COMPUTED_VALUE"""),"Web Scraping: Extracción de datos y automatización en la web")</f>
        <v>Web Scraping: Extracción de datos y automatización en la web</v>
      </c>
    </row>
    <row r="9601">
      <c r="A9601" s="140" t="str">
        <f>IFERROR(__xludf.DUMMYFUNCTION("""COMPUTED_VALUE"""),"en")</f>
        <v>en</v>
      </c>
      <c r="B9601">
        <f>IFERROR(__xludf.DUMMYFUNCTION("""COMPUTED_VALUE"""),3710464.0)</f>
        <v>3710464</v>
      </c>
      <c r="C9601" t="str">
        <f>IFERROR(__xludf.DUMMYFUNCTION("""COMPUTED_VALUE"""),"Become a Bluebeam Power User")</f>
        <v>Become a Bluebeam Power User</v>
      </c>
    </row>
    <row r="9602">
      <c r="A9602" s="140" t="str">
        <f>IFERROR(__xludf.DUMMYFUNCTION("""COMPUTED_VALUE"""),"en")</f>
        <v>en</v>
      </c>
      <c r="B9602">
        <f>IFERROR(__xludf.DUMMYFUNCTION("""COMPUTED_VALUE"""),2306430.0)</f>
        <v>2306430</v>
      </c>
      <c r="C9602" t="str">
        <f>IFERROR(__xludf.DUMMYFUNCTION("""COMPUTED_VALUE"""),"Learn Dutch -The Fast, Easy &amp; Fun Speaking Dutch Method 14hr")</f>
        <v>Learn Dutch -The Fast, Easy &amp; Fun Speaking Dutch Method 14hr</v>
      </c>
    </row>
    <row r="9603">
      <c r="A9603" s="140" t="str">
        <f>IFERROR(__xludf.DUMMYFUNCTION("""COMPUTED_VALUE"""),"en")</f>
        <v>en</v>
      </c>
      <c r="B9603">
        <f>IFERROR(__xludf.DUMMYFUNCTION("""COMPUTED_VALUE"""),3355948.0)</f>
        <v>3355948</v>
      </c>
      <c r="C9603" t="str">
        <f>IFERROR(__xludf.DUMMYFUNCTION("""COMPUTED_VALUE"""),"SAP Analytics Cloud {C_SAC_2021} -  Material and Q&amp;A Dumps")</f>
        <v>SAP Analytics Cloud {C_SAC_2021} -  Material and Q&amp;A Dumps</v>
      </c>
    </row>
    <row r="9604">
      <c r="A9604" s="140" t="str">
        <f>IFERROR(__xludf.DUMMYFUNCTION("""COMPUTED_VALUE"""),"en")</f>
        <v>en</v>
      </c>
      <c r="B9604">
        <f>IFERROR(__xludf.DUMMYFUNCTION("""COMPUTED_VALUE"""),1390062.0)</f>
        <v>1390062</v>
      </c>
      <c r="C9604" t="str">
        <f>IFERROR(__xludf.DUMMYFUNCTION("""COMPUTED_VALUE"""),"Text Mining and Sentiment Analysis with Tableau and R")</f>
        <v>Text Mining and Sentiment Analysis with Tableau and R</v>
      </c>
    </row>
    <row r="9605">
      <c r="A9605" s="140" t="str">
        <f>IFERROR(__xludf.DUMMYFUNCTION("""COMPUTED_VALUE"""),"pt")</f>
        <v>pt</v>
      </c>
      <c r="B9605">
        <f>IFERROR(__xludf.DUMMYFUNCTION("""COMPUTED_VALUE"""),1902952.0)</f>
        <v>1902952</v>
      </c>
      <c r="C9605" t="str">
        <f>IFERROR(__xludf.DUMMYFUNCTION("""COMPUTED_VALUE"""),"Sketch: UI Design do básico aos protótipos responsivos")</f>
        <v>Sketch: UI Design do básico aos protótipos responsivos</v>
      </c>
    </row>
    <row r="9606">
      <c r="A9606" s="140" t="str">
        <f>IFERROR(__xludf.DUMMYFUNCTION("""COMPUTED_VALUE"""),"de")</f>
        <v>de</v>
      </c>
      <c r="B9606">
        <f>IFERROR(__xludf.DUMMYFUNCTION("""COMPUTED_VALUE"""),3169392.0)</f>
        <v>3169392</v>
      </c>
      <c r="C9606" t="str">
        <f>IFERROR(__xludf.DUMMYFUNCTION("""COMPUTED_VALUE"""),"Deutsch für Dich: B2 - Deutsch für Fortgeschrittene")</f>
        <v>Deutsch für Dich: B2 - Deutsch für Fortgeschrittene</v>
      </c>
    </row>
    <row r="9607">
      <c r="A9607" s="140" t="str">
        <f>IFERROR(__xludf.DUMMYFUNCTION("""COMPUTED_VALUE"""),"en")</f>
        <v>en</v>
      </c>
      <c r="B9607">
        <f>IFERROR(__xludf.DUMMYFUNCTION("""COMPUTED_VALUE"""),1660066.0)</f>
        <v>1660066</v>
      </c>
      <c r="C9607" t="str">
        <f>IFERROR(__xludf.DUMMYFUNCTION("""COMPUTED_VALUE"""),"Procedural Terrain Generation with Unity")</f>
        <v>Procedural Terrain Generation with Unity</v>
      </c>
    </row>
    <row r="9608">
      <c r="A9608" s="140" t="str">
        <f>IFERROR(__xludf.DUMMYFUNCTION("""COMPUTED_VALUE"""),"zh")</f>
        <v>zh</v>
      </c>
      <c r="B9608">
        <f>IFERROR(__xludf.DUMMYFUNCTION("""COMPUTED_VALUE"""),1765490.0)</f>
        <v>1765490</v>
      </c>
      <c r="C9608" t="str">
        <f>IFERROR(__xludf.DUMMYFUNCTION("""COMPUTED_VALUE"""),"为初学者一起学习HTML和CSS-初学者到专家")</f>
        <v>为初学者一起学习HTML和CSS-初学者到专家</v>
      </c>
    </row>
    <row r="9609">
      <c r="A9609" s="140" t="str">
        <f>IFERROR(__xludf.DUMMYFUNCTION("""COMPUTED_VALUE"""),"zh")</f>
        <v>zh</v>
      </c>
      <c r="B9609">
        <f>IFERROR(__xludf.DUMMYFUNCTION("""COMPUTED_VALUE"""),1754734.0)</f>
        <v>1754734</v>
      </c>
      <c r="C9609" t="str">
        <f>IFERROR(__xludf.DUMMYFUNCTION("""COMPUTED_VALUE"""),"0 to 1 高频算法面试题")</f>
        <v>0 to 1 高频算法面试题</v>
      </c>
    </row>
    <row r="9610">
      <c r="A9610" s="140" t="str">
        <f>IFERROR(__xludf.DUMMYFUNCTION("""COMPUTED_VALUE"""),"tr")</f>
        <v>tr</v>
      </c>
      <c r="B9610">
        <f>IFERROR(__xludf.DUMMYFUNCTION("""COMPUTED_VALUE"""),3046234.0)</f>
        <v>3046234</v>
      </c>
      <c r="C9610" t="str">
        <f>IFERROR(__xludf.DUMMYFUNCTION("""COMPUTED_VALUE"""),"FON PORTFÖY YÖNETİMİ ( Hisse,Altın,Dolar Bazlı Portföy Yap )")</f>
        <v>FON PORTFÖY YÖNETİMİ ( Hisse,Altın,Dolar Bazlı Portföy Yap )</v>
      </c>
    </row>
    <row r="9611">
      <c r="A9611" s="140" t="str">
        <f>IFERROR(__xludf.DUMMYFUNCTION("""COMPUTED_VALUE"""),"ja")</f>
        <v>ja</v>
      </c>
      <c r="B9611">
        <f>IFERROR(__xludf.DUMMYFUNCTION("""COMPUTED_VALUE"""),3985696.0)</f>
        <v>3985696</v>
      </c>
      <c r="C9611" t="str">
        <f>IFERROR(__xludf.DUMMYFUNCTION("""COMPUTED_VALUE"""),"＜UB確認テスト＞～始めから効率よく学ぶ～ 基本情報技術者試験 最速 合格講座")</f>
        <v>＜UB確認テスト＞～始めから効率よく学ぶ～ 基本情報技術者試験 最速 合格講座</v>
      </c>
    </row>
    <row r="9612">
      <c r="A9612" s="140" t="str">
        <f>IFERROR(__xludf.DUMMYFUNCTION("""COMPUTED_VALUE"""),"en")</f>
        <v>en</v>
      </c>
      <c r="B9612">
        <f>IFERROR(__xludf.DUMMYFUNCTION("""COMPUTED_VALUE"""),3271488.0)</f>
        <v>3271488</v>
      </c>
      <c r="C9612" t="str">
        <f>IFERROR(__xludf.DUMMYFUNCTION("""COMPUTED_VALUE"""),"iOS14 Tinder like Dating application with Firebase &amp; Swift")</f>
        <v>iOS14 Tinder like Dating application with Firebase &amp; Swift</v>
      </c>
    </row>
    <row r="9613">
      <c r="A9613" s="140" t="str">
        <f>IFERROR(__xludf.DUMMYFUNCTION("""COMPUTED_VALUE"""),"tr")</f>
        <v>tr</v>
      </c>
      <c r="B9613">
        <f>IFERROR(__xludf.DUMMYFUNCTION("""COMPUTED_VALUE"""),2664556.0)</f>
        <v>2664556</v>
      </c>
      <c r="C9613" t="str">
        <f>IFERROR(__xludf.DUMMYFUNCTION("""COMPUTED_VALUE"""),".NET Core 3.0 &amp; C# 7 Backend Frontend Geliştirici Kursu - 4")</f>
        <v>.NET Core 3.0 &amp; C# 7 Backend Frontend Geliştirici Kursu - 4</v>
      </c>
    </row>
    <row r="9614">
      <c r="A9614" s="140" t="str">
        <f>IFERROR(__xludf.DUMMYFUNCTION("""COMPUTED_VALUE"""),"en")</f>
        <v>en</v>
      </c>
      <c r="B9614">
        <f>IFERROR(__xludf.DUMMYFUNCTION("""COMPUTED_VALUE"""),1215682.0)</f>
        <v>1215682</v>
      </c>
      <c r="C9614" t="str">
        <f>IFERROR(__xludf.DUMMYFUNCTION("""COMPUTED_VALUE"""),"Introduction to RF Design Theory and Principles - RAHRF201")</f>
        <v>Introduction to RF Design Theory and Principles - RAHRF201</v>
      </c>
    </row>
    <row r="9615">
      <c r="A9615" s="140" t="str">
        <f>IFERROR(__xludf.DUMMYFUNCTION("""COMPUTED_VALUE"""),"en")</f>
        <v>en</v>
      </c>
      <c r="B9615">
        <f>IFERROR(__xludf.DUMMYFUNCTION("""COMPUTED_VALUE"""),304452.0)</f>
        <v>304452</v>
      </c>
      <c r="C9615" t="str">
        <f>IFERROR(__xludf.DUMMYFUNCTION("""COMPUTED_VALUE"""),"The Complete Autodesk Navisworks Course (BIM Tool)")</f>
        <v>The Complete Autodesk Navisworks Course (BIM Tool)</v>
      </c>
    </row>
    <row r="9616">
      <c r="A9616" s="140" t="str">
        <f>IFERROR(__xludf.DUMMYFUNCTION("""COMPUTED_VALUE"""),"tr")</f>
        <v>tr</v>
      </c>
      <c r="B9616">
        <f>IFERROR(__xludf.DUMMYFUNCTION("""COMPUTED_VALUE"""),1830530.0)</f>
        <v>1830530</v>
      </c>
      <c r="C9616" t="str">
        <f>IFERROR(__xludf.DUMMYFUNCTION("""COMPUTED_VALUE"""),"Komple ASP.NET Web Geliştirme Eğitimi|62 Saat|2019")</f>
        <v>Komple ASP.NET Web Geliştirme Eğitimi|62 Saat|2019</v>
      </c>
    </row>
    <row r="9617">
      <c r="A9617" s="140" t="str">
        <f>IFERROR(__xludf.DUMMYFUNCTION("""COMPUTED_VALUE"""),"es")</f>
        <v>es</v>
      </c>
      <c r="B9617">
        <f>IFERROR(__xludf.DUMMYFUNCTION("""COMPUTED_VALUE"""),120058.0)</f>
        <v>120058</v>
      </c>
      <c r="C9617" t="str">
        <f>IFERROR(__xludf.DUMMYFUNCTION("""COMPUTED_VALUE"""),"Cisco CCNA 200-301 en español")</f>
        <v>Cisco CCNA 200-301 en español</v>
      </c>
    </row>
    <row r="9618">
      <c r="A9618" s="140" t="str">
        <f>IFERROR(__xludf.DUMMYFUNCTION("""COMPUTED_VALUE"""),"fr")</f>
        <v>fr</v>
      </c>
      <c r="B9618">
        <f>IFERROR(__xludf.DUMMYFUNCTION("""COMPUTED_VALUE"""),2168144.0)</f>
        <v>2168144</v>
      </c>
      <c r="C9618" t="str">
        <f>IFERROR(__xludf.DUMMYFUNCTION("""COMPUTED_VALUE"""),"ANGULAR 10 et Firebase par la pratique")</f>
        <v>ANGULAR 10 et Firebase par la pratique</v>
      </c>
    </row>
    <row r="9619">
      <c r="A9619" s="140" t="str">
        <f>IFERROR(__xludf.DUMMYFUNCTION("""COMPUTED_VALUE"""),"ko")</f>
        <v>ko</v>
      </c>
      <c r="B9619">
        <f>IFERROR(__xludf.DUMMYFUNCTION("""COMPUTED_VALUE"""),4208842.0)</f>
        <v>4208842</v>
      </c>
      <c r="C9619" t="str">
        <f>IFERROR(__xludf.DUMMYFUNCTION("""COMPUTED_VALUE"""),"MS 최신 웹기술, Blazor(블레이저) 사용하여 풀스텍 웹 개발하기")</f>
        <v>MS 최신 웹기술, Blazor(블레이저) 사용하여 풀스텍 웹 개발하기</v>
      </c>
    </row>
    <row r="9620">
      <c r="A9620" s="140" t="str">
        <f>IFERROR(__xludf.DUMMYFUNCTION("""COMPUTED_VALUE"""),"ja")</f>
        <v>ja</v>
      </c>
      <c r="B9620">
        <f>IFERROR(__xludf.DUMMYFUNCTION("""COMPUTED_VALUE"""),2716886.0)</f>
        <v>2716886</v>
      </c>
      <c r="C9620" t="str">
        <f>IFERROR(__xludf.DUMMYFUNCTION("""COMPUTED_VALUE"""),"新任管理職のための「マネージャー・ファーストキット」")</f>
        <v>新任管理職のための「マネージャー・ファーストキット」</v>
      </c>
    </row>
    <row r="9621">
      <c r="A9621" s="140" t="str">
        <f>IFERROR(__xludf.DUMMYFUNCTION("""COMPUTED_VALUE"""),"es")</f>
        <v>es</v>
      </c>
      <c r="B9621">
        <f>IFERROR(__xludf.DUMMYFUNCTION("""COMPUTED_VALUE"""),2302098.0)</f>
        <v>2302098</v>
      </c>
      <c r="C9621" t="str">
        <f>IFERROR(__xludf.DUMMYFUNCTION("""COMPUTED_VALUE"""),"Instalación y configuración de NAS Synology")</f>
        <v>Instalación y configuración de NAS Synology</v>
      </c>
    </row>
    <row r="9622">
      <c r="A9622" s="140" t="str">
        <f>IFERROR(__xludf.DUMMYFUNCTION("""COMPUTED_VALUE"""),"ja")</f>
        <v>ja</v>
      </c>
      <c r="B9622">
        <f>IFERROR(__xludf.DUMMYFUNCTION("""COMPUTED_VALUE"""),3025154.0)</f>
        <v>3025154</v>
      </c>
      <c r="C9622" t="str">
        <f>IFERROR(__xludf.DUMMYFUNCTION("""COMPUTED_VALUE"""),"【初心者向け！】ダントツに分かりやすいPremiere Pro入門講座｜動画っ校 by 那須裕介")</f>
        <v>【初心者向け！】ダントツに分かりやすいPremiere Pro入門講座｜動画っ校 by 那須裕介</v>
      </c>
    </row>
    <row r="9623">
      <c r="A9623" s="140" t="str">
        <f>IFERROR(__xludf.DUMMYFUNCTION("""COMPUTED_VALUE"""),"en")</f>
        <v>en</v>
      </c>
      <c r="B9623">
        <f>IFERROR(__xludf.DUMMYFUNCTION("""COMPUTED_VALUE"""),3985912.0)</f>
        <v>3985912</v>
      </c>
      <c r="C9623" t="str">
        <f>IFERROR(__xludf.DUMMYFUNCTION("""COMPUTED_VALUE"""),"(NEW 2021) CompTIA Network+ (N10-008) Video Training Series")</f>
        <v>(NEW 2021) CompTIA Network+ (N10-008) Video Training Series</v>
      </c>
    </row>
    <row r="9624">
      <c r="A9624" s="140" t="str">
        <f>IFERROR(__xludf.DUMMYFUNCTION("""COMPUTED_VALUE"""),"es")</f>
        <v>es</v>
      </c>
      <c r="B9624">
        <f>IFERROR(__xludf.DUMMYFUNCTION("""COMPUTED_VALUE"""),2362336.0)</f>
        <v>2362336</v>
      </c>
      <c r="C9624" t="str">
        <f>IFERROR(__xludf.DUMMYFUNCTION("""COMPUTED_VALUE"""),"Aprende Creatividad - Ignición Creativa")</f>
        <v>Aprende Creatividad - Ignición Creativa</v>
      </c>
    </row>
    <row r="9625">
      <c r="A9625" s="140" t="str">
        <f>IFERROR(__xludf.DUMMYFUNCTION("""COMPUTED_VALUE"""),"fr")</f>
        <v>fr</v>
      </c>
      <c r="B9625">
        <f>IFERROR(__xludf.DUMMYFUNCTION("""COMPUTED_VALUE"""),3384358.0)</f>
        <v>3384358</v>
      </c>
      <c r="C9625" t="str">
        <f>IFERROR(__xludf.DUMMYFUNCTION("""COMPUTED_VALUE"""),"iOS 14 et Swift 5.3: Le Cours complet")</f>
        <v>iOS 14 et Swift 5.3: Le Cours complet</v>
      </c>
    </row>
    <row r="9626">
      <c r="A9626" s="140" t="str">
        <f>IFERROR(__xludf.DUMMYFUNCTION("""COMPUTED_VALUE"""),"ja")</f>
        <v>ja</v>
      </c>
      <c r="B9626">
        <f>IFERROR(__xludf.DUMMYFUNCTION("""COMPUTED_VALUE"""),2552327.0)</f>
        <v>2552327</v>
      </c>
      <c r="C9626" t="str">
        <f>IFERROR(__xludf.DUMMYFUNCTION("""COMPUTED_VALUE"""),"Python3 GUI イントロダクション [PySide2 (Qt for Python)]")</f>
        <v>Python3 GUI イントロダクション [PySide2 (Qt for Python)]</v>
      </c>
    </row>
    <row r="9627">
      <c r="A9627" s="140" t="str">
        <f>IFERROR(__xludf.DUMMYFUNCTION("""COMPUTED_VALUE"""),"en")</f>
        <v>en</v>
      </c>
      <c r="B9627">
        <f>IFERROR(__xludf.DUMMYFUNCTION("""COMPUTED_VALUE"""),470288.0)</f>
        <v>470288</v>
      </c>
      <c r="C9627" t="str">
        <f>IFERROR(__xludf.DUMMYFUNCTION("""COMPUTED_VALUE"""),"EMMET Faster HTML &amp; CSS workflow - Best Tool For Developers")</f>
        <v>EMMET Faster HTML &amp; CSS workflow - Best Tool For Developers</v>
      </c>
    </row>
    <row r="9628">
      <c r="A9628" s="140" t="str">
        <f>IFERROR(__xludf.DUMMYFUNCTION("""COMPUTED_VALUE"""),"es")</f>
        <v>es</v>
      </c>
      <c r="B9628">
        <f>IFERROR(__xludf.DUMMYFUNCTION("""COMPUTED_VALUE"""),3359000.0)</f>
        <v>3359000</v>
      </c>
      <c r="C9628" t="str">
        <f>IFERROR(__xludf.DUMMYFUNCTION("""COMPUTED_VALUE"""),"Aprende VueJS + Django a través de ejemplos prácticos")</f>
        <v>Aprende VueJS + Django a través de ejemplos prácticos</v>
      </c>
    </row>
    <row r="9629">
      <c r="A9629" s="140" t="str">
        <f>IFERROR(__xludf.DUMMYFUNCTION("""COMPUTED_VALUE"""),"en")</f>
        <v>en</v>
      </c>
      <c r="B9629">
        <f>IFERROR(__xludf.DUMMYFUNCTION("""COMPUTED_VALUE"""),1563628.0)</f>
        <v>1563628</v>
      </c>
      <c r="C9629" t="str">
        <f>IFERROR(__xludf.DUMMYFUNCTION("""COMPUTED_VALUE"""),"Listening Skills - The Ultimate Workplace Soft Skills")</f>
        <v>Listening Skills - The Ultimate Workplace Soft Skills</v>
      </c>
    </row>
    <row r="9630">
      <c r="A9630" s="140" t="str">
        <f>IFERROR(__xludf.DUMMYFUNCTION("""COMPUTED_VALUE"""),"de")</f>
        <v>de</v>
      </c>
      <c r="B9630">
        <f>IFERROR(__xludf.DUMMYFUNCTION("""COMPUTED_VALUE"""),1240084.0)</f>
        <v>1240084</v>
      </c>
      <c r="C9630" t="str">
        <f>IFERROR(__xludf.DUMMYFUNCTION("""COMPUTED_VALUE"""),"Die Swift &amp; iOS 12 Masterclass - App Entwicklung von A-Z")</f>
        <v>Die Swift &amp; iOS 12 Masterclass - App Entwicklung von A-Z</v>
      </c>
    </row>
    <row r="9631">
      <c r="A9631" s="140" t="str">
        <f>IFERROR(__xludf.DUMMYFUNCTION("""COMPUTED_VALUE"""),"en")</f>
        <v>en</v>
      </c>
      <c r="B9631">
        <f>IFERROR(__xludf.DUMMYFUNCTION("""COMPUTED_VALUE"""),1729984.0)</f>
        <v>1729984</v>
      </c>
      <c r="C9631" t="str">
        <f>IFERROR(__xludf.DUMMYFUNCTION("""COMPUTED_VALUE"""),"Standard 9.2 - Part 1 Foundation Enterprise Architect Course")</f>
        <v>Standard 9.2 - Part 1 Foundation Enterprise Architect Course</v>
      </c>
    </row>
    <row r="9632">
      <c r="A9632" s="140" t="str">
        <f>IFERROR(__xludf.DUMMYFUNCTION("""COMPUTED_VALUE"""),"en")</f>
        <v>en</v>
      </c>
      <c r="B9632">
        <f>IFERROR(__xludf.DUMMYFUNCTION("""COMPUTED_VALUE"""),4200930.0)</f>
        <v>4200930</v>
      </c>
      <c r="C9632" t="str">
        <f>IFERROR(__xludf.DUMMYFUNCTION("""COMPUTED_VALUE"""),"SAP for Retail Essentials: Learn SAP Retail Overview 2021")</f>
        <v>SAP for Retail Essentials: Learn SAP Retail Overview 2021</v>
      </c>
    </row>
    <row r="9633">
      <c r="A9633" s="140" t="str">
        <f>IFERROR(__xludf.DUMMYFUNCTION("""COMPUTED_VALUE"""),"en")</f>
        <v>en</v>
      </c>
      <c r="B9633">
        <f>IFERROR(__xludf.DUMMYFUNCTION("""COMPUTED_VALUE"""),1352696.0)</f>
        <v>1352696</v>
      </c>
      <c r="C9633" t="str">
        <f>IFERROR(__xludf.DUMMYFUNCTION("""COMPUTED_VALUE"""),"Learn Google Apps Script: From Level Zero")</f>
        <v>Learn Google Apps Script: From Level Zero</v>
      </c>
    </row>
    <row r="9634">
      <c r="A9634" s="140" t="str">
        <f>IFERROR(__xludf.DUMMYFUNCTION("""COMPUTED_VALUE"""),"pt")</f>
        <v>pt</v>
      </c>
      <c r="B9634">
        <f>IFERROR(__xludf.DUMMYFUNCTION("""COMPUTED_VALUE"""),3109388.0)</f>
        <v>3109388</v>
      </c>
      <c r="C9634" t="str">
        <f>IFERROR(__xludf.DUMMYFUNCTION("""COMPUTED_VALUE"""),"Edição de Vídeo para Iniciantes - Saindo do zero")</f>
        <v>Edição de Vídeo para Iniciantes - Saindo do zero</v>
      </c>
    </row>
    <row r="9635">
      <c r="A9635" s="140" t="str">
        <f>IFERROR(__xludf.DUMMYFUNCTION("""COMPUTED_VALUE"""),"en")</f>
        <v>en</v>
      </c>
      <c r="B9635">
        <f>IFERROR(__xludf.DUMMYFUNCTION("""COMPUTED_VALUE"""),1053342.0)</f>
        <v>1053342</v>
      </c>
      <c r="C9635" t="str">
        <f>IFERROR(__xludf.DUMMYFUNCTION("""COMPUTED_VALUE"""),"IELTS Preparation Masterclass: A Complete Guide to the IELTS")</f>
        <v>IELTS Preparation Masterclass: A Complete Guide to the IELTS</v>
      </c>
    </row>
    <row r="9636">
      <c r="A9636" s="140" t="str">
        <f>IFERROR(__xludf.DUMMYFUNCTION("""COMPUTED_VALUE"""),"en")</f>
        <v>en</v>
      </c>
      <c r="B9636">
        <f>IFERROR(__xludf.DUMMYFUNCTION("""COMPUTED_VALUE"""),2037952.0)</f>
        <v>2037952</v>
      </c>
      <c r="C9636" t="str">
        <f>IFERROR(__xludf.DUMMYFUNCTION("""COMPUTED_VALUE"""),"Business Branding With Personality: Build An Authentic Brand")</f>
        <v>Business Branding With Personality: Build An Authentic Brand</v>
      </c>
    </row>
    <row r="9637">
      <c r="A9637" s="140" t="str">
        <f>IFERROR(__xludf.DUMMYFUNCTION("""COMPUTED_VALUE"""),"ja")</f>
        <v>ja</v>
      </c>
      <c r="B9637">
        <f>IFERROR(__xludf.DUMMYFUNCTION("""COMPUTED_VALUE"""),2078782.0)</f>
        <v>2078782</v>
      </c>
      <c r="C9637" t="str">
        <f>IFERROR(__xludf.DUMMYFUNCTION("""COMPUTED_VALUE"""),"【初心者向けWeb集客の始め方講座】WordPressとメルマガを使ったDRM・リストマーケティングの仕組み化完成コース")</f>
        <v>【初心者向けWeb集客の始め方講座】WordPressとメルマガを使ったDRM・リストマーケティングの仕組み化完成コース</v>
      </c>
    </row>
    <row r="9638">
      <c r="A9638" s="140" t="str">
        <f>IFERROR(__xludf.DUMMYFUNCTION("""COMPUTED_VALUE"""),"tr")</f>
        <v>tr</v>
      </c>
      <c r="B9638">
        <f>IFERROR(__xludf.DUMMYFUNCTION("""COMPUTED_VALUE"""),2191090.0)</f>
        <v>2191090</v>
      </c>
      <c r="C9638" t="str">
        <f>IFERROR(__xludf.DUMMYFUNCTION("""COMPUTED_VALUE"""),"PHP Laravel ile Kullanıcı Sistemi ve  Soru Cevap Uygulaması")</f>
        <v>PHP Laravel ile Kullanıcı Sistemi ve  Soru Cevap Uygulaması</v>
      </c>
    </row>
    <row r="9639">
      <c r="A9639" s="140" t="str">
        <f>IFERROR(__xludf.DUMMYFUNCTION("""COMPUTED_VALUE"""),"en")</f>
        <v>en</v>
      </c>
      <c r="B9639">
        <f>IFERROR(__xludf.DUMMYFUNCTION("""COMPUTED_VALUE"""),3576019.0)</f>
        <v>3576019</v>
      </c>
      <c r="C9639" t="str">
        <f>IFERROR(__xludf.DUMMYFUNCTION("""COMPUTED_VALUE"""),"Microservices with gRPC [Java + Spring Boot + Protobuf]")</f>
        <v>Microservices with gRPC [Java + Spring Boot + Protobuf]</v>
      </c>
    </row>
    <row r="9640">
      <c r="A9640" s="140" t="str">
        <f>IFERROR(__xludf.DUMMYFUNCTION("""COMPUTED_VALUE"""),"ja")</f>
        <v>ja</v>
      </c>
      <c r="B9640">
        <f>IFERROR(__xludf.DUMMYFUNCTION("""COMPUTED_VALUE"""),3862384.0)</f>
        <v>3862384</v>
      </c>
      <c r="C9640" t="str">
        <f>IFERROR(__xludf.DUMMYFUNCTION("""COMPUTED_VALUE"""),"【論理的に考える】ロジカルシンキングの基本マスターコース（PowerPoint, Word, Excel テンプレ付き）")</f>
        <v>【論理的に考える】ロジカルシンキングの基本マスターコース（PowerPoint, Word, Excel テンプレ付き）</v>
      </c>
    </row>
    <row r="9641">
      <c r="A9641" s="140" t="str">
        <f>IFERROR(__xludf.DUMMYFUNCTION("""COMPUTED_VALUE"""),"en")</f>
        <v>en</v>
      </c>
      <c r="B9641">
        <f>IFERROR(__xludf.DUMMYFUNCTION("""COMPUTED_VALUE"""),3351220.0)</f>
        <v>3351220</v>
      </c>
      <c r="C9641" t="str">
        <f>IFERROR(__xludf.DUMMYFUNCTION("""COMPUTED_VALUE"""),"Certified Risk and Information System Control  (CRISC-ISACA)")</f>
        <v>Certified Risk and Information System Control  (CRISC-ISACA)</v>
      </c>
    </row>
    <row r="9642">
      <c r="A9642" s="140" t="str">
        <f>IFERROR(__xludf.DUMMYFUNCTION("""COMPUTED_VALUE"""),"en")</f>
        <v>en</v>
      </c>
      <c r="B9642">
        <f>IFERROR(__xludf.DUMMYFUNCTION("""COMPUTED_VALUE"""),2600276.0)</f>
        <v>2600276</v>
      </c>
      <c r="C9642" t="str">
        <f>IFERROR(__xludf.DUMMYFUNCTION("""COMPUTED_VALUE"""),"Practical Time Management - Personal Productivity Tools")</f>
        <v>Practical Time Management - Personal Productivity Tools</v>
      </c>
    </row>
    <row r="9643">
      <c r="A9643" s="140" t="str">
        <f>IFERROR(__xludf.DUMMYFUNCTION("""COMPUTED_VALUE"""),"en")</f>
        <v>en</v>
      </c>
      <c r="B9643">
        <f>IFERROR(__xludf.DUMMYFUNCTION("""COMPUTED_VALUE"""),3651110.0)</f>
        <v>3651110</v>
      </c>
      <c r="C9643" t="str">
        <f>IFERROR(__xludf.DUMMYFUNCTION("""COMPUTED_VALUE"""),"Microsoft Azure: From Zero to Hero - The Complete Guide")</f>
        <v>Microsoft Azure: From Zero to Hero - The Complete Guide</v>
      </c>
    </row>
    <row r="9644">
      <c r="A9644" s="140" t="str">
        <f>IFERROR(__xludf.DUMMYFUNCTION("""COMPUTED_VALUE"""),"ar")</f>
        <v>ar</v>
      </c>
      <c r="B9644">
        <f>IFERROR(__xludf.DUMMYFUNCTION("""COMPUTED_VALUE"""),1169204.0)</f>
        <v>1169204</v>
      </c>
      <c r="C9644" t="str">
        <f>IFERROR(__xludf.DUMMYFUNCTION("""COMPUTED_VALUE"""),"LEED Green Associate V4 | Practice Tests explained | Arabic")</f>
        <v>LEED Green Associate V4 | Practice Tests explained | Arabic</v>
      </c>
    </row>
    <row r="9645">
      <c r="A9645" s="140" t="str">
        <f>IFERROR(__xludf.DUMMYFUNCTION("""COMPUTED_VALUE"""),"en")</f>
        <v>en</v>
      </c>
      <c r="B9645">
        <f>IFERROR(__xludf.DUMMYFUNCTION("""COMPUTED_VALUE"""),530426.0)</f>
        <v>530426</v>
      </c>
      <c r="C9645" t="str">
        <f>IFERROR(__xludf.DUMMYFUNCTION("""COMPUTED_VALUE"""),"Become A Logo Designer")</f>
        <v>Become A Logo Designer</v>
      </c>
    </row>
    <row r="9646">
      <c r="A9646" s="140" t="str">
        <f>IFERROR(__xludf.DUMMYFUNCTION("""COMPUTED_VALUE"""),"en")</f>
        <v>en</v>
      </c>
      <c r="B9646">
        <f>IFERROR(__xludf.DUMMYFUNCTION("""COMPUTED_VALUE"""),3197760.0)</f>
        <v>3197760</v>
      </c>
      <c r="C9646" t="str">
        <f>IFERROR(__xludf.DUMMYFUNCTION("""COMPUTED_VALUE"""),"UI UX Design Hybrid from Figma to HTML CSS and JavaScript")</f>
        <v>UI UX Design Hybrid from Figma to HTML CSS and JavaScript</v>
      </c>
    </row>
    <row r="9647">
      <c r="A9647" s="140" t="str">
        <f>IFERROR(__xludf.DUMMYFUNCTION("""COMPUTED_VALUE"""),"en")</f>
        <v>en</v>
      </c>
      <c r="B9647">
        <f>IFERROR(__xludf.DUMMYFUNCTION("""COMPUTED_VALUE"""),366280.0)</f>
        <v>366280</v>
      </c>
      <c r="C9647" t="str">
        <f>IFERROR(__xludf.DUMMYFUNCTION("""COMPUTED_VALUE"""),"Java Database Connection: JDBC and MySQL")</f>
        <v>Java Database Connection: JDBC and MySQL</v>
      </c>
    </row>
    <row r="9648">
      <c r="A9648" s="140" t="str">
        <f>IFERROR(__xludf.DUMMYFUNCTION("""COMPUTED_VALUE"""),"en")</f>
        <v>en</v>
      </c>
      <c r="B9648">
        <f>IFERROR(__xludf.DUMMYFUNCTION("""COMPUTED_VALUE"""),2404104.0)</f>
        <v>2404104</v>
      </c>
      <c r="C9648" t="str">
        <f>IFERROR(__xludf.DUMMYFUNCTION("""COMPUTED_VALUE"""),"Food Safety for Managers and Supervisors")</f>
        <v>Food Safety for Managers and Supervisors</v>
      </c>
    </row>
    <row r="9649">
      <c r="A9649" s="140" t="str">
        <f>IFERROR(__xludf.DUMMYFUNCTION("""COMPUTED_VALUE"""),"en")</f>
        <v>en</v>
      </c>
      <c r="B9649">
        <f>IFERROR(__xludf.DUMMYFUNCTION("""COMPUTED_VALUE"""),3589492.0)</f>
        <v>3589492</v>
      </c>
      <c r="C9649" t="str">
        <f>IFERROR(__xludf.DUMMYFUNCTION("""COMPUTED_VALUE"""),"SwiftUI 2.0 Apps on iPhone, iPad, Mac, Watch &amp; TV")</f>
        <v>SwiftUI 2.0 Apps on iPhone, iPad, Mac, Watch &amp; TV</v>
      </c>
    </row>
    <row r="9650">
      <c r="A9650" s="140" t="str">
        <f>IFERROR(__xludf.DUMMYFUNCTION("""COMPUTED_VALUE"""),"en")</f>
        <v>en</v>
      </c>
      <c r="B9650">
        <f>IFERROR(__xludf.DUMMYFUNCTION("""COMPUTED_VALUE"""),2525830.0)</f>
        <v>2525830</v>
      </c>
      <c r="C9650" t="str">
        <f>IFERROR(__xludf.DUMMYFUNCTION("""COMPUTED_VALUE"""),"Oracle Application Framework(OAF) - Beginners to Expert")</f>
        <v>Oracle Application Framework(OAF) - Beginners to Expert</v>
      </c>
    </row>
    <row r="9651">
      <c r="A9651" s="140" t="str">
        <f>IFERROR(__xludf.DUMMYFUNCTION("""COMPUTED_VALUE"""),"de")</f>
        <v>de</v>
      </c>
      <c r="B9651">
        <f>IFERROR(__xludf.DUMMYFUNCTION("""COMPUTED_VALUE"""),1322700.0)</f>
        <v>1322700</v>
      </c>
      <c r="C9651" t="str">
        <f>IFERROR(__xludf.DUMMYFUNCTION("""COMPUTED_VALUE"""),"Python für Data Science, Machine Learning &amp; Visualization")</f>
        <v>Python für Data Science, Machine Learning &amp; Visualization</v>
      </c>
    </row>
    <row r="9652">
      <c r="A9652" s="140" t="str">
        <f>IFERROR(__xludf.DUMMYFUNCTION("""COMPUTED_VALUE"""),"en")</f>
        <v>en</v>
      </c>
      <c r="B9652">
        <f>IFERROR(__xludf.DUMMYFUNCTION("""COMPUTED_VALUE"""),2779762.0)</f>
        <v>2779762</v>
      </c>
      <c r="C9652" t="str">
        <f>IFERROR(__xludf.DUMMYFUNCTION("""COMPUTED_VALUE"""),"DevOps , CI/CD(Continuous Integration/Delivery for Beginners")</f>
        <v>DevOps , CI/CD(Continuous Integration/Delivery for Beginners</v>
      </c>
    </row>
    <row r="9653">
      <c r="A9653" s="140" t="str">
        <f>IFERROR(__xludf.DUMMYFUNCTION("""COMPUTED_VALUE"""),"en")</f>
        <v>en</v>
      </c>
      <c r="B9653">
        <f>IFERROR(__xludf.DUMMYFUNCTION("""COMPUTED_VALUE"""),1439624.0)</f>
        <v>1439624</v>
      </c>
      <c r="C9653" t="str">
        <f>IFERROR(__xludf.DUMMYFUNCTION("""COMPUTED_VALUE"""),"Architect SaaS Applications - Unique Challenges &amp; Solutions")</f>
        <v>Architect SaaS Applications - Unique Challenges &amp; Solutions</v>
      </c>
    </row>
    <row r="9654">
      <c r="A9654" s="140" t="str">
        <f>IFERROR(__xludf.DUMMYFUNCTION("""COMPUTED_VALUE"""),"es")</f>
        <v>es</v>
      </c>
      <c r="B9654">
        <f>IFERROR(__xludf.DUMMYFUNCTION("""COMPUTED_VALUE"""),2810733.0)</f>
        <v>2810733</v>
      </c>
      <c r="C9654" t="str">
        <f>IFERROR(__xludf.DUMMYFUNCTION("""COMPUTED_VALUE"""),"Bot Framework V4 y Microsoft Azure Completo")</f>
        <v>Bot Framework V4 y Microsoft Azure Completo</v>
      </c>
    </row>
    <row r="9655">
      <c r="A9655" s="140" t="str">
        <f>IFERROR(__xludf.DUMMYFUNCTION("""COMPUTED_VALUE"""),"en")</f>
        <v>en</v>
      </c>
      <c r="B9655">
        <f>IFERROR(__xludf.DUMMYFUNCTION("""COMPUTED_VALUE"""),3642974.0)</f>
        <v>3642974</v>
      </c>
      <c r="C9655" t="str">
        <f>IFERROR(__xludf.DUMMYFUNCTION("""COMPUTED_VALUE"""),"The Webrtc Bootcamp 2021 For Beginners")</f>
        <v>The Webrtc Bootcamp 2021 For Beginners</v>
      </c>
    </row>
    <row r="9656">
      <c r="A9656" s="140" t="str">
        <f>IFERROR(__xludf.DUMMYFUNCTION("""COMPUTED_VALUE"""),"es")</f>
        <v>es</v>
      </c>
      <c r="B9656">
        <f>IFERROR(__xludf.DUMMYFUNCTION("""COMPUTED_VALUE"""),1440514.0)</f>
        <v>1440514</v>
      </c>
      <c r="C9656" t="str">
        <f>IFERROR(__xludf.DUMMYFUNCTION("""COMPUTED_VALUE"""),"Automatiza tu navegador. Selenium WebDriver con Python.")</f>
        <v>Automatiza tu navegador. Selenium WebDriver con Python.</v>
      </c>
    </row>
    <row r="9657">
      <c r="A9657" s="140" t="str">
        <f>IFERROR(__xludf.DUMMYFUNCTION("""COMPUTED_VALUE"""),"ja")</f>
        <v>ja</v>
      </c>
      <c r="B9657">
        <f>IFERROR(__xludf.DUMMYFUNCTION("""COMPUTED_VALUE"""),4153956.0)</f>
        <v>4153956</v>
      </c>
      <c r="C9657" t="str">
        <f>IFERROR(__xludf.DUMMYFUNCTION("""COMPUTED_VALUE"""),"Microsoft Teams便利技24選 【120分で速習】")</f>
        <v>Microsoft Teams便利技24選 【120分で速習】</v>
      </c>
    </row>
    <row r="9658">
      <c r="A9658" s="140" t="str">
        <f>IFERROR(__xludf.DUMMYFUNCTION("""COMPUTED_VALUE"""),"en")</f>
        <v>en</v>
      </c>
      <c r="B9658">
        <f>IFERROR(__xludf.DUMMYFUNCTION("""COMPUTED_VALUE"""),442254.0)</f>
        <v>442254</v>
      </c>
      <c r="C9658" t="str">
        <f>IFERROR(__xludf.DUMMYFUNCTION("""COMPUTED_VALUE"""),"Learn Linux Administration and Supercharge Your Career")</f>
        <v>Learn Linux Administration and Supercharge Your Career</v>
      </c>
    </row>
    <row r="9659">
      <c r="A9659" s="140" t="str">
        <f>IFERROR(__xludf.DUMMYFUNCTION("""COMPUTED_VALUE"""),"en")</f>
        <v>en</v>
      </c>
      <c r="B9659">
        <f>IFERROR(__xludf.DUMMYFUNCTION("""COMPUTED_VALUE"""),3552010.0)</f>
        <v>3552010</v>
      </c>
      <c r="C9659" t="str">
        <f>IFERROR(__xludf.DUMMYFUNCTION("""COMPUTED_VALUE"""),"The Ultimate Azure API Management Course")</f>
        <v>The Ultimate Azure API Management Course</v>
      </c>
    </row>
    <row r="9660">
      <c r="A9660" s="140" t="str">
        <f>IFERROR(__xludf.DUMMYFUNCTION("""COMPUTED_VALUE"""),"en")</f>
        <v>en</v>
      </c>
      <c r="B9660">
        <f>IFERROR(__xludf.DUMMYFUNCTION("""COMPUTED_VALUE"""),2771350.0)</f>
        <v>2771350</v>
      </c>
      <c r="C9660" t="str">
        <f>IFERROR(__xludf.DUMMYFUNCTION("""COMPUTED_VALUE"""),"Learning to Learn [Efficient Learning]: Zero to Mastery")</f>
        <v>Learning to Learn [Efficient Learning]: Zero to Mastery</v>
      </c>
    </row>
    <row r="9661">
      <c r="A9661" s="140" t="str">
        <f>IFERROR(__xludf.DUMMYFUNCTION("""COMPUTED_VALUE"""),"en")</f>
        <v>en</v>
      </c>
      <c r="B9661">
        <f>IFERROR(__xludf.DUMMYFUNCTION("""COMPUTED_VALUE"""),3369428.0)</f>
        <v>3369428</v>
      </c>
      <c r="C9661" t="str">
        <f>IFERROR(__xludf.DUMMYFUNCTION("""COMPUTED_VALUE"""),"Learn to use Git and Github with Eclipse: A Complete Guide")</f>
        <v>Learn to use Git and Github with Eclipse: A Complete Guide</v>
      </c>
    </row>
    <row r="9662">
      <c r="A9662" s="140" t="str">
        <f>IFERROR(__xludf.DUMMYFUNCTION("""COMPUTED_VALUE"""),"en")</f>
        <v>en</v>
      </c>
      <c r="B9662">
        <f>IFERROR(__xludf.DUMMYFUNCTION("""COMPUTED_VALUE"""),2469516.0)</f>
        <v>2469516</v>
      </c>
      <c r="C9662" t="str">
        <f>IFERROR(__xludf.DUMMYFUNCTION("""COMPUTED_VALUE"""),"NEW AWS Certified Solutions Architect Associate 2021 SAA-C02")</f>
        <v>NEW AWS Certified Solutions Architect Associate 2021 SAA-C02</v>
      </c>
    </row>
    <row r="9663">
      <c r="A9663" s="140" t="str">
        <f>IFERROR(__xludf.DUMMYFUNCTION("""COMPUTED_VALUE"""),"de")</f>
        <v>de</v>
      </c>
      <c r="B9663">
        <f>IFERROR(__xludf.DUMMYFUNCTION("""COMPUTED_VALUE"""),2884096.0)</f>
        <v>2884096</v>
      </c>
      <c r="C9663" t="str">
        <f>IFERROR(__xludf.DUMMYFUNCTION("""COMPUTED_VALUE"""),"Scrum-Master und Product-Owner Zertifizierung in 8 h")</f>
        <v>Scrum-Master und Product-Owner Zertifizierung in 8 h</v>
      </c>
    </row>
    <row r="9664">
      <c r="A9664" s="140" t="str">
        <f>IFERROR(__xludf.DUMMYFUNCTION("""COMPUTED_VALUE"""),"pt")</f>
        <v>pt</v>
      </c>
      <c r="B9664">
        <f>IFERROR(__xludf.DUMMYFUNCTION("""COMPUTED_VALUE"""),3686108.0)</f>
        <v>3686108</v>
      </c>
      <c r="C9664" t="str">
        <f>IFERROR(__xludf.DUMMYFUNCTION("""COMPUTED_VALUE"""),"Criação de Dashboards com Google Data Studio")</f>
        <v>Criação de Dashboards com Google Data Studio</v>
      </c>
    </row>
    <row r="9665">
      <c r="A9665" s="140" t="str">
        <f>IFERROR(__xludf.DUMMYFUNCTION("""COMPUTED_VALUE"""),"es")</f>
        <v>es</v>
      </c>
      <c r="B9665">
        <f>IFERROR(__xludf.DUMMYFUNCTION("""COMPUTED_VALUE"""),2072241.0)</f>
        <v>2072241</v>
      </c>
      <c r="C9665" t="str">
        <f>IFERROR(__xludf.DUMMYFUNCTION("""COMPUTED_VALUE"""),"MASTER EN PHP 7 CON MYSQL  PROYECTO PHPTUBE  Y MUCHO MAS!")</f>
        <v>MASTER EN PHP 7 CON MYSQL  PROYECTO PHPTUBE  Y MUCHO MAS!</v>
      </c>
    </row>
    <row r="9666">
      <c r="A9666" s="140" t="str">
        <f>IFERROR(__xludf.DUMMYFUNCTION("""COMPUTED_VALUE"""),"zh")</f>
        <v>zh</v>
      </c>
      <c r="B9666">
        <f>IFERROR(__xludf.DUMMYFUNCTION("""COMPUTED_VALUE"""),2488792.0)</f>
        <v>2488792</v>
      </c>
      <c r="C9666" t="str">
        <f>IFERROR(__xludf.DUMMYFUNCTION("""COMPUTED_VALUE"""),"Python Django框架初学者课程")</f>
        <v>Python Django框架初学者课程</v>
      </c>
    </row>
    <row r="9667">
      <c r="A9667" s="140" t="str">
        <f>IFERROR(__xludf.DUMMYFUNCTION("""COMPUTED_VALUE"""),"en")</f>
        <v>en</v>
      </c>
      <c r="B9667">
        <f>IFERROR(__xludf.DUMMYFUNCTION("""COMPUTED_VALUE"""),49779.0)</f>
        <v>49779</v>
      </c>
      <c r="C9667" t="str">
        <f>IFERROR(__xludf.DUMMYFUNCTION("""COMPUTED_VALUE"""),"The Ultimate Gmail Productivity System For Business")</f>
        <v>The Ultimate Gmail Productivity System For Business</v>
      </c>
    </row>
    <row r="9668">
      <c r="A9668" s="140" t="str">
        <f>IFERROR(__xludf.DUMMYFUNCTION("""COMPUTED_VALUE"""),"en")</f>
        <v>en</v>
      </c>
      <c r="B9668">
        <f>IFERROR(__xludf.DUMMYFUNCTION("""COMPUTED_VALUE"""),4222260.0)</f>
        <v>4222260</v>
      </c>
      <c r="C9668" t="str">
        <f>IFERROR(__xludf.DUMMYFUNCTION("""COMPUTED_VALUE"""),"A Beginner's Guide to Product Photography")</f>
        <v>A Beginner's Guide to Product Photography</v>
      </c>
    </row>
    <row r="9669">
      <c r="A9669" s="140" t="str">
        <f>IFERROR(__xludf.DUMMYFUNCTION("""COMPUTED_VALUE"""),"de")</f>
        <v>de</v>
      </c>
      <c r="B9669">
        <f>IFERROR(__xludf.DUMMYFUNCTION("""COMPUTED_VALUE"""),3083514.0)</f>
        <v>3083514</v>
      </c>
      <c r="C9669" t="str">
        <f>IFERROR(__xludf.DUMMYFUNCTION("""COMPUTED_VALUE"""),"Change Prozesse erfolgreich managen")</f>
        <v>Change Prozesse erfolgreich managen</v>
      </c>
    </row>
    <row r="9670">
      <c r="A9670" s="140" t="str">
        <f>IFERROR(__xludf.DUMMYFUNCTION("""COMPUTED_VALUE"""),"tr")</f>
        <v>tr</v>
      </c>
      <c r="B9670">
        <f>IFERROR(__xludf.DUMMYFUNCTION("""COMPUTED_VALUE"""),2466140.0)</f>
        <v>2466140</v>
      </c>
      <c r="C9670" t="str">
        <f>IFERROR(__xludf.DUMMYFUNCTION("""COMPUTED_VALUE"""),"Django Rest Framework Eğitim Seti")</f>
        <v>Django Rest Framework Eğitim Seti</v>
      </c>
    </row>
    <row r="9671">
      <c r="A9671" s="140" t="str">
        <f>IFERROR(__xludf.DUMMYFUNCTION("""COMPUTED_VALUE"""),"fr")</f>
        <v>fr</v>
      </c>
      <c r="B9671">
        <f>IFERROR(__xludf.DUMMYFUNCTION("""COMPUTED_VALUE"""),2071361.0)</f>
        <v>2071361</v>
      </c>
      <c r="C9671" t="str">
        <f>IFERROR(__xludf.DUMMYFUNCTION("""COMPUTED_VALUE"""),"Le traitement d'images avec Python")</f>
        <v>Le traitement d'images avec Python</v>
      </c>
    </row>
    <row r="9672">
      <c r="A9672" s="140" t="str">
        <f>IFERROR(__xludf.DUMMYFUNCTION("""COMPUTED_VALUE"""),"en")</f>
        <v>en</v>
      </c>
      <c r="B9672">
        <f>IFERROR(__xludf.DUMMYFUNCTION("""COMPUTED_VALUE"""),903942.0)</f>
        <v>903942</v>
      </c>
      <c r="C9672" t="str">
        <f>IFERROR(__xludf.DUMMYFUNCTION("""COMPUTED_VALUE"""),"Mule3  in Depth")</f>
        <v>Mule3  in Depth</v>
      </c>
    </row>
    <row r="9673">
      <c r="A9673" s="140" t="str">
        <f>IFERROR(__xludf.DUMMYFUNCTION("""COMPUTED_VALUE"""),"en")</f>
        <v>en</v>
      </c>
      <c r="B9673">
        <f>IFERROR(__xludf.DUMMYFUNCTION("""COMPUTED_VALUE"""),2079540.0)</f>
        <v>2079540</v>
      </c>
      <c r="C9673" t="str">
        <f>IFERROR(__xludf.DUMMYFUNCTION("""COMPUTED_VALUE"""),"AWS Data Architect Bootcamp - 43 Services 500 FAQs 20+ Tools")</f>
        <v>AWS Data Architect Bootcamp - 43 Services 500 FAQs 20+ Tools</v>
      </c>
    </row>
    <row r="9674">
      <c r="A9674" s="140" t="str">
        <f>IFERROR(__xludf.DUMMYFUNCTION("""COMPUTED_VALUE"""),"en")</f>
        <v>en</v>
      </c>
      <c r="B9674">
        <f>IFERROR(__xludf.DUMMYFUNCTION("""COMPUTED_VALUE"""),1908262.0)</f>
        <v>1908262</v>
      </c>
      <c r="C9674" t="str">
        <f>IFERROR(__xludf.DUMMYFUNCTION("""COMPUTED_VALUE"""),"Qt Quick and QML - Intermediate (Qt 5) : Interfacing to C++")</f>
        <v>Qt Quick and QML - Intermediate (Qt 5) : Interfacing to C++</v>
      </c>
    </row>
    <row r="9675">
      <c r="A9675" s="140" t="str">
        <f>IFERROR(__xludf.DUMMYFUNCTION("""COMPUTED_VALUE"""),"en")</f>
        <v>en</v>
      </c>
      <c r="B9675">
        <f>IFERROR(__xludf.DUMMYFUNCTION("""COMPUTED_VALUE"""),2594562.0)</f>
        <v>2594562</v>
      </c>
      <c r="C9675" t="str">
        <f>IFERROR(__xludf.DUMMYFUNCTION("""COMPUTED_VALUE"""),"Dread-Free Difficult Conversations: Speak Up with Courage")</f>
        <v>Dread-Free Difficult Conversations: Speak Up with Courage</v>
      </c>
    </row>
    <row r="9676">
      <c r="A9676" s="140" t="str">
        <f>IFERROR(__xludf.DUMMYFUNCTION("""COMPUTED_VALUE"""),"en")</f>
        <v>en</v>
      </c>
      <c r="B9676">
        <f>IFERROR(__xludf.DUMMYFUNCTION("""COMPUTED_VALUE"""),2618758.0)</f>
        <v>2618758</v>
      </c>
      <c r="C9676" t="str">
        <f>IFERROR(__xludf.DUMMYFUNCTION("""COMPUTED_VALUE"""),"Ethics Review for CFA® Level 1 (2021/2022)")</f>
        <v>Ethics Review for CFA® Level 1 (2021/2022)</v>
      </c>
    </row>
    <row r="9677">
      <c r="A9677" s="140" t="str">
        <f>IFERROR(__xludf.DUMMYFUNCTION("""COMPUTED_VALUE"""),"ar")</f>
        <v>ar</v>
      </c>
      <c r="B9677">
        <f>IFERROR(__xludf.DUMMYFUNCTION("""COMPUTED_VALUE"""),994726.0)</f>
        <v>994726</v>
      </c>
      <c r="C9677" t="str">
        <f>IFERROR(__xludf.DUMMYFUNCTION("""COMPUTED_VALUE"""),"Oracle Database 12c Introduction to SQL/ بالعربي")</f>
        <v>Oracle Database 12c Introduction to SQL/ بالعربي</v>
      </c>
    </row>
    <row r="9678">
      <c r="A9678" s="140" t="str">
        <f>IFERROR(__xludf.DUMMYFUNCTION("""COMPUTED_VALUE"""),"en")</f>
        <v>en</v>
      </c>
      <c r="B9678">
        <f>IFERROR(__xludf.DUMMYFUNCTION("""COMPUTED_VALUE"""),614832.0)</f>
        <v>614832</v>
      </c>
      <c r="C9678" t="str">
        <f>IFERROR(__xludf.DUMMYFUNCTION("""COMPUTED_VALUE"""),"Discrete Mathematics")</f>
        <v>Discrete Mathematics</v>
      </c>
    </row>
    <row r="9679">
      <c r="A9679" s="140" t="str">
        <f>IFERROR(__xludf.DUMMYFUNCTION("""COMPUTED_VALUE"""),"en")</f>
        <v>en</v>
      </c>
      <c r="B9679">
        <f>IFERROR(__xludf.DUMMYFUNCTION("""COMPUTED_VALUE"""),2519188.0)</f>
        <v>2519188</v>
      </c>
      <c r="C9679" t="str">
        <f>IFERROR(__xludf.DUMMYFUNCTION("""COMPUTED_VALUE"""),"AZ-204 Microsoft Azure Developer Practice Tests")</f>
        <v>AZ-204 Microsoft Azure Developer Practice Tests</v>
      </c>
    </row>
    <row r="9680">
      <c r="A9680" s="140" t="str">
        <f>IFERROR(__xludf.DUMMYFUNCTION("""COMPUTED_VALUE"""),"en")</f>
        <v>en</v>
      </c>
      <c r="B9680">
        <f>IFERROR(__xludf.DUMMYFUNCTION("""COMPUTED_VALUE"""),1609212.0)</f>
        <v>1609212</v>
      </c>
      <c r="C9680" t="str">
        <f>IFERROR(__xludf.DUMMYFUNCTION("""COMPUTED_VALUE"""),"Magento 2 Theme Development")</f>
        <v>Magento 2 Theme Development</v>
      </c>
    </row>
    <row r="9681">
      <c r="A9681" s="140" t="str">
        <f>IFERROR(__xludf.DUMMYFUNCTION("""COMPUTED_VALUE"""),"en")</f>
        <v>en</v>
      </c>
      <c r="B9681">
        <f>IFERROR(__xludf.DUMMYFUNCTION("""COMPUTED_VALUE"""),1255050.0)</f>
        <v>1255050</v>
      </c>
      <c r="C9681" t="str">
        <f>IFERROR(__xludf.DUMMYFUNCTION("""COMPUTED_VALUE"""),"The Complete Crowdfunding Course for Kickstarter &amp; Indiegogo")</f>
        <v>The Complete Crowdfunding Course for Kickstarter &amp; Indiegogo</v>
      </c>
    </row>
    <row r="9682">
      <c r="A9682" s="140" t="str">
        <f>IFERROR(__xludf.DUMMYFUNCTION("""COMPUTED_VALUE"""),"tr")</f>
        <v>tr</v>
      </c>
      <c r="B9682">
        <f>IFERROR(__xludf.DUMMYFUNCTION("""COMPUTED_VALUE"""),3425748.0)</f>
        <v>3425748</v>
      </c>
      <c r="C9682" t="str">
        <f>IFERROR(__xludf.DUMMYFUNCTION("""COMPUTED_VALUE"""),"Excel ile Muhasebe Öğrenmek")</f>
        <v>Excel ile Muhasebe Öğrenmek</v>
      </c>
    </row>
    <row r="9683">
      <c r="A9683" s="140" t="str">
        <f>IFERROR(__xludf.DUMMYFUNCTION("""COMPUTED_VALUE"""),"en")</f>
        <v>en</v>
      </c>
      <c r="B9683">
        <f>IFERROR(__xludf.DUMMYFUNCTION("""COMPUTED_VALUE"""),312662.0)</f>
        <v>312662</v>
      </c>
      <c r="C9683" t="str">
        <f>IFERROR(__xludf.DUMMYFUNCTION("""COMPUTED_VALUE"""),"Standard 9.1- Part 1 Foundation Enterprise Architect Course")</f>
        <v>Standard 9.1- Part 1 Foundation Enterprise Architect Course</v>
      </c>
    </row>
    <row r="9684">
      <c r="A9684" s="140" t="str">
        <f>IFERROR(__xludf.DUMMYFUNCTION("""COMPUTED_VALUE"""),"ar")</f>
        <v>ar</v>
      </c>
      <c r="B9684">
        <f>IFERROR(__xludf.DUMMYFUNCTION("""COMPUTED_VALUE"""),2256696.0)</f>
        <v>2256696</v>
      </c>
      <c r="C9684" t="str">
        <f>IFERROR(__xludf.DUMMYFUNCTION("""COMPUTED_VALUE"""),"3G Mobile networks From A to Z  in Arabic")</f>
        <v>3G Mobile networks From A to Z  in Arabic</v>
      </c>
    </row>
    <row r="9685">
      <c r="A9685" s="140" t="str">
        <f>IFERROR(__xludf.DUMMYFUNCTION("""COMPUTED_VALUE"""),"ja")</f>
        <v>ja</v>
      </c>
      <c r="B9685">
        <f>IFERROR(__xludf.DUMMYFUNCTION("""COMPUTED_VALUE"""),4324912.0)</f>
        <v>4324912</v>
      </c>
      <c r="C9685" t="str">
        <f>IFERROR(__xludf.DUMMYFUNCTION("""COMPUTED_VALUE"""),"【管理者ガイド】UB内製講座のアップロード方法")</f>
        <v>【管理者ガイド】UB内製講座のアップロード方法</v>
      </c>
    </row>
    <row r="9686">
      <c r="A9686" s="140" t="str">
        <f>IFERROR(__xludf.DUMMYFUNCTION("""COMPUTED_VALUE"""),"en")</f>
        <v>en</v>
      </c>
      <c r="B9686">
        <f>IFERROR(__xludf.DUMMYFUNCTION("""COMPUTED_VALUE"""),771198.0)</f>
        <v>771198</v>
      </c>
      <c r="C9686" t="str">
        <f>IFERROR(__xludf.DUMMYFUNCTION("""COMPUTED_VALUE"""),"Reactive JS:  Are you ready for the next big paradigm shift?")</f>
        <v>Reactive JS:  Are you ready for the next big paradigm shift?</v>
      </c>
    </row>
    <row r="9687">
      <c r="A9687" s="140" t="str">
        <f>IFERROR(__xludf.DUMMYFUNCTION("""COMPUTED_VALUE"""),"en")</f>
        <v>en</v>
      </c>
      <c r="B9687">
        <f>IFERROR(__xludf.DUMMYFUNCTION("""COMPUTED_VALUE"""),3350536.0)</f>
        <v>3350536</v>
      </c>
      <c r="C9687" t="str">
        <f>IFERROR(__xludf.DUMMYFUNCTION("""COMPUTED_VALUE"""),"SQL and PostgreSQL: The Complete Developer's Guide")</f>
        <v>SQL and PostgreSQL: The Complete Developer's Guide</v>
      </c>
    </row>
    <row r="9688">
      <c r="A9688" s="140" t="str">
        <f>IFERROR(__xludf.DUMMYFUNCTION("""COMPUTED_VALUE"""),"ko")</f>
        <v>ko</v>
      </c>
      <c r="B9688">
        <f>IFERROR(__xludf.DUMMYFUNCTION("""COMPUTED_VALUE"""),4250566.0)</f>
        <v>4250566</v>
      </c>
      <c r="C9688" t="str">
        <f>IFERROR(__xludf.DUMMYFUNCTION("""COMPUTED_VALUE"""),"【글로벌 Best강의】 직원 동기 부여 방법 및 팀의 생산성을 성공적으로 향상시키는 법 (한글자막)")</f>
        <v>【글로벌 Best강의】 직원 동기 부여 방법 및 팀의 생산성을 성공적으로 향상시키는 법 (한글자막)</v>
      </c>
    </row>
    <row r="9689">
      <c r="A9689" s="140" t="str">
        <f>IFERROR(__xludf.DUMMYFUNCTION("""COMPUTED_VALUE"""),"de")</f>
        <v>de</v>
      </c>
      <c r="B9689">
        <f>IFERROR(__xludf.DUMMYFUNCTION("""COMPUTED_VALUE"""),2753434.0)</f>
        <v>2753434</v>
      </c>
      <c r="C9689" t="str">
        <f>IFERROR(__xludf.DUMMYFUNCTION("""COMPUTED_VALUE"""),"iMovie Deutsch")</f>
        <v>iMovie Deutsch</v>
      </c>
    </row>
    <row r="9690">
      <c r="A9690" s="140" t="str">
        <f>IFERROR(__xludf.DUMMYFUNCTION("""COMPUTED_VALUE"""),"en")</f>
        <v>en</v>
      </c>
      <c r="B9690">
        <f>IFERROR(__xludf.DUMMYFUNCTION("""COMPUTED_VALUE"""),3251302.0)</f>
        <v>3251302</v>
      </c>
      <c r="C9690" t="str">
        <f>IFERROR(__xludf.DUMMYFUNCTION("""COMPUTED_VALUE"""),"The Data Visualization Course: Excel, Tableau, Python, R")</f>
        <v>The Data Visualization Course: Excel, Tableau, Python, R</v>
      </c>
    </row>
    <row r="9691">
      <c r="A9691" s="140" t="str">
        <f>IFERROR(__xludf.DUMMYFUNCTION("""COMPUTED_VALUE"""),"ja")</f>
        <v>ja</v>
      </c>
      <c r="B9691">
        <f>IFERROR(__xludf.DUMMYFUNCTION("""COMPUTED_VALUE"""),2418440.0)</f>
        <v>2418440</v>
      </c>
      <c r="C9691" t="str">
        <f>IFERROR(__xludf.DUMMYFUNCTION("""COMPUTED_VALUE"""),"【新規事業からIPOまで】エクセルで学ぶスタートアップ戦略＆ファイナンス")</f>
        <v>【新規事業からIPOまで】エクセルで学ぶスタートアップ戦略＆ファイナンス</v>
      </c>
    </row>
    <row r="9692">
      <c r="A9692" s="140" t="str">
        <f>IFERROR(__xludf.DUMMYFUNCTION("""COMPUTED_VALUE"""),"en")</f>
        <v>en</v>
      </c>
      <c r="B9692">
        <f>IFERROR(__xludf.DUMMYFUNCTION("""COMPUTED_VALUE"""),1669688.0)</f>
        <v>1669688</v>
      </c>
      <c r="C9692" t="str">
        <f>IFERROR(__xludf.DUMMYFUNCTION("""COMPUTED_VALUE"""),"Linux Logical Volume Manager (LVM)")</f>
        <v>Linux Logical Volume Manager (LVM)</v>
      </c>
    </row>
    <row r="9693">
      <c r="A9693" s="140" t="str">
        <f>IFERROR(__xludf.DUMMYFUNCTION("""COMPUTED_VALUE"""),"fr")</f>
        <v>fr</v>
      </c>
      <c r="B9693">
        <f>IFERROR(__xludf.DUMMYFUNCTION("""COMPUTED_VALUE"""),2782446.0)</f>
        <v>2782446</v>
      </c>
      <c r="C9693" t="str">
        <f>IFERROR(__xludf.DUMMYFUNCTION("""COMPUTED_VALUE"""),"Deep Learning avec TensorFlow et Keras | MasterClass Python")</f>
        <v>Deep Learning avec TensorFlow et Keras | MasterClass Python</v>
      </c>
    </row>
    <row r="9694">
      <c r="A9694" s="140" t="str">
        <f>IFERROR(__xludf.DUMMYFUNCTION("""COMPUTED_VALUE"""),"pt")</f>
        <v>pt</v>
      </c>
      <c r="B9694">
        <f>IFERROR(__xludf.DUMMYFUNCTION("""COMPUTED_VALUE"""),1398498.0)</f>
        <v>1398498</v>
      </c>
      <c r="C9694" t="str">
        <f>IFERROR(__xludf.DUMMYFUNCTION("""COMPUTED_VALUE"""),"DESENVOLVIMENTO PESSOAL: Programa de Mudança de Hábitos")</f>
        <v>DESENVOLVIMENTO PESSOAL: Programa de Mudança de Hábitos</v>
      </c>
    </row>
    <row r="9695">
      <c r="A9695" s="140" t="str">
        <f>IFERROR(__xludf.DUMMYFUNCTION("""COMPUTED_VALUE"""),"es")</f>
        <v>es</v>
      </c>
      <c r="B9695">
        <f>IFERROR(__xludf.DUMMYFUNCTION("""COMPUTED_VALUE"""),1072798.0)</f>
        <v>1072798</v>
      </c>
      <c r="C9695" t="str">
        <f>IFERROR(__xludf.DUMMYFUNCTION("""COMPUTED_VALUE"""),"Desarrollo Android - Empieza a crear tu propia App")</f>
        <v>Desarrollo Android - Empieza a crear tu propia App</v>
      </c>
    </row>
    <row r="9696">
      <c r="A9696" s="140" t="str">
        <f>IFERROR(__xludf.DUMMYFUNCTION("""COMPUTED_VALUE"""),"en")</f>
        <v>en</v>
      </c>
      <c r="B9696">
        <f>IFERROR(__xludf.DUMMYFUNCTION("""COMPUTED_VALUE"""),951684.0)</f>
        <v>951684</v>
      </c>
      <c r="C9696" t="str">
        <f>IFERROR(__xludf.DUMMYFUNCTION("""COMPUTED_VALUE"""),"Xamarin Forms: Build Native Cross-platform Apps with C#")</f>
        <v>Xamarin Forms: Build Native Cross-platform Apps with C#</v>
      </c>
    </row>
    <row r="9697">
      <c r="A9697" s="140" t="str">
        <f>IFERROR(__xludf.DUMMYFUNCTION("""COMPUTED_VALUE"""),"en")</f>
        <v>en</v>
      </c>
      <c r="B9697">
        <f>IFERROR(__xludf.DUMMYFUNCTION("""COMPUTED_VALUE"""),300756.0)</f>
        <v>300756</v>
      </c>
      <c r="C9697" t="str">
        <f>IFERROR(__xludf.DUMMYFUNCTION("""COMPUTED_VALUE"""),"SAP Vendor Invoice Management(VIM) by OpenText")</f>
        <v>SAP Vendor Invoice Management(VIM) by OpenText</v>
      </c>
    </row>
    <row r="9698">
      <c r="A9698" s="140" t="str">
        <f>IFERROR(__xludf.DUMMYFUNCTION("""COMPUTED_VALUE"""),"es")</f>
        <v>es</v>
      </c>
      <c r="B9698">
        <f>IFERROR(__xludf.DUMMYFUNCTION("""COMPUTED_VALUE"""),3040252.0)</f>
        <v>3040252</v>
      </c>
      <c r="C9698" t="str">
        <f>IFERROR(__xludf.DUMMYFUNCTION("""COMPUTED_VALUE"""),"ISO 37001:2016 Sistemas de Gestión Antisoborno")</f>
        <v>ISO 37001:2016 Sistemas de Gestión Antisoborno</v>
      </c>
    </row>
    <row r="9699">
      <c r="A9699" s="140" t="str">
        <f>IFERROR(__xludf.DUMMYFUNCTION("""COMPUTED_VALUE"""),"ko")</f>
        <v>ko</v>
      </c>
      <c r="B9699">
        <f>IFERROR(__xludf.DUMMYFUNCTION("""COMPUTED_VALUE"""),4192484.0)</f>
        <v>4192484</v>
      </c>
      <c r="C9699" t="str">
        <f>IFERROR(__xludf.DUMMYFUNCTION("""COMPUTED_VALUE"""),"왕초보도 가능한, 단 2시간만에 정리하는 영어면접 템플릿 강의")</f>
        <v>왕초보도 가능한, 단 2시간만에 정리하는 영어면접 템플릿 강의</v>
      </c>
    </row>
    <row r="9700">
      <c r="A9700" s="140" t="str">
        <f>IFERROR(__xludf.DUMMYFUNCTION("""COMPUTED_VALUE"""),"en")</f>
        <v>en</v>
      </c>
      <c r="B9700">
        <f>IFERROR(__xludf.DUMMYFUNCTION("""COMPUTED_VALUE"""),309066.0)</f>
        <v>309066</v>
      </c>
      <c r="C9700" t="str">
        <f>IFERROR(__xludf.DUMMYFUNCTION("""COMPUTED_VALUE"""),"Electronic Shorthand: Learn how to take digital notes")</f>
        <v>Electronic Shorthand: Learn how to take digital notes</v>
      </c>
    </row>
    <row r="9701">
      <c r="A9701" s="140" t="str">
        <f>IFERROR(__xludf.DUMMYFUNCTION("""COMPUTED_VALUE"""),"ja")</f>
        <v>ja</v>
      </c>
      <c r="B9701">
        <f>IFERROR(__xludf.DUMMYFUNCTION("""COMPUTED_VALUE"""),2389204.0)</f>
        <v>2389204</v>
      </c>
      <c r="C9701" t="str">
        <f>IFERROR(__xludf.DUMMYFUNCTION("""COMPUTED_VALUE"""),"アジャイル・プロジェクトマネジメント短期集中講座")</f>
        <v>アジャイル・プロジェクトマネジメント短期集中講座</v>
      </c>
    </row>
    <row r="9702">
      <c r="A9702" s="140" t="str">
        <f>IFERROR(__xludf.DUMMYFUNCTION("""COMPUTED_VALUE"""),"tr")</f>
        <v>tr</v>
      </c>
      <c r="B9702">
        <f>IFERROR(__xludf.DUMMYFUNCTION("""COMPUTED_VALUE"""),2167786.0)</f>
        <v>2167786</v>
      </c>
      <c r="C9702" t="str">
        <f>IFERROR(__xludf.DUMMYFUNCTION("""COMPUTED_VALUE"""),"MVC5 ile Sıfırdan Adım Adım Web Projesi Geliştirme")</f>
        <v>MVC5 ile Sıfırdan Adım Adım Web Projesi Geliştirme</v>
      </c>
    </row>
    <row r="9703">
      <c r="A9703" s="140" t="str">
        <f>IFERROR(__xludf.DUMMYFUNCTION("""COMPUTED_VALUE"""),"pt")</f>
        <v>pt</v>
      </c>
      <c r="B9703">
        <f>IFERROR(__xludf.DUMMYFUNCTION("""COMPUTED_VALUE"""),1621628.0)</f>
        <v>1621628</v>
      </c>
      <c r="C9703" t="str">
        <f>IFERROR(__xludf.DUMMYFUNCTION("""COMPUTED_VALUE"""),"Design Gráfico e UI/UX Design ULTIMATE - 9 Cursos")</f>
        <v>Design Gráfico e UI/UX Design ULTIMATE - 9 Cursos</v>
      </c>
    </row>
    <row r="9704">
      <c r="A9704" s="140" t="str">
        <f>IFERROR(__xludf.DUMMYFUNCTION("""COMPUTED_VALUE"""),"en")</f>
        <v>en</v>
      </c>
      <c r="B9704">
        <f>IFERROR(__xludf.DUMMYFUNCTION("""COMPUTED_VALUE"""),3619962.0)</f>
        <v>3619962</v>
      </c>
      <c r="C9704" t="str">
        <f>IFERROR(__xludf.DUMMYFUNCTION("""COMPUTED_VALUE"""),"Cloud Computing Fundamentals")</f>
        <v>Cloud Computing Fundamentals</v>
      </c>
    </row>
    <row r="9705">
      <c r="A9705" s="140" t="str">
        <f>IFERROR(__xludf.DUMMYFUNCTION("""COMPUTED_VALUE"""),"en")</f>
        <v>en</v>
      </c>
      <c r="B9705">
        <f>IFERROR(__xludf.DUMMYFUNCTION("""COMPUTED_VALUE"""),269394.0)</f>
        <v>269394</v>
      </c>
      <c r="C9705" t="str">
        <f>IFERROR(__xludf.DUMMYFUNCTION("""COMPUTED_VALUE"""),"Certified Tester ISTQB Foundation Level (CTFL) -Updated 2021")</f>
        <v>Certified Tester ISTQB Foundation Level (CTFL) -Updated 2021</v>
      </c>
    </row>
    <row r="9706">
      <c r="A9706" s="140" t="str">
        <f>IFERROR(__xludf.DUMMYFUNCTION("""COMPUTED_VALUE"""),"en")</f>
        <v>en</v>
      </c>
      <c r="B9706">
        <f>IFERROR(__xludf.DUMMYFUNCTION("""COMPUTED_VALUE"""),690066.0)</f>
        <v>690066</v>
      </c>
      <c r="C9706" t="str">
        <f>IFERROR(__xludf.DUMMYFUNCTION("""COMPUTED_VALUE"""),"Master Microsoft Excel Macros and Excel VBA")</f>
        <v>Master Microsoft Excel Macros and Excel VBA</v>
      </c>
    </row>
    <row r="9707">
      <c r="A9707" s="140" t="str">
        <f>IFERROR(__xludf.DUMMYFUNCTION("""COMPUTED_VALUE"""),"en")</f>
        <v>en</v>
      </c>
      <c r="B9707">
        <f>IFERROR(__xludf.DUMMYFUNCTION("""COMPUTED_VALUE"""),1157514.0)</f>
        <v>1157514</v>
      </c>
      <c r="C9707" t="str">
        <f>IFERROR(__xludf.DUMMYFUNCTION("""COMPUTED_VALUE"""),"The Art of Negotiation - Become a Master Negotiator")</f>
        <v>The Art of Negotiation - Become a Master Negotiator</v>
      </c>
    </row>
    <row r="9708">
      <c r="A9708" s="140" t="str">
        <f>IFERROR(__xludf.DUMMYFUNCTION("""COMPUTED_VALUE"""),"en")</f>
        <v>en</v>
      </c>
      <c r="B9708">
        <f>IFERROR(__xludf.DUMMYFUNCTION("""COMPUTED_VALUE"""),948866.0)</f>
        <v>948866</v>
      </c>
      <c r="C9708" t="str">
        <f>IFERROR(__xludf.DUMMYFUNCTION("""COMPUTED_VALUE"""),"Excel Essentials: The Complete Excel Series - Level 1, 2 &amp; 3")</f>
        <v>Excel Essentials: The Complete Excel Series - Level 1, 2 &amp; 3</v>
      </c>
    </row>
    <row r="9709">
      <c r="A9709" s="140" t="str">
        <f>IFERROR(__xludf.DUMMYFUNCTION("""COMPUTED_VALUE"""),"en")</f>
        <v>en</v>
      </c>
      <c r="B9709">
        <f>IFERROR(__xludf.DUMMYFUNCTION("""COMPUTED_VALUE"""),2087360.0)</f>
        <v>2087360</v>
      </c>
      <c r="C9709" t="str">
        <f>IFERROR(__xludf.DUMMYFUNCTION("""COMPUTED_VALUE"""),"TOTAL: AWS Certified Solutions Architect Associate 2021")</f>
        <v>TOTAL: AWS Certified Solutions Architect Associate 2021</v>
      </c>
    </row>
    <row r="9710">
      <c r="A9710" s="140" t="str">
        <f>IFERROR(__xludf.DUMMYFUNCTION("""COMPUTED_VALUE"""),"fr")</f>
        <v>fr</v>
      </c>
      <c r="B9710">
        <f>IFERROR(__xludf.DUMMYFUNCTION("""COMPUTED_VALUE"""),1885228.0)</f>
        <v>1885228</v>
      </c>
      <c r="C9710" t="str">
        <f>IFERROR(__xludf.DUMMYFUNCTION("""COMPUTED_VALUE"""),"Android &amp; Kotlin | Apps Next Gen et Architecture Components")</f>
        <v>Android &amp; Kotlin | Apps Next Gen et Architecture Components</v>
      </c>
    </row>
    <row r="9711">
      <c r="A9711" s="140" t="str">
        <f>IFERROR(__xludf.DUMMYFUNCTION("""COMPUTED_VALUE"""),"en")</f>
        <v>en</v>
      </c>
      <c r="B9711">
        <f>IFERROR(__xludf.DUMMYFUNCTION("""COMPUTED_VALUE"""),886614.0)</f>
        <v>886614</v>
      </c>
      <c r="C9711" t="str">
        <f>IFERROR(__xludf.DUMMYFUNCTION("""COMPUTED_VALUE"""),"Accelerated ES6 JavaScript Training")</f>
        <v>Accelerated ES6 JavaScript Training</v>
      </c>
    </row>
    <row r="9712">
      <c r="A9712" s="140" t="str">
        <f>IFERROR(__xludf.DUMMYFUNCTION("""COMPUTED_VALUE"""),"es")</f>
        <v>es</v>
      </c>
      <c r="B9712">
        <f>IFERROR(__xludf.DUMMYFUNCTION("""COMPUTED_VALUE"""),3436588.0)</f>
        <v>3436588</v>
      </c>
      <c r="C9712" t="str">
        <f>IFERROR(__xludf.DUMMYFUNCTION("""COMPUTED_VALUE"""),"Programación para Testers: Todo lo que necesitas saber!")</f>
        <v>Programación para Testers: Todo lo que necesitas saber!</v>
      </c>
    </row>
    <row r="9713">
      <c r="A9713" s="140" t="str">
        <f>IFERROR(__xludf.DUMMYFUNCTION("""COMPUTED_VALUE"""),"de")</f>
        <v>de</v>
      </c>
      <c r="B9713">
        <f>IFERROR(__xludf.DUMMYFUNCTION("""COMPUTED_VALUE"""),2133570.0)</f>
        <v>2133570</v>
      </c>
      <c r="C9713" t="str">
        <f>IFERROR(__xludf.DUMMYFUNCTION("""COMPUTED_VALUE"""),"Pinterest Marketing, die meist unterschätze Plattform")</f>
        <v>Pinterest Marketing, die meist unterschätze Plattform</v>
      </c>
    </row>
    <row r="9714">
      <c r="A9714" s="140" t="str">
        <f>IFERROR(__xludf.DUMMYFUNCTION("""COMPUTED_VALUE"""),"es")</f>
        <v>es</v>
      </c>
      <c r="B9714">
        <f>IFERROR(__xludf.DUMMYFUNCTION("""COMPUTED_VALUE"""),3786562.0)</f>
        <v>3786562</v>
      </c>
      <c r="C9714" t="str">
        <f>IFERROR(__xludf.DUMMYFUNCTION("""COMPUTED_VALUE"""),"Onboarding - Guía práctica para transformar tu empresa")</f>
        <v>Onboarding - Guía práctica para transformar tu empresa</v>
      </c>
    </row>
    <row r="9715">
      <c r="A9715" s="140" t="str">
        <f>IFERROR(__xludf.DUMMYFUNCTION("""COMPUTED_VALUE"""),"de")</f>
        <v>de</v>
      </c>
      <c r="B9715">
        <f>IFERROR(__xludf.DUMMYFUNCTION("""COMPUTED_VALUE"""),2029672.0)</f>
        <v>2029672</v>
      </c>
      <c r="C9715" t="str">
        <f>IFERROR(__xludf.DUMMYFUNCTION("""COMPUTED_VALUE"""),"Deep Learning: Neuronale Netze mit TensorFlow 2.0 und Keras")</f>
        <v>Deep Learning: Neuronale Netze mit TensorFlow 2.0 und Keras</v>
      </c>
    </row>
    <row r="9716">
      <c r="A9716" s="140" t="str">
        <f>IFERROR(__xludf.DUMMYFUNCTION("""COMPUTED_VALUE"""),"pt")</f>
        <v>pt</v>
      </c>
      <c r="B9716">
        <f>IFERROR(__xludf.DUMMYFUNCTION("""COMPUTED_VALUE"""),1065524.0)</f>
        <v>1065524</v>
      </c>
      <c r="C9716" t="str">
        <f>IFERROR(__xludf.DUMMYFUNCTION("""COMPUTED_VALUE"""),"Gerenciamento de Riscos + Fundamentos da Gestão de Projetos")</f>
        <v>Gerenciamento de Riscos + Fundamentos da Gestão de Projetos</v>
      </c>
    </row>
    <row r="9717">
      <c r="A9717" s="140" t="str">
        <f>IFERROR(__xludf.DUMMYFUNCTION("""COMPUTED_VALUE"""),"pt")</f>
        <v>pt</v>
      </c>
      <c r="B9717">
        <f>IFERROR(__xludf.DUMMYFUNCTION("""COMPUTED_VALUE"""),3654852.0)</f>
        <v>3654852</v>
      </c>
      <c r="C9717" t="str">
        <f>IFERROR(__xludf.DUMMYFUNCTION("""COMPUTED_VALUE"""),"Colaboração: Criando Equipes de Alto Desempenho")</f>
        <v>Colaboração: Criando Equipes de Alto Desempenho</v>
      </c>
    </row>
    <row r="9718">
      <c r="A9718" s="140" t="str">
        <f>IFERROR(__xludf.DUMMYFUNCTION("""COMPUTED_VALUE"""),"en")</f>
        <v>en</v>
      </c>
      <c r="B9718">
        <f>IFERROR(__xludf.DUMMYFUNCTION("""COMPUTED_VALUE"""),2855848.0)</f>
        <v>2855848</v>
      </c>
      <c r="C9718" t="str">
        <f>IFERROR(__xludf.DUMMYFUNCTION("""COMPUTED_VALUE"""),"Agile BM 201 Mastering Agile Business Management")</f>
        <v>Agile BM 201 Mastering Agile Business Management</v>
      </c>
    </row>
    <row r="9719">
      <c r="A9719" s="140" t="str">
        <f>IFERROR(__xludf.DUMMYFUNCTION("""COMPUTED_VALUE"""),"es")</f>
        <v>es</v>
      </c>
      <c r="B9719">
        <f>IFERROR(__xludf.DUMMYFUNCTION("""COMPUTED_VALUE"""),2907042.0)</f>
        <v>2907042</v>
      </c>
      <c r="C9719" t="str">
        <f>IFERROR(__xludf.DUMMYFUNCTION("""COMPUTED_VALUE"""),"Curso de redes en Microsoft Azure (IaaS y PaaS)")</f>
        <v>Curso de redes en Microsoft Azure (IaaS y PaaS)</v>
      </c>
    </row>
    <row r="9720">
      <c r="A9720" s="140" t="str">
        <f>IFERROR(__xludf.DUMMYFUNCTION("""COMPUTED_VALUE"""),"pt")</f>
        <v>pt</v>
      </c>
      <c r="B9720">
        <f>IFERROR(__xludf.DUMMYFUNCTION("""COMPUTED_VALUE"""),1280456.0)</f>
        <v>1280456</v>
      </c>
      <c r="C9720" t="str">
        <f>IFERROR(__xludf.DUMMYFUNCTION("""COMPUTED_VALUE"""),"Desenvolvimento IOS 12 - Aprenda a criar 18 Apps")</f>
        <v>Desenvolvimento IOS 12 - Aprenda a criar 18 Apps</v>
      </c>
    </row>
    <row r="9721">
      <c r="A9721" s="140" t="str">
        <f>IFERROR(__xludf.DUMMYFUNCTION("""COMPUTED_VALUE"""),"en")</f>
        <v>en</v>
      </c>
      <c r="B9721">
        <f>IFERROR(__xludf.DUMMYFUNCTION("""COMPUTED_VALUE"""),277654.0)</f>
        <v>277654</v>
      </c>
      <c r="C9721" t="str">
        <f>IFERROR(__xludf.DUMMYFUNCTION("""COMPUTED_VALUE"""),"Master your brain: Neuroscience for personal development")</f>
        <v>Master your brain: Neuroscience for personal development</v>
      </c>
    </row>
    <row r="9722">
      <c r="A9722" s="140" t="str">
        <f>IFERROR(__xludf.DUMMYFUNCTION("""COMPUTED_VALUE"""),"en")</f>
        <v>en</v>
      </c>
      <c r="B9722">
        <f>IFERROR(__xludf.DUMMYFUNCTION("""COMPUTED_VALUE"""),240450.0)</f>
        <v>240450</v>
      </c>
      <c r="C9722" t="str">
        <f>IFERROR(__xludf.DUMMYFUNCTION("""COMPUTED_VALUE"""),"Business Strategy Execution: Agile Organization Design")</f>
        <v>Business Strategy Execution: Agile Organization Design</v>
      </c>
    </row>
    <row r="9723">
      <c r="A9723" s="140" t="str">
        <f>IFERROR(__xludf.DUMMYFUNCTION("""COMPUTED_VALUE"""),"es")</f>
        <v>es</v>
      </c>
      <c r="B9723">
        <f>IFERROR(__xludf.DUMMYFUNCTION("""COMPUTED_VALUE"""),1913218.0)</f>
        <v>1913218</v>
      </c>
      <c r="C9723" t="str">
        <f>IFERROR(__xludf.DUMMYFUNCTION("""COMPUTED_VALUE"""),"Comunicación Intercultural")</f>
        <v>Comunicación Intercultural</v>
      </c>
    </row>
    <row r="9724">
      <c r="A9724" s="140" t="str">
        <f>IFERROR(__xludf.DUMMYFUNCTION("""COMPUTED_VALUE"""),"en")</f>
        <v>en</v>
      </c>
      <c r="B9724">
        <f>IFERROR(__xludf.DUMMYFUNCTION("""COMPUTED_VALUE"""),865978.0)</f>
        <v>865978</v>
      </c>
      <c r="C9724" t="str">
        <f>IFERROR(__xludf.DUMMYFUNCTION("""COMPUTED_VALUE"""),"A+ 2016: PC Components Fundamentals")</f>
        <v>A+ 2016: PC Components Fundamentals</v>
      </c>
    </row>
    <row r="9725">
      <c r="A9725" s="140" t="str">
        <f>IFERROR(__xludf.DUMMYFUNCTION("""COMPUTED_VALUE"""),"es")</f>
        <v>es</v>
      </c>
      <c r="B9725">
        <f>IFERROR(__xludf.DUMMYFUNCTION("""COMPUTED_VALUE"""),1512258.0)</f>
        <v>1512258</v>
      </c>
      <c r="C9725" t="str">
        <f>IFERROR(__xludf.DUMMYFUNCTION("""COMPUTED_VALUE"""),"Administración y Configuración de SCCM 2016")</f>
        <v>Administración y Configuración de SCCM 2016</v>
      </c>
    </row>
    <row r="9726">
      <c r="A9726" s="140" t="str">
        <f>IFERROR(__xludf.DUMMYFUNCTION("""COMPUTED_VALUE"""),"es")</f>
        <v>es</v>
      </c>
      <c r="B9726">
        <f>IFERROR(__xludf.DUMMYFUNCTION("""COMPUTED_VALUE"""),3128814.0)</f>
        <v>3128814</v>
      </c>
      <c r="C9726" t="str">
        <f>IFERROR(__xludf.DUMMYFUNCTION("""COMPUTED_VALUE"""),"★ MARKETING Digital para EMPRENDEDORES | PRINCIPIANTE - 2021")</f>
        <v>★ MARKETING Digital para EMPRENDEDORES | PRINCIPIANTE - 2021</v>
      </c>
    </row>
    <row r="9727">
      <c r="A9727" s="140" t="str">
        <f>IFERROR(__xludf.DUMMYFUNCTION("""COMPUTED_VALUE"""),"fr")</f>
        <v>fr</v>
      </c>
      <c r="B9727">
        <f>IFERROR(__xludf.DUMMYFUNCTION("""COMPUTED_VALUE"""),714364.0)</f>
        <v>714364</v>
      </c>
      <c r="C9727" t="str">
        <f>IFERROR(__xludf.DUMMYFUNCTION("""COMPUTED_VALUE"""),"Créez des sites avec WordPress ! - Débutants")</f>
        <v>Créez des sites avec WordPress ! - Débutants</v>
      </c>
    </row>
    <row r="9728">
      <c r="A9728" s="140" t="str">
        <f>IFERROR(__xludf.DUMMYFUNCTION("""COMPUTED_VALUE"""),"es")</f>
        <v>es</v>
      </c>
      <c r="B9728">
        <f>IFERROR(__xludf.DUMMYFUNCTION("""COMPUTED_VALUE"""),517536.0)</f>
        <v>517536</v>
      </c>
      <c r="C9728" t="str">
        <f>IFERROR(__xludf.DUMMYFUNCTION("""COMPUTED_VALUE"""),"Curso de Email Marketing y Automatizaciones con Mailchimp")</f>
        <v>Curso de Email Marketing y Automatizaciones con Mailchimp</v>
      </c>
    </row>
    <row r="9729">
      <c r="A9729" s="140" t="str">
        <f>IFERROR(__xludf.DUMMYFUNCTION("""COMPUTED_VALUE"""),"de")</f>
        <v>de</v>
      </c>
      <c r="B9729">
        <f>IFERROR(__xludf.DUMMYFUNCTION("""COMPUTED_VALUE"""),819560.0)</f>
        <v>819560</v>
      </c>
      <c r="C9729" t="str">
        <f>IFERROR(__xludf.DUMMYFUNCTION("""COMPUTED_VALUE"""),"Professionelle Video-Produktion mit Smartphone und Kamera")</f>
        <v>Professionelle Video-Produktion mit Smartphone und Kamera</v>
      </c>
    </row>
    <row r="9730">
      <c r="A9730" s="140" t="str">
        <f>IFERROR(__xludf.DUMMYFUNCTION("""COMPUTED_VALUE"""),"en")</f>
        <v>en</v>
      </c>
      <c r="B9730">
        <f>IFERROR(__xludf.DUMMYFUNCTION("""COMPUTED_VALUE"""),1511582.0)</f>
        <v>1511582</v>
      </c>
      <c r="C9730" t="str">
        <f>IFERROR(__xludf.DUMMYFUNCTION("""COMPUTED_VALUE"""),"Preparing to Certified OpenStack Administrator (COA) Exam")</f>
        <v>Preparing to Certified OpenStack Administrator (COA) Exam</v>
      </c>
    </row>
    <row r="9731">
      <c r="A9731" s="140" t="str">
        <f>IFERROR(__xludf.DUMMYFUNCTION("""COMPUTED_VALUE"""),"en")</f>
        <v>en</v>
      </c>
      <c r="B9731">
        <f>IFERROR(__xludf.DUMMYFUNCTION("""COMPUTED_VALUE"""),1311648.0)</f>
        <v>1311648</v>
      </c>
      <c r="C9731" t="str">
        <f>IFERROR(__xludf.DUMMYFUNCTION("""COMPUTED_VALUE"""),"Cisco Troubleshooting Labs For CCNA, CCNP, and CCIE Students")</f>
        <v>Cisco Troubleshooting Labs For CCNA, CCNP, and CCIE Students</v>
      </c>
    </row>
    <row r="9732">
      <c r="A9732" s="140" t="str">
        <f>IFERROR(__xludf.DUMMYFUNCTION("""COMPUTED_VALUE"""),"tr")</f>
        <v>tr</v>
      </c>
      <c r="B9732">
        <f>IFERROR(__xludf.DUMMYFUNCTION("""COMPUTED_VALUE"""),2300078.0)</f>
        <v>2300078</v>
      </c>
      <c r="C9732" t="str">
        <f>IFERROR(__xludf.DUMMYFUNCTION("""COMPUTED_VALUE"""),"Docker: Sıfırdan Tüm Yönleriyle Öğrenin (İddialı)")</f>
        <v>Docker: Sıfırdan Tüm Yönleriyle Öğrenin (İddialı)</v>
      </c>
    </row>
    <row r="9733">
      <c r="A9733" s="140" t="str">
        <f>IFERROR(__xludf.DUMMYFUNCTION("""COMPUTED_VALUE"""),"es")</f>
        <v>es</v>
      </c>
      <c r="B9733">
        <f>IFERROR(__xludf.DUMMYFUNCTION("""COMPUTED_VALUE"""),2745572.0)</f>
        <v>2745572</v>
      </c>
      <c r="C9733" t="str">
        <f>IFERROR(__xludf.DUMMYFUNCTION("""COMPUTED_VALUE"""),"Scrum Master desde Cero + Preparación para Certificación")</f>
        <v>Scrum Master desde Cero + Preparación para Certificación</v>
      </c>
    </row>
    <row r="9734">
      <c r="A9734" s="140" t="str">
        <f>IFERROR(__xludf.DUMMYFUNCTION("""COMPUTED_VALUE"""),"en")</f>
        <v>en</v>
      </c>
      <c r="B9734">
        <f>IFERROR(__xludf.DUMMYFUNCTION("""COMPUTED_VALUE"""),2339098.0)</f>
        <v>2339098</v>
      </c>
      <c r="C9734" t="str">
        <f>IFERROR(__xludf.DUMMYFUNCTION("""COMPUTED_VALUE"""),"Robot structural Analysis (RC building)")</f>
        <v>Robot structural Analysis (RC building)</v>
      </c>
    </row>
    <row r="9735">
      <c r="A9735" s="140" t="str">
        <f>IFERROR(__xludf.DUMMYFUNCTION("""COMPUTED_VALUE"""),"ja")</f>
        <v>ja</v>
      </c>
      <c r="B9735">
        <f>IFERROR(__xludf.DUMMYFUNCTION("""COMPUTED_VALUE"""),1938324.0)</f>
        <v>1938324</v>
      </c>
      <c r="C9735" t="str">
        <f>IFERROR(__xludf.DUMMYFUNCTION("""COMPUTED_VALUE"""),"現役シリコンバレーエンジニアが教えるGo入門 + 応用でビットコインのシストレFintechアプリの開発")</f>
        <v>現役シリコンバレーエンジニアが教えるGo入門 + 応用でビットコインのシストレFintechアプリの開発</v>
      </c>
    </row>
    <row r="9736">
      <c r="A9736" s="140" t="str">
        <f>IFERROR(__xludf.DUMMYFUNCTION("""COMPUTED_VALUE"""),"en")</f>
        <v>en</v>
      </c>
      <c r="B9736">
        <f>IFERROR(__xludf.DUMMYFUNCTION("""COMPUTED_VALUE"""),1622298.0)</f>
        <v>1622298</v>
      </c>
      <c r="C9736" t="str">
        <f>IFERROR(__xludf.DUMMYFUNCTION("""COMPUTED_VALUE"""),"Linkedin Marketing: B2B Sales &amp; Lead Generation From Scratch")</f>
        <v>Linkedin Marketing: B2B Sales &amp; Lead Generation From Scratch</v>
      </c>
    </row>
    <row r="9737">
      <c r="A9737" s="140" t="str">
        <f>IFERROR(__xludf.DUMMYFUNCTION("""COMPUTED_VALUE"""),"en")</f>
        <v>en</v>
      </c>
      <c r="B9737">
        <f>IFERROR(__xludf.DUMMYFUNCTION("""COMPUTED_VALUE"""),3573021.0)</f>
        <v>3573021</v>
      </c>
      <c r="C9737" t="str">
        <f>IFERROR(__xludf.DUMMYFUNCTION("""COMPUTED_VALUE"""),"The Nine Mistakes Freelance Translators Should Avoid")</f>
        <v>The Nine Mistakes Freelance Translators Should Avoid</v>
      </c>
    </row>
    <row r="9738">
      <c r="A9738" s="140" t="str">
        <f>IFERROR(__xludf.DUMMYFUNCTION("""COMPUTED_VALUE"""),"en")</f>
        <v>en</v>
      </c>
      <c r="B9738">
        <f>IFERROR(__xludf.DUMMYFUNCTION("""COMPUTED_VALUE"""),917596.0)</f>
        <v>917596</v>
      </c>
      <c r="C9738" t="str">
        <f>IFERROR(__xludf.DUMMYFUNCTION("""COMPUTED_VALUE"""),"Introductory Photography Course")</f>
        <v>Introductory Photography Course</v>
      </c>
    </row>
    <row r="9739">
      <c r="A9739" s="140" t="str">
        <f>IFERROR(__xludf.DUMMYFUNCTION("""COMPUTED_VALUE"""),"en")</f>
        <v>en</v>
      </c>
      <c r="B9739">
        <f>IFERROR(__xludf.DUMMYFUNCTION("""COMPUTED_VALUE"""),2397326.0)</f>
        <v>2397326</v>
      </c>
      <c r="C9739" t="str">
        <f>IFERROR(__xludf.DUMMYFUNCTION("""COMPUTED_VALUE"""),"SwiftUI - Declarative Interfaces for any Apple Device")</f>
        <v>SwiftUI - Declarative Interfaces for any Apple Device</v>
      </c>
    </row>
    <row r="9740">
      <c r="A9740" s="140" t="str">
        <f>IFERROR(__xludf.DUMMYFUNCTION("""COMPUTED_VALUE"""),"en")</f>
        <v>en</v>
      </c>
      <c r="B9740">
        <f>IFERROR(__xludf.DUMMYFUNCTION("""COMPUTED_VALUE"""),973918.0)</f>
        <v>973918</v>
      </c>
      <c r="C9740" t="str">
        <f>IFERROR(__xludf.DUMMYFUNCTION("""COMPUTED_VALUE"""),"Learning Data Structures in JavaScript from Scratch")</f>
        <v>Learning Data Structures in JavaScript from Scratch</v>
      </c>
    </row>
    <row r="9741">
      <c r="A9741" s="140" t="str">
        <f>IFERROR(__xludf.DUMMYFUNCTION("""COMPUTED_VALUE"""),"en")</f>
        <v>en</v>
      </c>
      <c r="B9741">
        <f>IFERROR(__xludf.DUMMYFUNCTION("""COMPUTED_VALUE"""),1323106.0)</f>
        <v>1323106</v>
      </c>
      <c r="C9741" t="str">
        <f>IFERROR(__xludf.DUMMYFUNCTION("""COMPUTED_VALUE"""),"Happiness Hormones: Secrets to Live in a Beautiful State")</f>
        <v>Happiness Hormones: Secrets to Live in a Beautiful State</v>
      </c>
    </row>
    <row r="9742">
      <c r="A9742" s="140" t="str">
        <f>IFERROR(__xludf.DUMMYFUNCTION("""COMPUTED_VALUE"""),"de")</f>
        <v>de</v>
      </c>
      <c r="B9742">
        <f>IFERROR(__xludf.DUMMYFUNCTION("""COMPUTED_VALUE"""),1700846.0)</f>
        <v>1700846</v>
      </c>
      <c r="C9742" t="str">
        <f>IFERROR(__xludf.DUMMYFUNCTION("""COMPUTED_VALUE"""),"Tableau 10: Visuelle Datenanalyse für die Data Science")</f>
        <v>Tableau 10: Visuelle Datenanalyse für die Data Science</v>
      </c>
    </row>
    <row r="9743">
      <c r="A9743" s="140" t="str">
        <f>IFERROR(__xludf.DUMMYFUNCTION("""COMPUTED_VALUE"""),"en")</f>
        <v>en</v>
      </c>
      <c r="B9743">
        <f>IFERROR(__xludf.DUMMYFUNCTION("""COMPUTED_VALUE"""),2305152.0)</f>
        <v>2305152</v>
      </c>
      <c r="C9743" t="str">
        <f>IFERROR(__xludf.DUMMYFUNCTION("""COMPUTED_VALUE"""),"Quasar V1: Cross-Platform Apps (with Vue 2, Vuex &amp; Firebase)")</f>
        <v>Quasar V1: Cross-Platform Apps (with Vue 2, Vuex &amp; Firebase)</v>
      </c>
    </row>
    <row r="9744">
      <c r="A9744" s="140" t="str">
        <f>IFERROR(__xludf.DUMMYFUNCTION("""COMPUTED_VALUE"""),"pt")</f>
        <v>pt</v>
      </c>
      <c r="B9744">
        <f>IFERROR(__xludf.DUMMYFUNCTION("""COMPUTED_VALUE"""),3122800.0)</f>
        <v>3122800</v>
      </c>
      <c r="C9744" t="str">
        <f>IFERROR(__xludf.DUMMYFUNCTION("""COMPUTED_VALUE"""),"Descomplicando a Contabilidade de Custos")</f>
        <v>Descomplicando a Contabilidade de Custos</v>
      </c>
    </row>
    <row r="9745">
      <c r="A9745" s="140" t="str">
        <f>IFERROR(__xludf.DUMMYFUNCTION("""COMPUTED_VALUE"""),"en")</f>
        <v>en</v>
      </c>
      <c r="B9745">
        <f>IFERROR(__xludf.DUMMYFUNCTION("""COMPUTED_VALUE"""),1359036.0)</f>
        <v>1359036</v>
      </c>
      <c r="C9745" t="str">
        <f>IFERROR(__xludf.DUMMYFUNCTION("""COMPUTED_VALUE"""),"iMovie - from beginner to advanced")</f>
        <v>iMovie - from beginner to advanced</v>
      </c>
    </row>
    <row r="9746">
      <c r="A9746" s="140" t="str">
        <f>IFERROR(__xludf.DUMMYFUNCTION("""COMPUTED_VALUE"""),"de")</f>
        <v>de</v>
      </c>
      <c r="B9746">
        <f>IFERROR(__xludf.DUMMYFUNCTION("""COMPUTED_VALUE"""),1376910.0)</f>
        <v>1376910</v>
      </c>
      <c r="C9746" t="str">
        <f>IFERROR(__xludf.DUMMYFUNCTION("""COMPUTED_VALUE"""),"Adobe Photoshop CC Masterclass — Vom Einsteiger zum Profi")</f>
        <v>Adobe Photoshop CC Masterclass — Vom Einsteiger zum Profi</v>
      </c>
    </row>
    <row r="9747">
      <c r="A9747" s="140" t="str">
        <f>IFERROR(__xludf.DUMMYFUNCTION("""COMPUTED_VALUE"""),"en")</f>
        <v>en</v>
      </c>
      <c r="B9747">
        <f>IFERROR(__xludf.DUMMYFUNCTION("""COMPUTED_VALUE"""),1693328.0)</f>
        <v>1693328</v>
      </c>
      <c r="C9747" t="str">
        <f>IFERROR(__xludf.DUMMYFUNCTION("""COMPUTED_VALUE"""),"Concept Art Architecture")</f>
        <v>Concept Art Architecture</v>
      </c>
    </row>
    <row r="9748">
      <c r="A9748" s="140" t="str">
        <f>IFERROR(__xludf.DUMMYFUNCTION("""COMPUTED_VALUE"""),"en")</f>
        <v>en</v>
      </c>
      <c r="B9748">
        <f>IFERROR(__xludf.DUMMYFUNCTION("""COMPUTED_VALUE"""),1714498.0)</f>
        <v>1714498</v>
      </c>
      <c r="C9748" t="str">
        <f>IFERROR(__xludf.DUMMYFUNCTION("""COMPUTED_VALUE"""),"Complete linear algebra: theory and implementation in code")</f>
        <v>Complete linear algebra: theory and implementation in code</v>
      </c>
    </row>
    <row r="9749">
      <c r="A9749" s="140" t="str">
        <f>IFERROR(__xludf.DUMMYFUNCTION("""COMPUTED_VALUE"""),"en")</f>
        <v>en</v>
      </c>
      <c r="B9749">
        <f>IFERROR(__xludf.DUMMYFUNCTION("""COMPUTED_VALUE"""),434346.0)</f>
        <v>434346</v>
      </c>
      <c r="C9749" t="str">
        <f>IFERROR(__xludf.DUMMYFUNCTION("""COMPUTED_VALUE"""),"Cisco CCNA Real World Project - Network Upgrade in 5 Days")</f>
        <v>Cisco CCNA Real World Project - Network Upgrade in 5 Days</v>
      </c>
    </row>
    <row r="9750">
      <c r="A9750" s="140" t="str">
        <f>IFERROR(__xludf.DUMMYFUNCTION("""COMPUTED_VALUE"""),"pt")</f>
        <v>pt</v>
      </c>
      <c r="B9750">
        <f>IFERROR(__xludf.DUMMYFUNCTION("""COMPUTED_VALUE"""),950106.0)</f>
        <v>950106</v>
      </c>
      <c r="C9750" t="str">
        <f>IFERROR(__xludf.DUMMYFUNCTION("""COMPUTED_VALUE"""),"Como Criar e Usar Mapas Mentais Digitais (Guia Completo)")</f>
        <v>Como Criar e Usar Mapas Mentais Digitais (Guia Completo)</v>
      </c>
    </row>
    <row r="9751">
      <c r="A9751" s="140" t="str">
        <f>IFERROR(__xludf.DUMMYFUNCTION("""COMPUTED_VALUE"""),"en")</f>
        <v>en</v>
      </c>
      <c r="B9751">
        <f>IFERROR(__xludf.DUMMYFUNCTION("""COMPUTED_VALUE"""),1627224.0)</f>
        <v>1627224</v>
      </c>
      <c r="C9751" t="str">
        <f>IFERROR(__xludf.DUMMYFUNCTION("""COMPUTED_VALUE"""),"Applied Time Series Analysis and Forecasting with R Projects")</f>
        <v>Applied Time Series Analysis and Forecasting with R Projects</v>
      </c>
    </row>
    <row r="9752">
      <c r="A9752" s="140" t="str">
        <f>IFERROR(__xludf.DUMMYFUNCTION("""COMPUTED_VALUE"""),"en")</f>
        <v>en</v>
      </c>
      <c r="B9752">
        <f>IFERROR(__xludf.DUMMYFUNCTION("""COMPUTED_VALUE"""),3939346.0)</f>
        <v>3939346</v>
      </c>
      <c r="C9752" t="str">
        <f>IFERROR(__xludf.DUMMYFUNCTION("""COMPUTED_VALUE"""),"RPA &amp; Intelligent Automation Using Python")</f>
        <v>RPA &amp; Intelligent Automation Using Python</v>
      </c>
    </row>
    <row r="9753">
      <c r="A9753" s="140" t="str">
        <f>IFERROR(__xludf.DUMMYFUNCTION("""COMPUTED_VALUE"""),"pt")</f>
        <v>pt</v>
      </c>
      <c r="B9753">
        <f>IFERROR(__xludf.DUMMYFUNCTION("""COMPUTED_VALUE"""),4074372.0)</f>
        <v>4074372</v>
      </c>
      <c r="C9753" t="str">
        <f>IFERROR(__xludf.DUMMYFUNCTION("""COMPUTED_VALUE"""),"Programação Concorrente e Assíncrona com Python")</f>
        <v>Programação Concorrente e Assíncrona com Python</v>
      </c>
    </row>
    <row r="9754">
      <c r="A9754" s="140" t="str">
        <f>IFERROR(__xludf.DUMMYFUNCTION("""COMPUTED_VALUE"""),"ko")</f>
        <v>ko</v>
      </c>
      <c r="B9754">
        <f>IFERROR(__xludf.DUMMYFUNCTION("""COMPUTED_VALUE"""),2938416.0)</f>
        <v>2938416</v>
      </c>
      <c r="C9754" t="str">
        <f>IFERROR(__xludf.DUMMYFUNCTION("""COMPUTED_VALUE"""),"엑셀 매크로와 VBA 기초부터 실무활용까지 완전 정복")</f>
        <v>엑셀 매크로와 VBA 기초부터 실무활용까지 완전 정복</v>
      </c>
    </row>
    <row r="9755">
      <c r="A9755" s="140" t="str">
        <f>IFERROR(__xludf.DUMMYFUNCTION("""COMPUTED_VALUE"""),"en")</f>
        <v>en</v>
      </c>
      <c r="B9755">
        <f>IFERROR(__xludf.DUMMYFUNCTION("""COMPUTED_VALUE"""),1331661.0)</f>
        <v>1331661</v>
      </c>
      <c r="C9755" t="str">
        <f>IFERROR(__xludf.DUMMYFUNCTION("""COMPUTED_VALUE"""),"Writing Tools &amp; Hacks: Copywriting/Blogging/Content Writing")</f>
        <v>Writing Tools &amp; Hacks: Copywriting/Blogging/Content Writing</v>
      </c>
    </row>
    <row r="9756">
      <c r="A9756" s="140" t="str">
        <f>IFERROR(__xludf.DUMMYFUNCTION("""COMPUTED_VALUE"""),"en")</f>
        <v>en</v>
      </c>
      <c r="B9756">
        <f>IFERROR(__xludf.DUMMYFUNCTION("""COMPUTED_VALUE"""),3328870.0)</f>
        <v>3328870</v>
      </c>
      <c r="C9756" t="str">
        <f>IFERROR(__xludf.DUMMYFUNCTION("""COMPUTED_VALUE"""),"React practice course. Build React app from scratch.")</f>
        <v>React practice course. Build React app from scratch.</v>
      </c>
    </row>
    <row r="9757">
      <c r="A9757" s="140" t="str">
        <f>IFERROR(__xludf.DUMMYFUNCTION("""COMPUTED_VALUE"""),"es")</f>
        <v>es</v>
      </c>
      <c r="B9757">
        <f>IFERROR(__xludf.DUMMYFUNCTION("""COMPUTED_VALUE"""),3789156.0)</f>
        <v>3789156</v>
      </c>
      <c r="C9757" t="str">
        <f>IFERROR(__xludf.DUMMYFUNCTION("""COMPUTED_VALUE"""),"Marketing Digital - Generar Leads y Convertirlos en Ventas")</f>
        <v>Marketing Digital - Generar Leads y Convertirlos en Ventas</v>
      </c>
    </row>
    <row r="9758">
      <c r="A9758" s="140" t="str">
        <f>IFERROR(__xludf.DUMMYFUNCTION("""COMPUTED_VALUE"""),"fr")</f>
        <v>fr</v>
      </c>
      <c r="B9758">
        <f>IFERROR(__xludf.DUMMYFUNCTION("""COMPUTED_VALUE"""),2469928.0)</f>
        <v>2469928</v>
      </c>
      <c r="C9758" t="str">
        <f>IFERROR(__xludf.DUMMYFUNCTION("""COMPUTED_VALUE"""),"[2021] Le guide COMPLET du Growth Hacking pour cartonner")</f>
        <v>[2021] Le guide COMPLET du Growth Hacking pour cartonner</v>
      </c>
    </row>
    <row r="9759">
      <c r="A9759" s="140" t="str">
        <f>IFERROR(__xludf.DUMMYFUNCTION("""COMPUTED_VALUE"""),"en")</f>
        <v>en</v>
      </c>
      <c r="B9759">
        <f>IFERROR(__xludf.DUMMYFUNCTION("""COMPUTED_VALUE"""),2650862.0)</f>
        <v>2650862</v>
      </c>
      <c r="C9759" t="str">
        <f>IFERROR(__xludf.DUMMYFUNCTION("""COMPUTED_VALUE"""),"The Complete Python/PostgreSQL Course 2.0")</f>
        <v>The Complete Python/PostgreSQL Course 2.0</v>
      </c>
    </row>
    <row r="9760">
      <c r="A9760" s="140" t="str">
        <f>IFERROR(__xludf.DUMMYFUNCTION("""COMPUTED_VALUE"""),"en")</f>
        <v>en</v>
      </c>
      <c r="B9760">
        <f>IFERROR(__xludf.DUMMYFUNCTION("""COMPUTED_VALUE"""),3852530.0)</f>
        <v>3852530</v>
      </c>
      <c r="C9760" t="str">
        <f>IFERROR(__xludf.DUMMYFUNCTION("""COMPUTED_VALUE"""),"The Complete SAP Analytics Cloud Course 2021")</f>
        <v>The Complete SAP Analytics Cloud Course 2021</v>
      </c>
    </row>
    <row r="9761">
      <c r="A9761" s="140" t="str">
        <f>IFERROR(__xludf.DUMMYFUNCTION("""COMPUTED_VALUE"""),"en")</f>
        <v>en</v>
      </c>
      <c r="B9761">
        <f>IFERROR(__xludf.DUMMYFUNCTION("""COMPUTED_VALUE"""),1189760.0)</f>
        <v>1189760</v>
      </c>
      <c r="C9761" t="str">
        <f>IFERROR(__xludf.DUMMYFUNCTION("""COMPUTED_VALUE"""),"Learn ZBrush with this Beginners Compendium Online Course")</f>
        <v>Learn ZBrush with this Beginners Compendium Online Course</v>
      </c>
    </row>
    <row r="9762">
      <c r="A9762" s="140" t="str">
        <f>IFERROR(__xludf.DUMMYFUNCTION("""COMPUTED_VALUE"""),"en")</f>
        <v>en</v>
      </c>
      <c r="B9762">
        <f>IFERROR(__xludf.DUMMYFUNCTION("""COMPUTED_VALUE"""),1140314.0)</f>
        <v>1140314</v>
      </c>
      <c r="C9762" t="str">
        <f>IFERROR(__xludf.DUMMYFUNCTION("""COMPUTED_VALUE"""),"Learn Microsoft Windows 10 the Easy Way for Beginners")</f>
        <v>Learn Microsoft Windows 10 the Easy Way for Beginners</v>
      </c>
    </row>
    <row r="9763">
      <c r="A9763" s="140" t="str">
        <f>IFERROR(__xludf.DUMMYFUNCTION("""COMPUTED_VALUE"""),"en")</f>
        <v>en</v>
      </c>
      <c r="B9763">
        <f>IFERROR(__xludf.DUMMYFUNCTION("""COMPUTED_VALUE"""),1648694.0)</f>
        <v>1648694</v>
      </c>
      <c r="C9763" t="str">
        <f>IFERROR(__xludf.DUMMYFUNCTION("""COMPUTED_VALUE"""),"TOTAL: Conversation on Cryptography: w/ Mike Meyers")</f>
        <v>TOTAL: Conversation on Cryptography: w/ Mike Meyers</v>
      </c>
    </row>
    <row r="9764">
      <c r="A9764" s="140" t="str">
        <f>IFERROR(__xludf.DUMMYFUNCTION("""COMPUTED_VALUE"""),"en")</f>
        <v>en</v>
      </c>
      <c r="B9764">
        <f>IFERROR(__xludf.DUMMYFUNCTION("""COMPUTED_VALUE"""),3227583.0)</f>
        <v>3227583</v>
      </c>
      <c r="C9764" t="str">
        <f>IFERROR(__xludf.DUMMYFUNCTION("""COMPUTED_VALUE"""),"Complete Web &amp; Mobile Designer in 2022: UI/UX, Figma, +more")</f>
        <v>Complete Web &amp; Mobile Designer in 2022: UI/UX, Figma, +more</v>
      </c>
    </row>
    <row r="9765">
      <c r="A9765" s="140" t="str">
        <f>IFERROR(__xludf.DUMMYFUNCTION("""COMPUTED_VALUE"""),"ja")</f>
        <v>ja</v>
      </c>
      <c r="B9765">
        <f>IFERROR(__xludf.DUMMYFUNCTION("""COMPUTED_VALUE"""),2758382.0)</f>
        <v>2758382</v>
      </c>
      <c r="C9765" t="str">
        <f>IFERROR(__xludf.DUMMYFUNCTION("""COMPUTED_VALUE"""),"【世界で7万人が受講】Understanding TypeScript 日本語版")</f>
        <v>【世界で7万人が受講】Understanding TypeScript 日本語版</v>
      </c>
    </row>
    <row r="9766">
      <c r="A9766" s="140" t="str">
        <f>IFERROR(__xludf.DUMMYFUNCTION("""COMPUTED_VALUE"""),"en")</f>
        <v>en</v>
      </c>
      <c r="B9766">
        <f>IFERROR(__xludf.DUMMYFUNCTION("""COMPUTED_VALUE"""),2330552.0)</f>
        <v>2330552</v>
      </c>
      <c r="C9766" t="str">
        <f>IFERROR(__xludf.DUMMYFUNCTION("""COMPUTED_VALUE"""),"Storytelling Fundamentals for All - 1 Hour Supercourse")</f>
        <v>Storytelling Fundamentals for All - 1 Hour Supercourse</v>
      </c>
    </row>
    <row r="9767">
      <c r="A9767" s="140" t="str">
        <f>IFERROR(__xludf.DUMMYFUNCTION("""COMPUTED_VALUE"""),"en")</f>
        <v>en</v>
      </c>
      <c r="B9767">
        <f>IFERROR(__xludf.DUMMYFUNCTION("""COMPUTED_VALUE"""),1364702.0)</f>
        <v>1364702</v>
      </c>
      <c r="C9767" t="str">
        <f>IFERROR(__xludf.DUMMYFUNCTION("""COMPUTED_VALUE"""),"Data Processing with Logstash (and Filebeat)")</f>
        <v>Data Processing with Logstash (and Filebeat)</v>
      </c>
    </row>
    <row r="9768">
      <c r="A9768" s="140" t="str">
        <f>IFERROR(__xludf.DUMMYFUNCTION("""COMPUTED_VALUE"""),"es")</f>
        <v>es</v>
      </c>
      <c r="B9768">
        <f>IFERROR(__xludf.DUMMYFUNCTION("""COMPUTED_VALUE"""),3029790.0)</f>
        <v>3029790</v>
      </c>
      <c r="C9768" t="str">
        <f>IFERROR(__xludf.DUMMYFUNCTION("""COMPUTED_VALUE"""),"Masterclass en Inteligencia Artificial")</f>
        <v>Masterclass en Inteligencia Artificial</v>
      </c>
    </row>
    <row r="9769">
      <c r="A9769" s="140" t="str">
        <f>IFERROR(__xludf.DUMMYFUNCTION("""COMPUTED_VALUE"""),"en")</f>
        <v>en</v>
      </c>
      <c r="B9769">
        <f>IFERROR(__xludf.DUMMYFUNCTION("""COMPUTED_VALUE"""),1957224.0)</f>
        <v>1957224</v>
      </c>
      <c r="C9769" t="str">
        <f>IFERROR(__xludf.DUMMYFUNCTION("""COMPUTED_VALUE"""),"Securing Windows Server 2016")</f>
        <v>Securing Windows Server 2016</v>
      </c>
    </row>
    <row r="9770">
      <c r="A9770" s="140" t="str">
        <f>IFERROR(__xludf.DUMMYFUNCTION("""COMPUTED_VALUE"""),"en")</f>
        <v>en</v>
      </c>
      <c r="B9770">
        <f>IFERROR(__xludf.DUMMYFUNCTION("""COMPUTED_VALUE"""),355734.0)</f>
        <v>355734</v>
      </c>
      <c r="C9770" t="str">
        <f>IFERROR(__xludf.DUMMYFUNCTION("""COMPUTED_VALUE"""),"Posturecise (Level 2)- strengthen, stretch, monitor, correct")</f>
        <v>Posturecise (Level 2)- strengthen, stretch, monitor, correct</v>
      </c>
    </row>
    <row r="9771">
      <c r="A9771" s="140" t="str">
        <f>IFERROR(__xludf.DUMMYFUNCTION("""COMPUTED_VALUE"""),"pt")</f>
        <v>pt</v>
      </c>
      <c r="B9771">
        <f>IFERROR(__xludf.DUMMYFUNCTION("""COMPUTED_VALUE"""),2495076.0)</f>
        <v>2495076</v>
      </c>
      <c r="C9771" t="str">
        <f>IFERROR(__xludf.DUMMYFUNCTION("""COMPUTED_VALUE"""),"Elementor Completo | Do Zero ao Avançado (2 Projetos)")</f>
        <v>Elementor Completo | Do Zero ao Avançado (2 Projetos)</v>
      </c>
    </row>
    <row r="9772">
      <c r="A9772" s="140" t="str">
        <f>IFERROR(__xludf.DUMMYFUNCTION("""COMPUTED_VALUE"""),"en")</f>
        <v>en</v>
      </c>
      <c r="B9772">
        <f>IFERROR(__xludf.DUMMYFUNCTION("""COMPUTED_VALUE"""),2266818.0)</f>
        <v>2266818</v>
      </c>
      <c r="C9772" t="str">
        <f>IFERROR(__xludf.DUMMYFUNCTION("""COMPUTED_VALUE"""),"Video Editing for Beginners - Complete Shotcut Masterclass")</f>
        <v>Video Editing for Beginners - Complete Shotcut Masterclass</v>
      </c>
    </row>
    <row r="9773">
      <c r="A9773" s="140" t="str">
        <f>IFERROR(__xludf.DUMMYFUNCTION("""COMPUTED_VALUE"""),"en")</f>
        <v>en</v>
      </c>
      <c r="B9773">
        <f>IFERROR(__xludf.DUMMYFUNCTION("""COMPUTED_VALUE"""),2309602.0)</f>
        <v>2309602</v>
      </c>
      <c r="C9773" t="str">
        <f>IFERROR(__xludf.DUMMYFUNCTION("""COMPUTED_VALUE"""),"GitLab CI: Pipelines, CI/CD and DevOps for Beginners")</f>
        <v>GitLab CI: Pipelines, CI/CD and DevOps for Beginners</v>
      </c>
    </row>
    <row r="9774">
      <c r="A9774" s="140" t="str">
        <f>IFERROR(__xludf.DUMMYFUNCTION("""COMPUTED_VALUE"""),"en")</f>
        <v>en</v>
      </c>
      <c r="B9774">
        <f>IFERROR(__xludf.DUMMYFUNCTION("""COMPUTED_VALUE"""),961378.0)</f>
        <v>961378</v>
      </c>
      <c r="C9774" t="str">
        <f>IFERROR(__xludf.DUMMYFUNCTION("""COMPUTED_VALUE"""),"Attract Great Candidates By Creating A Stand Out Job Advert")</f>
        <v>Attract Great Candidates By Creating A Stand Out Job Advert</v>
      </c>
    </row>
    <row r="9775">
      <c r="A9775" s="140" t="str">
        <f>IFERROR(__xludf.DUMMYFUNCTION("""COMPUTED_VALUE"""),"en")</f>
        <v>en</v>
      </c>
      <c r="B9775">
        <f>IFERROR(__xludf.DUMMYFUNCTION("""COMPUTED_VALUE"""),2722268.0)</f>
        <v>2722268</v>
      </c>
      <c r="C9775" t="str">
        <f>IFERROR(__xludf.DUMMYFUNCTION("""COMPUTED_VALUE"""),"Linear Programming - Operations Research")</f>
        <v>Linear Programming - Operations Research</v>
      </c>
    </row>
    <row r="9776">
      <c r="A9776" s="140" t="str">
        <f>IFERROR(__xludf.DUMMYFUNCTION("""COMPUTED_VALUE"""),"en")</f>
        <v>en</v>
      </c>
      <c r="B9776">
        <f>IFERROR(__xludf.DUMMYFUNCTION("""COMPUTED_VALUE"""),2019022.0)</f>
        <v>2019022</v>
      </c>
      <c r="C9776" t="str">
        <f>IFERROR(__xludf.DUMMYFUNCTION("""COMPUTED_VALUE"""),"Certified Electronic Health Records Specialist")</f>
        <v>Certified Electronic Health Records Specialist</v>
      </c>
    </row>
    <row r="9777">
      <c r="A9777" s="140" t="str">
        <f>IFERROR(__xludf.DUMMYFUNCTION("""COMPUTED_VALUE"""),"ja")</f>
        <v>ja</v>
      </c>
      <c r="B9777">
        <f>IFERROR(__xludf.DUMMYFUNCTION("""COMPUTED_VALUE"""),3735230.0)</f>
        <v>3735230</v>
      </c>
      <c r="C9777" t="str">
        <f>IFERROR(__xludf.DUMMYFUNCTION("""COMPUTED_VALUE"""),"【続】Microsoft Power BI Desktop - 入門講座 ～DAX-""X"" FUNCTION 特訓編～")</f>
        <v>【続】Microsoft Power BI Desktop - 入門講座 ～DAX-"X" FUNCTION 特訓編～</v>
      </c>
    </row>
    <row r="9778">
      <c r="A9778" s="140" t="str">
        <f>IFERROR(__xludf.DUMMYFUNCTION("""COMPUTED_VALUE"""),"zh")</f>
        <v>zh</v>
      </c>
      <c r="B9778">
        <f>IFERROR(__xludf.DUMMYFUNCTION("""COMPUTED_VALUE"""),1771308.0)</f>
        <v>1771308</v>
      </c>
      <c r="C9778" t="str">
        <f>IFERROR(__xludf.DUMMYFUNCTION("""COMPUTED_VALUE"""),"iOS 12 App 开发快速入门与实战(简体中文)")</f>
        <v>iOS 12 App 开发快速入门与实战(简体中文)</v>
      </c>
    </row>
    <row r="9779">
      <c r="A9779" s="140" t="str">
        <f>IFERROR(__xludf.DUMMYFUNCTION("""COMPUTED_VALUE"""),"pt")</f>
        <v>pt</v>
      </c>
      <c r="B9779">
        <f>IFERROR(__xludf.DUMMYFUNCTION("""COMPUTED_VALUE"""),1120656.0)</f>
        <v>1120656</v>
      </c>
      <c r="C9779" t="str">
        <f>IFERROR(__xludf.DUMMYFUNCTION("""COMPUTED_VALUE"""),"PowerPoint Completo | Crie Apresentações Profissionais")</f>
        <v>PowerPoint Completo | Crie Apresentações Profissionais</v>
      </c>
    </row>
    <row r="9780">
      <c r="A9780" s="140" t="str">
        <f>IFERROR(__xludf.DUMMYFUNCTION("""COMPUTED_VALUE"""),"en")</f>
        <v>en</v>
      </c>
      <c r="B9780">
        <f>IFERROR(__xludf.DUMMYFUNCTION("""COMPUTED_VALUE"""),1654364.0)</f>
        <v>1654364</v>
      </c>
      <c r="C9780" t="str">
        <f>IFERROR(__xludf.DUMMYFUNCTION("""COMPUTED_VALUE"""),"AWS Amazon S3 Mastery Bootcamp")</f>
        <v>AWS Amazon S3 Mastery Bootcamp</v>
      </c>
    </row>
    <row r="9781">
      <c r="A9781" s="140" t="str">
        <f>IFERROR(__xludf.DUMMYFUNCTION("""COMPUTED_VALUE"""),"en")</f>
        <v>en</v>
      </c>
      <c r="B9781">
        <f>IFERROR(__xludf.DUMMYFUNCTION("""COMPUTED_VALUE"""),380970.0)</f>
        <v>380970</v>
      </c>
      <c r="C9781" t="str">
        <f>IFERROR(__xludf.DUMMYFUNCTION("""COMPUTED_VALUE"""),"Crypto Condensed™: The Complete Guide To Bitcoin (2021)")</f>
        <v>Crypto Condensed™: The Complete Guide To Bitcoin (2021)</v>
      </c>
    </row>
    <row r="9782">
      <c r="A9782" s="140" t="str">
        <f>IFERROR(__xludf.DUMMYFUNCTION("""COMPUTED_VALUE"""),"en")</f>
        <v>en</v>
      </c>
      <c r="B9782">
        <f>IFERROR(__xludf.DUMMYFUNCTION("""COMPUTED_VALUE"""),1187016.0)</f>
        <v>1187016</v>
      </c>
      <c r="C9782" t="str">
        <f>IFERROR(__xludf.DUMMYFUNCTION("""COMPUTED_VALUE"""),"The Ultimate MySQL Bootcamp: Go from SQL Beginner to Expert")</f>
        <v>The Ultimate MySQL Bootcamp: Go from SQL Beginner to Expert</v>
      </c>
    </row>
    <row r="9783">
      <c r="A9783" s="140" t="str">
        <f>IFERROR(__xludf.DUMMYFUNCTION("""COMPUTED_VALUE"""),"en")</f>
        <v>en</v>
      </c>
      <c r="B9783">
        <f>IFERROR(__xludf.DUMMYFUNCTION("""COMPUTED_VALUE"""),1328588.0)</f>
        <v>1328588</v>
      </c>
      <c r="C9783" t="str">
        <f>IFERROR(__xludf.DUMMYFUNCTION("""COMPUTED_VALUE"""),"The Confidence, Assertiveness and Emotional IQ Masterclass")</f>
        <v>The Confidence, Assertiveness and Emotional IQ Masterclass</v>
      </c>
    </row>
    <row r="9784">
      <c r="A9784" s="140" t="str">
        <f>IFERROR(__xludf.DUMMYFUNCTION("""COMPUTED_VALUE"""),"ja")</f>
        <v>ja</v>
      </c>
      <c r="B9784">
        <f>IFERROR(__xludf.DUMMYFUNCTION("""COMPUTED_VALUE"""),3985730.0)</f>
        <v>3985730</v>
      </c>
      <c r="C9784" t="str">
        <f>IFERROR(__xludf.DUMMYFUNCTION("""COMPUTED_VALUE"""),"＜UB確認テスト＞【超実践】すぐに使えるクリティカル・シンキング！〜主体性を取り戻し、ぶれない軸をつくる意思決定スキル")</f>
        <v>＜UB確認テスト＞【超実践】すぐに使えるクリティカル・シンキング！〜主体性を取り戻し、ぶれない軸をつくる意思決定スキル</v>
      </c>
    </row>
    <row r="9785">
      <c r="A9785" s="140" t="str">
        <f>IFERROR(__xludf.DUMMYFUNCTION("""COMPUTED_VALUE"""),"ja")</f>
        <v>ja</v>
      </c>
      <c r="B9785">
        <f>IFERROR(__xludf.DUMMYFUNCTION("""COMPUTED_VALUE"""),3486490.0)</f>
        <v>3486490</v>
      </c>
      <c r="C9785" t="str">
        <f>IFERROR(__xludf.DUMMYFUNCTION("""COMPUTED_VALUE"""),"[JIRA編]React Hooks/TypeScript + Django REST APIで作るオリジナルJIRA")</f>
        <v>[JIRA編]React Hooks/TypeScript + Django REST APIで作るオリジナルJIRA</v>
      </c>
    </row>
    <row r="9786">
      <c r="A9786" s="140" t="str">
        <f>IFERROR(__xludf.DUMMYFUNCTION("""COMPUTED_VALUE"""),"en")</f>
        <v>en</v>
      </c>
      <c r="B9786">
        <f>IFERROR(__xludf.DUMMYFUNCTION("""COMPUTED_VALUE"""),2624258.0)</f>
        <v>2624258</v>
      </c>
      <c r="C9786" t="str">
        <f>IFERROR(__xludf.DUMMYFUNCTION("""COMPUTED_VALUE"""),"Master Azure Web Apps - Take Java Spring Boot Apps to Azure")</f>
        <v>Master Azure Web Apps - Take Java Spring Boot Apps to Azure</v>
      </c>
    </row>
    <row r="9787">
      <c r="A9787" s="140" t="str">
        <f>IFERROR(__xludf.DUMMYFUNCTION("""COMPUTED_VALUE"""),"de")</f>
        <v>de</v>
      </c>
      <c r="B9787">
        <f>IFERROR(__xludf.DUMMYFUNCTION("""COMPUTED_VALUE"""),1233396.0)</f>
        <v>1233396</v>
      </c>
      <c r="C9787" t="str">
        <f>IFERROR(__xludf.DUMMYFUNCTION("""COMPUTED_VALUE"""),"C++ Bootcamp: Vom Anfänger zum C++ - Entwickler!")</f>
        <v>C++ Bootcamp: Vom Anfänger zum C++ - Entwickler!</v>
      </c>
    </row>
    <row r="9788">
      <c r="A9788" s="140" t="str">
        <f>IFERROR(__xludf.DUMMYFUNCTION("""COMPUTED_VALUE"""),"ja")</f>
        <v>ja</v>
      </c>
      <c r="B9788">
        <f>IFERROR(__xludf.DUMMYFUNCTION("""COMPUTED_VALUE"""),2443344.0)</f>
        <v>2443344</v>
      </c>
      <c r="C9788" t="str">
        <f>IFERROR(__xludf.DUMMYFUNCTION("""COMPUTED_VALUE"""),"【ビジネスデータ集計を極める】エクセル関数マスターコース")</f>
        <v>【ビジネスデータ集計を極める】エクセル関数マスターコース</v>
      </c>
    </row>
    <row r="9789">
      <c r="A9789" s="140" t="str">
        <f>IFERROR(__xludf.DUMMYFUNCTION("""COMPUTED_VALUE"""),"ja")</f>
        <v>ja</v>
      </c>
      <c r="B9789">
        <f>IFERROR(__xludf.DUMMYFUNCTION("""COMPUTED_VALUE"""),3399564.0)</f>
        <v>3399564</v>
      </c>
      <c r="C9789" t="str">
        <f>IFERROR(__xludf.DUMMYFUNCTION("""COMPUTED_VALUE"""),"ゼロからスキルがしっかり身につく！Adobe Illustrator(イラストレーター)グラフィックデザイン実践基礎講座")</f>
        <v>ゼロからスキルがしっかり身につく！Adobe Illustrator(イラストレーター)グラフィックデザイン実践基礎講座</v>
      </c>
    </row>
    <row r="9790">
      <c r="A9790" s="140" t="str">
        <f>IFERROR(__xludf.DUMMYFUNCTION("""COMPUTED_VALUE"""),"zh")</f>
        <v>zh</v>
      </c>
      <c r="B9790">
        <f>IFERROR(__xludf.DUMMYFUNCTION("""COMPUTED_VALUE"""),2235808.0)</f>
        <v>2235808</v>
      </c>
      <c r="C9790" t="str">
        <f>IFERROR(__xludf.DUMMYFUNCTION("""COMPUTED_VALUE"""),"Morgan教你学习量化投资与程序化交易 (EP1: 跨出第一步- 以Multicharts为例)")</f>
        <v>Morgan教你学习量化投资与程序化交易 (EP1: 跨出第一步- 以Multicharts为例)</v>
      </c>
    </row>
    <row r="9791">
      <c r="A9791" s="140" t="str">
        <f>IFERROR(__xludf.DUMMYFUNCTION("""COMPUTED_VALUE"""),"en")</f>
        <v>en</v>
      </c>
      <c r="B9791">
        <f>IFERROR(__xludf.DUMMYFUNCTION("""COMPUTED_VALUE"""),396204.0)</f>
        <v>396204</v>
      </c>
      <c r="C9791" t="str">
        <f>IFERROR(__xludf.DUMMYFUNCTION("""COMPUTED_VALUE"""),"Graphic Design Masterclass: Learn Graphic Design in Projects")</f>
        <v>Graphic Design Masterclass: Learn Graphic Design in Projects</v>
      </c>
    </row>
    <row r="9792">
      <c r="A9792" s="140" t="str">
        <f>IFERROR(__xludf.DUMMYFUNCTION("""COMPUTED_VALUE"""),"en")</f>
        <v>en</v>
      </c>
      <c r="B9792">
        <f>IFERROR(__xludf.DUMMYFUNCTION("""COMPUTED_VALUE"""),1088444.0)</f>
        <v>1088444</v>
      </c>
      <c r="C9792" t="str">
        <f>IFERROR(__xludf.DUMMYFUNCTION("""COMPUTED_VALUE"""),"A Guide to Electronics Cooling")</f>
        <v>A Guide to Electronics Cooling</v>
      </c>
    </row>
    <row r="9793">
      <c r="A9793" s="140" t="str">
        <f>IFERROR(__xludf.DUMMYFUNCTION("""COMPUTED_VALUE"""),"tr")</f>
        <v>tr</v>
      </c>
      <c r="B9793">
        <f>IFERROR(__xludf.DUMMYFUNCTION("""COMPUTED_VALUE"""),1567540.0)</f>
        <v>1567540</v>
      </c>
      <c r="C9793" t="str">
        <f>IFERROR(__xludf.DUMMYFUNCTION("""COMPUTED_VALUE"""),"Kotlin ile Sıfırdan Instagram Android Uygulaması Yapalım")</f>
        <v>Kotlin ile Sıfırdan Instagram Android Uygulaması Yapalım</v>
      </c>
    </row>
    <row r="9794">
      <c r="A9794" s="140" t="str">
        <f>IFERROR(__xludf.DUMMYFUNCTION("""COMPUTED_VALUE"""),"es")</f>
        <v>es</v>
      </c>
      <c r="B9794">
        <f>IFERROR(__xludf.DUMMYFUNCTION("""COMPUTED_VALUE"""),1316648.0)</f>
        <v>1316648</v>
      </c>
      <c r="C9794" t="str">
        <f>IFERROR(__xludf.DUMMYFUNCTION("""COMPUTED_VALUE"""),"Landing Pages y Embudos de Venta - Actualizado 2021")</f>
        <v>Landing Pages y Embudos de Venta - Actualizado 2021</v>
      </c>
    </row>
    <row r="9795">
      <c r="A9795" s="140" t="str">
        <f>IFERROR(__xludf.DUMMYFUNCTION("""COMPUTED_VALUE"""),"en")</f>
        <v>en</v>
      </c>
      <c r="B9795">
        <f>IFERROR(__xludf.DUMMYFUNCTION("""COMPUTED_VALUE"""),640964.0)</f>
        <v>640964</v>
      </c>
      <c r="C9795" t="str">
        <f>IFERROR(__xludf.DUMMYFUNCTION("""COMPUTED_VALUE"""),"Customer | How to Build Customer Loyalty")</f>
        <v>Customer | How to Build Customer Loyalty</v>
      </c>
    </row>
    <row r="9796">
      <c r="A9796" s="140" t="str">
        <f>IFERROR(__xludf.DUMMYFUNCTION("""COMPUTED_VALUE"""),"en")</f>
        <v>en</v>
      </c>
      <c r="B9796">
        <f>IFERROR(__xludf.DUMMYFUNCTION("""COMPUTED_VALUE"""),2811551.0)</f>
        <v>2811551</v>
      </c>
      <c r="C9796" t="str">
        <f>IFERROR(__xludf.DUMMYFUNCTION("""COMPUTED_VALUE"""),"AWS Cloud Development Kit - From Beginner to Professional")</f>
        <v>AWS Cloud Development Kit - From Beginner to Professional</v>
      </c>
    </row>
    <row r="9797">
      <c r="A9797" s="140" t="str">
        <f>IFERROR(__xludf.DUMMYFUNCTION("""COMPUTED_VALUE"""),"en")</f>
        <v>en</v>
      </c>
      <c r="B9797">
        <f>IFERROR(__xludf.DUMMYFUNCTION("""COMPUTED_VALUE"""),3250644.0)</f>
        <v>3250644</v>
      </c>
      <c r="C9797" t="str">
        <f>IFERROR(__xludf.DUMMYFUNCTION("""COMPUTED_VALUE"""),"Advance LoadRunner Scripting for HTTP/HTML Protocol")</f>
        <v>Advance LoadRunner Scripting for HTTP/HTML Protocol</v>
      </c>
    </row>
    <row r="9798">
      <c r="A9798" s="140" t="str">
        <f>IFERROR(__xludf.DUMMYFUNCTION("""COMPUTED_VALUE"""),"es")</f>
        <v>es</v>
      </c>
      <c r="B9798">
        <f>IFERROR(__xludf.DUMMYFUNCTION("""COMPUTED_VALUE"""),3574703.0)</f>
        <v>3574703</v>
      </c>
      <c r="C9798" t="str">
        <f>IFERROR(__xludf.DUMMYFUNCTION("""COMPUTED_VALUE"""),"Power Query - Transformación de datos en Excel y Power BI")</f>
        <v>Power Query - Transformación de datos en Excel y Power BI</v>
      </c>
    </row>
    <row r="9799">
      <c r="A9799" s="140" t="str">
        <f>IFERROR(__xludf.DUMMYFUNCTION("""COMPUTED_VALUE"""),"en")</f>
        <v>en</v>
      </c>
      <c r="B9799">
        <f>IFERROR(__xludf.DUMMYFUNCTION("""COMPUTED_VALUE"""),59325.0)</f>
        <v>59325</v>
      </c>
      <c r="C9799" t="str">
        <f>IFERROR(__xludf.DUMMYFUNCTION("""COMPUTED_VALUE"""),"Powerpoint 2010")</f>
        <v>Powerpoint 2010</v>
      </c>
    </row>
    <row r="9800">
      <c r="A9800" s="140" t="str">
        <f>IFERROR(__xludf.DUMMYFUNCTION("""COMPUTED_VALUE"""),"tr")</f>
        <v>tr</v>
      </c>
      <c r="B9800">
        <f>IFERROR(__xludf.DUMMYFUNCTION("""COMPUTED_VALUE"""),4121240.0)</f>
        <v>4121240</v>
      </c>
      <c r="C9800" t="str">
        <f>IFERROR(__xludf.DUMMYFUNCTION("""COMPUTED_VALUE"""),"MicroPython ile Gömülü Sistemler Dünyasına Giriş (ESP8266)")</f>
        <v>MicroPython ile Gömülü Sistemler Dünyasına Giriş (ESP8266)</v>
      </c>
    </row>
    <row r="9801">
      <c r="A9801" s="140" t="str">
        <f>IFERROR(__xludf.DUMMYFUNCTION("""COMPUTED_VALUE"""),"fr")</f>
        <v>fr</v>
      </c>
      <c r="B9801">
        <f>IFERROR(__xludf.DUMMYFUNCTION("""COMPUTED_VALUE"""),2476770.0)</f>
        <v>2476770</v>
      </c>
      <c r="C9801" t="str">
        <f>IFERROR(__xludf.DUMMYFUNCTION("""COMPUTED_VALUE"""),"Migration de bases de données vers AWS en francais !")</f>
        <v>Migration de bases de données vers AWS en francais !</v>
      </c>
    </row>
    <row r="9802">
      <c r="A9802" s="140" t="str">
        <f>IFERROR(__xludf.DUMMYFUNCTION("""COMPUTED_VALUE"""),"en")</f>
        <v>en</v>
      </c>
      <c r="B9802">
        <f>IFERROR(__xludf.DUMMYFUNCTION("""COMPUTED_VALUE"""),3545764.0)</f>
        <v>3545764</v>
      </c>
      <c r="C9802" t="str">
        <f>IFERROR(__xludf.DUMMYFUNCTION("""COMPUTED_VALUE"""),"AWS Certification - Cloud Practitioner - 2021")</f>
        <v>AWS Certification - Cloud Practitioner - 2021</v>
      </c>
    </row>
    <row r="9803">
      <c r="A9803" s="140" t="str">
        <f>IFERROR(__xludf.DUMMYFUNCTION("""COMPUTED_VALUE"""),"en")</f>
        <v>en</v>
      </c>
      <c r="B9803">
        <f>IFERROR(__xludf.DUMMYFUNCTION("""COMPUTED_VALUE"""),1792392.0)</f>
        <v>1792392</v>
      </c>
      <c r="C9803" t="str">
        <f>IFERROR(__xludf.DUMMYFUNCTION("""COMPUTED_VALUE"""),"Flutter - Advanced Course")</f>
        <v>Flutter - Advanced Course</v>
      </c>
    </row>
    <row r="9804">
      <c r="A9804" s="140" t="str">
        <f>IFERROR(__xludf.DUMMYFUNCTION("""COMPUTED_VALUE"""),"en")</f>
        <v>en</v>
      </c>
      <c r="B9804">
        <f>IFERROR(__xludf.DUMMYFUNCTION("""COMPUTED_VALUE"""),3336932.0)</f>
        <v>3336932</v>
      </c>
      <c r="C9804" t="str">
        <f>IFERROR(__xludf.DUMMYFUNCTION("""COMPUTED_VALUE"""),"Vue JS 3: The Composition API")</f>
        <v>Vue JS 3: The Composition API</v>
      </c>
    </row>
    <row r="9805">
      <c r="A9805" s="140" t="str">
        <f>IFERROR(__xludf.DUMMYFUNCTION("""COMPUTED_VALUE"""),"en")</f>
        <v>en</v>
      </c>
      <c r="B9805">
        <f>IFERROR(__xludf.DUMMYFUNCTION("""COMPUTED_VALUE"""),3524652.0)</f>
        <v>3524652</v>
      </c>
      <c r="C9805" t="str">
        <f>IFERROR(__xludf.DUMMYFUNCTION("""COMPUTED_VALUE"""),"Rasa Advanced Deployment Workshop")</f>
        <v>Rasa Advanced Deployment Workshop</v>
      </c>
    </row>
    <row r="9806">
      <c r="A9806" s="140" t="str">
        <f>IFERROR(__xludf.DUMMYFUNCTION("""COMPUTED_VALUE"""),"ko")</f>
        <v>ko</v>
      </c>
      <c r="B9806">
        <f>IFERROR(__xludf.DUMMYFUNCTION("""COMPUTED_VALUE"""),1895374.0)</f>
        <v>1895374</v>
      </c>
      <c r="C9806" t="str">
        <f>IFERROR(__xludf.DUMMYFUNCTION("""COMPUTED_VALUE"""),"파이썬 Python 3 입문 - 미국 실리콘밸리 스타일의 코드로 실전 앱 개발 준비하기")</f>
        <v>파이썬 Python 3 입문 - 미국 실리콘밸리 스타일의 코드로 실전 앱 개발 준비하기</v>
      </c>
    </row>
    <row r="9807">
      <c r="A9807" s="140" t="str">
        <f>IFERROR(__xludf.DUMMYFUNCTION("""COMPUTED_VALUE"""),"en")</f>
        <v>en</v>
      </c>
      <c r="B9807">
        <f>IFERROR(__xludf.DUMMYFUNCTION("""COMPUTED_VALUE"""),3592312.0)</f>
        <v>3592312</v>
      </c>
      <c r="C9807" t="str">
        <f>IFERROR(__xludf.DUMMYFUNCTION("""COMPUTED_VALUE"""),"The Complete Design Interview Course")</f>
        <v>The Complete Design Interview Course</v>
      </c>
    </row>
    <row r="9808">
      <c r="A9808" s="140" t="str">
        <f>IFERROR(__xludf.DUMMYFUNCTION("""COMPUTED_VALUE"""),"en")</f>
        <v>en</v>
      </c>
      <c r="B9808">
        <f>IFERROR(__xludf.DUMMYFUNCTION("""COMPUTED_VALUE"""),386922.0)</f>
        <v>386922</v>
      </c>
      <c r="C9808" t="str">
        <f>IFERROR(__xludf.DUMMYFUNCTION("""COMPUTED_VALUE"""),"Seeing the Big Picture: Understanding Financial Statements")</f>
        <v>Seeing the Big Picture: Understanding Financial Statements</v>
      </c>
    </row>
    <row r="9809">
      <c r="A9809" s="140" t="str">
        <f>IFERROR(__xludf.DUMMYFUNCTION("""COMPUTED_VALUE"""),"en")</f>
        <v>en</v>
      </c>
      <c r="B9809">
        <f>IFERROR(__xludf.DUMMYFUNCTION("""COMPUTED_VALUE"""),369742.0)</f>
        <v>369742</v>
      </c>
      <c r="C9809" t="str">
        <f>IFERROR(__xludf.DUMMYFUNCTION("""COMPUTED_VALUE"""),"Cisco CCNA 200-301 - Your Guide to Passing - 2021")</f>
        <v>Cisco CCNA 200-301 - Your Guide to Passing - 2021</v>
      </c>
    </row>
    <row r="9810">
      <c r="A9810" s="140" t="str">
        <f>IFERROR(__xludf.DUMMYFUNCTION("""COMPUTED_VALUE"""),"en")</f>
        <v>en</v>
      </c>
      <c r="B9810">
        <f>IFERROR(__xludf.DUMMYFUNCTION("""COMPUTED_VALUE"""),3942816.0)</f>
        <v>3942816</v>
      </c>
      <c r="C9810" t="str">
        <f>IFERROR(__xludf.DUMMYFUNCTION("""COMPUTED_VALUE"""),"WebRTC 2021 Practical Course. Build Video Chat With React")</f>
        <v>WebRTC 2021 Practical Course. Build Video Chat With React</v>
      </c>
    </row>
    <row r="9811">
      <c r="A9811" s="140" t="str">
        <f>IFERROR(__xludf.DUMMYFUNCTION("""COMPUTED_VALUE"""),"ja")</f>
        <v>ja</v>
      </c>
      <c r="B9811">
        <f>IFERROR(__xludf.DUMMYFUNCTION("""COMPUTED_VALUE"""),3898578.0)</f>
        <v>3898578</v>
      </c>
      <c r="C9811" t="str">
        <f>IFERROR(__xludf.DUMMYFUNCTION("""COMPUTED_VALUE"""),"【Laravel】マルチログイン機能を構築し本格的なECサイトをつくってみよう【Breeze/tailwindcss】")</f>
        <v>【Laravel】マルチログイン機能を構築し本格的なECサイトをつくってみよう【Breeze/tailwindcss】</v>
      </c>
    </row>
    <row r="9812">
      <c r="A9812" s="140" t="str">
        <f>IFERROR(__xludf.DUMMYFUNCTION("""COMPUTED_VALUE"""),"fr")</f>
        <v>fr</v>
      </c>
      <c r="B9812">
        <f>IFERROR(__xludf.DUMMYFUNCTION("""COMPUTED_VALUE"""),1692710.0)</f>
        <v>1692710</v>
      </c>
      <c r="C9812" t="str">
        <f>IFERROR(__xludf.DUMMYFUNCTION("""COMPUTED_VALUE"""),"Day Trading - Réussir sur les marchés")</f>
        <v>Day Trading - Réussir sur les marchés</v>
      </c>
    </row>
    <row r="9813">
      <c r="A9813" s="140" t="str">
        <f>IFERROR(__xludf.DUMMYFUNCTION("""COMPUTED_VALUE"""),"en")</f>
        <v>en</v>
      </c>
      <c r="B9813">
        <f>IFERROR(__xludf.DUMMYFUNCTION("""COMPUTED_VALUE"""),2397300.0)</f>
        <v>2397300</v>
      </c>
      <c r="C9813" t="str">
        <f>IFERROR(__xludf.DUMMYFUNCTION("""COMPUTED_VALUE"""),"The Complete Guide to Salesforce Pardot Lightning")</f>
        <v>The Complete Guide to Salesforce Pardot Lightning</v>
      </c>
    </row>
    <row r="9814">
      <c r="A9814" s="140" t="str">
        <f>IFERROR(__xludf.DUMMYFUNCTION("""COMPUTED_VALUE"""),"en")</f>
        <v>en</v>
      </c>
      <c r="B9814">
        <f>IFERROR(__xludf.DUMMYFUNCTION("""COMPUTED_VALUE"""),3328334.0)</f>
        <v>3328334</v>
      </c>
      <c r="C9814" t="str">
        <f>IFERROR(__xludf.DUMMYFUNCTION("""COMPUTED_VALUE"""),"Microsoft MS-700 Certification: Managing Teams")</f>
        <v>Microsoft MS-700 Certification: Managing Teams</v>
      </c>
    </row>
    <row r="9815">
      <c r="A9815" s="140" t="str">
        <f>IFERROR(__xludf.DUMMYFUNCTION("""COMPUTED_VALUE"""),"tr")</f>
        <v>tr</v>
      </c>
      <c r="B9815">
        <f>IFERROR(__xludf.DUMMYFUNCTION("""COMPUTED_VALUE"""),2976508.0)</f>
        <v>2976508</v>
      </c>
      <c r="C9815" t="str">
        <f>IFERROR(__xludf.DUMMYFUNCTION("""COMPUTED_VALUE"""),"Arapça Dil Eğitim Seti | 28 Video | Ayrıntılı Orta Düzey")</f>
        <v>Arapça Dil Eğitim Seti | 28 Video | Ayrıntılı Orta Düzey</v>
      </c>
    </row>
    <row r="9816">
      <c r="A9816" s="140" t="str">
        <f>IFERROR(__xludf.DUMMYFUNCTION("""COMPUTED_VALUE"""),"es")</f>
        <v>es</v>
      </c>
      <c r="B9816">
        <f>IFERROR(__xludf.DUMMYFUNCTION("""COMPUTED_VALUE"""),3213249.0)</f>
        <v>3213249</v>
      </c>
      <c r="C9816" t="str">
        <f>IFERROR(__xludf.DUMMYFUNCTION("""COMPUTED_VALUE"""),"Laravel 7 - Crea Aplicaciones y Sitios Web con PHP y MVC")</f>
        <v>Laravel 7 - Crea Aplicaciones y Sitios Web con PHP y MVC</v>
      </c>
    </row>
    <row r="9817">
      <c r="A9817" s="140" t="str">
        <f>IFERROR(__xludf.DUMMYFUNCTION("""COMPUTED_VALUE"""),"en")</f>
        <v>en</v>
      </c>
      <c r="B9817">
        <f>IFERROR(__xludf.DUMMYFUNCTION("""COMPUTED_VALUE"""),1344876.0)</f>
        <v>1344876</v>
      </c>
      <c r="C9817" t="str">
        <f>IFERROR(__xludf.DUMMYFUNCTION("""COMPUTED_VALUE"""),"What's New in Java 9 - Modules and More!")</f>
        <v>What's New in Java 9 - Modules and More!</v>
      </c>
    </row>
    <row r="9818">
      <c r="A9818" s="140" t="str">
        <f>IFERROR(__xludf.DUMMYFUNCTION("""COMPUTED_VALUE"""),"en")</f>
        <v>en</v>
      </c>
      <c r="B9818">
        <f>IFERROR(__xludf.DUMMYFUNCTION("""COMPUTED_VALUE"""),516872.0)</f>
        <v>516872</v>
      </c>
      <c r="C9818" t="str">
        <f>IFERROR(__xludf.DUMMYFUNCTION("""COMPUTED_VALUE"""),"Computer Network: Networking fundamentals + Wireshark Basics")</f>
        <v>Computer Network: Networking fundamentals + Wireshark Basics</v>
      </c>
    </row>
    <row r="9819">
      <c r="A9819" s="140" t="str">
        <f>IFERROR(__xludf.DUMMYFUNCTION("""COMPUTED_VALUE"""),"en")</f>
        <v>en</v>
      </c>
      <c r="B9819">
        <f>IFERROR(__xludf.DUMMYFUNCTION("""COMPUTED_VALUE"""),1675120.0)</f>
        <v>1675120</v>
      </c>
      <c r="C9819" t="str">
        <f>IFERROR(__xludf.DUMMYFUNCTION("""COMPUTED_VALUE"""),"AWS - Mastering Boto3 &amp; Lambda Functions Using Python")</f>
        <v>AWS - Mastering Boto3 &amp; Lambda Functions Using Python</v>
      </c>
    </row>
    <row r="9820">
      <c r="A9820" s="140" t="str">
        <f>IFERROR(__xludf.DUMMYFUNCTION("""COMPUTED_VALUE"""),"en")</f>
        <v>en</v>
      </c>
      <c r="B9820">
        <f>IFERROR(__xludf.DUMMYFUNCTION("""COMPUTED_VALUE"""),1891612.0)</f>
        <v>1891612</v>
      </c>
      <c r="C9820" t="str">
        <f>IFERROR(__xludf.DUMMYFUNCTION("""COMPUTED_VALUE"""),"Chef for the Absolute Beginners - DevOps")</f>
        <v>Chef for the Absolute Beginners - DevOps</v>
      </c>
    </row>
    <row r="9821">
      <c r="A9821" s="140" t="str">
        <f>IFERROR(__xludf.DUMMYFUNCTION("""COMPUTED_VALUE"""),"en")</f>
        <v>en</v>
      </c>
      <c r="B9821">
        <f>IFERROR(__xludf.DUMMYFUNCTION("""COMPUTED_VALUE"""),1607276.0)</f>
        <v>1607276</v>
      </c>
      <c r="C9821" t="str">
        <f>IFERROR(__xludf.DUMMYFUNCTION("""COMPUTED_VALUE"""),"A Course in Innovations of Digital Banking - a global view.")</f>
        <v>A Course in Innovations of Digital Banking - a global view.</v>
      </c>
    </row>
    <row r="9822">
      <c r="A9822" s="140" t="str">
        <f>IFERROR(__xludf.DUMMYFUNCTION("""COMPUTED_VALUE"""),"pt")</f>
        <v>pt</v>
      </c>
      <c r="B9822">
        <f>IFERROR(__xludf.DUMMYFUNCTION("""COMPUTED_VALUE"""),1406044.0)</f>
        <v>1406044</v>
      </c>
      <c r="C9822" t="str">
        <f>IFERROR(__xludf.DUMMYFUNCTION("""COMPUTED_VALUE"""),"Primeiros Passos no Linux - Conceitos e Principais Comandos")</f>
        <v>Primeiros Passos no Linux - Conceitos e Principais Comandos</v>
      </c>
    </row>
    <row r="9823">
      <c r="A9823" s="140" t="str">
        <f>IFERROR(__xludf.DUMMYFUNCTION("""COMPUTED_VALUE"""),"pt")</f>
        <v>pt</v>
      </c>
      <c r="B9823">
        <f>IFERROR(__xludf.DUMMYFUNCTION("""COMPUTED_VALUE"""),2453354.0)</f>
        <v>2453354</v>
      </c>
      <c r="C9823" t="str">
        <f>IFERROR(__xludf.DUMMYFUNCTION("""COMPUTED_VALUE"""),"Instagram Marketing Completo: Crescimento, Anúncios, Loja e+")</f>
        <v>Instagram Marketing Completo: Crescimento, Anúncios, Loja e+</v>
      </c>
    </row>
    <row r="9824">
      <c r="A9824" s="140" t="str">
        <f>IFERROR(__xludf.DUMMYFUNCTION("""COMPUTED_VALUE"""),"ja")</f>
        <v>ja</v>
      </c>
      <c r="B9824">
        <f>IFERROR(__xludf.DUMMYFUNCTION("""COMPUTED_VALUE"""),2078782.0)</f>
        <v>2078782</v>
      </c>
      <c r="C9824" t="str">
        <f>IFERROR(__xludf.DUMMYFUNCTION("""COMPUTED_VALUE"""),"【初心者向けWeb集客の始め方講座】WordPressとメルマガを使ったDRM・リストマーケティングの仕組み化完成コース")</f>
        <v>【初心者向けWeb集客の始め方講座】WordPressとメルマガを使ったDRM・リストマーケティングの仕組み化完成コース</v>
      </c>
    </row>
    <row r="9825">
      <c r="A9825" s="140" t="str">
        <f>IFERROR(__xludf.DUMMYFUNCTION("""COMPUTED_VALUE"""),"ar")</f>
        <v>ar</v>
      </c>
      <c r="B9825">
        <f>IFERROR(__xludf.DUMMYFUNCTION("""COMPUTED_VALUE"""),1362150.0)</f>
        <v>1362150</v>
      </c>
      <c r="C9825" t="str">
        <f>IFERROR(__xludf.DUMMYFUNCTION("""COMPUTED_VALUE"""),"Best Probability Course |افضل شرح احتمالات اسلام عبد المقصود")</f>
        <v>Best Probability Course |افضل شرح احتمالات اسلام عبد المقصود</v>
      </c>
    </row>
    <row r="9826">
      <c r="A9826" s="140" t="str">
        <f>IFERROR(__xludf.DUMMYFUNCTION("""COMPUTED_VALUE"""),"tr")</f>
        <v>tr</v>
      </c>
      <c r="B9826">
        <f>IFERROR(__xludf.DUMMYFUNCTION("""COMPUTED_VALUE"""),2631298.0)</f>
        <v>2631298</v>
      </c>
      <c r="C9826" t="str">
        <f>IFERROR(__xludf.DUMMYFUNCTION("""COMPUTED_VALUE"""),"Splunk (SIEM) Kurulumu ve Splunk Processing Language Eğitimi")</f>
        <v>Splunk (SIEM) Kurulumu ve Splunk Processing Language Eğitimi</v>
      </c>
    </row>
    <row r="9827">
      <c r="A9827" s="140" t="str">
        <f>IFERROR(__xludf.DUMMYFUNCTION("""COMPUTED_VALUE"""),"ja")</f>
        <v>ja</v>
      </c>
      <c r="B9827">
        <f>IFERROR(__xludf.DUMMYFUNCTION("""COMPUTED_VALUE"""),3075074.0)</f>
        <v>3075074</v>
      </c>
      <c r="C9827" t="str">
        <f>IFERROR(__xludf.DUMMYFUNCTION("""COMPUTED_VALUE"""),"【入門編】ゼロから始めるデジタルマーケティング～企画提案書が作れるターゲティング、コンセプトメイク、メディア選定～")</f>
        <v>【入門編】ゼロから始めるデジタルマーケティング～企画提案書が作れるターゲティング、コンセプトメイク、メディア選定～</v>
      </c>
    </row>
    <row r="9828">
      <c r="A9828" s="140" t="str">
        <f>IFERROR(__xludf.DUMMYFUNCTION("""COMPUTED_VALUE"""),"es")</f>
        <v>es</v>
      </c>
      <c r="B9828">
        <f>IFERROR(__xludf.DUMMYFUNCTION("""COMPUTED_VALUE"""),4293812.0)</f>
        <v>4293812</v>
      </c>
      <c r="C9828" t="str">
        <f>IFERROR(__xludf.DUMMYFUNCTION("""COMPUTED_VALUE"""),"Cómo mejorar tus entrevistas de selección.")</f>
        <v>Cómo mejorar tus entrevistas de selección.</v>
      </c>
    </row>
    <row r="9829">
      <c r="A9829" s="140" t="str">
        <f>IFERROR(__xludf.DUMMYFUNCTION("""COMPUTED_VALUE"""),"en")</f>
        <v>en</v>
      </c>
      <c r="B9829">
        <f>IFERROR(__xludf.DUMMYFUNCTION("""COMPUTED_VALUE"""),2874572.0)</f>
        <v>2874572</v>
      </c>
      <c r="C9829" t="str">
        <f>IFERROR(__xludf.DUMMYFUNCTION("""COMPUTED_VALUE"""),"Apache Beam | Hands on course for Big Data Pipeline | Python")</f>
        <v>Apache Beam | Hands on course for Big Data Pipeline | Python</v>
      </c>
    </row>
    <row r="9830">
      <c r="A9830" s="140" t="str">
        <f>IFERROR(__xludf.DUMMYFUNCTION("""COMPUTED_VALUE"""),"ja")</f>
        <v>ja</v>
      </c>
      <c r="B9830">
        <f>IFERROR(__xludf.DUMMYFUNCTION("""COMPUTED_VALUE"""),2763848.0)</f>
        <v>2763848</v>
      </c>
      <c r="C9830" t="str">
        <f>IFERROR(__xludf.DUMMYFUNCTION("""COMPUTED_VALUE"""),"【世界で37万人が受講】データサイエンティストを目指すあなたへ〜データサイエンス25時間ブートキャンプ〜")</f>
        <v>【世界で37万人が受講】データサイエンティストを目指すあなたへ〜データサイエンス25時間ブートキャンプ〜</v>
      </c>
    </row>
    <row r="9831">
      <c r="A9831" s="140" t="str">
        <f>IFERROR(__xludf.DUMMYFUNCTION("""COMPUTED_VALUE"""),"ja")</f>
        <v>ja</v>
      </c>
      <c r="B9831">
        <f>IFERROR(__xludf.DUMMYFUNCTION("""COMPUTED_VALUE"""),1497262.0)</f>
        <v>1497262</v>
      </c>
      <c r="C9831" t="str">
        <f>IFERROR(__xludf.DUMMYFUNCTION("""COMPUTED_VALUE"""),"フルスタックエンジニアが教える 即戦力Railsエンジニア養成講座")</f>
        <v>フルスタックエンジニアが教える 即戦力Railsエンジニア養成講座</v>
      </c>
    </row>
    <row r="9832">
      <c r="A9832" s="140" t="str">
        <f>IFERROR(__xludf.DUMMYFUNCTION("""COMPUTED_VALUE"""),"en")</f>
        <v>en</v>
      </c>
      <c r="B9832">
        <f>IFERROR(__xludf.DUMMYFUNCTION("""COMPUTED_VALUE"""),2119726.0)</f>
        <v>2119726</v>
      </c>
      <c r="C9832" t="str">
        <f>IFERROR(__xludf.DUMMYFUNCTION("""COMPUTED_VALUE"""),"The Advanced QlikSense Masterclass")</f>
        <v>The Advanced QlikSense Masterclass</v>
      </c>
    </row>
    <row r="9833">
      <c r="A9833" s="140" t="str">
        <f>IFERROR(__xludf.DUMMYFUNCTION("""COMPUTED_VALUE"""),"en")</f>
        <v>en</v>
      </c>
      <c r="B9833">
        <f>IFERROR(__xludf.DUMMYFUNCTION("""COMPUTED_VALUE"""),4110750.0)</f>
        <v>4110750</v>
      </c>
      <c r="C9833" t="str">
        <f>IFERROR(__xludf.DUMMYFUNCTION("""COMPUTED_VALUE"""),"HARD CISSP practice questions #2: All CISSP domains - 125Q")</f>
        <v>HARD CISSP practice questions #2: All CISSP domains - 125Q</v>
      </c>
    </row>
    <row r="9834">
      <c r="A9834" s="140" t="str">
        <f>IFERROR(__xludf.DUMMYFUNCTION("""COMPUTED_VALUE"""),"en")</f>
        <v>en</v>
      </c>
      <c r="B9834">
        <f>IFERROR(__xludf.DUMMYFUNCTION("""COMPUTED_VALUE"""),829288.0)</f>
        <v>829288</v>
      </c>
      <c r="C9834" t="str">
        <f>IFERROR(__xludf.DUMMYFUNCTION("""COMPUTED_VALUE"""),"Unity &amp; C# - Build A Complete 2D Mobile Platformer Game")</f>
        <v>Unity &amp; C# - Build A Complete 2D Mobile Platformer Game</v>
      </c>
    </row>
    <row r="9835">
      <c r="A9835" s="140" t="str">
        <f>IFERROR(__xludf.DUMMYFUNCTION("""COMPUTED_VALUE"""),"en")</f>
        <v>en</v>
      </c>
      <c r="B9835">
        <f>IFERROR(__xludf.DUMMYFUNCTION("""COMPUTED_VALUE"""),2352354.0)</f>
        <v>2352354</v>
      </c>
      <c r="C9835" t="str">
        <f>IFERROR(__xludf.DUMMYFUNCTION("""COMPUTED_VALUE"""),"Employee Engagement Management Coaching Certificate")</f>
        <v>Employee Engagement Management Coaching Certificate</v>
      </c>
    </row>
    <row r="9836">
      <c r="A9836" s="140" t="str">
        <f>IFERROR(__xludf.DUMMYFUNCTION("""COMPUTED_VALUE"""),"ar")</f>
        <v>ar</v>
      </c>
      <c r="B9836">
        <f>IFERROR(__xludf.DUMMYFUNCTION("""COMPUTED_VALUE"""),2311242.0)</f>
        <v>2311242</v>
      </c>
      <c r="C9836" t="str">
        <f>IFERROR(__xludf.DUMMYFUNCTION("""COMPUTED_VALUE"""),"Ionic 4 For Beginners (in Arabic)")</f>
        <v>Ionic 4 For Beginners (in Arabic)</v>
      </c>
    </row>
    <row r="9837">
      <c r="A9837" s="140" t="str">
        <f>IFERROR(__xludf.DUMMYFUNCTION("""COMPUTED_VALUE"""),"ja")</f>
        <v>ja</v>
      </c>
      <c r="B9837">
        <f>IFERROR(__xludf.DUMMYFUNCTION("""COMPUTED_VALUE"""),3920142.0)</f>
        <v>3920142</v>
      </c>
      <c r="C9837" t="str">
        <f>IFERROR(__xludf.DUMMYFUNCTION("""COMPUTED_VALUE"""),"【最初に学びたい】Blender 3DCGモデリング集中講座")</f>
        <v>【最初に学びたい】Blender 3DCGモデリング集中講座</v>
      </c>
    </row>
    <row r="9838">
      <c r="A9838" s="140" t="str">
        <f>IFERROR(__xludf.DUMMYFUNCTION("""COMPUTED_VALUE"""),"pt")</f>
        <v>pt</v>
      </c>
      <c r="B9838">
        <f>IFERROR(__xludf.DUMMYFUNCTION("""COMPUTED_VALUE"""),1318800.0)</f>
        <v>1318800</v>
      </c>
      <c r="C9838" t="str">
        <f>IFERROR(__xludf.DUMMYFUNCTION("""COMPUTED_VALUE"""),"Boas práticas em Cibersegurança")</f>
        <v>Boas práticas em Cibersegurança</v>
      </c>
    </row>
    <row r="9839">
      <c r="A9839" s="140" t="str">
        <f>IFERROR(__xludf.DUMMYFUNCTION("""COMPUTED_VALUE"""),"en")</f>
        <v>en</v>
      </c>
      <c r="B9839">
        <f>IFERROR(__xludf.DUMMYFUNCTION("""COMPUTED_VALUE"""),309820.0)</f>
        <v>309820</v>
      </c>
      <c r="C9839" t="str">
        <f>IFERROR(__xludf.DUMMYFUNCTION("""COMPUTED_VALUE"""),"ASP.Net MVC Quick Start")</f>
        <v>ASP.Net MVC Quick Start</v>
      </c>
    </row>
    <row r="9840">
      <c r="A9840" s="140" t="str">
        <f>IFERROR(__xludf.DUMMYFUNCTION("""COMPUTED_VALUE"""),"en")</f>
        <v>en</v>
      </c>
      <c r="B9840">
        <f>IFERROR(__xludf.DUMMYFUNCTION("""COMPUTED_VALUE"""),248826.0)</f>
        <v>248826</v>
      </c>
      <c r="C9840" t="str">
        <f>IFERROR(__xludf.DUMMYFUNCTION("""COMPUTED_VALUE"""),"Introduction to CBT: Cognitive Behavioral Therapy")</f>
        <v>Introduction to CBT: Cognitive Behavioral Therapy</v>
      </c>
    </row>
    <row r="9841">
      <c r="A9841" s="140" t="str">
        <f>IFERROR(__xludf.DUMMYFUNCTION("""COMPUTED_VALUE"""),"pt")</f>
        <v>pt</v>
      </c>
      <c r="B9841">
        <f>IFERROR(__xludf.DUMMYFUNCTION("""COMPUTED_VALUE"""),2852838.0)</f>
        <v>2852838</v>
      </c>
      <c r="C9841" t="str">
        <f>IFERROR(__xludf.DUMMYFUNCTION("""COMPUTED_VALUE"""),"Curso Completo de Desenvolvedor RPA com UiPath")</f>
        <v>Curso Completo de Desenvolvedor RPA com UiPath</v>
      </c>
    </row>
    <row r="9842">
      <c r="A9842" s="140" t="str">
        <f>IFERROR(__xludf.DUMMYFUNCTION("""COMPUTED_VALUE"""),"es")</f>
        <v>es</v>
      </c>
      <c r="B9842">
        <f>IFERROR(__xludf.DUMMYFUNCTION("""COMPUTED_VALUE"""),3396392.0)</f>
        <v>3396392</v>
      </c>
      <c r="C9842" t="str">
        <f>IFERROR(__xludf.DUMMYFUNCTION("""COMPUTED_VALUE"""),"Microsoft Azure Fundamentals Curso AZ-900 - En Español 2021")</f>
        <v>Microsoft Azure Fundamentals Curso AZ-900 - En Español 2021</v>
      </c>
    </row>
    <row r="9843">
      <c r="A9843" s="140" t="str">
        <f>IFERROR(__xludf.DUMMYFUNCTION("""COMPUTED_VALUE"""),"en")</f>
        <v>en</v>
      </c>
      <c r="B9843">
        <f>IFERROR(__xludf.DUMMYFUNCTION("""COMPUTED_VALUE"""),2316716.0)</f>
        <v>2316716</v>
      </c>
      <c r="C9843" t="str">
        <f>IFERROR(__xludf.DUMMYFUNCTION("""COMPUTED_VALUE"""),"Adobe Captivate Fundamentals")</f>
        <v>Adobe Captivate Fundamentals</v>
      </c>
    </row>
    <row r="9844">
      <c r="A9844" s="140" t="str">
        <f>IFERROR(__xludf.DUMMYFUNCTION("""COMPUTED_VALUE"""),"en")</f>
        <v>en</v>
      </c>
      <c r="B9844">
        <f>IFERROR(__xludf.DUMMYFUNCTION("""COMPUTED_VALUE"""),40311.0)</f>
        <v>40311</v>
      </c>
      <c r="C9844" t="str">
        <f>IFERROR(__xludf.DUMMYFUNCTION("""COMPUTED_VALUE"""),"Serbian 101")</f>
        <v>Serbian 101</v>
      </c>
    </row>
    <row r="9845">
      <c r="A9845" s="140" t="str">
        <f>IFERROR(__xludf.DUMMYFUNCTION("""COMPUTED_VALUE"""),"de")</f>
        <v>de</v>
      </c>
      <c r="B9845">
        <f>IFERROR(__xludf.DUMMYFUNCTION("""COMPUTED_VALUE"""),680760.0)</f>
        <v>680760</v>
      </c>
      <c r="C9845" t="str">
        <f>IFERROR(__xludf.DUMMYFUNCTION("""COMPUTED_VALUE"""),"Ableton Live - Einstieg in die Musikproduktion")</f>
        <v>Ableton Live - Einstieg in die Musikproduktion</v>
      </c>
    </row>
    <row r="9846">
      <c r="A9846" s="140" t="str">
        <f>IFERROR(__xludf.DUMMYFUNCTION("""COMPUTED_VALUE"""),"en")</f>
        <v>en</v>
      </c>
      <c r="B9846">
        <f>IFERROR(__xludf.DUMMYFUNCTION("""COMPUTED_VALUE"""),1137048.0)</f>
        <v>1137048</v>
      </c>
      <c r="C9846" t="str">
        <f>IFERROR(__xludf.DUMMYFUNCTION("""COMPUTED_VALUE"""),"Microsoft Excel: Business Intelligence w/ Power Query &amp; DAX")</f>
        <v>Microsoft Excel: Business Intelligence w/ Power Query &amp; DAX</v>
      </c>
    </row>
    <row r="9847">
      <c r="A9847" s="140" t="str">
        <f>IFERROR(__xludf.DUMMYFUNCTION("""COMPUTED_VALUE"""),"en")</f>
        <v>en</v>
      </c>
      <c r="B9847">
        <f>IFERROR(__xludf.DUMMYFUNCTION("""COMPUTED_VALUE"""),2656582.0)</f>
        <v>2656582</v>
      </c>
      <c r="C9847" t="str">
        <f>IFERROR(__xludf.DUMMYFUNCTION("""COMPUTED_VALUE"""),"Growth Mindset, Grit, and Neuroplasticity, for Excellence !")</f>
        <v>Growth Mindset, Grit, and Neuroplasticity, for Excellence !</v>
      </c>
    </row>
    <row r="9848">
      <c r="A9848" s="140" t="str">
        <f>IFERROR(__xludf.DUMMYFUNCTION("""COMPUTED_VALUE"""),"en")</f>
        <v>en</v>
      </c>
      <c r="B9848">
        <f>IFERROR(__xludf.DUMMYFUNCTION("""COMPUTED_VALUE"""),2986274.0)</f>
        <v>2986274</v>
      </c>
      <c r="C9848" t="str">
        <f>IFERROR(__xludf.DUMMYFUNCTION("""COMPUTED_VALUE"""),"Cisco AppDynamics Application Performance Management (APM)")</f>
        <v>Cisco AppDynamics Application Performance Management (APM)</v>
      </c>
    </row>
    <row r="9849">
      <c r="A9849" s="140" t="str">
        <f>IFERROR(__xludf.DUMMYFUNCTION("""COMPUTED_VALUE"""),"en")</f>
        <v>en</v>
      </c>
      <c r="B9849">
        <f>IFERROR(__xludf.DUMMYFUNCTION("""COMPUTED_VALUE"""),1424068.0)</f>
        <v>1424068</v>
      </c>
      <c r="C9849" t="str">
        <f>IFERROR(__xludf.DUMMYFUNCTION("""COMPUTED_VALUE"""),"Cisco CCNP - Switch course")</f>
        <v>Cisco CCNP - Switch course</v>
      </c>
    </row>
    <row r="9850">
      <c r="A9850" s="140" t="str">
        <f>IFERROR(__xludf.DUMMYFUNCTION("""COMPUTED_VALUE"""),"en")</f>
        <v>en</v>
      </c>
      <c r="B9850">
        <f>IFERROR(__xludf.DUMMYFUNCTION("""COMPUTED_VALUE"""),1663222.0)</f>
        <v>1663222</v>
      </c>
      <c r="C9850" t="str">
        <f>IFERROR(__xludf.DUMMYFUNCTION("""COMPUTED_VALUE"""),"10 YouTube Marketing Strategies That Make Me 6-Figures")</f>
        <v>10 YouTube Marketing Strategies That Make Me 6-Figures</v>
      </c>
    </row>
    <row r="9851">
      <c r="A9851" s="140" t="str">
        <f>IFERROR(__xludf.DUMMYFUNCTION("""COMPUTED_VALUE"""),"ja")</f>
        <v>ja</v>
      </c>
      <c r="B9851">
        <f>IFERROR(__xludf.DUMMYFUNCTION("""COMPUTED_VALUE"""),1925998.0)</f>
        <v>1925998</v>
      </c>
      <c r="C9851" t="str">
        <f>IFERROR(__xludf.DUMMYFUNCTION("""COMPUTED_VALUE"""),"【ゼロからスタート】Oracleで始める SQL入門トレーニング")</f>
        <v>【ゼロからスタート】Oracleで始める SQL入門トレーニング</v>
      </c>
    </row>
    <row r="9852">
      <c r="A9852" s="140" t="str">
        <f>IFERROR(__xludf.DUMMYFUNCTION("""COMPUTED_VALUE"""),"pt")</f>
        <v>pt</v>
      </c>
      <c r="B9852">
        <f>IFERROR(__xludf.DUMMYFUNCTION("""COMPUTED_VALUE"""),1527754.0)</f>
        <v>1527754</v>
      </c>
      <c r="C9852" t="str">
        <f>IFERROR(__xludf.DUMMYFUNCTION("""COMPUTED_VALUE"""),"O Guia COMPLETO Para Alta Produtividade + 4 Cursos Extras")</f>
        <v>O Guia COMPLETO Para Alta Produtividade + 4 Cursos Extras</v>
      </c>
    </row>
    <row r="9853">
      <c r="A9853" s="140" t="str">
        <f>IFERROR(__xludf.DUMMYFUNCTION("""COMPUTED_VALUE"""),"en")</f>
        <v>en</v>
      </c>
      <c r="B9853">
        <f>IFERROR(__xludf.DUMMYFUNCTION("""COMPUTED_VALUE"""),1329850.0)</f>
        <v>1329850</v>
      </c>
      <c r="C9853" t="str">
        <f>IFERROR(__xludf.DUMMYFUNCTION("""COMPUTED_VALUE"""),"How to Motivate Employees (So That Productivity Increases)!")</f>
        <v>How to Motivate Employees (So That Productivity Increases)!</v>
      </c>
    </row>
    <row r="9854">
      <c r="A9854" s="140" t="str">
        <f>IFERROR(__xludf.DUMMYFUNCTION("""COMPUTED_VALUE"""),"fr")</f>
        <v>fr</v>
      </c>
      <c r="B9854">
        <f>IFERROR(__xludf.DUMMYFUNCTION("""COMPUTED_VALUE"""),1741204.0)</f>
        <v>1741204</v>
      </c>
      <c r="C9854" t="str">
        <f>IFERROR(__xludf.DUMMYFUNCTION("""COMPUTED_VALUE"""),"Créez votre site WordPress de A à Z - Débutants")</f>
        <v>Créez votre site WordPress de A à Z - Débutants</v>
      </c>
    </row>
    <row r="9855">
      <c r="A9855" s="140" t="str">
        <f>IFERROR(__xludf.DUMMYFUNCTION("""COMPUTED_VALUE"""),"es")</f>
        <v>es</v>
      </c>
      <c r="B9855">
        <f>IFERROR(__xludf.DUMMYFUNCTION("""COMPUTED_VALUE"""),189320.0)</f>
        <v>189320</v>
      </c>
      <c r="C9855" t="str">
        <f>IFERROR(__xludf.DUMMYFUNCTION("""COMPUTED_VALUE"""),"25 errores comunes que todos cometemos en Inglés")</f>
        <v>25 errores comunes que todos cometemos en Inglés</v>
      </c>
    </row>
    <row r="9856">
      <c r="A9856" s="140" t="str">
        <f>IFERROR(__xludf.DUMMYFUNCTION("""COMPUTED_VALUE"""),"en")</f>
        <v>en</v>
      </c>
      <c r="B9856">
        <f>IFERROR(__xludf.DUMMYFUNCTION("""COMPUTED_VALUE"""),1140660.0)</f>
        <v>1140660</v>
      </c>
      <c r="C9856" t="str">
        <f>IFERROR(__xludf.DUMMYFUNCTION("""COMPUTED_VALUE"""),"Deep Learning with Python and Keras")</f>
        <v>Deep Learning with Python and Keras</v>
      </c>
    </row>
    <row r="9857">
      <c r="A9857" s="140" t="str">
        <f>IFERROR(__xludf.DUMMYFUNCTION("""COMPUTED_VALUE"""),"en")</f>
        <v>en</v>
      </c>
      <c r="B9857">
        <f>IFERROR(__xludf.DUMMYFUNCTION("""COMPUTED_VALUE"""),1424326.0)</f>
        <v>1424326</v>
      </c>
      <c r="C9857" t="str">
        <f>IFERROR(__xludf.DUMMYFUNCTION("""COMPUTED_VALUE"""),"Android App Development Masterclass using Kotlin")</f>
        <v>Android App Development Masterclass using Kotlin</v>
      </c>
    </row>
    <row r="9858">
      <c r="A9858" s="140" t="str">
        <f>IFERROR(__xludf.DUMMYFUNCTION("""COMPUTED_VALUE"""),"en")</f>
        <v>en</v>
      </c>
      <c r="B9858">
        <f>IFERROR(__xludf.DUMMYFUNCTION("""COMPUTED_VALUE"""),1720774.0)</f>
        <v>1720774</v>
      </c>
      <c r="C9858" t="str">
        <f>IFERROR(__xludf.DUMMYFUNCTION("""COMPUTED_VALUE"""),"Practical Test Driven Development for Java Programmers")</f>
        <v>Practical Test Driven Development for Java Programmers</v>
      </c>
    </row>
    <row r="9859">
      <c r="A9859" s="140" t="str">
        <f>IFERROR(__xludf.DUMMYFUNCTION("""COMPUTED_VALUE"""),"es")</f>
        <v>es</v>
      </c>
      <c r="B9859">
        <f>IFERROR(__xludf.DUMMYFUNCTION("""COMPUTED_VALUE"""),1841658.0)</f>
        <v>1841658</v>
      </c>
      <c r="C9859" t="str">
        <f>IFERROR(__xludf.DUMMYFUNCTION("""COMPUTED_VALUE"""),"Tips para el Examen PMP - Version 6 del PMBOK")</f>
        <v>Tips para el Examen PMP - Version 6 del PMBOK</v>
      </c>
    </row>
    <row r="9860">
      <c r="A9860" s="140" t="str">
        <f>IFERROR(__xludf.DUMMYFUNCTION("""COMPUTED_VALUE"""),"ja")</f>
        <v>ja</v>
      </c>
      <c r="B9860">
        <f>IFERROR(__xludf.DUMMYFUNCTION("""COMPUTED_VALUE"""),3985766.0)</f>
        <v>3985766</v>
      </c>
      <c r="C9860" t="str">
        <f>IFERROR(__xludf.DUMMYFUNCTION("""COMPUTED_VALUE"""),"＜UB確認テスト＞UXデザイン講座　UXデザイン基礎入門")</f>
        <v>＜UB確認テスト＞UXデザイン講座　UXデザイン基礎入門</v>
      </c>
    </row>
    <row r="9861">
      <c r="A9861" s="140" t="str">
        <f>IFERROR(__xludf.DUMMYFUNCTION("""COMPUTED_VALUE"""),"en")</f>
        <v>en</v>
      </c>
      <c r="B9861">
        <f>IFERROR(__xludf.DUMMYFUNCTION("""COMPUTED_VALUE"""),2840404.0)</f>
        <v>2840404</v>
      </c>
      <c r="C9861" t="str">
        <f>IFERROR(__xludf.DUMMYFUNCTION("""COMPUTED_VALUE"""),"Executive Briefing: Natural Language Processing (NLP)")</f>
        <v>Executive Briefing: Natural Language Processing (NLP)</v>
      </c>
    </row>
    <row r="9862">
      <c r="A9862" s="140" t="str">
        <f>IFERROR(__xludf.DUMMYFUNCTION("""COMPUTED_VALUE"""),"en")</f>
        <v>en</v>
      </c>
      <c r="B9862">
        <f>IFERROR(__xludf.DUMMYFUNCTION("""COMPUTED_VALUE"""),1233778.0)</f>
        <v>1233778</v>
      </c>
      <c r="C9862" t="str">
        <f>IFERROR(__xludf.DUMMYFUNCTION("""COMPUTED_VALUE"""),"Relationship Management in Corporate Banking")</f>
        <v>Relationship Management in Corporate Banking</v>
      </c>
    </row>
    <row r="9863">
      <c r="A9863" s="140" t="str">
        <f>IFERROR(__xludf.DUMMYFUNCTION("""COMPUTED_VALUE"""),"ja")</f>
        <v>ja</v>
      </c>
      <c r="B9863">
        <f>IFERROR(__xludf.DUMMYFUNCTION("""COMPUTED_VALUE"""),2824251.0)</f>
        <v>2824251</v>
      </c>
      <c r="C9863" t="str">
        <f>IFERROR(__xludf.DUMMYFUNCTION("""COMPUTED_VALUE"""),"現役シリコンバレーエンジニアが教えるアジャイル開発")</f>
        <v>現役シリコンバレーエンジニアが教えるアジャイル開発</v>
      </c>
    </row>
    <row r="9864">
      <c r="A9864" s="140" t="str">
        <f>IFERROR(__xludf.DUMMYFUNCTION("""COMPUTED_VALUE"""),"en")</f>
        <v>en</v>
      </c>
      <c r="B9864">
        <f>IFERROR(__xludf.DUMMYFUNCTION("""COMPUTED_VALUE"""),1166706.0)</f>
        <v>1166706</v>
      </c>
      <c r="C9864" t="str">
        <f>IFERROR(__xludf.DUMMYFUNCTION("""COMPUTED_VALUE"""),"OBIEE 12c Essential Course")</f>
        <v>OBIEE 12c Essential Course</v>
      </c>
    </row>
    <row r="9865">
      <c r="A9865" s="140" t="str">
        <f>IFERROR(__xludf.DUMMYFUNCTION("""COMPUTED_VALUE"""),"zh")</f>
        <v>zh</v>
      </c>
      <c r="B9865">
        <f>IFERROR(__xludf.DUMMYFUNCTION("""COMPUTED_VALUE"""),2452606.0)</f>
        <v>2452606</v>
      </c>
      <c r="C9865" t="str">
        <f>IFERROR(__xludf.DUMMYFUNCTION("""COMPUTED_VALUE"""),"MBA完整商业课程(MBA in a Box in Chinese)")</f>
        <v>MBA完整商业课程(MBA in a Box in Chinese)</v>
      </c>
    </row>
    <row r="9866">
      <c r="A9866" s="140" t="str">
        <f>IFERROR(__xludf.DUMMYFUNCTION("""COMPUTED_VALUE"""),"en")</f>
        <v>en</v>
      </c>
      <c r="B9866">
        <f>IFERROR(__xludf.DUMMYFUNCTION("""COMPUTED_VALUE"""),2216622.0)</f>
        <v>2216622</v>
      </c>
      <c r="C9866" t="str">
        <f>IFERROR(__xludf.DUMMYFUNCTION("""COMPUTED_VALUE"""),"MTA 98-361 Software Development Fundamentals C# Exam Prep")</f>
        <v>MTA 98-361 Software Development Fundamentals C# Exam Prep</v>
      </c>
    </row>
    <row r="9867">
      <c r="A9867" s="140" t="str">
        <f>IFERROR(__xludf.DUMMYFUNCTION("""COMPUTED_VALUE"""),"pt")</f>
        <v>pt</v>
      </c>
      <c r="B9867">
        <f>IFERROR(__xludf.DUMMYFUNCTION("""COMPUTED_VALUE"""),2110372.0)</f>
        <v>2110372</v>
      </c>
      <c r="C9867" t="str">
        <f>IFERROR(__xludf.DUMMYFUNCTION("""COMPUTED_VALUE"""),"DevOps e Scrum com o novo Azure passo á passo na prática")</f>
        <v>DevOps e Scrum com o novo Azure passo á passo na prática</v>
      </c>
    </row>
    <row r="9868">
      <c r="A9868" s="140" t="str">
        <f>IFERROR(__xludf.DUMMYFUNCTION("""COMPUTED_VALUE"""),"ja")</f>
        <v>ja</v>
      </c>
      <c r="B9868">
        <f>IFERROR(__xludf.DUMMYFUNCTION("""COMPUTED_VALUE"""),3354034.0)</f>
        <v>3354034</v>
      </c>
      <c r="C9868" t="str">
        <f>IFERROR(__xludf.DUMMYFUNCTION("""COMPUTED_VALUE"""),"これなら絶対理解できる！挫折させないJavaプログラミング講座～オブジェクト指向編～")</f>
        <v>これなら絶対理解できる！挫折させないJavaプログラミング講座～オブジェクト指向編～</v>
      </c>
    </row>
    <row r="9869">
      <c r="A9869" s="140" t="str">
        <f>IFERROR(__xludf.DUMMYFUNCTION("""COMPUTED_VALUE"""),"en")</f>
        <v>en</v>
      </c>
      <c r="B9869">
        <f>IFERROR(__xludf.DUMMYFUNCTION("""COMPUTED_VALUE"""),2302354.0)</f>
        <v>2302354</v>
      </c>
      <c r="C9869" t="str">
        <f>IFERROR(__xludf.DUMMYFUNCTION("""COMPUTED_VALUE"""),"The Blender 2.8 Encyclopedia")</f>
        <v>The Blender 2.8 Encyclopedia</v>
      </c>
    </row>
    <row r="9870">
      <c r="A9870" s="140" t="str">
        <f>IFERROR(__xludf.DUMMYFUNCTION("""COMPUTED_VALUE"""),"zh")</f>
        <v>zh</v>
      </c>
      <c r="B9870">
        <f>IFERROR(__xludf.DUMMYFUNCTION("""COMPUTED_VALUE"""),2441240.0)</f>
        <v>2441240</v>
      </c>
      <c r="C9870" t="str">
        <f>IFERROR(__xludf.DUMMYFUNCTION("""COMPUTED_VALUE"""),"Web全栈架构师-----Node.js全栈开发")</f>
        <v>Web全栈架构师-----Node.js全栈开发</v>
      </c>
    </row>
    <row r="9871">
      <c r="A9871" s="140" t="str">
        <f>IFERROR(__xludf.DUMMYFUNCTION("""COMPUTED_VALUE"""),"en")</f>
        <v>en</v>
      </c>
      <c r="B9871">
        <f>IFERROR(__xludf.DUMMYFUNCTION("""COMPUTED_VALUE"""),470406.0)</f>
        <v>470406</v>
      </c>
      <c r="C9871" t="str">
        <f>IFERROR(__xludf.DUMMYFUNCTION("""COMPUTED_VALUE"""),"PL/SQL by Example - Beginner to Advanced PL/SQL")</f>
        <v>PL/SQL by Example - Beginner to Advanced PL/SQL</v>
      </c>
    </row>
    <row r="9872">
      <c r="A9872" s="140" t="str">
        <f>IFERROR(__xludf.DUMMYFUNCTION("""COMPUTED_VALUE"""),"en")</f>
        <v>en</v>
      </c>
      <c r="B9872">
        <f>IFERROR(__xludf.DUMMYFUNCTION("""COMPUTED_VALUE"""),985922.0)</f>
        <v>985922</v>
      </c>
      <c r="C9872" t="str">
        <f>IFERROR(__xludf.DUMMYFUNCTION("""COMPUTED_VALUE"""),"Excel Crash Course: Master Excel for Financial Analysis")</f>
        <v>Excel Crash Course: Master Excel for Financial Analysis</v>
      </c>
    </row>
    <row r="9873">
      <c r="A9873" s="140" t="str">
        <f>IFERROR(__xludf.DUMMYFUNCTION("""COMPUTED_VALUE"""),"ko")</f>
        <v>ko</v>
      </c>
      <c r="B9873">
        <f>IFERROR(__xludf.DUMMYFUNCTION("""COMPUTED_VALUE"""),4273456.0)</f>
        <v>4273456</v>
      </c>
      <c r="C9873" t="str">
        <f>IFERROR(__xludf.DUMMYFUNCTION("""COMPUTED_VALUE"""),"처음 도전하는 중국어 [입문]")</f>
        <v>처음 도전하는 중국어 [입문]</v>
      </c>
    </row>
    <row r="9874">
      <c r="A9874" s="140" t="str">
        <f>IFERROR(__xludf.DUMMYFUNCTION("""COMPUTED_VALUE"""),"en")</f>
        <v>en</v>
      </c>
      <c r="B9874">
        <f>IFERROR(__xludf.DUMMYFUNCTION("""COMPUTED_VALUE"""),2855324.0)</f>
        <v>2855324</v>
      </c>
      <c r="C9874" t="str">
        <f>IFERROR(__xludf.DUMMYFUNCTION("""COMPUTED_VALUE"""),"International Keyword Research for Translators")</f>
        <v>International Keyword Research for Translators</v>
      </c>
    </row>
    <row r="9875">
      <c r="A9875" s="140" t="str">
        <f>IFERROR(__xludf.DUMMYFUNCTION("""COMPUTED_VALUE"""),"en")</f>
        <v>en</v>
      </c>
      <c r="B9875">
        <f>IFERROR(__xludf.DUMMYFUNCTION("""COMPUTED_VALUE"""),227592.0)</f>
        <v>227592</v>
      </c>
      <c r="C9875" t="str">
        <f>IFERROR(__xludf.DUMMYFUNCTION("""COMPUTED_VALUE"""),"Global Environmental Problems: Surveying the Human Footprint")</f>
        <v>Global Environmental Problems: Surveying the Human Footprint</v>
      </c>
    </row>
    <row r="9876">
      <c r="A9876" s="140" t="str">
        <f>IFERROR(__xludf.DUMMYFUNCTION("""COMPUTED_VALUE"""),"en")</f>
        <v>en</v>
      </c>
      <c r="B9876">
        <f>IFERROR(__xludf.DUMMYFUNCTION("""COMPUTED_VALUE"""),1460800.0)</f>
        <v>1460800</v>
      </c>
      <c r="C9876" t="str">
        <f>IFERROR(__xludf.DUMMYFUNCTION("""COMPUTED_VALUE"""),"How to Create Animated Videos with Powerpoint")</f>
        <v>How to Create Animated Videos with Powerpoint</v>
      </c>
    </row>
    <row r="9877">
      <c r="A9877" s="140" t="str">
        <f>IFERROR(__xludf.DUMMYFUNCTION("""COMPUTED_VALUE"""),"en")</f>
        <v>en</v>
      </c>
      <c r="B9877">
        <f>IFERROR(__xludf.DUMMYFUNCTION("""COMPUTED_VALUE"""),1138374.0)</f>
        <v>1138374</v>
      </c>
      <c r="C9877" t="str">
        <f>IFERROR(__xludf.DUMMYFUNCTION("""COMPUTED_VALUE"""),"REST API Automation:REST Assured,Serenity BDD Framework")</f>
        <v>REST API Automation:REST Assured,Serenity BDD Framework</v>
      </c>
    </row>
    <row r="9878">
      <c r="A9878" s="140" t="str">
        <f>IFERROR(__xludf.DUMMYFUNCTION("""COMPUTED_VALUE"""),"en")</f>
        <v>en</v>
      </c>
      <c r="B9878">
        <f>IFERROR(__xludf.DUMMYFUNCTION("""COMPUTED_VALUE"""),889438.0)</f>
        <v>889438</v>
      </c>
      <c r="C9878" t="str">
        <f>IFERROR(__xludf.DUMMYFUNCTION("""COMPUTED_VALUE"""),"ChatBots: Messenger ChatBot - DialogFlow and nodejs")</f>
        <v>ChatBots: Messenger ChatBot - DialogFlow and nodejs</v>
      </c>
    </row>
    <row r="9879">
      <c r="A9879" s="140" t="str">
        <f>IFERROR(__xludf.DUMMYFUNCTION("""COMPUTED_VALUE"""),"ja")</f>
        <v>ja</v>
      </c>
      <c r="B9879">
        <f>IFERROR(__xludf.DUMMYFUNCTION("""COMPUTED_VALUE"""),2547741.0)</f>
        <v>2547741</v>
      </c>
      <c r="C9879" t="str">
        <f>IFERROR(__xludf.DUMMYFUNCTION("""COMPUTED_VALUE"""),"【夢月流】PythonでExcel操作自由自在～OpenPyXLの使い方～")</f>
        <v>【夢月流】PythonでExcel操作自由自在～OpenPyXLの使い方～</v>
      </c>
    </row>
    <row r="9880">
      <c r="A9880" s="140" t="str">
        <f>IFERROR(__xludf.DUMMYFUNCTION("""COMPUTED_VALUE"""),"fr")</f>
        <v>fr</v>
      </c>
      <c r="B9880">
        <f>IFERROR(__xludf.DUMMYFUNCTION("""COMPUTED_VALUE"""),1348478.0)</f>
        <v>1348478</v>
      </c>
      <c r="C9880" t="str">
        <f>IFERROR(__xludf.DUMMYFUNCTION("""COMPUTED_VALUE"""),"Maîtriser le montage Vidéo avec Adobe Première CC")</f>
        <v>Maîtriser le montage Vidéo avec Adobe Première CC</v>
      </c>
    </row>
    <row r="9881">
      <c r="A9881" s="140" t="str">
        <f>IFERROR(__xludf.DUMMYFUNCTION("""COMPUTED_VALUE"""),"en")</f>
        <v>en</v>
      </c>
      <c r="B9881">
        <f>IFERROR(__xludf.DUMMYFUNCTION("""COMPUTED_VALUE"""),2546045.0)</f>
        <v>2546045</v>
      </c>
      <c r="C9881" t="str">
        <f>IFERROR(__xludf.DUMMYFUNCTION("""COMPUTED_VALUE"""),"Master CI/CD for iOS Developers")</f>
        <v>Master CI/CD for iOS Developers</v>
      </c>
    </row>
    <row r="9882">
      <c r="A9882" s="140" t="str">
        <f>IFERROR(__xludf.DUMMYFUNCTION("""COMPUTED_VALUE"""),"en")</f>
        <v>en</v>
      </c>
      <c r="B9882">
        <f>IFERROR(__xludf.DUMMYFUNCTION("""COMPUTED_VALUE"""),706086.0)</f>
        <v>706086</v>
      </c>
      <c r="C9882" t="str">
        <f>IFERROR(__xludf.DUMMYFUNCTION("""COMPUTED_VALUE"""),"Electronics - for Complete Beginners")</f>
        <v>Electronics - for Complete Beginners</v>
      </c>
    </row>
    <row r="9883">
      <c r="A9883" s="140" t="str">
        <f>IFERROR(__xludf.DUMMYFUNCTION("""COMPUTED_VALUE"""),"tr")</f>
        <v>tr</v>
      </c>
      <c r="B9883">
        <f>IFERROR(__xludf.DUMMYFUNCTION("""COMPUTED_VALUE"""),3659354.0)</f>
        <v>3659354</v>
      </c>
      <c r="C9883" t="str">
        <f>IFERROR(__xludf.DUMMYFUNCTION("""COMPUTED_VALUE"""),"UzmanExcel ile Sıfırdan Zirveye VBA &amp; Makro Eğitimi")</f>
        <v>UzmanExcel ile Sıfırdan Zirveye VBA &amp; Makro Eğitimi</v>
      </c>
    </row>
    <row r="9884">
      <c r="A9884" s="140" t="str">
        <f>IFERROR(__xludf.DUMMYFUNCTION("""COMPUTED_VALUE"""),"en")</f>
        <v>en</v>
      </c>
      <c r="B9884">
        <f>IFERROR(__xludf.DUMMYFUNCTION("""COMPUTED_VALUE"""),802578.0)</f>
        <v>802578</v>
      </c>
      <c r="C9884" t="str">
        <f>IFERROR(__xludf.DUMMYFUNCTION("""COMPUTED_VALUE"""),"AZ-303 Azure Architecture Technologies Exam Prep 2021")</f>
        <v>AZ-303 Azure Architecture Technologies Exam Prep 2021</v>
      </c>
    </row>
    <row r="9885">
      <c r="A9885" s="140" t="str">
        <f>IFERROR(__xludf.DUMMYFUNCTION("""COMPUTED_VALUE"""),"en")</f>
        <v>en</v>
      </c>
      <c r="B9885">
        <f>IFERROR(__xludf.DUMMYFUNCTION("""COMPUTED_VALUE"""),2837620.0)</f>
        <v>2837620</v>
      </c>
      <c r="C9885" t="str">
        <f>IFERROR(__xludf.DUMMYFUNCTION("""COMPUTED_VALUE"""),"Practice Exams | Oracle Database SQL 1Z0-071")</f>
        <v>Practice Exams | Oracle Database SQL 1Z0-071</v>
      </c>
    </row>
    <row r="9886">
      <c r="A9886" s="140" t="str">
        <f>IFERROR(__xludf.DUMMYFUNCTION("""COMPUTED_VALUE"""),"de")</f>
        <v>de</v>
      </c>
      <c r="B9886">
        <f>IFERROR(__xludf.DUMMYFUNCTION("""COMPUTED_VALUE"""),543036.0)</f>
        <v>543036</v>
      </c>
      <c r="C9886" t="str">
        <f>IFERROR(__xludf.DUMMYFUNCTION("""COMPUTED_VALUE"""),"Canva für Nicht-Designer:  Ansprechende Grafiken erstellen")</f>
        <v>Canva für Nicht-Designer:  Ansprechende Grafiken erstellen</v>
      </c>
    </row>
    <row r="9887">
      <c r="A9887" s="140" t="str">
        <f>IFERROR(__xludf.DUMMYFUNCTION("""COMPUTED_VALUE"""),"en")</f>
        <v>en</v>
      </c>
      <c r="B9887">
        <f>IFERROR(__xludf.DUMMYFUNCTION("""COMPUTED_VALUE"""),4359778.0)</f>
        <v>4359778</v>
      </c>
      <c r="C9887" t="str">
        <f>IFERROR(__xludf.DUMMYFUNCTION("""COMPUTED_VALUE"""),"Pixel Art Fundamentals - Introduction to 2D Game Pixel Art")</f>
        <v>Pixel Art Fundamentals - Introduction to 2D Game Pixel Art</v>
      </c>
    </row>
    <row r="9888">
      <c r="A9888" s="140" t="str">
        <f>IFERROR(__xludf.DUMMYFUNCTION("""COMPUTED_VALUE"""),"tr")</f>
        <v>tr</v>
      </c>
      <c r="B9888">
        <f>IFERROR(__xludf.DUMMYFUNCTION("""COMPUTED_VALUE"""),2023724.0)</f>
        <v>2023724</v>
      </c>
      <c r="C9888" t="str">
        <f>IFERROR(__xludf.DUMMYFUNCTION("""COMPUTED_VALUE"""),"Nmap İle Ağ Keşfi-En Çok Kullanılan Etik Hacking Aracı")</f>
        <v>Nmap İle Ağ Keşfi-En Çok Kullanılan Etik Hacking Aracı</v>
      </c>
    </row>
    <row r="9889">
      <c r="A9889" s="140" t="str">
        <f>IFERROR(__xludf.DUMMYFUNCTION("""COMPUTED_VALUE"""),"de")</f>
        <v>de</v>
      </c>
      <c r="B9889">
        <f>IFERROR(__xludf.DUMMYFUNCTION("""COMPUTED_VALUE"""),894688.0)</f>
        <v>894688</v>
      </c>
      <c r="C9889" t="str">
        <f>IFERROR(__xludf.DUMMYFUNCTION("""COMPUTED_VALUE"""),"Der eigene Server mit Ubuntu Server 16.04")</f>
        <v>Der eigene Server mit Ubuntu Server 16.04</v>
      </c>
    </row>
    <row r="9890">
      <c r="A9890" s="140" t="str">
        <f>IFERROR(__xludf.DUMMYFUNCTION("""COMPUTED_VALUE"""),"ja")</f>
        <v>ja</v>
      </c>
      <c r="B9890">
        <f>IFERROR(__xludf.DUMMYFUNCTION("""COMPUTED_VALUE"""),1518132.0)</f>
        <v>1518132</v>
      </c>
      <c r="C9890" t="str">
        <f>IFERROR(__xludf.DUMMYFUNCTION("""COMPUTED_VALUE"""),"【PythonとStanで学ぶ】仕組みが分かるベイズ統計学入門")</f>
        <v>【PythonとStanで学ぶ】仕組みが分かるベイズ統計学入門</v>
      </c>
    </row>
    <row r="9891">
      <c r="A9891" s="140" t="str">
        <f>IFERROR(__xludf.DUMMYFUNCTION("""COMPUTED_VALUE"""),"pt")</f>
        <v>pt</v>
      </c>
      <c r="B9891">
        <f>IFERROR(__xludf.DUMMYFUNCTION("""COMPUTED_VALUE"""),1733318.0)</f>
        <v>1733318</v>
      </c>
      <c r="C9891" t="str">
        <f>IFERROR(__xludf.DUMMYFUNCTION("""COMPUTED_VALUE"""),"No dia a dia da empresa com o Office 365")</f>
        <v>No dia a dia da empresa com o Office 365</v>
      </c>
    </row>
    <row r="9892">
      <c r="A9892" s="140" t="str">
        <f>IFERROR(__xludf.DUMMYFUNCTION("""COMPUTED_VALUE"""),"en")</f>
        <v>en</v>
      </c>
      <c r="B9892">
        <f>IFERROR(__xludf.DUMMYFUNCTION("""COMPUTED_VALUE"""),817764.0)</f>
        <v>817764</v>
      </c>
      <c r="C9892" t="str">
        <f>IFERROR(__xludf.DUMMYFUNCTION("""COMPUTED_VALUE"""),"From Excel to Power BI")</f>
        <v>From Excel to Power BI</v>
      </c>
    </row>
    <row r="9893">
      <c r="A9893" s="140" t="str">
        <f>IFERROR(__xludf.DUMMYFUNCTION("""COMPUTED_VALUE"""),"en")</f>
        <v>en</v>
      </c>
      <c r="B9893">
        <f>IFERROR(__xludf.DUMMYFUNCTION("""COMPUTED_VALUE"""),516460.0)</f>
        <v>516460</v>
      </c>
      <c r="C9893" t="str">
        <f>IFERROR(__xludf.DUMMYFUNCTION("""COMPUTED_VALUE"""),"Fiverr Freelancing 2021: Sell Fiverr Gigs Like The Top 1%")</f>
        <v>Fiverr Freelancing 2021: Sell Fiverr Gigs Like The Top 1%</v>
      </c>
    </row>
    <row r="9894">
      <c r="A9894" s="140" t="str">
        <f>IFERROR(__xludf.DUMMYFUNCTION("""COMPUTED_VALUE"""),"en")</f>
        <v>en</v>
      </c>
      <c r="B9894">
        <f>IFERROR(__xludf.DUMMYFUNCTION("""COMPUTED_VALUE"""),3731374.0)</f>
        <v>3731374</v>
      </c>
      <c r="C9894" t="str">
        <f>IFERROR(__xludf.DUMMYFUNCTION("""COMPUTED_VALUE"""),"SoftwareAG webMethods 10.x Development Practice Demo Videos")</f>
        <v>SoftwareAG webMethods 10.x Development Practice Demo Videos</v>
      </c>
    </row>
    <row r="9895">
      <c r="A9895" s="140" t="str">
        <f>IFERROR(__xludf.DUMMYFUNCTION("""COMPUTED_VALUE"""),"en")</f>
        <v>en</v>
      </c>
      <c r="B9895">
        <f>IFERROR(__xludf.DUMMYFUNCTION("""COMPUTED_VALUE"""),1172996.0)</f>
        <v>1172996</v>
      </c>
      <c r="C9895" t="str">
        <f>IFERROR(__xludf.DUMMYFUNCTION("""COMPUTED_VALUE"""),"React Native: Advanced Concepts")</f>
        <v>React Native: Advanced Concepts</v>
      </c>
    </row>
    <row r="9896">
      <c r="A9896" s="140" t="str">
        <f>IFERROR(__xludf.DUMMYFUNCTION("""COMPUTED_VALUE"""),"en")</f>
        <v>en</v>
      </c>
      <c r="B9896">
        <f>IFERROR(__xludf.DUMMYFUNCTION("""COMPUTED_VALUE"""),825972.0)</f>
        <v>825972</v>
      </c>
      <c r="C9896" t="str">
        <f>IFERROR(__xludf.DUMMYFUNCTION("""COMPUTED_VALUE"""),"Learn By Example: Hadoop, MapReduce for Big Data problems")</f>
        <v>Learn By Example: Hadoop, MapReduce for Big Data problems</v>
      </c>
    </row>
    <row r="9897">
      <c r="A9897" s="140" t="str">
        <f>IFERROR(__xludf.DUMMYFUNCTION("""COMPUTED_VALUE"""),"es")</f>
        <v>es</v>
      </c>
      <c r="B9897">
        <f>IFERROR(__xludf.DUMMYFUNCTION("""COMPUTED_VALUE"""),996572.0)</f>
        <v>996572</v>
      </c>
      <c r="C9897" t="str">
        <f>IFERROR(__xludf.DUMMYFUNCTION("""COMPUTED_VALUE"""),"Crea Sitios Joomla Extraordinarios para Empresas con Gantry")</f>
        <v>Crea Sitios Joomla Extraordinarios para Empresas con Gantry</v>
      </c>
    </row>
    <row r="9898">
      <c r="A9898" s="140" t="str">
        <f>IFERROR(__xludf.DUMMYFUNCTION("""COMPUTED_VALUE"""),"en")</f>
        <v>en</v>
      </c>
      <c r="B9898">
        <f>IFERROR(__xludf.DUMMYFUNCTION("""COMPUTED_VALUE"""),441044.0)</f>
        <v>441044</v>
      </c>
      <c r="C9898" t="str">
        <f>IFERROR(__xludf.DUMMYFUNCTION("""COMPUTED_VALUE"""),"CCIE Routing &amp; Switching Version 5.0 - IGP")</f>
        <v>CCIE Routing &amp; Switching Version 5.0 - IGP</v>
      </c>
    </row>
    <row r="9899">
      <c r="A9899" s="140" t="str">
        <f>IFERROR(__xludf.DUMMYFUNCTION("""COMPUTED_VALUE"""),"de")</f>
        <v>de</v>
      </c>
      <c r="B9899">
        <f>IFERROR(__xludf.DUMMYFUNCTION("""COMPUTED_VALUE"""),1757704.0)</f>
        <v>1757704</v>
      </c>
      <c r="C9899" t="str">
        <f>IFERROR(__xludf.DUMMYFUNCTION("""COMPUTED_VALUE"""),"Die Instagram Marketing Masterclass: Lerne alles von A-Z")</f>
        <v>Die Instagram Marketing Masterclass: Lerne alles von A-Z</v>
      </c>
    </row>
    <row r="9900">
      <c r="A9900" s="140" t="str">
        <f>IFERROR(__xludf.DUMMYFUNCTION("""COMPUTED_VALUE"""),"fr")</f>
        <v>fr</v>
      </c>
      <c r="B9900">
        <f>IFERROR(__xludf.DUMMYFUNCTION("""COMPUTED_VALUE"""),1012008.0)</f>
        <v>1012008</v>
      </c>
      <c r="C9900" t="str">
        <f>IFERROR(__xludf.DUMMYFUNCTION("""COMPUTED_VALUE"""),"Gestion du stress et des émotions")</f>
        <v>Gestion du stress et des émotions</v>
      </c>
    </row>
    <row r="9901">
      <c r="A9901" s="140" t="str">
        <f>IFERROR(__xludf.DUMMYFUNCTION("""COMPUTED_VALUE"""),"en")</f>
        <v>en</v>
      </c>
      <c r="B9901">
        <f>IFERROR(__xludf.DUMMYFUNCTION("""COMPUTED_VALUE"""),994186.0)</f>
        <v>994186</v>
      </c>
      <c r="C9901" t="str">
        <f>IFERROR(__xludf.DUMMYFUNCTION("""COMPUTED_VALUE"""),"The Complete MacOS Developer Course - Apps for the Desktop!")</f>
        <v>The Complete MacOS Developer Course - Apps for the Desktop!</v>
      </c>
    </row>
    <row r="9902">
      <c r="A9902" s="140" t="str">
        <f>IFERROR(__xludf.DUMMYFUNCTION("""COMPUTED_VALUE"""),"tr")</f>
        <v>tr</v>
      </c>
      <c r="B9902">
        <f>IFERROR(__xludf.DUMMYFUNCTION("""COMPUTED_VALUE"""),2395402.0)</f>
        <v>2395402</v>
      </c>
      <c r="C9902" t="str">
        <f>IFERROR(__xludf.DUMMYFUNCTION("""COMPUTED_VALUE"""),"Girişimcilik-İş Geliştirme ve Dijital Pazarlama Eğitimi")</f>
        <v>Girişimcilik-İş Geliştirme ve Dijital Pazarlama Eğitimi</v>
      </c>
    </row>
    <row r="9903">
      <c r="A9903" s="140" t="str">
        <f>IFERROR(__xludf.DUMMYFUNCTION("""COMPUTED_VALUE"""),"en")</f>
        <v>en</v>
      </c>
      <c r="B9903">
        <f>IFERROR(__xludf.DUMMYFUNCTION("""COMPUTED_VALUE"""),1656228.0)</f>
        <v>1656228</v>
      </c>
      <c r="C9903" t="str">
        <f>IFERROR(__xludf.DUMMYFUNCTION("""COMPUTED_VALUE"""),"Java Multithreading, Concurrency &amp; Performance Optimization")</f>
        <v>Java Multithreading, Concurrency &amp; Performance Optimization</v>
      </c>
    </row>
    <row r="9904">
      <c r="A9904" s="140" t="str">
        <f>IFERROR(__xludf.DUMMYFUNCTION("""COMPUTED_VALUE"""),"pt")</f>
        <v>pt</v>
      </c>
      <c r="B9904">
        <f>IFERROR(__xludf.DUMMYFUNCTION("""COMPUTED_VALUE"""),856486.0)</f>
        <v>856486</v>
      </c>
      <c r="C9904" t="str">
        <f>IFERROR(__xludf.DUMMYFUNCTION("""COMPUTED_VALUE"""),"Fundamentos do Scrum + Certificação Scrum Fundamentals (SFC)")</f>
        <v>Fundamentos do Scrum + Certificação Scrum Fundamentals (SFC)</v>
      </c>
    </row>
    <row r="9905">
      <c r="A9905" s="140" t="str">
        <f>IFERROR(__xludf.DUMMYFUNCTION("""COMPUTED_VALUE"""),"de")</f>
        <v>de</v>
      </c>
      <c r="B9905">
        <f>IFERROR(__xludf.DUMMYFUNCTION("""COMPUTED_VALUE"""),614926.0)</f>
        <v>614926</v>
      </c>
      <c r="C9905" t="str">
        <f>IFERROR(__xludf.DUMMYFUNCTION("""COMPUTED_VALUE"""),"Responsive Websites mit Dreamweaver und Bootstrap")</f>
        <v>Responsive Websites mit Dreamweaver und Bootstrap</v>
      </c>
    </row>
    <row r="9906">
      <c r="A9906" s="140" t="str">
        <f>IFERROR(__xludf.DUMMYFUNCTION("""COMPUTED_VALUE"""),"es")</f>
        <v>es</v>
      </c>
      <c r="B9906">
        <f>IFERROR(__xludf.DUMMYFUNCTION("""COMPUTED_VALUE"""),1285458.0)</f>
        <v>1285458</v>
      </c>
      <c r="C9906" t="str">
        <f>IFERROR(__xludf.DUMMYFUNCTION("""COMPUTED_VALUE"""),"Substance Painter: Texturizado PBR para videojuegos.")</f>
        <v>Substance Painter: Texturizado PBR para videojuegos.</v>
      </c>
    </row>
    <row r="9907">
      <c r="A9907" s="140" t="str">
        <f>IFERROR(__xludf.DUMMYFUNCTION("""COMPUTED_VALUE"""),"es")</f>
        <v>es</v>
      </c>
      <c r="B9907">
        <f>IFERROR(__xludf.DUMMYFUNCTION("""COMPUTED_VALUE"""),2432892.0)</f>
        <v>2432892</v>
      </c>
      <c r="C9907" t="str">
        <f>IFERROR(__xludf.DUMMYFUNCTION("""COMPUTED_VALUE"""),"Máster en Seguridad Informática. Curso completo de Hacking.")</f>
        <v>Máster en Seguridad Informática. Curso completo de Hacking.</v>
      </c>
    </row>
    <row r="9908">
      <c r="A9908" s="140" t="str">
        <f>IFERROR(__xludf.DUMMYFUNCTION("""COMPUTED_VALUE"""),"pt")</f>
        <v>pt</v>
      </c>
      <c r="B9908">
        <f>IFERROR(__xludf.DUMMYFUNCTION("""COMPUTED_VALUE"""),1753902.0)</f>
        <v>1753902</v>
      </c>
      <c r="C9908" t="str">
        <f>IFERROR(__xludf.DUMMYFUNCTION("""COMPUTED_VALUE"""),"Análise de Requisitos de Software com Histórias de Usuários")</f>
        <v>Análise de Requisitos de Software com Histórias de Usuários</v>
      </c>
    </row>
    <row r="9909">
      <c r="A9909" s="140" t="str">
        <f>IFERROR(__xludf.DUMMYFUNCTION("""COMPUTED_VALUE"""),"de")</f>
        <v>de</v>
      </c>
      <c r="B9909">
        <f>IFERROR(__xludf.DUMMYFUNCTION("""COMPUTED_VALUE"""),1603282.0)</f>
        <v>1603282</v>
      </c>
      <c r="C9909" t="str">
        <f>IFERROR(__xludf.DUMMYFUNCTION("""COMPUTED_VALUE"""),"30 Facebook Marketing Hacks: Der Komplette Facebook Kurs")</f>
        <v>30 Facebook Marketing Hacks: Der Komplette Facebook Kurs</v>
      </c>
    </row>
    <row r="9910">
      <c r="A9910" s="140" t="str">
        <f>IFERROR(__xludf.DUMMYFUNCTION("""COMPUTED_VALUE"""),"en")</f>
        <v>en</v>
      </c>
      <c r="B9910">
        <f>IFERROR(__xludf.DUMMYFUNCTION("""COMPUTED_VALUE"""),2095410.0)</f>
        <v>2095410</v>
      </c>
      <c r="C9910" t="str">
        <f>IFERROR(__xludf.DUMMYFUNCTION("""COMPUTED_VALUE"""),"Python + SQL + Tableau: Integrating Python, SQL, and Tableau")</f>
        <v>Python + SQL + Tableau: Integrating Python, SQL, and Tableau</v>
      </c>
    </row>
    <row r="9911">
      <c r="A9911" s="140" t="str">
        <f>IFERROR(__xludf.DUMMYFUNCTION("""COMPUTED_VALUE"""),"es")</f>
        <v>es</v>
      </c>
      <c r="B9911">
        <f>IFERROR(__xludf.DUMMYFUNCTION("""COMPUTED_VALUE"""),3890878.0)</f>
        <v>3890878</v>
      </c>
      <c r="C9911" t="str">
        <f>IFERROR(__xludf.DUMMYFUNCTION("""COMPUTED_VALUE"""),"Curso Práctico de QT con Python: Aplicaciones de Escritorio")</f>
        <v>Curso Práctico de QT con Python: Aplicaciones de Escritorio</v>
      </c>
    </row>
    <row r="9912">
      <c r="A9912" s="140" t="str">
        <f>IFERROR(__xludf.DUMMYFUNCTION("""COMPUTED_VALUE"""),"ja")</f>
        <v>ja</v>
      </c>
      <c r="B9912">
        <f>IFERROR(__xludf.DUMMYFUNCTION("""COMPUTED_VALUE"""),2631390.0)</f>
        <v>2631390</v>
      </c>
      <c r="C9912" t="str">
        <f>IFERROR(__xludf.DUMMYFUNCTION("""COMPUTED_VALUE"""),"ビジネスパーソンに贈る業務効率化大全 〜Google Apps Scriptによる業務の自動化〜")</f>
        <v>ビジネスパーソンに贈る業務効率化大全 〜Google Apps Scriptによる業務の自動化〜</v>
      </c>
    </row>
    <row r="9913">
      <c r="A9913" s="140" t="str">
        <f>IFERROR(__xludf.DUMMYFUNCTION("""COMPUTED_VALUE"""),"es")</f>
        <v>es</v>
      </c>
      <c r="B9913">
        <f>IFERROR(__xludf.DUMMYFUNCTION("""COMPUTED_VALUE"""),1117281.0)</f>
        <v>1117281</v>
      </c>
      <c r="C9913" t="str">
        <f>IFERROR(__xludf.DUMMYFUNCTION("""COMPUTED_VALUE"""),"Modela en 3D con SketchUp Pro. 2021 Impartido por Arquitecto")</f>
        <v>Modela en 3D con SketchUp Pro. 2021 Impartido por Arquitecto</v>
      </c>
    </row>
    <row r="9914">
      <c r="A9914" s="140" t="str">
        <f>IFERROR(__xludf.DUMMYFUNCTION("""COMPUTED_VALUE"""),"en")</f>
        <v>en</v>
      </c>
      <c r="B9914">
        <f>IFERROR(__xludf.DUMMYFUNCTION("""COMPUTED_VALUE"""),62109.0)</f>
        <v>62109</v>
      </c>
      <c r="C9914" t="str">
        <f>IFERROR(__xludf.DUMMYFUNCTION("""COMPUTED_VALUE"""),"Computer Forensics Fundamentals")</f>
        <v>Computer Forensics Fundamentals</v>
      </c>
    </row>
    <row r="9915">
      <c r="A9915" s="140" t="str">
        <f>IFERROR(__xludf.DUMMYFUNCTION("""COMPUTED_VALUE"""),"en")</f>
        <v>en</v>
      </c>
      <c r="B9915">
        <f>IFERROR(__xludf.DUMMYFUNCTION("""COMPUTED_VALUE"""),1336872.0)</f>
        <v>1336872</v>
      </c>
      <c r="C9915" t="str">
        <f>IFERROR(__xludf.DUMMYFUNCTION("""COMPUTED_VALUE"""),"NLP Practitioner Training (Neuro-Linguistic Programming)")</f>
        <v>NLP Practitioner Training (Neuro-Linguistic Programming)</v>
      </c>
    </row>
    <row r="9916">
      <c r="A9916" s="140" t="str">
        <f>IFERROR(__xludf.DUMMYFUNCTION("""COMPUTED_VALUE"""),"en")</f>
        <v>en</v>
      </c>
      <c r="B9916">
        <f>IFERROR(__xludf.DUMMYFUNCTION("""COMPUTED_VALUE"""),933048.0)</f>
        <v>933048</v>
      </c>
      <c r="C9916" t="str">
        <f>IFERROR(__xludf.DUMMYFUNCTION("""COMPUTED_VALUE"""),"Goal Setting for Success - How to Set &amp; Achieve SMART Goals")</f>
        <v>Goal Setting for Success - How to Set &amp; Achieve SMART Goals</v>
      </c>
    </row>
    <row r="9917">
      <c r="A9917" s="140" t="str">
        <f>IFERROR(__xludf.DUMMYFUNCTION("""COMPUTED_VALUE"""),"es")</f>
        <v>es</v>
      </c>
      <c r="B9917">
        <f>IFERROR(__xludf.DUMMYFUNCTION("""COMPUTED_VALUE"""),2293615.0)</f>
        <v>2293615</v>
      </c>
      <c r="C9917" t="str">
        <f>IFERROR(__xludf.DUMMYFUNCTION("""COMPUTED_VALUE"""),"Comunicación Avanzada: Escucha Activa, Empatía y Asertividad")</f>
        <v>Comunicación Avanzada: Escucha Activa, Empatía y Asertividad</v>
      </c>
    </row>
    <row r="9918">
      <c r="A9918" s="140" t="str">
        <f>IFERROR(__xludf.DUMMYFUNCTION("""COMPUTED_VALUE"""),"es")</f>
        <v>es</v>
      </c>
      <c r="B9918">
        <f>IFERROR(__xludf.DUMMYFUNCTION("""COMPUTED_VALUE"""),2719386.0)</f>
        <v>2719386</v>
      </c>
      <c r="C9918" t="str">
        <f>IFERROR(__xludf.DUMMYFUNCTION("""COMPUTED_VALUE"""),"Análisis de precios unitarios en edificaciones")</f>
        <v>Análisis de precios unitarios en edificaciones</v>
      </c>
    </row>
    <row r="9919">
      <c r="A9919" s="140" t="str">
        <f>IFERROR(__xludf.DUMMYFUNCTION("""COMPUTED_VALUE"""),"en")</f>
        <v>en</v>
      </c>
      <c r="B9919">
        <f>IFERROR(__xludf.DUMMYFUNCTION("""COMPUTED_VALUE"""),1365482.0)</f>
        <v>1365482</v>
      </c>
      <c r="C9919" t="str">
        <f>IFERROR(__xludf.DUMMYFUNCTION("""COMPUTED_VALUE"""),"Learn MATLAB and Simulink Programming")</f>
        <v>Learn MATLAB and Simulink Programming</v>
      </c>
    </row>
    <row r="9920">
      <c r="A9920" s="140" t="str">
        <f>IFERROR(__xludf.DUMMYFUNCTION("""COMPUTED_VALUE"""),"es")</f>
        <v>es</v>
      </c>
      <c r="B9920">
        <f>IFERROR(__xludf.DUMMYFUNCTION("""COMPUTED_VALUE"""),2440050.0)</f>
        <v>2440050</v>
      </c>
      <c r="C9920" t="str">
        <f>IFERROR(__xludf.DUMMYFUNCTION("""COMPUTED_VALUE"""),"Todo sobre Marketing. Desde las bases al Marketing Digital.")</f>
        <v>Todo sobre Marketing. Desde las bases al Marketing Digital.</v>
      </c>
    </row>
    <row r="9921">
      <c r="A9921" s="140" t="str">
        <f>IFERROR(__xludf.DUMMYFUNCTION("""COMPUTED_VALUE"""),"zh")</f>
        <v>zh</v>
      </c>
      <c r="B9921">
        <f>IFERROR(__xludf.DUMMYFUNCTION("""COMPUTED_VALUE"""),1920226.0)</f>
        <v>1920226</v>
      </c>
      <c r="C9921" t="str">
        <f>IFERROR(__xludf.DUMMYFUNCTION("""COMPUTED_VALUE"""),"Python Web之Django框架：老程序员手把手带您完成一个【网上商城】Web项目")</f>
        <v>Python Web之Django框架：老程序员手把手带您完成一个【网上商城】Web项目</v>
      </c>
    </row>
    <row r="9922">
      <c r="A9922" s="140" t="str">
        <f>IFERROR(__xludf.DUMMYFUNCTION("""COMPUTED_VALUE"""),"en")</f>
        <v>en</v>
      </c>
      <c r="B9922">
        <f>IFERROR(__xludf.DUMMYFUNCTION("""COMPUTED_VALUE"""),332248.0)</f>
        <v>332248</v>
      </c>
      <c r="C9922" t="str">
        <f>IFERROR(__xludf.DUMMYFUNCTION("""COMPUTED_VALUE"""),"Fundamentals of Business Crisis Management")</f>
        <v>Fundamentals of Business Crisis Management</v>
      </c>
    </row>
    <row r="9923">
      <c r="A9923" s="140" t="str">
        <f>IFERROR(__xludf.DUMMYFUNCTION("""COMPUTED_VALUE"""),"en")</f>
        <v>en</v>
      </c>
      <c r="B9923">
        <f>IFERROR(__xludf.DUMMYFUNCTION("""COMPUTED_VALUE"""),2347328.0)</f>
        <v>2347328</v>
      </c>
      <c r="C9923" t="str">
        <f>IFERROR(__xludf.DUMMYFUNCTION("""COMPUTED_VALUE"""),"SAP Intra Company STO process")</f>
        <v>SAP Intra Company STO process</v>
      </c>
    </row>
    <row r="9924">
      <c r="A9924" s="140" t="str">
        <f>IFERROR(__xludf.DUMMYFUNCTION("""COMPUTED_VALUE"""),"ja")</f>
        <v>ja</v>
      </c>
      <c r="B9924">
        <f>IFERROR(__xludf.DUMMYFUNCTION("""COMPUTED_VALUE"""),1398686.0)</f>
        <v>1398686</v>
      </c>
      <c r="C9924" t="str">
        <f>IFERROR(__xludf.DUMMYFUNCTION("""COMPUTED_VALUE"""),"【タイピングソフト付】仕事がガンガン速くなる！タッチタイピング[超入門]10日間マスター講座[touch typing]")</f>
        <v>【タイピングソフト付】仕事がガンガン速くなる！タッチタイピング[超入門]10日間マスター講座[touch typing]</v>
      </c>
    </row>
    <row r="9925">
      <c r="A9925" s="140" t="str">
        <f>IFERROR(__xludf.DUMMYFUNCTION("""COMPUTED_VALUE"""),"ar")</f>
        <v>ar</v>
      </c>
      <c r="B9925">
        <f>IFERROR(__xludf.DUMMYFUNCTION("""COMPUTED_VALUE"""),2150174.0)</f>
        <v>2150174</v>
      </c>
      <c r="C9925" t="str">
        <f>IFERROR(__xludf.DUMMYFUNCTION("""COMPUTED_VALUE"""),"PMP Exam, 6th Edition Course, 42 Hours, 1300 QA, E &amp; ARABIC")</f>
        <v>PMP Exam, 6th Edition Course, 42 Hours, 1300 QA, E &amp; ARABIC</v>
      </c>
    </row>
    <row r="9926">
      <c r="A9926" s="140" t="str">
        <f>IFERROR(__xludf.DUMMYFUNCTION("""COMPUTED_VALUE"""),"en")</f>
        <v>en</v>
      </c>
      <c r="B9926">
        <f>IFERROR(__xludf.DUMMYFUNCTION("""COMPUTED_VALUE"""),2469516.0)</f>
        <v>2469516</v>
      </c>
      <c r="C9926" t="str">
        <f>IFERROR(__xludf.DUMMYFUNCTION("""COMPUTED_VALUE"""),"NEW AWS Certified Solutions Architect Associate 2021 SAA-C02")</f>
        <v>NEW AWS Certified Solutions Architect Associate 2021 SAA-C02</v>
      </c>
    </row>
    <row r="9927">
      <c r="A9927" s="140" t="str">
        <f>IFERROR(__xludf.DUMMYFUNCTION("""COMPUTED_VALUE"""),"en")</f>
        <v>en</v>
      </c>
      <c r="B9927">
        <f>IFERROR(__xludf.DUMMYFUNCTION("""COMPUTED_VALUE"""),860148.0)</f>
        <v>860148</v>
      </c>
      <c r="C9927" t="str">
        <f>IFERROR(__xludf.DUMMYFUNCTION("""COMPUTED_VALUE"""),"R Programming: Advanced Analytics In R For Data Science")</f>
        <v>R Programming: Advanced Analytics In R For Data Science</v>
      </c>
    </row>
    <row r="9928">
      <c r="A9928" s="140" t="str">
        <f>IFERROR(__xludf.DUMMYFUNCTION("""COMPUTED_VALUE"""),"en")</f>
        <v>en</v>
      </c>
      <c r="B9928">
        <f>IFERROR(__xludf.DUMMYFUNCTION("""COMPUTED_VALUE"""),1478388.0)</f>
        <v>1478388</v>
      </c>
      <c r="C9928" t="str">
        <f>IFERROR(__xludf.DUMMYFUNCTION("""COMPUTED_VALUE"""),"Full Stack Web Development with Python and Django Course")</f>
        <v>Full Stack Web Development with Python and Django Course</v>
      </c>
    </row>
    <row r="9929">
      <c r="A9929" s="140" t="str">
        <f>IFERROR(__xludf.DUMMYFUNCTION("""COMPUTED_VALUE"""),"en")</f>
        <v>en</v>
      </c>
      <c r="B9929">
        <f>IFERROR(__xludf.DUMMYFUNCTION("""COMPUTED_VALUE"""),363630.0)</f>
        <v>363630</v>
      </c>
      <c r="C9929" t="str">
        <f>IFERROR(__xludf.DUMMYFUNCTION("""COMPUTED_VALUE"""),"Business Skills: Easy English Presentations (Presenting)")</f>
        <v>Business Skills: Easy English Presentations (Presenting)</v>
      </c>
    </row>
    <row r="9930">
      <c r="A9930" s="140" t="str">
        <f>IFERROR(__xludf.DUMMYFUNCTION("""COMPUTED_VALUE"""),"en")</f>
        <v>en</v>
      </c>
      <c r="B9930">
        <f>IFERROR(__xludf.DUMMYFUNCTION("""COMPUTED_VALUE"""),1892918.0)</f>
        <v>1892918</v>
      </c>
      <c r="C9930" t="str">
        <f>IFERROR(__xludf.DUMMYFUNCTION("""COMPUTED_VALUE"""),"ProCreate Masterclass: How to Draw and Paint on iPad Course")</f>
        <v>ProCreate Masterclass: How to Draw and Paint on iPad Course</v>
      </c>
    </row>
    <row r="9931">
      <c r="A9931" s="140" t="str">
        <f>IFERROR(__xludf.DUMMYFUNCTION("""COMPUTED_VALUE"""),"en")</f>
        <v>en</v>
      </c>
      <c r="B9931">
        <f>IFERROR(__xludf.DUMMYFUNCTION("""COMPUTED_VALUE"""),838832.0)</f>
        <v>838832</v>
      </c>
      <c r="C9931" t="str">
        <f>IFERROR(__xludf.DUMMYFUNCTION("""COMPUTED_VALUE"""),"QGIS for Beginners #1: QGIS 3 Orientation. +Free 181p eBooks")</f>
        <v>QGIS for Beginners #1: QGIS 3 Orientation. +Free 181p eBooks</v>
      </c>
    </row>
    <row r="9932">
      <c r="A9932" s="140" t="str">
        <f>IFERROR(__xludf.DUMMYFUNCTION("""COMPUTED_VALUE"""),"es")</f>
        <v>es</v>
      </c>
      <c r="B9932">
        <f>IFERROR(__xludf.DUMMYFUNCTION("""COMPUTED_VALUE"""),2225970.0)</f>
        <v>2225970</v>
      </c>
      <c r="C9932" t="str">
        <f>IFERROR(__xludf.DUMMYFUNCTION("""COMPUTED_VALUE"""),"Administración de Aplicaciones JBoss I")</f>
        <v>Administración de Aplicaciones JBoss I</v>
      </c>
    </row>
    <row r="9933">
      <c r="A9933" s="140" t="str">
        <f>IFERROR(__xludf.DUMMYFUNCTION("""COMPUTED_VALUE"""),"tr")</f>
        <v>tr</v>
      </c>
      <c r="B9933">
        <f>IFERROR(__xludf.DUMMYFUNCTION("""COMPUTED_VALUE"""),1962066.0)</f>
        <v>1962066</v>
      </c>
      <c r="C9933" t="str">
        <f>IFERROR(__xludf.DUMMYFUNCTION("""COMPUTED_VALUE"""),"Nuxt.js ile Vue.js Uygulamalarınızı Güçlendirin")</f>
        <v>Nuxt.js ile Vue.js Uygulamalarınızı Güçlendirin</v>
      </c>
    </row>
    <row r="9934">
      <c r="A9934" s="140" t="str">
        <f>IFERROR(__xludf.DUMMYFUNCTION("""COMPUTED_VALUE"""),"en")</f>
        <v>en</v>
      </c>
      <c r="B9934">
        <f>IFERROR(__xludf.DUMMYFUNCTION("""COMPUTED_VALUE"""),1329786.0)</f>
        <v>1329786</v>
      </c>
      <c r="C9934" t="str">
        <f>IFERROR(__xludf.DUMMYFUNCTION("""COMPUTED_VALUE"""),"After Effects - Motion Graphics &amp; Data Visualization")</f>
        <v>After Effects - Motion Graphics &amp; Data Visualization</v>
      </c>
    </row>
    <row r="9935">
      <c r="A9935" s="140" t="str">
        <f>IFERROR(__xludf.DUMMYFUNCTION("""COMPUTED_VALUE"""),"en")</f>
        <v>en</v>
      </c>
      <c r="B9935">
        <f>IFERROR(__xludf.DUMMYFUNCTION("""COMPUTED_VALUE"""),2400594.0)</f>
        <v>2400594</v>
      </c>
      <c r="C9935" t="str">
        <f>IFERROR(__xludf.DUMMYFUNCTION("""COMPUTED_VALUE"""),"Advanced Laravel and Vuejs - Build a Youtube clone")</f>
        <v>Advanced Laravel and Vuejs - Build a Youtube clone</v>
      </c>
    </row>
    <row r="9936">
      <c r="A9936" s="140" t="str">
        <f>IFERROR(__xludf.DUMMYFUNCTION("""COMPUTED_VALUE"""),"en")</f>
        <v>en</v>
      </c>
      <c r="B9936">
        <f>IFERROR(__xludf.DUMMYFUNCTION("""COMPUTED_VALUE"""),2942738.0)</f>
        <v>2942738</v>
      </c>
      <c r="C9936" t="str">
        <f>IFERROR(__xludf.DUMMYFUNCTION("""COMPUTED_VALUE"""),"Complete Tally ERP 9 (GST) Course with Live Project 2021")</f>
        <v>Complete Tally ERP 9 (GST) Course with Live Project 2021</v>
      </c>
    </row>
    <row r="9937">
      <c r="A9937" s="140" t="str">
        <f>IFERROR(__xludf.DUMMYFUNCTION("""COMPUTED_VALUE"""),"en")</f>
        <v>en</v>
      </c>
      <c r="B9937">
        <f>IFERROR(__xludf.DUMMYFUNCTION("""COMPUTED_VALUE"""),1110626.0)</f>
        <v>1110626</v>
      </c>
      <c r="C9937" t="str">
        <f>IFERROR(__xludf.DUMMYFUNCTION("""COMPUTED_VALUE"""),"RPG Core Combat Creator: Learn Intermediate Unity C# Coding")</f>
        <v>RPG Core Combat Creator: Learn Intermediate Unity C# Coding</v>
      </c>
    </row>
    <row r="9938">
      <c r="A9938" s="140" t="str">
        <f>IFERROR(__xludf.DUMMYFUNCTION("""COMPUTED_VALUE"""),"en")</f>
        <v>en</v>
      </c>
      <c r="B9938">
        <f>IFERROR(__xludf.DUMMYFUNCTION("""COMPUTED_VALUE"""),3583724.0)</f>
        <v>3583724</v>
      </c>
      <c r="C9938" t="str">
        <f>IFERROR(__xludf.DUMMYFUNCTION("""COMPUTED_VALUE"""),"Unity Multiplayer: Intermediate C# Coding &amp; Networking")</f>
        <v>Unity Multiplayer: Intermediate C# Coding &amp; Networking</v>
      </c>
    </row>
    <row r="9939">
      <c r="A9939" s="140" t="str">
        <f>IFERROR(__xludf.DUMMYFUNCTION("""COMPUTED_VALUE"""),"en")</f>
        <v>en</v>
      </c>
      <c r="B9939">
        <f>IFERROR(__xludf.DUMMYFUNCTION("""COMPUTED_VALUE"""),780640.0)</f>
        <v>780640</v>
      </c>
      <c r="C9939" t="str">
        <f>IFERROR(__xludf.DUMMYFUNCTION("""COMPUTED_VALUE"""),"Oracle Business Intelligence Enterprise Edition (OBIEE 11g)")</f>
        <v>Oracle Business Intelligence Enterprise Edition (OBIEE 11g)</v>
      </c>
    </row>
    <row r="9940">
      <c r="A9940" s="140" t="str">
        <f>IFERROR(__xludf.DUMMYFUNCTION("""COMPUTED_VALUE"""),"en")</f>
        <v>en</v>
      </c>
      <c r="B9940">
        <f>IFERROR(__xludf.DUMMYFUNCTION("""COMPUTED_VALUE"""),832862.0)</f>
        <v>832862</v>
      </c>
      <c r="C9940" t="str">
        <f>IFERROR(__xludf.DUMMYFUNCTION("""COMPUTED_VALUE"""),"Meteor and React for Realtime Apps")</f>
        <v>Meteor and React for Realtime Apps</v>
      </c>
    </row>
    <row r="9941">
      <c r="A9941" s="140" t="str">
        <f>IFERROR(__xludf.DUMMYFUNCTION("""COMPUTED_VALUE"""),"de")</f>
        <v>de</v>
      </c>
      <c r="B9941">
        <f>IFERROR(__xludf.DUMMYFUNCTION("""COMPUTED_VALUE"""),1388924.0)</f>
        <v>1388924</v>
      </c>
      <c r="C9941" t="str">
        <f>IFERROR(__xludf.DUMMYFUNCTION("""COMPUTED_VALUE"""),"Adobe Photoshop CC: Der große Webdesign-Praxis Kurs!")</f>
        <v>Adobe Photoshop CC: Der große Webdesign-Praxis Kurs!</v>
      </c>
    </row>
    <row r="9942">
      <c r="A9942" s="140" t="str">
        <f>IFERROR(__xludf.DUMMYFUNCTION("""COMPUTED_VALUE"""),"pt")</f>
        <v>pt</v>
      </c>
      <c r="B9942">
        <f>IFERROR(__xludf.DUMMYFUNCTION("""COMPUTED_VALUE"""),2641376.0)</f>
        <v>2641376</v>
      </c>
      <c r="C9942" t="str">
        <f>IFERROR(__xludf.DUMMYFUNCTION("""COMPUTED_VALUE"""),"Simulado Privacy and Data Protection Practitioner - PDPP")</f>
        <v>Simulado Privacy and Data Protection Practitioner - PDPP</v>
      </c>
    </row>
    <row r="9943">
      <c r="A9943" s="140" t="str">
        <f>IFERROR(__xludf.DUMMYFUNCTION("""COMPUTED_VALUE"""),"es")</f>
        <v>es</v>
      </c>
      <c r="B9943">
        <f>IFERROR(__xludf.DUMMYFUNCTION("""COMPUTED_VALUE"""),2171402.0)</f>
        <v>2171402</v>
      </c>
      <c r="C9943" t="str">
        <f>IFERROR(__xludf.DUMMYFUNCTION("""COMPUTED_VALUE"""),"Deep Learning con Tensorflow para Machine Learning e IA")</f>
        <v>Deep Learning con Tensorflow para Machine Learning e IA</v>
      </c>
    </row>
    <row r="9944">
      <c r="A9944" s="140" t="str">
        <f>IFERROR(__xludf.DUMMYFUNCTION("""COMPUTED_VALUE"""),"en")</f>
        <v>en</v>
      </c>
      <c r="B9944">
        <f>IFERROR(__xludf.DUMMYFUNCTION("""COMPUTED_VALUE"""),1091494.0)</f>
        <v>1091494</v>
      </c>
      <c r="C9944" t="str">
        <f>IFERROR(__xludf.DUMMYFUNCTION("""COMPUTED_VALUE"""),"Building an Automated SQL Server Performance Tuning Engine")</f>
        <v>Building an Automated SQL Server Performance Tuning Engine</v>
      </c>
    </row>
    <row r="9945">
      <c r="A9945" s="140" t="str">
        <f>IFERROR(__xludf.DUMMYFUNCTION("""COMPUTED_VALUE"""),"pt")</f>
        <v>pt</v>
      </c>
      <c r="B9945">
        <f>IFERROR(__xludf.DUMMYFUNCTION("""COMPUTED_VALUE"""),1324228.0)</f>
        <v>1324228</v>
      </c>
      <c r="C9945" t="str">
        <f>IFERROR(__xludf.DUMMYFUNCTION("""COMPUTED_VALUE"""),"Terminal Linux, Shell Scripting e Gerenciamento de Redes")</f>
        <v>Terminal Linux, Shell Scripting e Gerenciamento de Redes</v>
      </c>
    </row>
    <row r="9946">
      <c r="A9946" s="140" t="str">
        <f>IFERROR(__xludf.DUMMYFUNCTION("""COMPUTED_VALUE"""),"en")</f>
        <v>en</v>
      </c>
      <c r="B9946">
        <f>IFERROR(__xludf.DUMMYFUNCTION("""COMPUTED_VALUE"""),1518478.0)</f>
        <v>1518478</v>
      </c>
      <c r="C9946" t="str">
        <f>IFERROR(__xludf.DUMMYFUNCTION("""COMPUTED_VALUE"""),"English Vocabulary - SAT, GRE, GMAT, TOEFL")</f>
        <v>English Vocabulary - SAT, GRE, GMAT, TOEFL</v>
      </c>
    </row>
    <row r="9947">
      <c r="A9947" s="140" t="str">
        <f>IFERROR(__xludf.DUMMYFUNCTION("""COMPUTED_VALUE"""),"en")</f>
        <v>en</v>
      </c>
      <c r="B9947">
        <f>IFERROR(__xludf.DUMMYFUNCTION("""COMPUTED_VALUE"""),1278360.0)</f>
        <v>1278360</v>
      </c>
      <c r="C9947" t="str">
        <f>IFERROR(__xludf.DUMMYFUNCTION("""COMPUTED_VALUE"""),"11 Essential Coding Interview Questions + Coding Exercises!")</f>
        <v>11 Essential Coding Interview Questions + Coding Exercises!</v>
      </c>
    </row>
    <row r="9948">
      <c r="A9948" s="140" t="str">
        <f>IFERROR(__xludf.DUMMYFUNCTION("""COMPUTED_VALUE"""),"ja")</f>
        <v>ja</v>
      </c>
      <c r="B9948">
        <f>IFERROR(__xludf.DUMMYFUNCTION("""COMPUTED_VALUE"""),3797528.0)</f>
        <v>3797528</v>
      </c>
      <c r="C9948" t="str">
        <f>IFERROR(__xludf.DUMMYFUNCTION("""COMPUTED_VALUE"""),"意識やフォーカスが変わると伝わり方が変わります！オンラインでも対面でもコミュニケーションも変化する【声×心】の講座。")</f>
        <v>意識やフォーカスが変わると伝わり方が変わります！オンラインでも対面でもコミュニケーションも変化する【声×心】の講座。</v>
      </c>
    </row>
    <row r="9949">
      <c r="A9949" s="140" t="str">
        <f>IFERROR(__xludf.DUMMYFUNCTION("""COMPUTED_VALUE"""),"ko")</f>
        <v>ko</v>
      </c>
      <c r="B9949">
        <f>IFERROR(__xludf.DUMMYFUNCTION("""COMPUTED_VALUE"""),4250562.0)</f>
        <v>4250562</v>
      </c>
      <c r="C9949" t="str">
        <f>IFERROR(__xludf.DUMMYFUNCTION("""COMPUTED_VALUE"""),"【글로벌 Best강의】 재무분석 및 투자 완벽 강의 : 재무분석가/투자가로 성공하는 법 (한글자막)")</f>
        <v>【글로벌 Best강의】 재무분석 및 투자 완벽 강의 : 재무분석가/투자가로 성공하는 법 (한글자막)</v>
      </c>
    </row>
    <row r="9950">
      <c r="A9950" s="140" t="str">
        <f>IFERROR(__xludf.DUMMYFUNCTION("""COMPUTED_VALUE"""),"en")</f>
        <v>en</v>
      </c>
      <c r="B9950">
        <f>IFERROR(__xludf.DUMMYFUNCTION("""COMPUTED_VALUE"""),1403814.0)</f>
        <v>1403814</v>
      </c>
      <c r="C9950" t="str">
        <f>IFERROR(__xludf.DUMMYFUNCTION("""COMPUTED_VALUE"""),"Azure Serverless Functions and Logic Apps")</f>
        <v>Azure Serverless Functions and Logic Apps</v>
      </c>
    </row>
    <row r="9951">
      <c r="A9951" s="140" t="str">
        <f>IFERROR(__xludf.DUMMYFUNCTION("""COMPUTED_VALUE"""),"en")</f>
        <v>en</v>
      </c>
      <c r="B9951">
        <f>IFERROR(__xludf.DUMMYFUNCTION("""COMPUTED_VALUE"""),798580.0)</f>
        <v>798580</v>
      </c>
      <c r="C9951" t="str">
        <f>IFERROR(__xludf.DUMMYFUNCTION("""COMPUTED_VALUE"""),"Practical Data Structures &amp; Algorithms in Java + HW")</f>
        <v>Practical Data Structures &amp; Algorithms in Java + HW</v>
      </c>
    </row>
    <row r="9952">
      <c r="A9952" s="140" t="str">
        <f>IFERROR(__xludf.DUMMYFUNCTION("""COMPUTED_VALUE"""),"en")</f>
        <v>en</v>
      </c>
      <c r="B9952">
        <f>IFERROR(__xludf.DUMMYFUNCTION("""COMPUTED_VALUE"""),2800118.0)</f>
        <v>2800118</v>
      </c>
      <c r="C9952" t="str">
        <f>IFERROR(__xludf.DUMMYFUNCTION("""COMPUTED_VALUE"""),"Master Laravel with GraphQL, Vue.js and Tailwind")</f>
        <v>Master Laravel with GraphQL, Vue.js and Tailwind</v>
      </c>
    </row>
    <row r="9953">
      <c r="A9953" s="140" t="str">
        <f>IFERROR(__xludf.DUMMYFUNCTION("""COMPUTED_VALUE"""),"en")</f>
        <v>en</v>
      </c>
      <c r="B9953">
        <f>IFERROR(__xludf.DUMMYFUNCTION("""COMPUTED_VALUE"""),2020278.0)</f>
        <v>2020278</v>
      </c>
      <c r="C9953" t="str">
        <f>IFERROR(__xludf.DUMMYFUNCTION("""COMPUTED_VALUE"""),"Master Laravel 8 for Beginners &amp; Intermediate")</f>
        <v>Master Laravel 8 for Beginners &amp; Intermediate</v>
      </c>
    </row>
    <row r="9954">
      <c r="A9954" s="140" t="str">
        <f>IFERROR(__xludf.DUMMYFUNCTION("""COMPUTED_VALUE"""),"es")</f>
        <v>es</v>
      </c>
      <c r="B9954">
        <f>IFERROR(__xludf.DUMMYFUNCTION("""COMPUTED_VALUE"""),472054.0)</f>
        <v>472054</v>
      </c>
      <c r="C9954" t="str">
        <f>IFERROR(__xludf.DUMMYFUNCTION("""COMPUTED_VALUE"""),"Habilidades de negociación y persuasión")</f>
        <v>Habilidades de negociación y persuasión</v>
      </c>
    </row>
    <row r="9955">
      <c r="A9955" s="140" t="str">
        <f>IFERROR(__xludf.DUMMYFUNCTION("""COMPUTED_VALUE"""),"es")</f>
        <v>es</v>
      </c>
      <c r="B9955">
        <f>IFERROR(__xludf.DUMMYFUNCTION("""COMPUTED_VALUE"""),3055920.0)</f>
        <v>3055920</v>
      </c>
      <c r="C9955" t="str">
        <f>IFERROR(__xludf.DUMMYFUNCTION("""COMPUTED_VALUE"""),"Auditor Interno de Normas ISO 9001:2015")</f>
        <v>Auditor Interno de Normas ISO 9001:2015</v>
      </c>
    </row>
    <row r="9956">
      <c r="A9956" s="140" t="str">
        <f>IFERROR(__xludf.DUMMYFUNCTION("""COMPUTED_VALUE"""),"en")</f>
        <v>en</v>
      </c>
      <c r="B9956">
        <f>IFERROR(__xludf.DUMMYFUNCTION("""COMPUTED_VALUE"""),802790.0)</f>
        <v>802790</v>
      </c>
      <c r="C9956" t="str">
        <f>IFERROR(__xludf.DUMMYFUNCTION("""COMPUTED_VALUE"""),"Selenium WebDriver with Java | Project Implement + Framework")</f>
        <v>Selenium WebDriver with Java | Project Implement + Framework</v>
      </c>
    </row>
    <row r="9957">
      <c r="A9957" s="140" t="str">
        <f>IFERROR(__xludf.DUMMYFUNCTION("""COMPUTED_VALUE"""),"pt")</f>
        <v>pt</v>
      </c>
      <c r="B9957">
        <f>IFERROR(__xludf.DUMMYFUNCTION("""COMPUTED_VALUE"""),1835922.0)</f>
        <v>1835922</v>
      </c>
      <c r="C9957" t="str">
        <f>IFERROR(__xludf.DUMMYFUNCTION("""COMPUTED_VALUE"""),"Revit Para Iniciantes")</f>
        <v>Revit Para Iniciantes</v>
      </c>
    </row>
    <row r="9958">
      <c r="A9958" s="140" t="str">
        <f>IFERROR(__xludf.DUMMYFUNCTION("""COMPUTED_VALUE"""),"ar")</f>
        <v>ar</v>
      </c>
      <c r="B9958">
        <f>IFERROR(__xludf.DUMMYFUNCTION("""COMPUTED_VALUE"""),2871766.0)</f>
        <v>2871766</v>
      </c>
      <c r="C9958" t="str">
        <f>IFERROR(__xludf.DUMMYFUNCTION("""COMPUTED_VALUE"""),"Appium Course with Java 2020 in Arabic")</f>
        <v>Appium Course with Java 2020 in Arabic</v>
      </c>
    </row>
    <row r="9959">
      <c r="A9959" s="140" t="str">
        <f>IFERROR(__xludf.DUMMYFUNCTION("""COMPUTED_VALUE"""),"fr")</f>
        <v>fr</v>
      </c>
      <c r="B9959">
        <f>IFERROR(__xludf.DUMMYFUNCTION("""COMPUTED_VALUE"""),3277156.0)</f>
        <v>3277156</v>
      </c>
      <c r="C9959" t="str">
        <f>IFERROR(__xludf.DUMMYFUNCTION("""COMPUTED_VALUE"""),"AWS Certified Solutions Architect Associate 2021 [SAA-C02]")</f>
        <v>AWS Certified Solutions Architect Associate 2021 [SAA-C02]</v>
      </c>
    </row>
    <row r="9960">
      <c r="A9960" s="140" t="str">
        <f>IFERROR(__xludf.DUMMYFUNCTION("""COMPUTED_VALUE"""),"en")</f>
        <v>en</v>
      </c>
      <c r="B9960">
        <f>IFERROR(__xludf.DUMMYFUNCTION("""COMPUTED_VALUE"""),1673166.0)</f>
        <v>1673166</v>
      </c>
      <c r="C9960" t="str">
        <f>IFERROR(__xludf.DUMMYFUNCTION("""COMPUTED_VALUE"""),"Probability and Statistics for Business and Data Science")</f>
        <v>Probability and Statistics for Business and Data Science</v>
      </c>
    </row>
    <row r="9961">
      <c r="A9961" s="140" t="str">
        <f>IFERROR(__xludf.DUMMYFUNCTION("""COMPUTED_VALUE"""),"en")</f>
        <v>en</v>
      </c>
      <c r="B9961">
        <f>IFERROR(__xludf.DUMMYFUNCTION("""COMPUTED_VALUE"""),1446286.0)</f>
        <v>1446286</v>
      </c>
      <c r="C9961" t="str">
        <f>IFERROR(__xludf.DUMMYFUNCTION("""COMPUTED_VALUE"""),"Java: Multi-threading and Concurrency Simplified")</f>
        <v>Java: Multi-threading and Concurrency Simplified</v>
      </c>
    </row>
    <row r="9962">
      <c r="A9962" s="140" t="str">
        <f>IFERROR(__xludf.DUMMYFUNCTION("""COMPUTED_VALUE"""),"es")</f>
        <v>es</v>
      </c>
      <c r="B9962">
        <f>IFERROR(__xludf.DUMMYFUNCTION("""COMPUTED_VALUE"""),1722740.0)</f>
        <v>1722740</v>
      </c>
      <c r="C9962" t="str">
        <f>IFERROR(__xludf.DUMMYFUNCTION("""COMPUTED_VALUE"""),"Gestión de Proyectos con Project y Excel bajo enfoque PMBOK")</f>
        <v>Gestión de Proyectos con Project y Excel bajo enfoque PMBOK</v>
      </c>
    </row>
    <row r="9963">
      <c r="A9963" s="140" t="str">
        <f>IFERROR(__xludf.DUMMYFUNCTION("""COMPUTED_VALUE"""),"pt")</f>
        <v>pt</v>
      </c>
      <c r="B9963">
        <f>IFERROR(__xludf.DUMMYFUNCTION("""COMPUTED_VALUE"""),1487102.0)</f>
        <v>1487102</v>
      </c>
      <c r="C9963" t="str">
        <f>IFERROR(__xludf.DUMMYFUNCTION("""COMPUTED_VALUE"""),"Xamarin Forms 2018 - Apps para Android, iOS e UWP - 8 Apps")</f>
        <v>Xamarin Forms 2018 - Apps para Android, iOS e UWP - 8 Apps</v>
      </c>
    </row>
    <row r="9964">
      <c r="A9964" s="140" t="str">
        <f>IFERROR(__xludf.DUMMYFUNCTION("""COMPUTED_VALUE"""),"en")</f>
        <v>en</v>
      </c>
      <c r="B9964">
        <f>IFERROR(__xludf.DUMMYFUNCTION("""COMPUTED_VALUE"""),1312042.0)</f>
        <v>1312042</v>
      </c>
      <c r="C9964" t="str">
        <f>IFERROR(__xludf.DUMMYFUNCTION("""COMPUTED_VALUE"""),"Oracle Database 12c SQL Certified Associate 1Z0-071")</f>
        <v>Oracle Database 12c SQL Certified Associate 1Z0-071</v>
      </c>
    </row>
    <row r="9965">
      <c r="A9965" s="140" t="str">
        <f>IFERROR(__xludf.DUMMYFUNCTION("""COMPUTED_VALUE"""),"pt")</f>
        <v>pt</v>
      </c>
      <c r="B9965">
        <f>IFERROR(__xludf.DUMMYFUNCTION("""COMPUTED_VALUE"""),2290801.0)</f>
        <v>2290801</v>
      </c>
      <c r="C9965" t="str">
        <f>IFERROR(__xludf.DUMMYFUNCTION("""COMPUTED_VALUE"""),"Escrita Total - Método de Escrita Criativa Para Todo Texto")</f>
        <v>Escrita Total - Método de Escrita Criativa Para Todo Texto</v>
      </c>
    </row>
    <row r="9966">
      <c r="A9966" s="140" t="str">
        <f>IFERROR(__xludf.DUMMYFUNCTION("""COMPUTED_VALUE"""),"ko")</f>
        <v>ko</v>
      </c>
      <c r="B9966">
        <f>IFERROR(__xludf.DUMMYFUNCTION("""COMPUTED_VALUE"""),1483982.0)</f>
        <v>1483982</v>
      </c>
      <c r="C9966" t="str">
        <f>IFERROR(__xludf.DUMMYFUNCTION("""COMPUTED_VALUE"""),"자바 입문하기 (JAVA)")</f>
        <v>자바 입문하기 (JAVA)</v>
      </c>
    </row>
    <row r="9967">
      <c r="A9967" s="140" t="str">
        <f>IFERROR(__xludf.DUMMYFUNCTION("""COMPUTED_VALUE"""),"en")</f>
        <v>en</v>
      </c>
      <c r="B9967">
        <f>IFERROR(__xludf.DUMMYFUNCTION("""COMPUTED_VALUE"""),1518060.0)</f>
        <v>1518060</v>
      </c>
      <c r="C9967" t="str">
        <f>IFERROR(__xludf.DUMMYFUNCTION("""COMPUTED_VALUE"""),"Telephone Confidence: Be Super Confident on the Telephone!")</f>
        <v>Telephone Confidence: Be Super Confident on the Telephone!</v>
      </c>
    </row>
    <row r="9968">
      <c r="A9968" s="140" t="str">
        <f>IFERROR(__xludf.DUMMYFUNCTION("""COMPUTED_VALUE"""),"fr")</f>
        <v>fr</v>
      </c>
      <c r="B9968">
        <f>IFERROR(__xludf.DUMMYFUNCTION("""COMPUTED_VALUE"""),2875968.0)</f>
        <v>2875968</v>
      </c>
      <c r="C9968" t="str">
        <f>IFERROR(__xludf.DUMMYFUNCTION("""COMPUTED_VALUE"""),"Formation Complète Première Pro CC2020 à CC2021")</f>
        <v>Formation Complète Première Pro CC2020 à CC2021</v>
      </c>
    </row>
    <row r="9969">
      <c r="A9969" s="140" t="str">
        <f>IFERROR(__xludf.DUMMYFUNCTION("""COMPUTED_VALUE"""),"tr")</f>
        <v>tr</v>
      </c>
      <c r="B9969">
        <f>IFERROR(__xludf.DUMMYFUNCTION("""COMPUTED_VALUE"""),1342730.0)</f>
        <v>1342730</v>
      </c>
      <c r="C9969" t="str">
        <f>IFERROR(__xludf.DUMMYFUNCTION("""COMPUTED_VALUE"""),"Cisco Switching Eğitimi")</f>
        <v>Cisco Switching Eğitimi</v>
      </c>
    </row>
    <row r="9970">
      <c r="A9970" s="140" t="str">
        <f>IFERROR(__xludf.DUMMYFUNCTION("""COMPUTED_VALUE"""),"pt")</f>
        <v>pt</v>
      </c>
      <c r="B9970">
        <f>IFERROR(__xludf.DUMMYFUNCTION("""COMPUTED_VALUE"""),3712388.0)</f>
        <v>3712388</v>
      </c>
      <c r="C9970" t="str">
        <f>IFERROR(__xludf.DUMMYFUNCTION("""COMPUTED_VALUE"""),"Macros e VBA para Excel do Básico ao Especialista + Projetos")</f>
        <v>Macros e VBA para Excel do Básico ao Especialista + Projetos</v>
      </c>
    </row>
    <row r="9971">
      <c r="A9971" s="140" t="str">
        <f>IFERROR(__xludf.DUMMYFUNCTION("""COMPUTED_VALUE"""),"en")</f>
        <v>en</v>
      </c>
      <c r="B9971">
        <f>IFERROR(__xludf.DUMMYFUNCTION("""COMPUTED_VALUE"""),4218086.0)</f>
        <v>4218086</v>
      </c>
      <c r="C9971" t="str">
        <f>IFERROR(__xludf.DUMMYFUNCTION("""COMPUTED_VALUE"""),"Essential PowerPoint for Management Consultants &amp; Analysts")</f>
        <v>Essential PowerPoint for Management Consultants &amp; Analysts</v>
      </c>
    </row>
    <row r="9972">
      <c r="A9972" s="140" t="str">
        <f>IFERROR(__xludf.DUMMYFUNCTION("""COMPUTED_VALUE"""),"ko")</f>
        <v>ko</v>
      </c>
      <c r="B9972">
        <f>IFERROR(__xludf.DUMMYFUNCTION("""COMPUTED_VALUE"""),3201302.0)</f>
        <v>3201302</v>
      </c>
      <c r="C9972" t="str">
        <f>IFERROR(__xludf.DUMMYFUNCTION("""COMPUTED_VALUE"""),"Python으로 시작하는 Kaggle 포트폴리오 만들기")</f>
        <v>Python으로 시작하는 Kaggle 포트폴리오 만들기</v>
      </c>
    </row>
    <row r="9973">
      <c r="A9973" s="140" t="str">
        <f>IFERROR(__xludf.DUMMYFUNCTION("""COMPUTED_VALUE"""),"es")</f>
        <v>es</v>
      </c>
      <c r="B9973">
        <f>IFERROR(__xludf.DUMMYFUNCTION("""COMPUTED_VALUE"""),1467412.0)</f>
        <v>1467412</v>
      </c>
      <c r="C9973" t="str">
        <f>IFERROR(__xludf.DUMMYFUNCTION("""COMPUTED_VALUE"""),"Crea sistemas POS Inventarios y ventas con PHP 8 y AdminLTE")</f>
        <v>Crea sistemas POS Inventarios y ventas con PHP 8 y AdminLTE</v>
      </c>
    </row>
    <row r="9974">
      <c r="A9974" s="140" t="str">
        <f>IFERROR(__xludf.DUMMYFUNCTION("""COMPUTED_VALUE"""),"en")</f>
        <v>en</v>
      </c>
      <c r="B9974">
        <f>IFERROR(__xludf.DUMMYFUNCTION("""COMPUTED_VALUE"""),3665664.0)</f>
        <v>3665664</v>
      </c>
      <c r="C9974" t="str">
        <f>IFERROR(__xludf.DUMMYFUNCTION("""COMPUTED_VALUE"""),"CompTIA Security+ SY0-601 Lab Course with Simulations/PBQ")</f>
        <v>CompTIA Security+ SY0-601 Lab Course with Simulations/PBQ</v>
      </c>
    </row>
    <row r="9975">
      <c r="A9975" s="140" t="str">
        <f>IFERROR(__xludf.DUMMYFUNCTION("""COMPUTED_VALUE"""),"es")</f>
        <v>es</v>
      </c>
      <c r="B9975">
        <f>IFERROR(__xludf.DUMMYFUNCTION("""COMPUTED_VALUE"""),1881540.0)</f>
        <v>1881540</v>
      </c>
      <c r="C9975" t="str">
        <f>IFERROR(__xludf.DUMMYFUNCTION("""COMPUTED_VALUE"""),"Fundamentos de la Gerencia de Proyectos")</f>
        <v>Fundamentos de la Gerencia de Proyectos</v>
      </c>
    </row>
    <row r="9976">
      <c r="A9976" s="140" t="str">
        <f>IFERROR(__xludf.DUMMYFUNCTION("""COMPUTED_VALUE"""),"en")</f>
        <v>en</v>
      </c>
      <c r="B9976">
        <f>IFERROR(__xludf.DUMMYFUNCTION("""COMPUTED_VALUE"""),1491820.0)</f>
        <v>1491820</v>
      </c>
      <c r="C9976" t="str">
        <f>IFERROR(__xludf.DUMMYFUNCTION("""COMPUTED_VALUE"""),"PRINCE2 Foundation Practice Certification Exams (6 Exams)")</f>
        <v>PRINCE2 Foundation Practice Certification Exams (6 Exams)</v>
      </c>
    </row>
    <row r="9977">
      <c r="A9977" s="140" t="str">
        <f>IFERROR(__xludf.DUMMYFUNCTION("""COMPUTED_VALUE"""),"en")</f>
        <v>en</v>
      </c>
      <c r="B9977">
        <f>IFERROR(__xludf.DUMMYFUNCTION("""COMPUTED_VALUE"""),965166.0)</f>
        <v>965166</v>
      </c>
      <c r="C9977" t="str">
        <f>IFERROR(__xludf.DUMMYFUNCTION("""COMPUTED_VALUE"""),"Enhance Your Skill Set with Perl")</f>
        <v>Enhance Your Skill Set with Perl</v>
      </c>
    </row>
    <row r="9978">
      <c r="A9978" s="140" t="str">
        <f>IFERROR(__xludf.DUMMYFUNCTION("""COMPUTED_VALUE"""),"en")</f>
        <v>en</v>
      </c>
      <c r="B9978">
        <f>IFERROR(__xludf.DUMMYFUNCTION("""COMPUTED_VALUE"""),2552991.0)</f>
        <v>2552991</v>
      </c>
      <c r="C9978" t="str">
        <f>IFERROR(__xludf.DUMMYFUNCTION("""COMPUTED_VALUE"""),"AWS AppSync &amp; Amplify with React &amp; GraphQL - Complete Guide")</f>
        <v>AWS AppSync &amp; Amplify with React &amp; GraphQL - Complete Guide</v>
      </c>
    </row>
    <row r="9979">
      <c r="A9979" s="140" t="str">
        <f>IFERROR(__xludf.DUMMYFUNCTION("""COMPUTED_VALUE"""),"en")</f>
        <v>en</v>
      </c>
      <c r="B9979">
        <f>IFERROR(__xludf.DUMMYFUNCTION("""COMPUTED_VALUE"""),244692.0)</f>
        <v>244692</v>
      </c>
      <c r="C9979" t="str">
        <f>IFERROR(__xludf.DUMMYFUNCTION("""COMPUTED_VALUE"""),"Statistics / Data Analysis: Survey Data and Likert Scales")</f>
        <v>Statistics / Data Analysis: Survey Data and Likert Scales</v>
      </c>
    </row>
    <row r="9980">
      <c r="A9980" s="140" t="str">
        <f>IFERROR(__xludf.DUMMYFUNCTION("""COMPUTED_VALUE"""),"ja")</f>
        <v>ja</v>
      </c>
      <c r="B9980">
        <f>IFERROR(__xludf.DUMMYFUNCTION("""COMPUTED_VALUE"""),1475808.0)</f>
        <v>1475808</v>
      </c>
      <c r="C9980" t="str">
        <f>IFERROR(__xludf.DUMMYFUNCTION("""COMPUTED_VALUE"""),"【画像判定AIアプリ開発・パート1】TensorFlow・Python・Flaskで作る画像判定AIアプリ開発入門")</f>
        <v>【画像判定AIアプリ開発・パート1】TensorFlow・Python・Flaskで作る画像判定AIアプリ開発入門</v>
      </c>
    </row>
    <row r="9981">
      <c r="A9981" s="140" t="str">
        <f>IFERROR(__xludf.DUMMYFUNCTION("""COMPUTED_VALUE"""),"en")</f>
        <v>en</v>
      </c>
      <c r="B9981">
        <f>IFERROR(__xludf.DUMMYFUNCTION("""COMPUTED_VALUE"""),1916836.0)</f>
        <v>1916836</v>
      </c>
      <c r="C9981" t="str">
        <f>IFERROR(__xludf.DUMMYFUNCTION("""COMPUTED_VALUE"""),"Microsoft PowerPoint for Mac - Office 365 on Mac OS")</f>
        <v>Microsoft PowerPoint for Mac - Office 365 on Mac OS</v>
      </c>
    </row>
    <row r="9982">
      <c r="A9982" s="140" t="str">
        <f>IFERROR(__xludf.DUMMYFUNCTION("""COMPUTED_VALUE"""),"en")</f>
        <v>en</v>
      </c>
      <c r="B9982">
        <f>IFERROR(__xludf.DUMMYFUNCTION("""COMPUTED_VALUE"""),555696.0)</f>
        <v>555696</v>
      </c>
      <c r="C9982" t="str">
        <f>IFERROR(__xludf.DUMMYFUNCTION("""COMPUTED_VALUE"""),"PMP Exam Prep Project Management Professional Certification")</f>
        <v>PMP Exam Prep Project Management Professional Certification</v>
      </c>
    </row>
    <row r="9983">
      <c r="A9983" s="140" t="str">
        <f>IFERROR(__xludf.DUMMYFUNCTION("""COMPUTED_VALUE"""),"de")</f>
        <v>de</v>
      </c>
      <c r="B9983">
        <f>IFERROR(__xludf.DUMMYFUNCTION("""COMPUTED_VALUE"""),2607520.0)</f>
        <v>2607520</v>
      </c>
      <c r="C9983" t="str">
        <f>IFERROR(__xludf.DUMMYFUNCTION("""COMPUTED_VALUE"""),"E-Mail Marketing mit Klick-Tipp: Werde Profi in 4 Stunden!")</f>
        <v>E-Mail Marketing mit Klick-Tipp: Werde Profi in 4 Stunden!</v>
      </c>
    </row>
    <row r="9984">
      <c r="A9984" s="140" t="str">
        <f>IFERROR(__xludf.DUMMYFUNCTION("""COMPUTED_VALUE"""),"en")</f>
        <v>en</v>
      </c>
      <c r="B9984">
        <f>IFERROR(__xludf.DUMMYFUNCTION("""COMPUTED_VALUE"""),1750352.0)</f>
        <v>1750352</v>
      </c>
      <c r="C9984" t="str">
        <f>IFERROR(__xludf.DUMMYFUNCTION("""COMPUTED_VALUE"""),"Salesforce Lightning:  Learn about Salesforce Lightning")</f>
        <v>Salesforce Lightning:  Learn about Salesforce Lightning</v>
      </c>
    </row>
    <row r="9985">
      <c r="A9985" s="140" t="str">
        <f>IFERROR(__xludf.DUMMYFUNCTION("""COMPUTED_VALUE"""),"en")</f>
        <v>en</v>
      </c>
      <c r="B9985">
        <f>IFERROR(__xludf.DUMMYFUNCTION("""COMPUTED_VALUE"""),3564921.0)</f>
        <v>3564921</v>
      </c>
      <c r="C9985" t="str">
        <f>IFERROR(__xludf.DUMMYFUNCTION("""COMPUTED_VALUE"""),"Compensation 101 for HR Professionals")</f>
        <v>Compensation 101 for HR Professionals</v>
      </c>
    </row>
    <row r="9986">
      <c r="A9986" s="140" t="str">
        <f>IFERROR(__xludf.DUMMYFUNCTION("""COMPUTED_VALUE"""),"ja")</f>
        <v>ja</v>
      </c>
      <c r="B9986">
        <f>IFERROR(__xludf.DUMMYFUNCTION("""COMPUTED_VALUE"""),1266664.0)</f>
        <v>1266664</v>
      </c>
      <c r="C9986" t="str">
        <f>IFERROR(__xludf.DUMMYFUNCTION("""COMPUTED_VALUE"""),"【6日で速習】iOS 13アプリ開発入門決定版 20個のアプリを作って学ぼう（Xcode 11, Swift 5対応中）")</f>
        <v>【6日で速習】iOS 13アプリ開発入門決定版 20個のアプリを作って学ぼう（Xcode 11, Swift 5対応中）</v>
      </c>
    </row>
    <row r="9987">
      <c r="A9987" s="140" t="str">
        <f>IFERROR(__xludf.DUMMYFUNCTION("""COMPUTED_VALUE"""),"fr")</f>
        <v>fr</v>
      </c>
      <c r="B9987">
        <f>IFERROR(__xludf.DUMMYFUNCTION("""COMPUTED_VALUE"""),927210.0)</f>
        <v>927210</v>
      </c>
      <c r="C9987" t="str">
        <f>IFERROR(__xludf.DUMMYFUNCTION("""COMPUTED_VALUE"""),"La parentalité positive - Isabelle Filliozat")</f>
        <v>La parentalité positive - Isabelle Filliozat</v>
      </c>
    </row>
    <row r="9988">
      <c r="A9988" s="140" t="str">
        <f>IFERROR(__xludf.DUMMYFUNCTION("""COMPUTED_VALUE"""),"en")</f>
        <v>en</v>
      </c>
      <c r="B9988">
        <f>IFERROR(__xludf.DUMMYFUNCTION("""COMPUTED_VALUE"""),3382642.0)</f>
        <v>3382642</v>
      </c>
      <c r="C9988" t="str">
        <f>IFERROR(__xludf.DUMMYFUNCTION("""COMPUTED_VALUE"""),"Taking the Work Out of Networking")</f>
        <v>Taking the Work Out of Networking</v>
      </c>
    </row>
    <row r="9989">
      <c r="A9989" s="140" t="str">
        <f>IFERROR(__xludf.DUMMYFUNCTION("""COMPUTED_VALUE"""),"fr")</f>
        <v>fr</v>
      </c>
      <c r="B9989">
        <f>IFERROR(__xludf.DUMMYFUNCTION("""COMPUTED_VALUE"""),2593040.0)</f>
        <v>2593040</v>
      </c>
      <c r="C9989" t="str">
        <f>IFERROR(__xludf.DUMMYFUNCTION("""COMPUTED_VALUE"""),"Les bases de Symfony 4")</f>
        <v>Les bases de Symfony 4</v>
      </c>
    </row>
    <row r="9990">
      <c r="A9990" s="140" t="str">
        <f>IFERROR(__xludf.DUMMYFUNCTION("""COMPUTED_VALUE"""),"en")</f>
        <v>en</v>
      </c>
      <c r="B9990">
        <f>IFERROR(__xludf.DUMMYFUNCTION("""COMPUTED_VALUE"""),2389518.0)</f>
        <v>2389518</v>
      </c>
      <c r="C9990" t="str">
        <f>IFERROR(__xludf.DUMMYFUNCTION("""COMPUTED_VALUE"""),"Full stack web development and AI with Python (Django)")</f>
        <v>Full stack web development and AI with Python (Django)</v>
      </c>
    </row>
    <row r="9991">
      <c r="A9991" s="140" t="str">
        <f>IFERROR(__xludf.DUMMYFUNCTION("""COMPUTED_VALUE"""),"pt")</f>
        <v>pt</v>
      </c>
      <c r="B9991">
        <f>IFERROR(__xludf.DUMMYFUNCTION("""COMPUTED_VALUE"""),1026958.0)</f>
        <v>1026958</v>
      </c>
      <c r="C9991" t="str">
        <f>IFERROR(__xludf.DUMMYFUNCTION("""COMPUTED_VALUE"""),"Business Intelligence - SQL Server e Analysis Services 2016")</f>
        <v>Business Intelligence - SQL Server e Analysis Services 2016</v>
      </c>
    </row>
    <row r="9992">
      <c r="A9992" s="140" t="str">
        <f>IFERROR(__xludf.DUMMYFUNCTION("""COMPUTED_VALUE"""),"es")</f>
        <v>es</v>
      </c>
      <c r="B9992">
        <f>IFERROR(__xludf.DUMMYFUNCTION("""COMPUTED_VALUE"""),4171216.0)</f>
        <v>4171216</v>
      </c>
      <c r="C9992" t="str">
        <f>IFERROR(__xludf.DUMMYFUNCTION("""COMPUTED_VALUE"""),"Estadística para No Estadísticos")</f>
        <v>Estadística para No Estadísticos</v>
      </c>
    </row>
    <row r="9993">
      <c r="A9993" s="140" t="str">
        <f>IFERROR(__xludf.DUMMYFUNCTION("""COMPUTED_VALUE"""),"pt")</f>
        <v>pt</v>
      </c>
      <c r="B9993">
        <f>IFERROR(__xludf.DUMMYFUNCTION("""COMPUTED_VALUE"""),2043766.0)</f>
        <v>2043766</v>
      </c>
      <c r="C9993" t="str">
        <f>IFERROR(__xludf.DUMMYFUNCTION("""COMPUTED_VALUE"""),"Aprenda testes de integração com Spring Boot")</f>
        <v>Aprenda testes de integração com Spring Boot</v>
      </c>
    </row>
    <row r="9994">
      <c r="A9994" s="140" t="str">
        <f>IFERROR(__xludf.DUMMYFUNCTION("""COMPUTED_VALUE"""),"ja")</f>
        <v>ja</v>
      </c>
      <c r="B9994">
        <f>IFERROR(__xludf.DUMMYFUNCTION("""COMPUTED_VALUE"""),2070951.0)</f>
        <v>2070951</v>
      </c>
      <c r="C9994" t="str">
        <f>IFERROR(__xludf.DUMMYFUNCTION("""COMPUTED_VALUE"""),"～始めから効率よく学ぶ～ 基本情報技術者試験 最速 合格講座")</f>
        <v>～始めから効率よく学ぶ～ 基本情報技術者試験 最速 合格講座</v>
      </c>
    </row>
    <row r="9995">
      <c r="A9995" s="140" t="str">
        <f>IFERROR(__xludf.DUMMYFUNCTION("""COMPUTED_VALUE"""),"pt")</f>
        <v>pt</v>
      </c>
      <c r="B9995">
        <f>IFERROR(__xludf.DUMMYFUNCTION("""COMPUTED_VALUE"""),2396992.0)</f>
        <v>2396992</v>
      </c>
      <c r="C9995" t="str">
        <f>IFERROR(__xludf.DUMMYFUNCTION("""COMPUTED_VALUE"""),"Aprendizagem por Reforço com Deep Learning, PyTorch e Python")</f>
        <v>Aprendizagem por Reforço com Deep Learning, PyTorch e Python</v>
      </c>
    </row>
    <row r="9996">
      <c r="A9996" s="140" t="str">
        <f>IFERROR(__xludf.DUMMYFUNCTION("""COMPUTED_VALUE"""),"pt")</f>
        <v>pt</v>
      </c>
      <c r="B9996">
        <f>IFERROR(__xludf.DUMMYFUNCTION("""COMPUTED_VALUE"""),2580598.0)</f>
        <v>2580598</v>
      </c>
      <c r="C9996" t="str">
        <f>IFERROR(__xludf.DUMMYFUNCTION("""COMPUTED_VALUE"""),"UX Design Rápido e Prático")</f>
        <v>UX Design Rápido e Prático</v>
      </c>
    </row>
    <row r="9997">
      <c r="A9997" s="140" t="str">
        <f>IFERROR(__xludf.DUMMYFUNCTION("""COMPUTED_VALUE"""),"es")</f>
        <v>es</v>
      </c>
      <c r="B9997">
        <f>IFERROR(__xludf.DUMMYFUNCTION("""COMPUTED_VALUE"""),1772046.0)</f>
        <v>1772046</v>
      </c>
      <c r="C9997" t="str">
        <f>IFERROR(__xludf.DUMMYFUNCTION("""COMPUTED_VALUE"""),"Optimización de Consultas con Sql Server 2008-2019")</f>
        <v>Optimización de Consultas con Sql Server 2008-2019</v>
      </c>
    </row>
    <row r="9998">
      <c r="A9998" s="140" t="str">
        <f>IFERROR(__xludf.DUMMYFUNCTION("""COMPUTED_VALUE"""),"en")</f>
        <v>en</v>
      </c>
      <c r="B9998">
        <f>IFERROR(__xludf.DUMMYFUNCTION("""COMPUTED_VALUE"""),3258488.0)</f>
        <v>3258488</v>
      </c>
      <c r="C9998" t="str">
        <f>IFERROR(__xludf.DUMMYFUNCTION("""COMPUTED_VALUE"""),"Microsoft Dynamics 365 (CRM) &amp;Power Platform Training (2021)")</f>
        <v>Microsoft Dynamics 365 (CRM) &amp;Power Platform Training (2021)</v>
      </c>
    </row>
    <row r="9999">
      <c r="A9999" s="140" t="str">
        <f>IFERROR(__xludf.DUMMYFUNCTION("""COMPUTED_VALUE"""),"en")</f>
        <v>en</v>
      </c>
      <c r="B9999">
        <f>IFERROR(__xludf.DUMMYFUNCTION("""COMPUTED_VALUE"""),1203374.0)</f>
        <v>1203374</v>
      </c>
      <c r="C9999" t="str">
        <f>IFERROR(__xludf.DUMMYFUNCTION("""COMPUTED_VALUE"""),"Cisco CCNA 200-301 – The Complete Guide to Getting Certified")</f>
        <v>Cisco CCNA 200-301 – The Complete Guide to Getting Certified</v>
      </c>
    </row>
    <row r="10000">
      <c r="A10000" s="140" t="str">
        <f>IFERROR(__xludf.DUMMYFUNCTION("""COMPUTED_VALUE"""),"pt")</f>
        <v>pt</v>
      </c>
      <c r="B10000">
        <f>IFERROR(__xludf.DUMMYFUNCTION("""COMPUTED_VALUE"""),3566849.0)</f>
        <v>3566849</v>
      </c>
      <c r="C10000" t="str">
        <f>IFERROR(__xludf.DUMMYFUNCTION("""COMPUTED_VALUE"""),"Formação Microsoft Power BI Profissional")</f>
        <v>Formação Microsoft Power BI Profissional</v>
      </c>
    </row>
    <row r="10001">
      <c r="A10001" s="140" t="str">
        <f>IFERROR(__xludf.DUMMYFUNCTION("""COMPUTED_VALUE"""),"en")</f>
        <v>en</v>
      </c>
      <c r="B10001">
        <f>IFERROR(__xludf.DUMMYFUNCTION("""COMPUTED_VALUE"""),1441216.0)</f>
        <v>1441216</v>
      </c>
      <c r="C10001" t="str">
        <f>IFERROR(__xludf.DUMMYFUNCTION("""COMPUTED_VALUE"""),"Master the Fourier transform and its applications")</f>
        <v>Master the Fourier transform and its applications</v>
      </c>
    </row>
    <row r="10002">
      <c r="A10002" s="140" t="str">
        <f>IFERROR(__xludf.DUMMYFUNCTION("""COMPUTED_VALUE"""),"en")</f>
        <v>en</v>
      </c>
      <c r="B10002">
        <f>IFERROR(__xludf.DUMMYFUNCTION("""COMPUTED_VALUE"""),1854668.0)</f>
        <v>1854668</v>
      </c>
      <c r="C10002" t="str">
        <f>IFERROR(__xludf.DUMMYFUNCTION("""COMPUTED_VALUE"""),"The Complete Storytelling Course for Speaking &amp; Presenting")</f>
        <v>The Complete Storytelling Course for Speaking &amp; Presenting</v>
      </c>
    </row>
    <row r="10003">
      <c r="A10003" s="140" t="str">
        <f>IFERROR(__xludf.DUMMYFUNCTION("""COMPUTED_VALUE"""),"tr")</f>
        <v>tr</v>
      </c>
      <c r="B10003">
        <f>IFERROR(__xludf.DUMMYFUNCTION("""COMPUTED_VALUE"""),3147006.0)</f>
        <v>3147006</v>
      </c>
      <c r="C10003" t="str">
        <f>IFERROR(__xludf.DUMMYFUNCTION("""COMPUTED_VALUE"""),"Sıfırdan İleriye PHP ve MySQL Eğitim Seti [PDO-MYSQLİ]")</f>
        <v>Sıfırdan İleriye PHP ve MySQL Eğitim Seti [PDO-MYSQLİ]</v>
      </c>
    </row>
    <row r="10004">
      <c r="A10004" s="140" t="str">
        <f>IFERROR(__xludf.DUMMYFUNCTION("""COMPUTED_VALUE"""),"en")</f>
        <v>en</v>
      </c>
      <c r="B10004">
        <f>IFERROR(__xludf.DUMMYFUNCTION("""COMPUTED_VALUE"""),1489540.0)</f>
        <v>1489540</v>
      </c>
      <c r="C10004" t="str">
        <f>IFERROR(__xludf.DUMMYFUNCTION("""COMPUTED_VALUE"""),"SOLIDWORKS: Become a Certified Professional Today (CSWP)")</f>
        <v>SOLIDWORKS: Become a Certified Professional Today (CSWP)</v>
      </c>
    </row>
    <row r="10005">
      <c r="A10005" s="140" t="str">
        <f>IFERROR(__xludf.DUMMYFUNCTION("""COMPUTED_VALUE"""),"ar")</f>
        <v>ar</v>
      </c>
      <c r="B10005">
        <f>IFERROR(__xludf.DUMMYFUNCTION("""COMPUTED_VALUE"""),3566347.0)</f>
        <v>3566347</v>
      </c>
      <c r="C10005" t="str">
        <f>IFERROR(__xludf.DUMMYFUNCTION("""COMPUTED_VALUE"""),"الدورة التدريبية الكاملة لبناء موقع تواصل إجتماعي متقدم")</f>
        <v>الدورة التدريبية الكاملة لبناء موقع تواصل إجتماعي متقدم</v>
      </c>
    </row>
    <row r="10006">
      <c r="A10006" s="140" t="str">
        <f>IFERROR(__xludf.DUMMYFUNCTION("""COMPUTED_VALUE"""),"pt")</f>
        <v>pt</v>
      </c>
      <c r="B10006">
        <f>IFERROR(__xludf.DUMMYFUNCTION("""COMPUTED_VALUE"""),2365916.0)</f>
        <v>2365916</v>
      </c>
      <c r="C10006" t="str">
        <f>IFERROR(__xludf.DUMMYFUNCTION("""COMPUTED_VALUE"""),"React Js do zero ao avançado na pratica")</f>
        <v>React Js do zero ao avançado na pratica</v>
      </c>
    </row>
    <row r="10007">
      <c r="A10007" s="140" t="str">
        <f>IFERROR(__xludf.DUMMYFUNCTION("""COMPUTED_VALUE"""),"en")</f>
        <v>en</v>
      </c>
      <c r="B10007">
        <f>IFERROR(__xludf.DUMMYFUNCTION("""COMPUTED_VALUE"""),1208856.0)</f>
        <v>1208856</v>
      </c>
      <c r="C10007" t="str">
        <f>IFERROR(__xludf.DUMMYFUNCTION("""COMPUTED_VALUE"""),"Bookkeeping Basics #3: QuickBooks™ Fundamentals")</f>
        <v>Bookkeeping Basics #3: QuickBooks™ Fundamentals</v>
      </c>
    </row>
    <row r="10008">
      <c r="A10008" s="140" t="str">
        <f>IFERROR(__xludf.DUMMYFUNCTION("""COMPUTED_VALUE"""),"es")</f>
        <v>es</v>
      </c>
      <c r="B10008">
        <f>IFERROR(__xludf.DUMMYFUNCTION("""COMPUTED_VALUE"""),1733198.0)</f>
        <v>1733198</v>
      </c>
      <c r="C10008" t="str">
        <f>IFERROR(__xludf.DUMMYFUNCTION("""COMPUTED_VALUE"""),"Llamada en frío 3.0 - La venta directa asertiva")</f>
        <v>Llamada en frío 3.0 - La venta directa asertiva</v>
      </c>
    </row>
    <row r="10009">
      <c r="A10009" s="140" t="str">
        <f>IFERROR(__xludf.DUMMYFUNCTION("""COMPUTED_VALUE"""),"tr")</f>
        <v>tr</v>
      </c>
      <c r="B10009">
        <f>IFERROR(__xludf.DUMMYFUNCTION("""COMPUTED_VALUE"""),3373016.0)</f>
        <v>3373016</v>
      </c>
      <c r="C10009" t="str">
        <f>IFERROR(__xludf.DUMMYFUNCTION("""COMPUTED_VALUE"""),"ALMANCA B2 (460 SORU+32 VİDEO DERS+KELİME SÖZLÜĞÜ)")</f>
        <v>ALMANCA B2 (460 SORU+32 VİDEO DERS+KELİME SÖZLÜĞÜ)</v>
      </c>
    </row>
    <row r="10010">
      <c r="A10010" s="140" t="str">
        <f>IFERROR(__xludf.DUMMYFUNCTION("""COMPUTED_VALUE"""),"pt")</f>
        <v>pt</v>
      </c>
      <c r="B10010">
        <f>IFERROR(__xludf.DUMMYFUNCTION("""COMPUTED_VALUE"""),2340578.0)</f>
        <v>2340578</v>
      </c>
      <c r="C10010" t="str">
        <f>IFERROR(__xludf.DUMMYFUNCTION("""COMPUTED_VALUE"""),"Do Waterfall ao Scrum: Acerte na Mudança do Modelo de Gestão")</f>
        <v>Do Waterfall ao Scrum: Acerte na Mudança do Modelo de Gestão</v>
      </c>
    </row>
    <row r="10011">
      <c r="A10011" s="140" t="str">
        <f>IFERROR(__xludf.DUMMYFUNCTION("""COMPUTED_VALUE"""),"en")</f>
        <v>en</v>
      </c>
      <c r="B10011">
        <f>IFERROR(__xludf.DUMMYFUNCTION("""COMPUTED_VALUE"""),2701338.0)</f>
        <v>2701338</v>
      </c>
      <c r="C10011" t="str">
        <f>IFERROR(__xludf.DUMMYFUNCTION("""COMPUTED_VALUE"""),"Spring Professional Certification Exam Tutorial - Module 05")</f>
        <v>Spring Professional Certification Exam Tutorial - Module 05</v>
      </c>
    </row>
    <row r="10012">
      <c r="A10012" s="140" t="str">
        <f>IFERROR(__xludf.DUMMYFUNCTION("""COMPUTED_VALUE"""),"pt")</f>
        <v>pt</v>
      </c>
      <c r="B10012">
        <f>IFERROR(__xludf.DUMMYFUNCTION("""COMPUTED_VALUE"""),1738426.0)</f>
        <v>1738426</v>
      </c>
      <c r="C10012" t="str">
        <f>IFERROR(__xludf.DUMMYFUNCTION("""COMPUTED_VALUE"""),"After Effects CC 2019 - Do Básico ao Avançado")</f>
        <v>After Effects CC 2019 - Do Básico ao Avançado</v>
      </c>
    </row>
    <row r="10013">
      <c r="A10013" s="140" t="str">
        <f>IFERROR(__xludf.DUMMYFUNCTION("""COMPUTED_VALUE"""),"en")</f>
        <v>en</v>
      </c>
      <c r="B10013">
        <f>IFERROR(__xludf.DUMMYFUNCTION("""COMPUTED_VALUE"""),20365.0)</f>
        <v>20365</v>
      </c>
      <c r="C10013" t="str">
        <f>IFERROR(__xludf.DUMMYFUNCTION("""COMPUTED_VALUE"""),"SAP ABAP Programming For Beginners - Online Training")</f>
        <v>SAP ABAP Programming For Beginners - Online Training</v>
      </c>
    </row>
    <row r="10014">
      <c r="A10014" s="140" t="str">
        <f>IFERROR(__xludf.DUMMYFUNCTION("""COMPUTED_VALUE"""),"en")</f>
        <v>en</v>
      </c>
      <c r="B10014">
        <f>IFERROR(__xludf.DUMMYFUNCTION("""COMPUTED_VALUE"""),3349512.0)</f>
        <v>3349512</v>
      </c>
      <c r="C10014" t="str">
        <f>IFERROR(__xludf.DUMMYFUNCTION("""COMPUTED_VALUE"""),"Construction Claims - Identifying Claims")</f>
        <v>Construction Claims - Identifying Claims</v>
      </c>
    </row>
    <row r="10015">
      <c r="A10015" s="140" t="str">
        <f>IFERROR(__xludf.DUMMYFUNCTION("""COMPUTED_VALUE"""),"en")</f>
        <v>en</v>
      </c>
      <c r="B10015">
        <f>IFERROR(__xludf.DUMMYFUNCTION("""COMPUTED_VALUE"""),2345664.0)</f>
        <v>2345664</v>
      </c>
      <c r="C10015" t="str">
        <f>IFERROR(__xludf.DUMMYFUNCTION("""COMPUTED_VALUE"""),"Clojure: The Complete Beginner's Guide")</f>
        <v>Clojure: The Complete Beginner's Guide</v>
      </c>
    </row>
    <row r="10016">
      <c r="A10016" s="140" t="str">
        <f>IFERROR(__xludf.DUMMYFUNCTION("""COMPUTED_VALUE"""),"en")</f>
        <v>en</v>
      </c>
      <c r="B10016">
        <f>IFERROR(__xludf.DUMMYFUNCTION("""COMPUTED_VALUE"""),2193468.0)</f>
        <v>2193468</v>
      </c>
      <c r="C10016" t="str">
        <f>IFERROR(__xludf.DUMMYFUNCTION("""COMPUTED_VALUE"""),"Microsoft AZ-303 Certification: Azure Architect Technologies")</f>
        <v>Microsoft AZ-303 Certification: Azure Architect Technologies</v>
      </c>
    </row>
    <row r="10017">
      <c r="A10017" s="140" t="str">
        <f>IFERROR(__xludf.DUMMYFUNCTION("""COMPUTED_VALUE"""),"en")</f>
        <v>en</v>
      </c>
      <c r="B10017">
        <f>IFERROR(__xludf.DUMMYFUNCTION("""COMPUTED_VALUE"""),791868.0)</f>
        <v>791868</v>
      </c>
      <c r="C10017" t="str">
        <f>IFERROR(__xludf.DUMMYFUNCTION("""COMPUTED_VALUE"""),"Altium Designer 16 - Basics (Arduino FIO)")</f>
        <v>Altium Designer 16 - Basics (Arduino FIO)</v>
      </c>
    </row>
    <row r="10018">
      <c r="A10018" s="140" t="str">
        <f>IFERROR(__xludf.DUMMYFUNCTION("""COMPUTED_VALUE"""),"en")</f>
        <v>en</v>
      </c>
      <c r="B10018">
        <f>IFERROR(__xludf.DUMMYFUNCTION("""COMPUTED_VALUE"""),1232494.0)</f>
        <v>1232494</v>
      </c>
      <c r="C10018" t="str">
        <f>IFERROR(__xludf.DUMMYFUNCTION("""COMPUTED_VALUE"""),"Citrix NetScaler 12 - Introduction")</f>
        <v>Citrix NetScaler 12 - Introduction</v>
      </c>
    </row>
    <row r="10019">
      <c r="A10019" s="140" t="str">
        <f>IFERROR(__xludf.DUMMYFUNCTION("""COMPUTED_VALUE"""),"en")</f>
        <v>en</v>
      </c>
      <c r="B10019">
        <f>IFERROR(__xludf.DUMMYFUNCTION("""COMPUTED_VALUE"""),1412618.0)</f>
        <v>1412618</v>
      </c>
      <c r="C10019" t="str">
        <f>IFERROR(__xludf.DUMMYFUNCTION("""COMPUTED_VALUE"""),"Mindfulness Meditation for Real Life")</f>
        <v>Mindfulness Meditation for Real Life</v>
      </c>
    </row>
    <row r="10020">
      <c r="A10020" s="140" t="str">
        <f>IFERROR(__xludf.DUMMYFUNCTION("""COMPUTED_VALUE"""),"tr")</f>
        <v>tr</v>
      </c>
      <c r="B10020">
        <f>IFERROR(__xludf.DUMMYFUNCTION("""COMPUTED_VALUE"""),3282644.0)</f>
        <v>3282644</v>
      </c>
      <c r="C10020" t="str">
        <f>IFERROR(__xludf.DUMMYFUNCTION("""COMPUTED_VALUE"""),"SPSS ve AMOS ile Uygulamalı İstatistik Eğitimi")</f>
        <v>SPSS ve AMOS ile Uygulamalı İstatistik Eğitimi</v>
      </c>
    </row>
    <row r="10021">
      <c r="A10021" s="140" t="str">
        <f>IFERROR(__xludf.DUMMYFUNCTION("""COMPUTED_VALUE"""),"pt")</f>
        <v>pt</v>
      </c>
      <c r="B10021">
        <f>IFERROR(__xludf.DUMMYFUNCTION("""COMPUTED_VALUE"""),1853856.0)</f>
        <v>1853856</v>
      </c>
      <c r="C10021" t="str">
        <f>IFERROR(__xludf.DUMMYFUNCTION("""COMPUTED_VALUE"""),"Gerenciamento de Projetos COMPLETO e TOTAL")</f>
        <v>Gerenciamento de Projetos COMPLETO e TOTAL</v>
      </c>
    </row>
    <row r="10022">
      <c r="A10022" s="140" t="str">
        <f>IFERROR(__xludf.DUMMYFUNCTION("""COMPUTED_VALUE"""),"es")</f>
        <v>es</v>
      </c>
      <c r="B10022">
        <f>IFERROR(__xludf.DUMMYFUNCTION("""COMPUTED_VALUE"""),1922200.0)</f>
        <v>1922200</v>
      </c>
      <c r="C10022" t="str">
        <f>IFERROR(__xludf.DUMMYFUNCTION("""COMPUTED_VALUE"""),"Liderar transformaciones Agiles con Scrum@Scale")</f>
        <v>Liderar transformaciones Agiles con Scrum@Scale</v>
      </c>
    </row>
    <row r="10023">
      <c r="A10023" s="140" t="str">
        <f>IFERROR(__xludf.DUMMYFUNCTION("""COMPUTED_VALUE"""),"en")</f>
        <v>en</v>
      </c>
      <c r="B10023">
        <f>IFERROR(__xludf.DUMMYFUNCTION("""COMPUTED_VALUE"""),1121254.0)</f>
        <v>1121254</v>
      </c>
      <c r="C10023" t="str">
        <f>IFERROR(__xludf.DUMMYFUNCTION("""COMPUTED_VALUE"""),"Docker for Java Developers")</f>
        <v>Docker for Java Developers</v>
      </c>
    </row>
    <row r="10024">
      <c r="A10024" s="140" t="str">
        <f>IFERROR(__xludf.DUMMYFUNCTION("""COMPUTED_VALUE"""),"en")</f>
        <v>en</v>
      </c>
      <c r="B10024">
        <f>IFERROR(__xludf.DUMMYFUNCTION("""COMPUTED_VALUE"""),1328052.0)</f>
        <v>1328052</v>
      </c>
      <c r="C10024" t="str">
        <f>IFERROR(__xludf.DUMMYFUNCTION("""COMPUTED_VALUE"""),"Writing High Performance Python")</f>
        <v>Writing High Performance Python</v>
      </c>
    </row>
    <row r="10025">
      <c r="A10025" s="140" t="str">
        <f>IFERROR(__xludf.DUMMYFUNCTION("""COMPUTED_VALUE"""),"ja")</f>
        <v>ja</v>
      </c>
      <c r="B10025">
        <f>IFERROR(__xludf.DUMMYFUNCTION("""COMPUTED_VALUE"""),685762.0)</f>
        <v>685762</v>
      </c>
      <c r="C10025" t="str">
        <f>IFERROR(__xludf.DUMMYFUNCTION("""COMPUTED_VALUE"""),"【2021年度～新検定対応】スキマ時間でビジュアル簿記３級～予備校講師によるビジュアル動画レクチャー")</f>
        <v>【2021年度～新検定対応】スキマ時間でビジュアル簿記３級～予備校講師によるビジュアル動画レクチャー</v>
      </c>
    </row>
    <row r="10026">
      <c r="A10026" s="140" t="str">
        <f>IFERROR(__xludf.DUMMYFUNCTION("""COMPUTED_VALUE"""),"en")</f>
        <v>en</v>
      </c>
      <c r="B10026">
        <f>IFERROR(__xludf.DUMMYFUNCTION("""COMPUTED_VALUE"""),3554859.0)</f>
        <v>3554859</v>
      </c>
      <c r="C10026" t="str">
        <f>IFERROR(__xludf.DUMMYFUNCTION("""COMPUTED_VALUE"""),"Aerospace Engineering: Rocket Science and Engineering")</f>
        <v>Aerospace Engineering: Rocket Science and Engineering</v>
      </c>
    </row>
    <row r="10027">
      <c r="A10027" s="140" t="str">
        <f>IFERROR(__xludf.DUMMYFUNCTION("""COMPUTED_VALUE"""),"en")</f>
        <v>en</v>
      </c>
      <c r="B10027">
        <f>IFERROR(__xludf.DUMMYFUNCTION("""COMPUTED_VALUE"""),1242820.0)</f>
        <v>1242820</v>
      </c>
      <c r="C10027" t="str">
        <f>IFERROR(__xludf.DUMMYFUNCTION("""COMPUTED_VALUE"""),"Fundamentals of Garden Design")</f>
        <v>Fundamentals of Garden Design</v>
      </c>
    </row>
    <row r="10028">
      <c r="A10028" s="140" t="str">
        <f>IFERROR(__xludf.DUMMYFUNCTION("""COMPUTED_VALUE"""),"en")</f>
        <v>en</v>
      </c>
      <c r="B10028">
        <f>IFERROR(__xludf.DUMMYFUNCTION("""COMPUTED_VALUE"""),1342360.0)</f>
        <v>1342360</v>
      </c>
      <c r="C10028" t="str">
        <f>IFERROR(__xludf.DUMMYFUNCTION("""COMPUTED_VALUE"""),"Instructional Design Pro (Part 1): No Beginners Allowed!")</f>
        <v>Instructional Design Pro (Part 1): No Beginners Allowed!</v>
      </c>
    </row>
    <row r="10029">
      <c r="A10029" s="140" t="str">
        <f>IFERROR(__xludf.DUMMYFUNCTION("""COMPUTED_VALUE"""),"fr")</f>
        <v>fr</v>
      </c>
      <c r="B10029">
        <f>IFERROR(__xludf.DUMMYFUNCTION("""COMPUTED_VALUE"""),2111952.0)</f>
        <v>2111952</v>
      </c>
      <c r="C10029" t="str">
        <f>IFERROR(__xludf.DUMMYFUNCTION("""COMPUTED_VALUE"""),"Webpack 4 pour les développeurs pressés")</f>
        <v>Webpack 4 pour les développeurs pressés</v>
      </c>
    </row>
    <row r="10030">
      <c r="A10030" s="140" t="str">
        <f>IFERROR(__xludf.DUMMYFUNCTION("""COMPUTED_VALUE"""),"en")</f>
        <v>en</v>
      </c>
      <c r="B10030">
        <f>IFERROR(__xludf.DUMMYFUNCTION("""COMPUTED_VALUE"""),2023728.0)</f>
        <v>2023728</v>
      </c>
      <c r="C10030" t="str">
        <f>IFERROR(__xludf.DUMMYFUNCTION("""COMPUTED_VALUE"""),"Go Java Full Stack with Spring Boot and Angular")</f>
        <v>Go Java Full Stack with Spring Boot and Angular</v>
      </c>
    </row>
    <row r="10031">
      <c r="A10031" s="140" t="str">
        <f>IFERROR(__xludf.DUMMYFUNCTION("""COMPUTED_VALUE"""),"ja")</f>
        <v>ja</v>
      </c>
      <c r="B10031">
        <f>IFERROR(__xludf.DUMMYFUNCTION("""COMPUTED_VALUE"""),2672672.0)</f>
        <v>2672672</v>
      </c>
      <c r="C10031" t="str">
        <f>IFERROR(__xludf.DUMMYFUNCTION("""COMPUTED_VALUE"""),"今からでも基礎から学べるPythonによる自然言語処理（NLP）：現役データサイエンティストが教える「日本語」文書分類")</f>
        <v>今からでも基礎から学べるPythonによる自然言語処理（NLP）：現役データサイエンティストが教える「日本語」文書分類</v>
      </c>
    </row>
    <row r="10032">
      <c r="A10032" s="140" t="str">
        <f>IFERROR(__xludf.DUMMYFUNCTION("""COMPUTED_VALUE"""),"fr")</f>
        <v>fr</v>
      </c>
      <c r="B10032">
        <f>IFERROR(__xludf.DUMMYFUNCTION("""COMPUTED_VALUE"""),1328016.0)</f>
        <v>1328016</v>
      </c>
      <c r="C10032" t="str">
        <f>IFERROR(__xludf.DUMMYFUNCTION("""COMPUTED_VALUE"""),"La PNL, modèle de communication efficace - Hélène Blanchard")</f>
        <v>La PNL, modèle de communication efficace - Hélène Blanchard</v>
      </c>
    </row>
    <row r="10033">
      <c r="A10033" s="140" t="str">
        <f>IFERROR(__xludf.DUMMYFUNCTION("""COMPUTED_VALUE"""),"en")</f>
        <v>en</v>
      </c>
      <c r="B10033">
        <f>IFERROR(__xludf.DUMMYFUNCTION("""COMPUTED_VALUE"""),2773144.0)</f>
        <v>2773144</v>
      </c>
      <c r="C10033" t="str">
        <f>IFERROR(__xludf.DUMMYFUNCTION("""COMPUTED_VALUE"""),"The Complete C++ Developer Course")</f>
        <v>The Complete C++ Developer Course</v>
      </c>
    </row>
    <row r="10034">
      <c r="A10034" s="140" t="str">
        <f>IFERROR(__xludf.DUMMYFUNCTION("""COMPUTED_VALUE"""),"en")</f>
        <v>en</v>
      </c>
      <c r="B10034">
        <f>IFERROR(__xludf.DUMMYFUNCTION("""COMPUTED_VALUE"""),446134.0)</f>
        <v>446134</v>
      </c>
      <c r="C10034" t="str">
        <f>IFERROR(__xludf.DUMMYFUNCTION("""COMPUTED_VALUE"""),"Ultimate Web Designer &amp; Web Developer Course for 2021")</f>
        <v>Ultimate Web Designer &amp; Web Developer Course for 2021</v>
      </c>
    </row>
    <row r="10035">
      <c r="A10035" s="140" t="str">
        <f>IFERROR(__xludf.DUMMYFUNCTION("""COMPUTED_VALUE"""),"en")</f>
        <v>en</v>
      </c>
      <c r="B10035">
        <f>IFERROR(__xludf.DUMMYFUNCTION("""COMPUTED_VALUE"""),2313964.0)</f>
        <v>2313964</v>
      </c>
      <c r="C10035" t="str">
        <f>IFERROR(__xludf.DUMMYFUNCTION("""COMPUTED_VALUE"""),"Business Branding: The Complete Course Part 2 - Expression")</f>
        <v>Business Branding: The Complete Course Part 2 - Expression</v>
      </c>
    </row>
    <row r="10036">
      <c r="A10036" s="140" t="str">
        <f>IFERROR(__xludf.DUMMYFUNCTION("""COMPUTED_VALUE"""),"es")</f>
        <v>es</v>
      </c>
      <c r="B10036">
        <f>IFERROR(__xludf.DUMMYFUNCTION("""COMPUTED_VALUE"""),2773648.0)</f>
        <v>2773648</v>
      </c>
      <c r="C10036" t="str">
        <f>IFERROR(__xludf.DUMMYFUNCTION("""COMPUTED_VALUE"""),"El Arte del Relato")</f>
        <v>El Arte del Relato</v>
      </c>
    </row>
    <row r="10037">
      <c r="A10037" s="140" t="str">
        <f>IFERROR(__xludf.DUMMYFUNCTION("""COMPUTED_VALUE"""),"pt")</f>
        <v>pt</v>
      </c>
      <c r="B10037">
        <f>IFERROR(__xludf.DUMMYFUNCTION("""COMPUTED_VALUE"""),1383810.0)</f>
        <v>1383810</v>
      </c>
      <c r="C10037" t="str">
        <f>IFERROR(__xludf.DUMMYFUNCTION("""COMPUTED_VALUE"""),"Curso Design Gráfico COMPLETO 10 Cursos do Zero ao Avançado")</f>
        <v>Curso Design Gráfico COMPLETO 10 Cursos do Zero ao Avançado</v>
      </c>
    </row>
    <row r="10038">
      <c r="A10038" s="140" t="str">
        <f>IFERROR(__xludf.DUMMYFUNCTION("""COMPUTED_VALUE"""),"en")</f>
        <v>en</v>
      </c>
      <c r="B10038">
        <f>IFERROR(__xludf.DUMMYFUNCTION("""COMPUTED_VALUE"""),1081340.0)</f>
        <v>1081340</v>
      </c>
      <c r="C10038" t="str">
        <f>IFERROR(__xludf.DUMMYFUNCTION("""COMPUTED_VALUE"""),"Stress management for business owners, directors &amp; managers")</f>
        <v>Stress management for business owners, directors &amp; managers</v>
      </c>
    </row>
    <row r="10039">
      <c r="A10039" s="140" t="str">
        <f>IFERROR(__xludf.DUMMYFUNCTION("""COMPUTED_VALUE"""),"en")</f>
        <v>en</v>
      </c>
      <c r="B10039">
        <f>IFERROR(__xludf.DUMMYFUNCTION("""COMPUTED_VALUE"""),2996062.0)</f>
        <v>2996062</v>
      </c>
      <c r="C10039" t="str">
        <f>IFERROR(__xludf.DUMMYFUNCTION("""COMPUTED_VALUE"""),"CBAP Certification Course. Full Course.")</f>
        <v>CBAP Certification Course. Full Course.</v>
      </c>
    </row>
    <row r="10040">
      <c r="A10040" s="140" t="str">
        <f>IFERROR(__xludf.DUMMYFUNCTION("""COMPUTED_VALUE"""),"en")</f>
        <v>en</v>
      </c>
      <c r="B10040">
        <f>IFERROR(__xludf.DUMMYFUNCTION("""COMPUTED_VALUE"""),948466.0)</f>
        <v>948466</v>
      </c>
      <c r="C10040" t="str">
        <f>IFERROR(__xludf.DUMMYFUNCTION("""COMPUTED_VALUE"""),"Ultimate Golf: How To Build Your Perfect Golf Swing")</f>
        <v>Ultimate Golf: How To Build Your Perfect Golf Swing</v>
      </c>
    </row>
    <row r="10041">
      <c r="A10041" s="140" t="str">
        <f>IFERROR(__xludf.DUMMYFUNCTION("""COMPUTED_VALUE"""),"pt")</f>
        <v>pt</v>
      </c>
      <c r="B10041">
        <f>IFERROR(__xludf.DUMMYFUNCTION("""COMPUTED_VALUE"""),2453652.0)</f>
        <v>2453652</v>
      </c>
      <c r="C10041" t="str">
        <f>IFERROR(__xludf.DUMMYFUNCTION("""COMPUTED_VALUE"""),"Fast MBA - Specialist | Solução Estratégica de Problemas")</f>
        <v>Fast MBA - Specialist | Solução Estratégica de Problemas</v>
      </c>
    </row>
    <row r="10042">
      <c r="A10042" s="140" t="str">
        <f>IFERROR(__xludf.DUMMYFUNCTION("""COMPUTED_VALUE"""),"en")</f>
        <v>en</v>
      </c>
      <c r="B10042">
        <f>IFERROR(__xludf.DUMMYFUNCTION("""COMPUTED_VALUE"""),1974808.0)</f>
        <v>1974808</v>
      </c>
      <c r="C10042" t="str">
        <f>IFERROR(__xludf.DUMMYFUNCTION("""COMPUTED_VALUE"""),"Master NEW Excel Functions in Office 365 &amp; Office 2021")</f>
        <v>Master NEW Excel Functions in Office 365 &amp; Office 2021</v>
      </c>
    </row>
    <row r="10043">
      <c r="A10043" s="140" t="str">
        <f>IFERROR(__xludf.DUMMYFUNCTION("""COMPUTED_VALUE"""),"en")</f>
        <v>en</v>
      </c>
      <c r="B10043">
        <f>IFERROR(__xludf.DUMMYFUNCTION("""COMPUTED_VALUE"""),3140502.0)</f>
        <v>3140502</v>
      </c>
      <c r="C10043" t="str">
        <f>IFERROR(__xludf.DUMMYFUNCTION("""COMPUTED_VALUE"""),"Level 4 Diploma - Whole Life Asset Management (L4M7)")</f>
        <v>Level 4 Diploma - Whole Life Asset Management (L4M7)</v>
      </c>
    </row>
    <row r="10044">
      <c r="A10044" s="140" t="str">
        <f>IFERROR(__xludf.DUMMYFUNCTION("""COMPUTED_VALUE"""),"en")</f>
        <v>en</v>
      </c>
      <c r="B10044">
        <f>IFERROR(__xludf.DUMMYFUNCTION("""COMPUTED_VALUE"""),2673628.0)</f>
        <v>2673628</v>
      </c>
      <c r="C10044" t="str">
        <f>IFERROR(__xludf.DUMMYFUNCTION("""COMPUTED_VALUE"""),"AWS Identity Access Management (IAM) Practical Applications")</f>
        <v>AWS Identity Access Management (IAM) Practical Applications</v>
      </c>
    </row>
    <row r="10045">
      <c r="A10045" s="140" t="str">
        <f>IFERROR(__xludf.DUMMYFUNCTION("""COMPUTED_VALUE"""),"es")</f>
        <v>es</v>
      </c>
      <c r="B10045">
        <f>IFERROR(__xludf.DUMMYFUNCTION("""COMPUTED_VALUE"""),659170.0)</f>
        <v>659170</v>
      </c>
      <c r="C10045" t="str">
        <f>IFERROR(__xludf.DUMMYFUNCTION("""COMPUTED_VALUE"""),"CCNP SWITCH 300-115 en Español")</f>
        <v>CCNP SWITCH 300-115 en Español</v>
      </c>
    </row>
    <row r="10046">
      <c r="A10046" s="140" t="str">
        <f>IFERROR(__xludf.DUMMYFUNCTION("""COMPUTED_VALUE"""),"en")</f>
        <v>en</v>
      </c>
      <c r="B10046">
        <f>IFERROR(__xludf.DUMMYFUNCTION("""COMPUTED_VALUE"""),1872258.0)</f>
        <v>1872258</v>
      </c>
      <c r="C10046" t="str">
        <f>IFERROR(__xludf.DUMMYFUNCTION("""COMPUTED_VALUE"""),"End to End Data Science Practicum with Knime")</f>
        <v>End to End Data Science Practicum with Knime</v>
      </c>
    </row>
    <row r="10047">
      <c r="A10047" s="140" t="str">
        <f>IFERROR(__xludf.DUMMYFUNCTION("""COMPUTED_VALUE"""),"en")</f>
        <v>en</v>
      </c>
      <c r="B10047">
        <f>IFERROR(__xludf.DUMMYFUNCTION("""COMPUTED_VALUE"""),3048724.0)</f>
        <v>3048724</v>
      </c>
      <c r="C10047" t="str">
        <f>IFERROR(__xludf.DUMMYFUNCTION("""COMPUTED_VALUE"""),"Master Agile Planning and Estimation | Agile techniques")</f>
        <v>Master Agile Planning and Estimation | Agile techniques</v>
      </c>
    </row>
    <row r="10048">
      <c r="A10048" s="140" t="str">
        <f>IFERROR(__xludf.DUMMYFUNCTION("""COMPUTED_VALUE"""),"es")</f>
        <v>es</v>
      </c>
      <c r="B10048">
        <f>IFERROR(__xludf.DUMMYFUNCTION("""COMPUTED_VALUE"""),2584992.0)</f>
        <v>2584992</v>
      </c>
      <c r="C10048" t="str">
        <f>IFERROR(__xludf.DUMMYFUNCTION("""COMPUTED_VALUE"""),"ReactiveX - RxJs: De cero hasta los detalles")</f>
        <v>ReactiveX - RxJs: De cero hasta los detalles</v>
      </c>
    </row>
    <row r="10049">
      <c r="A10049" s="140" t="str">
        <f>IFERROR(__xludf.DUMMYFUNCTION("""COMPUTED_VALUE"""),"en")</f>
        <v>en</v>
      </c>
      <c r="B10049">
        <f>IFERROR(__xludf.DUMMYFUNCTION("""COMPUTED_VALUE"""),912032.0)</f>
        <v>912032</v>
      </c>
      <c r="C10049" t="str">
        <f>IFERROR(__xludf.DUMMYFUNCTION("""COMPUTED_VALUE"""),"Account Management for Beginners")</f>
        <v>Account Management for Beginners</v>
      </c>
    </row>
    <row r="10050">
      <c r="A10050" s="140" t="str">
        <f>IFERROR(__xludf.DUMMYFUNCTION("""COMPUTED_VALUE"""),"ja")</f>
        <v>ja</v>
      </c>
      <c r="B10050">
        <f>IFERROR(__xludf.DUMMYFUNCTION("""COMPUTED_VALUE"""),3245962.0)</f>
        <v>3245962</v>
      </c>
      <c r="C10050" t="str">
        <f>IFERROR(__xludf.DUMMYFUNCTION("""COMPUTED_VALUE"""),"米シリコンバレーDevOps監修！超Docker完全入門(2022)【優しい図解説とハンズオンLab付き】")</f>
        <v>米シリコンバレーDevOps監修！超Docker完全入門(2022)【優しい図解説とハンズオンLab付き】</v>
      </c>
    </row>
    <row r="10051">
      <c r="A10051" s="140" t="str">
        <f>IFERROR(__xludf.DUMMYFUNCTION("""COMPUTED_VALUE"""),"en")</f>
        <v>en</v>
      </c>
      <c r="B10051">
        <f>IFERROR(__xludf.DUMMYFUNCTION("""COMPUTED_VALUE"""),2700614.0)</f>
        <v>2700614</v>
      </c>
      <c r="C10051" t="str">
        <f>IFERROR(__xludf.DUMMYFUNCTION("""COMPUTED_VALUE"""),"R Programming - R Language for Absolute Beginners")</f>
        <v>R Programming - R Language for Absolute Beginners</v>
      </c>
    </row>
    <row r="10052">
      <c r="A10052" s="140" t="str">
        <f>IFERROR(__xludf.DUMMYFUNCTION("""COMPUTED_VALUE"""),"en")</f>
        <v>en</v>
      </c>
      <c r="B10052">
        <f>IFERROR(__xludf.DUMMYFUNCTION("""COMPUTED_VALUE"""),802578.0)</f>
        <v>802578</v>
      </c>
      <c r="C10052" t="str">
        <f>IFERROR(__xludf.DUMMYFUNCTION("""COMPUTED_VALUE"""),"AZ-303 Azure Architecture Technologies Exam Prep 2021")</f>
        <v>AZ-303 Azure Architecture Technologies Exam Prep 2021</v>
      </c>
    </row>
    <row r="10053">
      <c r="A10053" s="140" t="str">
        <f>IFERROR(__xludf.DUMMYFUNCTION("""COMPUTED_VALUE"""),"es")</f>
        <v>es</v>
      </c>
      <c r="B10053">
        <f>IFERROR(__xludf.DUMMYFUNCTION("""COMPUTED_VALUE"""),2590336.0)</f>
        <v>2590336</v>
      </c>
      <c r="C10053" t="str">
        <f>IFERROR(__xludf.DUMMYFUNCTION("""COMPUTED_VALUE"""),"Flutter Avanzado - El siguiente nivel del desarrollo móvil")</f>
        <v>Flutter Avanzado - El siguiente nivel del desarrollo móvil</v>
      </c>
    </row>
    <row r="10054">
      <c r="A10054" s="140" t="str">
        <f>IFERROR(__xludf.DUMMYFUNCTION("""COMPUTED_VALUE"""),"tr")</f>
        <v>tr</v>
      </c>
      <c r="B10054">
        <f>IFERROR(__xludf.DUMMYFUNCTION("""COMPUTED_VALUE"""),1878080.0)</f>
        <v>1878080</v>
      </c>
      <c r="C10054" t="str">
        <f>IFERROR(__xludf.DUMMYFUNCTION("""COMPUTED_VALUE"""),"Modern Web Geliştirme Kursu | Sıfırdan Sektörün Yükseklerine")</f>
        <v>Modern Web Geliştirme Kursu | Sıfırdan Sektörün Yükseklerine</v>
      </c>
    </row>
    <row r="10055">
      <c r="A10055" s="140" t="str">
        <f>IFERROR(__xludf.DUMMYFUNCTION("""COMPUTED_VALUE"""),"ja")</f>
        <v>ja</v>
      </c>
      <c r="B10055">
        <f>IFERROR(__xludf.DUMMYFUNCTION("""COMPUTED_VALUE"""),3651420.0)</f>
        <v>3651420</v>
      </c>
      <c r="C10055" t="str">
        <f>IFERROR(__xludf.DUMMYFUNCTION("""COMPUTED_VALUE"""),"プロダクトマネジメント実践講座: シリコンバレー企業達が採用する心理学ベースの最新ユーザー理解手法")</f>
        <v>プロダクトマネジメント実践講座: シリコンバレー企業達が採用する心理学ベースの最新ユーザー理解手法</v>
      </c>
    </row>
    <row r="10056">
      <c r="A10056" s="140" t="str">
        <f>IFERROR(__xludf.DUMMYFUNCTION("""COMPUTED_VALUE"""),"pt")</f>
        <v>pt</v>
      </c>
      <c r="B10056">
        <f>IFERROR(__xludf.DUMMYFUNCTION("""COMPUTED_VALUE"""),3228787.0)</f>
        <v>3228787</v>
      </c>
      <c r="C10056" t="str">
        <f>IFERROR(__xludf.DUMMYFUNCTION("""COMPUTED_VALUE"""),"Portfolio Expert - Risco e Alocação de Portfolio")</f>
        <v>Portfolio Expert - Risco e Alocação de Portfolio</v>
      </c>
    </row>
    <row r="10057">
      <c r="A10057" s="140" t="str">
        <f>IFERROR(__xludf.DUMMYFUNCTION("""COMPUTED_VALUE"""),"en")</f>
        <v>en</v>
      </c>
      <c r="B10057">
        <f>IFERROR(__xludf.DUMMYFUNCTION("""COMPUTED_VALUE"""),274574.0)</f>
        <v>274574</v>
      </c>
      <c r="C10057" t="str">
        <f>IFERROR(__xludf.DUMMYFUNCTION("""COMPUTED_VALUE"""),"Cardiopulmonary Resuscitation (CPR), AED and First Aid")</f>
        <v>Cardiopulmonary Resuscitation (CPR), AED and First Aid</v>
      </c>
    </row>
    <row r="10058">
      <c r="A10058" s="140" t="str">
        <f>IFERROR(__xludf.DUMMYFUNCTION("""COMPUTED_VALUE"""),"pt")</f>
        <v>pt</v>
      </c>
      <c r="B10058">
        <f>IFERROR(__xludf.DUMMYFUNCTION("""COMPUTED_VALUE"""),792226.0)</f>
        <v>792226</v>
      </c>
      <c r="C10058" t="str">
        <f>IFERROR(__xludf.DUMMYFUNCTION("""COMPUTED_VALUE"""),"Fundamentos do Design Instrucional")</f>
        <v>Fundamentos do Design Instrucional</v>
      </c>
    </row>
    <row r="10059">
      <c r="A10059" s="140" t="str">
        <f>IFERROR(__xludf.DUMMYFUNCTION("""COMPUTED_VALUE"""),"es")</f>
        <v>es</v>
      </c>
      <c r="B10059">
        <f>IFERROR(__xludf.DUMMYFUNCTION("""COMPUTED_VALUE"""),873606.0)</f>
        <v>873606</v>
      </c>
      <c r="C10059" t="str">
        <f>IFERROR(__xludf.DUMMYFUNCTION("""COMPUTED_VALUE"""),"ISO 14001: Implementación de un Sistema de Gestión Ambiental")</f>
        <v>ISO 14001: Implementación de un Sistema de Gestión Ambiental</v>
      </c>
    </row>
    <row r="10060">
      <c r="A10060" s="140" t="str">
        <f>IFERROR(__xludf.DUMMYFUNCTION("""COMPUTED_VALUE"""),"en")</f>
        <v>en</v>
      </c>
      <c r="B10060">
        <f>IFERROR(__xludf.DUMMYFUNCTION("""COMPUTED_VALUE"""),1509106.0)</f>
        <v>1509106</v>
      </c>
      <c r="C10060" t="str">
        <f>IFERROR(__xludf.DUMMYFUNCTION("""COMPUTED_VALUE"""),"HR Metrics That Matter")</f>
        <v>HR Metrics That Matter</v>
      </c>
    </row>
    <row r="10061">
      <c r="A10061" s="140" t="str">
        <f>IFERROR(__xludf.DUMMYFUNCTION("""COMPUTED_VALUE"""),"tr")</f>
        <v>tr</v>
      </c>
      <c r="B10061">
        <f>IFERROR(__xludf.DUMMYFUNCTION("""COMPUTED_VALUE"""),2679658.0)</f>
        <v>2679658</v>
      </c>
      <c r="C10061" t="str">
        <f>IFERROR(__xludf.DUMMYFUNCTION("""COMPUTED_VALUE"""),"C# Programlama Dili :Sıfırdan ileri Seviye C# Öğrenin")</f>
        <v>C# Programlama Dili :Sıfırdan ileri Seviye C# Öğrenin</v>
      </c>
    </row>
    <row r="10062">
      <c r="A10062" s="140" t="str">
        <f>IFERROR(__xludf.DUMMYFUNCTION("""COMPUTED_VALUE"""),"fr")</f>
        <v>fr</v>
      </c>
      <c r="B10062">
        <f>IFERROR(__xludf.DUMMYFUNCTION("""COMPUTED_VALUE"""),1235994.0)</f>
        <v>1235994</v>
      </c>
      <c r="C10062" t="str">
        <f>IFERROR(__xludf.DUMMYFUNCTION("""COMPUTED_VALUE"""),"English Pronunciation for French Speakers – Cours d'anglais")</f>
        <v>English Pronunciation for French Speakers – Cours d'anglais</v>
      </c>
    </row>
    <row r="10063">
      <c r="A10063" s="140" t="str">
        <f>IFERROR(__xludf.DUMMYFUNCTION("""COMPUTED_VALUE"""),"ja")</f>
        <v>ja</v>
      </c>
      <c r="B10063">
        <f>IFERROR(__xludf.DUMMYFUNCTION("""COMPUTED_VALUE"""),2092508.0)</f>
        <v>2092508</v>
      </c>
      <c r="C10063" t="str">
        <f>IFERROR(__xludf.DUMMYFUNCTION("""COMPUTED_VALUE"""),"ブロックチェーンの仕組みをひとつひとつ図解 - 仕組みを紐解きながら最新状況・今後の活用方法まで体系的に")</f>
        <v>ブロックチェーンの仕組みをひとつひとつ図解 - 仕組みを紐解きながら最新状況・今後の活用方法まで体系的に</v>
      </c>
    </row>
    <row r="10064">
      <c r="A10064" s="140" t="str">
        <f>IFERROR(__xludf.DUMMYFUNCTION("""COMPUTED_VALUE"""),"fr")</f>
        <v>fr</v>
      </c>
      <c r="B10064">
        <f>IFERROR(__xludf.DUMMYFUNCTION("""COMPUTED_VALUE"""),2418790.0)</f>
        <v>2418790</v>
      </c>
      <c r="C10064" t="str">
        <f>IFERROR(__xludf.DUMMYFUNCTION("""COMPUTED_VALUE"""),"Service clients, le guide complet pour des clients heureux")</f>
        <v>Service clients, le guide complet pour des clients heureux</v>
      </c>
    </row>
    <row r="10065">
      <c r="A10065" s="140" t="str">
        <f>IFERROR(__xludf.DUMMYFUNCTION("""COMPUTED_VALUE"""),"en")</f>
        <v>en</v>
      </c>
      <c r="B10065">
        <f>IFERROR(__xludf.DUMMYFUNCTION("""COMPUTED_VALUE"""),301456.0)</f>
        <v>301456</v>
      </c>
      <c r="C10065" t="str">
        <f>IFERROR(__xludf.DUMMYFUNCTION("""COMPUTED_VALUE"""),"Certified Six Sigma Yellow Belt Training")</f>
        <v>Certified Six Sigma Yellow Belt Training</v>
      </c>
    </row>
    <row r="10066">
      <c r="A10066" s="140" t="str">
        <f>IFERROR(__xludf.DUMMYFUNCTION("""COMPUTED_VALUE"""),"en")</f>
        <v>en</v>
      </c>
      <c r="B10066">
        <f>IFERROR(__xludf.DUMMYFUNCTION("""COMPUTED_VALUE"""),3879142.0)</f>
        <v>3879142</v>
      </c>
      <c r="C10066" t="str">
        <f>IFERROR(__xludf.DUMMYFUNCTION("""COMPUTED_VALUE"""),"Flutter BLoC - From Zero to Hero Complete Course")</f>
        <v>Flutter BLoC - From Zero to Hero Complete Course</v>
      </c>
    </row>
    <row r="10067">
      <c r="A10067" s="140" t="str">
        <f>IFERROR(__xludf.DUMMYFUNCTION("""COMPUTED_VALUE"""),"fr")</f>
        <v>fr</v>
      </c>
      <c r="B10067">
        <f>IFERROR(__xludf.DUMMYFUNCTION("""COMPUTED_VALUE"""),1910138.0)</f>
        <v>1910138</v>
      </c>
      <c r="C10067" t="str">
        <f>IFERROR(__xludf.DUMMYFUNCTION("""COMPUTED_VALUE"""),"Unreal Engine (4.20) | Votre premier jeu | (Débutants)")</f>
        <v>Unreal Engine (4.20) | Votre premier jeu | (Débutants)</v>
      </c>
    </row>
    <row r="10068">
      <c r="A10068" s="140" t="str">
        <f>IFERROR(__xludf.DUMMYFUNCTION("""COMPUTED_VALUE"""),"en")</f>
        <v>en</v>
      </c>
      <c r="B10068">
        <f>IFERROR(__xludf.DUMMYFUNCTION("""COMPUTED_VALUE"""),1320528.0)</f>
        <v>1320528</v>
      </c>
      <c r="C10068" t="str">
        <f>IFERROR(__xludf.DUMMYFUNCTION("""COMPUTED_VALUE"""),"Statistics for Data Analysis Using R")</f>
        <v>Statistics for Data Analysis Using R</v>
      </c>
    </row>
    <row r="10069">
      <c r="A10069" s="140" t="str">
        <f>IFERROR(__xludf.DUMMYFUNCTION("""COMPUTED_VALUE"""),"en")</f>
        <v>en</v>
      </c>
      <c r="B10069">
        <f>IFERROR(__xludf.DUMMYFUNCTION("""COMPUTED_VALUE"""),3606266.0)</f>
        <v>3606266</v>
      </c>
      <c r="C10069" t="str">
        <f>IFERROR(__xludf.DUMMYFUNCTION("""COMPUTED_VALUE"""),"REST API Testing with Karate Framework")</f>
        <v>REST API Testing with Karate Framework</v>
      </c>
    </row>
    <row r="10070">
      <c r="A10070" s="140" t="str">
        <f>IFERROR(__xludf.DUMMYFUNCTION("""COMPUTED_VALUE"""),"pt")</f>
        <v>pt</v>
      </c>
      <c r="B10070">
        <f>IFERROR(__xludf.DUMMYFUNCTION("""COMPUTED_VALUE"""),3702122.0)</f>
        <v>3702122</v>
      </c>
      <c r="C10070" t="str">
        <f>IFERROR(__xludf.DUMMYFUNCTION("""COMPUTED_VALUE"""),"Design Patterns com C# - Entendendo Padrões de Projetos")</f>
        <v>Design Patterns com C# - Entendendo Padrões de Projetos</v>
      </c>
    </row>
    <row r="10071">
      <c r="A10071" s="140" t="str">
        <f>IFERROR(__xludf.DUMMYFUNCTION("""COMPUTED_VALUE"""),"en")</f>
        <v>en</v>
      </c>
      <c r="B10071">
        <f>IFERROR(__xludf.DUMMYFUNCTION("""COMPUTED_VALUE"""),2585248.0)</f>
        <v>2585248</v>
      </c>
      <c r="C10071" t="str">
        <f>IFERROR(__xludf.DUMMYFUNCTION("""COMPUTED_VALUE"""),"Openlayers 6 From Scratch With A Project")</f>
        <v>Openlayers 6 From Scratch With A Project</v>
      </c>
    </row>
    <row r="10072">
      <c r="A10072" s="140" t="str">
        <f>IFERROR(__xludf.DUMMYFUNCTION("""COMPUTED_VALUE"""),"en")</f>
        <v>en</v>
      </c>
      <c r="B10072">
        <f>IFERROR(__xludf.DUMMYFUNCTION("""COMPUTED_VALUE"""),253804.0)</f>
        <v>253804</v>
      </c>
      <c r="C10072" t="str">
        <f>IFERROR(__xludf.DUMMYFUNCTION("""COMPUTED_VALUE"""),"Successful Events: Event Planning, Marketing &amp; Management")</f>
        <v>Successful Events: Event Planning, Marketing &amp; Management</v>
      </c>
    </row>
    <row r="10073">
      <c r="A10073" s="140" t="str">
        <f>IFERROR(__xludf.DUMMYFUNCTION("""COMPUTED_VALUE"""),"en")</f>
        <v>en</v>
      </c>
      <c r="B10073">
        <f>IFERROR(__xludf.DUMMYFUNCTION("""COMPUTED_VALUE"""),501290.0)</f>
        <v>501290</v>
      </c>
      <c r="C10073" t="str">
        <f>IFERROR(__xludf.DUMMYFUNCTION("""COMPUTED_VALUE"""),"Blender 3D Complete Volume One")</f>
        <v>Blender 3D Complete Volume One</v>
      </c>
    </row>
    <row r="10074">
      <c r="A10074" s="140" t="str">
        <f>IFERROR(__xludf.DUMMYFUNCTION("""COMPUTED_VALUE"""),"en")</f>
        <v>en</v>
      </c>
      <c r="B10074">
        <f>IFERROR(__xludf.DUMMYFUNCTION("""COMPUTED_VALUE"""),836656.0)</f>
        <v>836656</v>
      </c>
      <c r="C10074" t="str">
        <f>IFERROR(__xludf.DUMMYFUNCTION("""COMPUTED_VALUE"""),"Windows Deployment Services: Build Your Server From Scratch")</f>
        <v>Windows Deployment Services: Build Your Server From Scratch</v>
      </c>
    </row>
    <row r="10075">
      <c r="A10075" s="140" t="str">
        <f>IFERROR(__xludf.DUMMYFUNCTION("""COMPUTED_VALUE"""),"en")</f>
        <v>en</v>
      </c>
      <c r="B10075">
        <f>IFERROR(__xludf.DUMMYFUNCTION("""COMPUTED_VALUE"""),692956.0)</f>
        <v>692956</v>
      </c>
      <c r="C10075" t="str">
        <f>IFERROR(__xludf.DUMMYFUNCTION("""COMPUTED_VALUE"""),"Embedded Systems Programming on ARM Cortex-M3/M4 Processor")</f>
        <v>Embedded Systems Programming on ARM Cortex-M3/M4 Processor</v>
      </c>
    </row>
    <row r="10076">
      <c r="A10076" s="140" t="str">
        <f>IFERROR(__xludf.DUMMYFUNCTION("""COMPUTED_VALUE"""),"fr")</f>
        <v>fr</v>
      </c>
      <c r="B10076">
        <f>IFERROR(__xludf.DUMMYFUNCTION("""COMPUTED_VALUE"""),1310338.0)</f>
        <v>1310338</v>
      </c>
      <c r="C10076" t="str">
        <f>IFERROR(__xludf.DUMMYFUNCTION("""COMPUTED_VALUE"""),"Créer sa musique avec GarageBand : le guide complet")</f>
        <v>Créer sa musique avec GarageBand : le guide complet</v>
      </c>
    </row>
    <row r="10077">
      <c r="A10077" s="140" t="str">
        <f>IFERROR(__xludf.DUMMYFUNCTION("""COMPUTED_VALUE"""),"es")</f>
        <v>es</v>
      </c>
      <c r="B10077">
        <f>IFERROR(__xludf.DUMMYFUNCTION("""COMPUTED_VALUE"""),3163080.0)</f>
        <v>3163080</v>
      </c>
      <c r="C10077" t="str">
        <f>IFERROR(__xludf.DUMMYFUNCTION("""COMPUTED_VALUE"""),"Crea fantásticos dashboards con Google Data Studio y Sheets")</f>
        <v>Crea fantásticos dashboards con Google Data Studio y Sheets</v>
      </c>
    </row>
    <row r="10078">
      <c r="A10078" s="140" t="str">
        <f>IFERROR(__xludf.DUMMYFUNCTION("""COMPUTED_VALUE"""),"en")</f>
        <v>en</v>
      </c>
      <c r="B10078">
        <f>IFERROR(__xludf.DUMMYFUNCTION("""COMPUTED_VALUE"""),2361494.0)</f>
        <v>2361494</v>
      </c>
      <c r="C10078" t="str">
        <f>IFERROR(__xludf.DUMMYFUNCTION("""COMPUTED_VALUE"""),"The RedTeam Blueprint - A Unique Guide To Ethical Hacking")</f>
        <v>The RedTeam Blueprint - A Unique Guide To Ethical Hacking</v>
      </c>
    </row>
    <row r="10079">
      <c r="A10079" s="140" t="str">
        <f>IFERROR(__xludf.DUMMYFUNCTION("""COMPUTED_VALUE"""),"en")</f>
        <v>en</v>
      </c>
      <c r="B10079">
        <f>IFERROR(__xludf.DUMMYFUNCTION("""COMPUTED_VALUE"""),3313604.0)</f>
        <v>3313604</v>
      </c>
      <c r="C10079" t="str">
        <f>IFERROR(__xludf.DUMMYFUNCTION("""COMPUTED_VALUE"""),"AI-102 Microsoft Azure AI Solution Complete Real Exam Prep")</f>
        <v>AI-102 Microsoft Azure AI Solution Complete Real Exam Prep</v>
      </c>
    </row>
    <row r="10080">
      <c r="A10080" s="140" t="str">
        <f>IFERROR(__xludf.DUMMYFUNCTION("""COMPUTED_VALUE"""),"en")</f>
        <v>en</v>
      </c>
      <c r="B10080">
        <f>IFERROR(__xludf.DUMMYFUNCTION("""COMPUTED_VALUE"""),363882.0)</f>
        <v>363882</v>
      </c>
      <c r="C10080" t="str">
        <f>IFERROR(__xludf.DUMMYFUNCTION("""COMPUTED_VALUE"""),"Presentation Skills: Give a Great New Business Pitch")</f>
        <v>Presentation Skills: Give a Great New Business Pitch</v>
      </c>
    </row>
    <row r="10081">
      <c r="A10081" s="140" t="str">
        <f>IFERROR(__xludf.DUMMYFUNCTION("""COMPUTED_VALUE"""),"en")</f>
        <v>en</v>
      </c>
      <c r="B10081">
        <f>IFERROR(__xludf.DUMMYFUNCTION("""COMPUTED_VALUE"""),3386922.0)</f>
        <v>3386922</v>
      </c>
      <c r="C10081" t="str">
        <f>IFERROR(__xludf.DUMMYFUNCTION("""COMPUTED_VALUE"""),"MICROSOFT POWER BI DA-100 EXAM: Advanced 2021 Practice Test")</f>
        <v>MICROSOFT POWER BI DA-100 EXAM: Advanced 2021 Practice Test</v>
      </c>
    </row>
    <row r="10082">
      <c r="A10082" s="140" t="str">
        <f>IFERROR(__xludf.DUMMYFUNCTION("""COMPUTED_VALUE"""),"en")</f>
        <v>en</v>
      </c>
      <c r="B10082">
        <f>IFERROR(__xludf.DUMMYFUNCTION("""COMPUTED_VALUE"""),1343886.0)</f>
        <v>1343886</v>
      </c>
      <c r="C10082" t="str">
        <f>IFERROR(__xludf.DUMMYFUNCTION("""COMPUTED_VALUE"""),"The Ultimate AWS Certified Solutions Architect - Associate")</f>
        <v>The Ultimate AWS Certified Solutions Architect - Associate</v>
      </c>
    </row>
    <row r="10083">
      <c r="A10083" s="140" t="str">
        <f>IFERROR(__xludf.DUMMYFUNCTION("""COMPUTED_VALUE"""),"es")</f>
        <v>es</v>
      </c>
      <c r="B10083">
        <f>IFERROR(__xludf.DUMMYFUNCTION("""COMPUTED_VALUE"""),2264768.0)</f>
        <v>2264768</v>
      </c>
      <c r="C10083" t="str">
        <f>IFERROR(__xludf.DUMMYFUNCTION("""COMPUTED_VALUE"""),"Web Personal MERN Full Stack: MongoDB, Express, React y Node")</f>
        <v>Web Personal MERN Full Stack: MongoDB, Express, React y Node</v>
      </c>
    </row>
    <row r="10084">
      <c r="A10084" s="140" t="str">
        <f>IFERROR(__xludf.DUMMYFUNCTION("""COMPUTED_VALUE"""),"en")</f>
        <v>en</v>
      </c>
      <c r="B10084">
        <f>IFERROR(__xludf.DUMMYFUNCTION("""COMPUTED_VALUE"""),2892418.0)</f>
        <v>2892418</v>
      </c>
      <c r="C10084" t="str">
        <f>IFERROR(__xludf.DUMMYFUNCTION("""COMPUTED_VALUE"""),"Change Agility in the Workplace: Become a Change Agent")</f>
        <v>Change Agility in the Workplace: Become a Change Agent</v>
      </c>
    </row>
    <row r="10085">
      <c r="A10085" s="140" t="str">
        <f>IFERROR(__xludf.DUMMYFUNCTION("""COMPUTED_VALUE"""),"en")</f>
        <v>en</v>
      </c>
      <c r="B10085">
        <f>IFERROR(__xludf.DUMMYFUNCTION("""COMPUTED_VALUE"""),2049705.0)</f>
        <v>2049705</v>
      </c>
      <c r="C10085" t="str">
        <f>IFERROR(__xludf.DUMMYFUNCTION("""COMPUTED_VALUE"""),"Build a Lucrative Copywriting Portfolio With Ease")</f>
        <v>Build a Lucrative Copywriting Portfolio With Ease</v>
      </c>
    </row>
    <row r="10086">
      <c r="A10086" s="140" t="str">
        <f>IFERROR(__xludf.DUMMYFUNCTION("""COMPUTED_VALUE"""),"en")</f>
        <v>en</v>
      </c>
      <c r="B10086">
        <f>IFERROR(__xludf.DUMMYFUNCTION("""COMPUTED_VALUE"""),2360064.0)</f>
        <v>2360064</v>
      </c>
      <c r="C10086" t="str">
        <f>IFERROR(__xludf.DUMMYFUNCTION("""COMPUTED_VALUE"""),"TOTAL: CompTIA A+ Certification (220-1002).")</f>
        <v>TOTAL: CompTIA A+ Certification (220-1002).</v>
      </c>
    </row>
    <row r="10087">
      <c r="A10087" s="140" t="str">
        <f>IFERROR(__xludf.DUMMYFUNCTION("""COMPUTED_VALUE"""),"es")</f>
        <v>es</v>
      </c>
      <c r="B10087">
        <f>IFERROR(__xludf.DUMMYFUNCTION("""COMPUTED_VALUE"""),1561898.0)</f>
        <v>1561898</v>
      </c>
      <c r="C10087" t="str">
        <f>IFERROR(__xludf.DUMMYFUNCTION("""COMPUTED_VALUE"""),"Excel para la Gestión de Recursos Humanos")</f>
        <v>Excel para la Gestión de Recursos Humanos</v>
      </c>
    </row>
    <row r="10088">
      <c r="A10088" s="140" t="str">
        <f>IFERROR(__xludf.DUMMYFUNCTION("""COMPUTED_VALUE"""),"en")</f>
        <v>en</v>
      </c>
      <c r="B10088">
        <f>IFERROR(__xludf.DUMMYFUNCTION("""COMPUTED_VALUE"""),2004194.0)</f>
        <v>2004194</v>
      </c>
      <c r="C10088" t="str">
        <f>IFERROR(__xludf.DUMMYFUNCTION("""COMPUTED_VALUE"""),"WAF BASICS- Part3")</f>
        <v>WAF BASICS- Part3</v>
      </c>
    </row>
    <row r="10089">
      <c r="A10089" s="140" t="str">
        <f>IFERROR(__xludf.DUMMYFUNCTION("""COMPUTED_VALUE"""),"en")</f>
        <v>en</v>
      </c>
      <c r="B10089">
        <f>IFERROR(__xludf.DUMMYFUNCTION("""COMPUTED_VALUE"""),1104096.0)</f>
        <v>1104096</v>
      </c>
      <c r="C10089" t="str">
        <f>IFERROR(__xludf.DUMMYFUNCTION("""COMPUTED_VALUE"""),"Beginners Guide to Wireframes - A Mini Course")</f>
        <v>Beginners Guide to Wireframes - A Mini Course</v>
      </c>
    </row>
    <row r="10090">
      <c r="A10090" s="140" t="str">
        <f>IFERROR(__xludf.DUMMYFUNCTION("""COMPUTED_VALUE"""),"en")</f>
        <v>en</v>
      </c>
      <c r="B10090">
        <f>IFERROR(__xludf.DUMMYFUNCTION("""COMPUTED_VALUE"""),1869728.0)</f>
        <v>1869728</v>
      </c>
      <c r="C10090" t="str">
        <f>IFERROR(__xludf.DUMMYFUNCTION("""COMPUTED_VALUE"""),"MicroStrategy Architect")</f>
        <v>MicroStrategy Architect</v>
      </c>
    </row>
    <row r="10091">
      <c r="A10091" s="140" t="str">
        <f>IFERROR(__xludf.DUMMYFUNCTION("""COMPUTED_VALUE"""),"en")</f>
        <v>en</v>
      </c>
      <c r="B10091">
        <f>IFERROR(__xludf.DUMMYFUNCTION("""COMPUTED_VALUE"""),2640868.0)</f>
        <v>2640868</v>
      </c>
      <c r="C10091" t="str">
        <f>IFERROR(__xludf.DUMMYFUNCTION("""COMPUTED_VALUE"""),"The Complete Palo Alto PCNSE v10.1 Practice Test for 2021")</f>
        <v>The Complete Palo Alto PCNSE v10.1 Practice Test for 2021</v>
      </c>
    </row>
    <row r="10092">
      <c r="A10092" s="140" t="str">
        <f>IFERROR(__xludf.DUMMYFUNCTION("""COMPUTED_VALUE"""),"en")</f>
        <v>en</v>
      </c>
      <c r="B10092">
        <f>IFERROR(__xludf.DUMMYFUNCTION("""COMPUTED_VALUE"""),1308282.0)</f>
        <v>1308282</v>
      </c>
      <c r="C10092" t="str">
        <f>IFERROR(__xludf.DUMMYFUNCTION("""COMPUTED_VALUE"""),"Google Ads/AdWords Consultation - Learn From Former Googler")</f>
        <v>Google Ads/AdWords Consultation - Learn From Former Googler</v>
      </c>
    </row>
    <row r="10093">
      <c r="A10093" s="140" t="str">
        <f>IFERROR(__xludf.DUMMYFUNCTION("""COMPUTED_VALUE"""),"ja")</f>
        <v>ja</v>
      </c>
      <c r="B10093">
        <f>IFERROR(__xludf.DUMMYFUNCTION("""COMPUTED_VALUE"""),4329156.0)</f>
        <v>4329156</v>
      </c>
      <c r="C10093" t="str">
        <f>IFERROR(__xludf.DUMMYFUNCTION("""COMPUTED_VALUE"""),"＜UB確認テスト＞はじめてのPython 少しずつ丁寧に学ぶプログラミング言語Python3のエッセンス")</f>
        <v>＜UB確認テスト＞はじめてのPython 少しずつ丁寧に学ぶプログラミング言語Python3のエッセンス</v>
      </c>
    </row>
    <row r="10094">
      <c r="A10094" s="140" t="str">
        <f>IFERROR(__xludf.DUMMYFUNCTION("""COMPUTED_VALUE"""),"en")</f>
        <v>en</v>
      </c>
      <c r="B10094">
        <f>IFERROR(__xludf.DUMMYFUNCTION("""COMPUTED_VALUE"""),2244964.0)</f>
        <v>2244964</v>
      </c>
      <c r="C10094" t="str">
        <f>IFERROR(__xludf.DUMMYFUNCTION("""COMPUTED_VALUE"""),"Executive Briefing: Machine Learning")</f>
        <v>Executive Briefing: Machine Learning</v>
      </c>
    </row>
    <row r="10095">
      <c r="A10095" s="140" t="str">
        <f>IFERROR(__xludf.DUMMYFUNCTION("""COMPUTED_VALUE"""),"en")</f>
        <v>en</v>
      </c>
      <c r="B10095">
        <f>IFERROR(__xludf.DUMMYFUNCTION("""COMPUTED_VALUE"""),3743036.0)</f>
        <v>3743036</v>
      </c>
      <c r="C10095" t="str">
        <f>IFERROR(__xludf.DUMMYFUNCTION("""COMPUTED_VALUE"""),"SAP Business Analytics Essential Training")</f>
        <v>SAP Business Analytics Essential Training</v>
      </c>
    </row>
    <row r="10096">
      <c r="A10096" s="140" t="str">
        <f>IFERROR(__xludf.DUMMYFUNCTION("""COMPUTED_VALUE"""),"ja")</f>
        <v>ja</v>
      </c>
      <c r="B10096">
        <f>IFERROR(__xludf.DUMMYFUNCTION("""COMPUTED_VALUE"""),951838.0)</f>
        <v>951838</v>
      </c>
      <c r="C10096" t="str">
        <f>IFERROR(__xludf.DUMMYFUNCTION("""COMPUTED_VALUE"""),"米国MBA教授が教える：起業からIPOまでMBAのすべて")</f>
        <v>米国MBA教授が教える：起業からIPOまでMBAのすべて</v>
      </c>
    </row>
    <row r="10097">
      <c r="A10097" s="140" t="str">
        <f>IFERROR(__xludf.DUMMYFUNCTION("""COMPUTED_VALUE"""),"en")</f>
        <v>en</v>
      </c>
      <c r="B10097">
        <f>IFERROR(__xludf.DUMMYFUNCTION("""COMPUTED_VALUE"""),1705248.0)</f>
        <v>1705248</v>
      </c>
      <c r="C10097" t="str">
        <f>IFERROR(__xludf.DUMMYFUNCTION("""COMPUTED_VALUE"""),"Asynchronous JavaScript")</f>
        <v>Asynchronous JavaScript</v>
      </c>
    </row>
    <row r="10098">
      <c r="A10098" s="140" t="str">
        <f>IFERROR(__xludf.DUMMYFUNCTION("""COMPUTED_VALUE"""),"en")</f>
        <v>en</v>
      </c>
      <c r="B10098">
        <f>IFERROR(__xludf.DUMMYFUNCTION("""COMPUTED_VALUE"""),805864.0)</f>
        <v>805864</v>
      </c>
      <c r="C10098" t="str">
        <f>IFERROR(__xludf.DUMMYFUNCTION("""COMPUTED_VALUE"""),"Information Security Management Fundamentals for Non-Techies")</f>
        <v>Information Security Management Fundamentals for Non-Techies</v>
      </c>
    </row>
    <row r="10099">
      <c r="A10099" s="140" t="str">
        <f>IFERROR(__xludf.DUMMYFUNCTION("""COMPUTED_VALUE"""),"en")</f>
        <v>en</v>
      </c>
      <c r="B10099">
        <f>IFERROR(__xludf.DUMMYFUNCTION("""COMPUTED_VALUE"""),824318.0)</f>
        <v>824318</v>
      </c>
      <c r="C10099" t="str">
        <f>IFERROR(__xludf.DUMMYFUNCTION("""COMPUTED_VALUE"""),"OSHA Safety Pro: Hearing Protection Program")</f>
        <v>OSHA Safety Pro: Hearing Protection Program</v>
      </c>
    </row>
    <row r="10100">
      <c r="A10100" s="140" t="str">
        <f>IFERROR(__xludf.DUMMYFUNCTION("""COMPUTED_VALUE"""),"ar")</f>
        <v>ar</v>
      </c>
      <c r="B10100">
        <f>IFERROR(__xludf.DUMMYFUNCTION("""COMPUTED_VALUE"""),2178760.0)</f>
        <v>2178760</v>
      </c>
      <c r="C10100" t="str">
        <f>IFERROR(__xludf.DUMMYFUNCTION("""COMPUTED_VALUE"""),"Complete Selenium Course in Arabic including frameworks")</f>
        <v>Complete Selenium Course in Arabic including frameworks</v>
      </c>
    </row>
    <row r="10101">
      <c r="A10101" s="140" t="str">
        <f>IFERROR(__xludf.DUMMYFUNCTION("""COMPUTED_VALUE"""),"pt")</f>
        <v>pt</v>
      </c>
      <c r="B10101">
        <f>IFERROR(__xludf.DUMMYFUNCTION("""COMPUTED_VALUE"""),4160208.0)</f>
        <v>4160208</v>
      </c>
      <c r="C10101" t="str">
        <f>IFERROR(__xludf.DUMMYFUNCTION("""COMPUTED_VALUE"""),"Next.js e React - Curso Completo 2021 - Aprenda com Projetos")</f>
        <v>Next.js e React - Curso Completo 2021 - Aprenda com Projetos</v>
      </c>
    </row>
    <row r="10102">
      <c r="A10102" s="140" t="str">
        <f>IFERROR(__xludf.DUMMYFUNCTION("""COMPUTED_VALUE"""),"ar")</f>
        <v>ar</v>
      </c>
      <c r="B10102">
        <f>IFERROR(__xludf.DUMMYFUNCTION("""COMPUTED_VALUE"""),794774.0)</f>
        <v>794774</v>
      </c>
      <c r="C10102" t="str">
        <f>IFERROR(__xludf.DUMMYFUNCTION("""COMPUTED_VALUE"""),"مهارات العرض والتقديم")</f>
        <v>مهارات العرض والتقديم</v>
      </c>
    </row>
    <row r="10103">
      <c r="A10103" s="140" t="str">
        <f>IFERROR(__xludf.DUMMYFUNCTION("""COMPUTED_VALUE"""),"ja")</f>
        <v>ja</v>
      </c>
      <c r="B10103">
        <f>IFERROR(__xludf.DUMMYFUNCTION("""COMPUTED_VALUE"""),2395224.0)</f>
        <v>2395224</v>
      </c>
      <c r="C10103" t="str">
        <f>IFERROR(__xludf.DUMMYFUNCTION("""COMPUTED_VALUE"""),"20時間で【Linux】マスター！！基礎、シェルスクリプト、Docker基礎、ネットワーク 、セキュリティを体系的に解説")</f>
        <v>20時間で【Linux】マスター！！基礎、シェルスクリプト、Docker基礎、ネットワーク 、セキュリティを体系的に解説</v>
      </c>
    </row>
    <row r="10104">
      <c r="A10104" s="140" t="str">
        <f>IFERROR(__xludf.DUMMYFUNCTION("""COMPUTED_VALUE"""),"de")</f>
        <v>de</v>
      </c>
      <c r="B10104">
        <f>IFERROR(__xludf.DUMMYFUNCTION("""COMPUTED_VALUE"""),3940718.0)</f>
        <v>3940718</v>
      </c>
      <c r="C10104" t="str">
        <f>IFERROR(__xludf.DUMMYFUNCTION("""COMPUTED_VALUE"""),"Business English | Business Englisch für Deutsche")</f>
        <v>Business English | Business Englisch für Deutsche</v>
      </c>
    </row>
    <row r="10105">
      <c r="A10105" s="140" t="str">
        <f>IFERROR(__xludf.DUMMYFUNCTION("""COMPUTED_VALUE"""),"tr")</f>
        <v>tr</v>
      </c>
      <c r="B10105">
        <f>IFERROR(__xludf.DUMMYFUNCTION("""COMPUTED_VALUE"""),1358140.0)</f>
        <v>1358140</v>
      </c>
      <c r="C10105" t="str">
        <f>IFERROR(__xludf.DUMMYFUNCTION("""COMPUTED_VALUE"""),"A'dan Z'ye Sistem Yöneticileri için PowerShell")</f>
        <v>A'dan Z'ye Sistem Yöneticileri için PowerShell</v>
      </c>
    </row>
    <row r="10106">
      <c r="A10106" s="140" t="str">
        <f>IFERROR(__xludf.DUMMYFUNCTION("""COMPUTED_VALUE"""),"en")</f>
        <v>en</v>
      </c>
      <c r="B10106">
        <f>IFERROR(__xludf.DUMMYFUNCTION("""COMPUTED_VALUE"""),1411696.0)</f>
        <v>1411696</v>
      </c>
      <c r="C10106" t="str">
        <f>IFERROR(__xludf.DUMMYFUNCTION("""COMPUTED_VALUE"""),"Digital Diversity/Cyber-Citizen/Cross Cultural Communication")</f>
        <v>Digital Diversity/Cyber-Citizen/Cross Cultural Communication</v>
      </c>
    </row>
    <row r="10107">
      <c r="A10107" s="140" t="str">
        <f>IFERROR(__xludf.DUMMYFUNCTION("""COMPUTED_VALUE"""),"pt")</f>
        <v>pt</v>
      </c>
      <c r="B10107">
        <f>IFERROR(__xludf.DUMMYFUNCTION("""COMPUTED_VALUE"""),1337284.0)</f>
        <v>1337284</v>
      </c>
      <c r="C10107" t="str">
        <f>IFERROR(__xludf.DUMMYFUNCTION("""COMPUTED_VALUE"""),"Lógica de Programação com Javascript. Iniciando no front-end")</f>
        <v>Lógica de Programação com Javascript. Iniciando no front-end</v>
      </c>
    </row>
    <row r="10108">
      <c r="A10108" s="140" t="str">
        <f>IFERROR(__xludf.DUMMYFUNCTION("""COMPUTED_VALUE"""),"es")</f>
        <v>es</v>
      </c>
      <c r="B10108">
        <f>IFERROR(__xludf.DUMMYFUNCTION("""COMPUTED_VALUE"""),3133690.0)</f>
        <v>3133690</v>
      </c>
      <c r="C10108" t="str">
        <f>IFERROR(__xludf.DUMMYFUNCTION("""COMPUTED_VALUE"""),"Taller de Contabilidad Computarizada")</f>
        <v>Taller de Contabilidad Computarizada</v>
      </c>
    </row>
    <row r="10109">
      <c r="A10109" s="140" t="str">
        <f>IFERROR(__xludf.DUMMYFUNCTION("""COMPUTED_VALUE"""),"en")</f>
        <v>en</v>
      </c>
      <c r="B10109">
        <f>IFERROR(__xludf.DUMMYFUNCTION("""COMPUTED_VALUE"""),4364722.0)</f>
        <v>4364722</v>
      </c>
      <c r="C10109" t="str">
        <f>IFERROR(__xludf.DUMMYFUNCTION("""COMPUTED_VALUE"""),"Sales, Marketing and Communication Masterclass")</f>
        <v>Sales, Marketing and Communication Masterclass</v>
      </c>
    </row>
    <row r="10110">
      <c r="A10110" s="140" t="str">
        <f>IFERROR(__xludf.DUMMYFUNCTION("""COMPUTED_VALUE"""),"en")</f>
        <v>en</v>
      </c>
      <c r="B10110">
        <f>IFERROR(__xludf.DUMMYFUNCTION("""COMPUTED_VALUE"""),3590660.0)</f>
        <v>3590660</v>
      </c>
      <c r="C10110" t="str">
        <f>IFERROR(__xludf.DUMMYFUNCTION("""COMPUTED_VALUE"""),"OracleAppsTechnical")</f>
        <v>OracleAppsTechnical</v>
      </c>
    </row>
    <row r="10111">
      <c r="A10111" s="140" t="str">
        <f>IFERROR(__xludf.DUMMYFUNCTION("""COMPUTED_VALUE"""),"fr")</f>
        <v>fr</v>
      </c>
      <c r="B10111">
        <f>IFERROR(__xludf.DUMMYFUNCTION("""COMPUTED_VALUE"""),2281794.0)</f>
        <v>2281794</v>
      </c>
      <c r="C10111" t="str">
        <f>IFERROR(__xludf.DUMMYFUNCTION("""COMPUTED_VALUE"""),"La Formation Complète Python")</f>
        <v>La Formation Complète Python</v>
      </c>
    </row>
    <row r="10112">
      <c r="A10112" s="140" t="str">
        <f>IFERROR(__xludf.DUMMYFUNCTION("""COMPUTED_VALUE"""),"en")</f>
        <v>en</v>
      </c>
      <c r="B10112">
        <f>IFERROR(__xludf.DUMMYFUNCTION("""COMPUTED_VALUE"""),965194.0)</f>
        <v>965194</v>
      </c>
      <c r="C10112" t="str">
        <f>IFERROR(__xludf.DUMMYFUNCTION("""COMPUTED_VALUE"""),"Video Presentation &amp; Public Speaking Skills: Complete Guide")</f>
        <v>Video Presentation &amp; Public Speaking Skills: Complete Guide</v>
      </c>
    </row>
    <row r="10113">
      <c r="A10113" s="140" t="str">
        <f>IFERROR(__xludf.DUMMYFUNCTION("""COMPUTED_VALUE"""),"en")</f>
        <v>en</v>
      </c>
      <c r="B10113">
        <f>IFERROR(__xludf.DUMMYFUNCTION("""COMPUTED_VALUE"""),1341284.0)</f>
        <v>1341284</v>
      </c>
      <c r="C10113" t="str">
        <f>IFERROR(__xludf.DUMMYFUNCTION("""COMPUTED_VALUE"""),"Rhino 3D ( any version )  Beginner Level to Advanced Level")</f>
        <v>Rhino 3D ( any version )  Beginner Level to Advanced Level</v>
      </c>
    </row>
    <row r="10114">
      <c r="A10114" s="140" t="str">
        <f>IFERROR(__xludf.DUMMYFUNCTION("""COMPUTED_VALUE"""),"en")</f>
        <v>en</v>
      </c>
      <c r="B10114">
        <f>IFERROR(__xludf.DUMMYFUNCTION("""COMPUTED_VALUE"""),1877032.0)</f>
        <v>1877032</v>
      </c>
      <c r="C10114" t="str">
        <f>IFERROR(__xludf.DUMMYFUNCTION("""COMPUTED_VALUE"""),"Database Management System from scratch - Part 2")</f>
        <v>Database Management System from scratch - Part 2</v>
      </c>
    </row>
    <row r="10115">
      <c r="A10115" s="140" t="str">
        <f>IFERROR(__xludf.DUMMYFUNCTION("""COMPUTED_VALUE"""),"en")</f>
        <v>en</v>
      </c>
      <c r="B10115">
        <f>IFERROR(__xludf.DUMMYFUNCTION("""COMPUTED_VALUE"""),1346444.0)</f>
        <v>1346444</v>
      </c>
      <c r="C10115" t="str">
        <f>IFERROR(__xludf.DUMMYFUNCTION("""COMPUTED_VALUE"""),"UiPath - Level 1 Robotic Process Automation")</f>
        <v>UiPath - Level 1 Robotic Process Automation</v>
      </c>
    </row>
    <row r="10116">
      <c r="A10116" s="140" t="str">
        <f>IFERROR(__xludf.DUMMYFUNCTION("""COMPUTED_VALUE"""),"en")</f>
        <v>en</v>
      </c>
      <c r="B10116">
        <f>IFERROR(__xludf.DUMMYFUNCTION("""COMPUTED_VALUE"""),3973928.0)</f>
        <v>3973928</v>
      </c>
      <c r="C10116" t="str">
        <f>IFERROR(__xludf.DUMMYFUNCTION("""COMPUTED_VALUE"""),"High-Speed Board Design Course System On Module -EsteemPCB")</f>
        <v>High-Speed Board Design Course System On Module -EsteemPCB</v>
      </c>
    </row>
    <row r="10117">
      <c r="A10117" s="140" t="str">
        <f>IFERROR(__xludf.DUMMYFUNCTION("""COMPUTED_VALUE"""),"es")</f>
        <v>es</v>
      </c>
      <c r="B10117">
        <f>IFERROR(__xludf.DUMMYFUNCTION("""COMPUTED_VALUE"""),2985084.0)</f>
        <v>2985084</v>
      </c>
      <c r="C10117" t="str">
        <f>IFERROR(__xludf.DUMMYFUNCTION("""COMPUTED_VALUE"""),"Edición de Vídeo: Conviértete en experto con Adobe Premiere")</f>
        <v>Edición de Vídeo: Conviértete en experto con Adobe Premiere</v>
      </c>
    </row>
    <row r="10118">
      <c r="A10118" s="140" t="str">
        <f>IFERROR(__xludf.DUMMYFUNCTION("""COMPUTED_VALUE"""),"en")</f>
        <v>en</v>
      </c>
      <c r="B10118">
        <f>IFERROR(__xludf.DUMMYFUNCTION("""COMPUTED_VALUE"""),3114022.0)</f>
        <v>3114022</v>
      </c>
      <c r="C10118" t="str">
        <f>IFERROR(__xludf.DUMMYFUNCTION("""COMPUTED_VALUE"""),"3 Minute Italian - Course 6 | Language lessons for beginners")</f>
        <v>3 Minute Italian - Course 6 | Language lessons for beginners</v>
      </c>
    </row>
    <row r="10119">
      <c r="A10119" s="140" t="str">
        <f>IFERROR(__xludf.DUMMYFUNCTION("""COMPUTED_VALUE"""),"ar")</f>
        <v>ar</v>
      </c>
      <c r="B10119">
        <f>IFERROR(__xludf.DUMMYFUNCTION("""COMPUTED_VALUE"""),1645828.0)</f>
        <v>1645828</v>
      </c>
      <c r="C10119" t="str">
        <f>IFERROR(__xludf.DUMMYFUNCTION("""COMPUTED_VALUE"""),"Machine Learning Nanodegree")</f>
        <v>Machine Learning Nanodegree</v>
      </c>
    </row>
    <row r="10120">
      <c r="A10120" s="140" t="str">
        <f>IFERROR(__xludf.DUMMYFUNCTION("""COMPUTED_VALUE"""),"de")</f>
        <v>de</v>
      </c>
      <c r="B10120">
        <f>IFERROR(__xludf.DUMMYFUNCTION("""COMPUTED_VALUE"""),2251204.0)</f>
        <v>2251204</v>
      </c>
      <c r="C10120" t="str">
        <f>IFERROR(__xludf.DUMMYFUNCTION("""COMPUTED_VALUE"""),"Arduino: Grundlagenkurs für absolute Einsteiger")</f>
        <v>Arduino: Grundlagenkurs für absolute Einsteiger</v>
      </c>
    </row>
    <row r="10121">
      <c r="A10121" s="140" t="str">
        <f>IFERROR(__xludf.DUMMYFUNCTION("""COMPUTED_VALUE"""),"en")</f>
        <v>en</v>
      </c>
      <c r="B10121">
        <f>IFERROR(__xludf.DUMMYFUNCTION("""COMPUTED_VALUE"""),2851418.0)</f>
        <v>2851418</v>
      </c>
      <c r="C10121" t="str">
        <f>IFERROR(__xludf.DUMMYFUNCTION("""COMPUTED_VALUE"""),"Getting started as a Japanese to English translator")</f>
        <v>Getting started as a Japanese to English translator</v>
      </c>
    </row>
    <row r="10122">
      <c r="A10122" s="140" t="str">
        <f>IFERROR(__xludf.DUMMYFUNCTION("""COMPUTED_VALUE"""),"en")</f>
        <v>en</v>
      </c>
      <c r="B10122">
        <f>IFERROR(__xludf.DUMMYFUNCTION("""COMPUTED_VALUE"""),361272.0)</f>
        <v>361272</v>
      </c>
      <c r="C10122" t="str">
        <f>IFERROR(__xludf.DUMMYFUNCTION("""COMPUTED_VALUE"""),"The Science of Leadership")</f>
        <v>The Science of Leadership</v>
      </c>
    </row>
    <row r="10123">
      <c r="A10123" s="140" t="str">
        <f>IFERROR(__xludf.DUMMYFUNCTION("""COMPUTED_VALUE"""),"en")</f>
        <v>en</v>
      </c>
      <c r="B10123">
        <f>IFERROR(__xludf.DUMMYFUNCTION("""COMPUTED_VALUE"""),3142166.0)</f>
        <v>3142166</v>
      </c>
      <c r="C10123" t="str">
        <f>IFERROR(__xludf.DUMMYFUNCTION("""COMPUTED_VALUE"""),"[NEW] Ultimate AWS Certified Cloud Practitioner - 2021")</f>
        <v>[NEW] Ultimate AWS Certified Cloud Practitioner - 2021</v>
      </c>
    </row>
    <row r="10124">
      <c r="A10124" s="140" t="str">
        <f>IFERROR(__xludf.DUMMYFUNCTION("""COMPUTED_VALUE"""),"ja")</f>
        <v>ja</v>
      </c>
      <c r="B10124">
        <f>IFERROR(__xludf.DUMMYFUNCTION("""COMPUTED_VALUE"""),4055790.0)</f>
        <v>4055790</v>
      </c>
      <c r="C10124" t="str">
        <f>IFERROR(__xludf.DUMMYFUNCTION("""COMPUTED_VALUE"""),"＜UB確認テスト＞Excel VBA[第1弾](超入門)エクセルが自動で仕事する！マクロの魔法　文系・非IT職もできる")</f>
        <v>＜UB確認テスト＞Excel VBA[第1弾](超入門)エクセルが自動で仕事する！マクロの魔法　文系・非IT職もできる</v>
      </c>
    </row>
    <row r="10125">
      <c r="A10125" s="140" t="str">
        <f>IFERROR(__xludf.DUMMYFUNCTION("""COMPUTED_VALUE"""),"en")</f>
        <v>en</v>
      </c>
      <c r="B10125">
        <f>IFERROR(__xludf.DUMMYFUNCTION("""COMPUTED_VALUE"""),4351208.0)</f>
        <v>4351208</v>
      </c>
      <c r="C10125" t="str">
        <f>IFERROR(__xludf.DUMMYFUNCTION("""COMPUTED_VALUE"""),"Build an FPS Multi-Player Game with Photon PUN2 &amp; UNITY")</f>
        <v>Build an FPS Multi-Player Game with Photon PUN2 &amp; UNITY</v>
      </c>
    </row>
    <row r="10126">
      <c r="A10126" s="140" t="str">
        <f>IFERROR(__xludf.DUMMYFUNCTION("""COMPUTED_VALUE"""),"en")</f>
        <v>en</v>
      </c>
      <c r="B10126">
        <f>IFERROR(__xludf.DUMMYFUNCTION("""COMPUTED_VALUE"""),1480202.0)</f>
        <v>1480202</v>
      </c>
      <c r="C10126" t="str">
        <f>IFERROR(__xludf.DUMMYFUNCTION("""COMPUTED_VALUE"""),"RESTful API with ASP.NET Core Web API - Create and Consume")</f>
        <v>RESTful API with ASP.NET Core Web API - Create and Consume</v>
      </c>
    </row>
    <row r="10127">
      <c r="A10127" s="140" t="str">
        <f>IFERROR(__xludf.DUMMYFUNCTION("""COMPUTED_VALUE"""),"en")</f>
        <v>en</v>
      </c>
      <c r="B10127">
        <f>IFERROR(__xludf.DUMMYFUNCTION("""COMPUTED_VALUE"""),257626.0)</f>
        <v>257626</v>
      </c>
      <c r="C10127" t="str">
        <f>IFERROR(__xludf.DUMMYFUNCTION("""COMPUTED_VALUE"""),"Mastering IELTS Writing: Task 2 (Achieve Band 7+ in 7 Hours)")</f>
        <v>Mastering IELTS Writing: Task 2 (Achieve Band 7+ in 7 Hours)</v>
      </c>
    </row>
    <row r="10128">
      <c r="A10128" s="140" t="str">
        <f>IFERROR(__xludf.DUMMYFUNCTION("""COMPUTED_VALUE"""),"en")</f>
        <v>en</v>
      </c>
      <c r="B10128">
        <f>IFERROR(__xludf.DUMMYFUNCTION("""COMPUTED_VALUE"""),1488346.0)</f>
        <v>1488346</v>
      </c>
      <c r="C10128" t="str">
        <f>IFERROR(__xludf.DUMMYFUNCTION("""COMPUTED_VALUE"""),"VMware VCP DCV Exam Simulator (VCP-DCV 2020)")</f>
        <v>VMware VCP DCV Exam Simulator (VCP-DCV 2020)</v>
      </c>
    </row>
    <row r="10129">
      <c r="A10129" s="140" t="str">
        <f>IFERROR(__xludf.DUMMYFUNCTION("""COMPUTED_VALUE"""),"en")</f>
        <v>en</v>
      </c>
      <c r="B10129">
        <f>IFERROR(__xludf.DUMMYFUNCTION("""COMPUTED_VALUE"""),1719852.0)</f>
        <v>1719852</v>
      </c>
      <c r="C10129" t="str">
        <f>IFERROR(__xludf.DUMMYFUNCTION("""COMPUTED_VALUE"""),"Neuroplasticity: Rewire Your Brain With Dr. Cliff Saunders")</f>
        <v>Neuroplasticity: Rewire Your Brain With Dr. Cliff Saunders</v>
      </c>
    </row>
    <row r="10130">
      <c r="A10130" s="140" t="str">
        <f>IFERROR(__xludf.DUMMYFUNCTION("""COMPUTED_VALUE"""),"en")</f>
        <v>en</v>
      </c>
      <c r="B10130">
        <f>IFERROR(__xludf.DUMMYFUNCTION("""COMPUTED_VALUE"""),4076436.0)</f>
        <v>4076436</v>
      </c>
      <c r="C10130" t="str">
        <f>IFERROR(__xludf.DUMMYFUNCTION("""COMPUTED_VALUE"""),"PySpark &amp; AWS: Master Big Data With PySpark and AWS")</f>
        <v>PySpark &amp; AWS: Master Big Data With PySpark and AWS</v>
      </c>
    </row>
    <row r="10131">
      <c r="A10131" s="140" t="str">
        <f>IFERROR(__xludf.DUMMYFUNCTION("""COMPUTED_VALUE"""),"fr")</f>
        <v>fr</v>
      </c>
      <c r="B10131">
        <f>IFERROR(__xludf.DUMMYFUNCTION("""COMPUTED_VALUE"""),1608954.0)</f>
        <v>1608954</v>
      </c>
      <c r="C10131" t="str">
        <f>IFERROR(__xludf.DUMMYFUNCTION("""COMPUTED_VALUE"""),"Maîtriser les chandeliers japonais en trading")</f>
        <v>Maîtriser les chandeliers japonais en trading</v>
      </c>
    </row>
    <row r="10132">
      <c r="A10132" s="140" t="str">
        <f>IFERROR(__xludf.DUMMYFUNCTION("""COMPUTED_VALUE"""),"pt")</f>
        <v>pt</v>
      </c>
      <c r="B10132">
        <f>IFERROR(__xludf.DUMMYFUNCTION("""COMPUTED_VALUE"""),2166960.0)</f>
        <v>2166960</v>
      </c>
      <c r="C10132" t="str">
        <f>IFERROR(__xludf.DUMMYFUNCTION("""COMPUTED_VALUE"""),"Oratória e Formação de Palestrantes")</f>
        <v>Oratória e Formação de Palestrantes</v>
      </c>
    </row>
    <row r="10133">
      <c r="A10133" s="140" t="str">
        <f>IFERROR(__xludf.DUMMYFUNCTION("""COMPUTED_VALUE"""),"en")</f>
        <v>en</v>
      </c>
      <c r="B10133">
        <f>IFERROR(__xludf.DUMMYFUNCTION("""COMPUTED_VALUE"""),1667944.0)</f>
        <v>1667944</v>
      </c>
      <c r="C10133" t="str">
        <f>IFERROR(__xludf.DUMMYFUNCTION("""COMPUTED_VALUE"""),"Day-to-Day Leadership that Gets Results")</f>
        <v>Day-to-Day Leadership that Gets Results</v>
      </c>
    </row>
    <row r="10134">
      <c r="A10134" s="140" t="str">
        <f>IFERROR(__xludf.DUMMYFUNCTION("""COMPUTED_VALUE"""),"ar")</f>
        <v>ar</v>
      </c>
      <c r="B10134">
        <f>IFERROR(__xludf.DUMMYFUNCTION("""COMPUTED_VALUE"""),3549540.0)</f>
        <v>3549540</v>
      </c>
      <c r="C10134" t="str">
        <f>IFERROR(__xludf.DUMMYFUNCTION("""COMPUTED_VALUE"""),"ICT Taskforce: Microsoft Office | PowerPoint Expert")</f>
        <v>ICT Taskforce: Microsoft Office | PowerPoint Expert</v>
      </c>
    </row>
    <row r="10135">
      <c r="A10135" s="140" t="str">
        <f>IFERROR(__xludf.DUMMYFUNCTION("""COMPUTED_VALUE"""),"en")</f>
        <v>en</v>
      </c>
      <c r="B10135">
        <f>IFERROR(__xludf.DUMMYFUNCTION("""COMPUTED_VALUE"""),250570.0)</f>
        <v>250570</v>
      </c>
      <c r="C10135" t="str">
        <f>IFERROR(__xludf.DUMMYFUNCTION("""COMPUTED_VALUE"""),"Master the Shopper Experience to build your retail business.")</f>
        <v>Master the Shopper Experience to build your retail business.</v>
      </c>
    </row>
    <row r="10136">
      <c r="A10136" s="140" t="str">
        <f>IFERROR(__xludf.DUMMYFUNCTION("""COMPUTED_VALUE"""),"en")</f>
        <v>en</v>
      </c>
      <c r="B10136">
        <f>IFERROR(__xludf.DUMMYFUNCTION("""COMPUTED_VALUE"""),4073152.0)</f>
        <v>4073152</v>
      </c>
      <c r="C10136" t="str">
        <f>IFERROR(__xludf.DUMMYFUNCTION("""COMPUTED_VALUE"""),"Data Structures &amp; Algorithms Essentials using C++")</f>
        <v>Data Structures &amp; Algorithms Essentials using C++</v>
      </c>
    </row>
    <row r="10137">
      <c r="A10137" s="140" t="str">
        <f>IFERROR(__xludf.DUMMYFUNCTION("""COMPUTED_VALUE"""),"pt")</f>
        <v>pt</v>
      </c>
      <c r="B10137">
        <f>IFERROR(__xludf.DUMMYFUNCTION("""COMPUTED_VALUE"""),3825504.0)</f>
        <v>3825504</v>
      </c>
      <c r="C10137" t="str">
        <f>IFERROR(__xludf.DUMMYFUNCTION("""COMPUTED_VALUE"""),"Métodos ágeis de A a Z: o curso completo")</f>
        <v>Métodos ágeis de A a Z: o curso completo</v>
      </c>
    </row>
    <row r="10138">
      <c r="A10138" s="140" t="str">
        <f>IFERROR(__xludf.DUMMYFUNCTION("""COMPUTED_VALUE"""),"en")</f>
        <v>en</v>
      </c>
      <c r="B10138">
        <f>IFERROR(__xludf.DUMMYFUNCTION("""COMPUTED_VALUE"""),1546884.0)</f>
        <v>1546884</v>
      </c>
      <c r="C10138" t="str">
        <f>IFERROR(__xludf.DUMMYFUNCTION("""COMPUTED_VALUE"""),"Python and Flask Bootcamp: Create Websites using Flask!")</f>
        <v>Python and Flask Bootcamp: Create Websites using Flask!</v>
      </c>
    </row>
    <row r="10139">
      <c r="A10139" s="140" t="str">
        <f>IFERROR(__xludf.DUMMYFUNCTION("""COMPUTED_VALUE"""),"pt")</f>
        <v>pt</v>
      </c>
      <c r="B10139">
        <f>IFERROR(__xludf.DUMMYFUNCTION("""COMPUTED_VALUE"""),1766956.0)</f>
        <v>1766956</v>
      </c>
      <c r="C10139" t="str">
        <f>IFERROR(__xludf.DUMMYFUNCTION("""COMPUTED_VALUE"""),"Curso Elementor Wordpress: Criando Sites com Elementor")</f>
        <v>Curso Elementor Wordpress: Criando Sites com Elementor</v>
      </c>
    </row>
    <row r="10140">
      <c r="A10140" s="140" t="str">
        <f>IFERROR(__xludf.DUMMYFUNCTION("""COMPUTED_VALUE"""),"en")</f>
        <v>en</v>
      </c>
      <c r="B10140">
        <f>IFERROR(__xludf.DUMMYFUNCTION("""COMPUTED_VALUE"""),1983870.0)</f>
        <v>1983870</v>
      </c>
      <c r="C10140" t="str">
        <f>IFERROR(__xludf.DUMMYFUNCTION("""COMPUTED_VALUE"""),"Easy, Effective Google Grant Ads for Non-Profits")</f>
        <v>Easy, Effective Google Grant Ads for Non-Profits</v>
      </c>
    </row>
    <row r="10141">
      <c r="A10141" s="140" t="str">
        <f>IFERROR(__xludf.DUMMYFUNCTION("""COMPUTED_VALUE"""),"en")</f>
        <v>en</v>
      </c>
      <c r="B10141">
        <f>IFERROR(__xludf.DUMMYFUNCTION("""COMPUTED_VALUE"""),1589310.0)</f>
        <v>1589310</v>
      </c>
      <c r="C10141" t="str">
        <f>IFERROR(__xludf.DUMMYFUNCTION("""COMPUTED_VALUE"""),"The complete React Native course ( 2021 edition )")</f>
        <v>The complete React Native course ( 2021 edition )</v>
      </c>
    </row>
    <row r="10142">
      <c r="A10142" s="140" t="str">
        <f>IFERROR(__xludf.DUMMYFUNCTION("""COMPUTED_VALUE"""),"es")</f>
        <v>es</v>
      </c>
      <c r="B10142">
        <f>IFERROR(__xludf.DUMMYFUNCTION("""COMPUTED_VALUE"""),3610262.0)</f>
        <v>3610262</v>
      </c>
      <c r="C10142" t="str">
        <f>IFERROR(__xludf.DUMMYFUNCTION("""COMPUTED_VALUE"""),"Liderazgo y Gestión de Equipos - Estilos y Estrategias")</f>
        <v>Liderazgo y Gestión de Equipos - Estilos y Estrategias</v>
      </c>
    </row>
    <row r="10143">
      <c r="A10143" s="140" t="str">
        <f>IFERROR(__xludf.DUMMYFUNCTION("""COMPUTED_VALUE"""),"tr")</f>
        <v>tr</v>
      </c>
      <c r="B10143">
        <f>IFERROR(__xludf.DUMMYFUNCTION("""COMPUTED_VALUE"""),3045940.0)</f>
        <v>3045940</v>
      </c>
      <c r="C10143" t="str">
        <f>IFERROR(__xludf.DUMMYFUNCTION("""COMPUTED_VALUE"""),"Blender 2.82 Karakter Modelleme ve Animasyon Eğitimi")</f>
        <v>Blender 2.82 Karakter Modelleme ve Animasyon Eğitimi</v>
      </c>
    </row>
    <row r="10144">
      <c r="A10144" s="140" t="str">
        <f>IFERROR(__xludf.DUMMYFUNCTION("""COMPUTED_VALUE"""),"en")</f>
        <v>en</v>
      </c>
      <c r="B10144">
        <f>IFERROR(__xludf.DUMMYFUNCTION("""COMPUTED_VALUE"""),662354.0)</f>
        <v>662354</v>
      </c>
      <c r="C10144" t="str">
        <f>IFERROR(__xludf.DUMMYFUNCTION("""COMPUTED_VALUE"""),"Intro to Entrepreneurship: Get started as an Entrepreneur")</f>
        <v>Intro to Entrepreneurship: Get started as an Entrepreneur</v>
      </c>
    </row>
    <row r="10145">
      <c r="A10145" s="140" t="str">
        <f>IFERROR(__xludf.DUMMYFUNCTION("""COMPUTED_VALUE"""),"en")</f>
        <v>en</v>
      </c>
      <c r="B10145">
        <f>IFERROR(__xludf.DUMMYFUNCTION("""COMPUTED_VALUE"""),1349576.0)</f>
        <v>1349576</v>
      </c>
      <c r="C10145" t="str">
        <f>IFERROR(__xludf.DUMMYFUNCTION("""COMPUTED_VALUE"""),"Learn A-Frame And Get Ready For WebVR")</f>
        <v>Learn A-Frame And Get Ready For WebVR</v>
      </c>
    </row>
    <row r="10146">
      <c r="A10146" s="140" t="str">
        <f>IFERROR(__xludf.DUMMYFUNCTION("""COMPUTED_VALUE"""),"ja")</f>
        <v>ja</v>
      </c>
      <c r="B10146">
        <f>IFERROR(__xludf.DUMMYFUNCTION("""COMPUTED_VALUE"""),3295154.0)</f>
        <v>3295154</v>
      </c>
      <c r="C10146" t="str">
        <f>IFERROR(__xludf.DUMMYFUNCTION("""COMPUTED_VALUE"""),"[COVID 19アプリ編] Reactで作るコロナウイルス Live ダッシュボード")</f>
        <v>[COVID 19アプリ編] Reactで作るコロナウイルス Live ダッシュボード</v>
      </c>
    </row>
    <row r="10147">
      <c r="A10147" s="140" t="str">
        <f>IFERROR(__xludf.DUMMYFUNCTION("""COMPUTED_VALUE"""),"en")</f>
        <v>en</v>
      </c>
      <c r="B10147">
        <f>IFERROR(__xludf.DUMMYFUNCTION("""COMPUTED_VALUE"""),1452908.0)</f>
        <v>1452908</v>
      </c>
      <c r="C10147" t="str">
        <f>IFERROR(__xludf.DUMMYFUNCTION("""COMPUTED_VALUE"""),"User Experience Design Essentials - Adobe XD UI UX Design")</f>
        <v>User Experience Design Essentials - Adobe XD UI UX Design</v>
      </c>
    </row>
    <row r="10148">
      <c r="A10148" s="140" t="str">
        <f>IFERROR(__xludf.DUMMYFUNCTION("""COMPUTED_VALUE"""),"en")</f>
        <v>en</v>
      </c>
      <c r="B10148">
        <f>IFERROR(__xludf.DUMMYFUNCTION("""COMPUTED_VALUE"""),557194.0)</f>
        <v>557194</v>
      </c>
      <c r="C10148" t="str">
        <f>IFERROR(__xludf.DUMMYFUNCTION("""COMPUTED_VALUE"""),"Adobe Lightroom CC + Classic 11 / Learn Photo Editing by Pro")</f>
        <v>Adobe Lightroom CC + Classic 11 / Learn Photo Editing by Pro</v>
      </c>
    </row>
    <row r="10149">
      <c r="A10149" s="140" t="str">
        <f>IFERROR(__xludf.DUMMYFUNCTION("""COMPUTED_VALUE"""),"tr")</f>
        <v>tr</v>
      </c>
      <c r="B10149">
        <f>IFERROR(__xludf.DUMMYFUNCTION("""COMPUTED_VALUE"""),1777094.0)</f>
        <v>1777094</v>
      </c>
      <c r="C10149" t="str">
        <f>IFERROR(__xludf.DUMMYFUNCTION("""COMPUTED_VALUE"""),"Arduino, Proteus, PCB Design, IoT , Industry 4.0")</f>
        <v>Arduino, Proteus, PCB Design, IoT , Industry 4.0</v>
      </c>
    </row>
    <row r="10150">
      <c r="A10150" s="140" t="str">
        <f>IFERROR(__xludf.DUMMYFUNCTION("""COMPUTED_VALUE"""),"pt")</f>
        <v>pt</v>
      </c>
      <c r="B10150">
        <f>IFERROR(__xludf.DUMMYFUNCTION("""COMPUTED_VALUE"""),968264.0)</f>
        <v>968264</v>
      </c>
      <c r="C10150" t="str">
        <f>IFERROR(__xludf.DUMMYFUNCTION("""COMPUTED_VALUE"""),"Introdução à Administração de Contratos")</f>
        <v>Introdução à Administração de Contratos</v>
      </c>
    </row>
    <row r="10151">
      <c r="A10151" s="140" t="str">
        <f>IFERROR(__xludf.DUMMYFUNCTION("""COMPUTED_VALUE"""),"en")</f>
        <v>en</v>
      </c>
      <c r="B10151">
        <f>IFERROR(__xludf.DUMMYFUNCTION("""COMPUTED_VALUE"""),1386242.0)</f>
        <v>1386242</v>
      </c>
      <c r="C10151" t="str">
        <f>IFERROR(__xludf.DUMMYFUNCTION("""COMPUTED_VALUE"""),"Hands-on Penetration Testing Labs 1.0")</f>
        <v>Hands-on Penetration Testing Labs 1.0</v>
      </c>
    </row>
    <row r="10152">
      <c r="A10152" s="140" t="str">
        <f>IFERROR(__xludf.DUMMYFUNCTION("""COMPUTED_VALUE"""),"ja")</f>
        <v>ja</v>
      </c>
      <c r="B10152">
        <f>IFERROR(__xludf.DUMMYFUNCTION("""COMPUTED_VALUE"""),1507044.0)</f>
        <v>1507044</v>
      </c>
      <c r="C10152" t="str">
        <f>IFERROR(__xludf.DUMMYFUNCTION("""COMPUTED_VALUE"""),"フロントエンドエンジニアのための React ・ Redux アプリケーション開発入門")</f>
        <v>フロントエンドエンジニアのための React ・ Redux アプリケーション開発入門</v>
      </c>
    </row>
    <row r="10153">
      <c r="A10153" s="140" t="str">
        <f>IFERROR(__xludf.DUMMYFUNCTION("""COMPUTED_VALUE"""),"de")</f>
        <v>de</v>
      </c>
      <c r="B10153">
        <f>IFERROR(__xludf.DUMMYFUNCTION("""COMPUTED_VALUE"""),2141938.0)</f>
        <v>2141938</v>
      </c>
      <c r="C10153" t="str">
        <f>IFERROR(__xludf.DUMMYFUNCTION("""COMPUTED_VALUE"""),"Produktive Meetings: Geheimnisse effektiver Besprechungen")</f>
        <v>Produktive Meetings: Geheimnisse effektiver Besprechungen</v>
      </c>
    </row>
    <row r="10154">
      <c r="A10154" s="140" t="str">
        <f>IFERROR(__xludf.DUMMYFUNCTION("""COMPUTED_VALUE"""),"en")</f>
        <v>en</v>
      </c>
      <c r="B10154">
        <f>IFERROR(__xludf.DUMMYFUNCTION("""COMPUTED_VALUE"""),15620.0)</f>
        <v>15620</v>
      </c>
      <c r="C10154" t="str">
        <f>IFERROR(__xludf.DUMMYFUNCTION("""COMPUTED_VALUE"""),"Photoshop CS6 Crash Course")</f>
        <v>Photoshop CS6 Crash Course</v>
      </c>
    </row>
    <row r="10155">
      <c r="A10155" s="140" t="str">
        <f>IFERROR(__xludf.DUMMYFUNCTION("""COMPUTED_VALUE"""),"en")</f>
        <v>en</v>
      </c>
      <c r="B10155">
        <f>IFERROR(__xludf.DUMMYFUNCTION("""COMPUTED_VALUE"""),761780.0)</f>
        <v>761780</v>
      </c>
      <c r="C10155" t="str">
        <f>IFERROR(__xludf.DUMMYFUNCTION("""COMPUTED_VALUE"""),"SystemVerilog Assertions &amp; Functional Coverage FROM SCRATCH")</f>
        <v>SystemVerilog Assertions &amp; Functional Coverage FROM SCRATCH</v>
      </c>
    </row>
    <row r="10156">
      <c r="A10156" s="140" t="str">
        <f>IFERROR(__xludf.DUMMYFUNCTION("""COMPUTED_VALUE"""),"en")</f>
        <v>en</v>
      </c>
      <c r="B10156">
        <f>IFERROR(__xludf.DUMMYFUNCTION("""COMPUTED_VALUE"""),3232703.0)</f>
        <v>3232703</v>
      </c>
      <c r="C10156" t="str">
        <f>IFERROR(__xludf.DUMMYFUNCTION("""COMPUTED_VALUE"""),"Introduction to Algorithmic Trading")</f>
        <v>Introduction to Algorithmic Trading</v>
      </c>
    </row>
    <row r="10157">
      <c r="A10157" s="140" t="str">
        <f>IFERROR(__xludf.DUMMYFUNCTION("""COMPUTED_VALUE"""),"fr")</f>
        <v>fr</v>
      </c>
      <c r="B10157">
        <f>IFERROR(__xludf.DUMMYFUNCTION("""COMPUTED_VALUE"""),2367360.0)</f>
        <v>2367360</v>
      </c>
      <c r="C10157" t="str">
        <f>IFERROR(__xludf.DUMMYFUNCTION("""COMPUTED_VALUE"""),"La visualisation de données avec D3.js")</f>
        <v>La visualisation de données avec D3.js</v>
      </c>
    </row>
    <row r="10158">
      <c r="A10158" s="140" t="str">
        <f>IFERROR(__xludf.DUMMYFUNCTION("""COMPUTED_VALUE"""),"en")</f>
        <v>en</v>
      </c>
      <c r="B10158">
        <f>IFERROR(__xludf.DUMMYFUNCTION("""COMPUTED_VALUE"""),2237466.0)</f>
        <v>2237466</v>
      </c>
      <c r="C10158" t="str">
        <f>IFERROR(__xludf.DUMMYFUNCTION("""COMPUTED_VALUE"""),"Intro to Fluid Mechanics for Engineering Students Part 2")</f>
        <v>Intro to Fluid Mechanics for Engineering Students Part 2</v>
      </c>
    </row>
    <row r="10159">
      <c r="A10159" s="140" t="str">
        <f>IFERROR(__xludf.DUMMYFUNCTION("""COMPUTED_VALUE"""),"en")</f>
        <v>en</v>
      </c>
      <c r="B10159">
        <f>IFERROR(__xludf.DUMMYFUNCTION("""COMPUTED_VALUE"""),1776264.0)</f>
        <v>1776264</v>
      </c>
      <c r="C10159" t="str">
        <f>IFERROR(__xludf.DUMMYFUNCTION("""COMPUTED_VALUE"""),"Database Management System from scratch - Part 1")</f>
        <v>Database Management System from scratch - Part 1</v>
      </c>
    </row>
    <row r="10160">
      <c r="A10160" s="140" t="str">
        <f>IFERROR(__xludf.DUMMYFUNCTION("""COMPUTED_VALUE"""),"en")</f>
        <v>en</v>
      </c>
      <c r="B10160">
        <f>IFERROR(__xludf.DUMMYFUNCTION("""COMPUTED_VALUE"""),1248422.0)</f>
        <v>1248422</v>
      </c>
      <c r="C10160" t="str">
        <f>IFERROR(__xludf.DUMMYFUNCTION("""COMPUTED_VALUE"""),"Oracle 11gR2 RAC - Quick 2-node RAC Deployment Guide")</f>
        <v>Oracle 11gR2 RAC - Quick 2-node RAC Deployment Guide</v>
      </c>
    </row>
    <row r="10161">
      <c r="A10161" s="140" t="str">
        <f>IFERROR(__xludf.DUMMYFUNCTION("""COMPUTED_VALUE"""),"fr")</f>
        <v>fr</v>
      </c>
      <c r="B10161">
        <f>IFERROR(__xludf.DUMMYFUNCTION("""COMPUTED_VALUE"""),1916866.0)</f>
        <v>1916866</v>
      </c>
      <c r="C10161" t="str">
        <f>IFERROR(__xludf.DUMMYFUNCTION("""COMPUTED_VALUE"""),"Maitrisez Final Cut Pro X et le montage vidéo")</f>
        <v>Maitrisez Final Cut Pro X et le montage vidéo</v>
      </c>
    </row>
    <row r="10162">
      <c r="A10162" s="140" t="str">
        <f>IFERROR(__xludf.DUMMYFUNCTION("""COMPUTED_VALUE"""),"en")</f>
        <v>en</v>
      </c>
      <c r="B10162">
        <f>IFERROR(__xludf.DUMMYFUNCTION("""COMPUTED_VALUE"""),3236607.0)</f>
        <v>3236607</v>
      </c>
      <c r="C10162" t="str">
        <f>IFERROR(__xludf.DUMMYFUNCTION("""COMPUTED_VALUE"""),"Tableau For Healthcare")</f>
        <v>Tableau For Healthcare</v>
      </c>
    </row>
    <row r="10163">
      <c r="A10163" s="140" t="str">
        <f>IFERROR(__xludf.DUMMYFUNCTION("""COMPUTED_VALUE"""),"en")</f>
        <v>en</v>
      </c>
      <c r="B10163">
        <f>IFERROR(__xludf.DUMMYFUNCTION("""COMPUTED_VALUE"""),570358.0)</f>
        <v>570358</v>
      </c>
      <c r="C10163" t="str">
        <f>IFERROR(__xludf.DUMMYFUNCTION("""COMPUTED_VALUE"""),"Introduction to World Machine")</f>
        <v>Introduction to World Machine</v>
      </c>
    </row>
    <row r="10164">
      <c r="A10164" s="140" t="str">
        <f>IFERROR(__xludf.DUMMYFUNCTION("""COMPUTED_VALUE"""),"pt")</f>
        <v>pt</v>
      </c>
      <c r="B10164">
        <f>IFERROR(__xludf.DUMMYFUNCTION("""COMPUTED_VALUE"""),1300540.0)</f>
        <v>1300540</v>
      </c>
      <c r="C10164" t="str">
        <f>IFERROR(__xludf.DUMMYFUNCTION("""COMPUTED_VALUE"""),"Formação em Análise de Negócios com base no Guia BABOK ® v3")</f>
        <v>Formação em Análise de Negócios com base no Guia BABOK ® v3</v>
      </c>
    </row>
    <row r="10165">
      <c r="A10165" s="140" t="str">
        <f>IFERROR(__xludf.DUMMYFUNCTION("""COMPUTED_VALUE"""),"en")</f>
        <v>en</v>
      </c>
      <c r="B10165">
        <f>IFERROR(__xludf.DUMMYFUNCTION("""COMPUTED_VALUE"""),1565838.0)</f>
        <v>1565838</v>
      </c>
      <c r="C10165" t="str">
        <f>IFERROR(__xludf.DUMMYFUNCTION("""COMPUTED_VALUE"""),"The Complete 2022 Web Development Bootcamp")</f>
        <v>The Complete 2022 Web Development Bootcamp</v>
      </c>
    </row>
    <row r="10166">
      <c r="A10166" s="140" t="str">
        <f>IFERROR(__xludf.DUMMYFUNCTION("""COMPUTED_VALUE"""),"en")</f>
        <v>en</v>
      </c>
      <c r="B10166">
        <f>IFERROR(__xludf.DUMMYFUNCTION("""COMPUTED_VALUE"""),180106.0)</f>
        <v>180106</v>
      </c>
      <c r="C10166" t="str">
        <f>IFERROR(__xludf.DUMMYFUNCTION("""COMPUTED_VALUE"""),"Mobile App Marketing 2021: ASO, Advertising &amp; Monetization")</f>
        <v>Mobile App Marketing 2021: ASO, Advertising &amp; Monetization</v>
      </c>
    </row>
    <row r="10167">
      <c r="A10167" s="140" t="str">
        <f>IFERROR(__xludf.DUMMYFUNCTION("""COMPUTED_VALUE"""),"en")</f>
        <v>en</v>
      </c>
      <c r="B10167">
        <f>IFERROR(__xludf.DUMMYFUNCTION("""COMPUTED_VALUE"""),734706.0)</f>
        <v>734706</v>
      </c>
      <c r="C10167" t="str">
        <f>IFERROR(__xludf.DUMMYFUNCTION("""COMPUTED_VALUE"""),"50 Career &amp; Self Development Tips: Welcome to the New You!")</f>
        <v>50 Career &amp; Self Development Tips: Welcome to the New You!</v>
      </c>
    </row>
    <row r="10168">
      <c r="A10168" s="140" t="str">
        <f>IFERROR(__xludf.DUMMYFUNCTION("""COMPUTED_VALUE"""),"en")</f>
        <v>en</v>
      </c>
      <c r="B10168">
        <f>IFERROR(__xludf.DUMMYFUNCTION("""COMPUTED_VALUE"""),802702.0)</f>
        <v>802702</v>
      </c>
      <c r="C10168" t="str">
        <f>IFERROR(__xludf.DUMMYFUNCTION("""COMPUTED_VALUE"""),"Create 'How-To' Writing Like a Pro")</f>
        <v>Create 'How-To' Writing Like a Pro</v>
      </c>
    </row>
    <row r="10169">
      <c r="A10169" s="140" t="str">
        <f>IFERROR(__xludf.DUMMYFUNCTION("""COMPUTED_VALUE"""),"de")</f>
        <v>de</v>
      </c>
      <c r="B10169">
        <f>IFERROR(__xludf.DUMMYFUNCTION("""COMPUTED_VALUE"""),1854702.0)</f>
        <v>1854702</v>
      </c>
      <c r="C10169" t="str">
        <f>IFERROR(__xludf.DUMMYFUNCTION("""COMPUTED_VALUE"""),"Dauerhafter Erfolg als Führungskraft - inkl. Shortbook")</f>
        <v>Dauerhafter Erfolg als Führungskraft - inkl. Shortbook</v>
      </c>
    </row>
    <row r="10170">
      <c r="A10170" s="140" t="str">
        <f>IFERROR(__xludf.DUMMYFUNCTION("""COMPUTED_VALUE"""),"en")</f>
        <v>en</v>
      </c>
      <c r="B10170">
        <f>IFERROR(__xludf.DUMMYFUNCTION("""COMPUTED_VALUE"""),57427.0)</f>
        <v>57427</v>
      </c>
      <c r="C10170" t="str">
        <f>IFERROR(__xludf.DUMMYFUNCTION("""COMPUTED_VALUE"""),"Supervisor Leadership Skills for a Safe Workplace")</f>
        <v>Supervisor Leadership Skills for a Safe Workplace</v>
      </c>
    </row>
    <row r="10171">
      <c r="A10171" s="140" t="str">
        <f>IFERROR(__xludf.DUMMYFUNCTION("""COMPUTED_VALUE"""),"en")</f>
        <v>en</v>
      </c>
      <c r="B10171">
        <f>IFERROR(__xludf.DUMMYFUNCTION("""COMPUTED_VALUE"""),2019022.0)</f>
        <v>2019022</v>
      </c>
      <c r="C10171" t="str">
        <f>IFERROR(__xludf.DUMMYFUNCTION("""COMPUTED_VALUE"""),"Certified Electronic Health Records Specialist")</f>
        <v>Certified Electronic Health Records Specialist</v>
      </c>
    </row>
    <row r="10172">
      <c r="A10172" s="140" t="str">
        <f>IFERROR(__xludf.DUMMYFUNCTION("""COMPUTED_VALUE"""),"ja")</f>
        <v>ja</v>
      </c>
      <c r="B10172">
        <f>IFERROR(__xludf.DUMMYFUNCTION("""COMPUTED_VALUE"""),3501826.0)</f>
        <v>3501826</v>
      </c>
      <c r="C10172" t="str">
        <f>IFERROR(__xludf.DUMMYFUNCTION("""COMPUTED_VALUE"""),"MySQLでデータベース基礎とSQLをゼロから学ぶ！挫折させないSQL講座")</f>
        <v>MySQLでデータベース基礎とSQLをゼロから学ぶ！挫折させないSQL講座</v>
      </c>
    </row>
    <row r="10173">
      <c r="A10173" s="140" t="str">
        <f>IFERROR(__xludf.DUMMYFUNCTION("""COMPUTED_VALUE"""),"pt")</f>
        <v>pt</v>
      </c>
      <c r="B10173">
        <f>IFERROR(__xludf.DUMMYFUNCTION("""COMPUTED_VALUE"""),2755216.0)</f>
        <v>2755216</v>
      </c>
      <c r="C10173" t="str">
        <f>IFERROR(__xludf.DUMMYFUNCTION("""COMPUTED_VALUE"""),"SAP - do Zero ao Profissional + 60 dias de acesso ao SAP")</f>
        <v>SAP - do Zero ao Profissional + 60 dias de acesso ao SAP</v>
      </c>
    </row>
    <row r="10174">
      <c r="A10174" s="140" t="str">
        <f>IFERROR(__xludf.DUMMYFUNCTION("""COMPUTED_VALUE"""),"ja")</f>
        <v>ja</v>
      </c>
      <c r="B10174">
        <f>IFERROR(__xludf.DUMMYFUNCTION("""COMPUTED_VALUE"""),2389206.0)</f>
        <v>2389206</v>
      </c>
      <c r="C10174" t="str">
        <f>IFERROR(__xludf.DUMMYFUNCTION("""COMPUTED_VALUE"""),"【アジャイル開発】スクラム基礎講座")</f>
        <v>【アジャイル開発】スクラム基礎講座</v>
      </c>
    </row>
    <row r="10175">
      <c r="A10175" s="140" t="str">
        <f>IFERROR(__xludf.DUMMYFUNCTION("""COMPUTED_VALUE"""),"en")</f>
        <v>en</v>
      </c>
      <c r="B10175">
        <f>IFERROR(__xludf.DUMMYFUNCTION("""COMPUTED_VALUE"""),3401098.0)</f>
        <v>3401098</v>
      </c>
      <c r="C10175" t="str">
        <f>IFERROR(__xludf.DUMMYFUNCTION("""COMPUTED_VALUE"""),"Identity and Access Management: Oracle's OIM Configuration")</f>
        <v>Identity and Access Management: Oracle's OIM Configuration</v>
      </c>
    </row>
    <row r="10176">
      <c r="A10176" s="140" t="str">
        <f>IFERROR(__xludf.DUMMYFUNCTION("""COMPUTED_VALUE"""),"en")</f>
        <v>en</v>
      </c>
      <c r="B10176">
        <f>IFERROR(__xludf.DUMMYFUNCTION("""COMPUTED_VALUE"""),2365628.0)</f>
        <v>2365628</v>
      </c>
      <c r="C10176" t="str">
        <f>IFERROR(__xludf.DUMMYFUNCTION("""COMPUTED_VALUE"""),"Complete React Developer in 2022 (w/ Redux, Hooks, GraphQL)")</f>
        <v>Complete React Developer in 2022 (w/ Redux, Hooks, GraphQL)</v>
      </c>
    </row>
    <row r="10177">
      <c r="A10177" s="140" t="str">
        <f>IFERROR(__xludf.DUMMYFUNCTION("""COMPUTED_VALUE"""),"tr")</f>
        <v>tr</v>
      </c>
      <c r="B10177">
        <f>IFERROR(__xludf.DUMMYFUNCTION("""COMPUTED_VALUE"""),2794542.0)</f>
        <v>2794542</v>
      </c>
      <c r="C10177" t="str">
        <f>IFERROR(__xludf.DUMMYFUNCTION("""COMPUTED_VALUE"""),"Siber Güvenlik Giriş Kursu")</f>
        <v>Siber Güvenlik Giriş Kursu</v>
      </c>
    </row>
    <row r="10178">
      <c r="A10178" s="140" t="str">
        <f>IFERROR(__xludf.DUMMYFUNCTION("""COMPUTED_VALUE"""),"en")</f>
        <v>en</v>
      </c>
      <c r="B10178">
        <f>IFERROR(__xludf.DUMMYFUNCTION("""COMPUTED_VALUE"""),509344.0)</f>
        <v>509344</v>
      </c>
      <c r="C10178" t="str">
        <f>IFERROR(__xludf.DUMMYFUNCTION("""COMPUTED_VALUE"""),"Building a Digital Business Strategy")</f>
        <v>Building a Digital Business Strategy</v>
      </c>
    </row>
    <row r="10179">
      <c r="A10179" s="140" t="str">
        <f>IFERROR(__xludf.DUMMYFUNCTION("""COMPUTED_VALUE"""),"pt")</f>
        <v>pt</v>
      </c>
      <c r="B10179">
        <f>IFERROR(__xludf.DUMMYFUNCTION("""COMPUTED_VALUE"""),3207347.0)</f>
        <v>3207347</v>
      </c>
      <c r="C10179" t="str">
        <f>IFERROR(__xludf.DUMMYFUNCTION("""COMPUTED_VALUE"""),"Risk Expert - Aprenda na Prática")</f>
        <v>Risk Expert - Aprenda na Prática</v>
      </c>
    </row>
    <row r="10180">
      <c r="A10180" s="140" t="str">
        <f>IFERROR(__xludf.DUMMYFUNCTION("""COMPUTED_VALUE"""),"en")</f>
        <v>en</v>
      </c>
      <c r="B10180">
        <f>IFERROR(__xludf.DUMMYFUNCTION("""COMPUTED_VALUE"""),3528474.0)</f>
        <v>3528474</v>
      </c>
      <c r="C10180" t="str">
        <f>IFERROR(__xludf.DUMMYFUNCTION("""COMPUTED_VALUE"""),"5G Core - Architectures, Concepts and Call Flows")</f>
        <v>5G Core - Architectures, Concepts and Call Flows</v>
      </c>
    </row>
    <row r="10181">
      <c r="A10181" s="140" t="str">
        <f>IFERROR(__xludf.DUMMYFUNCTION("""COMPUTED_VALUE"""),"en")</f>
        <v>en</v>
      </c>
      <c r="B10181">
        <f>IFERROR(__xludf.DUMMYFUNCTION("""COMPUTED_VALUE"""),1777616.0)</f>
        <v>1777616</v>
      </c>
      <c r="C10181" t="str">
        <f>IFERROR(__xludf.DUMMYFUNCTION("""COMPUTED_VALUE"""),"AWS Certifications Practice Tests")</f>
        <v>AWS Certifications Practice Tests</v>
      </c>
    </row>
    <row r="10182">
      <c r="A10182" s="140" t="str">
        <f>IFERROR(__xludf.DUMMYFUNCTION("""COMPUTED_VALUE"""),"es")</f>
        <v>es</v>
      </c>
      <c r="B10182">
        <f>IFERROR(__xludf.DUMMYFUNCTION("""COMPUTED_VALUE"""),838606.0)</f>
        <v>838606</v>
      </c>
      <c r="C10182" t="str">
        <f>IFERROR(__xludf.DUMMYFUNCTION("""COMPUTED_VALUE"""),"Retargeting en Facebook : Potencia tus Ventas y Clientes")</f>
        <v>Retargeting en Facebook : Potencia tus Ventas y Clientes</v>
      </c>
    </row>
    <row r="10183">
      <c r="A10183" s="140" t="str">
        <f>IFERROR(__xludf.DUMMYFUNCTION("""COMPUTED_VALUE"""),"en")</f>
        <v>en</v>
      </c>
      <c r="B10183">
        <f>IFERROR(__xludf.DUMMYFUNCTION("""COMPUTED_VALUE"""),871756.0)</f>
        <v>871756</v>
      </c>
      <c r="C10183" t="str">
        <f>IFERROR(__xludf.DUMMYFUNCTION("""COMPUTED_VALUE"""),"How to Design a Room in 10 Easy Steps")</f>
        <v>How to Design a Room in 10 Easy Steps</v>
      </c>
    </row>
    <row r="10184">
      <c r="A10184" s="140" t="str">
        <f>IFERROR(__xludf.DUMMYFUNCTION("""COMPUTED_VALUE"""),"es")</f>
        <v>es</v>
      </c>
      <c r="B10184">
        <f>IFERROR(__xludf.DUMMYFUNCTION("""COMPUTED_VALUE"""),3516466.0)</f>
        <v>3516466</v>
      </c>
      <c r="C10184" t="str">
        <f>IFERROR(__xludf.DUMMYFUNCTION("""COMPUTED_VALUE"""),"Lenguaje Corporal en los Negocios - Entrenamiento Definitivo")</f>
        <v>Lenguaje Corporal en los Negocios - Entrenamiento Definitivo</v>
      </c>
    </row>
    <row r="10185">
      <c r="A10185" s="140" t="str">
        <f>IFERROR(__xludf.DUMMYFUNCTION("""COMPUTED_VALUE"""),"pt")</f>
        <v>pt</v>
      </c>
      <c r="B10185">
        <f>IFERROR(__xludf.DUMMYFUNCTION("""COMPUTED_VALUE"""),3456006.0)</f>
        <v>3456006</v>
      </c>
      <c r="C10185" t="str">
        <f>IFERROR(__xludf.DUMMYFUNCTION("""COMPUTED_VALUE"""),"Git e GitHub do básico ao avançado (c/ gist e GitHub Pages)")</f>
        <v>Git e GitHub do básico ao avançado (c/ gist e GitHub Pages)</v>
      </c>
    </row>
    <row r="10186">
      <c r="A10186" s="140" t="str">
        <f>IFERROR(__xludf.DUMMYFUNCTION("""COMPUTED_VALUE"""),"en")</f>
        <v>en</v>
      </c>
      <c r="B10186">
        <f>IFERROR(__xludf.DUMMYFUNCTION("""COMPUTED_VALUE"""),1899682.0)</f>
        <v>1899682</v>
      </c>
      <c r="C10186" t="str">
        <f>IFERROR(__xludf.DUMMYFUNCTION("""COMPUTED_VALUE"""),"OWASP Proactive Controls")</f>
        <v>OWASP Proactive Controls</v>
      </c>
    </row>
    <row r="10187">
      <c r="A10187" s="140" t="str">
        <f>IFERROR(__xludf.DUMMYFUNCTION("""COMPUTED_VALUE"""),"en")</f>
        <v>en</v>
      </c>
      <c r="B10187">
        <f>IFERROR(__xludf.DUMMYFUNCTION("""COMPUTED_VALUE"""),1286464.0)</f>
        <v>1286464</v>
      </c>
      <c r="C10187" t="str">
        <f>IFERROR(__xludf.DUMMYFUNCTION("""COMPUTED_VALUE"""),"How to Succeed In Your First Management Job")</f>
        <v>How to Succeed In Your First Management Job</v>
      </c>
    </row>
    <row r="10188">
      <c r="A10188" s="140" t="str">
        <f>IFERROR(__xludf.DUMMYFUNCTION("""COMPUTED_VALUE"""),"ja")</f>
        <v>ja</v>
      </c>
      <c r="B10188">
        <f>IFERROR(__xludf.DUMMYFUNCTION("""COMPUTED_VALUE"""),1358635.0)</f>
        <v>1358635</v>
      </c>
      <c r="C10188" t="str">
        <f>IFERROR(__xludf.DUMMYFUNCTION("""COMPUTED_VALUE"""),"【2019年7月更新】誰でもかんたんに学べるAdobe XD入門講座｜実戦で使えるXDの基本機能を完全にマスターできる！")</f>
        <v>【2019年7月更新】誰でもかんたんに学べるAdobe XD入門講座｜実戦で使えるXDの基本機能を完全にマスターできる！</v>
      </c>
    </row>
    <row r="10189">
      <c r="A10189" s="140" t="str">
        <f>IFERROR(__xludf.DUMMYFUNCTION("""COMPUTED_VALUE"""),"ja")</f>
        <v>ja</v>
      </c>
      <c r="B10189">
        <f>IFERROR(__xludf.DUMMYFUNCTION("""COMPUTED_VALUE"""),1567110.0)</f>
        <v>1567110</v>
      </c>
      <c r="C10189" t="str">
        <f>IFERROR(__xludf.DUMMYFUNCTION("""COMPUTED_VALUE"""),"子供を熱くさせるプログラミング教室「Ritz」の入門７日間講座　親子でスクラッチ(Scratch)で本格ゲームを作ろう！")</f>
        <v>子供を熱くさせるプログラミング教室「Ritz」の入門７日間講座　親子でスクラッチ(Scratch)で本格ゲームを作ろう！</v>
      </c>
    </row>
    <row r="10190">
      <c r="A10190" s="140" t="str">
        <f>IFERROR(__xludf.DUMMYFUNCTION("""COMPUTED_VALUE"""),"en")</f>
        <v>en</v>
      </c>
      <c r="B10190">
        <f>IFERROR(__xludf.DUMMYFUNCTION("""COMPUTED_VALUE"""),285638.0)</f>
        <v>285638</v>
      </c>
      <c r="C10190" t="str">
        <f>IFERROR(__xludf.DUMMYFUNCTION("""COMPUTED_VALUE"""),"Guide to Stock Trading with Candlestick &amp; Technical Analysis")</f>
        <v>Guide to Stock Trading with Candlestick &amp; Technical Analysis</v>
      </c>
    </row>
    <row r="10191">
      <c r="A10191" s="140" t="str">
        <f>IFERROR(__xludf.DUMMYFUNCTION("""COMPUTED_VALUE"""),"en")</f>
        <v>en</v>
      </c>
      <c r="B10191">
        <f>IFERROR(__xludf.DUMMYFUNCTION("""COMPUTED_VALUE"""),4065250.0)</f>
        <v>4065250</v>
      </c>
      <c r="C10191" t="str">
        <f>IFERROR(__xludf.DUMMYFUNCTION("""COMPUTED_VALUE"""),"Google Cloud Professional Architect: Get Certified 2021")</f>
        <v>Google Cloud Professional Architect: Get Certified 2021</v>
      </c>
    </row>
    <row r="10192">
      <c r="A10192" s="140" t="str">
        <f>IFERROR(__xludf.DUMMYFUNCTION("""COMPUTED_VALUE"""),"en")</f>
        <v>en</v>
      </c>
      <c r="B10192">
        <f>IFERROR(__xludf.DUMMYFUNCTION("""COMPUTED_VALUE"""),1543016.0)</f>
        <v>1543016</v>
      </c>
      <c r="C10192" t="str">
        <f>IFERROR(__xludf.DUMMYFUNCTION("""COMPUTED_VALUE"""),"Microsoft 70-742: Identity in Windows Server 2016")</f>
        <v>Microsoft 70-742: Identity in Windows Server 2016</v>
      </c>
    </row>
    <row r="10193">
      <c r="A10193" s="140" t="str">
        <f>IFERROR(__xludf.DUMMYFUNCTION("""COMPUTED_VALUE"""),"en")</f>
        <v>en</v>
      </c>
      <c r="B10193">
        <f>IFERROR(__xludf.DUMMYFUNCTION("""COMPUTED_VALUE"""),1877532.0)</f>
        <v>1877532</v>
      </c>
      <c r="C10193" t="str">
        <f>IFERROR(__xludf.DUMMYFUNCTION("""COMPUTED_VALUE"""),"HPE Fortify - Secure Code Analysis")</f>
        <v>HPE Fortify - Secure Code Analysis</v>
      </c>
    </row>
    <row r="10194">
      <c r="A10194" s="140" t="str">
        <f>IFERROR(__xludf.DUMMYFUNCTION("""COMPUTED_VALUE"""),"es")</f>
        <v>es</v>
      </c>
      <c r="B10194">
        <f>IFERROR(__xludf.DUMMYFUNCTION("""COMPUTED_VALUE"""),2241862.0)</f>
        <v>2241862</v>
      </c>
      <c r="C10194" t="str">
        <f>IFERROR(__xludf.DUMMYFUNCTION("""COMPUTED_VALUE"""),"Machine Learning de A a la Z: R y Python para Data Science")</f>
        <v>Machine Learning de A a la Z: R y Python para Data Science</v>
      </c>
    </row>
    <row r="10195">
      <c r="A10195" s="140" t="str">
        <f>IFERROR(__xludf.DUMMYFUNCTION("""COMPUTED_VALUE"""),"pt")</f>
        <v>pt</v>
      </c>
      <c r="B10195">
        <f>IFERROR(__xludf.DUMMYFUNCTION("""COMPUTED_VALUE"""),2760612.0)</f>
        <v>2760612</v>
      </c>
      <c r="C10195" t="str">
        <f>IFERROR(__xludf.DUMMYFUNCTION("""COMPUTED_VALUE"""),"Super Academia Estatística - 9 cursos em 1")</f>
        <v>Super Academia Estatística - 9 cursos em 1</v>
      </c>
    </row>
    <row r="10196">
      <c r="A10196" s="140" t="str">
        <f>IFERROR(__xludf.DUMMYFUNCTION("""COMPUTED_VALUE"""),"es")</f>
        <v>es</v>
      </c>
      <c r="B10196">
        <f>IFERROR(__xludf.DUMMYFUNCTION("""COMPUTED_VALUE"""),3800620.0)</f>
        <v>3800620</v>
      </c>
      <c r="C10196" t="str">
        <f>IFERROR(__xludf.DUMMYFUNCTION("""COMPUTED_VALUE"""),"DevOps con Docker, Jenkins, Kubernetes, git, GitFlow CI y CD")</f>
        <v>DevOps con Docker, Jenkins, Kubernetes, git, GitFlow CI y CD</v>
      </c>
    </row>
    <row r="10197">
      <c r="A10197" s="140" t="str">
        <f>IFERROR(__xludf.DUMMYFUNCTION("""COMPUTED_VALUE"""),"en")</f>
        <v>en</v>
      </c>
      <c r="B10197">
        <f>IFERROR(__xludf.DUMMYFUNCTION("""COMPUTED_VALUE"""),116286.0)</f>
        <v>116286</v>
      </c>
      <c r="C10197" t="str">
        <f>IFERROR(__xludf.DUMMYFUNCTION("""COMPUTED_VALUE"""),"Workshop in Probability and Statistics")</f>
        <v>Workshop in Probability and Statistics</v>
      </c>
    </row>
    <row r="10198">
      <c r="A10198" s="140" t="str">
        <f>IFERROR(__xludf.DUMMYFUNCTION("""COMPUTED_VALUE"""),"en")</f>
        <v>en</v>
      </c>
      <c r="B10198">
        <f>IFERROR(__xludf.DUMMYFUNCTION("""COMPUTED_VALUE"""),1177914.0)</f>
        <v>1177914</v>
      </c>
      <c r="C10198" t="str">
        <f>IFERROR(__xludf.DUMMYFUNCTION("""COMPUTED_VALUE"""),"Learn English: The Next Gen Guide to English Grammar")</f>
        <v>Learn English: The Next Gen Guide to English Grammar</v>
      </c>
    </row>
    <row r="10199">
      <c r="A10199" s="140" t="str">
        <f>IFERROR(__xludf.DUMMYFUNCTION("""COMPUTED_VALUE"""),"en")</f>
        <v>en</v>
      </c>
      <c r="B10199">
        <f>IFERROR(__xludf.DUMMYFUNCTION("""COMPUTED_VALUE"""),592896.0)</f>
        <v>592896</v>
      </c>
      <c r="C10199" t="str">
        <f>IFERROR(__xludf.DUMMYFUNCTION("""COMPUTED_VALUE"""),"Mindfulness for Mental Health, Personal Growth &amp; Inner Peace")</f>
        <v>Mindfulness for Mental Health, Personal Growth &amp; Inner Peace</v>
      </c>
    </row>
    <row r="10200">
      <c r="A10200" s="140" t="str">
        <f>IFERROR(__xludf.DUMMYFUNCTION("""COMPUTED_VALUE"""),"en")</f>
        <v>en</v>
      </c>
      <c r="B10200">
        <f>IFERROR(__xludf.DUMMYFUNCTION("""COMPUTED_VALUE"""),633084.0)</f>
        <v>633084</v>
      </c>
      <c r="C10200" t="str">
        <f>IFERROR(__xludf.DUMMYFUNCTION("""COMPUTED_VALUE"""),"Building Confidence Through Drawing: Art for Beginners")</f>
        <v>Building Confidence Through Drawing: Art for Beginners</v>
      </c>
    </row>
    <row r="10201">
      <c r="A10201" s="140" t="str">
        <f>IFERROR(__xludf.DUMMYFUNCTION("""COMPUTED_VALUE"""),"es")</f>
        <v>es</v>
      </c>
      <c r="B10201">
        <f>IFERROR(__xludf.DUMMYFUNCTION("""COMPUTED_VALUE"""),2056209.0)</f>
        <v>2056209</v>
      </c>
      <c r="C10201" t="str">
        <f>IFERROR(__xludf.DUMMYFUNCTION("""COMPUTED_VALUE"""),"React Avanzado: Fullstack Next.js, Apollo, MongoDB y GraphQL")</f>
        <v>React Avanzado: Fullstack Next.js, Apollo, MongoDB y GraphQL</v>
      </c>
    </row>
    <row r="10202">
      <c r="A10202" s="140" t="str">
        <f>IFERROR(__xludf.DUMMYFUNCTION("""COMPUTED_VALUE"""),"de")</f>
        <v>de</v>
      </c>
      <c r="B10202">
        <f>IFERROR(__xludf.DUMMYFUNCTION("""COMPUTED_VALUE"""),923554.0)</f>
        <v>923554</v>
      </c>
      <c r="C10202" t="str">
        <f>IFERROR(__xludf.DUMMYFUNCTION("""COMPUTED_VALUE"""),"SAP ABAP Objects Komplettkurs für Praktiker")</f>
        <v>SAP ABAP Objects Komplettkurs für Praktiker</v>
      </c>
    </row>
    <row r="10203">
      <c r="A10203" s="140" t="str">
        <f>IFERROR(__xludf.DUMMYFUNCTION("""COMPUTED_VALUE"""),"pt")</f>
        <v>pt</v>
      </c>
      <c r="B10203">
        <f>IFERROR(__xludf.DUMMYFUNCTION("""COMPUTED_VALUE"""),1503540.0)</f>
        <v>1503540</v>
      </c>
      <c r="C10203" t="str">
        <f>IFERROR(__xludf.DUMMYFUNCTION("""COMPUTED_VALUE"""),"ADOBE ILLUSTRATOR CC COMPLETO - DO BÁSICO AO AVANÇADO")</f>
        <v>ADOBE ILLUSTRATOR CC COMPLETO - DO BÁSICO AO AVANÇADO</v>
      </c>
    </row>
    <row r="10204">
      <c r="A10204" s="140" t="str">
        <f>IFERROR(__xludf.DUMMYFUNCTION("""COMPUTED_VALUE"""),"en")</f>
        <v>en</v>
      </c>
      <c r="B10204">
        <f>IFERROR(__xludf.DUMMYFUNCTION("""COMPUTED_VALUE"""),1531816.0)</f>
        <v>1531816</v>
      </c>
      <c r="C10204" t="str">
        <f>IFERROR(__xludf.DUMMYFUNCTION("""COMPUTED_VALUE"""),"Twitter Ads: Twitter Advertising 2022 Certification Course")</f>
        <v>Twitter Ads: Twitter Advertising 2022 Certification Course</v>
      </c>
    </row>
    <row r="10205">
      <c r="A10205" s="140" t="str">
        <f>IFERROR(__xludf.DUMMYFUNCTION("""COMPUTED_VALUE"""),"en")</f>
        <v>en</v>
      </c>
      <c r="B10205">
        <f>IFERROR(__xludf.DUMMYFUNCTION("""COMPUTED_VALUE"""),2401332.0)</f>
        <v>2401332</v>
      </c>
      <c r="C10205" t="str">
        <f>IFERROR(__xludf.DUMMYFUNCTION("""COMPUTED_VALUE"""),"Logo Design Mastery In Adobe Illustrator")</f>
        <v>Logo Design Mastery In Adobe Illustrator</v>
      </c>
    </row>
    <row r="10206">
      <c r="A10206" s="140" t="str">
        <f>IFERROR(__xludf.DUMMYFUNCTION("""COMPUTED_VALUE"""),"de")</f>
        <v>de</v>
      </c>
      <c r="B10206">
        <f>IFERROR(__xludf.DUMMYFUNCTION("""COMPUTED_VALUE"""),1774266.0)</f>
        <v>1774266</v>
      </c>
      <c r="C10206" t="str">
        <f>IFERROR(__xludf.DUMMYFUNCTION("""COMPUTED_VALUE"""),"Photoshop Grundlagen - Grundkurs für jeden Einsteiger")</f>
        <v>Photoshop Grundlagen - Grundkurs für jeden Einsteiger</v>
      </c>
    </row>
    <row r="10207">
      <c r="A10207" s="140" t="str">
        <f>IFERROR(__xludf.DUMMYFUNCTION("""COMPUTED_VALUE"""),"es")</f>
        <v>es</v>
      </c>
      <c r="B10207">
        <f>IFERROR(__xludf.DUMMYFUNCTION("""COMPUTED_VALUE"""),3116086.0)</f>
        <v>3116086</v>
      </c>
      <c r="C10207" t="str">
        <f>IFERROR(__xludf.DUMMYFUNCTION("""COMPUTED_VALUE"""),"CURSO DE ESCRITURA CREATIVA")</f>
        <v>CURSO DE ESCRITURA CREATIVA</v>
      </c>
    </row>
    <row r="10208">
      <c r="A10208" s="140" t="str">
        <f>IFERROR(__xludf.DUMMYFUNCTION("""COMPUTED_VALUE"""),"en")</f>
        <v>en</v>
      </c>
      <c r="B10208">
        <f>IFERROR(__xludf.DUMMYFUNCTION("""COMPUTED_VALUE"""),4346366.0)</f>
        <v>4346366</v>
      </c>
      <c r="C10208" t="str">
        <f>IFERROR(__xludf.DUMMYFUNCTION("""COMPUTED_VALUE"""),"Interviewing For A Technical Role: Get The Job You Want")</f>
        <v>Interviewing For A Technical Role: Get The Job You Want</v>
      </c>
    </row>
    <row r="10209">
      <c r="A10209" s="140" t="str">
        <f>IFERROR(__xludf.DUMMYFUNCTION("""COMPUTED_VALUE"""),"en")</f>
        <v>en</v>
      </c>
      <c r="B10209">
        <f>IFERROR(__xludf.DUMMYFUNCTION("""COMPUTED_VALUE"""),2844706.0)</f>
        <v>2844706</v>
      </c>
      <c r="C10209" t="str">
        <f>IFERROR(__xludf.DUMMYFUNCTION("""COMPUTED_VALUE"""),"COVID-19: CRISPR based diagnosis and Antibody Therapies")</f>
        <v>COVID-19: CRISPR based diagnosis and Antibody Therapies</v>
      </c>
    </row>
    <row r="10210">
      <c r="A10210" s="140" t="str">
        <f>IFERROR(__xludf.DUMMYFUNCTION("""COMPUTED_VALUE"""),"en")</f>
        <v>en</v>
      </c>
      <c r="B10210">
        <f>IFERROR(__xludf.DUMMYFUNCTION("""COMPUTED_VALUE"""),2573128.0)</f>
        <v>2573128</v>
      </c>
      <c r="C10210" t="str">
        <f>IFERROR(__xludf.DUMMYFUNCTION("""COMPUTED_VALUE"""),"Master CI/CD for React Native")</f>
        <v>Master CI/CD for React Native</v>
      </c>
    </row>
    <row r="10211">
      <c r="A10211" s="140" t="str">
        <f>IFERROR(__xludf.DUMMYFUNCTION("""COMPUTED_VALUE"""),"en")</f>
        <v>en</v>
      </c>
      <c r="B10211">
        <f>IFERROR(__xludf.DUMMYFUNCTION("""COMPUTED_VALUE"""),3546522.0)</f>
        <v>3546522</v>
      </c>
      <c r="C10211" t="str">
        <f>IFERROR(__xludf.DUMMYFUNCTION("""COMPUTED_VALUE"""),"Testing React apps with React Testing Library (RTL)")</f>
        <v>Testing React apps with React Testing Library (RTL)</v>
      </c>
    </row>
    <row r="10212">
      <c r="A10212" s="140" t="str">
        <f>IFERROR(__xludf.DUMMYFUNCTION("""COMPUTED_VALUE"""),"ja")</f>
        <v>ja</v>
      </c>
      <c r="B10212">
        <f>IFERROR(__xludf.DUMMYFUNCTION("""COMPUTED_VALUE"""),1925998.0)</f>
        <v>1925998</v>
      </c>
      <c r="C10212" t="str">
        <f>IFERROR(__xludf.DUMMYFUNCTION("""COMPUTED_VALUE"""),"【ゼロからスタート】Oracleで始める SQL入門トレーニング")</f>
        <v>【ゼロからスタート】Oracleで始める SQL入門トレーニング</v>
      </c>
    </row>
    <row r="10213">
      <c r="A10213" s="140" t="str">
        <f>IFERROR(__xludf.DUMMYFUNCTION("""COMPUTED_VALUE"""),"en")</f>
        <v>en</v>
      </c>
      <c r="B10213">
        <f>IFERROR(__xludf.DUMMYFUNCTION("""COMPUTED_VALUE"""),2503124.0)</f>
        <v>2503124</v>
      </c>
      <c r="C10213" t="str">
        <f>IFERROR(__xludf.DUMMYFUNCTION("""COMPUTED_VALUE"""),"PMP: The Complete PMP Course &amp; Practice Exam PMI PMBOK 6 '22")</f>
        <v>PMP: The Complete PMP Course &amp; Practice Exam PMI PMBOK 6 '22</v>
      </c>
    </row>
    <row r="10214">
      <c r="A10214" s="140" t="str">
        <f>IFERROR(__xludf.DUMMYFUNCTION("""COMPUTED_VALUE"""),"de")</f>
        <v>de</v>
      </c>
      <c r="B10214">
        <f>IFERROR(__xludf.DUMMYFUNCTION("""COMPUTED_VALUE"""),3649974.0)</f>
        <v>3649974</v>
      </c>
      <c r="C10214" t="str">
        <f>IFERROR(__xludf.DUMMYFUNCTION("""COMPUTED_VALUE"""),"Authentisch und charismatisch führen")</f>
        <v>Authentisch und charismatisch führen</v>
      </c>
    </row>
    <row r="10215">
      <c r="A10215" s="140" t="str">
        <f>IFERROR(__xludf.DUMMYFUNCTION("""COMPUTED_VALUE"""),"en")</f>
        <v>en</v>
      </c>
      <c r="B10215">
        <f>IFERROR(__xludf.DUMMYFUNCTION("""COMPUTED_VALUE"""),3699314.0)</f>
        <v>3699314</v>
      </c>
      <c r="C10215" t="str">
        <f>IFERROR(__xludf.DUMMYFUNCTION("""COMPUTED_VALUE"""),"Webhooks with .NET 5")</f>
        <v>Webhooks with .NET 5</v>
      </c>
    </row>
    <row r="10216">
      <c r="A10216" s="140" t="str">
        <f>IFERROR(__xludf.DUMMYFUNCTION("""COMPUTED_VALUE"""),"en")</f>
        <v>en</v>
      </c>
      <c r="B10216">
        <f>IFERROR(__xludf.DUMMYFUNCTION("""COMPUTED_VALUE"""),627760.0)</f>
        <v>627760</v>
      </c>
      <c r="C10216" t="str">
        <f>IFERROR(__xludf.DUMMYFUNCTION("""COMPUTED_VALUE"""),"Master QuickBooks Pro 2015 &amp; 2016 the Easy Way")</f>
        <v>Master QuickBooks Pro 2015 &amp; 2016 the Easy Way</v>
      </c>
    </row>
    <row r="10217">
      <c r="A10217" s="140" t="str">
        <f>IFERROR(__xludf.DUMMYFUNCTION("""COMPUTED_VALUE"""),"en")</f>
        <v>en</v>
      </c>
      <c r="B10217">
        <f>IFERROR(__xludf.DUMMYFUNCTION("""COMPUTED_VALUE"""),2617812.0)</f>
        <v>2617812</v>
      </c>
      <c r="C10217" t="str">
        <f>IFERROR(__xludf.DUMMYFUNCTION("""COMPUTED_VALUE"""),"Azure Deep Dive: Complete Virtual Machine (VM) Course")</f>
        <v>Azure Deep Dive: Complete Virtual Machine (VM) Course</v>
      </c>
    </row>
    <row r="10218">
      <c r="A10218" s="140" t="str">
        <f>IFERROR(__xludf.DUMMYFUNCTION("""COMPUTED_VALUE"""),"en")</f>
        <v>en</v>
      </c>
      <c r="B10218">
        <f>IFERROR(__xludf.DUMMYFUNCTION("""COMPUTED_VALUE"""),1464064.0)</f>
        <v>1464064</v>
      </c>
      <c r="C10218" t="str">
        <f>IFERROR(__xludf.DUMMYFUNCTION("""COMPUTED_VALUE"""),"QlikSense Data Architect Masterclass")</f>
        <v>QlikSense Data Architect Masterclass</v>
      </c>
    </row>
    <row r="10219">
      <c r="A10219" s="140" t="str">
        <f>IFERROR(__xludf.DUMMYFUNCTION("""COMPUTED_VALUE"""),"pt")</f>
        <v>pt</v>
      </c>
      <c r="B10219">
        <f>IFERROR(__xludf.DUMMYFUNCTION("""COMPUTED_VALUE"""),758942.0)</f>
        <v>758942</v>
      </c>
      <c r="C10219" t="str">
        <f>IFERROR(__xludf.DUMMYFUNCTION("""COMPUTED_VALUE"""),"Android Studio e Java - Curso Para Iniciantes")</f>
        <v>Android Studio e Java - Curso Para Iniciantes</v>
      </c>
    </row>
    <row r="10220">
      <c r="A10220" s="140" t="str">
        <f>IFERROR(__xludf.DUMMYFUNCTION("""COMPUTED_VALUE"""),"es")</f>
        <v>es</v>
      </c>
      <c r="B10220">
        <f>IFERROR(__xludf.DUMMYFUNCTION("""COMPUTED_VALUE"""),948840.0)</f>
        <v>948840</v>
      </c>
      <c r="C10220" t="str">
        <f>IFERROR(__xludf.DUMMYFUNCTION("""COMPUTED_VALUE"""),"Java y BlueJ | Introducción a las Bases de la Programación")</f>
        <v>Java y BlueJ | Introducción a las Bases de la Programación</v>
      </c>
    </row>
    <row r="10221">
      <c r="A10221" s="140" t="str">
        <f>IFERROR(__xludf.DUMMYFUNCTION("""COMPUTED_VALUE"""),"es")</f>
        <v>es</v>
      </c>
      <c r="B10221">
        <f>IFERROR(__xludf.DUMMYFUNCTION("""COMPUTED_VALUE"""),755462.0)</f>
        <v>755462</v>
      </c>
      <c r="C10221" t="str">
        <f>IFERROR(__xludf.DUMMYFUNCTION("""COMPUTED_VALUE"""),"Aprende PHP desde cero con 36 ejercicios prácticos")</f>
        <v>Aprende PHP desde cero con 36 ejercicios prácticos</v>
      </c>
    </row>
    <row r="10222">
      <c r="A10222" s="140" t="str">
        <f>IFERROR(__xludf.DUMMYFUNCTION("""COMPUTED_VALUE"""),"en")</f>
        <v>en</v>
      </c>
      <c r="B10222">
        <f>IFERROR(__xludf.DUMMYFUNCTION("""COMPUTED_VALUE"""),2594642.0)</f>
        <v>2594642</v>
      </c>
      <c r="C10222" t="str">
        <f>IFERROR(__xludf.DUMMYFUNCTION("""COMPUTED_VALUE"""),"Sitecore 10 Content Editing Basics Step-by-Step")</f>
        <v>Sitecore 10 Content Editing Basics Step-by-Step</v>
      </c>
    </row>
    <row r="10223">
      <c r="A10223" s="140" t="str">
        <f>IFERROR(__xludf.DUMMYFUNCTION("""COMPUTED_VALUE"""),"ja")</f>
        <v>ja</v>
      </c>
      <c r="B10223">
        <f>IFERROR(__xludf.DUMMYFUNCTION("""COMPUTED_VALUE"""),3157262.0)</f>
        <v>3157262</v>
      </c>
      <c r="C10223" t="str">
        <f>IFERROR(__xludf.DUMMYFUNCTION("""COMPUTED_VALUE"""),"医師が教えるR言語での医療データ分析入門 -発展編(アプリ)：Shinyを利用して分析結果をアプリで共有しよう！")</f>
        <v>医師が教えるR言語での医療データ分析入門 -発展編(アプリ)：Shinyを利用して分析結果をアプリで共有しよう！</v>
      </c>
    </row>
    <row r="10224">
      <c r="A10224" s="140" t="str">
        <f>IFERROR(__xludf.DUMMYFUNCTION("""COMPUTED_VALUE"""),"en")</f>
        <v>en</v>
      </c>
      <c r="B10224">
        <f>IFERROR(__xludf.DUMMYFUNCTION("""COMPUTED_VALUE"""),4233018.0)</f>
        <v>4233018</v>
      </c>
      <c r="C10224" t="str">
        <f>IFERROR(__xludf.DUMMYFUNCTION("""COMPUTED_VALUE"""),"The Complete SAP ABAP CORE Programming + OOPS ALV+ CROSS APP")</f>
        <v>The Complete SAP ABAP CORE Programming + OOPS ALV+ CROSS APP</v>
      </c>
    </row>
    <row r="10225">
      <c r="A10225" s="140" t="str">
        <f>IFERROR(__xludf.DUMMYFUNCTION("""COMPUTED_VALUE"""),"es")</f>
        <v>es</v>
      </c>
      <c r="B10225">
        <f>IFERROR(__xludf.DUMMYFUNCTION("""COMPUTED_VALUE"""),476526.0)</f>
        <v>476526</v>
      </c>
      <c r="C10225" t="str">
        <f>IFERROR(__xludf.DUMMYFUNCTION("""COMPUTED_VALUE"""),"Administración para no administradores.")</f>
        <v>Administración para no administradores.</v>
      </c>
    </row>
    <row r="10226">
      <c r="A10226" s="140" t="str">
        <f>IFERROR(__xludf.DUMMYFUNCTION("""COMPUTED_VALUE"""),"fr")</f>
        <v>fr</v>
      </c>
      <c r="B10226">
        <f>IFERROR(__xludf.DUMMYFUNCTION("""COMPUTED_VALUE"""),3854484.0)</f>
        <v>3854484</v>
      </c>
      <c r="C10226" t="str">
        <f>IFERROR(__xludf.DUMMYFUNCTION("""COMPUTED_VALUE"""),"Une meilleure communication avec les couleurs du DISC")</f>
        <v>Une meilleure communication avec les couleurs du DISC</v>
      </c>
    </row>
    <row r="10227">
      <c r="A10227" s="140" t="str">
        <f>IFERROR(__xludf.DUMMYFUNCTION("""COMPUTED_VALUE"""),"en")</f>
        <v>en</v>
      </c>
      <c r="B10227">
        <f>IFERROR(__xludf.DUMMYFUNCTION("""COMPUTED_VALUE"""),3568257.0)</f>
        <v>3568257</v>
      </c>
      <c r="C10227" t="str">
        <f>IFERROR(__xludf.DUMMYFUNCTION("""COMPUTED_VALUE"""),"Inventory Management A-Z: Supply Chain &amp; Business Operations")</f>
        <v>Inventory Management A-Z: Supply Chain &amp; Business Operations</v>
      </c>
    </row>
    <row r="10228">
      <c r="A10228" s="140" t="str">
        <f>IFERROR(__xludf.DUMMYFUNCTION("""COMPUTED_VALUE"""),"en")</f>
        <v>en</v>
      </c>
      <c r="B10228">
        <f>IFERROR(__xludf.DUMMYFUNCTION("""COMPUTED_VALUE"""),1272366.0)</f>
        <v>1272366</v>
      </c>
      <c r="C10228" t="str">
        <f>IFERROR(__xludf.DUMMYFUNCTION("""COMPUTED_VALUE"""),"The Perfect Nginx Server - Ubuntu Edition")</f>
        <v>The Perfect Nginx Server - Ubuntu Edition</v>
      </c>
    </row>
    <row r="10229">
      <c r="A10229" s="140" t="str">
        <f>IFERROR(__xludf.DUMMYFUNCTION("""COMPUTED_VALUE"""),"pt")</f>
        <v>pt</v>
      </c>
      <c r="B10229">
        <f>IFERROR(__xludf.DUMMYFUNCTION("""COMPUTED_VALUE"""),1621862.0)</f>
        <v>1621862</v>
      </c>
      <c r="C10229" t="str">
        <f>IFERROR(__xludf.DUMMYFUNCTION("""COMPUTED_VALUE"""),"Jenkins em larga escala via Docker e Kubernetes")</f>
        <v>Jenkins em larga escala via Docker e Kubernetes</v>
      </c>
    </row>
    <row r="10230">
      <c r="A10230" s="140" t="str">
        <f>IFERROR(__xludf.DUMMYFUNCTION("""COMPUTED_VALUE"""),"en")</f>
        <v>en</v>
      </c>
      <c r="B10230">
        <f>IFERROR(__xludf.DUMMYFUNCTION("""COMPUTED_VALUE"""),931628.0)</f>
        <v>931628</v>
      </c>
      <c r="C10230" t="str">
        <f>IFERROR(__xludf.DUMMYFUNCTION("""COMPUTED_VALUE"""),"Learn SAP DMS Document Management System – SAP PLM")</f>
        <v>Learn SAP DMS Document Management System – SAP PLM</v>
      </c>
    </row>
    <row r="10231">
      <c r="A10231" s="140" t="str">
        <f>IFERROR(__xludf.DUMMYFUNCTION("""COMPUTED_VALUE"""),"en")</f>
        <v>en</v>
      </c>
      <c r="B10231">
        <f>IFERROR(__xludf.DUMMYFUNCTION("""COMPUTED_VALUE"""),771916.0)</f>
        <v>771916</v>
      </c>
      <c r="C10231" t="str">
        <f>IFERROR(__xludf.DUMMYFUNCTION("""COMPUTED_VALUE"""),"List Building: Definitive Guide To 1000 Subscribers")</f>
        <v>List Building: Definitive Guide To 1000 Subscribers</v>
      </c>
    </row>
    <row r="10232">
      <c r="A10232" s="140" t="str">
        <f>IFERROR(__xludf.DUMMYFUNCTION("""COMPUTED_VALUE"""),"en")</f>
        <v>en</v>
      </c>
      <c r="B10232">
        <f>IFERROR(__xludf.DUMMYFUNCTION("""COMPUTED_VALUE"""),662362.0)</f>
        <v>662362</v>
      </c>
      <c r="C10232" t="str">
        <f>IFERROR(__xludf.DUMMYFUNCTION("""COMPUTED_VALUE"""),"Body Language to Help Your Business Career")</f>
        <v>Body Language to Help Your Business Career</v>
      </c>
    </row>
    <row r="10233">
      <c r="A10233" s="140" t="str">
        <f>IFERROR(__xludf.DUMMYFUNCTION("""COMPUTED_VALUE"""),"en")</f>
        <v>en</v>
      </c>
      <c r="B10233">
        <f>IFERROR(__xludf.DUMMYFUNCTION("""COMPUTED_VALUE"""),2120618.0)</f>
        <v>2120618</v>
      </c>
      <c r="C10233" t="str">
        <f>IFERROR(__xludf.DUMMYFUNCTION("""COMPUTED_VALUE"""),"Master ASP.NET MVC Core 3.1")</f>
        <v>Master ASP.NET MVC Core 3.1</v>
      </c>
    </row>
    <row r="10234">
      <c r="A10234" s="140" t="str">
        <f>IFERROR(__xludf.DUMMYFUNCTION("""COMPUTED_VALUE"""),"en")</f>
        <v>en</v>
      </c>
      <c r="B10234">
        <f>IFERROR(__xludf.DUMMYFUNCTION("""COMPUTED_VALUE"""),2468274.0)</f>
        <v>2468274</v>
      </c>
      <c r="C10234" t="str">
        <f>IFERROR(__xludf.DUMMYFUNCTION("""COMPUTED_VALUE"""),"iOS 13 Online Shop Application, Build e-Market, for sale")</f>
        <v>iOS 13 Online Shop Application, Build e-Market, for sale</v>
      </c>
    </row>
    <row r="10235">
      <c r="A10235" s="140" t="str">
        <f>IFERROR(__xludf.DUMMYFUNCTION("""COMPUTED_VALUE"""),"en")</f>
        <v>en</v>
      </c>
      <c r="B10235">
        <f>IFERROR(__xludf.DUMMYFUNCTION("""COMPUTED_VALUE"""),189116.0)</f>
        <v>189116</v>
      </c>
      <c r="C10235" t="str">
        <f>IFERROR(__xludf.DUMMYFUNCTION("""COMPUTED_VALUE"""),"Team Leadership &amp; Team Management Skills Certification")</f>
        <v>Team Leadership &amp; Team Management Skills Certification</v>
      </c>
    </row>
    <row r="10236">
      <c r="A10236" s="140" t="str">
        <f>IFERROR(__xludf.DUMMYFUNCTION("""COMPUTED_VALUE"""),"en")</f>
        <v>en</v>
      </c>
      <c r="B10236">
        <f>IFERROR(__xludf.DUMMYFUNCTION("""COMPUTED_VALUE"""),1748644.0)</f>
        <v>1748644</v>
      </c>
      <c r="C10236" t="str">
        <f>IFERROR(__xludf.DUMMYFUNCTION("""COMPUTED_VALUE"""),"Securities Industry Essentials (SIE) Test Prep Course")</f>
        <v>Securities Industry Essentials (SIE) Test Prep Course</v>
      </c>
    </row>
    <row r="10237">
      <c r="A10237" s="140" t="str">
        <f>IFERROR(__xludf.DUMMYFUNCTION("""COMPUTED_VALUE"""),"en")</f>
        <v>en</v>
      </c>
      <c r="B10237">
        <f>IFERROR(__xludf.DUMMYFUNCTION("""COMPUTED_VALUE"""),1691772.0)</f>
        <v>1691772</v>
      </c>
      <c r="C10237" t="str">
        <f>IFERROR(__xludf.DUMMYFUNCTION("""COMPUTED_VALUE"""),"Bond Valuation Mastery - Learn To Value Bonds From Scratch.")</f>
        <v>Bond Valuation Mastery - Learn To Value Bonds From Scratch.</v>
      </c>
    </row>
    <row r="10238">
      <c r="A10238" s="140" t="str">
        <f>IFERROR(__xludf.DUMMYFUNCTION("""COMPUTED_VALUE"""),"es")</f>
        <v>es</v>
      </c>
      <c r="B10238">
        <f>IFERROR(__xludf.DUMMYFUNCTION("""COMPUTED_VALUE"""),2583090.0)</f>
        <v>2583090</v>
      </c>
      <c r="C10238" t="str">
        <f>IFERROR(__xludf.DUMMYFUNCTION("""COMPUTED_VALUE"""),"Curso profesional de Adobe XD: ¡De cero a Experto!")</f>
        <v>Curso profesional de Adobe XD: ¡De cero a Experto!</v>
      </c>
    </row>
    <row r="10239">
      <c r="A10239" s="140" t="str">
        <f>IFERROR(__xludf.DUMMYFUNCTION("""COMPUTED_VALUE"""),"en")</f>
        <v>en</v>
      </c>
      <c r="B10239">
        <f>IFERROR(__xludf.DUMMYFUNCTION("""COMPUTED_VALUE"""),2248430.0)</f>
        <v>2248430</v>
      </c>
      <c r="C10239" t="str">
        <f>IFERROR(__xludf.DUMMYFUNCTION("""COMPUTED_VALUE"""),"Google AdWords Certification - Become Certified &amp; Earn More!")</f>
        <v>Google AdWords Certification - Become Certified &amp; Earn More!</v>
      </c>
    </row>
    <row r="10240">
      <c r="A10240" s="140" t="str">
        <f>IFERROR(__xludf.DUMMYFUNCTION("""COMPUTED_VALUE"""),"ja")</f>
        <v>ja</v>
      </c>
      <c r="B10240">
        <f>IFERROR(__xludf.DUMMYFUNCTION("""COMPUTED_VALUE"""),2557122.0)</f>
        <v>2557122</v>
      </c>
      <c r="C10240" t="str">
        <f>IFERROR(__xludf.DUMMYFUNCTION("""COMPUTED_VALUE"""),"手を動かして学ぶAI開発入門！人工知能の意味からモデル構築・RPA連携・サーバレス開発まで")</f>
        <v>手を動かして学ぶAI開発入門！人工知能の意味からモデル構築・RPA連携・サーバレス開発まで</v>
      </c>
    </row>
    <row r="10241">
      <c r="A10241" s="140" t="str">
        <f>IFERROR(__xludf.DUMMYFUNCTION("""COMPUTED_VALUE"""),"en")</f>
        <v>en</v>
      </c>
      <c r="B10241">
        <f>IFERROR(__xludf.DUMMYFUNCTION("""COMPUTED_VALUE"""),116286.0)</f>
        <v>116286</v>
      </c>
      <c r="C10241" t="str">
        <f>IFERROR(__xludf.DUMMYFUNCTION("""COMPUTED_VALUE"""),"Workshop in Probability and Statistics")</f>
        <v>Workshop in Probability and Statistics</v>
      </c>
    </row>
    <row r="10242">
      <c r="A10242" s="140" t="str">
        <f>IFERROR(__xludf.DUMMYFUNCTION("""COMPUTED_VALUE"""),"en")</f>
        <v>en</v>
      </c>
      <c r="B10242">
        <f>IFERROR(__xludf.DUMMYFUNCTION("""COMPUTED_VALUE"""),1228504.0)</f>
        <v>1228504</v>
      </c>
      <c r="C10242" t="str">
        <f>IFERROR(__xludf.DUMMYFUNCTION("""COMPUTED_VALUE"""),"Microsoft Access VBA, Design and Advanced Methods Workshop 4")</f>
        <v>Microsoft Access VBA, Design and Advanced Methods Workshop 4</v>
      </c>
    </row>
    <row r="10243">
      <c r="A10243" s="140" t="str">
        <f>IFERROR(__xludf.DUMMYFUNCTION("""COMPUTED_VALUE"""),"fr")</f>
        <v>fr</v>
      </c>
      <c r="B10243">
        <f>IFERROR(__xludf.DUMMYFUNCTION("""COMPUTED_VALUE"""),1894542.0)</f>
        <v>1894542</v>
      </c>
      <c r="C10243" t="str">
        <f>IFERROR(__xludf.DUMMYFUNCTION("""COMPUTED_VALUE"""),"Révélez le chef de projet qui sommeille en vous !")</f>
        <v>Révélez le chef de projet qui sommeille en vous !</v>
      </c>
    </row>
    <row r="10244">
      <c r="A10244" s="140" t="str">
        <f>IFERROR(__xludf.DUMMYFUNCTION("""COMPUTED_VALUE"""),"es")</f>
        <v>es</v>
      </c>
      <c r="B10244">
        <f>IFERROR(__xludf.DUMMYFUNCTION("""COMPUTED_VALUE"""),580442.0)</f>
        <v>580442</v>
      </c>
      <c r="C10244" t="str">
        <f>IFERROR(__xludf.DUMMYFUNCTION("""COMPUTED_VALUE"""),"WordPress - Curso Completo WordPress y Sitios Web")</f>
        <v>WordPress - Curso Completo WordPress y Sitios Web</v>
      </c>
    </row>
    <row r="10245">
      <c r="A10245" s="140" t="str">
        <f>IFERROR(__xludf.DUMMYFUNCTION("""COMPUTED_VALUE"""),"pt")</f>
        <v>pt</v>
      </c>
      <c r="B10245">
        <f>IFERROR(__xludf.DUMMYFUNCTION("""COMPUTED_VALUE"""),1697082.0)</f>
        <v>1697082</v>
      </c>
      <c r="C10245" t="str">
        <f>IFERROR(__xludf.DUMMYFUNCTION("""COMPUTED_VALUE"""),"Formação SQL Server 2017 Desenvolvedor Expert SQL e T-SQL")</f>
        <v>Formação SQL Server 2017 Desenvolvedor Expert SQL e T-SQL</v>
      </c>
    </row>
    <row r="10246">
      <c r="A10246" s="140" t="str">
        <f>IFERROR(__xludf.DUMMYFUNCTION("""COMPUTED_VALUE"""),"de")</f>
        <v>de</v>
      </c>
      <c r="B10246">
        <f>IFERROR(__xludf.DUMMYFUNCTION("""COMPUTED_VALUE"""),579126.0)</f>
        <v>579126</v>
      </c>
      <c r="C10246" t="str">
        <f>IFERROR(__xludf.DUMMYFUNCTION("""COMPUTED_VALUE"""),"Crashkurs: Docker verstehen und einsetzen")</f>
        <v>Crashkurs: Docker verstehen und einsetzen</v>
      </c>
    </row>
    <row r="10247">
      <c r="A10247" s="140" t="str">
        <f>IFERROR(__xludf.DUMMYFUNCTION("""COMPUTED_VALUE"""),"es")</f>
        <v>es</v>
      </c>
      <c r="B10247">
        <f>IFERROR(__xludf.DUMMYFUNCTION("""COMPUTED_VALUE"""),288156.0)</f>
        <v>288156</v>
      </c>
      <c r="C10247" t="str">
        <f>IFERROR(__xludf.DUMMYFUNCTION("""COMPUTED_VALUE"""),"Phrasal Verbs en Inglés – para Hispanohablantes")</f>
        <v>Phrasal Verbs en Inglés – para Hispanohablantes</v>
      </c>
    </row>
    <row r="10248">
      <c r="A10248" s="140" t="str">
        <f>IFERROR(__xludf.DUMMYFUNCTION("""COMPUTED_VALUE"""),"pt")</f>
        <v>pt</v>
      </c>
      <c r="B10248">
        <f>IFERROR(__xludf.DUMMYFUNCTION("""COMPUTED_VALUE"""),2508254.0)</f>
        <v>2508254</v>
      </c>
      <c r="C10248" t="str">
        <f>IFERROR(__xludf.DUMMYFUNCTION("""COMPUTED_VALUE"""),"Inglês para brasileiros : Turbinar seu inglês para avançado")</f>
        <v>Inglês para brasileiros : Turbinar seu inglês para avançado</v>
      </c>
    </row>
    <row r="10249">
      <c r="A10249" s="140" t="str">
        <f>IFERROR(__xludf.DUMMYFUNCTION("""COMPUTED_VALUE"""),"en")</f>
        <v>en</v>
      </c>
      <c r="B10249">
        <f>IFERROR(__xludf.DUMMYFUNCTION("""COMPUTED_VALUE"""),1001874.0)</f>
        <v>1001874</v>
      </c>
      <c r="C10249" t="str">
        <f>IFERROR(__xludf.DUMMYFUNCTION("""COMPUTED_VALUE"""),"Learn Microsoft SQL Server 2016 Best Practices for VLDB")</f>
        <v>Learn Microsoft SQL Server 2016 Best Practices for VLDB</v>
      </c>
    </row>
    <row r="10250">
      <c r="A10250" s="140" t="str">
        <f>IFERROR(__xludf.DUMMYFUNCTION("""COMPUTED_VALUE"""),"ja")</f>
        <v>ja</v>
      </c>
      <c r="B10250">
        <f>IFERROR(__xludf.DUMMYFUNCTION("""COMPUTED_VALUE"""),2805765.0)</f>
        <v>2805765</v>
      </c>
      <c r="C10250" t="str">
        <f>IFERROR(__xludf.DUMMYFUNCTION("""COMPUTED_VALUE"""),"【Facebook広告を使ったリスト獲得入門講座】Facebook広告の得意を最大限に集客に活かす初心者向け実践コース")</f>
        <v>【Facebook広告を使ったリスト獲得入門講座】Facebook広告の得意を最大限に集客に活かす初心者向け実践コース</v>
      </c>
    </row>
    <row r="10251">
      <c r="A10251" s="140" t="str">
        <f>IFERROR(__xludf.DUMMYFUNCTION("""COMPUTED_VALUE"""),"en")</f>
        <v>en</v>
      </c>
      <c r="B10251">
        <f>IFERROR(__xludf.DUMMYFUNCTION("""COMPUTED_VALUE"""),661192.0)</f>
        <v>661192</v>
      </c>
      <c r="C10251" t="str">
        <f>IFERROR(__xludf.DUMMYFUNCTION("""COMPUTED_VALUE"""),"The Advanced QlikView Developer Bootcamp")</f>
        <v>The Advanced QlikView Developer Bootcamp</v>
      </c>
    </row>
    <row r="10252">
      <c r="A10252" s="140" t="str">
        <f>IFERROR(__xludf.DUMMYFUNCTION("""COMPUTED_VALUE"""),"en")</f>
        <v>en</v>
      </c>
      <c r="B10252">
        <f>IFERROR(__xludf.DUMMYFUNCTION("""COMPUTED_VALUE"""),687726.0)</f>
        <v>687726</v>
      </c>
      <c r="C10252" t="str">
        <f>IFERROR(__xludf.DUMMYFUNCTION("""COMPUTED_VALUE"""),"Six Sigma Statistics Using Minitab 17")</f>
        <v>Six Sigma Statistics Using Minitab 17</v>
      </c>
    </row>
    <row r="10253">
      <c r="A10253" s="140" t="str">
        <f>IFERROR(__xludf.DUMMYFUNCTION("""COMPUTED_VALUE"""),"zh")</f>
        <v>zh</v>
      </c>
      <c r="B10253">
        <f>IFERROR(__xludf.DUMMYFUNCTION("""COMPUTED_VALUE"""),2012616.0)</f>
        <v>2012616</v>
      </c>
      <c r="C10253" t="str">
        <f>IFERROR(__xludf.DUMMYFUNCTION("""COMPUTED_VALUE"""),"商用软件中的C++工程开发技术实践——献给C++新手的入坑指南")</f>
        <v>商用软件中的C++工程开发技术实践——献给C++新手的入坑指南</v>
      </c>
    </row>
    <row r="10254">
      <c r="A10254" s="140" t="str">
        <f>IFERROR(__xludf.DUMMYFUNCTION("""COMPUTED_VALUE"""),"de")</f>
        <v>de</v>
      </c>
      <c r="B10254">
        <f>IFERROR(__xludf.DUMMYFUNCTION("""COMPUTED_VALUE"""),3290266.0)</f>
        <v>3290266</v>
      </c>
      <c r="C10254" t="str">
        <f>IFERROR(__xludf.DUMMYFUNCTION("""COMPUTED_VALUE"""),"Umgang mit Japanern")</f>
        <v>Umgang mit Japanern</v>
      </c>
    </row>
    <row r="10255">
      <c r="A10255" s="140" t="str">
        <f>IFERROR(__xludf.DUMMYFUNCTION("""COMPUTED_VALUE"""),"en")</f>
        <v>en</v>
      </c>
      <c r="B10255">
        <f>IFERROR(__xludf.DUMMYFUNCTION("""COMPUTED_VALUE"""),1236992.0)</f>
        <v>1236992</v>
      </c>
      <c r="C10255" t="str">
        <f>IFERROR(__xludf.DUMMYFUNCTION("""COMPUTED_VALUE"""),"Software Architecture: Meta and SOLID Principles in C#")</f>
        <v>Software Architecture: Meta and SOLID Principles in C#</v>
      </c>
    </row>
    <row r="10256">
      <c r="A10256" s="140" t="str">
        <f>IFERROR(__xludf.DUMMYFUNCTION("""COMPUTED_VALUE"""),"pt")</f>
        <v>pt</v>
      </c>
      <c r="B10256">
        <f>IFERROR(__xludf.DUMMYFUNCTION("""COMPUTED_VALUE"""),2413734.0)</f>
        <v>2413734</v>
      </c>
      <c r="C10256" t="str">
        <f>IFERROR(__xludf.DUMMYFUNCTION("""COMPUTED_VALUE"""),"Introdução à Linguagem Simples (Plain Language)")</f>
        <v>Introdução à Linguagem Simples (Plain Language)</v>
      </c>
    </row>
    <row r="10257">
      <c r="A10257" s="140" t="str">
        <f>IFERROR(__xludf.DUMMYFUNCTION("""COMPUTED_VALUE"""),"en")</f>
        <v>en</v>
      </c>
      <c r="B10257">
        <f>IFERROR(__xludf.DUMMYFUNCTION("""COMPUTED_VALUE"""),501238.0)</f>
        <v>501238</v>
      </c>
      <c r="C10257" t="str">
        <f>IFERROR(__xludf.DUMMYFUNCTION("""COMPUTED_VALUE"""),"Agile PM 201 - Understanding Agile at a Deeper Level")</f>
        <v>Agile PM 201 - Understanding Agile at a Deeper Level</v>
      </c>
    </row>
    <row r="10258">
      <c r="A10258" s="140" t="str">
        <f>IFERROR(__xludf.DUMMYFUNCTION("""COMPUTED_VALUE"""),"fr")</f>
        <v>fr</v>
      </c>
      <c r="B10258">
        <f>IFERROR(__xludf.DUMMYFUNCTION("""COMPUTED_VALUE"""),1098644.0)</f>
        <v>1098644</v>
      </c>
      <c r="C10258" t="str">
        <f>IFERROR(__xludf.DUMMYFUNCTION("""COMPUTED_VALUE"""),"Marketing Digital : les bases pour bien débuter")</f>
        <v>Marketing Digital : les bases pour bien débuter</v>
      </c>
    </row>
    <row r="10259">
      <c r="A10259" s="140" t="str">
        <f>IFERROR(__xludf.DUMMYFUNCTION("""COMPUTED_VALUE"""),"es")</f>
        <v>es</v>
      </c>
      <c r="B10259">
        <f>IFERROR(__xludf.DUMMYFUNCTION("""COMPUTED_VALUE"""),2950882.0)</f>
        <v>2950882</v>
      </c>
      <c r="C10259" t="str">
        <f>IFERROR(__xludf.DUMMYFUNCTION("""COMPUTED_VALUE"""),"Curso Completo Consultor SAP SD desde Cero")</f>
        <v>Curso Completo Consultor SAP SD desde Cero</v>
      </c>
    </row>
    <row r="10260">
      <c r="A10260" s="140" t="str">
        <f>IFERROR(__xludf.DUMMYFUNCTION("""COMPUTED_VALUE"""),"es")</f>
        <v>es</v>
      </c>
      <c r="B10260">
        <f>IFERROR(__xludf.DUMMYFUNCTION("""COMPUTED_VALUE"""),2672592.0)</f>
        <v>2672592</v>
      </c>
      <c r="C10260" t="str">
        <f>IFERROR(__xludf.DUMMYFUNCTION("""COMPUTED_VALUE"""),"No es un curso más de recruiting IT")</f>
        <v>No es un curso más de recruiting IT</v>
      </c>
    </row>
    <row r="10261">
      <c r="A10261" s="140" t="str">
        <f>IFERROR(__xludf.DUMMYFUNCTION("""COMPUTED_VALUE"""),"ja")</f>
        <v>ja</v>
      </c>
      <c r="B10261">
        <f>IFERROR(__xludf.DUMMYFUNCTION("""COMPUTED_VALUE"""),2101146.0)</f>
        <v>2101146</v>
      </c>
      <c r="C10261" t="str">
        <f>IFERROR(__xludf.DUMMYFUNCTION("""COMPUTED_VALUE"""),"自然言語処理とチャットボット: AIによる文章生成と会話エンジン開発")</f>
        <v>自然言語処理とチャットボット: AIによる文章生成と会話エンジン開発</v>
      </c>
    </row>
    <row r="10262">
      <c r="A10262" s="140" t="str">
        <f>IFERROR(__xludf.DUMMYFUNCTION("""COMPUTED_VALUE"""),"en")</f>
        <v>en</v>
      </c>
      <c r="B10262">
        <f>IFERROR(__xludf.DUMMYFUNCTION("""COMPUTED_VALUE"""),1930792.0)</f>
        <v>1930792</v>
      </c>
      <c r="C10262" t="str">
        <f>IFERROR(__xludf.DUMMYFUNCTION("""COMPUTED_VALUE"""),"Design Principles for Effective Dashboard Design")</f>
        <v>Design Principles for Effective Dashboard Design</v>
      </c>
    </row>
    <row r="10263">
      <c r="A10263" s="140" t="str">
        <f>IFERROR(__xludf.DUMMYFUNCTION("""COMPUTED_VALUE"""),"en")</f>
        <v>en</v>
      </c>
      <c r="B10263">
        <f>IFERROR(__xludf.DUMMYFUNCTION("""COMPUTED_VALUE"""),1033446.0)</f>
        <v>1033446</v>
      </c>
      <c r="C10263" t="str">
        <f>IFERROR(__xludf.DUMMYFUNCTION("""COMPUTED_VALUE"""),"UI/UX design with Adobe XD: Design &amp; Prototype a Mobile App")</f>
        <v>UI/UX design with Adobe XD: Design &amp; Prototype a Mobile App</v>
      </c>
    </row>
    <row r="10264">
      <c r="A10264" s="140" t="str">
        <f>IFERROR(__xludf.DUMMYFUNCTION("""COMPUTED_VALUE"""),"en")</f>
        <v>en</v>
      </c>
      <c r="B10264">
        <f>IFERROR(__xludf.DUMMYFUNCTION("""COMPUTED_VALUE"""),2471980.0)</f>
        <v>2471980</v>
      </c>
      <c r="C10264" t="str">
        <f>IFERROR(__xludf.DUMMYFUNCTION("""COMPUTED_VALUE"""),"Azure Fundamentals: AZ-900 Certification +Practice Questions")</f>
        <v>Azure Fundamentals: AZ-900 Certification +Practice Questions</v>
      </c>
    </row>
    <row r="10265">
      <c r="A10265" s="140" t="str">
        <f>IFERROR(__xludf.DUMMYFUNCTION("""COMPUTED_VALUE"""),"ja")</f>
        <v>ja</v>
      </c>
      <c r="B10265">
        <f>IFERROR(__xludf.DUMMYFUNCTION("""COMPUTED_VALUE"""),3203708.0)</f>
        <v>3203708</v>
      </c>
      <c r="C10265" t="str">
        <f>IFERROR(__xludf.DUMMYFUNCTION("""COMPUTED_VALUE"""),"【Hands Onで学ぶ】PyTorchによる深層学習入門")</f>
        <v>【Hands Onで学ぶ】PyTorchによる深層学習入門</v>
      </c>
    </row>
    <row r="10266">
      <c r="A10266" s="140" t="str">
        <f>IFERROR(__xludf.DUMMYFUNCTION("""COMPUTED_VALUE"""),"en")</f>
        <v>en</v>
      </c>
      <c r="B10266">
        <f>IFERROR(__xludf.DUMMYFUNCTION("""COMPUTED_VALUE"""),1538964.0)</f>
        <v>1538964</v>
      </c>
      <c r="C10266" t="str">
        <f>IFERROR(__xludf.DUMMYFUNCTION("""COMPUTED_VALUE"""),"Become a Probability &amp; Statistics Master")</f>
        <v>Become a Probability &amp; Statistics Master</v>
      </c>
    </row>
    <row r="10267">
      <c r="A10267" s="140" t="str">
        <f>IFERROR(__xludf.DUMMYFUNCTION("""COMPUTED_VALUE"""),"en")</f>
        <v>en</v>
      </c>
      <c r="B10267">
        <f>IFERROR(__xludf.DUMMYFUNCTION("""COMPUTED_VALUE"""),1708340.0)</f>
        <v>1708340</v>
      </c>
      <c r="C10267" t="str">
        <f>IFERROR(__xludf.DUMMYFUNCTION("""COMPUTED_VALUE"""),"Flutter &amp; Dart - The Complete Guide [2022 Edition]")</f>
        <v>Flutter &amp; Dart - The Complete Guide [2022 Edition]</v>
      </c>
    </row>
    <row r="10268">
      <c r="A10268" s="140" t="str">
        <f>IFERROR(__xludf.DUMMYFUNCTION("""COMPUTED_VALUE"""),"en")</f>
        <v>en</v>
      </c>
      <c r="B10268">
        <f>IFERROR(__xludf.DUMMYFUNCTION("""COMPUTED_VALUE"""),1793080.0)</f>
        <v>1793080</v>
      </c>
      <c r="C10268" t="str">
        <f>IFERROR(__xludf.DUMMYFUNCTION("""COMPUTED_VALUE"""),"Python for Beginners")</f>
        <v>Python for Beginners</v>
      </c>
    </row>
    <row r="10269">
      <c r="A10269" s="140" t="str">
        <f>IFERROR(__xludf.DUMMYFUNCTION("""COMPUTED_VALUE"""),"es")</f>
        <v>es</v>
      </c>
      <c r="B10269">
        <f>IFERROR(__xludf.DUMMYFUNCTION("""COMPUTED_VALUE"""),2379722.0)</f>
        <v>2379722</v>
      </c>
      <c r="C10269" t="str">
        <f>IFERROR(__xludf.DUMMYFUNCTION("""COMPUTED_VALUE"""),"Excel Aplicado al Análisis Financiero [2021]")</f>
        <v>Excel Aplicado al Análisis Financiero [2021]</v>
      </c>
    </row>
    <row r="10270">
      <c r="A10270" s="140" t="str">
        <f>IFERROR(__xludf.DUMMYFUNCTION("""COMPUTED_VALUE"""),"de")</f>
        <v>de</v>
      </c>
      <c r="B10270">
        <f>IFERROR(__xludf.DUMMYFUNCTION("""COMPUTED_VALUE"""),719552.0)</f>
        <v>719552</v>
      </c>
      <c r="C10270" t="str">
        <f>IFERROR(__xludf.DUMMYFUNCTION("""COMPUTED_VALUE"""),"Python Bootcamp: Der Einstiegskurs")</f>
        <v>Python Bootcamp: Der Einstiegskurs</v>
      </c>
    </row>
    <row r="10271">
      <c r="A10271" s="140" t="str">
        <f>IFERROR(__xludf.DUMMYFUNCTION("""COMPUTED_VALUE"""),"fr")</f>
        <v>fr</v>
      </c>
      <c r="B10271">
        <f>IFERROR(__xludf.DUMMYFUNCTION("""COMPUTED_VALUE"""),3178724.0)</f>
        <v>3178724</v>
      </c>
      <c r="C10271" t="str">
        <f>IFERROR(__xludf.DUMMYFUNCTION("""COMPUTED_VALUE"""),"Comment devenir un Expert TikTok en 2021")</f>
        <v>Comment devenir un Expert TikTok en 2021</v>
      </c>
    </row>
    <row r="10272">
      <c r="A10272" s="140" t="str">
        <f>IFERROR(__xludf.DUMMYFUNCTION("""COMPUTED_VALUE"""),"pt")</f>
        <v>pt</v>
      </c>
      <c r="B10272">
        <f>IFERROR(__xludf.DUMMYFUNCTION("""COMPUTED_VALUE"""),2214354.0)</f>
        <v>2214354</v>
      </c>
      <c r="C10272" t="str">
        <f>IFERROR(__xludf.DUMMYFUNCTION("""COMPUTED_VALUE"""),"Criando REST API com Laravel 5.7")</f>
        <v>Criando REST API com Laravel 5.7</v>
      </c>
    </row>
    <row r="10273">
      <c r="A10273" s="140" t="str">
        <f>IFERROR(__xludf.DUMMYFUNCTION("""COMPUTED_VALUE"""),"en")</f>
        <v>en</v>
      </c>
      <c r="B10273">
        <f>IFERROR(__xludf.DUMMYFUNCTION("""COMPUTED_VALUE"""),3486498.0)</f>
        <v>3486498</v>
      </c>
      <c r="C10273" t="str">
        <f>IFERROR(__xludf.DUMMYFUNCTION("""COMPUTED_VALUE"""),"Reverse Engineering 2: Windows GUI Programs")</f>
        <v>Reverse Engineering 2: Windows GUI Programs</v>
      </c>
    </row>
    <row r="10274">
      <c r="A10274" s="140" t="str">
        <f>IFERROR(__xludf.DUMMYFUNCTION("""COMPUTED_VALUE"""),"ar")</f>
        <v>ar</v>
      </c>
      <c r="B10274">
        <f>IFERROR(__xludf.DUMMYFUNCTION("""COMPUTED_VALUE"""),3075882.0)</f>
        <v>3075882</v>
      </c>
      <c r="C10274" t="str">
        <f>IFERROR(__xludf.DUMMYFUNCTION("""COMPUTED_VALUE"""),"Customer Satisfaction (Arabic) أساسيات التسويق: رضا العملاء")</f>
        <v>Customer Satisfaction (Arabic) أساسيات التسويق: رضا العملاء</v>
      </c>
    </row>
    <row r="10275">
      <c r="A10275" s="140" t="str">
        <f>IFERROR(__xludf.DUMMYFUNCTION("""COMPUTED_VALUE"""),"es")</f>
        <v>es</v>
      </c>
      <c r="B10275">
        <f>IFERROR(__xludf.DUMMYFUNCTION("""COMPUTED_VALUE"""),2114878.0)</f>
        <v>2114878</v>
      </c>
      <c r="C10275" t="str">
        <f>IFERROR(__xludf.DUMMYFUNCTION("""COMPUTED_VALUE"""),"Desarrollo de videojuegos con Phaser 3 - Iniciación")</f>
        <v>Desarrollo de videojuegos con Phaser 3 - Iniciación</v>
      </c>
    </row>
    <row r="10276">
      <c r="A10276" s="140" t="str">
        <f>IFERROR(__xludf.DUMMYFUNCTION("""COMPUTED_VALUE"""),"en")</f>
        <v>en</v>
      </c>
      <c r="B10276">
        <f>IFERROR(__xludf.DUMMYFUNCTION("""COMPUTED_VALUE"""),2599968.0)</f>
        <v>2599968</v>
      </c>
      <c r="C10276" t="str">
        <f>IFERROR(__xludf.DUMMYFUNCTION("""COMPUTED_VALUE"""),"NEW AWS Certified Solutions Architect - Associate 2022")</f>
        <v>NEW AWS Certified Solutions Architect - Associate 2022</v>
      </c>
    </row>
    <row r="10277">
      <c r="A10277" s="140" t="str">
        <f>IFERROR(__xludf.DUMMYFUNCTION("""COMPUTED_VALUE"""),"fr")</f>
        <v>fr</v>
      </c>
      <c r="B10277">
        <f>IFERROR(__xludf.DUMMYFUNCTION("""COMPUTED_VALUE"""),1312914.0)</f>
        <v>1312914</v>
      </c>
      <c r="C10277" t="str">
        <f>IFERROR(__xludf.DUMMYFUNCTION("""COMPUTED_VALUE"""),"GNU/Linux de débutant à confirmé en quelques heures")</f>
        <v>GNU/Linux de débutant à confirmé en quelques heures</v>
      </c>
    </row>
    <row r="10278">
      <c r="A10278" s="140" t="str">
        <f>IFERROR(__xludf.DUMMYFUNCTION("""COMPUTED_VALUE"""),"en")</f>
        <v>en</v>
      </c>
      <c r="B10278">
        <f>IFERROR(__xludf.DUMMYFUNCTION("""COMPUTED_VALUE"""),1797250.0)</f>
        <v>1797250</v>
      </c>
      <c r="C10278" t="str">
        <f>IFERROR(__xludf.DUMMYFUNCTION("""COMPUTED_VALUE"""),"2021 Selling On Amazon: Amazon SEO, Ads, Ecommerce Marketing")</f>
        <v>2021 Selling On Amazon: Amazon SEO, Ads, Ecommerce Marketing</v>
      </c>
    </row>
    <row r="10279">
      <c r="A10279" s="140" t="str">
        <f>IFERROR(__xludf.DUMMYFUNCTION("""COMPUTED_VALUE"""),"es")</f>
        <v>es</v>
      </c>
      <c r="B10279">
        <f>IFERROR(__xludf.DUMMYFUNCTION("""COMPUTED_VALUE"""),1165924.0)</f>
        <v>1165924</v>
      </c>
      <c r="C10279" t="str">
        <f>IFERROR(__xludf.DUMMYFUNCTION("""COMPUTED_VALUE"""),"Comienza con R: Curso de R para Principiantes")</f>
        <v>Comienza con R: Curso de R para Principiantes</v>
      </c>
    </row>
    <row r="10280">
      <c r="A10280" s="140" t="str">
        <f>IFERROR(__xludf.DUMMYFUNCTION("""COMPUTED_VALUE"""),"en")</f>
        <v>en</v>
      </c>
      <c r="B10280">
        <f>IFERROR(__xludf.DUMMYFUNCTION("""COMPUTED_VALUE"""),4019302.0)</f>
        <v>4019302</v>
      </c>
      <c r="C10280" t="str">
        <f>IFERROR(__xludf.DUMMYFUNCTION("""COMPUTED_VALUE"""),"Snowflake – The Complete Masterclass (2021 Edition)")</f>
        <v>Snowflake – The Complete Masterclass (2021 Edition)</v>
      </c>
    </row>
    <row r="10281">
      <c r="A10281" s="140" t="str">
        <f>IFERROR(__xludf.DUMMYFUNCTION("""COMPUTED_VALUE"""),"ja")</f>
        <v>ja</v>
      </c>
      <c r="B10281">
        <f>IFERROR(__xludf.DUMMYFUNCTION("""COMPUTED_VALUE"""),1857300.0)</f>
        <v>1857300</v>
      </c>
      <c r="C10281" t="str">
        <f>IFERROR(__xludf.DUMMYFUNCTION("""COMPUTED_VALUE"""),"はじめてのRuby on Rails入門-RubyとRailsを基礎から学びWebアプリケーションをネットに公開しよう")</f>
        <v>はじめてのRuby on Rails入門-RubyとRailsを基礎から学びWebアプリケーションをネットに公開しよう</v>
      </c>
    </row>
    <row r="10282">
      <c r="A10282" s="140" t="str">
        <f>IFERROR(__xludf.DUMMYFUNCTION("""COMPUTED_VALUE"""),"en")</f>
        <v>en</v>
      </c>
      <c r="B10282">
        <f>IFERROR(__xludf.DUMMYFUNCTION("""COMPUTED_VALUE"""),2271516.0)</f>
        <v>2271516</v>
      </c>
      <c r="C10282" t="str">
        <f>IFERROR(__xludf.DUMMYFUNCTION("""COMPUTED_VALUE"""),"Dual Certification Lean Six Sigma White Belt and Yellow Belt")</f>
        <v>Dual Certification Lean Six Sigma White Belt and Yellow Belt</v>
      </c>
    </row>
    <row r="10283">
      <c r="A10283" s="140" t="str">
        <f>IFERROR(__xludf.DUMMYFUNCTION("""COMPUTED_VALUE"""),"en")</f>
        <v>en</v>
      </c>
      <c r="B10283">
        <f>IFERROR(__xludf.DUMMYFUNCTION("""COMPUTED_VALUE"""),881228.0)</f>
        <v>881228</v>
      </c>
      <c r="C10283" t="str">
        <f>IFERROR(__xludf.DUMMYFUNCTION("""COMPUTED_VALUE"""),"Blog Post Ideas")</f>
        <v>Blog Post Ideas</v>
      </c>
    </row>
    <row r="10284">
      <c r="A10284" s="140" t="str">
        <f>IFERROR(__xludf.DUMMYFUNCTION("""COMPUTED_VALUE"""),"en")</f>
        <v>en</v>
      </c>
      <c r="B10284">
        <f>IFERROR(__xludf.DUMMYFUNCTION("""COMPUTED_VALUE"""),2891890.0)</f>
        <v>2891890</v>
      </c>
      <c r="C10284" t="str">
        <f>IFERROR(__xludf.DUMMYFUNCTION("""COMPUTED_VALUE"""),"Azure SQL Data Warehouse Synapse Analytics Service")</f>
        <v>Azure SQL Data Warehouse Synapse Analytics Service</v>
      </c>
    </row>
    <row r="10285">
      <c r="A10285" s="140" t="str">
        <f>IFERROR(__xludf.DUMMYFUNCTION("""COMPUTED_VALUE"""),"en")</f>
        <v>en</v>
      </c>
      <c r="B10285">
        <f>IFERROR(__xludf.DUMMYFUNCTION("""COMPUTED_VALUE"""),3082602.0)</f>
        <v>3082602</v>
      </c>
      <c r="C10285" t="str">
        <f>IFERROR(__xludf.DUMMYFUNCTION("""COMPUTED_VALUE"""),"Microsoft Power Automate (Flow) Crash Course")</f>
        <v>Microsoft Power Automate (Flow) Crash Course</v>
      </c>
    </row>
    <row r="10286">
      <c r="A10286" s="140" t="str">
        <f>IFERROR(__xludf.DUMMYFUNCTION("""COMPUTED_VALUE"""),"en")</f>
        <v>en</v>
      </c>
      <c r="B10286">
        <f>IFERROR(__xludf.DUMMYFUNCTION("""COMPUTED_VALUE"""),969212.0)</f>
        <v>969212</v>
      </c>
      <c r="C10286" t="str">
        <f>IFERROR(__xludf.DUMMYFUNCTION("""COMPUTED_VALUE"""),"An introduction to GIS and QGIS 3")</f>
        <v>An introduction to GIS and QGIS 3</v>
      </c>
    </row>
    <row r="10287">
      <c r="A10287" s="140" t="str">
        <f>IFERROR(__xludf.DUMMYFUNCTION("""COMPUTED_VALUE"""),"en")</f>
        <v>en</v>
      </c>
      <c r="B10287">
        <f>IFERROR(__xludf.DUMMYFUNCTION("""COMPUTED_VALUE"""),950152.0)</f>
        <v>950152</v>
      </c>
      <c r="C10287" t="str">
        <f>IFERROR(__xludf.DUMMYFUNCTION("""COMPUTED_VALUE"""),"Learn Java Unit Testing with Junit &amp; Mockito in 30 Steps")</f>
        <v>Learn Java Unit Testing with Junit &amp; Mockito in 30 Steps</v>
      </c>
    </row>
    <row r="10288">
      <c r="A10288" s="140" t="str">
        <f>IFERROR(__xludf.DUMMYFUNCTION("""COMPUTED_VALUE"""),"en")</f>
        <v>en</v>
      </c>
      <c r="B10288">
        <f>IFERROR(__xludf.DUMMYFUNCTION("""COMPUTED_VALUE"""),1596850.0)</f>
        <v>1596850</v>
      </c>
      <c r="C10288" t="str">
        <f>IFERROR(__xludf.DUMMYFUNCTION("""COMPUTED_VALUE"""),"Google Sheet Data as JSON JavaScript AJAX Google Apps Script")</f>
        <v>Google Sheet Data as JSON JavaScript AJAX Google Apps Script</v>
      </c>
    </row>
    <row r="10289">
      <c r="A10289" s="140" t="str">
        <f>IFERROR(__xludf.DUMMYFUNCTION("""COMPUTED_VALUE"""),"en")</f>
        <v>en</v>
      </c>
      <c r="B10289">
        <f>IFERROR(__xludf.DUMMYFUNCTION("""COMPUTED_VALUE"""),3352082.0)</f>
        <v>3352082</v>
      </c>
      <c r="C10289" t="str">
        <f>IFERROR(__xludf.DUMMYFUNCTION("""COMPUTED_VALUE"""),"Blazor WebAssembly Full Stack Bootcamp with .NET 5")</f>
        <v>Blazor WebAssembly Full Stack Bootcamp with .NET 5</v>
      </c>
    </row>
    <row r="10290">
      <c r="A10290" s="140" t="str">
        <f>IFERROR(__xludf.DUMMYFUNCTION("""COMPUTED_VALUE"""),"es")</f>
        <v>es</v>
      </c>
      <c r="B10290">
        <f>IFERROR(__xludf.DUMMYFUNCTION("""COMPUTED_VALUE"""),1452978.0)</f>
        <v>1452978</v>
      </c>
      <c r="C10290" t="str">
        <f>IFERROR(__xludf.DUMMYFUNCTION("""COMPUTED_VALUE"""),"Javascript 2021: El curso práctico y completo")</f>
        <v>Javascript 2021: El curso práctico y completo</v>
      </c>
    </row>
    <row r="10291">
      <c r="A10291" s="140" t="str">
        <f>IFERROR(__xludf.DUMMYFUNCTION("""COMPUTED_VALUE"""),"de")</f>
        <v>de</v>
      </c>
      <c r="B10291">
        <f>IFERROR(__xludf.DUMMYFUNCTION("""COMPUTED_VALUE"""),2643056.0)</f>
        <v>2643056</v>
      </c>
      <c r="C10291" t="str">
        <f>IFERROR(__xludf.DUMMYFUNCTION("""COMPUTED_VALUE"""),"Das komplette Data Science Bootcamp 2021 in Python")</f>
        <v>Das komplette Data Science Bootcamp 2021 in Python</v>
      </c>
    </row>
    <row r="10292">
      <c r="A10292" s="140" t="str">
        <f>IFERROR(__xludf.DUMMYFUNCTION("""COMPUTED_VALUE"""),"en")</f>
        <v>en</v>
      </c>
      <c r="B10292">
        <f>IFERROR(__xludf.DUMMYFUNCTION("""COMPUTED_VALUE"""),4037974.0)</f>
        <v>4037974</v>
      </c>
      <c r="C10292" t="str">
        <f>IFERROR(__xludf.DUMMYFUNCTION("""COMPUTED_VALUE"""),"Hybrid Work Management: How to Manage a Hybrid Team")</f>
        <v>Hybrid Work Management: How to Manage a Hybrid Team</v>
      </c>
    </row>
    <row r="10293">
      <c r="A10293" s="140" t="str">
        <f>IFERROR(__xludf.DUMMYFUNCTION("""COMPUTED_VALUE"""),"ja")</f>
        <v>ja</v>
      </c>
      <c r="B10293">
        <f>IFERROR(__xludf.DUMMYFUNCTION("""COMPUTED_VALUE"""),3156378.0)</f>
        <v>3156378</v>
      </c>
      <c r="C10293" t="str">
        <f>IFERROR(__xludf.DUMMYFUNCTION("""COMPUTED_VALUE"""),"【入門編】デジタルマーケティング初心者のためのKPI攻略講座～基本用語の理解から実践まで～")</f>
        <v>【入門編】デジタルマーケティング初心者のためのKPI攻略講座～基本用語の理解から実践まで～</v>
      </c>
    </row>
    <row r="10294">
      <c r="A10294" s="140" t="str">
        <f>IFERROR(__xludf.DUMMYFUNCTION("""COMPUTED_VALUE"""),"en")</f>
        <v>en</v>
      </c>
      <c r="B10294">
        <f>IFERROR(__xludf.DUMMYFUNCTION("""COMPUTED_VALUE"""),1426182.0)</f>
        <v>1426182</v>
      </c>
      <c r="C10294" t="str">
        <f>IFERROR(__xludf.DUMMYFUNCTION("""COMPUTED_VALUE"""),"Introduction to Virtualization  - One Hour Crash Course")</f>
        <v>Introduction to Virtualization  - One Hour Crash Course</v>
      </c>
    </row>
    <row r="10295">
      <c r="A10295" s="140" t="str">
        <f>IFERROR(__xludf.DUMMYFUNCTION("""COMPUTED_VALUE"""),"es")</f>
        <v>es</v>
      </c>
      <c r="B10295">
        <f>IFERROR(__xludf.DUMMYFUNCTION("""COMPUTED_VALUE"""),1550424.0)</f>
        <v>1550424</v>
      </c>
      <c r="C10295" t="str">
        <f>IFERROR(__xludf.DUMMYFUNCTION("""COMPUTED_VALUE"""),"Curso Completo de Programación C Sharp (C#)")</f>
        <v>Curso Completo de Programación C Sharp (C#)</v>
      </c>
    </row>
    <row r="10296">
      <c r="A10296" s="140" t="str">
        <f>IFERROR(__xludf.DUMMYFUNCTION("""COMPUTED_VALUE"""),"en")</f>
        <v>en</v>
      </c>
      <c r="B10296">
        <f>IFERROR(__xludf.DUMMYFUNCTION("""COMPUTED_VALUE"""),2522890.0)</f>
        <v>2522890</v>
      </c>
      <c r="C10296" t="str">
        <f>IFERROR(__xludf.DUMMYFUNCTION("""COMPUTED_VALUE"""),"Docker in AWS - Deploy Java Spring Boot to AWS Fargate &amp; ECS")</f>
        <v>Docker in AWS - Deploy Java Spring Boot to AWS Fargate &amp; ECS</v>
      </c>
    </row>
    <row r="10297">
      <c r="A10297" s="140" t="str">
        <f>IFERROR(__xludf.DUMMYFUNCTION("""COMPUTED_VALUE"""),"tr")</f>
        <v>tr</v>
      </c>
      <c r="B10297">
        <f>IFERROR(__xludf.DUMMYFUNCTION("""COMPUTED_VALUE"""),3832300.0)</f>
        <v>3832300</v>
      </c>
      <c r="C10297" t="str">
        <f>IFERROR(__xludf.DUMMYFUNCTION("""COMPUTED_VALUE"""),"Temel Veri Tabanı ve SQL Eğitimi. (Microsoft SQL Server ile)")</f>
        <v>Temel Veri Tabanı ve SQL Eğitimi. (Microsoft SQL Server ile)</v>
      </c>
    </row>
    <row r="10298">
      <c r="A10298" s="140" t="str">
        <f>IFERROR(__xludf.DUMMYFUNCTION("""COMPUTED_VALUE"""),"fr")</f>
        <v>fr</v>
      </c>
      <c r="B10298">
        <f>IFERROR(__xludf.DUMMYFUNCTION("""COMPUTED_VALUE"""),1357214.0)</f>
        <v>1357214</v>
      </c>
      <c r="C10298" t="str">
        <f>IFERROR(__xludf.DUMMYFUNCTION("""COMPUTED_VALUE"""),"CCNA1: Fondamenteaux - Switch - IOS - Routeur - Routage")</f>
        <v>CCNA1: Fondamenteaux - Switch - IOS - Routeur - Routage</v>
      </c>
    </row>
    <row r="10299">
      <c r="A10299" s="140" t="str">
        <f>IFERROR(__xludf.DUMMYFUNCTION("""COMPUTED_VALUE"""),"en")</f>
        <v>en</v>
      </c>
      <c r="B10299">
        <f>IFERROR(__xludf.DUMMYFUNCTION("""COMPUTED_VALUE"""),1368106.0)</f>
        <v>1368106</v>
      </c>
      <c r="C10299" t="str">
        <f>IFERROR(__xludf.DUMMYFUNCTION("""COMPUTED_VALUE"""),"Learn and Understand D3.js for Data Visualization")</f>
        <v>Learn and Understand D3.js for Data Visualization</v>
      </c>
    </row>
    <row r="10300">
      <c r="A10300" s="140" t="str">
        <f>IFERROR(__xludf.DUMMYFUNCTION("""COMPUTED_VALUE"""),"es")</f>
        <v>es</v>
      </c>
      <c r="B10300">
        <f>IFERROR(__xludf.DUMMYFUNCTION("""COMPUTED_VALUE"""),980450.0)</f>
        <v>980450</v>
      </c>
      <c r="C10300" t="str">
        <f>IFERROR(__xludf.DUMMYFUNCTION("""COMPUTED_VALUE"""),"Desarrollo Web Completo con HTML5, CSS3, JS AJAX PHP y MySQL")</f>
        <v>Desarrollo Web Completo con HTML5, CSS3, JS AJAX PHP y MySQL</v>
      </c>
    </row>
    <row r="10301">
      <c r="A10301" s="140" t="str">
        <f>IFERROR(__xludf.DUMMYFUNCTION("""COMPUTED_VALUE"""),"en")</f>
        <v>en</v>
      </c>
      <c r="B10301">
        <f>IFERROR(__xludf.DUMMYFUNCTION("""COMPUTED_VALUE"""),2826415.0)</f>
        <v>2826415</v>
      </c>
      <c r="C10301" t="str">
        <f>IFERROR(__xludf.DUMMYFUNCTION("""COMPUTED_VALUE"""),"Elasticsearch Masterclass [Incl., Elasticsearch 7 update]")</f>
        <v>Elasticsearch Masterclass [Incl., Elasticsearch 7 update]</v>
      </c>
    </row>
    <row r="10302">
      <c r="A10302" s="140" t="str">
        <f>IFERROR(__xludf.DUMMYFUNCTION("""COMPUTED_VALUE"""),"en")</f>
        <v>en</v>
      </c>
      <c r="B10302">
        <f>IFERROR(__xludf.DUMMYFUNCTION("""COMPUTED_VALUE"""),1202988.0)</f>
        <v>1202988</v>
      </c>
      <c r="C10302" t="str">
        <f>IFERROR(__xludf.DUMMYFUNCTION("""COMPUTED_VALUE"""),"The Complete Financial Analyst Training &amp; Investing Course")</f>
        <v>The Complete Financial Analyst Training &amp; Investing Course</v>
      </c>
    </row>
    <row r="10303">
      <c r="A10303" s="140" t="str">
        <f>IFERROR(__xludf.DUMMYFUNCTION("""COMPUTED_VALUE"""),"tr")</f>
        <v>tr</v>
      </c>
      <c r="B10303">
        <f>IFERROR(__xludf.DUMMYFUNCTION("""COMPUTED_VALUE"""),1827498.0)</f>
        <v>1827498</v>
      </c>
      <c r="C10303" t="str">
        <f>IFERROR(__xludf.DUMMYFUNCTION("""COMPUTED_VALUE"""),"Penetration Tester - Sızma Testi Uzmanı Kursu")</f>
        <v>Penetration Tester - Sızma Testi Uzmanı Kursu</v>
      </c>
    </row>
    <row r="10304">
      <c r="A10304" s="140" t="str">
        <f>IFERROR(__xludf.DUMMYFUNCTION("""COMPUTED_VALUE"""),"en")</f>
        <v>en</v>
      </c>
      <c r="B10304">
        <f>IFERROR(__xludf.DUMMYFUNCTION("""COMPUTED_VALUE"""),1178822.0)</f>
        <v>1178822</v>
      </c>
      <c r="C10304" t="str">
        <f>IFERROR(__xludf.DUMMYFUNCTION("""COMPUTED_VALUE"""),"Python Programming for Network Engineers: Cisco, Netmiko ++")</f>
        <v>Python Programming for Network Engineers: Cisco, Netmiko ++</v>
      </c>
    </row>
    <row r="10305">
      <c r="A10305" s="140" t="str">
        <f>IFERROR(__xludf.DUMMYFUNCTION("""COMPUTED_VALUE"""),"de")</f>
        <v>de</v>
      </c>
      <c r="B10305">
        <f>IFERROR(__xludf.DUMMYFUNCTION("""COMPUTED_VALUE"""),3439844.0)</f>
        <v>3439844</v>
      </c>
      <c r="C10305" t="str">
        <f>IFERROR(__xludf.DUMMYFUNCTION("""COMPUTED_VALUE"""),"Tableau 2020: Visualisierungen und Analysen mit Tableau")</f>
        <v>Tableau 2020: Visualisierungen und Analysen mit Tableau</v>
      </c>
    </row>
    <row r="10306">
      <c r="A10306" s="140" t="str">
        <f>IFERROR(__xludf.DUMMYFUNCTION("""COMPUTED_VALUE"""),"tr")</f>
        <v>tr</v>
      </c>
      <c r="B10306">
        <f>IFERROR(__xludf.DUMMYFUNCTION("""COMPUTED_VALUE"""),2161774.0)</f>
        <v>2161774</v>
      </c>
      <c r="C10306" t="str">
        <f>IFERROR(__xludf.DUMMYFUNCTION("""COMPUTED_VALUE"""),"C programlama ve C++ programlama ile Yazılım Geliştirme")</f>
        <v>C programlama ve C++ programlama ile Yazılım Geliştirme</v>
      </c>
    </row>
    <row r="10307">
      <c r="A10307" s="140" t="str">
        <f>IFERROR(__xludf.DUMMYFUNCTION("""COMPUTED_VALUE"""),"en")</f>
        <v>en</v>
      </c>
      <c r="B10307">
        <f>IFERROR(__xludf.DUMMYFUNCTION("""COMPUTED_VALUE"""),280012.0)</f>
        <v>280012</v>
      </c>
      <c r="C10307" t="str">
        <f>IFERROR(__xludf.DUMMYFUNCTION("""COMPUTED_VALUE"""),"Trello Project Management: Complete Course")</f>
        <v>Trello Project Management: Complete Course</v>
      </c>
    </row>
    <row r="10308">
      <c r="A10308" s="140" t="str">
        <f>IFERROR(__xludf.DUMMYFUNCTION("""COMPUTED_VALUE"""),"fr")</f>
        <v>fr</v>
      </c>
      <c r="B10308">
        <f>IFERROR(__xludf.DUMMYFUNCTION("""COMPUTED_VALUE"""),3075024.0)</f>
        <v>3075024</v>
      </c>
      <c r="C10308" t="str">
        <f>IFERROR(__xludf.DUMMYFUNCTION("""COMPUTED_VALUE"""),"Augmentez vos ventes grâce au Growth Hacking")</f>
        <v>Augmentez vos ventes grâce au Growth Hacking</v>
      </c>
    </row>
    <row r="10309">
      <c r="A10309" s="140" t="str">
        <f>IFERROR(__xludf.DUMMYFUNCTION("""COMPUTED_VALUE"""),"pt")</f>
        <v>pt</v>
      </c>
      <c r="B10309">
        <f>IFERROR(__xludf.DUMMYFUNCTION("""COMPUTED_VALUE"""),1214624.0)</f>
        <v>1214624</v>
      </c>
      <c r="C10309" t="str">
        <f>IFERROR(__xludf.DUMMYFUNCTION("""COMPUTED_VALUE"""),"Formação Angular 12 - O início criando 7 projetos")</f>
        <v>Formação Angular 12 - O início criando 7 projetos</v>
      </c>
    </row>
    <row r="10310">
      <c r="A10310" s="140" t="str">
        <f>IFERROR(__xludf.DUMMYFUNCTION("""COMPUTED_VALUE"""),"en")</f>
        <v>en</v>
      </c>
      <c r="B10310">
        <f>IFERROR(__xludf.DUMMYFUNCTION("""COMPUTED_VALUE"""),1433060.0)</f>
        <v>1433060</v>
      </c>
      <c r="C10310" t="str">
        <f>IFERROR(__xludf.DUMMYFUNCTION("""COMPUTED_VALUE"""),"Marketing Analytics: Stand Out by Becoming an Analytics Pro!")</f>
        <v>Marketing Analytics: Stand Out by Becoming an Analytics Pro!</v>
      </c>
    </row>
    <row r="10311">
      <c r="A10311" s="140" t="str">
        <f>IFERROR(__xludf.DUMMYFUNCTION("""COMPUTED_VALUE"""),"en")</f>
        <v>en</v>
      </c>
      <c r="B10311">
        <f>IFERROR(__xludf.DUMMYFUNCTION("""COMPUTED_VALUE"""),119270.0)</f>
        <v>119270</v>
      </c>
      <c r="C10311" t="str">
        <f>IFERROR(__xludf.DUMMYFUNCTION("""COMPUTED_VALUE"""),"Comprehensive Microsoft Word")</f>
        <v>Comprehensive Microsoft Word</v>
      </c>
    </row>
    <row r="10312">
      <c r="A10312" s="140" t="str">
        <f>IFERROR(__xludf.DUMMYFUNCTION("""COMPUTED_VALUE"""),"de")</f>
        <v>de</v>
      </c>
      <c r="B10312">
        <f>IFERROR(__xludf.DUMMYFUNCTION("""COMPUTED_VALUE"""),2388100.0)</f>
        <v>2388100</v>
      </c>
      <c r="C10312" t="str">
        <f>IFERROR(__xludf.DUMMYFUNCTION("""COMPUTED_VALUE"""),"Docker Bootcamp - vom Anfänger zum Profi")</f>
        <v>Docker Bootcamp - vom Anfänger zum Profi</v>
      </c>
    </row>
    <row r="10313">
      <c r="A10313" s="140" t="str">
        <f>IFERROR(__xludf.DUMMYFUNCTION("""COMPUTED_VALUE"""),"en")</f>
        <v>en</v>
      </c>
      <c r="B10313">
        <f>IFERROR(__xludf.DUMMYFUNCTION("""COMPUTED_VALUE"""),1306030.0)</f>
        <v>1306030</v>
      </c>
      <c r="C10313" t="str">
        <f>IFERROR(__xludf.DUMMYFUNCTION("""COMPUTED_VALUE"""),"Advanced Particle VFX in Unity and After Effects")</f>
        <v>Advanced Particle VFX in Unity and After Effects</v>
      </c>
    </row>
    <row r="10314">
      <c r="A10314" s="140" t="str">
        <f>IFERROR(__xludf.DUMMYFUNCTION("""COMPUTED_VALUE"""),"en")</f>
        <v>en</v>
      </c>
      <c r="B10314">
        <f>IFERROR(__xludf.DUMMYFUNCTION("""COMPUTED_VALUE"""),1663222.0)</f>
        <v>1663222</v>
      </c>
      <c r="C10314" t="str">
        <f>IFERROR(__xludf.DUMMYFUNCTION("""COMPUTED_VALUE"""),"10 YouTube Marketing Strategies That Make Me 6-Figures")</f>
        <v>10 YouTube Marketing Strategies That Make Me 6-Figures</v>
      </c>
    </row>
    <row r="10315">
      <c r="A10315" s="140" t="str">
        <f>IFERROR(__xludf.DUMMYFUNCTION("""COMPUTED_VALUE"""),"en")</f>
        <v>en</v>
      </c>
      <c r="B10315">
        <f>IFERROR(__xludf.DUMMYFUNCTION("""COMPUTED_VALUE"""),24422.0)</f>
        <v>24422</v>
      </c>
      <c r="C10315" t="str">
        <f>IFERROR(__xludf.DUMMYFUNCTION("""COMPUTED_VALUE"""),"Learn To Program with Pascal")</f>
        <v>Learn To Program with Pascal</v>
      </c>
    </row>
    <row r="10316">
      <c r="A10316" s="140" t="str">
        <f>IFERROR(__xludf.DUMMYFUNCTION("""COMPUTED_VALUE"""),"es")</f>
        <v>es</v>
      </c>
      <c r="B10316">
        <f>IFERROR(__xludf.DUMMYFUNCTION("""COMPUTED_VALUE"""),1735276.0)</f>
        <v>1735276</v>
      </c>
      <c r="C10316" t="str">
        <f>IFERROR(__xludf.DUMMYFUNCTION("""COMPUTED_VALUE"""),"REDUX en Angular con NGRX: Desde las bases hasta la práctica")</f>
        <v>REDUX en Angular con NGRX: Desde las bases hasta la práctica</v>
      </c>
    </row>
    <row r="10317">
      <c r="A10317" s="140" t="str">
        <f>IFERROR(__xludf.DUMMYFUNCTION("""COMPUTED_VALUE"""),"en")</f>
        <v>en</v>
      </c>
      <c r="B10317">
        <f>IFERROR(__xludf.DUMMYFUNCTION("""COMPUTED_VALUE"""),1218790.0)</f>
        <v>1218790</v>
      </c>
      <c r="C10317" t="str">
        <f>IFERROR(__xludf.DUMMYFUNCTION("""COMPUTED_VALUE"""),"Basics in Plan to Produce (P2P) Process: Oracle SCM Cloud")</f>
        <v>Basics in Plan to Produce (P2P) Process: Oracle SCM Cloud</v>
      </c>
    </row>
    <row r="10318">
      <c r="A10318" s="140" t="str">
        <f>IFERROR(__xludf.DUMMYFUNCTION("""COMPUTED_VALUE"""),"en")</f>
        <v>en</v>
      </c>
      <c r="B10318">
        <f>IFERROR(__xludf.DUMMYFUNCTION("""COMPUTED_VALUE"""),867218.0)</f>
        <v>867218</v>
      </c>
      <c r="C10318" t="str">
        <f>IFERROR(__xludf.DUMMYFUNCTION("""COMPUTED_VALUE"""),"Learn Professional 2D Game Asset Graphic Design in Photoshop")</f>
        <v>Learn Professional 2D Game Asset Graphic Design in Photoshop</v>
      </c>
    </row>
    <row r="10319">
      <c r="A10319" s="140" t="str">
        <f>IFERROR(__xludf.DUMMYFUNCTION("""COMPUTED_VALUE"""),"en")</f>
        <v>en</v>
      </c>
      <c r="B10319">
        <f>IFERROR(__xludf.DUMMYFUNCTION("""COMPUTED_VALUE"""),2463014.0)</f>
        <v>2463014</v>
      </c>
      <c r="C10319" t="str">
        <f>IFERROR(__xludf.DUMMYFUNCTION("""COMPUTED_VALUE"""),"Virtual Private Networks - Zero to Hero (VPN)")</f>
        <v>Virtual Private Networks - Zero to Hero (VPN)</v>
      </c>
    </row>
    <row r="10320">
      <c r="A10320" s="140" t="str">
        <f>IFERROR(__xludf.DUMMYFUNCTION("""COMPUTED_VALUE"""),"en")</f>
        <v>en</v>
      </c>
      <c r="B10320">
        <f>IFERROR(__xludf.DUMMYFUNCTION("""COMPUTED_VALUE"""),484990.0)</f>
        <v>484990</v>
      </c>
      <c r="C10320" t="str">
        <f>IFERROR(__xludf.DUMMYFUNCTION("""COMPUTED_VALUE"""),"Apple Watch UX: Design Beautiful UI and User Experiences")</f>
        <v>Apple Watch UX: Design Beautiful UI and User Experiences</v>
      </c>
    </row>
    <row r="10321">
      <c r="A10321" s="140" t="str">
        <f>IFERROR(__xludf.DUMMYFUNCTION("""COMPUTED_VALUE"""),"en")</f>
        <v>en</v>
      </c>
      <c r="B10321">
        <f>IFERROR(__xludf.DUMMYFUNCTION("""COMPUTED_VALUE"""),1580296.0)</f>
        <v>1580296</v>
      </c>
      <c r="C10321" t="str">
        <f>IFERROR(__xludf.DUMMYFUNCTION("""COMPUTED_VALUE"""),"2020 Complete Instagram Marketing Masterclass: Become a Pro")</f>
        <v>2020 Complete Instagram Marketing Masterclass: Become a Pro</v>
      </c>
    </row>
    <row r="10322">
      <c r="A10322" s="140" t="str">
        <f>IFERROR(__xludf.DUMMYFUNCTION("""COMPUTED_VALUE"""),"fr")</f>
        <v>fr</v>
      </c>
      <c r="B10322">
        <f>IFERROR(__xludf.DUMMYFUNCTION("""COMPUTED_VALUE"""),1384436.0)</f>
        <v>1384436</v>
      </c>
      <c r="C10322" t="str">
        <f>IFERROR(__xludf.DUMMYFUNCTION("""COMPUTED_VALUE"""),"Guide pratique de finances personnelles")</f>
        <v>Guide pratique de finances personnelles</v>
      </c>
    </row>
    <row r="10323">
      <c r="A10323" s="140" t="str">
        <f>IFERROR(__xludf.DUMMYFUNCTION("""COMPUTED_VALUE"""),"en")</f>
        <v>en</v>
      </c>
      <c r="B10323">
        <f>IFERROR(__xludf.DUMMYFUNCTION("""COMPUTED_VALUE"""),2669788.0)</f>
        <v>2669788</v>
      </c>
      <c r="C10323" t="str">
        <f>IFERROR(__xludf.DUMMYFUNCTION("""COMPUTED_VALUE"""),"Scrum Product Owner (PSPO I) Certification &amp; 200+ Questions")</f>
        <v>Scrum Product Owner (PSPO I) Certification &amp; 200+ Questions</v>
      </c>
    </row>
    <row r="10324">
      <c r="A10324" s="140" t="str">
        <f>IFERROR(__xludf.DUMMYFUNCTION("""COMPUTED_VALUE"""),"en")</f>
        <v>en</v>
      </c>
      <c r="B10324">
        <f>IFERROR(__xludf.DUMMYFUNCTION("""COMPUTED_VALUE"""),2355474.0)</f>
        <v>2355474</v>
      </c>
      <c r="C10324" t="str">
        <f>IFERROR(__xludf.DUMMYFUNCTION("""COMPUTED_VALUE"""),"Time Management &amp; Productivity Mastery")</f>
        <v>Time Management &amp; Productivity Mastery</v>
      </c>
    </row>
    <row r="10325">
      <c r="A10325" s="140" t="str">
        <f>IFERROR(__xludf.DUMMYFUNCTION("""COMPUTED_VALUE"""),"fr")</f>
        <v>fr</v>
      </c>
      <c r="B10325">
        <f>IFERROR(__xludf.DUMMYFUNCTION("""COMPUTED_VALUE"""),3154704.0)</f>
        <v>3154704</v>
      </c>
      <c r="C10325" t="str">
        <f>IFERROR(__xludf.DUMMYFUNCTION("""COMPUTED_VALUE"""),"Excel - Astuces pratiques sur des grands Tableaux (listes)")</f>
        <v>Excel - Astuces pratiques sur des grands Tableaux (listes)</v>
      </c>
    </row>
    <row r="10326">
      <c r="A10326" s="140" t="str">
        <f>IFERROR(__xludf.DUMMYFUNCTION("""COMPUTED_VALUE"""),"en")</f>
        <v>en</v>
      </c>
      <c r="B10326">
        <f>IFERROR(__xludf.DUMMYFUNCTION("""COMPUTED_VALUE"""),2080214.0)</f>
        <v>2080214</v>
      </c>
      <c r="C10326" t="str">
        <f>IFERROR(__xludf.DUMMYFUNCTION("""COMPUTED_VALUE"""),"Management System Auditor Training. ISO 19011")</f>
        <v>Management System Auditor Training. ISO 19011</v>
      </c>
    </row>
    <row r="10327">
      <c r="A10327" s="140" t="str">
        <f>IFERROR(__xludf.DUMMYFUNCTION("""COMPUTED_VALUE"""),"pt")</f>
        <v>pt</v>
      </c>
      <c r="B10327">
        <f>IFERROR(__xludf.DUMMYFUNCTION("""COMPUTED_VALUE"""),2153912.0)</f>
        <v>2153912</v>
      </c>
      <c r="C10327" t="str">
        <f>IFERROR(__xludf.DUMMYFUNCTION("""COMPUTED_VALUE"""),"Curso Completo de Banco de Dados Oracle DBA")</f>
        <v>Curso Completo de Banco de Dados Oracle DBA</v>
      </c>
    </row>
    <row r="10328">
      <c r="A10328" s="140" t="str">
        <f>IFERROR(__xludf.DUMMYFUNCTION("""COMPUTED_VALUE"""),"pt")</f>
        <v>pt</v>
      </c>
      <c r="B10328">
        <f>IFERROR(__xludf.DUMMYFUNCTION("""COMPUTED_VALUE"""),1631400.0)</f>
        <v>1631400</v>
      </c>
      <c r="C10328" t="str">
        <f>IFERROR(__xludf.DUMMYFUNCTION("""COMPUTED_VALUE"""),"Criando poderosas API's RESTful com Django Rest Framework")</f>
        <v>Criando poderosas API's RESTful com Django Rest Framework</v>
      </c>
    </row>
    <row r="10329">
      <c r="A10329" s="140" t="str">
        <f>IFERROR(__xludf.DUMMYFUNCTION("""COMPUTED_VALUE"""),"en")</f>
        <v>en</v>
      </c>
      <c r="B10329">
        <f>IFERROR(__xludf.DUMMYFUNCTION("""COMPUTED_VALUE"""),1725350.0)</f>
        <v>1725350</v>
      </c>
      <c r="C10329" t="str">
        <f>IFERROR(__xludf.DUMMYFUNCTION("""COMPUTED_VALUE"""),"10 Facebook Ads Strategies That Make Me 6-Figures")</f>
        <v>10 Facebook Ads Strategies That Make Me 6-Figures</v>
      </c>
    </row>
    <row r="10330">
      <c r="A10330" s="140" t="str">
        <f>IFERROR(__xludf.DUMMYFUNCTION("""COMPUTED_VALUE"""),"en")</f>
        <v>en</v>
      </c>
      <c r="B10330">
        <f>IFERROR(__xludf.DUMMYFUNCTION("""COMPUTED_VALUE"""),3390792.0)</f>
        <v>3390792</v>
      </c>
      <c r="C10330" t="str">
        <f>IFERROR(__xludf.DUMMYFUNCTION("""COMPUTED_VALUE"""),"The Upskilling Imperative")</f>
        <v>The Upskilling Imperative</v>
      </c>
    </row>
    <row r="10331">
      <c r="A10331" s="140" t="str">
        <f>IFERROR(__xludf.DUMMYFUNCTION("""COMPUTED_VALUE"""),"es")</f>
        <v>es</v>
      </c>
      <c r="B10331">
        <f>IFERROR(__xludf.DUMMYFUNCTION("""COMPUTED_VALUE"""),1194892.0)</f>
        <v>1194892</v>
      </c>
      <c r="C10331" t="str">
        <f>IFERROR(__xludf.DUMMYFUNCTION("""COMPUTED_VALUE"""),"Bootstrap 5 y SASS - La Guía Práctica - Crea 10 Sitios Web")</f>
        <v>Bootstrap 5 y SASS - La Guía Práctica - Crea 10 Sitios Web</v>
      </c>
    </row>
    <row r="10332">
      <c r="A10332" s="140" t="str">
        <f>IFERROR(__xludf.DUMMYFUNCTION("""COMPUTED_VALUE"""),"en")</f>
        <v>en</v>
      </c>
      <c r="B10332">
        <f>IFERROR(__xludf.DUMMYFUNCTION("""COMPUTED_VALUE"""),3593448.0)</f>
        <v>3593448</v>
      </c>
      <c r="C10332" t="str">
        <f>IFERROR(__xludf.DUMMYFUNCTION("""COMPUTED_VALUE"""),"Google Analytics 4 for Beginners - New Google Analytics")</f>
        <v>Google Analytics 4 for Beginners - New Google Analytics</v>
      </c>
    </row>
    <row r="10333">
      <c r="A10333" s="140" t="str">
        <f>IFERROR(__xludf.DUMMYFUNCTION("""COMPUTED_VALUE"""),"en")</f>
        <v>en</v>
      </c>
      <c r="B10333">
        <f>IFERROR(__xludf.DUMMYFUNCTION("""COMPUTED_VALUE"""),499534.0)</f>
        <v>499534</v>
      </c>
      <c r="C10333" t="str">
        <f>IFERROR(__xludf.DUMMYFUNCTION("""COMPUTED_VALUE"""),"How To Begin Your Career As a SQL Server DBA")</f>
        <v>How To Begin Your Career As a SQL Server DBA</v>
      </c>
    </row>
    <row r="10334">
      <c r="A10334" s="140" t="str">
        <f>IFERROR(__xludf.DUMMYFUNCTION("""COMPUTED_VALUE"""),"pt")</f>
        <v>pt</v>
      </c>
      <c r="B10334">
        <f>IFERROR(__xludf.DUMMYFUNCTION("""COMPUTED_VALUE"""),2185278.0)</f>
        <v>2185278</v>
      </c>
      <c r="C10334" t="str">
        <f>IFERROR(__xludf.DUMMYFUNCTION("""COMPUTED_VALUE"""),"Fast MBA - Sales - Curso Completo de Vendas")</f>
        <v>Fast MBA - Sales - Curso Completo de Vendas</v>
      </c>
    </row>
    <row r="10335">
      <c r="A10335" s="140" t="str">
        <f>IFERROR(__xludf.DUMMYFUNCTION("""COMPUTED_VALUE"""),"es")</f>
        <v>es</v>
      </c>
      <c r="B10335">
        <f>IFERROR(__xludf.DUMMYFUNCTION("""COMPUTED_VALUE"""),1370986.0)</f>
        <v>1370986</v>
      </c>
      <c r="C10335" t="str">
        <f>IFERROR(__xludf.DUMMYFUNCTION("""COMPUTED_VALUE"""),"Aprende ISO 27001")</f>
        <v>Aprende ISO 27001</v>
      </c>
    </row>
    <row r="10336">
      <c r="A10336" s="140" t="str">
        <f>IFERROR(__xludf.DUMMYFUNCTION("""COMPUTED_VALUE"""),"en")</f>
        <v>en</v>
      </c>
      <c r="B10336">
        <f>IFERROR(__xludf.DUMMYFUNCTION("""COMPUTED_VALUE"""),611728.0)</f>
        <v>611728</v>
      </c>
      <c r="C10336" t="str">
        <f>IFERROR(__xludf.DUMMYFUNCTION("""COMPUTED_VALUE"""),"Drones: how to tell aerial stories")</f>
        <v>Drones: how to tell aerial stories</v>
      </c>
    </row>
    <row r="10337">
      <c r="A10337" s="140" t="str">
        <f>IFERROR(__xludf.DUMMYFUNCTION("""COMPUTED_VALUE"""),"en")</f>
        <v>en</v>
      </c>
      <c r="B10337">
        <f>IFERROR(__xludf.DUMMYFUNCTION("""COMPUTED_VALUE"""),1228704.0)</f>
        <v>1228704</v>
      </c>
      <c r="C10337" t="str">
        <f>IFERROR(__xludf.DUMMYFUNCTION("""COMPUTED_VALUE"""),"Forecasting and Time Series Analysis in Tableau")</f>
        <v>Forecasting and Time Series Analysis in Tableau</v>
      </c>
    </row>
    <row r="10338">
      <c r="A10338" s="140" t="str">
        <f>IFERROR(__xludf.DUMMYFUNCTION("""COMPUTED_VALUE"""),"en")</f>
        <v>en</v>
      </c>
      <c r="B10338">
        <f>IFERROR(__xludf.DUMMYFUNCTION("""COMPUTED_VALUE"""),2611176.0)</f>
        <v>2611176</v>
      </c>
      <c r="C10338" t="str">
        <f>IFERROR(__xludf.DUMMYFUNCTION("""COMPUTED_VALUE"""),"Introduction to Microsoft Azure IoT")</f>
        <v>Introduction to Microsoft Azure IoT</v>
      </c>
    </row>
    <row r="10339">
      <c r="A10339" s="140" t="str">
        <f>IFERROR(__xludf.DUMMYFUNCTION("""COMPUTED_VALUE"""),"en")</f>
        <v>en</v>
      </c>
      <c r="B10339">
        <f>IFERROR(__xludf.DUMMYFUNCTION("""COMPUTED_VALUE"""),1265410.0)</f>
        <v>1265410</v>
      </c>
      <c r="C10339" t="str">
        <f>IFERROR(__xludf.DUMMYFUNCTION("""COMPUTED_VALUE"""),"Postman: The Complete Guide - REST API Testing")</f>
        <v>Postman: The Complete Guide - REST API Testing</v>
      </c>
    </row>
    <row r="10340">
      <c r="A10340" s="140" t="str">
        <f>IFERROR(__xludf.DUMMYFUNCTION("""COMPUTED_VALUE"""),"es")</f>
        <v>es</v>
      </c>
      <c r="B10340">
        <f>IFERROR(__xludf.DUMMYFUNCTION("""COMPUTED_VALUE"""),481712.0)</f>
        <v>481712</v>
      </c>
      <c r="C10340" t="str">
        <f>IFERROR(__xludf.DUMMYFUNCTION("""COMPUTED_VALUE"""),"Desarrollo de Videojuegos 2D en Unity 3D 5")</f>
        <v>Desarrollo de Videojuegos 2D en Unity 3D 5</v>
      </c>
    </row>
    <row r="10341">
      <c r="A10341" s="140" t="str">
        <f>IFERROR(__xludf.DUMMYFUNCTION("""COMPUTED_VALUE"""),"en")</f>
        <v>en</v>
      </c>
      <c r="B10341">
        <f>IFERROR(__xludf.DUMMYFUNCTION("""COMPUTED_VALUE"""),617122.0)</f>
        <v>617122</v>
      </c>
      <c r="C10341" t="str">
        <f>IFERROR(__xludf.DUMMYFUNCTION("""COMPUTED_VALUE"""),"Bing Ads For Beginners")</f>
        <v>Bing Ads For Beginners</v>
      </c>
    </row>
    <row r="10342">
      <c r="A10342" s="140" t="str">
        <f>IFERROR(__xludf.DUMMYFUNCTION("""COMPUTED_VALUE"""),"es")</f>
        <v>es</v>
      </c>
      <c r="B10342">
        <f>IFERROR(__xludf.DUMMYFUNCTION("""COMPUTED_VALUE"""),1676514.0)</f>
        <v>1676514</v>
      </c>
      <c r="C10342" t="str">
        <f>IFERROR(__xludf.DUMMYFUNCTION("""COMPUTED_VALUE"""),"Alemán A1 - comenzando desde cero-un curso para principantes")</f>
        <v>Alemán A1 - comenzando desde cero-un curso para principantes</v>
      </c>
    </row>
    <row r="10343">
      <c r="A10343" s="140" t="str">
        <f>IFERROR(__xludf.DUMMYFUNCTION("""COMPUTED_VALUE"""),"en")</f>
        <v>en</v>
      </c>
      <c r="B10343">
        <f>IFERROR(__xludf.DUMMYFUNCTION("""COMPUTED_VALUE"""),2534378.0)</f>
        <v>2534378</v>
      </c>
      <c r="C10343" t="str">
        <f>IFERROR(__xludf.DUMMYFUNCTION("""COMPUTED_VALUE"""),"Implement High Fidelity Designs with Material-UI and ReactJS")</f>
        <v>Implement High Fidelity Designs with Material-UI and ReactJS</v>
      </c>
    </row>
    <row r="10344">
      <c r="A10344" s="140" t="str">
        <f>IFERROR(__xludf.DUMMYFUNCTION("""COMPUTED_VALUE"""),"en")</f>
        <v>en</v>
      </c>
      <c r="B10344">
        <f>IFERROR(__xludf.DUMMYFUNCTION("""COMPUTED_VALUE"""),2851942.0)</f>
        <v>2851942</v>
      </c>
      <c r="C10344" t="str">
        <f>IFERROR(__xludf.DUMMYFUNCTION("""COMPUTED_VALUE"""),"Complete SQL and Databases Bootcamp: Zero to Mastery [2022]")</f>
        <v>Complete SQL and Databases Bootcamp: Zero to Mastery [2022]</v>
      </c>
    </row>
    <row r="10345">
      <c r="A10345" s="140" t="str">
        <f>IFERROR(__xludf.DUMMYFUNCTION("""COMPUTED_VALUE"""),"en")</f>
        <v>en</v>
      </c>
      <c r="B10345">
        <f>IFERROR(__xludf.DUMMYFUNCTION("""COMPUTED_VALUE"""),613808.0)</f>
        <v>613808</v>
      </c>
      <c r="C10345" t="str">
        <f>IFERROR(__xludf.DUMMYFUNCTION("""COMPUTED_VALUE"""),"Leadership: Practical Leadership Skills")</f>
        <v>Leadership: Practical Leadership Skills</v>
      </c>
    </row>
    <row r="10346">
      <c r="A10346" s="140" t="str">
        <f>IFERROR(__xludf.DUMMYFUNCTION("""COMPUTED_VALUE"""),"ja")</f>
        <v>ja</v>
      </c>
      <c r="B10346">
        <f>IFERROR(__xludf.DUMMYFUNCTION("""COMPUTED_VALUE"""),2556626.0)</f>
        <v>2556626</v>
      </c>
      <c r="C10346" t="str">
        <f>IFERROR(__xludf.DUMMYFUNCTION("""COMPUTED_VALUE"""),"医学英語の基礎を身につけよう！Medical Terminology Part 1 パーツ編")</f>
        <v>医学英語の基礎を身につけよう！Medical Terminology Part 1 パーツ編</v>
      </c>
    </row>
    <row r="10347">
      <c r="A10347" s="140" t="str">
        <f>IFERROR(__xludf.DUMMYFUNCTION("""COMPUTED_VALUE"""),"en")</f>
        <v>en</v>
      </c>
      <c r="B10347">
        <f>IFERROR(__xludf.DUMMYFUNCTION("""COMPUTED_VALUE"""),1490574.0)</f>
        <v>1490574</v>
      </c>
      <c r="C10347" t="str">
        <f>IFERROR(__xludf.DUMMYFUNCTION("""COMPUTED_VALUE"""),"DAX Power Pivot - 10 Easy Steps for Intermediates")</f>
        <v>DAX Power Pivot - 10 Easy Steps for Intermediates</v>
      </c>
    </row>
    <row r="10348">
      <c r="A10348" s="140" t="str">
        <f>IFERROR(__xludf.DUMMYFUNCTION("""COMPUTED_VALUE"""),"en")</f>
        <v>en</v>
      </c>
      <c r="B10348">
        <f>IFERROR(__xludf.DUMMYFUNCTION("""COMPUTED_VALUE"""),2731322.0)</f>
        <v>2731322</v>
      </c>
      <c r="C10348" t="str">
        <f>IFERROR(__xludf.DUMMYFUNCTION("""COMPUTED_VALUE"""),"Resolving Conflicts and Improving Relationships")</f>
        <v>Resolving Conflicts and Improving Relationships</v>
      </c>
    </row>
    <row r="10349">
      <c r="A10349" s="140" t="str">
        <f>IFERROR(__xludf.DUMMYFUNCTION("""COMPUTED_VALUE"""),"pt")</f>
        <v>pt</v>
      </c>
      <c r="B10349">
        <f>IFERROR(__xludf.DUMMYFUNCTION("""COMPUTED_VALUE"""),1567748.0)</f>
        <v>1567748</v>
      </c>
      <c r="C10349" t="str">
        <f>IFERROR(__xludf.DUMMYFUNCTION("""COMPUTED_VALUE"""),"SQL Server Developer Tuning. Querys com máximo desempenho.")</f>
        <v>SQL Server Developer Tuning. Querys com máximo desempenho.</v>
      </c>
    </row>
    <row r="10350">
      <c r="A10350" s="140" t="str">
        <f>IFERROR(__xludf.DUMMYFUNCTION("""COMPUTED_VALUE"""),"en")</f>
        <v>en</v>
      </c>
      <c r="B10350">
        <f>IFERROR(__xludf.DUMMYFUNCTION("""COMPUTED_VALUE"""),4303293.0)</f>
        <v>4303293</v>
      </c>
      <c r="C10350" t="str">
        <f>IFERROR(__xludf.DUMMYFUNCTION("""COMPUTED_VALUE"""),"Introduction to Containers - One Hour Crash Course")</f>
        <v>Introduction to Containers - One Hour Crash Course</v>
      </c>
    </row>
    <row r="10351">
      <c r="A10351" s="140" t="str">
        <f>IFERROR(__xludf.DUMMYFUNCTION("""COMPUTED_VALUE"""),"en")</f>
        <v>en</v>
      </c>
      <c r="B10351">
        <f>IFERROR(__xludf.DUMMYFUNCTION("""COMPUTED_VALUE"""),1742006.0)</f>
        <v>1742006</v>
      </c>
      <c r="C10351" t="str">
        <f>IFERROR(__xludf.DUMMYFUNCTION("""COMPUTED_VALUE"""),"All You Need to Know About REST Integration In ServiceNow")</f>
        <v>All You Need to Know About REST Integration In ServiceNow</v>
      </c>
    </row>
    <row r="10352">
      <c r="A10352" s="140" t="str">
        <f>IFERROR(__xludf.DUMMYFUNCTION("""COMPUTED_VALUE"""),"ja")</f>
        <v>ja</v>
      </c>
      <c r="B10352">
        <f>IFERROR(__xludf.DUMMYFUNCTION("""COMPUTED_VALUE"""),1586352.0)</f>
        <v>1586352</v>
      </c>
      <c r="C10352" t="str">
        <f>IFERROR(__xludf.DUMMYFUNCTION("""COMPUTED_VALUE"""),"【更新：2020/06/08】【SEO対策 入門講座】Google検索でWebサイトを上位表示させるための基礎コース")</f>
        <v>【更新：2020/06/08】【SEO対策 入門講座】Google検索でWebサイトを上位表示させるための基礎コース</v>
      </c>
    </row>
    <row r="10353">
      <c r="A10353" s="140" t="str">
        <f>IFERROR(__xludf.DUMMYFUNCTION("""COMPUTED_VALUE"""),"en")</f>
        <v>en</v>
      </c>
      <c r="B10353">
        <f>IFERROR(__xludf.DUMMYFUNCTION("""COMPUTED_VALUE"""),949846.0)</f>
        <v>949846</v>
      </c>
      <c r="C10353" t="str">
        <f>IFERROR(__xludf.DUMMYFUNCTION("""COMPUTED_VALUE"""),"3 Minute French - Course 1 | Language lessons for beginners")</f>
        <v>3 Minute French - Course 1 | Language lessons for beginners</v>
      </c>
    </row>
    <row r="10354">
      <c r="A10354" s="140" t="str">
        <f>IFERROR(__xludf.DUMMYFUNCTION("""COMPUTED_VALUE"""),"de")</f>
        <v>de</v>
      </c>
      <c r="B10354">
        <f>IFERROR(__xludf.DUMMYFUNCTION("""COMPUTED_VALUE"""),1021794.0)</f>
        <v>1021794</v>
      </c>
      <c r="C10354" t="str">
        <f>IFERROR(__xludf.DUMMYFUNCTION("""COMPUTED_VALUE"""),"Scrum außerhalb der IT: Grundlagen, Tipps und agile Tools")</f>
        <v>Scrum außerhalb der IT: Grundlagen, Tipps und agile Tools</v>
      </c>
    </row>
    <row r="10355">
      <c r="A10355" s="140" t="str">
        <f>IFERROR(__xludf.DUMMYFUNCTION("""COMPUTED_VALUE"""),"tr")</f>
        <v>tr</v>
      </c>
      <c r="B10355">
        <f>IFERROR(__xludf.DUMMYFUNCTION("""COMPUTED_VALUE"""),3708800.0)</f>
        <v>3708800</v>
      </c>
      <c r="C10355" t="str">
        <f>IFERROR(__xludf.DUMMYFUNCTION("""COMPUTED_VALUE"""),"A1-A2 TEMEL SEVİYE İNGİLİZCE Kursu | Tüm Konular ve Yapılar")</f>
        <v>A1-A2 TEMEL SEVİYE İNGİLİZCE Kursu | Tüm Konular ve Yapılar</v>
      </c>
    </row>
    <row r="10356">
      <c r="A10356" s="140" t="str">
        <f>IFERROR(__xludf.DUMMYFUNCTION("""COMPUTED_VALUE"""),"tr")</f>
        <v>tr</v>
      </c>
      <c r="B10356">
        <f>IFERROR(__xludf.DUMMYFUNCTION("""COMPUTED_VALUE"""),3811412.0)</f>
        <v>3811412</v>
      </c>
      <c r="C10356" t="str">
        <f>IFERROR(__xludf.DUMMYFUNCTION("""COMPUTED_VALUE"""),"Power BI ile Etkin İş Analitiği")</f>
        <v>Power BI ile Etkin İş Analitiği</v>
      </c>
    </row>
    <row r="10357">
      <c r="A10357" s="140" t="str">
        <f>IFERROR(__xludf.DUMMYFUNCTION("""COMPUTED_VALUE"""),"ko")</f>
        <v>ko</v>
      </c>
      <c r="B10357">
        <f>IFERROR(__xludf.DUMMYFUNCTION("""COMPUTED_VALUE"""),3162564.0)</f>
        <v>3162564</v>
      </c>
      <c r="C10357" t="str">
        <f>IFERROR(__xludf.DUMMYFUNCTION("""COMPUTED_VALUE"""),"아빠가 들려주는 [효율적인 글쓰기]")</f>
        <v>아빠가 들려주는 [효율적인 글쓰기]</v>
      </c>
    </row>
    <row r="10358">
      <c r="A10358" s="140" t="str">
        <f>IFERROR(__xludf.DUMMYFUNCTION("""COMPUTED_VALUE"""),"ja")</f>
        <v>ja</v>
      </c>
      <c r="B10358">
        <f>IFERROR(__xludf.DUMMYFUNCTION("""COMPUTED_VALUE"""),2508650.0)</f>
        <v>2508650</v>
      </c>
      <c r="C10358" t="str">
        <f>IFERROR(__xludf.DUMMYFUNCTION("""COMPUTED_VALUE"""),"ITパスポート試験 + 情報セキュリティマネジメント試験　講義＆過去問解説")</f>
        <v>ITパスポート試験 + 情報セキュリティマネジメント試験　講義＆過去問解説</v>
      </c>
    </row>
    <row r="10359">
      <c r="A10359" s="140" t="str">
        <f>IFERROR(__xludf.DUMMYFUNCTION("""COMPUTED_VALUE"""),"en")</f>
        <v>en</v>
      </c>
      <c r="B10359">
        <f>IFERROR(__xludf.DUMMYFUNCTION("""COMPUTED_VALUE"""),1937920.0)</f>
        <v>1937920</v>
      </c>
      <c r="C10359" t="str">
        <f>IFERROR(__xludf.DUMMYFUNCTION("""COMPUTED_VALUE"""),"Rigging and Recording in Adobe Character Animator")</f>
        <v>Rigging and Recording in Adobe Character Animator</v>
      </c>
    </row>
    <row r="10360">
      <c r="A10360" s="140" t="str">
        <f>IFERROR(__xludf.DUMMYFUNCTION("""COMPUTED_VALUE"""),"en")</f>
        <v>en</v>
      </c>
      <c r="B10360">
        <f>IFERROR(__xludf.DUMMYFUNCTION("""COMPUTED_VALUE"""),2685124.0)</f>
        <v>2685124</v>
      </c>
      <c r="C10360" t="str">
        <f>IFERROR(__xludf.DUMMYFUNCTION("""COMPUTED_VALUE"""),"The Modern Angular Bootcamp")</f>
        <v>The Modern Angular Bootcamp</v>
      </c>
    </row>
    <row r="10361">
      <c r="A10361" s="140" t="str">
        <f>IFERROR(__xludf.DUMMYFUNCTION("""COMPUTED_VALUE"""),"en")</f>
        <v>en</v>
      </c>
      <c r="B10361">
        <f>IFERROR(__xludf.DUMMYFUNCTION("""COMPUTED_VALUE"""),2326226.0)</f>
        <v>2326226</v>
      </c>
      <c r="C10361" t="str">
        <f>IFERROR(__xludf.DUMMYFUNCTION("""COMPUTED_VALUE"""),"Learn JMeter - Performance &amp; API Testing")</f>
        <v>Learn JMeter - Performance &amp; API Testing</v>
      </c>
    </row>
    <row r="10362">
      <c r="A10362" s="140" t="str">
        <f>IFERROR(__xludf.DUMMYFUNCTION("""COMPUTED_VALUE"""),"en")</f>
        <v>en</v>
      </c>
      <c r="B10362">
        <f>IFERROR(__xludf.DUMMYFUNCTION("""COMPUTED_VALUE"""),3046596.0)</f>
        <v>3046596</v>
      </c>
      <c r="C10362" t="str">
        <f>IFERROR(__xludf.DUMMYFUNCTION("""COMPUTED_VALUE"""),"JAMStack: The Complete Guide")</f>
        <v>JAMStack: The Complete Guide</v>
      </c>
    </row>
    <row r="10363">
      <c r="A10363" s="140" t="str">
        <f>IFERROR(__xludf.DUMMYFUNCTION("""COMPUTED_VALUE"""),"en")</f>
        <v>en</v>
      </c>
      <c r="B10363">
        <f>IFERROR(__xludf.DUMMYFUNCTION("""COMPUTED_VALUE"""),2145336.0)</f>
        <v>2145336</v>
      </c>
      <c r="C10363" t="str">
        <f>IFERROR(__xludf.DUMMYFUNCTION("""COMPUTED_VALUE"""),"Learn API &amp; Microservices Testing")</f>
        <v>Learn API &amp; Microservices Testing</v>
      </c>
    </row>
    <row r="10364">
      <c r="A10364" s="140" t="str">
        <f>IFERROR(__xludf.DUMMYFUNCTION("""COMPUTED_VALUE"""),"en")</f>
        <v>en</v>
      </c>
      <c r="B10364">
        <f>IFERROR(__xludf.DUMMYFUNCTION("""COMPUTED_VALUE"""),1408944.0)</f>
        <v>1408944</v>
      </c>
      <c r="C10364" t="str">
        <f>IFERROR(__xludf.DUMMYFUNCTION("""COMPUTED_VALUE"""),"Agile Transformation and Scaled Agile")</f>
        <v>Agile Transformation and Scaled Agile</v>
      </c>
    </row>
    <row r="10365">
      <c r="A10365" s="140" t="str">
        <f>IFERROR(__xludf.DUMMYFUNCTION("""COMPUTED_VALUE"""),"en")</f>
        <v>en</v>
      </c>
      <c r="B10365">
        <f>IFERROR(__xludf.DUMMYFUNCTION("""COMPUTED_VALUE"""),2196488.0)</f>
        <v>2196488</v>
      </c>
      <c r="C10365" t="str">
        <f>IFERROR(__xludf.DUMMYFUNCTION("""COMPUTED_VALUE"""),"Ultimate AWS Certified Solutions Architect Associate 2021")</f>
        <v>Ultimate AWS Certified Solutions Architect Associate 2021</v>
      </c>
    </row>
    <row r="10366">
      <c r="A10366" s="140" t="str">
        <f>IFERROR(__xludf.DUMMYFUNCTION("""COMPUTED_VALUE"""),"en")</f>
        <v>en</v>
      </c>
      <c r="B10366">
        <f>IFERROR(__xludf.DUMMYFUNCTION("""COMPUTED_VALUE"""),86332.0)</f>
        <v>86332</v>
      </c>
      <c r="C10366" t="str">
        <f>IFERROR(__xludf.DUMMYFUNCTION("""COMPUTED_VALUE"""),"Statistics/Data Analysis with SPSS: Descriptive Statistics")</f>
        <v>Statistics/Data Analysis with SPSS: Descriptive Statistics</v>
      </c>
    </row>
    <row r="10367">
      <c r="A10367" s="140" t="str">
        <f>IFERROR(__xludf.DUMMYFUNCTION("""COMPUTED_VALUE"""),"en")</f>
        <v>en</v>
      </c>
      <c r="B10367">
        <f>IFERROR(__xludf.DUMMYFUNCTION("""COMPUTED_VALUE"""),2565178.0)</f>
        <v>2565178</v>
      </c>
      <c r="C10367" t="str">
        <f>IFERROR(__xludf.DUMMYFUNCTION("""COMPUTED_VALUE"""),"Docker: A Beginner's Guide From Container To Swarm")</f>
        <v>Docker: A Beginner's Guide From Container To Swarm</v>
      </c>
    </row>
    <row r="10368">
      <c r="A10368" s="140" t="str">
        <f>IFERROR(__xludf.DUMMYFUNCTION("""COMPUTED_VALUE"""),"es")</f>
        <v>es</v>
      </c>
      <c r="B10368">
        <f>IFERROR(__xludf.DUMMYFUNCTION("""COMPUTED_VALUE"""),1691850.0)</f>
        <v>1691850</v>
      </c>
      <c r="C10368" t="str">
        <f>IFERROR(__xludf.DUMMYFUNCTION("""COMPUTED_VALUE"""),"Aprende Linux desde lo básico a shell script")</f>
        <v>Aprende Linux desde lo básico a shell script</v>
      </c>
    </row>
    <row r="10369">
      <c r="A10369" s="140" t="str">
        <f>IFERROR(__xludf.DUMMYFUNCTION("""COMPUTED_VALUE"""),"fr")</f>
        <v>fr</v>
      </c>
      <c r="B10369">
        <f>IFERROR(__xludf.DUMMYFUNCTION("""COMPUTED_VALUE"""),3359212.0)</f>
        <v>3359212</v>
      </c>
      <c r="C10369" t="str">
        <f>IFERROR(__xludf.DUMMYFUNCTION("""COMPUTED_VALUE"""),"Le Guide Ultime du marketing sur Pinterest en 2021")</f>
        <v>Le Guide Ultime du marketing sur Pinterest en 2021</v>
      </c>
    </row>
    <row r="10370">
      <c r="A10370" s="140" t="str">
        <f>IFERROR(__xludf.DUMMYFUNCTION("""COMPUTED_VALUE"""),"en")</f>
        <v>en</v>
      </c>
      <c r="B10370">
        <f>IFERROR(__xludf.DUMMYFUNCTION("""COMPUTED_VALUE"""),1256544.0)</f>
        <v>1256544</v>
      </c>
      <c r="C10370" t="str">
        <f>IFERROR(__xludf.DUMMYFUNCTION("""COMPUTED_VALUE"""),"Beginner's Guide to Elm Programming. Build Web Apps!")</f>
        <v>Beginner's Guide to Elm Programming. Build Web Apps!</v>
      </c>
    </row>
    <row r="10371">
      <c r="A10371" s="140" t="str">
        <f>IFERROR(__xludf.DUMMYFUNCTION("""COMPUTED_VALUE"""),"tr")</f>
        <v>tr</v>
      </c>
      <c r="B10371">
        <f>IFERROR(__xludf.DUMMYFUNCTION("""COMPUTED_VALUE"""),3426006.0)</f>
        <v>3426006</v>
      </c>
      <c r="C10371" t="str">
        <f>IFERROR(__xludf.DUMMYFUNCTION("""COMPUTED_VALUE"""),"Topluluk Önünde Konuşma ve Etkili Sunum Sanatı")</f>
        <v>Topluluk Önünde Konuşma ve Etkili Sunum Sanatı</v>
      </c>
    </row>
    <row r="10372">
      <c r="A10372" s="140" t="str">
        <f>IFERROR(__xludf.DUMMYFUNCTION("""COMPUTED_VALUE"""),"en")</f>
        <v>en</v>
      </c>
      <c r="B10372">
        <f>IFERROR(__xludf.DUMMYFUNCTION("""COMPUTED_VALUE"""),819920.0)</f>
        <v>819920</v>
      </c>
      <c r="C10372" t="str">
        <f>IFERROR(__xludf.DUMMYFUNCTION("""COMPUTED_VALUE"""),"Mac Keynote: Creating Presentations On Your Mac")</f>
        <v>Mac Keynote: Creating Presentations On Your Mac</v>
      </c>
    </row>
    <row r="10373">
      <c r="A10373" s="140" t="str">
        <f>IFERROR(__xludf.DUMMYFUNCTION("""COMPUTED_VALUE"""),"en")</f>
        <v>en</v>
      </c>
      <c r="B10373">
        <f>IFERROR(__xludf.DUMMYFUNCTION("""COMPUTED_VALUE"""),1295342.0)</f>
        <v>1295342</v>
      </c>
      <c r="C10373" t="str">
        <f>IFERROR(__xludf.DUMMYFUNCTION("""COMPUTED_VALUE"""),"Ultimate Ableton Live 9 Complete: Parts 4, 5, &amp; 6")</f>
        <v>Ultimate Ableton Live 9 Complete: Parts 4, 5, &amp; 6</v>
      </c>
    </row>
    <row r="10374">
      <c r="A10374" s="140" t="str">
        <f>IFERROR(__xludf.DUMMYFUNCTION("""COMPUTED_VALUE"""),"de")</f>
        <v>de</v>
      </c>
      <c r="B10374">
        <f>IFERROR(__xludf.DUMMYFUNCTION("""COMPUTED_VALUE"""),2365286.0)</f>
        <v>2365286</v>
      </c>
      <c r="C10374" t="str">
        <f>IFERROR(__xludf.DUMMYFUNCTION("""COMPUTED_VALUE"""),"Die komplette Unity &amp; C# Masterclass - Entwickle 5 Spiele")</f>
        <v>Die komplette Unity &amp; C# Masterclass - Entwickle 5 Spiele</v>
      </c>
    </row>
    <row r="10375">
      <c r="A10375" s="140" t="str">
        <f>IFERROR(__xludf.DUMMYFUNCTION("""COMPUTED_VALUE"""),"en")</f>
        <v>en</v>
      </c>
      <c r="B10375">
        <f>IFERROR(__xludf.DUMMYFUNCTION("""COMPUTED_VALUE"""),1137736.0)</f>
        <v>1137736</v>
      </c>
      <c r="C10375" t="str">
        <f>IFERROR(__xludf.DUMMYFUNCTION("""COMPUTED_VALUE"""),"Mathematica for healthcare and life science statistics")</f>
        <v>Mathematica for healthcare and life science statistics</v>
      </c>
    </row>
    <row r="10376">
      <c r="A10376" s="140" t="str">
        <f>IFERROR(__xludf.DUMMYFUNCTION("""COMPUTED_VALUE"""),"en")</f>
        <v>en</v>
      </c>
      <c r="B10376">
        <f>IFERROR(__xludf.DUMMYFUNCTION("""COMPUTED_VALUE"""),404944.0)</f>
        <v>404944</v>
      </c>
      <c r="C10376" t="str">
        <f>IFERROR(__xludf.DUMMYFUNCTION("""COMPUTED_VALUE"""),"Innovation Master Class")</f>
        <v>Innovation Master Class</v>
      </c>
    </row>
    <row r="10377">
      <c r="A10377" s="140" t="str">
        <f>IFERROR(__xludf.DUMMYFUNCTION("""COMPUTED_VALUE"""),"ja")</f>
        <v>ja</v>
      </c>
      <c r="B10377">
        <f>IFERROR(__xludf.DUMMYFUNCTION("""COMPUTED_VALUE"""),2421448.0)</f>
        <v>2421448</v>
      </c>
      <c r="C10377" t="str">
        <f>IFERROR(__xludf.DUMMYFUNCTION("""COMPUTED_VALUE"""),"はじめてのPython3。経験0からGUIアプリケーションを作れるまでの基礎力を！")</f>
        <v>はじめてのPython3。経験0からGUIアプリケーションを作れるまでの基礎力を！</v>
      </c>
    </row>
    <row r="10378">
      <c r="A10378" s="140" t="str">
        <f>IFERROR(__xludf.DUMMYFUNCTION("""COMPUTED_VALUE"""),"en")</f>
        <v>en</v>
      </c>
      <c r="B10378">
        <f>IFERROR(__xludf.DUMMYFUNCTION("""COMPUTED_VALUE"""),1051430.0)</f>
        <v>1051430</v>
      </c>
      <c r="C10378" t="str">
        <f>IFERROR(__xludf.DUMMYFUNCTION("""COMPUTED_VALUE"""),"Accounting: Learn Everything!")</f>
        <v>Accounting: Learn Everything!</v>
      </c>
    </row>
    <row r="10379">
      <c r="A10379" s="140" t="str">
        <f>IFERROR(__xludf.DUMMYFUNCTION("""COMPUTED_VALUE"""),"en")</f>
        <v>en</v>
      </c>
      <c r="B10379">
        <f>IFERROR(__xludf.DUMMYFUNCTION("""COMPUTED_VALUE"""),3556979.0)</f>
        <v>3556979</v>
      </c>
      <c r="C10379" t="str">
        <f>IFERROR(__xludf.DUMMYFUNCTION("""COMPUTED_VALUE"""),"AWS Business Essentials - The Business Value of Amazon AWS")</f>
        <v>AWS Business Essentials - The Business Value of Amazon AWS</v>
      </c>
    </row>
    <row r="10380">
      <c r="A10380" s="140" t="str">
        <f>IFERROR(__xludf.DUMMYFUNCTION("""COMPUTED_VALUE"""),"ko")</f>
        <v>ko</v>
      </c>
      <c r="B10380">
        <f>IFERROR(__xludf.DUMMYFUNCTION("""COMPUTED_VALUE"""),4251768.0)</f>
        <v>4251768</v>
      </c>
      <c r="C10380" t="str">
        <f>IFERROR(__xludf.DUMMYFUNCTION("""COMPUTED_VALUE"""),"[더나은삶TV] 개쉽지만 개쓸모있는 국민기초회계")</f>
        <v>[더나은삶TV] 개쉽지만 개쓸모있는 국민기초회계</v>
      </c>
    </row>
    <row r="10381">
      <c r="A10381" s="140" t="str">
        <f>IFERROR(__xludf.DUMMYFUNCTION("""COMPUTED_VALUE"""),"de")</f>
        <v>de</v>
      </c>
      <c r="B10381">
        <f>IFERROR(__xludf.DUMMYFUNCTION("""COMPUTED_VALUE"""),1247928.0)</f>
        <v>1247928</v>
      </c>
      <c r="C10381" t="str">
        <f>IFERROR(__xludf.DUMMYFUNCTION("""COMPUTED_VALUE"""),"Bitcoin und Kryptowährungen kaufen und verkaufen - So gehts!")</f>
        <v>Bitcoin und Kryptowährungen kaufen und verkaufen - So gehts!</v>
      </c>
    </row>
    <row r="10382">
      <c r="A10382" s="140" t="str">
        <f>IFERROR(__xludf.DUMMYFUNCTION("""COMPUTED_VALUE"""),"en")</f>
        <v>en</v>
      </c>
      <c r="B10382">
        <f>IFERROR(__xludf.DUMMYFUNCTION("""COMPUTED_VALUE"""),816772.0)</f>
        <v>816772</v>
      </c>
      <c r="C10382" t="str">
        <f>IFERROR(__xludf.DUMMYFUNCTION("""COMPUTED_VALUE"""),"Make a low poly scene in Blender and Unity in 30 minutes")</f>
        <v>Make a low poly scene in Blender and Unity in 30 minutes</v>
      </c>
    </row>
    <row r="10383">
      <c r="A10383" s="140" t="str">
        <f>IFERROR(__xludf.DUMMYFUNCTION("""COMPUTED_VALUE"""),"es")</f>
        <v>es</v>
      </c>
      <c r="B10383">
        <f>IFERROR(__xludf.DUMMYFUNCTION("""COMPUTED_VALUE"""),1766820.0)</f>
        <v>1766820</v>
      </c>
      <c r="C10383" t="str">
        <f>IFERROR(__xludf.DUMMYFUNCTION("""COMPUTED_VALUE"""),"Entrena tu cerebro y tu mente con mindfulness")</f>
        <v>Entrena tu cerebro y tu mente con mindfulness</v>
      </c>
    </row>
    <row r="10384">
      <c r="A10384" s="140" t="str">
        <f>IFERROR(__xludf.DUMMYFUNCTION("""COMPUTED_VALUE"""),"en")</f>
        <v>en</v>
      </c>
      <c r="B10384">
        <f>IFERROR(__xludf.DUMMYFUNCTION("""COMPUTED_VALUE"""),3191470.0)</f>
        <v>3191470</v>
      </c>
      <c r="C10384" t="str">
        <f>IFERROR(__xludf.DUMMYFUNCTION("""COMPUTED_VALUE"""),"Build Timesheet Solution with PowerApps &amp; SharePoint")</f>
        <v>Build Timesheet Solution with PowerApps &amp; SharePoint</v>
      </c>
    </row>
    <row r="10385">
      <c r="A10385" s="140" t="str">
        <f>IFERROR(__xludf.DUMMYFUNCTION("""COMPUTED_VALUE"""),"en")</f>
        <v>en</v>
      </c>
      <c r="B10385">
        <f>IFERROR(__xludf.DUMMYFUNCTION("""COMPUTED_VALUE"""),1319770.0)</f>
        <v>1319770</v>
      </c>
      <c r="C10385" t="str">
        <f>IFERROR(__xludf.DUMMYFUNCTION("""COMPUTED_VALUE"""),"Design Patterns in Modern C++")</f>
        <v>Design Patterns in Modern C++</v>
      </c>
    </row>
    <row r="10386">
      <c r="A10386" s="140" t="str">
        <f>IFERROR(__xludf.DUMMYFUNCTION("""COMPUTED_VALUE"""),"en")</f>
        <v>en</v>
      </c>
      <c r="B10386">
        <f>IFERROR(__xludf.DUMMYFUNCTION("""COMPUTED_VALUE"""),2348756.0)</f>
        <v>2348756</v>
      </c>
      <c r="C10386" t="str">
        <f>IFERROR(__xludf.DUMMYFUNCTION("""COMPUTED_VALUE"""),"Design Patterns for Game Programming")</f>
        <v>Design Patterns for Game Programming</v>
      </c>
    </row>
    <row r="10387">
      <c r="A10387" s="140" t="str">
        <f>IFERROR(__xludf.DUMMYFUNCTION("""COMPUTED_VALUE"""),"en")</f>
        <v>en</v>
      </c>
      <c r="B10387">
        <f>IFERROR(__xludf.DUMMYFUNCTION("""COMPUTED_VALUE"""),4064176.0)</f>
        <v>4064176</v>
      </c>
      <c r="C10387" t="str">
        <f>IFERROR(__xludf.DUMMYFUNCTION("""COMPUTED_VALUE"""),"SQL for Tech and Data Science Interviews")</f>
        <v>SQL for Tech and Data Science Interviews</v>
      </c>
    </row>
    <row r="10388">
      <c r="A10388" s="140" t="str">
        <f>IFERROR(__xludf.DUMMYFUNCTION("""COMPUTED_VALUE"""),"en")</f>
        <v>en</v>
      </c>
      <c r="B10388">
        <f>IFERROR(__xludf.DUMMYFUNCTION("""COMPUTED_VALUE"""),2381730.0)</f>
        <v>2381730</v>
      </c>
      <c r="C10388" t="str">
        <f>IFERROR(__xludf.DUMMYFUNCTION("""COMPUTED_VALUE"""),"COMPLETE Creative Writing - All Genres - THE FULL COURSE!")</f>
        <v>COMPLETE Creative Writing - All Genres - THE FULL COURSE!</v>
      </c>
    </row>
    <row r="10389">
      <c r="A10389" s="140" t="str">
        <f>IFERROR(__xludf.DUMMYFUNCTION("""COMPUTED_VALUE"""),"en")</f>
        <v>en</v>
      </c>
      <c r="B10389">
        <f>IFERROR(__xludf.DUMMYFUNCTION("""COMPUTED_VALUE"""),1893402.0)</f>
        <v>1893402</v>
      </c>
      <c r="C10389" t="str">
        <f>IFERROR(__xludf.DUMMYFUNCTION("""COMPUTED_VALUE"""),"Beginner Spanish: Practical Tools for Everyday Interactions")</f>
        <v>Beginner Spanish: Practical Tools for Everyday Interactions</v>
      </c>
    </row>
    <row r="10390">
      <c r="A10390" s="140" t="str">
        <f>IFERROR(__xludf.DUMMYFUNCTION("""COMPUTED_VALUE"""),"de")</f>
        <v>de</v>
      </c>
      <c r="B10390">
        <f>IFERROR(__xludf.DUMMYFUNCTION("""COMPUTED_VALUE"""),3856436.0)</f>
        <v>3856436</v>
      </c>
      <c r="C10390" t="str">
        <f>IFERROR(__xludf.DUMMYFUNCTION("""COMPUTED_VALUE"""),"Machine Learning vom Anfänger zum ML Engineer")</f>
        <v>Machine Learning vom Anfänger zum ML Engineer</v>
      </c>
    </row>
    <row r="10391">
      <c r="A10391" s="140" t="str">
        <f>IFERROR(__xludf.DUMMYFUNCTION("""COMPUTED_VALUE"""),"es")</f>
        <v>es</v>
      </c>
      <c r="B10391">
        <f>IFERROR(__xludf.DUMMYFUNCTION("""COMPUTED_VALUE"""),2369754.0)</f>
        <v>2369754</v>
      </c>
      <c r="C10391" t="str">
        <f>IFERROR(__xludf.DUMMYFUNCTION("""COMPUTED_VALUE"""),"PROGRAMA DE REDUCCIÓN DE ESTRÉS BASADO EN MINDFULNESS")</f>
        <v>PROGRAMA DE REDUCCIÓN DE ESTRÉS BASADO EN MINDFULNESS</v>
      </c>
    </row>
    <row r="10392">
      <c r="A10392" s="140" t="str">
        <f>IFERROR(__xludf.DUMMYFUNCTION("""COMPUTED_VALUE"""),"en")</f>
        <v>en</v>
      </c>
      <c r="B10392">
        <f>IFERROR(__xludf.DUMMYFUNCTION("""COMPUTED_VALUE"""),2240978.0)</f>
        <v>2240978</v>
      </c>
      <c r="C10392" t="str">
        <f>IFERROR(__xludf.DUMMYFUNCTION("""COMPUTED_VALUE"""),"Disciplined Dreaming: Lead Breakthrough Creativity at Work")</f>
        <v>Disciplined Dreaming: Lead Breakthrough Creativity at Work</v>
      </c>
    </row>
    <row r="10393">
      <c r="A10393" s="140" t="str">
        <f>IFERROR(__xludf.DUMMYFUNCTION("""COMPUTED_VALUE"""),"pt")</f>
        <v>pt</v>
      </c>
      <c r="B10393">
        <f>IFERROR(__xludf.DUMMYFUNCTION("""COMPUTED_VALUE"""),1784860.0)</f>
        <v>1784860</v>
      </c>
      <c r="C10393" t="str">
        <f>IFERROR(__xludf.DUMMYFUNCTION("""COMPUTED_VALUE"""),"Formação Completa no AutoCAD 2D e 3D")</f>
        <v>Formação Completa no AutoCAD 2D e 3D</v>
      </c>
    </row>
    <row r="10394">
      <c r="A10394" s="140" t="str">
        <f>IFERROR(__xludf.DUMMYFUNCTION("""COMPUTED_VALUE"""),"ja")</f>
        <v>ja</v>
      </c>
      <c r="B10394">
        <f>IFERROR(__xludf.DUMMYFUNCTION("""COMPUTED_VALUE"""),3090794.0)</f>
        <v>3090794</v>
      </c>
      <c r="C10394" t="str">
        <f>IFERROR(__xludf.DUMMYFUNCTION("""COMPUTED_VALUE"""),"Final Cut Pro X 基本マスターコース")</f>
        <v>Final Cut Pro X 基本マスターコース</v>
      </c>
    </row>
    <row r="10395">
      <c r="A10395" s="140" t="str">
        <f>IFERROR(__xludf.DUMMYFUNCTION("""COMPUTED_VALUE"""),"en")</f>
        <v>en</v>
      </c>
      <c r="B10395">
        <f>IFERROR(__xludf.DUMMYFUNCTION("""COMPUTED_VALUE"""),1680944.0)</f>
        <v>1680944</v>
      </c>
      <c r="C10395" t="str">
        <f>IFERROR(__xludf.DUMMYFUNCTION("""COMPUTED_VALUE"""),"Complete Windows Server 2016 Administration Course")</f>
        <v>Complete Windows Server 2016 Administration Course</v>
      </c>
    </row>
    <row r="10396">
      <c r="A10396" s="140" t="str">
        <f>IFERROR(__xludf.DUMMYFUNCTION("""COMPUTED_VALUE"""),"en")</f>
        <v>en</v>
      </c>
      <c r="B10396">
        <f>IFERROR(__xludf.DUMMYFUNCTION("""COMPUTED_VALUE"""),821938.0)</f>
        <v>821938</v>
      </c>
      <c r="C10396" t="str">
        <f>IFERROR(__xludf.DUMMYFUNCTION("""COMPUTED_VALUE"""),"AMAZING Change Management Plan")</f>
        <v>AMAZING Change Management Plan</v>
      </c>
    </row>
    <row r="10397">
      <c r="A10397" s="140" t="str">
        <f>IFERROR(__xludf.DUMMYFUNCTION("""COMPUTED_VALUE"""),"fr")</f>
        <v>fr</v>
      </c>
      <c r="B10397">
        <f>IFERROR(__xludf.DUMMYFUNCTION("""COMPUTED_VALUE"""),3541380.0)</f>
        <v>3541380</v>
      </c>
      <c r="C10397" t="str">
        <f>IFERROR(__xludf.DUMMYFUNCTION("""COMPUTED_VALUE"""),"Développer votre première application Angular (v13)")</f>
        <v>Développer votre première application Angular (v13)</v>
      </c>
    </row>
    <row r="10398">
      <c r="A10398" s="140" t="str">
        <f>IFERROR(__xludf.DUMMYFUNCTION("""COMPUTED_VALUE"""),"en")</f>
        <v>en</v>
      </c>
      <c r="B10398">
        <f>IFERROR(__xludf.DUMMYFUNCTION("""COMPUTED_VALUE"""),3501832.0)</f>
        <v>3501832</v>
      </c>
      <c r="C10398" t="str">
        <f>IFERROR(__xludf.DUMMYFUNCTION("""COMPUTED_VALUE"""),"Mathematical Foundations of Machine Learning")</f>
        <v>Mathematical Foundations of Machine Learning</v>
      </c>
    </row>
    <row r="10399">
      <c r="A10399" s="140" t="str">
        <f>IFERROR(__xludf.DUMMYFUNCTION("""COMPUTED_VALUE"""),"en")</f>
        <v>en</v>
      </c>
      <c r="B10399">
        <f>IFERROR(__xludf.DUMMYFUNCTION("""COMPUTED_VALUE"""),2596422.0)</f>
        <v>2596422</v>
      </c>
      <c r="C10399" t="str">
        <f>IFERROR(__xludf.DUMMYFUNCTION("""COMPUTED_VALUE"""),"Expert Advisor Programming in MQL5 Part 1: Fundamentals")</f>
        <v>Expert Advisor Programming in MQL5 Part 1: Fundamentals</v>
      </c>
    </row>
    <row r="10400">
      <c r="A10400" s="140" t="str">
        <f>IFERROR(__xludf.DUMMYFUNCTION("""COMPUTED_VALUE"""),"pt")</f>
        <v>pt</v>
      </c>
      <c r="B10400">
        <f>IFERROR(__xludf.DUMMYFUNCTION("""COMPUTED_VALUE"""),1252982.0)</f>
        <v>1252982</v>
      </c>
      <c r="C10400" t="str">
        <f>IFERROR(__xludf.DUMMYFUNCTION("""COMPUTED_VALUE"""),"Preparatório Certificação EXIN Cloud Computing Foundation")</f>
        <v>Preparatório Certificação EXIN Cloud Computing Foundation</v>
      </c>
    </row>
    <row r="10401">
      <c r="A10401" s="140" t="str">
        <f>IFERROR(__xludf.DUMMYFUNCTION("""COMPUTED_VALUE"""),"es")</f>
        <v>es</v>
      </c>
      <c r="B10401">
        <f>IFERROR(__xludf.DUMMYFUNCTION("""COMPUTED_VALUE"""),1307416.0)</f>
        <v>1307416</v>
      </c>
      <c r="C10401" t="str">
        <f>IFERROR(__xludf.DUMMYFUNCTION("""COMPUTED_VALUE"""),"Blender 2.9x a 2.7x Curso Profesional + WEB &amp; Unreal Engine")</f>
        <v>Blender 2.9x a 2.7x Curso Profesional + WEB &amp; Unreal Engine</v>
      </c>
    </row>
    <row r="10402">
      <c r="A10402" s="140" t="str">
        <f>IFERROR(__xludf.DUMMYFUNCTION("""COMPUTED_VALUE"""),"fr")</f>
        <v>fr</v>
      </c>
      <c r="B10402">
        <f>IFERROR(__xludf.DUMMYFUNCTION("""COMPUTED_VALUE"""),2135586.0)</f>
        <v>2135586</v>
      </c>
      <c r="C10402" t="str">
        <f>IFERROR(__xludf.DUMMYFUNCTION("""COMPUTED_VALUE"""),"YouTube pour les débutants")</f>
        <v>YouTube pour les débutants</v>
      </c>
    </row>
    <row r="10403">
      <c r="A10403" s="140" t="str">
        <f>IFERROR(__xludf.DUMMYFUNCTION("""COMPUTED_VALUE"""),"en")</f>
        <v>en</v>
      </c>
      <c r="B10403">
        <f>IFERROR(__xludf.DUMMYFUNCTION("""COMPUTED_VALUE"""),2658062.0)</f>
        <v>2658062</v>
      </c>
      <c r="C10403" t="str">
        <f>IFERROR(__xludf.DUMMYFUNCTION("""COMPUTED_VALUE"""),"Publishing Scientific Research")</f>
        <v>Publishing Scientific Research</v>
      </c>
    </row>
    <row r="10404">
      <c r="A10404" s="140" t="str">
        <f>IFERROR(__xludf.DUMMYFUNCTION("""COMPUTED_VALUE"""),"en")</f>
        <v>en</v>
      </c>
      <c r="B10404">
        <f>IFERROR(__xludf.DUMMYFUNCTION("""COMPUTED_VALUE"""),863150.0)</f>
        <v>863150</v>
      </c>
      <c r="C10404" t="str">
        <f>IFERROR(__xludf.DUMMYFUNCTION("""COMPUTED_VALUE"""),"Unreal Engine 4 - Learn to Make a Game Prototype in UE4")</f>
        <v>Unreal Engine 4 - Learn to Make a Game Prototype in UE4</v>
      </c>
    </row>
    <row r="10405">
      <c r="A10405" s="140" t="str">
        <f>IFERROR(__xludf.DUMMYFUNCTION("""COMPUTED_VALUE"""),"es")</f>
        <v>es</v>
      </c>
      <c r="B10405">
        <f>IFERROR(__xludf.DUMMYFUNCTION("""COMPUTED_VALUE"""),2555494.0)</f>
        <v>2555494</v>
      </c>
      <c r="C10405" t="str">
        <f>IFERROR(__xludf.DUMMYFUNCTION("""COMPUTED_VALUE"""),"Curso práctico de Docker y Microservicios (apto para todos)")</f>
        <v>Curso práctico de Docker y Microservicios (apto para todos)</v>
      </c>
    </row>
    <row r="10406">
      <c r="A10406" s="140" t="str">
        <f>IFERROR(__xludf.DUMMYFUNCTION("""COMPUTED_VALUE"""),"en")</f>
        <v>en</v>
      </c>
      <c r="B10406">
        <f>IFERROR(__xludf.DUMMYFUNCTION("""COMPUTED_VALUE"""),984734.0)</f>
        <v>984734</v>
      </c>
      <c r="C10406" t="str">
        <f>IFERROR(__xludf.DUMMYFUNCTION("""COMPUTED_VALUE"""),"Website Hacking / Penetration Testing &amp; Bug Bounty Hunting")</f>
        <v>Website Hacking / Penetration Testing &amp; Bug Bounty Hunting</v>
      </c>
    </row>
    <row r="10407">
      <c r="A10407" s="140" t="str">
        <f>IFERROR(__xludf.DUMMYFUNCTION("""COMPUTED_VALUE"""),"ja")</f>
        <v>ja</v>
      </c>
      <c r="B10407">
        <f>IFERROR(__xludf.DUMMYFUNCTION("""COMPUTED_VALUE"""),3789856.0)</f>
        <v>3789856</v>
      </c>
      <c r="C10407" t="str">
        <f>IFERROR(__xludf.DUMMYFUNCTION("""COMPUTED_VALUE"""),"AIエンジニアが教えるRとtidyverseによるデータの前処理講座")</f>
        <v>AIエンジニアが教えるRとtidyverseによるデータの前処理講座</v>
      </c>
    </row>
    <row r="10408">
      <c r="A10408" s="140" t="str">
        <f>IFERROR(__xludf.DUMMYFUNCTION("""COMPUTED_VALUE"""),"en")</f>
        <v>en</v>
      </c>
      <c r="B10408">
        <f>IFERROR(__xludf.DUMMYFUNCTION("""COMPUTED_VALUE"""),1213952.0)</f>
        <v>1213952</v>
      </c>
      <c r="C10408" t="str">
        <f>IFERROR(__xludf.DUMMYFUNCTION("""COMPUTED_VALUE"""),"Python 3: Deep Dive (Part 1 - Functional)")</f>
        <v>Python 3: Deep Dive (Part 1 - Functional)</v>
      </c>
    </row>
    <row r="10409">
      <c r="A10409" s="140" t="str">
        <f>IFERROR(__xludf.DUMMYFUNCTION("""COMPUTED_VALUE"""),"en")</f>
        <v>en</v>
      </c>
      <c r="B10409">
        <f>IFERROR(__xludf.DUMMYFUNCTION("""COMPUTED_VALUE"""),767016.0)</f>
        <v>767016</v>
      </c>
      <c r="C10409" t="str">
        <f>IFERROR(__xludf.DUMMYFUNCTION("""COMPUTED_VALUE"""),"Mac Numbers: Creating and Using Spreadsheets On Your Mac")</f>
        <v>Mac Numbers: Creating and Using Spreadsheets On Your Mac</v>
      </c>
    </row>
    <row r="10410">
      <c r="A10410" s="140" t="str">
        <f>IFERROR(__xludf.DUMMYFUNCTION("""COMPUTED_VALUE"""),"en")</f>
        <v>en</v>
      </c>
      <c r="B10410">
        <f>IFERROR(__xludf.DUMMYFUNCTION("""COMPUTED_VALUE"""),2608208.0)</f>
        <v>2608208</v>
      </c>
      <c r="C10410" t="str">
        <f>IFERROR(__xludf.DUMMYFUNCTION("""COMPUTED_VALUE"""),"Clear and Simple VMware vSphere 6.7 Foundations")</f>
        <v>Clear and Simple VMware vSphere 6.7 Foundations</v>
      </c>
    </row>
    <row r="10411">
      <c r="A10411" s="140" t="str">
        <f>IFERROR(__xludf.DUMMYFUNCTION("""COMPUTED_VALUE"""),"en")</f>
        <v>en</v>
      </c>
      <c r="B10411">
        <f>IFERROR(__xludf.DUMMYFUNCTION("""COMPUTED_VALUE"""),2257204.0)</f>
        <v>2257204</v>
      </c>
      <c r="C10411" t="str">
        <f>IFERROR(__xludf.DUMMYFUNCTION("""COMPUTED_VALUE"""),"Advanced C# Course : Become a Backend Developer")</f>
        <v>Advanced C# Course : Become a Backend Developer</v>
      </c>
    </row>
    <row r="10412">
      <c r="A10412" s="140" t="str">
        <f>IFERROR(__xludf.DUMMYFUNCTION("""COMPUTED_VALUE"""),"ar")</f>
        <v>ar</v>
      </c>
      <c r="B10412">
        <f>IFERROR(__xludf.DUMMYFUNCTION("""COMPUTED_VALUE"""),2090082.0)</f>
        <v>2090082</v>
      </c>
      <c r="C10412" t="str">
        <f>IFERROR(__xludf.DUMMYFUNCTION("""COMPUTED_VALUE"""),"Power Transformers محولات القدرة الكهربائية")</f>
        <v>Power Transformers محولات القدرة الكهربائية</v>
      </c>
    </row>
    <row r="10413">
      <c r="A10413" s="140" t="str">
        <f>IFERROR(__xludf.DUMMYFUNCTION("""COMPUTED_VALUE"""),"en")</f>
        <v>en</v>
      </c>
      <c r="B10413">
        <f>IFERROR(__xludf.DUMMYFUNCTION("""COMPUTED_VALUE"""),641764.0)</f>
        <v>641764</v>
      </c>
      <c r="C10413" t="str">
        <f>IFERROR(__xludf.DUMMYFUNCTION("""COMPUTED_VALUE"""),"QuickBooks Online for Business: From Setup to Tax Reporting")</f>
        <v>QuickBooks Online for Business: From Setup to Tax Reporting</v>
      </c>
    </row>
    <row r="10414">
      <c r="A10414" s="140" t="str">
        <f>IFERROR(__xludf.DUMMYFUNCTION("""COMPUTED_VALUE"""),"en")</f>
        <v>en</v>
      </c>
      <c r="B10414">
        <f>IFERROR(__xludf.DUMMYFUNCTION("""COMPUTED_VALUE"""),3017386.0)</f>
        <v>3017386</v>
      </c>
      <c r="C10414" t="str">
        <f>IFERROR(__xludf.DUMMYFUNCTION("""COMPUTED_VALUE"""),"MS-500 Microsoft 365 Security Administration Lectures &amp; Sims")</f>
        <v>MS-500 Microsoft 365 Security Administration Lectures &amp; Sims</v>
      </c>
    </row>
    <row r="10415">
      <c r="A10415" s="140" t="str">
        <f>IFERROR(__xludf.DUMMYFUNCTION("""COMPUTED_VALUE"""),"en")</f>
        <v>en</v>
      </c>
      <c r="B10415">
        <f>IFERROR(__xludf.DUMMYFUNCTION("""COMPUTED_VALUE"""),1067692.0)</f>
        <v>1067692</v>
      </c>
      <c r="C10415" t="str">
        <f>IFERROR(__xludf.DUMMYFUNCTION("""COMPUTED_VALUE"""),"Fundamental Data Structures &amp; Algorithms using C language.")</f>
        <v>Fundamental Data Structures &amp; Algorithms using C language.</v>
      </c>
    </row>
    <row r="10416">
      <c r="A10416" s="140" t="str">
        <f>IFERROR(__xludf.DUMMYFUNCTION("""COMPUTED_VALUE"""),"en")</f>
        <v>en</v>
      </c>
      <c r="B10416">
        <f>IFERROR(__xludf.DUMMYFUNCTION("""COMPUTED_VALUE"""),1502458.0)</f>
        <v>1502458</v>
      </c>
      <c r="C10416" t="str">
        <f>IFERROR(__xludf.DUMMYFUNCTION("""COMPUTED_VALUE"""),"Agile PM 102 - What Is The Future of  Agile Project Mgmt?")</f>
        <v>Agile PM 102 - What Is The Future of  Agile Project Mgmt?</v>
      </c>
    </row>
    <row r="10417">
      <c r="A10417" s="140" t="str">
        <f>IFERROR(__xludf.DUMMYFUNCTION("""COMPUTED_VALUE"""),"en")</f>
        <v>en</v>
      </c>
      <c r="B10417">
        <f>IFERROR(__xludf.DUMMYFUNCTION("""COMPUTED_VALUE"""),50735.0)</f>
        <v>50735</v>
      </c>
      <c r="C10417" t="str">
        <f>IFERROR(__xludf.DUMMYFUNCTION("""COMPUTED_VALUE"""),"Google Ads for Beginners")</f>
        <v>Google Ads for Beginners</v>
      </c>
    </row>
    <row r="10418">
      <c r="A10418" s="140" t="str">
        <f>IFERROR(__xludf.DUMMYFUNCTION("""COMPUTED_VALUE"""),"de")</f>
        <v>de</v>
      </c>
      <c r="B10418">
        <f>IFERROR(__xludf.DUMMYFUNCTION("""COMPUTED_VALUE"""),2997908.0)</f>
        <v>2997908</v>
      </c>
      <c r="C10418" t="str">
        <f>IFERROR(__xludf.DUMMYFUNCTION("""COMPUTED_VALUE"""),"Axure RP 9 Fortgeschritten Deutsch")</f>
        <v>Axure RP 9 Fortgeschritten Deutsch</v>
      </c>
    </row>
    <row r="10419">
      <c r="A10419" s="140" t="str">
        <f>IFERROR(__xludf.DUMMYFUNCTION("""COMPUTED_VALUE"""),"en")</f>
        <v>en</v>
      </c>
      <c r="B10419">
        <f>IFERROR(__xludf.DUMMYFUNCTION("""COMPUTED_VALUE"""),2313140.0)</f>
        <v>2313140</v>
      </c>
      <c r="C10419" t="str">
        <f>IFERROR(__xludf.DUMMYFUNCTION("""COMPUTED_VALUE"""),"SDET/Test Architect Essentials -Road to Full stack QA")</f>
        <v>SDET/Test Architect Essentials -Road to Full stack QA</v>
      </c>
    </row>
    <row r="10420">
      <c r="A10420" s="140" t="str">
        <f>IFERROR(__xludf.DUMMYFUNCTION("""COMPUTED_VALUE"""),"en")</f>
        <v>en</v>
      </c>
      <c r="B10420">
        <f>IFERROR(__xludf.DUMMYFUNCTION("""COMPUTED_VALUE"""),2025022.0)</f>
        <v>2025022</v>
      </c>
      <c r="C10420" t="str">
        <f>IFERROR(__xludf.DUMMYFUNCTION("""COMPUTED_VALUE"""),"AWS Essentials - Hands-on Learning")</f>
        <v>AWS Essentials - Hands-on Learning</v>
      </c>
    </row>
    <row r="10421">
      <c r="A10421" s="140" t="str">
        <f>IFERROR(__xludf.DUMMYFUNCTION("""COMPUTED_VALUE"""),"en")</f>
        <v>en</v>
      </c>
      <c r="B10421">
        <f>IFERROR(__xludf.DUMMYFUNCTION("""COMPUTED_VALUE"""),3099688.0)</f>
        <v>3099688</v>
      </c>
      <c r="C10421" t="str">
        <f>IFERROR(__xludf.DUMMYFUNCTION("""COMPUTED_VALUE"""),"Palo Alto Firewall PCNSE Training")</f>
        <v>Palo Alto Firewall PCNSE Training</v>
      </c>
    </row>
    <row r="10422">
      <c r="A10422" s="140" t="str">
        <f>IFERROR(__xludf.DUMMYFUNCTION("""COMPUTED_VALUE"""),"en")</f>
        <v>en</v>
      </c>
      <c r="B10422">
        <f>IFERROR(__xludf.DUMMYFUNCTION("""COMPUTED_VALUE"""),1580246.0)</f>
        <v>1580246</v>
      </c>
      <c r="C10422" t="str">
        <f>IFERROR(__xludf.DUMMYFUNCTION("""COMPUTED_VALUE"""),"ABC of Cisco SD-WAN Viptela Part 2 : POLICY | CLOUD | TSHOOT")</f>
        <v>ABC of Cisco SD-WAN Viptela Part 2 : POLICY | CLOUD | TSHOOT</v>
      </c>
    </row>
    <row r="10423">
      <c r="A10423" s="140" t="str">
        <f>IFERROR(__xludf.DUMMYFUNCTION("""COMPUTED_VALUE"""),"en")</f>
        <v>en</v>
      </c>
      <c r="B10423">
        <f>IFERROR(__xludf.DUMMYFUNCTION("""COMPUTED_VALUE"""),2479964.0)</f>
        <v>2479964</v>
      </c>
      <c r="C10423" t="str">
        <f>IFERROR(__xludf.DUMMYFUNCTION("""COMPUTED_VALUE"""),"Mastering Apache Maven")</f>
        <v>Mastering Apache Maven</v>
      </c>
    </row>
    <row r="10424">
      <c r="A10424" s="140" t="str">
        <f>IFERROR(__xludf.DUMMYFUNCTION("""COMPUTED_VALUE"""),"tr")</f>
        <v>tr</v>
      </c>
      <c r="B10424">
        <f>IFERROR(__xludf.DUMMYFUNCTION("""COMPUTED_VALUE"""),2952222.0)</f>
        <v>2952222</v>
      </c>
      <c r="C10424" t="str">
        <f>IFERROR(__xludf.DUMMYFUNCTION("""COMPUTED_VALUE"""),"Yazılım Test Uzmanlığı Eğitimi: Sıfırdan İleri Seviye")</f>
        <v>Yazılım Test Uzmanlığı Eğitimi: Sıfırdan İleri Seviye</v>
      </c>
    </row>
    <row r="10425">
      <c r="A10425" s="140" t="str">
        <f>IFERROR(__xludf.DUMMYFUNCTION("""COMPUTED_VALUE"""),"en")</f>
        <v>en</v>
      </c>
      <c r="B10425">
        <f>IFERROR(__xludf.DUMMYFUNCTION("""COMPUTED_VALUE"""),2543649.0)</f>
        <v>2543649</v>
      </c>
      <c r="C10425" t="str">
        <f>IFERROR(__xludf.DUMMYFUNCTION("""COMPUTED_VALUE"""),"Google Associate Cloud Engineer: Get Certified 2021")</f>
        <v>Google Associate Cloud Engineer: Get Certified 2021</v>
      </c>
    </row>
    <row r="10426">
      <c r="A10426" s="140" t="str">
        <f>IFERROR(__xludf.DUMMYFUNCTION("""COMPUTED_VALUE"""),"de")</f>
        <v>de</v>
      </c>
      <c r="B10426">
        <f>IFERROR(__xludf.DUMMYFUNCTION("""COMPUTED_VALUE"""),3373002.0)</f>
        <v>3373002</v>
      </c>
      <c r="C10426" t="str">
        <f>IFERROR(__xludf.DUMMYFUNCTION("""COMPUTED_VALUE"""),"NLP Practitioner: Ankern, Chaining, Collapsing Anchors, etc.")</f>
        <v>NLP Practitioner: Ankern, Chaining, Collapsing Anchors, etc.</v>
      </c>
    </row>
    <row r="10427">
      <c r="A10427" s="140" t="str">
        <f>IFERROR(__xludf.DUMMYFUNCTION("""COMPUTED_VALUE"""),"fr")</f>
        <v>fr</v>
      </c>
      <c r="B10427">
        <f>IFERROR(__xludf.DUMMYFUNCTION("""COMPUTED_VALUE"""),1459518.0)</f>
        <v>1459518</v>
      </c>
      <c r="C10427" t="str">
        <f>IFERROR(__xludf.DUMMYFUNCTION("""COMPUTED_VALUE"""),"Devenir papa, pour la première fois!")</f>
        <v>Devenir papa, pour la première fois!</v>
      </c>
    </row>
    <row r="10428">
      <c r="A10428" s="140" t="str">
        <f>IFERROR(__xludf.DUMMYFUNCTION("""COMPUTED_VALUE"""),"en")</f>
        <v>en</v>
      </c>
      <c r="B10428">
        <f>IFERROR(__xludf.DUMMYFUNCTION("""COMPUTED_VALUE"""),2464950.0)</f>
        <v>2464950</v>
      </c>
      <c r="C10428" t="str">
        <f>IFERROR(__xludf.DUMMYFUNCTION("""COMPUTED_VALUE"""),"Medical coding for U.S. healthcare industry")</f>
        <v>Medical coding for U.S. healthcare industry</v>
      </c>
    </row>
    <row r="10429">
      <c r="A10429" s="140" t="str">
        <f>IFERROR(__xludf.DUMMYFUNCTION("""COMPUTED_VALUE"""),"en")</f>
        <v>en</v>
      </c>
      <c r="B10429">
        <f>IFERROR(__xludf.DUMMYFUNCTION("""COMPUTED_VALUE"""),1459346.0)</f>
        <v>1459346</v>
      </c>
      <c r="C10429" t="str">
        <f>IFERROR(__xludf.DUMMYFUNCTION("""COMPUTED_VALUE"""),"Problem-solving and Decision-making for Supervisors")</f>
        <v>Problem-solving and Decision-making for Supervisors</v>
      </c>
    </row>
    <row r="10430">
      <c r="A10430" s="140" t="str">
        <f>IFERROR(__xludf.DUMMYFUNCTION("""COMPUTED_VALUE"""),"de")</f>
        <v>de</v>
      </c>
      <c r="B10430">
        <f>IFERROR(__xludf.DUMMYFUNCTION("""COMPUTED_VALUE"""),1808628.0)</f>
        <v>1808628</v>
      </c>
      <c r="C10430" t="str">
        <f>IFERROR(__xludf.DUMMYFUNCTION("""COMPUTED_VALUE"""),"Das digitale Notizbuch - Microsoft OneNote für Einsteiger")</f>
        <v>Das digitale Notizbuch - Microsoft OneNote für Einsteiger</v>
      </c>
    </row>
    <row r="10431">
      <c r="A10431" s="140" t="str">
        <f>IFERROR(__xludf.DUMMYFUNCTION("""COMPUTED_VALUE"""),"de")</f>
        <v>de</v>
      </c>
      <c r="B10431">
        <f>IFERROR(__xludf.DUMMYFUNCTION("""COMPUTED_VALUE"""),1473804.0)</f>
        <v>1473804</v>
      </c>
      <c r="C10431" t="str">
        <f>IFERROR(__xludf.DUMMYFUNCTION("""COMPUTED_VALUE"""),"Adobe After Effects CC Masterclass — Vom Anfänger zum Profi")</f>
        <v>Adobe After Effects CC Masterclass — Vom Anfänger zum Profi</v>
      </c>
    </row>
    <row r="10432">
      <c r="A10432" s="140" t="str">
        <f>IFERROR(__xludf.DUMMYFUNCTION("""COMPUTED_VALUE"""),"en")</f>
        <v>en</v>
      </c>
      <c r="B10432">
        <f>IFERROR(__xludf.DUMMYFUNCTION("""COMPUTED_VALUE"""),2813427.0)</f>
        <v>2813427</v>
      </c>
      <c r="C10432" t="str">
        <f>IFERROR(__xludf.DUMMYFUNCTION("""COMPUTED_VALUE"""),"Learn DevOps: Docker, Kubernetes, Terraform and Azure DevOps")</f>
        <v>Learn DevOps: Docker, Kubernetes, Terraform and Azure DevOps</v>
      </c>
    </row>
    <row r="10433">
      <c r="A10433" s="140" t="str">
        <f>IFERROR(__xludf.DUMMYFUNCTION("""COMPUTED_VALUE"""),"tr")</f>
        <v>tr</v>
      </c>
      <c r="B10433">
        <f>IFERROR(__xludf.DUMMYFUNCTION("""COMPUTED_VALUE"""),3019496.0)</f>
        <v>3019496</v>
      </c>
      <c r="C10433" t="str">
        <f>IFERROR(__xludf.DUMMYFUNCTION("""COMPUTED_VALUE"""),"İş Yaşamında Proje Yönetimi")</f>
        <v>İş Yaşamında Proje Yönetimi</v>
      </c>
    </row>
    <row r="10434">
      <c r="A10434" s="140" t="str">
        <f>IFERROR(__xludf.DUMMYFUNCTION("""COMPUTED_VALUE"""),"pt")</f>
        <v>pt</v>
      </c>
      <c r="B10434">
        <f>IFERROR(__xludf.DUMMYFUNCTION("""COMPUTED_VALUE"""),2073248.0)</f>
        <v>2073248</v>
      </c>
      <c r="C10434" t="str">
        <f>IFERROR(__xludf.DUMMYFUNCTION("""COMPUTED_VALUE"""),"Certificação Cisco CCNP Route 300-101")</f>
        <v>Certificação Cisco CCNP Route 300-101</v>
      </c>
    </row>
    <row r="10435">
      <c r="A10435" s="140" t="str">
        <f>IFERROR(__xludf.DUMMYFUNCTION("""COMPUTED_VALUE"""),"en")</f>
        <v>en</v>
      </c>
      <c r="B10435">
        <f>IFERROR(__xludf.DUMMYFUNCTION("""COMPUTED_VALUE"""),1572784.0)</f>
        <v>1572784</v>
      </c>
      <c r="C10435" t="str">
        <f>IFERROR(__xludf.DUMMYFUNCTION("""COMPUTED_VALUE"""),"Growing Microgreens for Business and Pleasure")</f>
        <v>Growing Microgreens for Business and Pleasure</v>
      </c>
    </row>
    <row r="10436">
      <c r="A10436" s="140" t="str">
        <f>IFERROR(__xludf.DUMMYFUNCTION("""COMPUTED_VALUE"""),"pt")</f>
        <v>pt</v>
      </c>
      <c r="B10436">
        <f>IFERROR(__xludf.DUMMYFUNCTION("""COMPUTED_VALUE"""),3553593.0)</f>
        <v>3553593</v>
      </c>
      <c r="C10436" t="str">
        <f>IFERROR(__xludf.DUMMYFUNCTION("""COMPUTED_VALUE"""),"Customer Service: Curso de atendimento ao cliente de A a Z")</f>
        <v>Customer Service: Curso de atendimento ao cliente de A a Z</v>
      </c>
    </row>
    <row r="10437">
      <c r="A10437" s="140" t="str">
        <f>IFERROR(__xludf.DUMMYFUNCTION("""COMPUTED_VALUE"""),"ja")</f>
        <v>ja</v>
      </c>
      <c r="B10437">
        <f>IFERROR(__xludf.DUMMYFUNCTION("""COMPUTED_VALUE"""),2230432.0)</f>
        <v>2230432</v>
      </c>
      <c r="C10437" t="str">
        <f>IFERROR(__xludf.DUMMYFUNCTION("""COMPUTED_VALUE"""),"【YOLO v3で実践】ディープラーニングによる物体検出入門")</f>
        <v>【YOLO v3で実践】ディープラーニングによる物体検出入門</v>
      </c>
    </row>
    <row r="10438">
      <c r="A10438" s="140" t="str">
        <f>IFERROR(__xludf.DUMMYFUNCTION("""COMPUTED_VALUE"""),"de")</f>
        <v>de</v>
      </c>
      <c r="B10438">
        <f>IFERROR(__xludf.DUMMYFUNCTION("""COMPUTED_VALUE"""),1111116.0)</f>
        <v>1111116</v>
      </c>
      <c r="C10438" t="str">
        <f>IFERROR(__xludf.DUMMYFUNCTION("""COMPUTED_VALUE"""),"Data Science, Apache Spark &amp; Python: Analysiere echte Daten!")</f>
        <v>Data Science, Apache Spark &amp; Python: Analysiere echte Daten!</v>
      </c>
    </row>
    <row r="10439">
      <c r="A10439" s="140" t="str">
        <f>IFERROR(__xludf.DUMMYFUNCTION("""COMPUTED_VALUE"""),"en")</f>
        <v>en</v>
      </c>
      <c r="B10439">
        <f>IFERROR(__xludf.DUMMYFUNCTION("""COMPUTED_VALUE"""),473548.0)</f>
        <v>473548</v>
      </c>
      <c r="C10439" t="str">
        <f>IFERROR(__xludf.DUMMYFUNCTION("""COMPUTED_VALUE"""),"PHP OOP: Object Oriented Programming for beginners + Project")</f>
        <v>PHP OOP: Object Oriented Programming for beginners + Project</v>
      </c>
    </row>
    <row r="10440">
      <c r="A10440" s="140" t="str">
        <f>IFERROR(__xludf.DUMMYFUNCTION("""COMPUTED_VALUE"""),"en")</f>
        <v>en</v>
      </c>
      <c r="B10440">
        <f>IFERROR(__xludf.DUMMYFUNCTION("""COMPUTED_VALUE"""),378398.0)</f>
        <v>378398</v>
      </c>
      <c r="C10440" t="str">
        <f>IFERROR(__xludf.DUMMYFUNCTION("""COMPUTED_VALUE"""),"Managerial (Cost) Accounting For Beginners")</f>
        <v>Managerial (Cost) Accounting For Beginners</v>
      </c>
    </row>
    <row r="10441">
      <c r="A10441" s="140" t="str">
        <f>IFERROR(__xludf.DUMMYFUNCTION("""COMPUTED_VALUE"""),"es")</f>
        <v>es</v>
      </c>
      <c r="B10441">
        <f>IFERROR(__xludf.DUMMYFUNCTION("""COMPUTED_VALUE"""),3373176.0)</f>
        <v>3373176</v>
      </c>
      <c r="C10441" t="str">
        <f>IFERROR(__xludf.DUMMYFUNCTION("""COMPUTED_VALUE"""),"Adobe Creative")</f>
        <v>Adobe Creative</v>
      </c>
    </row>
    <row r="10442">
      <c r="A10442" s="140" t="str">
        <f>IFERROR(__xludf.DUMMYFUNCTION("""COMPUTED_VALUE"""),"ja")</f>
        <v>ja</v>
      </c>
      <c r="B10442">
        <f>IFERROR(__xludf.DUMMYFUNCTION("""COMPUTED_VALUE"""),1326866.0)</f>
        <v>1326866</v>
      </c>
      <c r="C10442" t="str">
        <f>IFERROR(__xludf.DUMMYFUNCTION("""COMPUTED_VALUE"""),"コンピュータビジョン数学基礎：数式とPythonで学ぶ最適化と最小二乗問題")</f>
        <v>コンピュータビジョン数学基礎：数式とPythonで学ぶ最適化と最小二乗問題</v>
      </c>
    </row>
    <row r="10443">
      <c r="A10443" s="140" t="str">
        <f>IFERROR(__xludf.DUMMYFUNCTION("""COMPUTED_VALUE"""),"en")</f>
        <v>en</v>
      </c>
      <c r="B10443">
        <f>IFERROR(__xludf.DUMMYFUNCTION("""COMPUTED_VALUE"""),370166.0)</f>
        <v>370166</v>
      </c>
      <c r="C10443" t="str">
        <f>IFERROR(__xludf.DUMMYFUNCTION("""COMPUTED_VALUE"""),"Motivation: The Science of Motivating Yourself and Your Team")</f>
        <v>Motivation: The Science of Motivating Yourself and Your Team</v>
      </c>
    </row>
    <row r="10444">
      <c r="A10444" s="140" t="str">
        <f>IFERROR(__xludf.DUMMYFUNCTION("""COMPUTED_VALUE"""),"pt")</f>
        <v>pt</v>
      </c>
      <c r="B10444">
        <f>IFERROR(__xludf.DUMMYFUNCTION("""COMPUTED_VALUE"""),2633684.0)</f>
        <v>2633684</v>
      </c>
      <c r="C10444" t="str">
        <f>IFERROR(__xludf.DUMMYFUNCTION("""COMPUTED_VALUE"""),"Comunicação Consciente: aprenda a comunicar de verdade!")</f>
        <v>Comunicação Consciente: aprenda a comunicar de verdade!</v>
      </c>
    </row>
    <row r="10445">
      <c r="A10445" s="140" t="str">
        <f>IFERROR(__xludf.DUMMYFUNCTION("""COMPUTED_VALUE"""),"en")</f>
        <v>en</v>
      </c>
      <c r="B10445">
        <f>IFERROR(__xludf.DUMMYFUNCTION("""COMPUTED_VALUE"""),1434684.0)</f>
        <v>1434684</v>
      </c>
      <c r="C10445" t="str">
        <f>IFERROR(__xludf.DUMMYFUNCTION("""COMPUTED_VALUE"""),"[2022] CCMM: Learn How to Grow Your Professional Network")</f>
        <v>[2022] CCMM: Learn How to Grow Your Professional Network</v>
      </c>
    </row>
    <row r="10446">
      <c r="A10446" s="140" t="str">
        <f>IFERROR(__xludf.DUMMYFUNCTION("""COMPUTED_VALUE"""),"en")</f>
        <v>en</v>
      </c>
      <c r="B10446">
        <f>IFERROR(__xludf.DUMMYFUNCTION("""COMPUTED_VALUE"""),1582932.0)</f>
        <v>1582932</v>
      </c>
      <c r="C10446" t="str">
        <f>IFERROR(__xludf.DUMMYFUNCTION("""COMPUTED_VALUE"""),"Addiction &amp; Mental Health (Dual Diagnosis) Integrative 12hrs")</f>
        <v>Addiction &amp; Mental Health (Dual Diagnosis) Integrative 12hrs</v>
      </c>
    </row>
    <row r="10447">
      <c r="A10447" s="140" t="str">
        <f>IFERROR(__xludf.DUMMYFUNCTION("""COMPUTED_VALUE"""),"en")</f>
        <v>en</v>
      </c>
      <c r="B10447">
        <f>IFERROR(__xludf.DUMMYFUNCTION("""COMPUTED_VALUE"""),647980.0)</f>
        <v>647980</v>
      </c>
      <c r="C10447" t="str">
        <f>IFERROR(__xludf.DUMMYFUNCTION("""COMPUTED_VALUE"""),"Master English: Improve Your Speaking, Listening, &amp; Writing")</f>
        <v>Master English: Improve Your Speaking, Listening, &amp; Writing</v>
      </c>
    </row>
    <row r="10448">
      <c r="A10448" s="140" t="str">
        <f>IFERROR(__xludf.DUMMYFUNCTION("""COMPUTED_VALUE"""),"en")</f>
        <v>en</v>
      </c>
      <c r="B10448">
        <f>IFERROR(__xludf.DUMMYFUNCTION("""COMPUTED_VALUE"""),754576.0)</f>
        <v>754576</v>
      </c>
      <c r="C10448" t="str">
        <f>IFERROR(__xludf.DUMMYFUNCTION("""COMPUTED_VALUE"""),"Emergency Life Support | First Aid Training")</f>
        <v>Emergency Life Support | First Aid Training</v>
      </c>
    </row>
    <row r="10449">
      <c r="A10449" s="140" t="str">
        <f>IFERROR(__xludf.DUMMYFUNCTION("""COMPUTED_VALUE"""),"en")</f>
        <v>en</v>
      </c>
      <c r="B10449">
        <f>IFERROR(__xludf.DUMMYFUNCTION("""COMPUTED_VALUE"""),3149166.0)</f>
        <v>3149166</v>
      </c>
      <c r="C10449" t="str">
        <f>IFERROR(__xludf.DUMMYFUNCTION("""COMPUTED_VALUE"""),"Crash Course in Project Management (PMP- Preperatory)")</f>
        <v>Crash Course in Project Management (PMP- Preperatory)</v>
      </c>
    </row>
    <row r="10450">
      <c r="A10450" s="140" t="str">
        <f>IFERROR(__xludf.DUMMYFUNCTION("""COMPUTED_VALUE"""),"en")</f>
        <v>en</v>
      </c>
      <c r="B10450">
        <f>IFERROR(__xludf.DUMMYFUNCTION("""COMPUTED_VALUE"""),2409722.0)</f>
        <v>2409722</v>
      </c>
      <c r="C10450" t="str">
        <f>IFERROR(__xludf.DUMMYFUNCTION("""COMPUTED_VALUE"""),"Design Thinking for Beginners: Develop Innovative Ideas")</f>
        <v>Design Thinking for Beginners: Develop Innovative Ideas</v>
      </c>
    </row>
    <row r="10451">
      <c r="A10451" s="140" t="str">
        <f>IFERROR(__xludf.DUMMYFUNCTION("""COMPUTED_VALUE"""),"pt")</f>
        <v>pt</v>
      </c>
      <c r="B10451">
        <f>IFERROR(__xludf.DUMMYFUNCTION("""COMPUTED_VALUE"""),1161094.0)</f>
        <v>1161094</v>
      </c>
      <c r="C10451" t="str">
        <f>IFERROR(__xludf.DUMMYFUNCTION("""COMPUTED_VALUE"""),"Detecção avançada de problemas com Zabbix")</f>
        <v>Detecção avançada de problemas com Zabbix</v>
      </c>
    </row>
    <row r="10452">
      <c r="A10452" s="140" t="str">
        <f>IFERROR(__xludf.DUMMYFUNCTION("""COMPUTED_VALUE"""),"en")</f>
        <v>en</v>
      </c>
      <c r="B10452">
        <f>IFERROR(__xludf.DUMMYFUNCTION("""COMPUTED_VALUE"""),4328166.0)</f>
        <v>4328166</v>
      </c>
      <c r="C10452" t="str">
        <f>IFERROR(__xludf.DUMMYFUNCTION("""COMPUTED_VALUE"""),"Introduction to Cyber Security - 2 Hour Crash Course")</f>
        <v>Introduction to Cyber Security - 2 Hour Crash Course</v>
      </c>
    </row>
    <row r="10453">
      <c r="A10453" s="140" t="str">
        <f>IFERROR(__xludf.DUMMYFUNCTION("""COMPUTED_VALUE"""),"es")</f>
        <v>es</v>
      </c>
      <c r="B10453">
        <f>IFERROR(__xludf.DUMMYFUNCTION("""COMPUTED_VALUE"""),3398716.0)</f>
        <v>3398716</v>
      </c>
      <c r="C10453" t="str">
        <f>IFERROR(__xludf.DUMMYFUNCTION("""COMPUTED_VALUE"""),"Aprende Symfony Framework desde cero")</f>
        <v>Aprende Symfony Framework desde cero</v>
      </c>
    </row>
    <row r="10454">
      <c r="A10454" s="140" t="str">
        <f>IFERROR(__xludf.DUMMYFUNCTION("""COMPUTED_VALUE"""),"en")</f>
        <v>en</v>
      </c>
      <c r="B10454">
        <f>IFERROR(__xludf.DUMMYFUNCTION("""COMPUTED_VALUE"""),1924560.0)</f>
        <v>1924560</v>
      </c>
      <c r="C10454" t="str">
        <f>IFERROR(__xludf.DUMMYFUNCTION("""COMPUTED_VALUE"""),"Blockchain applications in Food Safety, Healthcare &amp; Pharma")</f>
        <v>Blockchain applications in Food Safety, Healthcare &amp; Pharma</v>
      </c>
    </row>
    <row r="10455">
      <c r="A10455" s="140" t="str">
        <f>IFERROR(__xludf.DUMMYFUNCTION("""COMPUTED_VALUE"""),"en")</f>
        <v>en</v>
      </c>
      <c r="B10455">
        <f>IFERROR(__xludf.DUMMYFUNCTION("""COMPUTED_VALUE"""),2222446.0)</f>
        <v>2222446</v>
      </c>
      <c r="C10455" t="str">
        <f>IFERROR(__xludf.DUMMYFUNCTION("""COMPUTED_VALUE"""),"Mastering Django - AJAX, Class Based Views, Forms")</f>
        <v>Mastering Django - AJAX, Class Based Views, Forms</v>
      </c>
    </row>
    <row r="10456">
      <c r="A10456" s="140" t="str">
        <f>IFERROR(__xludf.DUMMYFUNCTION("""COMPUTED_VALUE"""),"en")</f>
        <v>en</v>
      </c>
      <c r="B10456">
        <f>IFERROR(__xludf.DUMMYFUNCTION("""COMPUTED_VALUE"""),4304745.0)</f>
        <v>4304745</v>
      </c>
      <c r="C10456" t="str">
        <f>IFERROR(__xludf.DUMMYFUNCTION("""COMPUTED_VALUE"""),"Test Automation Robot Framework with Python - Selenium Tests")</f>
        <v>Test Automation Robot Framework with Python - Selenium Tests</v>
      </c>
    </row>
    <row r="10457">
      <c r="A10457" s="140" t="str">
        <f>IFERROR(__xludf.DUMMYFUNCTION("""COMPUTED_VALUE"""),"ja")</f>
        <v>ja</v>
      </c>
      <c r="B10457">
        <f>IFERROR(__xludf.DUMMYFUNCTION("""COMPUTED_VALUE"""),3766212.0)</f>
        <v>3766212</v>
      </c>
      <c r="C10457" t="str">
        <f>IFERROR(__xludf.DUMMYFUNCTION("""COMPUTED_VALUE"""),"リーダブルコード：C#で読みやすいコードを書く50の方法")</f>
        <v>リーダブルコード：C#で読みやすいコードを書く50の方法</v>
      </c>
    </row>
    <row r="10458">
      <c r="A10458" s="140" t="str">
        <f>IFERROR(__xludf.DUMMYFUNCTION("""COMPUTED_VALUE"""),"en")</f>
        <v>en</v>
      </c>
      <c r="B10458">
        <f>IFERROR(__xludf.DUMMYFUNCTION("""COMPUTED_VALUE"""),1567458.0)</f>
        <v>1567458</v>
      </c>
      <c r="C10458" t="str">
        <f>IFERROR(__xludf.DUMMYFUNCTION("""COMPUTED_VALUE"""),"TOTAL: CompTIA Security+ Cert. (SY0-501) Practice Tests.")</f>
        <v>TOTAL: CompTIA Security+ Cert. (SY0-501) Practice Tests.</v>
      </c>
    </row>
    <row r="10459">
      <c r="A10459" s="140" t="str">
        <f>IFERROR(__xludf.DUMMYFUNCTION("""COMPUTED_VALUE"""),"tr")</f>
        <v>tr</v>
      </c>
      <c r="B10459">
        <f>IFERROR(__xludf.DUMMYFUNCTION("""COMPUTED_VALUE"""),1453273.0)</f>
        <v>1453273</v>
      </c>
      <c r="C10459" t="str">
        <f>IFERROR(__xludf.DUMMYFUNCTION("""COMPUTED_VALUE"""),"Lego Mindstorms EV3 ile Uygulamalı Robotik Kodlama Eğitimi")</f>
        <v>Lego Mindstorms EV3 ile Uygulamalı Robotik Kodlama Eğitimi</v>
      </c>
    </row>
    <row r="10460">
      <c r="A10460" s="140" t="str">
        <f>IFERROR(__xludf.DUMMYFUNCTION("""COMPUTED_VALUE"""),"ja")</f>
        <v>ja</v>
      </c>
      <c r="B10460">
        <f>IFERROR(__xludf.DUMMYFUNCTION("""COMPUTED_VALUE"""),1723804.0)</f>
        <v>1723804</v>
      </c>
      <c r="C10460" t="str">
        <f>IFERROR(__xludf.DUMMYFUNCTION("""COMPUTED_VALUE"""),"美味しく撮れる料理写真！自然光で撮影する基礎テクニック")</f>
        <v>美味しく撮れる料理写真！自然光で撮影する基礎テクニック</v>
      </c>
    </row>
    <row r="10461">
      <c r="A10461" s="140" t="str">
        <f>IFERROR(__xludf.DUMMYFUNCTION("""COMPUTED_VALUE"""),"de")</f>
        <v>de</v>
      </c>
      <c r="B10461">
        <f>IFERROR(__xludf.DUMMYFUNCTION("""COMPUTED_VALUE"""),1015492.0)</f>
        <v>1015492</v>
      </c>
      <c r="C10461" t="str">
        <f>IFERROR(__xludf.DUMMYFUNCTION("""COMPUTED_VALUE"""),"SQL - Bootcamp: Lerne MySQL in 2 Wochen")</f>
        <v>SQL - Bootcamp: Lerne MySQL in 2 Wochen</v>
      </c>
    </row>
    <row r="10462">
      <c r="A10462" s="140" t="str">
        <f>IFERROR(__xludf.DUMMYFUNCTION("""COMPUTED_VALUE"""),"en")</f>
        <v>en</v>
      </c>
      <c r="B10462">
        <f>IFERROR(__xludf.DUMMYFUNCTION("""COMPUTED_VALUE"""),1324854.0)</f>
        <v>1324854</v>
      </c>
      <c r="C10462" t="str">
        <f>IFERROR(__xludf.DUMMYFUNCTION("""COMPUTED_VALUE"""),"Software Architecture: Dependency Injection for C# Devs")</f>
        <v>Software Architecture: Dependency Injection for C# Devs</v>
      </c>
    </row>
    <row r="10463">
      <c r="A10463" s="140" t="str">
        <f>IFERROR(__xludf.DUMMYFUNCTION("""COMPUTED_VALUE"""),"en")</f>
        <v>en</v>
      </c>
      <c r="B10463">
        <f>IFERROR(__xludf.DUMMYFUNCTION("""COMPUTED_VALUE"""),3438904.0)</f>
        <v>3438904</v>
      </c>
      <c r="C10463" t="str">
        <f>IFERROR(__xludf.DUMMYFUNCTION("""COMPUTED_VALUE"""),"Active Listening: You Can Be a Great Listener")</f>
        <v>Active Listening: You Can Be a Great Listener</v>
      </c>
    </row>
    <row r="10464">
      <c r="A10464" s="140" t="str">
        <f>IFERROR(__xludf.DUMMYFUNCTION("""COMPUTED_VALUE"""),"en")</f>
        <v>en</v>
      </c>
      <c r="B10464">
        <f>IFERROR(__xludf.DUMMYFUNCTION("""COMPUTED_VALUE"""),2170564.0)</f>
        <v>2170564</v>
      </c>
      <c r="C10464" t="str">
        <f>IFERROR(__xludf.DUMMYFUNCTION("""COMPUTED_VALUE"""),"Master Big Data - Apache Spark/Hadoop/Sqoop/Hive/Flume")</f>
        <v>Master Big Data - Apache Spark/Hadoop/Sqoop/Hive/Flume</v>
      </c>
    </row>
    <row r="10465">
      <c r="A10465" s="140" t="str">
        <f>IFERROR(__xludf.DUMMYFUNCTION("""COMPUTED_VALUE"""),"en")</f>
        <v>en</v>
      </c>
      <c r="B10465">
        <f>IFERROR(__xludf.DUMMYFUNCTION("""COMPUTED_VALUE"""),2649938.0)</f>
        <v>2649938</v>
      </c>
      <c r="C10465" t="str">
        <f>IFERROR(__xludf.DUMMYFUNCTION("""COMPUTED_VALUE"""),"IBM App Connect Enterprise &amp; IBM Integration Bus &amp; Broker")</f>
        <v>IBM App Connect Enterprise &amp; IBM Integration Bus &amp; Broker</v>
      </c>
    </row>
    <row r="10466">
      <c r="A10466" s="140" t="str">
        <f>IFERROR(__xludf.DUMMYFUNCTION("""COMPUTED_VALUE"""),"en")</f>
        <v>en</v>
      </c>
      <c r="B10466">
        <f>IFERROR(__xludf.DUMMYFUNCTION("""COMPUTED_VALUE"""),826750.0)</f>
        <v>826750</v>
      </c>
      <c r="C10466" t="str">
        <f>IFERROR(__xludf.DUMMYFUNCTION("""COMPUTED_VALUE"""),"GNS3 Fundamentals (Official Course) Part 1")</f>
        <v>GNS3 Fundamentals (Official Course) Part 1</v>
      </c>
    </row>
    <row r="10467">
      <c r="A10467" s="140" t="str">
        <f>IFERROR(__xludf.DUMMYFUNCTION("""COMPUTED_VALUE"""),"en")</f>
        <v>en</v>
      </c>
      <c r="B10467">
        <f>IFERROR(__xludf.DUMMYFUNCTION("""COMPUTED_VALUE"""),1035002.0)</f>
        <v>1035002</v>
      </c>
      <c r="C10467" t="str">
        <f>IFERROR(__xludf.DUMMYFUNCTION("""COMPUTED_VALUE"""),"Build a Six-Figure Online Business Selling Online Courses")</f>
        <v>Build a Six-Figure Online Business Selling Online Courses</v>
      </c>
    </row>
    <row r="10468">
      <c r="A10468" s="140" t="str">
        <f>IFERROR(__xludf.DUMMYFUNCTION("""COMPUTED_VALUE"""),"es")</f>
        <v>es</v>
      </c>
      <c r="B10468">
        <f>IFERROR(__xludf.DUMMYFUNCTION("""COMPUTED_VALUE"""),2643064.0)</f>
        <v>2643064</v>
      </c>
      <c r="C10468" t="str">
        <f>IFERROR(__xludf.DUMMYFUNCTION("""COMPUTED_VALUE"""),"Entrenamiento completo en Data Science con Python 2022")</f>
        <v>Entrenamiento completo en Data Science con Python 2022</v>
      </c>
    </row>
    <row r="10469">
      <c r="A10469" s="140" t="str">
        <f>IFERROR(__xludf.DUMMYFUNCTION("""COMPUTED_VALUE"""),"fr")</f>
        <v>fr</v>
      </c>
      <c r="B10469">
        <f>IFERROR(__xludf.DUMMYFUNCTION("""COMPUTED_VALUE"""),1744818.0)</f>
        <v>1744818</v>
      </c>
      <c r="C10469" t="str">
        <f>IFERROR(__xludf.DUMMYFUNCTION("""COMPUTED_VALUE"""),"Présenter des données avec Excel, formation par la pratique")</f>
        <v>Présenter des données avec Excel, formation par la pratique</v>
      </c>
    </row>
    <row r="10470">
      <c r="A10470" s="140" t="str">
        <f>IFERROR(__xludf.DUMMYFUNCTION("""COMPUTED_VALUE"""),"es")</f>
        <v>es</v>
      </c>
      <c r="B10470">
        <f>IFERROR(__xludf.DUMMYFUNCTION("""COMPUTED_VALUE"""),3373498.0)</f>
        <v>3373498</v>
      </c>
      <c r="C10470" t="str">
        <f>IFERROR(__xludf.DUMMYFUNCTION("""COMPUTED_VALUE"""),"Odoo 13| 14: Curso de desarrollo completo para programadores")</f>
        <v>Odoo 13| 14: Curso de desarrollo completo para programadores</v>
      </c>
    </row>
    <row r="10471">
      <c r="A10471" s="140" t="str">
        <f>IFERROR(__xludf.DUMMYFUNCTION("""COMPUTED_VALUE"""),"en")</f>
        <v>en</v>
      </c>
      <c r="B10471">
        <f>IFERROR(__xludf.DUMMYFUNCTION("""COMPUTED_VALUE"""),470846.0)</f>
        <v>470846</v>
      </c>
      <c r="C10471" t="str">
        <f>IFERROR(__xludf.DUMMYFUNCTION("""COMPUTED_VALUE"""),"Report Writing Made Simple")</f>
        <v>Report Writing Made Simple</v>
      </c>
    </row>
    <row r="10472">
      <c r="A10472" s="140" t="str">
        <f>IFERROR(__xludf.DUMMYFUNCTION("""COMPUTED_VALUE"""),"en")</f>
        <v>en</v>
      </c>
      <c r="B10472">
        <f>IFERROR(__xludf.DUMMYFUNCTION("""COMPUTED_VALUE"""),430604.0)</f>
        <v>430604</v>
      </c>
      <c r="C10472" t="str">
        <f>IFERROR(__xludf.DUMMYFUNCTION("""COMPUTED_VALUE"""),"12 Strategies for Dealing With Difficult People")</f>
        <v>12 Strategies for Dealing With Difficult People</v>
      </c>
    </row>
    <row r="10473">
      <c r="A10473" s="140" t="str">
        <f>IFERROR(__xludf.DUMMYFUNCTION("""COMPUTED_VALUE"""),"pt")</f>
        <v>pt</v>
      </c>
      <c r="B10473">
        <f>IFERROR(__xludf.DUMMYFUNCTION("""COMPUTED_VALUE"""),1862698.0)</f>
        <v>1862698</v>
      </c>
      <c r="C10473" t="str">
        <f>IFERROR(__xludf.DUMMYFUNCTION("""COMPUTED_VALUE"""),"Maya - Design e Criação de Personagens 3D")</f>
        <v>Maya - Design e Criação de Personagens 3D</v>
      </c>
    </row>
    <row r="10474">
      <c r="A10474" s="140" t="str">
        <f>IFERROR(__xludf.DUMMYFUNCTION("""COMPUTED_VALUE"""),"en")</f>
        <v>en</v>
      </c>
      <c r="B10474">
        <f>IFERROR(__xludf.DUMMYFUNCTION("""COMPUTED_VALUE"""),1047170.0)</f>
        <v>1047170</v>
      </c>
      <c r="C10474" t="str">
        <f>IFERROR(__xludf.DUMMYFUNCTION("""COMPUTED_VALUE"""),"Introduction to Design Sketching")</f>
        <v>Introduction to Design Sketching</v>
      </c>
    </row>
    <row r="10475">
      <c r="A10475" s="140" t="str">
        <f>IFERROR(__xludf.DUMMYFUNCTION("""COMPUTED_VALUE"""),"en")</f>
        <v>en</v>
      </c>
      <c r="B10475">
        <f>IFERROR(__xludf.DUMMYFUNCTION("""COMPUTED_VALUE"""),2254894.0)</f>
        <v>2254894</v>
      </c>
      <c r="C10475" t="str">
        <f>IFERROR(__xludf.DUMMYFUNCTION("""COMPUTED_VALUE"""),"CCNA Quiz Questions: Exam prep. Get ready for your exam!")</f>
        <v>CCNA Quiz Questions: Exam prep. Get ready for your exam!</v>
      </c>
    </row>
    <row r="10476">
      <c r="A10476" s="140" t="str">
        <f>IFERROR(__xludf.DUMMYFUNCTION("""COMPUTED_VALUE"""),"pt")</f>
        <v>pt</v>
      </c>
      <c r="B10476">
        <f>IFERROR(__xludf.DUMMYFUNCTION("""COMPUTED_VALUE"""),1726448.0)</f>
        <v>1726448</v>
      </c>
      <c r="C10476" t="str">
        <f>IFERROR(__xludf.DUMMYFUNCTION("""COMPUTED_VALUE"""),"Aprenda PowerShell do zero")</f>
        <v>Aprenda PowerShell do zero</v>
      </c>
    </row>
    <row r="10477">
      <c r="A10477" s="140" t="str">
        <f>IFERROR(__xludf.DUMMYFUNCTION("""COMPUTED_VALUE"""),"fr")</f>
        <v>fr</v>
      </c>
      <c r="B10477">
        <f>IFERROR(__xludf.DUMMYFUNCTION("""COMPUTED_VALUE"""),3779048.0)</f>
        <v>3779048</v>
      </c>
      <c r="C10477" t="str">
        <f>IFERROR(__xludf.DUMMYFUNCTION("""COMPUTED_VALUE"""),"Protéger sa Vie Privée et Être Anonyme sur Internet")</f>
        <v>Protéger sa Vie Privée et Être Anonyme sur Internet</v>
      </c>
    </row>
    <row r="10478">
      <c r="A10478" s="140" t="str">
        <f>IFERROR(__xludf.DUMMYFUNCTION("""COMPUTED_VALUE"""),"ja")</f>
        <v>ja</v>
      </c>
      <c r="B10478">
        <f>IFERROR(__xludf.DUMMYFUNCTION("""COMPUTED_VALUE"""),2307940.0)</f>
        <v>2307940</v>
      </c>
      <c r="C10478" t="str">
        <f>IFERROR(__xludf.DUMMYFUNCTION("""COMPUTED_VALUE"""),"はじめての働き方改革")</f>
        <v>はじめての働き方改革</v>
      </c>
    </row>
    <row r="10479">
      <c r="A10479" s="140" t="str">
        <f>IFERROR(__xludf.DUMMYFUNCTION("""COMPUTED_VALUE"""),"en")</f>
        <v>en</v>
      </c>
      <c r="B10479">
        <f>IFERROR(__xludf.DUMMYFUNCTION("""COMPUTED_VALUE"""),627174.0)</f>
        <v>627174</v>
      </c>
      <c r="C10479" t="str">
        <f>IFERROR(__xludf.DUMMYFUNCTION("""COMPUTED_VALUE"""),"How to Prepare For PMI-ACP Certification")</f>
        <v>How to Prepare For PMI-ACP Certification</v>
      </c>
    </row>
    <row r="10480">
      <c r="A10480" s="140" t="str">
        <f>IFERROR(__xludf.DUMMYFUNCTION("""COMPUTED_VALUE"""),"pt")</f>
        <v>pt</v>
      </c>
      <c r="B10480">
        <f>IFERROR(__xludf.DUMMYFUNCTION("""COMPUTED_VALUE"""),1172610.0)</f>
        <v>1172610</v>
      </c>
      <c r="C10480" t="str">
        <f>IFERROR(__xludf.DUMMYFUNCTION("""COMPUTED_VALUE"""),"Fundamentos de Programação - Aprenda a programar do zero!")</f>
        <v>Fundamentos de Programação - Aprenda a programar do zero!</v>
      </c>
    </row>
    <row r="10481">
      <c r="A10481" s="140" t="str">
        <f>IFERROR(__xludf.DUMMYFUNCTION("""COMPUTED_VALUE"""),"en")</f>
        <v>en</v>
      </c>
      <c r="B10481">
        <f>IFERROR(__xludf.DUMMYFUNCTION("""COMPUTED_VALUE"""),2549459.0)</f>
        <v>2549459</v>
      </c>
      <c r="C10481" t="str">
        <f>IFERROR(__xludf.DUMMYFUNCTION("""COMPUTED_VALUE"""),"Master Pivotal Cloud Foundry (PCF) with Spring Microservices")</f>
        <v>Master Pivotal Cloud Foundry (PCF) with Spring Microservices</v>
      </c>
    </row>
    <row r="10482">
      <c r="A10482" s="140" t="str">
        <f>IFERROR(__xludf.DUMMYFUNCTION("""COMPUTED_VALUE"""),"pt")</f>
        <v>pt</v>
      </c>
      <c r="B10482">
        <f>IFERROR(__xludf.DUMMYFUNCTION("""COMPUTED_VALUE"""),2413902.0)</f>
        <v>2413902</v>
      </c>
      <c r="C10482" t="str">
        <f>IFERROR(__xludf.DUMMYFUNCTION("""COMPUTED_VALUE"""),"HTML5 e CSS3: Técnicas Avançadas (Com Flexbox e 5 Projetos)")</f>
        <v>HTML5 e CSS3: Técnicas Avançadas (Com Flexbox e 5 Projetos)</v>
      </c>
    </row>
    <row r="10483">
      <c r="A10483" s="140" t="str">
        <f>IFERROR(__xludf.DUMMYFUNCTION("""COMPUTED_VALUE"""),"ko")</f>
        <v>ko</v>
      </c>
      <c r="B10483">
        <f>IFERROR(__xludf.DUMMYFUNCTION("""COMPUTED_VALUE"""),2457798.0)</f>
        <v>2457798</v>
      </c>
      <c r="C10483" t="str">
        <f>IFERROR(__xludf.DUMMYFUNCTION("""COMPUTED_VALUE"""),"자율주행 안전 표준 SOTIF(ISO/PAS 21448)의 알기 쉬운 이해")</f>
        <v>자율주행 안전 표준 SOTIF(ISO/PAS 21448)의 알기 쉬운 이해</v>
      </c>
    </row>
    <row r="10484">
      <c r="A10484" s="140" t="str">
        <f>IFERROR(__xludf.DUMMYFUNCTION("""COMPUTED_VALUE"""),"fr")</f>
        <v>fr</v>
      </c>
      <c r="B10484">
        <f>IFERROR(__xludf.DUMMYFUNCTION("""COMPUTED_VALUE"""),3671586.0)</f>
        <v>3671586</v>
      </c>
      <c r="C10484" t="str">
        <f>IFERROR(__xludf.DUMMYFUNCTION("""COMPUTED_VALUE"""),"Les patterns de conception des microservices")</f>
        <v>Les patterns de conception des microservices</v>
      </c>
    </row>
    <row r="10485">
      <c r="A10485" s="140" t="str">
        <f>IFERROR(__xludf.DUMMYFUNCTION("""COMPUTED_VALUE"""),"en")</f>
        <v>en</v>
      </c>
      <c r="B10485">
        <f>IFERROR(__xludf.DUMMYFUNCTION("""COMPUTED_VALUE"""),2444444.0)</f>
        <v>2444444</v>
      </c>
      <c r="C10485" t="str">
        <f>IFERROR(__xludf.DUMMYFUNCTION("""COMPUTED_VALUE"""),"Build a Social Network with Flutter and Firebase")</f>
        <v>Build a Social Network with Flutter and Firebase</v>
      </c>
    </row>
    <row r="10486">
      <c r="A10486" s="140" t="str">
        <f>IFERROR(__xludf.DUMMYFUNCTION("""COMPUTED_VALUE"""),"en")</f>
        <v>en</v>
      </c>
      <c r="B10486">
        <f>IFERROR(__xludf.DUMMYFUNCTION("""COMPUTED_VALUE"""),4181724.0)</f>
        <v>4181724</v>
      </c>
      <c r="C10486" t="str">
        <f>IFERROR(__xludf.DUMMYFUNCTION("""COMPUTED_VALUE"""),"DP-300: Administering Relational Databases - Azure DBA")</f>
        <v>DP-300: Administering Relational Databases - Azure DBA</v>
      </c>
    </row>
    <row r="10487">
      <c r="A10487" s="140" t="str">
        <f>IFERROR(__xludf.DUMMYFUNCTION("""COMPUTED_VALUE"""),"es")</f>
        <v>es</v>
      </c>
      <c r="B10487">
        <f>IFERROR(__xludf.DUMMYFUNCTION("""COMPUTED_VALUE"""),3952950.0)</f>
        <v>3952950</v>
      </c>
      <c r="C10487" t="str">
        <f>IFERROR(__xludf.DUMMYFUNCTION("""COMPUTED_VALUE"""),"Inteligencia Artificial Moderna con Cero Código")</f>
        <v>Inteligencia Artificial Moderna con Cero Código</v>
      </c>
    </row>
    <row r="10488">
      <c r="A10488" s="140" t="str">
        <f>IFERROR(__xludf.DUMMYFUNCTION("""COMPUTED_VALUE"""),"ja")</f>
        <v>ja</v>
      </c>
      <c r="B10488">
        <f>IFERROR(__xludf.DUMMYFUNCTION("""COMPUTED_VALUE"""),2785212.0)</f>
        <v>2785212</v>
      </c>
      <c r="C10488" t="str">
        <f>IFERROR(__xludf.DUMMYFUNCTION("""COMPUTED_VALUE"""),"超TypeScript入門 完全パック(2021)")</f>
        <v>超TypeScript入門 完全パック(2021)</v>
      </c>
    </row>
    <row r="10489">
      <c r="A10489" s="140" t="str">
        <f>IFERROR(__xludf.DUMMYFUNCTION("""COMPUTED_VALUE"""),"en")</f>
        <v>en</v>
      </c>
      <c r="B10489">
        <f>IFERROR(__xludf.DUMMYFUNCTION("""COMPUTED_VALUE"""),3119466.0)</f>
        <v>3119466</v>
      </c>
      <c r="C10489" t="str">
        <f>IFERROR(__xludf.DUMMYFUNCTION("""COMPUTED_VALUE"""),"Entity Framework Core - The Complete Guide (.NET Core 5)")</f>
        <v>Entity Framework Core - The Complete Guide (.NET Core 5)</v>
      </c>
    </row>
    <row r="10490">
      <c r="A10490" s="140" t="str">
        <f>IFERROR(__xludf.DUMMYFUNCTION("""COMPUTED_VALUE"""),"en")</f>
        <v>en</v>
      </c>
      <c r="B10490">
        <f>IFERROR(__xludf.DUMMYFUNCTION("""COMPUTED_VALUE"""),647428.0)</f>
        <v>647428</v>
      </c>
      <c r="C10490" t="str">
        <f>IFERROR(__xludf.DUMMYFUNCTION("""COMPUTED_VALUE"""),"Spring &amp; Hibernate for Beginners (includes Spring Boot)")</f>
        <v>Spring &amp; Hibernate for Beginners (includes Spring Boot)</v>
      </c>
    </row>
    <row r="10491">
      <c r="A10491" s="140" t="str">
        <f>IFERROR(__xludf.DUMMYFUNCTION("""COMPUTED_VALUE"""),"pt")</f>
        <v>pt</v>
      </c>
      <c r="B10491">
        <f>IFERROR(__xludf.DUMMYFUNCTION("""COMPUTED_VALUE"""),2718404.0)</f>
        <v>2718404</v>
      </c>
      <c r="C10491" t="str">
        <f>IFERROR(__xludf.DUMMYFUNCTION("""COMPUTED_VALUE"""),"Analise Técnica e Inteligência Artificial para Investimentos")</f>
        <v>Analise Técnica e Inteligência Artificial para Investimentos</v>
      </c>
    </row>
    <row r="10492">
      <c r="A10492" s="140" t="str">
        <f>IFERROR(__xludf.DUMMYFUNCTION("""COMPUTED_VALUE"""),"en")</f>
        <v>en</v>
      </c>
      <c r="B10492">
        <f>IFERROR(__xludf.DUMMYFUNCTION("""COMPUTED_VALUE"""),2652492.0)</f>
        <v>2652492</v>
      </c>
      <c r="C10492" t="str">
        <f>IFERROR(__xludf.DUMMYFUNCTION("""COMPUTED_VALUE"""),"Kubernetes for Beginners: Google Cloud, AWS &amp; Azure")</f>
        <v>Kubernetes for Beginners: Google Cloud, AWS &amp; Azure</v>
      </c>
    </row>
    <row r="10493">
      <c r="A10493" s="140" t="str">
        <f>IFERROR(__xludf.DUMMYFUNCTION("""COMPUTED_VALUE"""),"en")</f>
        <v>en</v>
      </c>
      <c r="B10493">
        <f>IFERROR(__xludf.DUMMYFUNCTION("""COMPUTED_VALUE"""),3466124.0)</f>
        <v>3466124</v>
      </c>
      <c r="C10493" t="str">
        <f>IFERROR(__xludf.DUMMYFUNCTION("""COMPUTED_VALUE"""),"Burp Suite Mastery: Bug bounty hunters perspective")</f>
        <v>Burp Suite Mastery: Bug bounty hunters perspective</v>
      </c>
    </row>
    <row r="10494">
      <c r="A10494" s="140" t="str">
        <f>IFERROR(__xludf.DUMMYFUNCTION("""COMPUTED_VALUE"""),"de")</f>
        <v>de</v>
      </c>
      <c r="B10494">
        <f>IFERROR(__xludf.DUMMYFUNCTION("""COMPUTED_VALUE"""),944136.0)</f>
        <v>944136</v>
      </c>
      <c r="C10494" t="str">
        <f>IFERROR(__xludf.DUMMYFUNCTION("""COMPUTED_VALUE"""),"Strategien entwickeln und umsetzen")</f>
        <v>Strategien entwickeln und umsetzen</v>
      </c>
    </row>
    <row r="10495">
      <c r="A10495" s="140" t="str">
        <f>IFERROR(__xludf.DUMMYFUNCTION("""COMPUTED_VALUE"""),"en")</f>
        <v>en</v>
      </c>
      <c r="B10495">
        <f>IFERROR(__xludf.DUMMYFUNCTION("""COMPUTED_VALUE"""),3250806.0)</f>
        <v>3250806</v>
      </c>
      <c r="C10495" t="str">
        <f>IFERROR(__xludf.DUMMYFUNCTION("""COMPUTED_VALUE"""),"Double Your Academic Writing Quality: Practical Writing Tips")</f>
        <v>Double Your Academic Writing Quality: Practical Writing Tips</v>
      </c>
    </row>
    <row r="10496">
      <c r="A10496" s="140" t="str">
        <f>IFERROR(__xludf.DUMMYFUNCTION("""COMPUTED_VALUE"""),"fr")</f>
        <v>fr</v>
      </c>
      <c r="B10496">
        <f>IFERROR(__xludf.DUMMYFUNCTION("""COMPUTED_VALUE"""),2136228.0)</f>
        <v>2136228</v>
      </c>
      <c r="C10496" t="str">
        <f>IFERROR(__xludf.DUMMYFUNCTION("""COMPUTED_VALUE"""),"Influence &amp; persuasion. Persuader et convaincre pour réussir")</f>
        <v>Influence &amp; persuasion. Persuader et convaincre pour réussir</v>
      </c>
    </row>
    <row r="10497">
      <c r="A10497" s="140" t="str">
        <f>IFERROR(__xludf.DUMMYFUNCTION("""COMPUTED_VALUE"""),"es")</f>
        <v>es</v>
      </c>
      <c r="B10497">
        <f>IFERROR(__xludf.DUMMYFUNCTION("""COMPUTED_VALUE"""),1696888.0)</f>
        <v>1696888</v>
      </c>
      <c r="C10497" t="str">
        <f>IFERROR(__xludf.DUMMYFUNCTION("""COMPUTED_VALUE"""),"Reportes Dashboard y Soluciones Excel ★Activadas en Minutos★")</f>
        <v>Reportes Dashboard y Soluciones Excel ★Activadas en Minutos★</v>
      </c>
    </row>
    <row r="10498">
      <c r="A10498" s="140" t="str">
        <f>IFERROR(__xludf.DUMMYFUNCTION("""COMPUTED_VALUE"""),"en")</f>
        <v>en</v>
      </c>
      <c r="B10498">
        <f>IFERROR(__xludf.DUMMYFUNCTION("""COMPUTED_VALUE"""),561900.0)</f>
        <v>561900</v>
      </c>
      <c r="C10498" t="str">
        <f>IFERROR(__xludf.DUMMYFUNCTION("""COMPUTED_VALUE"""),"70-461 Session 6: Querying Microsoft SQL Server (SQL code)")</f>
        <v>70-461 Session 6: Querying Microsoft SQL Server (SQL code)</v>
      </c>
    </row>
    <row r="10499">
      <c r="A10499" s="140" t="str">
        <f>IFERROR(__xludf.DUMMYFUNCTION("""COMPUTED_VALUE"""),"es")</f>
        <v>es</v>
      </c>
      <c r="B10499">
        <f>IFERROR(__xludf.DUMMYFUNCTION("""COMPUTED_VALUE"""),27464.0)</f>
        <v>27464</v>
      </c>
      <c r="C10499" t="str">
        <f>IFERROR(__xludf.DUMMYFUNCTION("""COMPUTED_VALUE"""),"Diseña tu Estrategia de Marca Personal paso a paso")</f>
        <v>Diseña tu Estrategia de Marca Personal paso a paso</v>
      </c>
    </row>
    <row r="10500">
      <c r="A10500" s="140" t="str">
        <f>IFERROR(__xludf.DUMMYFUNCTION("""COMPUTED_VALUE"""),"en")</f>
        <v>en</v>
      </c>
      <c r="B10500">
        <f>IFERROR(__xludf.DUMMYFUNCTION("""COMPUTED_VALUE"""),2018990.0)</f>
        <v>2018990</v>
      </c>
      <c r="C10500" t="str">
        <f>IFERROR(__xludf.DUMMYFUNCTION("""COMPUTED_VALUE"""),"Art for Beginners &amp; Kids: 8 Drawing &amp; Mixed-Media Projects")</f>
        <v>Art for Beginners &amp; Kids: 8 Drawing &amp; Mixed-Media Projects</v>
      </c>
    </row>
    <row r="10501">
      <c r="A10501" s="140" t="str">
        <f>IFERROR(__xludf.DUMMYFUNCTION("""COMPUTED_VALUE"""),"en")</f>
        <v>en</v>
      </c>
      <c r="B10501">
        <f>IFERROR(__xludf.DUMMYFUNCTION("""COMPUTED_VALUE"""),1272712.0)</f>
        <v>1272712</v>
      </c>
      <c r="C10501" t="str">
        <f>IFERROR(__xludf.DUMMYFUNCTION("""COMPUTED_VALUE"""),"SQL &amp; PostgreSQL for Beginners: Become an SQL Expert")</f>
        <v>SQL &amp; PostgreSQL for Beginners: Become an SQL Expert</v>
      </c>
    </row>
    <row r="10502">
      <c r="A10502" s="140" t="str">
        <f>IFERROR(__xludf.DUMMYFUNCTION("""COMPUTED_VALUE"""),"fr")</f>
        <v>fr</v>
      </c>
      <c r="B10502">
        <f>IFERROR(__xludf.DUMMYFUNCTION("""COMPUTED_VALUE"""),2521990.0)</f>
        <v>2521990</v>
      </c>
      <c r="C10502" t="str">
        <f>IFERROR(__xludf.DUMMYFUNCTION("""COMPUTED_VALUE"""),"Développement Web Fullstack MERN")</f>
        <v>Développement Web Fullstack MERN</v>
      </c>
    </row>
    <row r="10503">
      <c r="A10503" s="140" t="str">
        <f>IFERROR(__xludf.DUMMYFUNCTION("""COMPUTED_VALUE"""),"en")</f>
        <v>en</v>
      </c>
      <c r="B10503">
        <f>IFERROR(__xludf.DUMMYFUNCTION("""COMPUTED_VALUE"""),1814516.0)</f>
        <v>1814516</v>
      </c>
      <c r="C10503" t="str">
        <f>IFERROR(__xludf.DUMMYFUNCTION("""COMPUTED_VALUE"""),"Trends of the Future for Business &amp; Technology (2020 Update)")</f>
        <v>Trends of the Future for Business &amp; Technology (2020 Update)</v>
      </c>
    </row>
    <row r="10504">
      <c r="A10504" s="140" t="str">
        <f>IFERROR(__xludf.DUMMYFUNCTION("""COMPUTED_VALUE"""),"fr")</f>
        <v>fr</v>
      </c>
      <c r="B10504">
        <f>IFERROR(__xludf.DUMMYFUNCTION("""COMPUTED_VALUE"""),2434206.0)</f>
        <v>2434206</v>
      </c>
      <c r="C10504" t="str">
        <f>IFERROR(__xludf.DUMMYFUNCTION("""COMPUTED_VALUE"""),"AWS - Les 12 services fondamentaux du cloud N°1")</f>
        <v>AWS - Les 12 services fondamentaux du cloud N°1</v>
      </c>
    </row>
    <row r="10505">
      <c r="A10505" s="140" t="str">
        <f>IFERROR(__xludf.DUMMYFUNCTION("""COMPUTED_VALUE"""),"en")</f>
        <v>en</v>
      </c>
      <c r="B10505">
        <f>IFERROR(__xludf.DUMMYFUNCTION("""COMPUTED_VALUE"""),2694796.0)</f>
        <v>2694796</v>
      </c>
      <c r="C10505" t="str">
        <f>IFERROR(__xludf.DUMMYFUNCTION("""COMPUTED_VALUE"""),"Data Analysis Bootcamp™ 21 Real World Case Studies")</f>
        <v>Data Analysis Bootcamp™ 21 Real World Case Studies</v>
      </c>
    </row>
    <row r="10506">
      <c r="A10506" s="140" t="str">
        <f>IFERROR(__xludf.DUMMYFUNCTION("""COMPUTED_VALUE"""),"en")</f>
        <v>en</v>
      </c>
      <c r="B10506">
        <f>IFERROR(__xludf.DUMMYFUNCTION("""COMPUTED_VALUE"""),2567312.0)</f>
        <v>2567312</v>
      </c>
      <c r="C10506" t="str">
        <f>IFERROR(__xludf.DUMMYFUNCTION("""COMPUTED_VALUE"""),"Time Series Analysis in Python 2021")</f>
        <v>Time Series Analysis in Python 2021</v>
      </c>
    </row>
    <row r="10507">
      <c r="A10507" s="140" t="str">
        <f>IFERROR(__xludf.DUMMYFUNCTION("""COMPUTED_VALUE"""),"en")</f>
        <v>en</v>
      </c>
      <c r="B10507">
        <f>IFERROR(__xludf.DUMMYFUNCTION("""COMPUTED_VALUE"""),2517944.0)</f>
        <v>2517944</v>
      </c>
      <c r="C10507" t="str">
        <f>IFERROR(__xludf.DUMMYFUNCTION("""COMPUTED_VALUE"""),"Qlik Sense for Data Science and BI")</f>
        <v>Qlik Sense for Data Science and BI</v>
      </c>
    </row>
    <row r="10508">
      <c r="A10508" s="140" t="str">
        <f>IFERROR(__xludf.DUMMYFUNCTION("""COMPUTED_VALUE"""),"en")</f>
        <v>en</v>
      </c>
      <c r="B10508">
        <f>IFERROR(__xludf.DUMMYFUNCTION("""COMPUTED_VALUE"""),3511868.0)</f>
        <v>3511868</v>
      </c>
      <c r="C10508" t="str">
        <f>IFERROR(__xludf.DUMMYFUNCTION("""COMPUTED_VALUE"""),"Deep learning for object detection using Tensorflow 2")</f>
        <v>Deep learning for object detection using Tensorflow 2</v>
      </c>
    </row>
    <row r="10509">
      <c r="A10509" s="140" t="str">
        <f>IFERROR(__xludf.DUMMYFUNCTION("""COMPUTED_VALUE"""),"en")</f>
        <v>en</v>
      </c>
      <c r="B10509">
        <f>IFERROR(__xludf.DUMMYFUNCTION("""COMPUTED_VALUE"""),778206.0)</f>
        <v>778206</v>
      </c>
      <c r="C10509" t="str">
        <f>IFERROR(__xludf.DUMMYFUNCTION("""COMPUTED_VALUE"""),"Fundamental Computing Skills for the Digital Middle Age")</f>
        <v>Fundamental Computing Skills for the Digital Middle Age</v>
      </c>
    </row>
    <row r="10510">
      <c r="A10510" s="140" t="str">
        <f>IFERROR(__xludf.DUMMYFUNCTION("""COMPUTED_VALUE"""),"pt")</f>
        <v>pt</v>
      </c>
      <c r="B10510">
        <f>IFERROR(__xludf.DUMMYFUNCTION("""COMPUTED_VALUE"""),1401254.0)</f>
        <v>1401254</v>
      </c>
      <c r="C10510" t="str">
        <f>IFERROR(__xludf.DUMMYFUNCTION("""COMPUTED_VALUE"""),"Aprenda Falar Chinês Mandarim em 10 dias - Chinese do zero")</f>
        <v>Aprenda Falar Chinês Mandarim em 10 dias - Chinese do zero</v>
      </c>
    </row>
    <row r="10511">
      <c r="A10511" s="140" t="str">
        <f>IFERROR(__xludf.DUMMYFUNCTION("""COMPUTED_VALUE"""),"es")</f>
        <v>es</v>
      </c>
      <c r="B10511">
        <f>IFERROR(__xludf.DUMMYFUNCTION("""COMPUTED_VALUE"""),2774378.0)</f>
        <v>2774378</v>
      </c>
      <c r="C10511" t="str">
        <f>IFERROR(__xludf.DUMMYFUNCTION("""COMPUTED_VALUE"""),"LinkedIn Sales Navigator: La herramienta para ventas B2B")</f>
        <v>LinkedIn Sales Navigator: La herramienta para ventas B2B</v>
      </c>
    </row>
    <row r="10512">
      <c r="A10512" s="140" t="str">
        <f>IFERROR(__xludf.DUMMYFUNCTION("""COMPUTED_VALUE"""),"es")</f>
        <v>es</v>
      </c>
      <c r="B10512">
        <f>IFERROR(__xludf.DUMMYFUNCTION("""COMPUTED_VALUE"""),1214088.0)</f>
        <v>1214088</v>
      </c>
      <c r="C10512" t="str">
        <f>IFERROR(__xludf.DUMMYFUNCTION("""COMPUTED_VALUE"""),"Estrategia de Ventas B2B")</f>
        <v>Estrategia de Ventas B2B</v>
      </c>
    </row>
    <row r="10513">
      <c r="A10513" s="140" t="str">
        <f>IFERROR(__xludf.DUMMYFUNCTION("""COMPUTED_VALUE"""),"en")</f>
        <v>en</v>
      </c>
      <c r="B10513">
        <f>IFERROR(__xludf.DUMMYFUNCTION("""COMPUTED_VALUE"""),4226208.0)</f>
        <v>4226208</v>
      </c>
      <c r="C10513" t="str">
        <f>IFERROR(__xludf.DUMMYFUNCTION("""COMPUTED_VALUE"""),"Terraform for the Absolute Beginners with Labs")</f>
        <v>Terraform for the Absolute Beginners with Labs</v>
      </c>
    </row>
    <row r="10514">
      <c r="A10514" s="140" t="str">
        <f>IFERROR(__xludf.DUMMYFUNCTION("""COMPUTED_VALUE"""),"en")</f>
        <v>en</v>
      </c>
      <c r="B10514">
        <f>IFERROR(__xludf.DUMMYFUNCTION("""COMPUTED_VALUE"""),88750.0)</f>
        <v>88750</v>
      </c>
      <c r="C10514" t="str">
        <f>IFERROR(__xludf.DUMMYFUNCTION("""COMPUTED_VALUE"""),"A 16 Hour C# Course With Microsoft Visual Studio 2013")</f>
        <v>A 16 Hour C# Course With Microsoft Visual Studio 2013</v>
      </c>
    </row>
    <row r="10515">
      <c r="A10515" s="140" t="str">
        <f>IFERROR(__xludf.DUMMYFUNCTION("""COMPUTED_VALUE"""),"tr")</f>
        <v>tr</v>
      </c>
      <c r="B10515">
        <f>IFERROR(__xludf.DUMMYFUNCTION("""COMPUTED_VALUE"""),2846554.0)</f>
        <v>2846554</v>
      </c>
      <c r="C10515" t="str">
        <f>IFERROR(__xludf.DUMMYFUNCTION("""COMPUTED_VALUE"""),"Sıfırdan Her Yönüyle NestJs + mongoDB")</f>
        <v>Sıfırdan Her Yönüyle NestJs + mongoDB</v>
      </c>
    </row>
    <row r="10516">
      <c r="A10516" s="140" t="str">
        <f>IFERROR(__xludf.DUMMYFUNCTION("""COMPUTED_VALUE"""),"es")</f>
        <v>es</v>
      </c>
      <c r="B10516">
        <f>IFERROR(__xludf.DUMMYFUNCTION("""COMPUTED_VALUE"""),1184020.0)</f>
        <v>1184020</v>
      </c>
      <c r="C10516" t="str">
        <f>IFERROR(__xludf.DUMMYFUNCTION("""COMPUTED_VALUE"""),"Curso de Angular Avanzado: MEAN, JWT, Módulos, Animaciones")</f>
        <v>Curso de Angular Avanzado: MEAN, JWT, Módulos, Animaciones</v>
      </c>
    </row>
    <row r="10517">
      <c r="A10517" s="140" t="str">
        <f>IFERROR(__xludf.DUMMYFUNCTION("""COMPUTED_VALUE"""),"en")</f>
        <v>en</v>
      </c>
      <c r="B10517">
        <f>IFERROR(__xludf.DUMMYFUNCTION("""COMPUTED_VALUE"""),1596446.0)</f>
        <v>1596446</v>
      </c>
      <c r="C10517" t="str">
        <f>IFERROR(__xludf.DUMMYFUNCTION("""COMPUTED_VALUE"""),"Conduct a Strategy Analysis using Business Analysis")</f>
        <v>Conduct a Strategy Analysis using Business Analysis</v>
      </c>
    </row>
    <row r="10518">
      <c r="A10518" s="140" t="str">
        <f>IFERROR(__xludf.DUMMYFUNCTION("""COMPUTED_VALUE"""),"fr")</f>
        <v>fr</v>
      </c>
      <c r="B10518">
        <f>IFERROR(__xludf.DUMMYFUNCTION("""COMPUTED_VALUE"""),960928.0)</f>
        <v>960928</v>
      </c>
      <c r="C10518" t="str">
        <f>IFERROR(__xludf.DUMMYFUNCTION("""COMPUTED_VALUE"""),"Développer Votre Première Application avec Angular (2021)")</f>
        <v>Développer Votre Première Application avec Angular (2021)</v>
      </c>
    </row>
    <row r="10519">
      <c r="A10519" s="140" t="str">
        <f>IFERROR(__xludf.DUMMYFUNCTION("""COMPUTED_VALUE"""),"es")</f>
        <v>es</v>
      </c>
      <c r="B10519">
        <f>IFERROR(__xludf.DUMMYFUNCTION("""COMPUTED_VALUE"""),1491168.0)</f>
        <v>1491168</v>
      </c>
      <c r="C10519" t="str">
        <f>IFERROR(__xludf.DUMMYFUNCTION("""COMPUTED_VALUE"""),"Cómo emprender y reducir el riesgo de fracasar")</f>
        <v>Cómo emprender y reducir el riesgo de fracasar</v>
      </c>
    </row>
    <row r="10520">
      <c r="A10520" s="140" t="str">
        <f>IFERROR(__xludf.DUMMYFUNCTION("""COMPUTED_VALUE"""),"es")</f>
        <v>es</v>
      </c>
      <c r="B10520">
        <f>IFERROR(__xludf.DUMMYFUNCTION("""COMPUTED_VALUE"""),164812.0)</f>
        <v>164812</v>
      </c>
      <c r="C10520" t="str">
        <f>IFERROR(__xludf.DUMMYFUNCTION("""COMPUTED_VALUE"""),"Como Tener Buena Voz: El Secreto De Los Profesionales")</f>
        <v>Como Tener Buena Voz: El Secreto De Los Profesionales</v>
      </c>
    </row>
    <row r="10521">
      <c r="A10521" s="140" t="str">
        <f>IFERROR(__xludf.DUMMYFUNCTION("""COMPUTED_VALUE"""),"en")</f>
        <v>en</v>
      </c>
      <c r="B10521">
        <f>IFERROR(__xludf.DUMMYFUNCTION("""COMPUTED_VALUE"""),3055316.0)</f>
        <v>3055316</v>
      </c>
      <c r="C10521" t="str">
        <f>IFERROR(__xludf.DUMMYFUNCTION("""COMPUTED_VALUE"""),"Open To buy- Retail Merchandising Planning")</f>
        <v>Open To buy- Retail Merchandising Planning</v>
      </c>
    </row>
    <row r="10522">
      <c r="A10522" s="140" t="str">
        <f>IFERROR(__xludf.DUMMYFUNCTION("""COMPUTED_VALUE"""),"en")</f>
        <v>en</v>
      </c>
      <c r="B10522">
        <f>IFERROR(__xludf.DUMMYFUNCTION("""COMPUTED_VALUE"""),1311102.0)</f>
        <v>1311102</v>
      </c>
      <c r="C10522" t="str">
        <f>IFERROR(__xludf.DUMMYFUNCTION("""COMPUTED_VALUE"""),"[2022] Facebook Ads: Facebook / Instagram Advertising Course")</f>
        <v>[2022] Facebook Ads: Facebook / Instagram Advertising Course</v>
      </c>
    </row>
    <row r="10523">
      <c r="A10523" s="140" t="str">
        <f>IFERROR(__xludf.DUMMYFUNCTION("""COMPUTED_VALUE"""),"ja")</f>
        <v>ja</v>
      </c>
      <c r="B10523">
        <f>IFERROR(__xludf.DUMMYFUNCTION("""COMPUTED_VALUE"""),4186030.0)</f>
        <v>4186030</v>
      </c>
      <c r="C10523" t="str">
        <f>IFERROR(__xludf.DUMMYFUNCTION("""COMPUTED_VALUE"""),"【初級エンジニア必須スキル Linux コマンド】Macのターミナルを使ってLinuxの基本操作からWebサーバまで")</f>
        <v>【初級エンジニア必須スキル Linux コマンド】Macのターミナルを使ってLinuxの基本操作からWebサーバまで</v>
      </c>
    </row>
    <row r="10524">
      <c r="A10524" s="140" t="str">
        <f>IFERROR(__xludf.DUMMYFUNCTION("""COMPUTED_VALUE"""),"pt")</f>
        <v>pt</v>
      </c>
      <c r="B10524">
        <f>IFERROR(__xludf.DUMMYFUNCTION("""COMPUTED_VALUE"""),1497942.0)</f>
        <v>1497942</v>
      </c>
      <c r="C10524" t="str">
        <f>IFERROR(__xludf.DUMMYFUNCTION("""COMPUTED_VALUE"""),"MS Project Completo: Gerenciamento de Projetos + [BÔNUS]")</f>
        <v>MS Project Completo: Gerenciamento de Projetos + [BÔNUS]</v>
      </c>
    </row>
    <row r="10525">
      <c r="A10525" s="140" t="str">
        <f>IFERROR(__xludf.DUMMYFUNCTION("""COMPUTED_VALUE"""),"en")</f>
        <v>en</v>
      </c>
      <c r="B10525">
        <f>IFERROR(__xludf.DUMMYFUNCTION("""COMPUTED_VALUE"""),2650868.0)</f>
        <v>2650868</v>
      </c>
      <c r="C10525" t="str">
        <f>IFERROR(__xludf.DUMMYFUNCTION("""COMPUTED_VALUE"""),"TOTAL:  Building an Ethereum Blockchain DApp using Solidity")</f>
        <v>TOTAL:  Building an Ethereum Blockchain DApp using Solidity</v>
      </c>
    </row>
    <row r="10526">
      <c r="A10526" s="140" t="str">
        <f>IFERROR(__xludf.DUMMYFUNCTION("""COMPUTED_VALUE"""),"en")</f>
        <v>en</v>
      </c>
      <c r="B10526">
        <f>IFERROR(__xludf.DUMMYFUNCTION("""COMPUTED_VALUE"""),2473048.0)</f>
        <v>2473048</v>
      </c>
      <c r="C10526" t="str">
        <f>IFERROR(__xludf.DUMMYFUNCTION("""COMPUTED_VALUE"""),"Complete Python Developer in 2022: Zero to Mastery")</f>
        <v>Complete Python Developer in 2022: Zero to Mastery</v>
      </c>
    </row>
    <row r="10527">
      <c r="A10527" s="140" t="str">
        <f>IFERROR(__xludf.DUMMYFUNCTION("""COMPUTED_VALUE"""),"fr")</f>
        <v>fr</v>
      </c>
      <c r="B10527">
        <f>IFERROR(__xludf.DUMMYFUNCTION("""COMPUTED_VALUE"""),2402854.0)</f>
        <v>2402854</v>
      </c>
      <c r="C10527" t="str">
        <f>IFERROR(__xludf.DUMMYFUNCTION("""COMPUTED_VALUE"""),"Apprendre Inkscape le logiciel gratuit de dessin vectoriel.")</f>
        <v>Apprendre Inkscape le logiciel gratuit de dessin vectoriel.</v>
      </c>
    </row>
    <row r="10528">
      <c r="A10528" s="140" t="str">
        <f>IFERROR(__xludf.DUMMYFUNCTION("""COMPUTED_VALUE"""),"en")</f>
        <v>en</v>
      </c>
      <c r="B10528">
        <f>IFERROR(__xludf.DUMMYFUNCTION("""COMPUTED_VALUE"""),3693164.0)</f>
        <v>3693164</v>
      </c>
      <c r="C10528" t="str">
        <f>IFERROR(__xludf.DUMMYFUNCTION("""COMPUTED_VALUE"""),"TensorFlow Developer Certificate in 2022: Zero to Mastery")</f>
        <v>TensorFlow Developer Certificate in 2022: Zero to Mastery</v>
      </c>
    </row>
    <row r="10529">
      <c r="A10529" s="140" t="str">
        <f>IFERROR(__xludf.DUMMYFUNCTION("""COMPUTED_VALUE"""),"es")</f>
        <v>es</v>
      </c>
      <c r="B10529">
        <f>IFERROR(__xludf.DUMMYFUNCTION("""COMPUTED_VALUE"""),1319346.0)</f>
        <v>1319346</v>
      </c>
      <c r="C10529" t="str">
        <f>IFERROR(__xludf.DUMMYFUNCTION("""COMPUTED_VALUE"""),"Marketing Jurídico: La Estrategia Comercial del Abogado")</f>
        <v>Marketing Jurídico: La Estrategia Comercial del Abogado</v>
      </c>
    </row>
    <row r="10530">
      <c r="A10530" s="140" t="str">
        <f>IFERROR(__xludf.DUMMYFUNCTION("""COMPUTED_VALUE"""),"de")</f>
        <v>de</v>
      </c>
      <c r="B10530">
        <f>IFERROR(__xludf.DUMMYFUNCTION("""COMPUTED_VALUE"""),2168682.0)</f>
        <v>2168682</v>
      </c>
      <c r="C10530" t="str">
        <f>IFERROR(__xludf.DUMMYFUNCTION("""COMPUTED_VALUE"""),"Logodesign und Typografie in Illustrator")</f>
        <v>Logodesign und Typografie in Illustrator</v>
      </c>
    </row>
    <row r="10531">
      <c r="A10531" s="140" t="str">
        <f>IFERROR(__xludf.DUMMYFUNCTION("""COMPUTED_VALUE"""),"en")</f>
        <v>en</v>
      </c>
      <c r="B10531">
        <f>IFERROR(__xludf.DUMMYFUNCTION("""COMPUTED_VALUE"""),3479920.0)</f>
        <v>3479920</v>
      </c>
      <c r="C10531" t="str">
        <f>IFERROR(__xludf.DUMMYFUNCTION("""COMPUTED_VALUE"""),"Snowflake Certification - Architect")</f>
        <v>Snowflake Certification - Architect</v>
      </c>
    </row>
    <row r="10532">
      <c r="A10532" s="140" t="str">
        <f>IFERROR(__xludf.DUMMYFUNCTION("""COMPUTED_VALUE"""),"en")</f>
        <v>en</v>
      </c>
      <c r="B10532">
        <f>IFERROR(__xludf.DUMMYFUNCTION("""COMPUTED_VALUE"""),2684624.0)</f>
        <v>2684624</v>
      </c>
      <c r="C10532" t="str">
        <f>IFERROR(__xludf.DUMMYFUNCTION("""COMPUTED_VALUE"""),"Thai Language Course: learn to read and write Thai")</f>
        <v>Thai Language Course: learn to read and write Thai</v>
      </c>
    </row>
    <row r="10533">
      <c r="A10533" s="140" t="str">
        <f>IFERROR(__xludf.DUMMYFUNCTION("""COMPUTED_VALUE"""),"en")</f>
        <v>en</v>
      </c>
      <c r="B10533">
        <f>IFERROR(__xludf.DUMMYFUNCTION("""COMPUTED_VALUE"""),1439004.0)</f>
        <v>1439004</v>
      </c>
      <c r="C10533" t="str">
        <f>IFERROR(__xludf.DUMMYFUNCTION("""COMPUTED_VALUE"""),"SQL Server Essentials in an hour: The SELECT statement")</f>
        <v>SQL Server Essentials in an hour: The SELECT statement</v>
      </c>
    </row>
    <row r="10534">
      <c r="A10534" s="140" t="str">
        <f>IFERROR(__xludf.DUMMYFUNCTION("""COMPUTED_VALUE"""),"en")</f>
        <v>en</v>
      </c>
      <c r="B10534">
        <f>IFERROR(__xludf.DUMMYFUNCTION("""COMPUTED_VALUE"""),2540056.0)</f>
        <v>2540056</v>
      </c>
      <c r="C10534" t="str">
        <f>IFERROR(__xludf.DUMMYFUNCTION("""COMPUTED_VALUE"""),"Spring Professional Certification Exam Tutorial - Module 04")</f>
        <v>Spring Professional Certification Exam Tutorial - Module 04</v>
      </c>
    </row>
    <row r="10535">
      <c r="A10535" s="140" t="str">
        <f>IFERROR(__xludf.DUMMYFUNCTION("""COMPUTED_VALUE"""),"es")</f>
        <v>es</v>
      </c>
      <c r="B10535">
        <f>IFERROR(__xludf.DUMMYFUNCTION("""COMPUTED_VALUE"""),1090454.0)</f>
        <v>1090454</v>
      </c>
      <c r="C10535" t="str">
        <f>IFERROR(__xludf.DUMMYFUNCTION("""COMPUTED_VALUE"""),"Masterizacion de Audio: La guía completa de cómo masterizar")</f>
        <v>Masterizacion de Audio: La guía completa de cómo masterizar</v>
      </c>
    </row>
    <row r="10536">
      <c r="A10536" s="140" t="str">
        <f>IFERROR(__xludf.DUMMYFUNCTION("""COMPUTED_VALUE"""),"en")</f>
        <v>en</v>
      </c>
      <c r="B10536">
        <f>IFERROR(__xludf.DUMMYFUNCTION("""COMPUTED_VALUE"""),1673770.0)</f>
        <v>1673770</v>
      </c>
      <c r="C10536" t="str">
        <f>IFERROR(__xludf.DUMMYFUNCTION("""COMPUTED_VALUE"""),"NgRx (with NgRx Data) - The Complete Guide (FREE E-Book)")</f>
        <v>NgRx (with NgRx Data) - The Complete Guide (FREE E-Book)</v>
      </c>
    </row>
    <row r="10537">
      <c r="A10537" s="140" t="str">
        <f>IFERROR(__xludf.DUMMYFUNCTION("""COMPUTED_VALUE"""),"es")</f>
        <v>es</v>
      </c>
      <c r="B10537">
        <f>IFERROR(__xludf.DUMMYFUNCTION("""COMPUTED_VALUE"""),1343536.0)</f>
        <v>1343536</v>
      </c>
      <c r="C10537" t="str">
        <f>IFERROR(__xludf.DUMMYFUNCTION("""COMPUTED_VALUE"""),"Entrenamiento para la Certificación de Red Hat RHCSA")</f>
        <v>Entrenamiento para la Certificación de Red Hat RHCSA</v>
      </c>
    </row>
    <row r="10538">
      <c r="A10538" s="140" t="str">
        <f>IFERROR(__xludf.DUMMYFUNCTION("""COMPUTED_VALUE"""),"pt")</f>
        <v>pt</v>
      </c>
      <c r="B10538">
        <f>IFERROR(__xludf.DUMMYFUNCTION("""COMPUTED_VALUE"""),1823164.0)</f>
        <v>1823164</v>
      </c>
      <c r="C10538" t="str">
        <f>IFERROR(__xludf.DUMMYFUNCTION("""COMPUTED_VALUE"""),"Tableau para Iniciantes - Business Intelligence")</f>
        <v>Tableau para Iniciantes - Business Intelligence</v>
      </c>
    </row>
    <row r="10539">
      <c r="A10539" s="140" t="str">
        <f>IFERROR(__xludf.DUMMYFUNCTION("""COMPUTED_VALUE"""),"es")</f>
        <v>es</v>
      </c>
      <c r="B10539">
        <f>IFERROR(__xludf.DUMMYFUNCTION("""COMPUTED_VALUE"""),1551656.0)</f>
        <v>1551656</v>
      </c>
      <c r="C10539" t="str">
        <f>IFERROR(__xludf.DUMMYFUNCTION("""COMPUTED_VALUE"""),"Universidad Java 2: Spring, Hibernate, Struts y más!")</f>
        <v>Universidad Java 2: Spring, Hibernate, Struts y más!</v>
      </c>
    </row>
    <row r="10540">
      <c r="A10540" s="140" t="str">
        <f>IFERROR(__xludf.DUMMYFUNCTION("""COMPUTED_VALUE"""),"en")</f>
        <v>en</v>
      </c>
      <c r="B10540">
        <f>IFERROR(__xludf.DUMMYFUNCTION("""COMPUTED_VALUE"""),1355256.0)</f>
        <v>1355256</v>
      </c>
      <c r="C10540" t="str">
        <f>IFERROR(__xludf.DUMMYFUNCTION("""COMPUTED_VALUE"""),"Intro To PHP For Web Development")</f>
        <v>Intro To PHP For Web Development</v>
      </c>
    </row>
    <row r="10541">
      <c r="A10541" s="140" t="str">
        <f>IFERROR(__xludf.DUMMYFUNCTION("""COMPUTED_VALUE"""),"en")</f>
        <v>en</v>
      </c>
      <c r="B10541">
        <f>IFERROR(__xludf.DUMMYFUNCTION("""COMPUTED_VALUE"""),43718.0)</f>
        <v>43718</v>
      </c>
      <c r="C10541" t="str">
        <f>IFERROR(__xludf.DUMMYFUNCTION("""COMPUTED_VALUE"""),"C++: From Beginner to Expert")</f>
        <v>C++: From Beginner to Expert</v>
      </c>
    </row>
    <row r="10542">
      <c r="A10542" s="140" t="str">
        <f>IFERROR(__xludf.DUMMYFUNCTION("""COMPUTED_VALUE"""),"de")</f>
        <v>de</v>
      </c>
      <c r="B10542">
        <f>IFERROR(__xludf.DUMMYFUNCTION("""COMPUTED_VALUE"""),4353754.0)</f>
        <v>4353754</v>
      </c>
      <c r="C10542" t="str">
        <f>IFERROR(__xludf.DUMMYFUNCTION("""COMPUTED_VALUE"""),"Change-Management - Führe wie ein Löwe durch Veränderungen")</f>
        <v>Change-Management - Führe wie ein Löwe durch Veränderungen</v>
      </c>
    </row>
    <row r="10543">
      <c r="A10543" s="140" t="str">
        <f>IFERROR(__xludf.DUMMYFUNCTION("""COMPUTED_VALUE"""),"en")</f>
        <v>en</v>
      </c>
      <c r="B10543">
        <f>IFERROR(__xludf.DUMMYFUNCTION("""COMPUTED_VALUE"""),3784430.0)</f>
        <v>3784430</v>
      </c>
      <c r="C10543" t="str">
        <f>IFERROR(__xludf.DUMMYFUNCTION("""COMPUTED_VALUE"""),"Advanced SQL Database Administration with MySQL Workbench")</f>
        <v>Advanced SQL Database Administration with MySQL Workbench</v>
      </c>
    </row>
    <row r="10544">
      <c r="A10544" s="140" t="str">
        <f>IFERROR(__xludf.DUMMYFUNCTION("""COMPUTED_VALUE"""),"es")</f>
        <v>es</v>
      </c>
      <c r="B10544">
        <f>IFERROR(__xludf.DUMMYFUNCTION("""COMPUTED_VALUE"""),68618.0)</f>
        <v>68618</v>
      </c>
      <c r="C10544" t="str">
        <f>IFERROR(__xludf.DUMMYFUNCTION("""COMPUTED_VALUE"""),"Adobe Photoshop Lightroom")</f>
        <v>Adobe Photoshop Lightroom</v>
      </c>
    </row>
    <row r="10545">
      <c r="A10545" s="140" t="str">
        <f>IFERROR(__xludf.DUMMYFUNCTION("""COMPUTED_VALUE"""),"tr")</f>
        <v>tr</v>
      </c>
      <c r="B10545">
        <f>IFERROR(__xludf.DUMMYFUNCTION("""COMPUTED_VALUE"""),2374006.0)</f>
        <v>2374006</v>
      </c>
      <c r="C10545" t="str">
        <f>IFERROR(__xludf.DUMMYFUNCTION("""COMPUTED_VALUE"""),"Cisco Switch Security- 2.Katman Ağ Güvenliği")</f>
        <v>Cisco Switch Security- 2.Katman Ağ Güvenliği</v>
      </c>
    </row>
    <row r="10546">
      <c r="A10546" s="140" t="str">
        <f>IFERROR(__xludf.DUMMYFUNCTION("""COMPUTED_VALUE"""),"en")</f>
        <v>en</v>
      </c>
      <c r="B10546">
        <f>IFERROR(__xludf.DUMMYFUNCTION("""COMPUTED_VALUE"""),2479338.0)</f>
        <v>2479338</v>
      </c>
      <c r="C10546" t="str">
        <f>IFERROR(__xludf.DUMMYFUNCTION("""COMPUTED_VALUE"""),"Master Fundamentals of ECG / EKG.")</f>
        <v>Master Fundamentals of ECG / EKG.</v>
      </c>
    </row>
    <row r="10547">
      <c r="A10547" s="140" t="str">
        <f>IFERROR(__xludf.DUMMYFUNCTION("""COMPUTED_VALUE"""),"en")</f>
        <v>en</v>
      </c>
      <c r="B10547">
        <f>IFERROR(__xludf.DUMMYFUNCTION("""COMPUTED_VALUE"""),1537962.0)</f>
        <v>1537962</v>
      </c>
      <c r="C10547" t="str">
        <f>IFERROR(__xludf.DUMMYFUNCTION("""COMPUTED_VALUE"""),"Functional Programming For Beginners With JavaScript")</f>
        <v>Functional Programming For Beginners With JavaScript</v>
      </c>
    </row>
    <row r="10548">
      <c r="A10548" s="140" t="str">
        <f>IFERROR(__xludf.DUMMYFUNCTION("""COMPUTED_VALUE"""),"en")</f>
        <v>en</v>
      </c>
      <c r="B10548">
        <f>IFERROR(__xludf.DUMMYFUNCTION("""COMPUTED_VALUE"""),1684914.0)</f>
        <v>1684914</v>
      </c>
      <c r="C10548" t="str">
        <f>IFERROR(__xludf.DUMMYFUNCTION("""COMPUTED_VALUE"""),"Painting Environments")</f>
        <v>Painting Environments</v>
      </c>
    </row>
    <row r="10549">
      <c r="A10549" s="140" t="str">
        <f>IFERROR(__xludf.DUMMYFUNCTION("""COMPUTED_VALUE"""),"tr")</f>
        <v>tr</v>
      </c>
      <c r="B10549">
        <f>IFERROR(__xludf.DUMMYFUNCTION("""COMPUTED_VALUE"""),2622684.0)</f>
        <v>2622684</v>
      </c>
      <c r="C10549" t="str">
        <f>IFERROR(__xludf.DUMMYFUNCTION("""COMPUTED_VALUE"""),"LEGO EV3 Temel Seviye Robotik Eğitimi")</f>
        <v>LEGO EV3 Temel Seviye Robotik Eğitimi</v>
      </c>
    </row>
    <row r="10550">
      <c r="A10550" s="140" t="str">
        <f>IFERROR(__xludf.DUMMYFUNCTION("""COMPUTED_VALUE"""),"tr")</f>
        <v>tr</v>
      </c>
      <c r="B10550">
        <f>IFERROR(__xludf.DUMMYFUNCTION("""COMPUTED_VALUE"""),2521452.0)</f>
        <v>2521452</v>
      </c>
      <c r="C10550" t="str">
        <f>IFERROR(__xludf.DUMMYFUNCTION("""COMPUTED_VALUE"""),"Mvc5 ile Sıfırdan Admin Panelli Dinamik CV Sitesi")</f>
        <v>Mvc5 ile Sıfırdan Admin Panelli Dinamik CV Sitesi</v>
      </c>
    </row>
    <row r="10551">
      <c r="A10551" s="140" t="str">
        <f>IFERROR(__xludf.DUMMYFUNCTION("""COMPUTED_VALUE"""),"en")</f>
        <v>en</v>
      </c>
      <c r="B10551">
        <f>IFERROR(__xludf.DUMMYFUNCTION("""COMPUTED_VALUE"""),772864.0)</f>
        <v>772864</v>
      </c>
      <c r="C10551" t="str">
        <f>IFERROR(__xludf.DUMMYFUNCTION("""COMPUTED_VALUE"""),"How You Can Master the Fundamentals of Transact-SQL")</f>
        <v>How You Can Master the Fundamentals of Transact-SQL</v>
      </c>
    </row>
    <row r="10552">
      <c r="A10552" s="140" t="str">
        <f>IFERROR(__xludf.DUMMYFUNCTION("""COMPUTED_VALUE"""),"pt")</f>
        <v>pt</v>
      </c>
      <c r="B10552">
        <f>IFERROR(__xludf.DUMMYFUNCTION("""COMPUTED_VALUE"""),1100338.0)</f>
        <v>1100338</v>
      </c>
      <c r="C10552" t="str">
        <f>IFERROR(__xludf.DUMMYFUNCTION("""COMPUTED_VALUE"""),"Dominando Git e GitHub - Do iniciante ao expert")</f>
        <v>Dominando Git e GitHub - Do iniciante ao expert</v>
      </c>
    </row>
    <row r="10553">
      <c r="A10553" s="140" t="str">
        <f>IFERROR(__xludf.DUMMYFUNCTION("""COMPUTED_VALUE"""),"en")</f>
        <v>en</v>
      </c>
      <c r="B10553">
        <f>IFERROR(__xludf.DUMMYFUNCTION("""COMPUTED_VALUE"""),2809631.0)</f>
        <v>2809631</v>
      </c>
      <c r="C10553" t="str">
        <f>IFERROR(__xludf.DUMMYFUNCTION("""COMPUTED_VALUE"""),"The Ultimate Agile Scrum Master Certification Training")</f>
        <v>The Ultimate Agile Scrum Master Certification Training</v>
      </c>
    </row>
    <row r="10554">
      <c r="A10554" s="140" t="str">
        <f>IFERROR(__xludf.DUMMYFUNCTION("""COMPUTED_VALUE"""),"en")</f>
        <v>en</v>
      </c>
      <c r="B10554">
        <f>IFERROR(__xludf.DUMMYFUNCTION("""COMPUTED_VALUE"""),1612984.0)</f>
        <v>1612984</v>
      </c>
      <c r="C10554" t="str">
        <f>IFERROR(__xludf.DUMMYFUNCTION("""COMPUTED_VALUE"""),"SAP MM (Materials Management) - Configuration and End User")</f>
        <v>SAP MM (Materials Management) - Configuration and End User</v>
      </c>
    </row>
    <row r="10555">
      <c r="A10555" s="140" t="str">
        <f>IFERROR(__xludf.DUMMYFUNCTION("""COMPUTED_VALUE"""),"pt")</f>
        <v>pt</v>
      </c>
      <c r="B10555">
        <f>IFERROR(__xludf.DUMMYFUNCTION("""COMPUTED_VALUE"""),3853188.0)</f>
        <v>3853188</v>
      </c>
      <c r="C10555" t="str">
        <f>IFERROR(__xludf.DUMMYFUNCTION("""COMPUTED_VALUE"""),"Projeto Fullstack com Spring Boot 2 e Angular 11")</f>
        <v>Projeto Fullstack com Spring Boot 2 e Angular 11</v>
      </c>
    </row>
    <row r="10556">
      <c r="A10556" s="140" t="str">
        <f>IFERROR(__xludf.DUMMYFUNCTION("""COMPUTED_VALUE"""),"en")</f>
        <v>en</v>
      </c>
      <c r="B10556">
        <f>IFERROR(__xludf.DUMMYFUNCTION("""COMPUTED_VALUE"""),1136898.0)</f>
        <v>1136898</v>
      </c>
      <c r="C10556" t="str">
        <f>IFERROR(__xludf.DUMMYFUNCTION("""COMPUTED_VALUE"""),"Transformational Leadership &amp; Leading Corporate Culture")</f>
        <v>Transformational Leadership &amp; Leading Corporate Culture</v>
      </c>
    </row>
    <row r="10557">
      <c r="A10557" s="140" t="str">
        <f>IFERROR(__xludf.DUMMYFUNCTION("""COMPUTED_VALUE"""),"fr")</f>
        <v>fr</v>
      </c>
      <c r="B10557">
        <f>IFERROR(__xludf.DUMMYFUNCTION("""COMPUTED_VALUE"""),2006786.0)</f>
        <v>2006786</v>
      </c>
      <c r="C10557" t="str">
        <f>IFERROR(__xludf.DUMMYFUNCTION("""COMPUTED_VALUE"""),"Cinema 4D : La formation pour bien débuter en 3D")</f>
        <v>Cinema 4D : La formation pour bien débuter en 3D</v>
      </c>
    </row>
    <row r="10558">
      <c r="A10558" s="140" t="str">
        <f>IFERROR(__xludf.DUMMYFUNCTION("""COMPUTED_VALUE"""),"en")</f>
        <v>en</v>
      </c>
      <c r="B10558">
        <f>IFERROR(__xludf.DUMMYFUNCTION("""COMPUTED_VALUE"""),2484392.0)</f>
        <v>2484392</v>
      </c>
      <c r="C10558" t="str">
        <f>IFERROR(__xludf.DUMMYFUNCTION("""COMPUTED_VALUE"""),"The Secrets of OSINT (Open-source Intelligence)")</f>
        <v>The Secrets of OSINT (Open-source Intelligence)</v>
      </c>
    </row>
    <row r="10559">
      <c r="A10559" s="140" t="str">
        <f>IFERROR(__xludf.DUMMYFUNCTION("""COMPUTED_VALUE"""),"de")</f>
        <v>de</v>
      </c>
      <c r="B10559">
        <f>IFERROR(__xludf.DUMMYFUNCTION("""COMPUTED_VALUE"""),2312388.0)</f>
        <v>2312388</v>
      </c>
      <c r="C10559" t="str">
        <f>IFERROR(__xludf.DUMMYFUNCTION("""COMPUTED_VALUE"""),"Lebenslauf schreiben leicht gemacht - inkl. Shortbook")</f>
        <v>Lebenslauf schreiben leicht gemacht - inkl. Shortbook</v>
      </c>
    </row>
    <row r="10560">
      <c r="A10560" s="140" t="str">
        <f>IFERROR(__xludf.DUMMYFUNCTION("""COMPUTED_VALUE"""),"en")</f>
        <v>en</v>
      </c>
      <c r="B10560">
        <f>IFERROR(__xludf.DUMMYFUNCTION("""COMPUTED_VALUE"""),2170342.0)</f>
        <v>2170342</v>
      </c>
      <c r="C10560" t="str">
        <f>IFERROR(__xludf.DUMMYFUNCTION("""COMPUTED_VALUE"""),"Clear and Simple VMware Horizon View 7.5 VCP-DTM (2019)")</f>
        <v>Clear and Simple VMware Horizon View 7.5 VCP-DTM (2019)</v>
      </c>
    </row>
    <row r="10561">
      <c r="A10561" s="140" t="str">
        <f>IFERROR(__xludf.DUMMYFUNCTION("""COMPUTED_VALUE"""),"en")</f>
        <v>en</v>
      </c>
      <c r="B10561">
        <f>IFERROR(__xludf.DUMMYFUNCTION("""COMPUTED_VALUE"""),2394022.0)</f>
        <v>2394022</v>
      </c>
      <c r="C10561" t="str">
        <f>IFERROR(__xludf.DUMMYFUNCTION("""COMPUTED_VALUE"""),"Certified Kubernetes Administrator 2021")</f>
        <v>Certified Kubernetes Administrator 2021</v>
      </c>
    </row>
    <row r="10562">
      <c r="A10562" s="140" t="str">
        <f>IFERROR(__xludf.DUMMYFUNCTION("""COMPUTED_VALUE"""),"en")</f>
        <v>en</v>
      </c>
      <c r="B10562">
        <f>IFERROR(__xludf.DUMMYFUNCTION("""COMPUTED_VALUE"""),1048342.0)</f>
        <v>1048342</v>
      </c>
      <c r="C10562" t="str">
        <f>IFERROR(__xludf.DUMMYFUNCTION("""COMPUTED_VALUE"""),"Master Pre Calculus and Trigonometry")</f>
        <v>Master Pre Calculus and Trigonometry</v>
      </c>
    </row>
    <row r="10563">
      <c r="A10563" s="140" t="str">
        <f>IFERROR(__xludf.DUMMYFUNCTION("""COMPUTED_VALUE"""),"pt")</f>
        <v>pt</v>
      </c>
      <c r="B10563">
        <f>IFERROR(__xludf.DUMMYFUNCTION("""COMPUTED_VALUE"""),959158.0)</f>
        <v>959158</v>
      </c>
      <c r="C10563" t="str">
        <f>IFERROR(__xludf.DUMMYFUNCTION("""COMPUTED_VALUE"""),"Hacker Ético Profissional com Kali Linux 2021")</f>
        <v>Hacker Ético Profissional com Kali Linux 2021</v>
      </c>
    </row>
    <row r="10564">
      <c r="A10564" s="140" t="str">
        <f>IFERROR(__xludf.DUMMYFUNCTION("""COMPUTED_VALUE"""),"pt")</f>
        <v>pt</v>
      </c>
      <c r="B10564">
        <f>IFERROR(__xludf.DUMMYFUNCTION("""COMPUTED_VALUE"""),3626914.0)</f>
        <v>3626914</v>
      </c>
      <c r="C10564" t="str">
        <f>IFERROR(__xludf.DUMMYFUNCTION("""COMPUTED_VALUE"""),"Governança  de TI")</f>
        <v>Governança  de TI</v>
      </c>
    </row>
    <row r="10565">
      <c r="A10565" s="140" t="str">
        <f>IFERROR(__xludf.DUMMYFUNCTION("""COMPUTED_VALUE"""),"en")</f>
        <v>en</v>
      </c>
      <c r="B10565">
        <f>IFERROR(__xludf.DUMMYFUNCTION("""COMPUTED_VALUE"""),1896302.0)</f>
        <v>1896302</v>
      </c>
      <c r="C10565" t="str">
        <f>IFERROR(__xludf.DUMMYFUNCTION("""COMPUTED_VALUE"""),"NLP For Sales, Persuasion &amp; Influence: Certified NLP &amp; Sales")</f>
        <v>NLP For Sales, Persuasion &amp; Influence: Certified NLP &amp; Sales</v>
      </c>
    </row>
    <row r="10566">
      <c r="A10566" s="140" t="str">
        <f>IFERROR(__xludf.DUMMYFUNCTION("""COMPUTED_VALUE"""),"en")</f>
        <v>en</v>
      </c>
      <c r="B10566">
        <f>IFERROR(__xludf.DUMMYFUNCTION("""COMPUTED_VALUE"""),507078.0)</f>
        <v>507078</v>
      </c>
      <c r="C10566" t="str">
        <f>IFERROR(__xludf.DUMMYFUNCTION("""COMPUTED_VALUE"""),"MDX Training Part 2")</f>
        <v>MDX Training Part 2</v>
      </c>
    </row>
    <row r="10567">
      <c r="A10567" s="140" t="str">
        <f>IFERROR(__xludf.DUMMYFUNCTION("""COMPUTED_VALUE"""),"tr")</f>
        <v>tr</v>
      </c>
      <c r="B10567">
        <f>IFERROR(__xludf.DUMMYFUNCTION("""COMPUTED_VALUE"""),1498800.0)</f>
        <v>1498800</v>
      </c>
      <c r="C10567" t="str">
        <f>IFERROR(__xludf.DUMMYFUNCTION("""COMPUTED_VALUE"""),"Blockchain ve Bitcoin Nedir?")</f>
        <v>Blockchain ve Bitcoin Nedir?</v>
      </c>
    </row>
    <row r="10568">
      <c r="A10568" s="140" t="str">
        <f>IFERROR(__xludf.DUMMYFUNCTION("""COMPUTED_VALUE"""),"en")</f>
        <v>en</v>
      </c>
      <c r="B10568">
        <f>IFERROR(__xludf.DUMMYFUNCTION("""COMPUTED_VALUE"""),2432816.0)</f>
        <v>2432816</v>
      </c>
      <c r="C10568" t="str">
        <f>IFERROR(__xludf.DUMMYFUNCTION("""COMPUTED_VALUE"""),"Python for Statistical Analysis")</f>
        <v>Python for Statistical Analysis</v>
      </c>
    </row>
    <row r="10569">
      <c r="A10569" s="140" t="str">
        <f>IFERROR(__xludf.DUMMYFUNCTION("""COMPUTED_VALUE"""),"de")</f>
        <v>de</v>
      </c>
      <c r="B10569">
        <f>IFERROR(__xludf.DUMMYFUNCTION("""COMPUTED_VALUE"""),1185852.0)</f>
        <v>1185852</v>
      </c>
      <c r="C10569" t="str">
        <f>IFERROR(__xludf.DUMMYFUNCTION("""COMPUTED_VALUE"""),"Windows 10 - Einfach und verständlich")</f>
        <v>Windows 10 - Einfach und verständlich</v>
      </c>
    </row>
    <row r="10570">
      <c r="A10570" s="140" t="str">
        <f>IFERROR(__xludf.DUMMYFUNCTION("""COMPUTED_VALUE"""),"en")</f>
        <v>en</v>
      </c>
      <c r="B10570">
        <f>IFERROR(__xludf.DUMMYFUNCTION("""COMPUTED_VALUE"""),2789124.0)</f>
        <v>2789124</v>
      </c>
      <c r="C10570" t="str">
        <f>IFERROR(__xludf.DUMMYFUNCTION("""COMPUTED_VALUE"""),"Introduction to Data Analysis with Microsoft Power BI")</f>
        <v>Introduction to Data Analysis with Microsoft Power BI</v>
      </c>
    </row>
    <row r="10571">
      <c r="A10571" s="140" t="str">
        <f>IFERROR(__xludf.DUMMYFUNCTION("""COMPUTED_VALUE"""),"de")</f>
        <v>de</v>
      </c>
      <c r="B10571">
        <f>IFERROR(__xludf.DUMMYFUNCTION("""COMPUTED_VALUE"""),1224506.0)</f>
        <v>1224506</v>
      </c>
      <c r="C10571" t="str">
        <f>IFERROR(__xludf.DUMMYFUNCTION("""COMPUTED_VALUE"""),"OpenVPN verstehen und einrichten – Sicher im Netzwerk")</f>
        <v>OpenVPN verstehen und einrichten – Sicher im Netzwerk</v>
      </c>
    </row>
    <row r="10572">
      <c r="A10572" s="140" t="str">
        <f>IFERROR(__xludf.DUMMYFUNCTION("""COMPUTED_VALUE"""),"en")</f>
        <v>en</v>
      </c>
      <c r="B10572">
        <f>IFERROR(__xludf.DUMMYFUNCTION("""COMPUTED_VALUE"""),62497.0)</f>
        <v>62497</v>
      </c>
      <c r="C10572" t="str">
        <f>IFERROR(__xludf.DUMMYFUNCTION("""COMPUTED_VALUE"""),"How to Draw Cute Cartoon Characters")</f>
        <v>How to Draw Cute Cartoon Characters</v>
      </c>
    </row>
    <row r="10573">
      <c r="A10573" s="140" t="str">
        <f>IFERROR(__xludf.DUMMYFUNCTION("""COMPUTED_VALUE"""),"pt")</f>
        <v>pt</v>
      </c>
      <c r="B10573">
        <f>IFERROR(__xludf.DUMMYFUNCTION("""COMPUTED_VALUE"""),2597586.0)</f>
        <v>2597586</v>
      </c>
      <c r="C10573" t="str">
        <f>IFERROR(__xludf.DUMMYFUNCTION("""COMPUTED_VALUE"""),"jQuery - Curso COMPLETO Com Projetos Reais")</f>
        <v>jQuery - Curso COMPLETO Com Projetos Reais</v>
      </c>
    </row>
    <row r="10574">
      <c r="A10574" s="140" t="str">
        <f>IFERROR(__xludf.DUMMYFUNCTION("""COMPUTED_VALUE"""),"en")</f>
        <v>en</v>
      </c>
      <c r="B10574">
        <f>IFERROR(__xludf.DUMMYFUNCTION("""COMPUTED_VALUE"""),1589968.0)</f>
        <v>1589968</v>
      </c>
      <c r="C10574" t="str">
        <f>IFERROR(__xludf.DUMMYFUNCTION("""COMPUTED_VALUE"""),"Product Management A-Z: Excel as a PM &amp; Build great Products")</f>
        <v>Product Management A-Z: Excel as a PM &amp; Build great Products</v>
      </c>
    </row>
    <row r="10575">
      <c r="A10575" s="140" t="str">
        <f>IFERROR(__xludf.DUMMYFUNCTION("""COMPUTED_VALUE"""),"es")</f>
        <v>es</v>
      </c>
      <c r="B10575">
        <f>IFERROR(__xludf.DUMMYFUNCTION("""COMPUTED_VALUE"""),1354954.0)</f>
        <v>1354954</v>
      </c>
      <c r="C10575" t="str">
        <f>IFERROR(__xludf.DUMMYFUNCTION("""COMPUTED_VALUE"""),"Como crear una vida con propósito")</f>
        <v>Como crear una vida con propósito</v>
      </c>
    </row>
    <row r="10576">
      <c r="A10576" s="140" t="str">
        <f>IFERROR(__xludf.DUMMYFUNCTION("""COMPUTED_VALUE"""),"es")</f>
        <v>es</v>
      </c>
      <c r="B10576">
        <f>IFERROR(__xludf.DUMMYFUNCTION("""COMPUTED_VALUE"""),2467518.0)</f>
        <v>2467518</v>
      </c>
      <c r="C10576" t="str">
        <f>IFERROR(__xludf.DUMMYFUNCTION("""COMPUTED_VALUE"""),"APRENDE CSS3 AVANZADO [Animaciones,Clip-path, Flexbox, GRID]")</f>
        <v>APRENDE CSS3 AVANZADO [Animaciones,Clip-path, Flexbox, GRID]</v>
      </c>
    </row>
    <row r="10577">
      <c r="A10577" s="140" t="str">
        <f>IFERROR(__xludf.DUMMYFUNCTION("""COMPUTED_VALUE"""),"en")</f>
        <v>en</v>
      </c>
      <c r="B10577">
        <f>IFERROR(__xludf.DUMMYFUNCTION("""COMPUTED_VALUE"""),791838.0)</f>
        <v>791838</v>
      </c>
      <c r="C10577" t="str">
        <f>IFERROR(__xludf.DUMMYFUNCTION("""COMPUTED_VALUE"""),"Scala Applied, Part 3")</f>
        <v>Scala Applied, Part 3</v>
      </c>
    </row>
    <row r="10578">
      <c r="A10578" s="140" t="str">
        <f>IFERROR(__xludf.DUMMYFUNCTION("""COMPUTED_VALUE"""),"en")</f>
        <v>en</v>
      </c>
      <c r="B10578">
        <f>IFERROR(__xludf.DUMMYFUNCTION("""COMPUTED_VALUE"""),1188176.0)</f>
        <v>1188176</v>
      </c>
      <c r="C10578" t="str">
        <f>IFERROR(__xludf.DUMMYFUNCTION("""COMPUTED_VALUE"""),"Make a Spotify Clone from Scratch: JavaScript PHP and MySQL")</f>
        <v>Make a Spotify Clone from Scratch: JavaScript PHP and MySQL</v>
      </c>
    </row>
    <row r="10579">
      <c r="A10579" s="140" t="str">
        <f>IFERROR(__xludf.DUMMYFUNCTION("""COMPUTED_VALUE"""),"es")</f>
        <v>es</v>
      </c>
      <c r="B10579">
        <f>IFERROR(__xludf.DUMMYFUNCTION("""COMPUTED_VALUE"""),3382664.0)</f>
        <v>3382664</v>
      </c>
      <c r="C10579" t="str">
        <f>IFERROR(__xludf.DUMMYFUNCTION("""COMPUTED_VALUE"""),"Análisis de Estados Financieros: Crucial Business Analytics")</f>
        <v>Análisis de Estados Financieros: Crucial Business Analytics</v>
      </c>
    </row>
    <row r="10580">
      <c r="A10580" s="140" t="str">
        <f>IFERROR(__xludf.DUMMYFUNCTION("""COMPUTED_VALUE"""),"en")</f>
        <v>en</v>
      </c>
      <c r="B10580">
        <f>IFERROR(__xludf.DUMMYFUNCTION("""COMPUTED_VALUE"""),2445352.0)</f>
        <v>2445352</v>
      </c>
      <c r="C10580" t="str">
        <f>IFERROR(__xludf.DUMMYFUNCTION("""COMPUTED_VALUE"""),"Tableau 2019 + Tableau 2018: Tableau CA Certification 2020")</f>
        <v>Tableau 2019 + Tableau 2018: Tableau CA Certification 2020</v>
      </c>
    </row>
    <row r="10581">
      <c r="A10581" s="140" t="str">
        <f>IFERROR(__xludf.DUMMYFUNCTION("""COMPUTED_VALUE"""),"en")</f>
        <v>en</v>
      </c>
      <c r="B10581">
        <f>IFERROR(__xludf.DUMMYFUNCTION("""COMPUTED_VALUE"""),2645412.0)</f>
        <v>2645412</v>
      </c>
      <c r="C10581" t="str">
        <f>IFERROR(__xludf.DUMMYFUNCTION("""COMPUTED_VALUE"""),"Learn Photoshop for iPad")</f>
        <v>Learn Photoshop for iPad</v>
      </c>
    </row>
    <row r="10582">
      <c r="A10582" s="140" t="str">
        <f>IFERROR(__xludf.DUMMYFUNCTION("""COMPUTED_VALUE"""),"fr")</f>
        <v>fr</v>
      </c>
      <c r="B10582">
        <f>IFERROR(__xludf.DUMMYFUNCTION("""COMPUTED_VALUE"""),2096508.0)</f>
        <v>2096508</v>
      </c>
      <c r="C10582" t="str">
        <f>IFERROR(__xludf.DUMMYFUNCTION("""COMPUTED_VALUE"""),"Storytelling pour actrices de changement")</f>
        <v>Storytelling pour actrices de changement</v>
      </c>
    </row>
    <row r="10583">
      <c r="A10583" s="140" t="str">
        <f>IFERROR(__xludf.DUMMYFUNCTION("""COMPUTED_VALUE"""),"en")</f>
        <v>en</v>
      </c>
      <c r="B10583">
        <f>IFERROR(__xludf.DUMMYFUNCTION("""COMPUTED_VALUE"""),3228751.0)</f>
        <v>3228751</v>
      </c>
      <c r="C10583" t="str">
        <f>IFERROR(__xludf.DUMMYFUNCTION("""COMPUTED_VALUE"""),"Product Owner PSPO 1 Scrum Product Owner Certification 2021")</f>
        <v>Product Owner PSPO 1 Scrum Product Owner Certification 2021</v>
      </c>
    </row>
    <row r="10584">
      <c r="A10584" s="140" t="str">
        <f>IFERROR(__xludf.DUMMYFUNCTION("""COMPUTED_VALUE"""),"de")</f>
        <v>de</v>
      </c>
      <c r="B10584">
        <f>IFERROR(__xludf.DUMMYFUNCTION("""COMPUTED_VALUE"""),3801386.0)</f>
        <v>3801386</v>
      </c>
      <c r="C10584" t="str">
        <f>IFERROR(__xludf.DUMMYFUNCTION("""COMPUTED_VALUE"""),"Der ultimative FOREX Trading Kurs: Währungshandel von A-Z")</f>
        <v>Der ultimative FOREX Trading Kurs: Währungshandel von A-Z</v>
      </c>
    </row>
    <row r="10585">
      <c r="A10585" s="140" t="str">
        <f>IFERROR(__xludf.DUMMYFUNCTION("""COMPUTED_VALUE"""),"en")</f>
        <v>en</v>
      </c>
      <c r="B10585">
        <f>IFERROR(__xludf.DUMMYFUNCTION("""COMPUTED_VALUE"""),2341314.0)</f>
        <v>2341314</v>
      </c>
      <c r="C10585" t="str">
        <f>IFERROR(__xludf.DUMMYFUNCTION("""COMPUTED_VALUE"""),"Pass your VMware VCP-6.7 (VCP-2019) DCV exam - PRACTICE TEST")</f>
        <v>Pass your VMware VCP-6.7 (VCP-2019) DCV exam - PRACTICE TEST</v>
      </c>
    </row>
    <row r="10586">
      <c r="A10586" s="140" t="str">
        <f>IFERROR(__xludf.DUMMYFUNCTION("""COMPUTED_VALUE"""),"en")</f>
        <v>en</v>
      </c>
      <c r="B10586">
        <f>IFERROR(__xludf.DUMMYFUNCTION("""COMPUTED_VALUE"""),1692036.0)</f>
        <v>1692036</v>
      </c>
      <c r="C10586" t="str">
        <f>IFERROR(__xludf.DUMMYFUNCTION("""COMPUTED_VALUE"""),"Modern Java - Learn Java 8 features by coding it")</f>
        <v>Modern Java - Learn Java 8 features by coding it</v>
      </c>
    </row>
    <row r="10587">
      <c r="A10587" s="140" t="str">
        <f>IFERROR(__xludf.DUMMYFUNCTION("""COMPUTED_VALUE"""),"pt")</f>
        <v>pt</v>
      </c>
      <c r="B10587">
        <f>IFERROR(__xludf.DUMMYFUNCTION("""COMPUTED_VALUE"""),968664.0)</f>
        <v>968664</v>
      </c>
      <c r="C10587" t="str">
        <f>IFERROR(__xludf.DUMMYFUNCTION("""COMPUTED_VALUE"""),"Como Investir no Tesouro Direto para Iniciantes [2020]")</f>
        <v>Como Investir no Tesouro Direto para Iniciantes [2020]</v>
      </c>
    </row>
    <row r="10588">
      <c r="A10588" s="140" t="str">
        <f>IFERROR(__xludf.DUMMYFUNCTION("""COMPUTED_VALUE"""),"en")</f>
        <v>en</v>
      </c>
      <c r="B10588">
        <f>IFERROR(__xludf.DUMMYFUNCTION("""COMPUTED_VALUE"""),1390186.0)</f>
        <v>1390186</v>
      </c>
      <c r="C10588" t="str">
        <f>IFERROR(__xludf.DUMMYFUNCTION("""COMPUTED_VALUE"""),"Product Design Management for Agile Practitioners")</f>
        <v>Product Design Management for Agile Practitioners</v>
      </c>
    </row>
    <row r="10589">
      <c r="A10589" s="140" t="str">
        <f>IFERROR(__xludf.DUMMYFUNCTION("""COMPUTED_VALUE"""),"ja")</f>
        <v>ja</v>
      </c>
      <c r="B10589">
        <f>IFERROR(__xludf.DUMMYFUNCTION("""COMPUTED_VALUE"""),662816.0)</f>
        <v>662816</v>
      </c>
      <c r="C10589" t="str">
        <f>IFERROR(__xludf.DUMMYFUNCTION("""COMPUTED_VALUE"""),"After Effects Class 初めてでも安心！現役クリエイターが教える動画コンテンツ制作術")</f>
        <v>After Effects Class 初めてでも安心！現役クリエイターが教える動画コンテンツ制作術</v>
      </c>
    </row>
    <row r="10590">
      <c r="A10590" s="140" t="str">
        <f>IFERROR(__xludf.DUMMYFUNCTION("""COMPUTED_VALUE"""),"en")</f>
        <v>en</v>
      </c>
      <c r="B10590">
        <f>IFERROR(__xludf.DUMMYFUNCTION("""COMPUTED_VALUE"""),2997384.0)</f>
        <v>2997384</v>
      </c>
      <c r="C10590" t="str">
        <f>IFERROR(__xludf.DUMMYFUNCTION("""COMPUTED_VALUE"""),"Offensive Security Engineering")</f>
        <v>Offensive Security Engineering</v>
      </c>
    </row>
    <row r="10591">
      <c r="A10591" s="140" t="str">
        <f>IFERROR(__xludf.DUMMYFUNCTION("""COMPUTED_VALUE"""),"en")</f>
        <v>en</v>
      </c>
      <c r="B10591">
        <f>IFERROR(__xludf.DUMMYFUNCTION("""COMPUTED_VALUE"""),1282132.0)</f>
        <v>1282132</v>
      </c>
      <c r="C10591" t="str">
        <f>IFERROR(__xludf.DUMMYFUNCTION("""COMPUTED_VALUE"""),"The Ultimate Course for Beginner and Intermediate Crochet")</f>
        <v>The Ultimate Course for Beginner and Intermediate Crochet</v>
      </c>
    </row>
    <row r="10592">
      <c r="A10592" s="140" t="str">
        <f>IFERROR(__xludf.DUMMYFUNCTION("""COMPUTED_VALUE"""),"en")</f>
        <v>en</v>
      </c>
      <c r="B10592">
        <f>IFERROR(__xludf.DUMMYFUNCTION("""COMPUTED_VALUE"""),137250.0)</f>
        <v>137250</v>
      </c>
      <c r="C10592" t="str">
        <f>IFERROR(__xludf.DUMMYFUNCTION("""COMPUTED_VALUE"""),"Train the Trainer Pro: No Beginners Allowed!")</f>
        <v>Train the Trainer Pro: No Beginners Allowed!</v>
      </c>
    </row>
    <row r="10593">
      <c r="A10593" s="140" t="str">
        <f>IFERROR(__xludf.DUMMYFUNCTION("""COMPUTED_VALUE"""),"es")</f>
        <v>es</v>
      </c>
      <c r="B10593">
        <f>IFERROR(__xludf.DUMMYFUNCTION("""COMPUTED_VALUE"""),3379424.0)</f>
        <v>3379424</v>
      </c>
      <c r="C10593" t="str">
        <f>IFERROR(__xludf.DUMMYFUNCTION("""COMPUTED_VALUE"""),"People Care IT")</f>
        <v>People Care IT</v>
      </c>
    </row>
    <row r="10594">
      <c r="A10594" s="140" t="str">
        <f>IFERROR(__xludf.DUMMYFUNCTION("""COMPUTED_VALUE"""),"ja")</f>
        <v>ja</v>
      </c>
      <c r="B10594">
        <f>IFERROR(__xludf.DUMMYFUNCTION("""COMPUTED_VALUE"""),4012538.0)</f>
        <v>4012538</v>
      </c>
      <c r="C10594" t="str">
        <f>IFERROR(__xludf.DUMMYFUNCTION("""COMPUTED_VALUE"""),"＜UB確認テスト＞【デジタルトランスフォーメーション】事例と理論で学ぶ、DXの基礎知識&amp;戦略論")</f>
        <v>＜UB確認テスト＞【デジタルトランスフォーメーション】事例と理論で学ぶ、DXの基礎知識&amp;戦略論</v>
      </c>
    </row>
    <row r="10595">
      <c r="A10595" s="140" t="str">
        <f>IFERROR(__xludf.DUMMYFUNCTION("""COMPUTED_VALUE"""),"en")</f>
        <v>en</v>
      </c>
      <c r="B10595">
        <f>IFERROR(__xludf.DUMMYFUNCTION("""COMPUTED_VALUE"""),1670634.0)</f>
        <v>1670634</v>
      </c>
      <c r="C10595" t="str">
        <f>IFERROR(__xludf.DUMMYFUNCTION("""COMPUTED_VALUE"""),"GDPR - A 3-Step Process for applying GDPR +Tools +Templates™")</f>
        <v>GDPR - A 3-Step Process for applying GDPR +Tools +Templates™</v>
      </c>
    </row>
    <row r="10596">
      <c r="A10596" s="140" t="str">
        <f>IFERROR(__xludf.DUMMYFUNCTION("""COMPUTED_VALUE"""),"ar")</f>
        <v>ar</v>
      </c>
      <c r="B10596">
        <f>IFERROR(__xludf.DUMMYFUNCTION("""COMPUTED_VALUE"""),542654.0)</f>
        <v>542654</v>
      </c>
      <c r="C10596" t="str">
        <f>IFERROR(__xludf.DUMMYFUNCTION("""COMPUTED_VALUE"""),"تميّز فى فن البيع من البداية لأفضل نجاح")</f>
        <v>تميّز فى فن البيع من البداية لأفضل نجاح</v>
      </c>
    </row>
    <row r="10597">
      <c r="A10597" s="140" t="str">
        <f>IFERROR(__xludf.DUMMYFUNCTION("""COMPUTED_VALUE"""),"ja")</f>
        <v>ja</v>
      </c>
      <c r="B10597">
        <f>IFERROR(__xludf.DUMMYFUNCTION("""COMPUTED_VALUE"""),4148870.0)</f>
        <v>4148870</v>
      </c>
      <c r="C10597" t="str">
        <f>IFERROR(__xludf.DUMMYFUNCTION("""COMPUTED_VALUE"""),"Rustプログラミング入門 (2021年最高峰・最難解言語)")</f>
        <v>Rustプログラミング入門 (2021年最高峰・最難解言語)</v>
      </c>
    </row>
    <row r="10598">
      <c r="A10598" s="140" t="str">
        <f>IFERROR(__xludf.DUMMYFUNCTION("""COMPUTED_VALUE"""),"en")</f>
        <v>en</v>
      </c>
      <c r="B10598">
        <f>IFERROR(__xludf.DUMMYFUNCTION("""COMPUTED_VALUE"""),2574062.0)</f>
        <v>2574062</v>
      </c>
      <c r="C10598" t="str">
        <f>IFERROR(__xludf.DUMMYFUNCTION("""COMPUTED_VALUE"""),"Salesforce Lightning Web Component Development")</f>
        <v>Salesforce Lightning Web Component Development</v>
      </c>
    </row>
    <row r="10599">
      <c r="A10599" s="140" t="str">
        <f>IFERROR(__xludf.DUMMYFUNCTION("""COMPUTED_VALUE"""),"pt")</f>
        <v>pt</v>
      </c>
      <c r="B10599">
        <f>IFERROR(__xludf.DUMMYFUNCTION("""COMPUTED_VALUE"""),3089236.0)</f>
        <v>3089236</v>
      </c>
      <c r="C10599" t="str">
        <f>IFERROR(__xludf.DUMMYFUNCTION("""COMPUTED_VALUE"""),"Youtube Ads COMPLETO (4 Campanhas em 1) + Remarketing")</f>
        <v>Youtube Ads COMPLETO (4 Campanhas em 1) + Remarketing</v>
      </c>
    </row>
    <row r="10600">
      <c r="A10600" s="140" t="str">
        <f>IFERROR(__xludf.DUMMYFUNCTION("""COMPUTED_VALUE"""),"en")</f>
        <v>en</v>
      </c>
      <c r="B10600">
        <f>IFERROR(__xludf.DUMMYFUNCTION("""COMPUTED_VALUE"""),1666930.0)</f>
        <v>1666930</v>
      </c>
      <c r="C10600" t="str">
        <f>IFERROR(__xludf.DUMMYFUNCTION("""COMPUTED_VALUE"""),"Learn PHP Symfony Hands-On Creating Real World Application")</f>
        <v>Learn PHP Symfony Hands-On Creating Real World Application</v>
      </c>
    </row>
    <row r="10601">
      <c r="A10601" s="140" t="str">
        <f>IFERROR(__xludf.DUMMYFUNCTION("""COMPUTED_VALUE"""),"en")</f>
        <v>en</v>
      </c>
      <c r="B10601">
        <f>IFERROR(__xludf.DUMMYFUNCTION("""COMPUTED_VALUE"""),690694.0)</f>
        <v>690694</v>
      </c>
      <c r="C10601" t="str">
        <f>IFERROR(__xludf.DUMMYFUNCTION("""COMPUTED_VALUE"""),"YouTube Marketing 2021: YouTube SEO &amp; YouTube Algorithms")</f>
        <v>YouTube Marketing 2021: YouTube SEO &amp; YouTube Algorithms</v>
      </c>
    </row>
    <row r="10602">
      <c r="A10602" s="140" t="str">
        <f>IFERROR(__xludf.DUMMYFUNCTION("""COMPUTED_VALUE"""),"en")</f>
        <v>en</v>
      </c>
      <c r="B10602">
        <f>IFERROR(__xludf.DUMMYFUNCTION("""COMPUTED_VALUE"""),2510464.0)</f>
        <v>2510464</v>
      </c>
      <c r="C10602" t="str">
        <f>IFERROR(__xludf.DUMMYFUNCTION("""COMPUTED_VALUE"""),"Mastering Salesforce Integration: Novice to Professional")</f>
        <v>Mastering Salesforce Integration: Novice to Professional</v>
      </c>
    </row>
    <row r="10603">
      <c r="A10603" s="140" t="str">
        <f>IFERROR(__xludf.DUMMYFUNCTION("""COMPUTED_VALUE"""),"en")</f>
        <v>en</v>
      </c>
      <c r="B10603">
        <f>IFERROR(__xludf.DUMMYFUNCTION("""COMPUTED_VALUE"""),113310.0)</f>
        <v>113310</v>
      </c>
      <c r="C10603" t="str">
        <f>IFERROR(__xludf.DUMMYFUNCTION("""COMPUTED_VALUE"""),"Introduction to Microsoft Project 2013")</f>
        <v>Introduction to Microsoft Project 2013</v>
      </c>
    </row>
    <row r="10604">
      <c r="A10604" s="140" t="str">
        <f>IFERROR(__xludf.DUMMYFUNCTION("""COMPUTED_VALUE"""),"en")</f>
        <v>en</v>
      </c>
      <c r="B10604">
        <f>IFERROR(__xludf.DUMMYFUNCTION("""COMPUTED_VALUE"""),1141808.0)</f>
        <v>1141808</v>
      </c>
      <c r="C10604" t="str">
        <f>IFERROR(__xludf.DUMMYFUNCTION("""COMPUTED_VALUE"""),"Build+Deploy+Test with Jenkins 2.0")</f>
        <v>Build+Deploy+Test with Jenkins 2.0</v>
      </c>
    </row>
    <row r="10605">
      <c r="A10605" s="140" t="str">
        <f>IFERROR(__xludf.DUMMYFUNCTION("""COMPUTED_VALUE"""),"fr")</f>
        <v>fr</v>
      </c>
      <c r="B10605">
        <f>IFERROR(__xludf.DUMMYFUNCTION("""COMPUTED_VALUE"""),1960212.0)</f>
        <v>1960212</v>
      </c>
      <c r="C10605" t="str">
        <f>IFERROR(__xludf.DUMMYFUNCTION("""COMPUTED_VALUE"""),"Unreal Engine 4: Création d'un FPS")</f>
        <v>Unreal Engine 4: Création d'un FPS</v>
      </c>
    </row>
    <row r="10606">
      <c r="A10606" s="140" t="str">
        <f>IFERROR(__xludf.DUMMYFUNCTION("""COMPUTED_VALUE"""),"tr")</f>
        <v>tr</v>
      </c>
      <c r="B10606">
        <f>IFERROR(__xludf.DUMMYFUNCTION("""COMPUTED_VALUE"""),2621638.0)</f>
        <v>2621638</v>
      </c>
      <c r="C10606" t="str">
        <f>IFERROR(__xludf.DUMMYFUNCTION("""COMPUTED_VALUE"""),"2021 UNITY C# | Unity Sıfırdan Profesyonel Seviyeye Gelin!")</f>
        <v>2021 UNITY C# | Unity Sıfırdan Profesyonel Seviyeye Gelin!</v>
      </c>
    </row>
    <row r="10607">
      <c r="A10607" s="140" t="str">
        <f>IFERROR(__xludf.DUMMYFUNCTION("""COMPUTED_VALUE"""),"en")</f>
        <v>en</v>
      </c>
      <c r="B10607">
        <f>IFERROR(__xludf.DUMMYFUNCTION("""COMPUTED_VALUE"""),2230950.0)</f>
        <v>2230950</v>
      </c>
      <c r="C10607" t="str">
        <f>IFERROR(__xludf.DUMMYFUNCTION("""COMPUTED_VALUE"""),"UX Fundamentals: User Testing")</f>
        <v>UX Fundamentals: User Testing</v>
      </c>
    </row>
    <row r="10608">
      <c r="A10608" s="140" t="str">
        <f>IFERROR(__xludf.DUMMYFUNCTION("""COMPUTED_VALUE"""),"en")</f>
        <v>en</v>
      </c>
      <c r="B10608">
        <f>IFERROR(__xludf.DUMMYFUNCTION("""COMPUTED_VALUE"""),1332572.0)</f>
        <v>1332572</v>
      </c>
      <c r="C10608" t="str">
        <f>IFERROR(__xludf.DUMMYFUNCTION("""COMPUTED_VALUE"""),"Blockchain Development on Hyperledger Fabric using Composer")</f>
        <v>Blockchain Development on Hyperledger Fabric using Composer</v>
      </c>
    </row>
    <row r="10609">
      <c r="A10609" s="140" t="str">
        <f>IFERROR(__xludf.DUMMYFUNCTION("""COMPUTED_VALUE"""),"en")</f>
        <v>en</v>
      </c>
      <c r="B10609">
        <f>IFERROR(__xludf.DUMMYFUNCTION("""COMPUTED_VALUE"""),2654280.0)</f>
        <v>2654280</v>
      </c>
      <c r="C10609" t="str">
        <f>IFERROR(__xludf.DUMMYFUNCTION("""COMPUTED_VALUE"""),"Office 365 modern SharePoint sites for beginners")</f>
        <v>Office 365 modern SharePoint sites for beginners</v>
      </c>
    </row>
    <row r="10610">
      <c r="A10610" s="140" t="str">
        <f>IFERROR(__xludf.DUMMYFUNCTION("""COMPUTED_VALUE"""),"en")</f>
        <v>en</v>
      </c>
      <c r="B10610">
        <f>IFERROR(__xludf.DUMMYFUNCTION("""COMPUTED_VALUE"""),3051748.0)</f>
        <v>3051748</v>
      </c>
      <c r="C10610" t="str">
        <f>IFERROR(__xludf.DUMMYFUNCTION("""COMPUTED_VALUE"""),"Aviation: Airline Customer Service Course: Aviation Industry")</f>
        <v>Aviation: Airline Customer Service Course: Aviation Industry</v>
      </c>
    </row>
    <row r="10611">
      <c r="A10611" s="140" t="str">
        <f>IFERROR(__xludf.DUMMYFUNCTION("""COMPUTED_VALUE"""),"ja")</f>
        <v>ja</v>
      </c>
      <c r="B10611">
        <f>IFERROR(__xludf.DUMMYFUNCTION("""COMPUTED_VALUE"""),4061220.0)</f>
        <v>4061220</v>
      </c>
      <c r="C10611" t="str">
        <f>IFERROR(__xludf.DUMMYFUNCTION("""COMPUTED_VALUE"""),"＜UB確認テスト＞セキュリティ入門（情報セキュリティマネジメント試験レベル）")</f>
        <v>＜UB確認テスト＞セキュリティ入門（情報セキュリティマネジメント試験レベル）</v>
      </c>
    </row>
    <row r="10612">
      <c r="A10612" s="140" t="str">
        <f>IFERROR(__xludf.DUMMYFUNCTION("""COMPUTED_VALUE"""),"es")</f>
        <v>es</v>
      </c>
      <c r="B10612">
        <f>IFERROR(__xludf.DUMMYFUNCTION("""COMPUTED_VALUE"""),376402.0)</f>
        <v>376402</v>
      </c>
      <c r="C10612" t="str">
        <f>IFERROR(__xludf.DUMMYFUNCTION("""COMPUTED_VALUE"""),"Desarrollo Web con Spring 4")</f>
        <v>Desarrollo Web con Spring 4</v>
      </c>
    </row>
    <row r="10613">
      <c r="A10613" s="140" t="str">
        <f>IFERROR(__xludf.DUMMYFUNCTION("""COMPUTED_VALUE"""),"tr")</f>
        <v>tr</v>
      </c>
      <c r="B10613">
        <f>IFERROR(__xludf.DUMMYFUNCTION("""COMPUTED_VALUE"""),3439758.0)</f>
        <v>3439758</v>
      </c>
      <c r="C10613" t="str">
        <f>IFERROR(__xludf.DUMMYFUNCTION("""COMPUTED_VALUE"""),"Borsa, Yatırım, Yapay Zeka ile Robo Danışman Kullanımı")</f>
        <v>Borsa, Yatırım, Yapay Zeka ile Robo Danışman Kullanımı</v>
      </c>
    </row>
    <row r="10614">
      <c r="A10614" s="140" t="str">
        <f>IFERROR(__xludf.DUMMYFUNCTION("""COMPUTED_VALUE"""),"en")</f>
        <v>en</v>
      </c>
      <c r="B10614">
        <f>IFERROR(__xludf.DUMMYFUNCTION("""COMPUTED_VALUE"""),3276498.0)</f>
        <v>3276498</v>
      </c>
      <c r="C10614" t="str">
        <f>IFERROR(__xludf.DUMMYFUNCTION("""COMPUTED_VALUE"""),"[EXAM REVIEWER] AWS Certified Cloud Practitioner CLF-C01")</f>
        <v>[EXAM REVIEWER] AWS Certified Cloud Practitioner CLF-C01</v>
      </c>
    </row>
    <row r="10615">
      <c r="A10615" s="140" t="str">
        <f>IFERROR(__xludf.DUMMYFUNCTION("""COMPUTED_VALUE"""),"ja")</f>
        <v>ja</v>
      </c>
      <c r="B10615">
        <f>IFERROR(__xludf.DUMMYFUNCTION("""COMPUTED_VALUE"""),4053138.0)</f>
        <v>4053138</v>
      </c>
      <c r="C10615" t="str">
        <f>IFERROR(__xludf.DUMMYFUNCTION("""COMPUTED_VALUE"""),"Node.js + Express + MySQL で作る 安全な Webアプリケーション 実践講座")</f>
        <v>Node.js + Express + MySQL で作る 安全な Webアプリケーション 実践講座</v>
      </c>
    </row>
    <row r="10616">
      <c r="A10616" s="140" t="str">
        <f>IFERROR(__xludf.DUMMYFUNCTION("""COMPUTED_VALUE"""),"es")</f>
        <v>es</v>
      </c>
      <c r="B10616">
        <f>IFERROR(__xludf.DUMMYFUNCTION("""COMPUTED_VALUE"""),1125322.0)</f>
        <v>1125322</v>
      </c>
      <c r="C10616" t="str">
        <f>IFERROR(__xludf.DUMMYFUNCTION("""COMPUTED_VALUE"""),"[2021] Scrum Master Certificación")</f>
        <v>[2021] Scrum Master Certificación</v>
      </c>
    </row>
    <row r="10617">
      <c r="A10617" s="140" t="str">
        <f>IFERROR(__xludf.DUMMYFUNCTION("""COMPUTED_VALUE"""),"en")</f>
        <v>en</v>
      </c>
      <c r="B10617">
        <f>IFERROR(__xludf.DUMMYFUNCTION("""COMPUTED_VALUE"""),1113458.0)</f>
        <v>1113458</v>
      </c>
      <c r="C10617" t="str">
        <f>IFERROR(__xludf.DUMMYFUNCTION("""COMPUTED_VALUE"""),"Cost Accounting: Introduction to Management Accounting")</f>
        <v>Cost Accounting: Introduction to Management Accounting</v>
      </c>
    </row>
    <row r="10618">
      <c r="A10618" s="140" t="str">
        <f>IFERROR(__xludf.DUMMYFUNCTION("""COMPUTED_VALUE"""),"en")</f>
        <v>en</v>
      </c>
      <c r="B10618">
        <f>IFERROR(__xludf.DUMMYFUNCTION("""COMPUTED_VALUE"""),3381688.0)</f>
        <v>3381688</v>
      </c>
      <c r="C10618" t="str">
        <f>IFERROR(__xludf.DUMMYFUNCTION("""COMPUTED_VALUE"""),"Palo Alto Security Administrator - Part 1 PCNSA (EDU-210)")</f>
        <v>Palo Alto Security Administrator - Part 1 PCNSA (EDU-210)</v>
      </c>
    </row>
    <row r="10619">
      <c r="A10619" s="140" t="str">
        <f>IFERROR(__xludf.DUMMYFUNCTION("""COMPUTED_VALUE"""),"pt")</f>
        <v>pt</v>
      </c>
      <c r="B10619">
        <f>IFERROR(__xludf.DUMMYFUNCTION("""COMPUTED_VALUE"""),2307584.0)</f>
        <v>2307584</v>
      </c>
      <c r="C10619" t="str">
        <f>IFERROR(__xludf.DUMMYFUNCTION("""COMPUTED_VALUE"""),"Adobe Photoshop 2020 Completo - do Iniciante ao Avançado")</f>
        <v>Adobe Photoshop 2020 Completo - do Iniciante ao Avançado</v>
      </c>
    </row>
    <row r="10620">
      <c r="A10620" s="140" t="str">
        <f>IFERROR(__xludf.DUMMYFUNCTION("""COMPUTED_VALUE"""),"es")</f>
        <v>es</v>
      </c>
      <c r="B10620">
        <f>IFERROR(__xludf.DUMMYFUNCTION("""COMPUTED_VALUE"""),2387192.0)</f>
        <v>2387192</v>
      </c>
      <c r="C10620" t="str">
        <f>IFERROR(__xludf.DUMMYFUNCTION("""COMPUTED_VALUE"""),"iOS y Swift 5.5  Curso Completo Desde Cero a Profesional")</f>
        <v>iOS y Swift 5.5  Curso Completo Desde Cero a Profesional</v>
      </c>
    </row>
    <row r="10621">
      <c r="A10621" s="140" t="str">
        <f>IFERROR(__xludf.DUMMYFUNCTION("""COMPUTED_VALUE"""),"en")</f>
        <v>en</v>
      </c>
      <c r="B10621">
        <f>IFERROR(__xludf.DUMMYFUNCTION("""COMPUTED_VALUE"""),1721218.0)</f>
        <v>1721218</v>
      </c>
      <c r="C10621" t="str">
        <f>IFERROR(__xludf.DUMMYFUNCTION("""COMPUTED_VALUE"""),"Mastering AWS Glue, QuickSight, Athena &amp; Redshift Spectrum")</f>
        <v>Mastering AWS Glue, QuickSight, Athena &amp; Redshift Spectrum</v>
      </c>
    </row>
    <row r="10622">
      <c r="A10622" s="140" t="str">
        <f>IFERROR(__xludf.DUMMYFUNCTION("""COMPUTED_VALUE"""),"en")</f>
        <v>en</v>
      </c>
      <c r="B10622">
        <f>IFERROR(__xludf.DUMMYFUNCTION("""COMPUTED_VALUE"""),512324.0)</f>
        <v>512324</v>
      </c>
      <c r="C10622" t="str">
        <f>IFERROR(__xludf.DUMMYFUNCTION("""COMPUTED_VALUE"""),"Identifying and Building Digital Leadership Talent")</f>
        <v>Identifying and Building Digital Leadership Talent</v>
      </c>
    </row>
    <row r="10623">
      <c r="A10623" s="140" t="str">
        <f>IFERROR(__xludf.DUMMYFUNCTION("""COMPUTED_VALUE"""),"es")</f>
        <v>es</v>
      </c>
      <c r="B10623">
        <f>IFERROR(__xludf.DUMMYFUNCTION("""COMPUTED_VALUE"""),2755348.0)</f>
        <v>2755348</v>
      </c>
      <c r="C10623" t="str">
        <f>IFERROR(__xludf.DUMMYFUNCTION("""COMPUTED_VALUE"""),"Selección IT y Marketing para Reclutamiento")</f>
        <v>Selección IT y Marketing para Reclutamiento</v>
      </c>
    </row>
    <row r="10624">
      <c r="A10624" s="140" t="str">
        <f>IFERROR(__xludf.DUMMYFUNCTION("""COMPUTED_VALUE"""),"en")</f>
        <v>en</v>
      </c>
      <c r="B10624">
        <f>IFERROR(__xludf.DUMMYFUNCTION("""COMPUTED_VALUE"""),718744.0)</f>
        <v>718744</v>
      </c>
      <c r="C10624" t="str">
        <f>IFERROR(__xludf.DUMMYFUNCTION("""COMPUTED_VALUE"""),"Chef Essentials: Mastering the Basics of Config Management")</f>
        <v>Chef Essentials: Mastering the Basics of Config Management</v>
      </c>
    </row>
    <row r="10625">
      <c r="A10625" s="140" t="str">
        <f>IFERROR(__xludf.DUMMYFUNCTION("""COMPUTED_VALUE"""),"en")</f>
        <v>en</v>
      </c>
      <c r="B10625">
        <f>IFERROR(__xludf.DUMMYFUNCTION("""COMPUTED_VALUE"""),2345762.0)</f>
        <v>2345762</v>
      </c>
      <c r="C10625" t="str">
        <f>IFERROR(__xludf.DUMMYFUNCTION("""COMPUTED_VALUE"""),"Apache Spark Core 3.0 In-Depth")</f>
        <v>Apache Spark Core 3.0 In-Depth</v>
      </c>
    </row>
    <row r="10626">
      <c r="A10626" s="140" t="str">
        <f>IFERROR(__xludf.DUMMYFUNCTION("""COMPUTED_VALUE"""),"ar")</f>
        <v>ar</v>
      </c>
      <c r="B10626">
        <f>IFERROR(__xludf.DUMMYFUNCTION("""COMPUTED_VALUE"""),2729702.0)</f>
        <v>2729702</v>
      </c>
      <c r="C10626" t="str">
        <f>IFERROR(__xludf.DUMMYFUNCTION("""COMPUTED_VALUE"""),"Introduction to Deep Learning")</f>
        <v>Introduction to Deep Learning</v>
      </c>
    </row>
    <row r="10627">
      <c r="A10627" s="140" t="str">
        <f>IFERROR(__xludf.DUMMYFUNCTION("""COMPUTED_VALUE"""),"ja")</f>
        <v>ja</v>
      </c>
      <c r="B10627">
        <f>IFERROR(__xludf.DUMMYFUNCTION("""COMPUTED_VALUE"""),1840640.0)</f>
        <v>1840640</v>
      </c>
      <c r="C10627" t="str">
        <f>IFERROR(__xludf.DUMMYFUNCTION("""COMPUTED_VALUE"""),"AIのための数学講座：少しづつ丁寧に学ぶ人工知能向けの線形代数/確率・統計/微分")</f>
        <v>AIのための数学講座：少しづつ丁寧に学ぶ人工知能向けの線形代数/確率・統計/微分</v>
      </c>
    </row>
    <row r="10628">
      <c r="A10628" s="140" t="str">
        <f>IFERROR(__xludf.DUMMYFUNCTION("""COMPUTED_VALUE"""),"en")</f>
        <v>en</v>
      </c>
      <c r="B10628">
        <f>IFERROR(__xludf.DUMMYFUNCTION("""COMPUTED_VALUE"""),2911570.0)</f>
        <v>2911570</v>
      </c>
      <c r="C10628" t="str">
        <f>IFERROR(__xludf.DUMMYFUNCTION("""COMPUTED_VALUE"""),"COVID19 Culture Strategy for Motivating &amp; Managing Your Team")</f>
        <v>COVID19 Culture Strategy for Motivating &amp; Managing Your Team</v>
      </c>
    </row>
    <row r="10629">
      <c r="A10629" s="140" t="str">
        <f>IFERROR(__xludf.DUMMYFUNCTION("""COMPUTED_VALUE"""),"en")</f>
        <v>en</v>
      </c>
      <c r="B10629">
        <f>IFERROR(__xludf.DUMMYFUNCTION("""COMPUTED_VALUE"""),29694.0)</f>
        <v>29694</v>
      </c>
      <c r="C10629" t="str">
        <f>IFERROR(__xludf.DUMMYFUNCTION("""COMPUTED_VALUE"""),"Master Microsoft Visio 2010 Training the Easy Way")</f>
        <v>Master Microsoft Visio 2010 Training the Easy Way</v>
      </c>
    </row>
    <row r="10630">
      <c r="A10630" s="140" t="str">
        <f>IFERROR(__xludf.DUMMYFUNCTION("""COMPUTED_VALUE"""),"en")</f>
        <v>en</v>
      </c>
      <c r="B10630">
        <f>IFERROR(__xludf.DUMMYFUNCTION("""COMPUTED_VALUE"""),75640.0)</f>
        <v>75640</v>
      </c>
      <c r="C10630" t="str">
        <f>IFERROR(__xludf.DUMMYFUNCTION("""COMPUTED_VALUE"""),"Windows Programming for Everyone")</f>
        <v>Windows Programming for Everyone</v>
      </c>
    </row>
    <row r="10631">
      <c r="A10631" s="140" t="str">
        <f>IFERROR(__xludf.DUMMYFUNCTION("""COMPUTED_VALUE"""),"ja")</f>
        <v>ja</v>
      </c>
      <c r="B10631">
        <f>IFERROR(__xludf.DUMMYFUNCTION("""COMPUTED_VALUE"""),3471832.0)</f>
        <v>3471832</v>
      </c>
      <c r="C10631" t="str">
        <f>IFERROR(__xludf.DUMMYFUNCTION("""COMPUTED_VALUE"""),"米シリコンバレーDevOps監修！超AWS完全入門+本番運用向け上級編ベストプラクティスとTerraform")</f>
        <v>米シリコンバレーDevOps監修！超AWS完全入門+本番運用向け上級編ベストプラクティスとTerraform</v>
      </c>
    </row>
    <row r="10632">
      <c r="A10632" s="140" t="str">
        <f>IFERROR(__xludf.DUMMYFUNCTION("""COMPUTED_VALUE"""),"en")</f>
        <v>en</v>
      </c>
      <c r="B10632">
        <f>IFERROR(__xludf.DUMMYFUNCTION("""COMPUTED_VALUE"""),1628766.0)</f>
        <v>1628766</v>
      </c>
      <c r="C10632" t="str">
        <f>IFERROR(__xludf.DUMMYFUNCTION("""COMPUTED_VALUE"""),"Mastering Microcontroller: Timers, PWM, CAN, Low Power(MCU2)")</f>
        <v>Mastering Microcontroller: Timers, PWM, CAN, Low Power(MCU2)</v>
      </c>
    </row>
    <row r="10633">
      <c r="A10633" s="140" t="str">
        <f>IFERROR(__xludf.DUMMYFUNCTION("""COMPUTED_VALUE"""),"de")</f>
        <v>de</v>
      </c>
      <c r="B10633">
        <f>IFERROR(__xludf.DUMMYFUNCTION("""COMPUTED_VALUE"""),264004.0)</f>
        <v>264004</v>
      </c>
      <c r="C10633" t="str">
        <f>IFERROR(__xludf.DUMMYFUNCTION("""COMPUTED_VALUE"""),"Bessere Fotos mit einfacher Bildgestaltung")</f>
        <v>Bessere Fotos mit einfacher Bildgestaltung</v>
      </c>
    </row>
    <row r="10634">
      <c r="A10634" s="140" t="str">
        <f>IFERROR(__xludf.DUMMYFUNCTION("""COMPUTED_VALUE"""),"en")</f>
        <v>en</v>
      </c>
      <c r="B10634">
        <f>IFERROR(__xludf.DUMMYFUNCTION("""COMPUTED_VALUE"""),787836.0)</f>
        <v>787836</v>
      </c>
      <c r="C10634" t="str">
        <f>IFERROR(__xludf.DUMMYFUNCTION("""COMPUTED_VALUE"""),"Personal Finance Masterclass - Easy Guide to Better Finances")</f>
        <v>Personal Finance Masterclass - Easy Guide to Better Finances</v>
      </c>
    </row>
    <row r="10635">
      <c r="A10635" s="140" t="str">
        <f>IFERROR(__xludf.DUMMYFUNCTION("""COMPUTED_VALUE"""),"fr")</f>
        <v>fr</v>
      </c>
      <c r="B10635">
        <f>IFERROR(__xludf.DUMMYFUNCTION("""COMPUTED_VALUE"""),1853720.0)</f>
        <v>1853720</v>
      </c>
      <c r="C10635" t="str">
        <f>IFERROR(__xludf.DUMMYFUNCTION("""COMPUTED_VALUE"""),"Doublez votre productivité: gestion du temps &amp; concentration")</f>
        <v>Doublez votre productivité: gestion du temps &amp; concentration</v>
      </c>
    </row>
    <row r="10636">
      <c r="A10636" s="140" t="str">
        <f>IFERROR(__xludf.DUMMYFUNCTION("""COMPUTED_VALUE"""),"en")</f>
        <v>en</v>
      </c>
      <c r="B10636">
        <f>IFERROR(__xludf.DUMMYFUNCTION("""COMPUTED_VALUE"""),4188850.0)</f>
        <v>4188850</v>
      </c>
      <c r="C10636" t="str">
        <f>IFERROR(__xludf.DUMMYFUNCTION("""COMPUTED_VALUE"""),"The Ultimate Beginners Guide to Natural Language Processing")</f>
        <v>The Ultimate Beginners Guide to Natural Language Processing</v>
      </c>
    </row>
    <row r="10637">
      <c r="A10637" s="140" t="str">
        <f>IFERROR(__xludf.DUMMYFUNCTION("""COMPUTED_VALUE"""),"en")</f>
        <v>en</v>
      </c>
      <c r="B10637">
        <f>IFERROR(__xludf.DUMMYFUNCTION("""COMPUTED_VALUE"""),708188.0)</f>
        <v>708188</v>
      </c>
      <c r="C10637" t="str">
        <f>IFERROR(__xludf.DUMMYFUNCTION("""COMPUTED_VALUE"""),"Maven Quick Start: A Fast Introduction to Maven by Example")</f>
        <v>Maven Quick Start: A Fast Introduction to Maven by Example</v>
      </c>
    </row>
    <row r="10638">
      <c r="A10638" s="140" t="str">
        <f>IFERROR(__xludf.DUMMYFUNCTION("""COMPUTED_VALUE"""),"es")</f>
        <v>es</v>
      </c>
      <c r="B10638">
        <f>IFERROR(__xludf.DUMMYFUNCTION("""COMPUTED_VALUE"""),1295136.0)</f>
        <v>1295136</v>
      </c>
      <c r="C10638" t="str">
        <f>IFERROR(__xludf.DUMMYFUNCTION("""COMPUTED_VALUE"""),"Angular 4: Conviértete en Desarrollador Web Full Stack")</f>
        <v>Angular 4: Conviértete en Desarrollador Web Full Stack</v>
      </c>
    </row>
    <row r="10639">
      <c r="A10639" s="140" t="str">
        <f>IFERROR(__xludf.DUMMYFUNCTION("""COMPUTED_VALUE"""),"en")</f>
        <v>en</v>
      </c>
      <c r="B10639">
        <f>IFERROR(__xludf.DUMMYFUNCTION("""COMPUTED_VALUE"""),1368384.0)</f>
        <v>1368384</v>
      </c>
      <c r="C10639" t="str">
        <f>IFERROR(__xludf.DUMMYFUNCTION("""COMPUTED_VALUE"""),"Learn SQL Using PostgreSQL: From Zero to Hero")</f>
        <v>Learn SQL Using PostgreSQL: From Zero to Hero</v>
      </c>
    </row>
    <row r="10640">
      <c r="A10640" s="140" t="str">
        <f>IFERROR(__xludf.DUMMYFUNCTION("""COMPUTED_VALUE"""),"ja")</f>
        <v>ja</v>
      </c>
      <c r="B10640">
        <f>IFERROR(__xludf.DUMMYFUNCTION("""COMPUTED_VALUE"""),3833158.0)</f>
        <v>3833158</v>
      </c>
      <c r="C10640" t="str">
        <f>IFERROR(__xludf.DUMMYFUNCTION("""COMPUTED_VALUE"""),"【ネットに流れる情報(パケット)を見る】パケットキャプチャソフトを使って、生データを解析して、一段上の技術者になろう。")</f>
        <v>【ネットに流れる情報(パケット)を見る】パケットキャプチャソフトを使って、生データを解析して、一段上の技術者になろう。</v>
      </c>
    </row>
    <row r="10641">
      <c r="A10641" s="140" t="str">
        <f>IFERROR(__xludf.DUMMYFUNCTION("""COMPUTED_VALUE"""),"pt")</f>
        <v>pt</v>
      </c>
      <c r="B10641">
        <f>IFERROR(__xludf.DUMMYFUNCTION("""COMPUTED_VALUE"""),1317870.0)</f>
        <v>1317870</v>
      </c>
      <c r="C10641" t="str">
        <f>IFERROR(__xludf.DUMMYFUNCTION("""COMPUTED_VALUE"""),"Aprenda Programação em Python 3 do Zero com Facilidade")</f>
        <v>Aprenda Programação em Python 3 do Zero com Facilidade</v>
      </c>
    </row>
    <row r="10642">
      <c r="A10642" s="140" t="str">
        <f>IFERROR(__xludf.DUMMYFUNCTION("""COMPUTED_VALUE"""),"en")</f>
        <v>en</v>
      </c>
      <c r="B10642">
        <f>IFERROR(__xludf.DUMMYFUNCTION("""COMPUTED_VALUE"""),2745980.0)</f>
        <v>2745980</v>
      </c>
      <c r="C10642" t="str">
        <f>IFERROR(__xludf.DUMMYFUNCTION("""COMPUTED_VALUE"""),"AWS Advanced Security: SecOps Automation for the cloud")</f>
        <v>AWS Advanced Security: SecOps Automation for the cloud</v>
      </c>
    </row>
    <row r="10643">
      <c r="A10643" s="140" t="str">
        <f>IFERROR(__xludf.DUMMYFUNCTION("""COMPUTED_VALUE"""),"en")</f>
        <v>en</v>
      </c>
      <c r="B10643">
        <f>IFERROR(__xludf.DUMMYFUNCTION("""COMPUTED_VALUE"""),1482926.0)</f>
        <v>1482926</v>
      </c>
      <c r="C10643" t="str">
        <f>IFERROR(__xludf.DUMMYFUNCTION("""COMPUTED_VALUE"""),"Forensic Investigator Practice Exam")</f>
        <v>Forensic Investigator Practice Exam</v>
      </c>
    </row>
    <row r="10644">
      <c r="A10644" s="140" t="str">
        <f>IFERROR(__xludf.DUMMYFUNCTION("""COMPUTED_VALUE"""),"en")</f>
        <v>en</v>
      </c>
      <c r="B10644">
        <f>IFERROR(__xludf.DUMMYFUNCTION("""COMPUTED_VALUE"""),3964066.0)</f>
        <v>3964066</v>
      </c>
      <c r="C10644" t="str">
        <f>IFERROR(__xludf.DUMMYFUNCTION("""COMPUTED_VALUE"""),"Master Your Money: 6 Steps to Financial Wellness")</f>
        <v>Master Your Money: 6 Steps to Financial Wellness</v>
      </c>
    </row>
    <row r="10645">
      <c r="A10645" s="140" t="str">
        <f>IFERROR(__xludf.DUMMYFUNCTION("""COMPUTED_VALUE"""),"en")</f>
        <v>en</v>
      </c>
      <c r="B10645">
        <f>IFERROR(__xludf.DUMMYFUNCTION("""COMPUTED_VALUE"""),1396490.0)</f>
        <v>1396490</v>
      </c>
      <c r="C10645" t="str">
        <f>IFERROR(__xludf.DUMMYFUNCTION("""COMPUTED_VALUE"""),"Financial Advisor Training: Phoning and Prospecting")</f>
        <v>Financial Advisor Training: Phoning and Prospecting</v>
      </c>
    </row>
    <row r="10646">
      <c r="A10646" s="140" t="str">
        <f>IFERROR(__xludf.DUMMYFUNCTION("""COMPUTED_VALUE"""),"en")</f>
        <v>en</v>
      </c>
      <c r="B10646">
        <f>IFERROR(__xludf.DUMMYFUNCTION("""COMPUTED_VALUE"""),3726964.0)</f>
        <v>3726964</v>
      </c>
      <c r="C10646" t="str">
        <f>IFERROR(__xludf.DUMMYFUNCTION("""COMPUTED_VALUE"""),"Management Consulting Essential Training")</f>
        <v>Management Consulting Essential Training</v>
      </c>
    </row>
    <row r="10647">
      <c r="A10647" s="140" t="str">
        <f>IFERROR(__xludf.DUMMYFUNCTION("""COMPUTED_VALUE"""),"en")</f>
        <v>en</v>
      </c>
      <c r="B10647">
        <f>IFERROR(__xludf.DUMMYFUNCTION("""COMPUTED_VALUE"""),841348.0)</f>
        <v>841348</v>
      </c>
      <c r="C10647" t="str">
        <f>IFERROR(__xludf.DUMMYFUNCTION("""COMPUTED_VALUE"""),"Brain Science: Improve Your Memory &amp; Boost Your Memory")</f>
        <v>Brain Science: Improve Your Memory &amp; Boost Your Memory</v>
      </c>
    </row>
    <row r="10648">
      <c r="A10648" s="140" t="str">
        <f>IFERROR(__xludf.DUMMYFUNCTION("""COMPUTED_VALUE"""),"en")</f>
        <v>en</v>
      </c>
      <c r="B10648">
        <f>IFERROR(__xludf.DUMMYFUNCTION("""COMPUTED_VALUE"""),1886862.0)</f>
        <v>1886862</v>
      </c>
      <c r="C10648" t="str">
        <f>IFERROR(__xludf.DUMMYFUNCTION("""COMPUTED_VALUE"""),"Data Science for Professionals")</f>
        <v>Data Science for Professionals</v>
      </c>
    </row>
    <row r="10649">
      <c r="A10649" s="140" t="str">
        <f>IFERROR(__xludf.DUMMYFUNCTION("""COMPUTED_VALUE"""),"pt")</f>
        <v>pt</v>
      </c>
      <c r="B10649">
        <f>IFERROR(__xludf.DUMMYFUNCTION("""COMPUTED_VALUE"""),3766600.0)</f>
        <v>3766600</v>
      </c>
      <c r="C10649" t="str">
        <f>IFERROR(__xludf.DUMMYFUNCTION("""COMPUTED_VALUE"""),"Curso Comunicação não verbal &amp; Leitura Corporal Não Violenta")</f>
        <v>Curso Comunicação não verbal &amp; Leitura Corporal Não Violenta</v>
      </c>
    </row>
    <row r="10650">
      <c r="A10650" s="140" t="str">
        <f>IFERROR(__xludf.DUMMYFUNCTION("""COMPUTED_VALUE"""),"ar")</f>
        <v>ar</v>
      </c>
      <c r="B10650">
        <f>IFERROR(__xludf.DUMMYFUNCTION("""COMPUTED_VALUE"""),3054964.0)</f>
        <v>3054964</v>
      </c>
      <c r="C10650" t="str">
        <f>IFERROR(__xludf.DUMMYFUNCTION("""COMPUTED_VALUE"""),"تصميم الاناره الخارجيه |Facade Lighting design by Dialux evo")</f>
        <v>تصميم الاناره الخارجيه |Facade Lighting design by Dialux evo</v>
      </c>
    </row>
    <row r="10651">
      <c r="A10651" s="140" t="str">
        <f>IFERROR(__xludf.DUMMYFUNCTION("""COMPUTED_VALUE"""),"pt")</f>
        <v>pt</v>
      </c>
      <c r="B10651">
        <f>IFERROR(__xludf.DUMMYFUNCTION("""COMPUTED_VALUE"""),742220.0)</f>
        <v>742220</v>
      </c>
      <c r="C10651" t="str">
        <f>IFERROR(__xludf.DUMMYFUNCTION("""COMPUTED_VALUE"""),"Fundamentos de Ethical Hacking: curso prático")</f>
        <v>Fundamentos de Ethical Hacking: curso prático</v>
      </c>
    </row>
    <row r="10652">
      <c r="A10652" s="140" t="str">
        <f>IFERROR(__xludf.DUMMYFUNCTION("""COMPUTED_VALUE"""),"en")</f>
        <v>en</v>
      </c>
      <c r="B10652">
        <f>IFERROR(__xludf.DUMMYFUNCTION("""COMPUTED_VALUE"""),2436262.0)</f>
        <v>2436262</v>
      </c>
      <c r="C10652" t="str">
        <f>IFERROR(__xludf.DUMMYFUNCTION("""COMPUTED_VALUE"""),"The Complete Splunk Enterprise Certified Admin Course 2021")</f>
        <v>The Complete Splunk Enterprise Certified Admin Course 2021</v>
      </c>
    </row>
    <row r="10653">
      <c r="A10653" s="140" t="str">
        <f>IFERROR(__xludf.DUMMYFUNCTION("""COMPUTED_VALUE"""),"en")</f>
        <v>en</v>
      </c>
      <c r="B10653">
        <f>IFERROR(__xludf.DUMMYFUNCTION("""COMPUTED_VALUE"""),1228390.0)</f>
        <v>1228390</v>
      </c>
      <c r="C10653" t="str">
        <f>IFERROR(__xludf.DUMMYFUNCTION("""COMPUTED_VALUE"""),"Real-World Ethical Hacking: Hands-on Cybersecurity")</f>
        <v>Real-World Ethical Hacking: Hands-on Cybersecurity</v>
      </c>
    </row>
    <row r="10654">
      <c r="A10654" s="140" t="str">
        <f>IFERROR(__xludf.DUMMYFUNCTION("""COMPUTED_VALUE"""),"en")</f>
        <v>en</v>
      </c>
      <c r="B10654">
        <f>IFERROR(__xludf.DUMMYFUNCTION("""COMPUTED_VALUE"""),879532.0)</f>
        <v>879532</v>
      </c>
      <c r="C10654" t="str">
        <f>IFERROR(__xludf.DUMMYFUNCTION("""COMPUTED_VALUE"""),"Adobe Animate CC 2018 - HTML5 Banner Ads")</f>
        <v>Adobe Animate CC 2018 - HTML5 Banner Ads</v>
      </c>
    </row>
    <row r="10655">
      <c r="A10655" s="140" t="str">
        <f>IFERROR(__xludf.DUMMYFUNCTION("""COMPUTED_VALUE"""),"ja")</f>
        <v>ja</v>
      </c>
      <c r="B10655">
        <f>IFERROR(__xludf.DUMMYFUNCTION("""COMPUTED_VALUE"""),4154106.0)</f>
        <v>4154106</v>
      </c>
      <c r="C10655" t="str">
        <f>IFERROR(__xludf.DUMMYFUNCTION("""COMPUTED_VALUE"""),"【RPA】プログラミングをせずにあの面倒なExcel作業を１クリックで完了させる方法【UiPath Studio X】")</f>
        <v>【RPA】プログラミングをせずにあの面倒なExcel作業を１クリックで完了させる方法【UiPath Studio X】</v>
      </c>
    </row>
    <row r="10656">
      <c r="A10656" s="140" t="str">
        <f>IFERROR(__xludf.DUMMYFUNCTION("""COMPUTED_VALUE"""),"en")</f>
        <v>en</v>
      </c>
      <c r="B10656">
        <f>IFERROR(__xludf.DUMMYFUNCTION("""COMPUTED_VALUE"""),3563973.0)</f>
        <v>3563973</v>
      </c>
      <c r="C10656" t="str">
        <f>IFERROR(__xludf.DUMMYFUNCTION("""COMPUTED_VALUE"""),"Machine Learning Deep Learning model deployment")</f>
        <v>Machine Learning Deep Learning model deployment</v>
      </c>
    </row>
    <row r="10657">
      <c r="A10657" s="140" t="str">
        <f>IFERROR(__xludf.DUMMYFUNCTION("""COMPUTED_VALUE"""),"es")</f>
        <v>es</v>
      </c>
      <c r="B10657">
        <f>IFERROR(__xludf.DUMMYFUNCTION("""COMPUTED_VALUE"""),2396108.0)</f>
        <v>2396108</v>
      </c>
      <c r="C10657" t="str">
        <f>IFERROR(__xludf.DUMMYFUNCTION("""COMPUTED_VALUE"""),"Fundamentos de Análisis de Datos para Empresas")</f>
        <v>Fundamentos de Análisis de Datos para Empresas</v>
      </c>
    </row>
    <row r="10658">
      <c r="A10658" s="140" t="str">
        <f>IFERROR(__xludf.DUMMYFUNCTION("""COMPUTED_VALUE"""),"pt")</f>
        <v>pt</v>
      </c>
      <c r="B10658">
        <f>IFERROR(__xludf.DUMMYFUNCTION("""COMPUTED_VALUE"""),2503286.0)</f>
        <v>2503286</v>
      </c>
      <c r="C10658" t="str">
        <f>IFERROR(__xludf.DUMMYFUNCTION("""COMPUTED_VALUE"""),"Aprenda a criar indicadores técnicos de investimentos - MQL5")</f>
        <v>Aprenda a criar indicadores técnicos de investimentos - MQL5</v>
      </c>
    </row>
    <row r="10659">
      <c r="A10659" s="140" t="str">
        <f>IFERROR(__xludf.DUMMYFUNCTION("""COMPUTED_VALUE"""),"es")</f>
        <v>es</v>
      </c>
      <c r="B10659">
        <f>IFERROR(__xludf.DUMMYFUNCTION("""COMPUTED_VALUE"""),1222570.0)</f>
        <v>1222570</v>
      </c>
      <c r="C10659" t="str">
        <f>IFERROR(__xludf.DUMMYFUNCTION("""COMPUTED_VALUE"""),"DevOps - Introducción y Fundamentos no técnicos")</f>
        <v>DevOps - Introducción y Fundamentos no técnicos</v>
      </c>
    </row>
    <row r="10660">
      <c r="A10660" s="140" t="str">
        <f>IFERROR(__xludf.DUMMYFUNCTION("""COMPUTED_VALUE"""),"es")</f>
        <v>es</v>
      </c>
      <c r="B10660">
        <f>IFERROR(__xludf.DUMMYFUNCTION("""COMPUTED_VALUE"""),2544755.0)</f>
        <v>2544755</v>
      </c>
      <c r="C10660" t="str">
        <f>IFERROR(__xludf.DUMMYFUNCTION("""COMPUTED_VALUE"""),"Curso de Tailwind CSS - Desde cero hasta profesional")</f>
        <v>Curso de Tailwind CSS - Desde cero hasta profesional</v>
      </c>
    </row>
    <row r="10661">
      <c r="A10661" s="140" t="str">
        <f>IFERROR(__xludf.DUMMYFUNCTION("""COMPUTED_VALUE"""),"en")</f>
        <v>en</v>
      </c>
      <c r="B10661">
        <f>IFERROR(__xludf.DUMMYFUNCTION("""COMPUTED_VALUE"""),2636828.0)</f>
        <v>2636828</v>
      </c>
      <c r="C10661" t="str">
        <f>IFERROR(__xludf.DUMMYFUNCTION("""COMPUTED_VALUE"""),"SAP FICO (Finance &amp; Controlling )  Simplified For Beginners")</f>
        <v>SAP FICO (Finance &amp; Controlling )  Simplified For Beginners</v>
      </c>
    </row>
    <row r="10662">
      <c r="A10662" s="140" t="str">
        <f>IFERROR(__xludf.DUMMYFUNCTION("""COMPUTED_VALUE"""),"ja")</f>
        <v>ja</v>
      </c>
      <c r="B10662">
        <f>IFERROR(__xludf.DUMMYFUNCTION("""COMPUTED_VALUE"""),2881374.0)</f>
        <v>2881374</v>
      </c>
      <c r="C10662" t="str">
        <f>IFERROR(__xludf.DUMMYFUNCTION("""COMPUTED_VALUE"""),"ネットワークエンジニアを目指す初心者はここから始めよう！「ゼロから学ぶネットワーク基礎」豊富な図解で徹底解説")</f>
        <v>ネットワークエンジニアを目指す初心者はここから始めよう！「ゼロから学ぶネットワーク基礎」豊富な図解で徹底解説</v>
      </c>
    </row>
    <row r="10663">
      <c r="A10663" s="140" t="str">
        <f>IFERROR(__xludf.DUMMYFUNCTION("""COMPUTED_VALUE"""),"ja")</f>
        <v>ja</v>
      </c>
      <c r="B10663">
        <f>IFERROR(__xludf.DUMMYFUNCTION("""COMPUTED_VALUE"""),425618.0)</f>
        <v>425618</v>
      </c>
      <c r="C10663" t="str">
        <f>IFERROR(__xludf.DUMMYFUNCTION("""COMPUTED_VALUE"""),"元Appleエバンジェリスト、ガイ・カワサキの起業家塾（日本語字幕）")</f>
        <v>元Appleエバンジェリスト、ガイ・カワサキの起業家塾（日本語字幕）</v>
      </c>
    </row>
    <row r="10664">
      <c r="A10664" s="140" t="str">
        <f>IFERROR(__xludf.DUMMYFUNCTION("""COMPUTED_VALUE"""),"pt")</f>
        <v>pt</v>
      </c>
      <c r="B10664">
        <f>IFERROR(__xludf.DUMMYFUNCTION("""COMPUTED_VALUE"""),3305110.0)</f>
        <v>3305110</v>
      </c>
      <c r="C10664" t="str">
        <f>IFERROR(__xludf.DUMMYFUNCTION("""COMPUTED_VALUE"""),"Linux Completo + Servidores")</f>
        <v>Linux Completo + Servidores</v>
      </c>
    </row>
    <row r="10665">
      <c r="A10665" s="140" t="str">
        <f>IFERROR(__xludf.DUMMYFUNCTION("""COMPUTED_VALUE"""),"ja")</f>
        <v>ja</v>
      </c>
      <c r="B10665">
        <f>IFERROR(__xludf.DUMMYFUNCTION("""COMPUTED_VALUE"""),1227216.0)</f>
        <v>1227216</v>
      </c>
      <c r="C10665" t="str">
        <f>IFERROR(__xludf.DUMMYFUNCTION("""COMPUTED_VALUE"""),"初心者でも最速でシゴトに使えるC#！")</f>
        <v>初心者でも最速でシゴトに使えるC#！</v>
      </c>
    </row>
    <row r="10666">
      <c r="A10666" s="140" t="str">
        <f>IFERROR(__xludf.DUMMYFUNCTION("""COMPUTED_VALUE"""),"en")</f>
        <v>en</v>
      </c>
      <c r="B10666">
        <f>IFERROR(__xludf.DUMMYFUNCTION("""COMPUTED_VALUE"""),1343998.0)</f>
        <v>1343998</v>
      </c>
      <c r="C10666" t="str">
        <f>IFERROR(__xludf.DUMMYFUNCTION("""COMPUTED_VALUE"""),"Responsive Design HTML CSS Web design - Dreamweaver CC")</f>
        <v>Responsive Design HTML CSS Web design - Dreamweaver CC</v>
      </c>
    </row>
    <row r="10667">
      <c r="A10667" s="140" t="str">
        <f>IFERROR(__xludf.DUMMYFUNCTION("""COMPUTED_VALUE"""),"de")</f>
        <v>de</v>
      </c>
      <c r="B10667">
        <f>IFERROR(__xludf.DUMMYFUNCTION("""COMPUTED_VALUE"""),2252806.0)</f>
        <v>2252806</v>
      </c>
      <c r="C10667" t="str">
        <f>IFERROR(__xludf.DUMMYFUNCTION("""COMPUTED_VALUE"""),"Stress abbauen mit dem Gesetz der Anziehung")</f>
        <v>Stress abbauen mit dem Gesetz der Anziehung</v>
      </c>
    </row>
    <row r="10668">
      <c r="A10668" s="140" t="str">
        <f>IFERROR(__xludf.DUMMYFUNCTION("""COMPUTED_VALUE"""),"en")</f>
        <v>en</v>
      </c>
      <c r="B10668">
        <f>IFERROR(__xludf.DUMMYFUNCTION("""COMPUTED_VALUE"""),1933016.0)</f>
        <v>1933016</v>
      </c>
      <c r="C10668" t="str">
        <f>IFERROR(__xludf.DUMMYFUNCTION("""COMPUTED_VALUE"""),"Informatica Data Quality Developer Specialist Certification")</f>
        <v>Informatica Data Quality Developer Specialist Certification</v>
      </c>
    </row>
    <row r="10669">
      <c r="A10669" s="140" t="str">
        <f>IFERROR(__xludf.DUMMYFUNCTION("""COMPUTED_VALUE"""),"en")</f>
        <v>en</v>
      </c>
      <c r="B10669">
        <f>IFERROR(__xludf.DUMMYFUNCTION("""COMPUTED_VALUE"""),2406934.0)</f>
        <v>2406934</v>
      </c>
      <c r="C10669" t="str">
        <f>IFERROR(__xludf.DUMMYFUNCTION("""COMPUTED_VALUE"""),"Importing Finance Data with Python from Free Web Sources")</f>
        <v>Importing Finance Data with Python from Free Web Sources</v>
      </c>
    </row>
    <row r="10670">
      <c r="A10670" s="140" t="str">
        <f>IFERROR(__xludf.DUMMYFUNCTION("""COMPUTED_VALUE"""),"en")</f>
        <v>en</v>
      </c>
      <c r="B10670">
        <f>IFERROR(__xludf.DUMMYFUNCTION("""COMPUTED_VALUE"""),2558142.0)</f>
        <v>2558142</v>
      </c>
      <c r="C10670" t="str">
        <f>IFERROR(__xludf.DUMMYFUNCTION("""COMPUTED_VALUE"""),"AWS Certified Machine Learning Specialty Full Practice Exam")</f>
        <v>AWS Certified Machine Learning Specialty Full Practice Exam</v>
      </c>
    </row>
    <row r="10671">
      <c r="A10671" s="140" t="str">
        <f>IFERROR(__xludf.DUMMYFUNCTION("""COMPUTED_VALUE"""),"en")</f>
        <v>en</v>
      </c>
      <c r="B10671">
        <f>IFERROR(__xludf.DUMMYFUNCTION("""COMPUTED_VALUE"""),756266.0)</f>
        <v>756266</v>
      </c>
      <c r="C10671" t="str">
        <f>IFERROR(__xludf.DUMMYFUNCTION("""COMPUTED_VALUE"""),"The Complete ServiceNow Developer Course")</f>
        <v>The Complete ServiceNow Developer Course</v>
      </c>
    </row>
    <row r="10672">
      <c r="A10672" s="140" t="str">
        <f>IFERROR(__xludf.DUMMYFUNCTION("""COMPUTED_VALUE"""),"es")</f>
        <v>es</v>
      </c>
      <c r="B10672">
        <f>IFERROR(__xludf.DUMMYFUNCTION("""COMPUTED_VALUE"""),405272.0)</f>
        <v>405272</v>
      </c>
      <c r="C10672" t="str">
        <f>IFERROR(__xludf.DUMMYFUNCTION("""COMPUTED_VALUE"""),"Triunfa en Social Media y conviértete en Community Manager")</f>
        <v>Triunfa en Social Media y conviértete en Community Manager</v>
      </c>
    </row>
    <row r="10673">
      <c r="A10673" s="140" t="str">
        <f>IFERROR(__xludf.DUMMYFUNCTION("""COMPUTED_VALUE"""),"ko")</f>
        <v>ko</v>
      </c>
      <c r="B10673">
        <f>IFERROR(__xludf.DUMMYFUNCTION("""COMPUTED_VALUE"""),3049220.0)</f>
        <v>3049220</v>
      </c>
      <c r="C10673" t="str">
        <f>IFERROR(__xludf.DUMMYFUNCTION("""COMPUTED_VALUE"""),"너무 쉬운 엑셀 피벗 테이블")</f>
        <v>너무 쉬운 엑셀 피벗 테이블</v>
      </c>
    </row>
    <row r="10674">
      <c r="A10674" s="140" t="str">
        <f>IFERROR(__xludf.DUMMYFUNCTION("""COMPUTED_VALUE"""),"en")</f>
        <v>en</v>
      </c>
      <c r="B10674">
        <f>IFERROR(__xludf.DUMMYFUNCTION("""COMPUTED_VALUE"""),887814.0)</f>
        <v>887814</v>
      </c>
      <c r="C10674" t="str">
        <f>IFERROR(__xludf.DUMMYFUNCTION("""COMPUTED_VALUE"""),"Deep Learning: Recurrent Neural Networks in Python")</f>
        <v>Deep Learning: Recurrent Neural Networks in Python</v>
      </c>
    </row>
    <row r="10675">
      <c r="A10675" s="140" t="str">
        <f>IFERROR(__xludf.DUMMYFUNCTION("""COMPUTED_VALUE"""),"en")</f>
        <v>en</v>
      </c>
      <c r="B10675">
        <f>IFERROR(__xludf.DUMMYFUNCTION("""COMPUTED_VALUE"""),1407170.0)</f>
        <v>1407170</v>
      </c>
      <c r="C10675" t="str">
        <f>IFERROR(__xludf.DUMMYFUNCTION("""COMPUTED_VALUE"""),"Affinity Designer: The Complete Guide to Affinity Designer")</f>
        <v>Affinity Designer: The Complete Guide to Affinity Designer</v>
      </c>
    </row>
    <row r="10676">
      <c r="A10676" s="140" t="str">
        <f>IFERROR(__xludf.DUMMYFUNCTION("""COMPUTED_VALUE"""),"en")</f>
        <v>en</v>
      </c>
      <c r="B10676">
        <f>IFERROR(__xludf.DUMMYFUNCTION("""COMPUTED_VALUE"""),2043700.0)</f>
        <v>2043700</v>
      </c>
      <c r="C10676" t="str">
        <f>IFERROR(__xludf.DUMMYFUNCTION("""COMPUTED_VALUE"""),"Apache Maven: Beginner to Guru")</f>
        <v>Apache Maven: Beginner to Guru</v>
      </c>
    </row>
    <row r="10677">
      <c r="A10677" s="140" t="str">
        <f>IFERROR(__xludf.DUMMYFUNCTION("""COMPUTED_VALUE"""),"en")</f>
        <v>en</v>
      </c>
      <c r="B10677">
        <f>IFERROR(__xludf.DUMMYFUNCTION("""COMPUTED_VALUE"""),1438122.0)</f>
        <v>1438122</v>
      </c>
      <c r="C10677" t="str">
        <f>IFERROR(__xludf.DUMMYFUNCTION("""COMPUTED_VALUE"""),"Elegant Browser Automation with Python and Selenium")</f>
        <v>Elegant Browser Automation with Python and Selenium</v>
      </c>
    </row>
    <row r="10678">
      <c r="A10678" s="140" t="str">
        <f>IFERROR(__xludf.DUMMYFUNCTION("""COMPUTED_VALUE"""),"en")</f>
        <v>en</v>
      </c>
      <c r="B10678">
        <f>IFERROR(__xludf.DUMMYFUNCTION("""COMPUTED_VALUE"""),185916.0)</f>
        <v>185916</v>
      </c>
      <c r="C10678" t="str">
        <f>IFERROR(__xludf.DUMMYFUNCTION("""COMPUTED_VALUE"""),"Excel Data Analysis For Dummies")</f>
        <v>Excel Data Analysis For Dummies</v>
      </c>
    </row>
    <row r="10679">
      <c r="A10679" s="140" t="str">
        <f>IFERROR(__xludf.DUMMYFUNCTION("""COMPUTED_VALUE"""),"en")</f>
        <v>en</v>
      </c>
      <c r="B10679">
        <f>IFERROR(__xludf.DUMMYFUNCTION("""COMPUTED_VALUE"""),1051780.0)</f>
        <v>1051780</v>
      </c>
      <c r="C10679" t="str">
        <f>IFERROR(__xludf.DUMMYFUNCTION("""COMPUTED_VALUE"""),"Basic Manual Software Testing +Agile+Bugzilla for beginners")</f>
        <v>Basic Manual Software Testing +Agile+Bugzilla for beginners</v>
      </c>
    </row>
    <row r="10680">
      <c r="A10680" s="140" t="str">
        <f>IFERROR(__xludf.DUMMYFUNCTION("""COMPUTED_VALUE"""),"pt")</f>
        <v>pt</v>
      </c>
      <c r="B10680">
        <f>IFERROR(__xludf.DUMMYFUNCTION("""COMPUTED_VALUE"""),1011736.0)</f>
        <v>1011736</v>
      </c>
      <c r="C10680" t="str">
        <f>IFERROR(__xludf.DUMMYFUNCTION("""COMPUTED_VALUE"""),"Cisco BGP Avançado")</f>
        <v>Cisco BGP Avançado</v>
      </c>
    </row>
    <row r="10681">
      <c r="A10681" s="140" t="str">
        <f>IFERROR(__xludf.DUMMYFUNCTION("""COMPUTED_VALUE"""),"en")</f>
        <v>en</v>
      </c>
      <c r="B10681">
        <f>IFERROR(__xludf.DUMMYFUNCTION("""COMPUTED_VALUE"""),902504.0)</f>
        <v>902504</v>
      </c>
      <c r="C10681" t="str">
        <f>IFERROR(__xludf.DUMMYFUNCTION("""COMPUTED_VALUE"""),"Pic Microcontroller and Pcb designing step by step")</f>
        <v>Pic Microcontroller and Pcb designing step by step</v>
      </c>
    </row>
    <row r="10682">
      <c r="A10682" s="140" t="str">
        <f>IFERROR(__xludf.DUMMYFUNCTION("""COMPUTED_VALUE"""),"ja")</f>
        <v>ja</v>
      </c>
      <c r="B10682">
        <f>IFERROR(__xludf.DUMMYFUNCTION("""COMPUTED_VALUE"""),3357482.0)</f>
        <v>3357482</v>
      </c>
      <c r="C10682" t="str">
        <f>IFERROR(__xludf.DUMMYFUNCTION("""COMPUTED_VALUE"""),"SQLServerのインデックスを理解して検索を速くする方法")</f>
        <v>SQLServerのインデックスを理解して検索を速くする方法</v>
      </c>
    </row>
    <row r="10683">
      <c r="A10683" s="140" t="str">
        <f>IFERROR(__xludf.DUMMYFUNCTION("""COMPUTED_VALUE"""),"en")</f>
        <v>en</v>
      </c>
      <c r="B10683">
        <f>IFERROR(__xludf.DUMMYFUNCTION("""COMPUTED_VALUE"""),1326122.0)</f>
        <v>1326122</v>
      </c>
      <c r="C10683" t="str">
        <f>IFERROR(__xludf.DUMMYFUNCTION("""COMPUTED_VALUE"""),"Process Validation (101) in ISO 9001/Quality/Risk Management")</f>
        <v>Process Validation (101) in ISO 9001/Quality/Risk Management</v>
      </c>
    </row>
    <row r="10684">
      <c r="A10684" s="140" t="str">
        <f>IFERROR(__xludf.DUMMYFUNCTION("""COMPUTED_VALUE"""),"en")</f>
        <v>en</v>
      </c>
      <c r="B10684">
        <f>IFERROR(__xludf.DUMMYFUNCTION("""COMPUTED_VALUE"""),443746.0)</f>
        <v>443746</v>
      </c>
      <c r="C10684" t="str">
        <f>IFERROR(__xludf.DUMMYFUNCTION("""COMPUTED_VALUE"""),"The WpFASTER WordPress Speed Optimization Master Course")</f>
        <v>The WpFASTER WordPress Speed Optimization Master Course</v>
      </c>
    </row>
    <row r="10685">
      <c r="A10685" s="140" t="str">
        <f>IFERROR(__xludf.DUMMYFUNCTION("""COMPUTED_VALUE"""),"en")</f>
        <v>en</v>
      </c>
      <c r="B10685">
        <f>IFERROR(__xludf.DUMMYFUNCTION("""COMPUTED_VALUE"""),3317684.0)</f>
        <v>3317684</v>
      </c>
      <c r="C10685" t="str">
        <f>IFERROR(__xludf.DUMMYFUNCTION("""COMPUTED_VALUE"""),"Dapper - Getting Started")</f>
        <v>Dapper - Getting Started</v>
      </c>
    </row>
    <row r="10686">
      <c r="A10686" s="140" t="str">
        <f>IFERROR(__xludf.DUMMYFUNCTION("""COMPUTED_VALUE"""),"en")</f>
        <v>en</v>
      </c>
      <c r="B10686">
        <f>IFERROR(__xludf.DUMMYFUNCTION("""COMPUTED_VALUE"""),1025702.0)</f>
        <v>1025702</v>
      </c>
      <c r="C10686" t="str">
        <f>IFERROR(__xludf.DUMMYFUNCTION("""COMPUTED_VALUE"""),"CompTIA Network+ (N10-007) Full Course &amp; Practice Exam")</f>
        <v>CompTIA Network+ (N10-007) Full Course &amp; Practice Exam</v>
      </c>
    </row>
    <row r="10687">
      <c r="A10687" s="140" t="str">
        <f>IFERROR(__xludf.DUMMYFUNCTION("""COMPUTED_VALUE"""),"tr")</f>
        <v>tr</v>
      </c>
      <c r="B10687">
        <f>IFERROR(__xludf.DUMMYFUNCTION("""COMPUTED_VALUE"""),3336162.0)</f>
        <v>3336162</v>
      </c>
      <c r="C10687" t="str">
        <f>IFERROR(__xludf.DUMMYFUNCTION("""COMPUTED_VALUE"""),"Sıfırdan İleri Seviyeye Siemens NX Kursu (150+ Uygulama)")</f>
        <v>Sıfırdan İleri Seviyeye Siemens NX Kursu (150+ Uygulama)</v>
      </c>
    </row>
    <row r="10688">
      <c r="A10688" s="140" t="str">
        <f>IFERROR(__xludf.DUMMYFUNCTION("""COMPUTED_VALUE"""),"en")</f>
        <v>en</v>
      </c>
      <c r="B10688">
        <f>IFERROR(__xludf.DUMMYFUNCTION("""COMPUTED_VALUE"""),3325258.0)</f>
        <v>3325258</v>
      </c>
      <c r="C10688" t="str">
        <f>IFERROR(__xludf.DUMMYFUNCTION("""COMPUTED_VALUE"""),"Azure Architect Technologies: AZ-303 (Updated October 2021)")</f>
        <v>Azure Architect Technologies: AZ-303 (Updated October 2021)</v>
      </c>
    </row>
    <row r="10689">
      <c r="A10689" s="140" t="str">
        <f>IFERROR(__xludf.DUMMYFUNCTION("""COMPUTED_VALUE"""),"es")</f>
        <v>es</v>
      </c>
      <c r="B10689">
        <f>IFERROR(__xludf.DUMMYFUNCTION("""COMPUTED_VALUE"""),3940940.0)</f>
        <v>3940940</v>
      </c>
      <c r="C10689" t="str">
        <f>IFERROR(__xludf.DUMMYFUNCTION("""COMPUTED_VALUE"""),"El curso con más valor del 2021: Storytelling + Copywriting")</f>
        <v>El curso con más valor del 2021: Storytelling + Copywriting</v>
      </c>
    </row>
    <row r="10690">
      <c r="A10690" s="140" t="str">
        <f>IFERROR(__xludf.DUMMYFUNCTION("""COMPUTED_VALUE"""),"en")</f>
        <v>en</v>
      </c>
      <c r="B10690">
        <f>IFERROR(__xludf.DUMMYFUNCTION("""COMPUTED_VALUE"""),1338298.0)</f>
        <v>1338298</v>
      </c>
      <c r="C10690" t="str">
        <f>IFERROR(__xludf.DUMMYFUNCTION("""COMPUTED_VALUE"""),"The Beginner's Guide to Color Theory for Digital Artists")</f>
        <v>The Beginner's Guide to Color Theory for Digital Artists</v>
      </c>
    </row>
    <row r="10691">
      <c r="A10691" s="140" t="str">
        <f>IFERROR(__xludf.DUMMYFUNCTION("""COMPUTED_VALUE"""),"ja")</f>
        <v>ja</v>
      </c>
      <c r="B10691">
        <f>IFERROR(__xludf.DUMMYFUNCTION("""COMPUTED_VALUE"""),1915034.0)</f>
        <v>1915034</v>
      </c>
      <c r="C10691" t="str">
        <f>IFERROR(__xludf.DUMMYFUNCTION("""COMPUTED_VALUE"""),"経験ゼロからC#プログラミングがある程度出来るようになる方法【Windows Forms編】")</f>
        <v>経験ゼロからC#プログラミングがある程度出来るようになる方法【Windows Forms編】</v>
      </c>
    </row>
    <row r="10692">
      <c r="A10692" s="140" t="str">
        <f>IFERROR(__xludf.DUMMYFUNCTION("""COMPUTED_VALUE"""),"en")</f>
        <v>en</v>
      </c>
      <c r="B10692">
        <f>IFERROR(__xludf.DUMMYFUNCTION("""COMPUTED_VALUE"""),3082678.0)</f>
        <v>3082678</v>
      </c>
      <c r="C10692" t="str">
        <f>IFERROR(__xludf.DUMMYFUNCTION("""COMPUTED_VALUE"""),"AWS Certification - Solutions Architect Associate - 2021")</f>
        <v>AWS Certification - Solutions Architect Associate - 2021</v>
      </c>
    </row>
    <row r="10693">
      <c r="A10693" s="140" t="str">
        <f>IFERROR(__xludf.DUMMYFUNCTION("""COMPUTED_VALUE"""),"en")</f>
        <v>en</v>
      </c>
      <c r="B10693">
        <f>IFERROR(__xludf.DUMMYFUNCTION("""COMPUTED_VALUE"""),2873370.0)</f>
        <v>2873370</v>
      </c>
      <c r="C10693" t="str">
        <f>IFERROR(__xludf.DUMMYFUNCTION("""COMPUTED_VALUE"""),"AZ-104: Microsoft Azure Administrator -  Full Course")</f>
        <v>AZ-104: Microsoft Azure Administrator -  Full Course</v>
      </c>
    </row>
    <row r="10694">
      <c r="A10694" s="140" t="str">
        <f>IFERROR(__xludf.DUMMYFUNCTION("""COMPUTED_VALUE"""),"ja")</f>
        <v>ja</v>
      </c>
      <c r="B10694">
        <f>IFERROR(__xludf.DUMMYFUNCTION("""COMPUTED_VALUE"""),1820806.0)</f>
        <v>1820806</v>
      </c>
      <c r="C10694" t="str">
        <f>IFERROR(__xludf.DUMMYFUNCTION("""COMPUTED_VALUE"""),"【2021年3月リニューアル！】挨拶から店舗予約まで！手を動かして学ぶAIチャットボット開発入門")</f>
        <v>【2021年3月リニューアル！】挨拶から店舗予約まで！手を動かして学ぶAIチャットボット開発入門</v>
      </c>
    </row>
    <row r="10695">
      <c r="A10695" s="140" t="str">
        <f>IFERROR(__xludf.DUMMYFUNCTION("""COMPUTED_VALUE"""),"en")</f>
        <v>en</v>
      </c>
      <c r="B10695">
        <f>IFERROR(__xludf.DUMMYFUNCTION("""COMPUTED_VALUE"""),2153774.0)</f>
        <v>2153774</v>
      </c>
      <c r="C10695" t="str">
        <f>IFERROR(__xludf.DUMMYFUNCTION("""COMPUTED_VALUE"""),"Modern HTML &amp; CSS From The Beginning (Including Sass)")</f>
        <v>Modern HTML &amp; CSS From The Beginning (Including Sass)</v>
      </c>
    </row>
    <row r="10696">
      <c r="A10696" s="140" t="str">
        <f>IFERROR(__xludf.DUMMYFUNCTION("""COMPUTED_VALUE"""),"ja")</f>
        <v>ja</v>
      </c>
      <c r="B10696">
        <f>IFERROR(__xludf.DUMMYFUNCTION("""COMPUTED_VALUE"""),576260.0)</f>
        <v>576260</v>
      </c>
      <c r="C10696" t="str">
        <f>IFERROR(__xludf.DUMMYFUNCTION("""COMPUTED_VALUE"""),"「経営者たちのストーリー」②　ネットイヤーグループ　石黒不二代")</f>
        <v>「経営者たちのストーリー」②　ネットイヤーグループ　石黒不二代</v>
      </c>
    </row>
    <row r="10697">
      <c r="A10697" s="140" t="str">
        <f>IFERROR(__xludf.DUMMYFUNCTION("""COMPUTED_VALUE"""),"pt")</f>
        <v>pt</v>
      </c>
      <c r="B10697">
        <f>IFERROR(__xludf.DUMMYFUNCTION("""COMPUTED_VALUE"""),1938036.0)</f>
        <v>1938036</v>
      </c>
      <c r="C10697" t="str">
        <f>IFERROR(__xludf.DUMMYFUNCTION("""COMPUTED_VALUE"""),"Shell Script: Do Básico ao Profissional")</f>
        <v>Shell Script: Do Básico ao Profissional</v>
      </c>
    </row>
    <row r="10698">
      <c r="A10698" s="140" t="str">
        <f>IFERROR(__xludf.DUMMYFUNCTION("""COMPUTED_VALUE"""),"en")</f>
        <v>en</v>
      </c>
      <c r="B10698">
        <f>IFERROR(__xludf.DUMMYFUNCTION("""COMPUTED_VALUE"""),3065812.0)</f>
        <v>3065812</v>
      </c>
      <c r="C10698" t="str">
        <f>IFERROR(__xludf.DUMMYFUNCTION("""COMPUTED_VALUE"""),"MD-100 Windows 10 Microsoft Instructor Led Training Course")</f>
        <v>MD-100 Windows 10 Microsoft Instructor Led Training Course</v>
      </c>
    </row>
    <row r="10699">
      <c r="A10699" s="140" t="str">
        <f>IFERROR(__xludf.DUMMYFUNCTION("""COMPUTED_VALUE"""),"en")</f>
        <v>en</v>
      </c>
      <c r="B10699">
        <f>IFERROR(__xludf.DUMMYFUNCTION("""COMPUTED_VALUE"""),1096842.0)</f>
        <v>1096842</v>
      </c>
      <c r="C10699" t="str">
        <f>IFERROR(__xludf.DUMMYFUNCTION("""COMPUTED_VALUE"""),"Mastering DNS on Windows Server 2016")</f>
        <v>Mastering DNS on Windows Server 2016</v>
      </c>
    </row>
    <row r="10700">
      <c r="A10700" s="140" t="str">
        <f>IFERROR(__xludf.DUMMYFUNCTION("""COMPUTED_VALUE"""),"en")</f>
        <v>en</v>
      </c>
      <c r="B10700">
        <f>IFERROR(__xludf.DUMMYFUNCTION("""COMPUTED_VALUE"""),466000.0)</f>
        <v>466000</v>
      </c>
      <c r="C10700" t="str">
        <f>IFERROR(__xludf.DUMMYFUNCTION("""COMPUTED_VALUE"""),"SEO Tutorial for Beginners")</f>
        <v>SEO Tutorial for Beginners</v>
      </c>
    </row>
    <row r="10701">
      <c r="A10701" s="140" t="str">
        <f>IFERROR(__xludf.DUMMYFUNCTION("""COMPUTED_VALUE"""),"en")</f>
        <v>en</v>
      </c>
      <c r="B10701">
        <f>IFERROR(__xludf.DUMMYFUNCTION("""COMPUTED_VALUE"""),657932.0)</f>
        <v>657932</v>
      </c>
      <c r="C10701" t="str">
        <f>IFERROR(__xludf.DUMMYFUNCTION("""COMPUTED_VALUE"""),"Unreal Engine C++ Developer: Learn C++ and Make Video Games")</f>
        <v>Unreal Engine C++ Developer: Learn C++ and Make Video Games</v>
      </c>
    </row>
    <row r="10702">
      <c r="A10702" s="140" t="str">
        <f>IFERROR(__xludf.DUMMYFUNCTION("""COMPUTED_VALUE"""),"en")</f>
        <v>en</v>
      </c>
      <c r="B10702">
        <f>IFERROR(__xludf.DUMMYFUNCTION("""COMPUTED_VALUE"""),1968412.0)</f>
        <v>1968412</v>
      </c>
      <c r="C10702" t="str">
        <f>IFERROR(__xludf.DUMMYFUNCTION("""COMPUTED_VALUE"""),"The Bootstrap 4 Bootcamp")</f>
        <v>The Bootstrap 4 Bootcamp</v>
      </c>
    </row>
    <row r="10703">
      <c r="A10703" s="140" t="str">
        <f>IFERROR(__xludf.DUMMYFUNCTION("""COMPUTED_VALUE"""),"es")</f>
        <v>es</v>
      </c>
      <c r="B10703">
        <f>IFERROR(__xludf.DUMMYFUNCTION("""COMPUTED_VALUE"""),934026.0)</f>
        <v>934026</v>
      </c>
      <c r="C10703" t="str">
        <f>IFERROR(__xludf.DUMMYFUNCTION("""COMPUTED_VALUE"""),"Curso Completo de Linux Ubuntu Server")</f>
        <v>Curso Completo de Linux Ubuntu Server</v>
      </c>
    </row>
    <row r="10704">
      <c r="A10704" s="140" t="str">
        <f>IFERROR(__xludf.DUMMYFUNCTION("""COMPUTED_VALUE"""),"en")</f>
        <v>en</v>
      </c>
      <c r="B10704">
        <f>IFERROR(__xludf.DUMMYFUNCTION("""COMPUTED_VALUE"""),1692760.0)</f>
        <v>1692760</v>
      </c>
      <c r="C10704" t="str">
        <f>IFERROR(__xludf.DUMMYFUNCTION("""COMPUTED_VALUE"""),"SAP ABAP Netweaver 7.50 certification preparation test")</f>
        <v>SAP ABAP Netweaver 7.50 certification preparation test</v>
      </c>
    </row>
    <row r="10705">
      <c r="A10705" s="140" t="str">
        <f>IFERROR(__xludf.DUMMYFUNCTION("""COMPUTED_VALUE"""),"en")</f>
        <v>en</v>
      </c>
      <c r="B10705">
        <f>IFERROR(__xludf.DUMMYFUNCTION("""COMPUTED_VALUE"""),1153034.0)</f>
        <v>1153034</v>
      </c>
      <c r="C10705" t="str">
        <f>IFERROR(__xludf.DUMMYFUNCTION("""COMPUTED_VALUE"""),"The Complete Shopify Aliexpress Dropship course")</f>
        <v>The Complete Shopify Aliexpress Dropship course</v>
      </c>
    </row>
    <row r="10706">
      <c r="A10706" s="140" t="str">
        <f>IFERROR(__xludf.DUMMYFUNCTION("""COMPUTED_VALUE"""),"es")</f>
        <v>es</v>
      </c>
      <c r="B10706">
        <f>IFERROR(__xludf.DUMMYFUNCTION("""COMPUTED_VALUE"""),1235528.0)</f>
        <v>1235528</v>
      </c>
      <c r="C10706" t="str">
        <f>IFERROR(__xludf.DUMMYFUNCTION("""COMPUTED_VALUE"""),"Análisis y Visualización de Datos con Tableau")</f>
        <v>Análisis y Visualización de Datos con Tableau</v>
      </c>
    </row>
    <row r="10707">
      <c r="A10707" s="140" t="str">
        <f>IFERROR(__xludf.DUMMYFUNCTION("""COMPUTED_VALUE"""),"en")</f>
        <v>en</v>
      </c>
      <c r="B10707">
        <f>IFERROR(__xludf.DUMMYFUNCTION("""COMPUTED_VALUE"""),3305952.0)</f>
        <v>3305952</v>
      </c>
      <c r="C10707" t="str">
        <f>IFERROR(__xludf.DUMMYFUNCTION("""COMPUTED_VALUE"""),"Web Automation Testing For Beginners Using Nightwatch.js")</f>
        <v>Web Automation Testing For Beginners Using Nightwatch.js</v>
      </c>
    </row>
    <row r="10708">
      <c r="A10708" s="140" t="str">
        <f>IFERROR(__xludf.DUMMYFUNCTION("""COMPUTED_VALUE"""),"en")</f>
        <v>en</v>
      </c>
      <c r="B10708">
        <f>IFERROR(__xludf.DUMMYFUNCTION("""COMPUTED_VALUE"""),640100.0)</f>
        <v>640100</v>
      </c>
      <c r="C10708" t="str">
        <f>IFERROR(__xludf.DUMMYFUNCTION("""COMPUTED_VALUE"""),"Accounting &amp; Financial Statement Analysis: Complete Training")</f>
        <v>Accounting &amp; Financial Statement Analysis: Complete Training</v>
      </c>
    </row>
    <row r="10709">
      <c r="A10709" s="140" t="str">
        <f>IFERROR(__xludf.DUMMYFUNCTION("""COMPUTED_VALUE"""),"es")</f>
        <v>es</v>
      </c>
      <c r="B10709">
        <f>IFERROR(__xludf.DUMMYFUNCTION("""COMPUTED_VALUE"""),535696.0)</f>
        <v>535696</v>
      </c>
      <c r="C10709" t="str">
        <f>IFERROR(__xludf.DUMMYFUNCTION("""COMPUTED_VALUE"""),"Diseño Web Responsive con Foundation for Sites SASS y XYGrid")</f>
        <v>Diseño Web Responsive con Foundation for Sites SASS y XYGrid</v>
      </c>
    </row>
    <row r="10710">
      <c r="A10710" s="140" t="str">
        <f>IFERROR(__xludf.DUMMYFUNCTION("""COMPUTED_VALUE"""),"es")</f>
        <v>es</v>
      </c>
      <c r="B10710">
        <f>IFERROR(__xludf.DUMMYFUNCTION("""COMPUTED_VALUE"""),1718846.0)</f>
        <v>1718846</v>
      </c>
      <c r="C10710" t="str">
        <f>IFERROR(__xludf.DUMMYFUNCTION("""COMPUTED_VALUE"""),"SQL Server: Programando Procedimientos, Triggers y funciones")</f>
        <v>SQL Server: Programando Procedimientos, Triggers y funciones</v>
      </c>
    </row>
    <row r="10711">
      <c r="A10711" s="140" t="str">
        <f>IFERROR(__xludf.DUMMYFUNCTION("""COMPUTED_VALUE"""),"en")</f>
        <v>en</v>
      </c>
      <c r="B10711">
        <f>IFERROR(__xludf.DUMMYFUNCTION("""COMPUTED_VALUE"""),50735.0)</f>
        <v>50735</v>
      </c>
      <c r="C10711" t="str">
        <f>IFERROR(__xludf.DUMMYFUNCTION("""COMPUTED_VALUE"""),"Google Ads for Beginners")</f>
        <v>Google Ads for Beginners</v>
      </c>
    </row>
    <row r="10712">
      <c r="A10712" s="140" t="str">
        <f>IFERROR(__xludf.DUMMYFUNCTION("""COMPUTED_VALUE"""),"en")</f>
        <v>en</v>
      </c>
      <c r="B10712">
        <f>IFERROR(__xludf.DUMMYFUNCTION("""COMPUTED_VALUE"""),1135474.0)</f>
        <v>1135474</v>
      </c>
      <c r="C10712" t="str">
        <f>IFERROR(__xludf.DUMMYFUNCTION("""COMPUTED_VALUE"""),"3 Minute Spanish - Course 3 | Language lessons for beginners")</f>
        <v>3 Minute Spanish - Course 3 | Language lessons for beginners</v>
      </c>
    </row>
    <row r="10713">
      <c r="A10713" s="140" t="str">
        <f>IFERROR(__xludf.DUMMYFUNCTION("""COMPUTED_VALUE"""),"en")</f>
        <v>en</v>
      </c>
      <c r="B10713">
        <f>IFERROR(__xludf.DUMMYFUNCTION("""COMPUTED_VALUE"""),618330.0)</f>
        <v>618330</v>
      </c>
      <c r="C10713" t="str">
        <f>IFERROR(__xludf.DUMMYFUNCTION("""COMPUTED_VALUE"""),"Learn Maltese in Maltese: speak and write Malta's language")</f>
        <v>Learn Maltese in Maltese: speak and write Malta's language</v>
      </c>
    </row>
    <row r="10714">
      <c r="A10714" s="140" t="str">
        <f>IFERROR(__xludf.DUMMYFUNCTION("""COMPUTED_VALUE"""),"en")</f>
        <v>en</v>
      </c>
      <c r="B10714">
        <f>IFERROR(__xludf.DUMMYFUNCTION("""COMPUTED_VALUE"""),1805264.0)</f>
        <v>1805264</v>
      </c>
      <c r="C10714" t="str">
        <f>IFERROR(__xludf.DUMMYFUNCTION("""COMPUTED_VALUE"""),"BGP on MikroTik with LABS - From Entry to Intermediate level")</f>
        <v>BGP on MikroTik with LABS - From Entry to Intermediate level</v>
      </c>
    </row>
    <row r="10715">
      <c r="A10715" s="140" t="str">
        <f>IFERROR(__xludf.DUMMYFUNCTION("""COMPUTED_VALUE"""),"pt")</f>
        <v>pt</v>
      </c>
      <c r="B10715">
        <f>IFERROR(__xludf.DUMMYFUNCTION("""COMPUTED_VALUE"""),3582085.0)</f>
        <v>3582085</v>
      </c>
      <c r="C10715" t="str">
        <f>IFERROR(__xludf.DUMMYFUNCTION("""COMPUTED_VALUE"""),"Linkedin ADS - Crie Campanhas e Anúncios Otimizados (2021)")</f>
        <v>Linkedin ADS - Crie Campanhas e Anúncios Otimizados (2021)</v>
      </c>
    </row>
    <row r="10716">
      <c r="A10716" s="140" t="str">
        <f>IFERROR(__xludf.DUMMYFUNCTION("""COMPUTED_VALUE"""),"en")</f>
        <v>en</v>
      </c>
      <c r="B10716">
        <f>IFERROR(__xludf.DUMMYFUNCTION("""COMPUTED_VALUE"""),3136332.0)</f>
        <v>3136332</v>
      </c>
      <c r="C10716" t="str">
        <f>IFERROR(__xludf.DUMMYFUNCTION("""COMPUTED_VALUE"""),"Power Apps - Complete Guide to Microsoft PowerApps")</f>
        <v>Power Apps - Complete Guide to Microsoft PowerApps</v>
      </c>
    </row>
    <row r="10717">
      <c r="A10717" s="140" t="str">
        <f>IFERROR(__xludf.DUMMYFUNCTION("""COMPUTED_VALUE"""),"es")</f>
        <v>es</v>
      </c>
      <c r="B10717">
        <f>IFERROR(__xludf.DUMMYFUNCTION("""COMPUTED_VALUE"""),538530.0)</f>
        <v>538530</v>
      </c>
      <c r="C10717" t="str">
        <f>IFERROR(__xludf.DUMMYFUNCTION("""COMPUTED_VALUE"""),"Tablas dinámicas y análisis de datos e hipótesis con Excel")</f>
        <v>Tablas dinámicas y análisis de datos e hipótesis con Excel</v>
      </c>
    </row>
    <row r="10718">
      <c r="A10718" s="140" t="str">
        <f>IFERROR(__xludf.DUMMYFUNCTION("""COMPUTED_VALUE"""),"en")</f>
        <v>en</v>
      </c>
      <c r="B10718">
        <f>IFERROR(__xludf.DUMMYFUNCTION("""COMPUTED_VALUE"""),865984.0)</f>
        <v>865984</v>
      </c>
      <c r="C10718" t="str">
        <f>IFERROR(__xludf.DUMMYFUNCTION("""COMPUTED_VALUE"""),"A+ 2016: Operating Systems Fundamentals")</f>
        <v>A+ 2016: Operating Systems Fundamentals</v>
      </c>
    </row>
    <row r="10719">
      <c r="A10719" s="140" t="str">
        <f>IFERROR(__xludf.DUMMYFUNCTION("""COMPUTED_VALUE"""),"en")</f>
        <v>en</v>
      </c>
      <c r="B10719">
        <f>IFERROR(__xludf.DUMMYFUNCTION("""COMPUTED_VALUE"""),1870470.0)</f>
        <v>1870470</v>
      </c>
      <c r="C10719" t="str">
        <f>IFERROR(__xludf.DUMMYFUNCTION("""COMPUTED_VALUE"""),"Oracle Fusion Technical-Business Intelligence &amp; OTBI Reports")</f>
        <v>Oracle Fusion Technical-Business Intelligence &amp; OTBI Reports</v>
      </c>
    </row>
    <row r="10720">
      <c r="A10720" s="140" t="str">
        <f>IFERROR(__xludf.DUMMYFUNCTION("""COMPUTED_VALUE"""),"en")</f>
        <v>en</v>
      </c>
      <c r="B10720">
        <f>IFERROR(__xludf.DUMMYFUNCTION("""COMPUTED_VALUE"""),1784160.0)</f>
        <v>1784160</v>
      </c>
      <c r="C10720" t="str">
        <f>IFERROR(__xludf.DUMMYFUNCTION("""COMPUTED_VALUE"""),"Learn Maven and Ant the easy way!")</f>
        <v>Learn Maven and Ant the easy way!</v>
      </c>
    </row>
    <row r="10721">
      <c r="A10721" s="140" t="str">
        <f>IFERROR(__xludf.DUMMYFUNCTION("""COMPUTED_VALUE"""),"es")</f>
        <v>es</v>
      </c>
      <c r="B10721">
        <f>IFERROR(__xludf.DUMMYFUNCTION("""COMPUTED_VALUE"""),4310310.0)</f>
        <v>4310310</v>
      </c>
      <c r="C10721" t="str">
        <f>IFERROR(__xludf.DUMMYFUNCTION("""COMPUTED_VALUE"""),"Planeación Financiera")</f>
        <v>Planeación Financiera</v>
      </c>
    </row>
    <row r="10722">
      <c r="A10722" s="140" t="str">
        <f>IFERROR(__xludf.DUMMYFUNCTION("""COMPUTED_VALUE"""),"en")</f>
        <v>en</v>
      </c>
      <c r="B10722">
        <f>IFERROR(__xludf.DUMMYFUNCTION("""COMPUTED_VALUE"""),3874004.0)</f>
        <v>3874004</v>
      </c>
      <c r="C10722" t="str">
        <f>IFERROR(__xludf.DUMMYFUNCTION("""COMPUTED_VALUE"""),"Next.Js React Node JavaScript MERN LMS eLearning Marketplace")</f>
        <v>Next.Js React Node JavaScript MERN LMS eLearning Marketplace</v>
      </c>
    </row>
    <row r="10723">
      <c r="A10723" s="140" t="str">
        <f>IFERROR(__xludf.DUMMYFUNCTION("""COMPUTED_VALUE"""),"ja")</f>
        <v>ja</v>
      </c>
      <c r="B10723">
        <f>IFERROR(__xludf.DUMMYFUNCTION("""COMPUTED_VALUE"""),2565224.0)</f>
        <v>2565224</v>
      </c>
      <c r="C10723" t="str">
        <f>IFERROR(__xludf.DUMMYFUNCTION("""COMPUTED_VALUE"""),"【2021年最新版】Adobe XD 手を動かして覚えるUI/UXプロトタイピング。初級から高度テクニックまで全てを学ぶ")</f>
        <v>【2021年最新版】Adobe XD 手を動かして覚えるUI/UXプロトタイピング。初級から高度テクニックまで全てを学ぶ</v>
      </c>
    </row>
    <row r="10724">
      <c r="A10724" s="140" t="str">
        <f>IFERROR(__xludf.DUMMYFUNCTION("""COMPUTED_VALUE"""),"en")</f>
        <v>en</v>
      </c>
      <c r="B10724">
        <f>IFERROR(__xludf.DUMMYFUNCTION("""COMPUTED_VALUE"""),1646098.0)</f>
        <v>1646098</v>
      </c>
      <c r="C10724" t="str">
        <f>IFERROR(__xludf.DUMMYFUNCTION("""COMPUTED_VALUE"""),"Programming the Arduino - Getting Started")</f>
        <v>Programming the Arduino - Getting Started</v>
      </c>
    </row>
    <row r="10725">
      <c r="A10725" s="140" t="str">
        <f>IFERROR(__xludf.DUMMYFUNCTION("""COMPUTED_VALUE"""),"en")</f>
        <v>en</v>
      </c>
      <c r="B10725">
        <f>IFERROR(__xludf.DUMMYFUNCTION("""COMPUTED_VALUE"""),1475058.0)</f>
        <v>1475058</v>
      </c>
      <c r="C10725" t="str">
        <f>IFERROR(__xludf.DUMMYFUNCTION("""COMPUTED_VALUE"""),"Building Your Team: How to put together the perfect team")</f>
        <v>Building Your Team: How to put together the perfect team</v>
      </c>
    </row>
    <row r="10726">
      <c r="A10726" s="140" t="str">
        <f>IFERROR(__xludf.DUMMYFUNCTION("""COMPUTED_VALUE"""),"pt")</f>
        <v>pt</v>
      </c>
      <c r="B10726">
        <f>IFERROR(__xludf.DUMMYFUNCTION("""COMPUTED_VALUE"""),2354218.0)</f>
        <v>2354218</v>
      </c>
      <c r="C10726" t="str">
        <f>IFERROR(__xludf.DUMMYFUNCTION("""COMPUTED_VALUE"""),"Manipulação e Análise de Dados com Pandas - Python")</f>
        <v>Manipulação e Análise de Dados com Pandas - Python</v>
      </c>
    </row>
    <row r="10727">
      <c r="A10727" s="140" t="str">
        <f>IFERROR(__xludf.DUMMYFUNCTION("""COMPUTED_VALUE"""),"es")</f>
        <v>es</v>
      </c>
      <c r="B10727">
        <f>IFERROR(__xludf.DUMMYFUNCTION("""COMPUTED_VALUE"""),2908420.0)</f>
        <v>2908420</v>
      </c>
      <c r="C10727" t="str">
        <f>IFERROR(__xludf.DUMMYFUNCTION("""COMPUTED_VALUE"""),"ITIL 4 FUNDAMENTOS - 6 EXAMENES DE PRACTICA (240 PREGUNTAS )")</f>
        <v>ITIL 4 FUNDAMENTOS - 6 EXAMENES DE PRACTICA (240 PREGUNTAS )</v>
      </c>
    </row>
    <row r="10728">
      <c r="A10728" s="140" t="str">
        <f>IFERROR(__xludf.DUMMYFUNCTION("""COMPUTED_VALUE"""),"en")</f>
        <v>en</v>
      </c>
      <c r="B10728">
        <f>IFERROR(__xludf.DUMMYFUNCTION("""COMPUTED_VALUE"""),410738.0)</f>
        <v>410738</v>
      </c>
      <c r="C10728" t="str">
        <f>IFERROR(__xludf.DUMMYFUNCTION("""COMPUTED_VALUE"""),"Certified Network Marketer (Network Marketing &amp; MLM Mastery)")</f>
        <v>Certified Network Marketer (Network Marketing &amp; MLM Mastery)</v>
      </c>
    </row>
    <row r="10729">
      <c r="A10729" s="140" t="str">
        <f>IFERROR(__xludf.DUMMYFUNCTION("""COMPUTED_VALUE"""),"es")</f>
        <v>es</v>
      </c>
      <c r="B10729">
        <f>IFERROR(__xludf.DUMMYFUNCTION("""COMPUTED_VALUE"""),1223302.0)</f>
        <v>1223302</v>
      </c>
      <c r="C10729" t="str">
        <f>IFERROR(__xludf.DUMMYFUNCTION("""COMPUTED_VALUE"""),"Master Unreal Engine 4 Desarrollo Videojuegos con Blueprints")</f>
        <v>Master Unreal Engine 4 Desarrollo Videojuegos con Blueprints</v>
      </c>
    </row>
    <row r="10730">
      <c r="A10730" s="140" t="str">
        <f>IFERROR(__xludf.DUMMYFUNCTION("""COMPUTED_VALUE"""),"fr")</f>
        <v>fr</v>
      </c>
      <c r="B10730">
        <f>IFERROR(__xludf.DUMMYFUNCTION("""COMPUTED_VALUE"""),987472.0)</f>
        <v>987472</v>
      </c>
      <c r="C10730" t="str">
        <f>IFERROR(__xludf.DUMMYFUNCTION("""COMPUTED_VALUE"""),"Unity3D Développer, Monétiser un jeu pour Smartphone ANDROID")</f>
        <v>Unity3D Développer, Monétiser un jeu pour Smartphone ANDROID</v>
      </c>
    </row>
    <row r="10731">
      <c r="A10731" s="140" t="str">
        <f>IFERROR(__xludf.DUMMYFUNCTION("""COMPUTED_VALUE"""),"en")</f>
        <v>en</v>
      </c>
      <c r="B10731">
        <f>IFERROR(__xludf.DUMMYFUNCTION("""COMPUTED_VALUE"""),957422.0)</f>
        <v>957422</v>
      </c>
      <c r="C10731" t="str">
        <f>IFERROR(__xludf.DUMMYFUNCTION("""COMPUTED_VALUE"""),"How to Create A Website: An HTML Tutorial and CSS Tutorial")</f>
        <v>How to Create A Website: An HTML Tutorial and CSS Tutorial</v>
      </c>
    </row>
    <row r="10732">
      <c r="A10732" s="140" t="str">
        <f>IFERROR(__xludf.DUMMYFUNCTION("""COMPUTED_VALUE"""),"fr")</f>
        <v>fr</v>
      </c>
      <c r="B10732">
        <f>IFERROR(__xludf.DUMMYFUNCTION("""COMPUTED_VALUE"""),2674162.0)</f>
        <v>2674162</v>
      </c>
      <c r="C10732" t="str">
        <f>IFERROR(__xludf.DUMMYFUNCTION("""COMPUTED_VALUE"""),"Développeur React | Formation Complète (2021)")</f>
        <v>Développeur React | Formation Complète (2021)</v>
      </c>
    </row>
    <row r="10733">
      <c r="A10733" s="140" t="str">
        <f>IFERROR(__xludf.DUMMYFUNCTION("""COMPUTED_VALUE"""),"en")</f>
        <v>en</v>
      </c>
      <c r="B10733">
        <f>IFERROR(__xludf.DUMMYFUNCTION("""COMPUTED_VALUE"""),1002594.0)</f>
        <v>1002594</v>
      </c>
      <c r="C10733" t="str">
        <f>IFERROR(__xludf.DUMMYFUNCTION("""COMPUTED_VALUE"""),"Dreamweaver - Coding your first website using Dreamweaver")</f>
        <v>Dreamweaver - Coding your first website using Dreamweaver</v>
      </c>
    </row>
    <row r="10734">
      <c r="A10734" s="140" t="str">
        <f>IFERROR(__xludf.DUMMYFUNCTION("""COMPUTED_VALUE"""),"en")</f>
        <v>en</v>
      </c>
      <c r="B10734">
        <f>IFERROR(__xludf.DUMMYFUNCTION("""COMPUTED_VALUE"""),1512962.0)</f>
        <v>1512962</v>
      </c>
      <c r="C10734" t="str">
        <f>IFERROR(__xludf.DUMMYFUNCTION("""COMPUTED_VALUE"""),"Angular (Full App) with Angular Material, Angularfire &amp; NgRx")</f>
        <v>Angular (Full App) with Angular Material, Angularfire &amp; NgRx</v>
      </c>
    </row>
    <row r="10735">
      <c r="A10735" s="140" t="str">
        <f>IFERROR(__xludf.DUMMYFUNCTION("""COMPUTED_VALUE"""),"es")</f>
        <v>es</v>
      </c>
      <c r="B10735">
        <f>IFERROR(__xludf.DUMMYFUNCTION("""COMPUTED_VALUE"""),2872352.0)</f>
        <v>2872352</v>
      </c>
      <c r="C10735" t="str">
        <f>IFERROR(__xludf.DUMMYFUNCTION("""COMPUTED_VALUE"""),"OPC UA, MQTT, Microsoft Azure IoT e Industria 4.0")</f>
        <v>OPC UA, MQTT, Microsoft Azure IoT e Industria 4.0</v>
      </c>
    </row>
    <row r="10736">
      <c r="A10736" s="140" t="str">
        <f>IFERROR(__xludf.DUMMYFUNCTION("""COMPUTED_VALUE"""),"en")</f>
        <v>en</v>
      </c>
      <c r="B10736">
        <f>IFERROR(__xludf.DUMMYFUNCTION("""COMPUTED_VALUE"""),3238689.0)</f>
        <v>3238689</v>
      </c>
      <c r="C10736" t="str">
        <f>IFERROR(__xludf.DUMMYFUNCTION("""COMPUTED_VALUE"""),"Introduction to Automotive Product  Design &amp; development")</f>
        <v>Introduction to Automotive Product  Design &amp; development</v>
      </c>
    </row>
    <row r="10737">
      <c r="A10737" s="140" t="str">
        <f>IFERROR(__xludf.DUMMYFUNCTION("""COMPUTED_VALUE"""),"pt")</f>
        <v>pt</v>
      </c>
      <c r="B10737">
        <f>IFERROR(__xludf.DUMMYFUNCTION("""COMPUTED_VALUE"""),1355098.0)</f>
        <v>1355098</v>
      </c>
      <c r="C10737" t="str">
        <f>IFERROR(__xludf.DUMMYFUNCTION("""COMPUTED_VALUE"""),"Facebook Ads: Como Promover Seu Negócio Local no Facebook")</f>
        <v>Facebook Ads: Como Promover Seu Negócio Local no Facebook</v>
      </c>
    </row>
    <row r="10738">
      <c r="A10738" s="140" t="str">
        <f>IFERROR(__xludf.DUMMYFUNCTION("""COMPUTED_VALUE"""),"en")</f>
        <v>en</v>
      </c>
      <c r="B10738">
        <f>IFERROR(__xludf.DUMMYFUNCTION("""COMPUTED_VALUE"""),1994418.0)</f>
        <v>1994418</v>
      </c>
      <c r="C10738" t="str">
        <f>IFERROR(__xludf.DUMMYFUNCTION("""COMPUTED_VALUE"""),"Learn image processing and GUIs while having fun in MATLAB")</f>
        <v>Learn image processing and GUIs while having fun in MATLAB</v>
      </c>
    </row>
    <row r="10739">
      <c r="A10739" s="140" t="str">
        <f>IFERROR(__xludf.DUMMYFUNCTION("""COMPUTED_VALUE"""),"pt")</f>
        <v>pt</v>
      </c>
      <c r="B10739">
        <f>IFERROR(__xludf.DUMMYFUNCTION("""COMPUTED_VALUE"""),3205160.0)</f>
        <v>3205160</v>
      </c>
      <c r="C10739" t="str">
        <f>IFERROR(__xludf.DUMMYFUNCTION("""COMPUTED_VALUE"""),"JavaScript Funcional e Reativo - PENSE como um Dev JS [2021]")</f>
        <v>JavaScript Funcional e Reativo - PENSE como um Dev JS [2021]</v>
      </c>
    </row>
    <row r="10740">
      <c r="A10740" s="140" t="str">
        <f>IFERROR(__xludf.DUMMYFUNCTION("""COMPUTED_VALUE"""),"en")</f>
        <v>en</v>
      </c>
      <c r="B10740">
        <f>IFERROR(__xludf.DUMMYFUNCTION("""COMPUTED_VALUE"""),2927256.0)</f>
        <v>2927256</v>
      </c>
      <c r="C10740" t="str">
        <f>IFERROR(__xludf.DUMMYFUNCTION("""COMPUTED_VALUE"""),"Spark Scala coding framework, testing, Structured streaming")</f>
        <v>Spark Scala coding framework, testing, Structured streaming</v>
      </c>
    </row>
    <row r="10741">
      <c r="A10741" s="140" t="str">
        <f>IFERROR(__xludf.DUMMYFUNCTION("""COMPUTED_VALUE"""),"ja")</f>
        <v>ja</v>
      </c>
      <c r="B10741">
        <f>IFERROR(__xludf.DUMMYFUNCTION("""COMPUTED_VALUE"""),1577336.0)</f>
        <v>1577336</v>
      </c>
      <c r="C10741" t="str">
        <f>IFERROR(__xludf.DUMMYFUNCTION("""COMPUTED_VALUE"""),"すぐに話せる中国語　コンプリート版（発音編​+文法編+漢字編）")</f>
        <v>すぐに話せる中国語　コンプリート版（発音編​+文法編+漢字編）</v>
      </c>
    </row>
    <row r="10742">
      <c r="A10742" s="140" t="str">
        <f>IFERROR(__xludf.DUMMYFUNCTION("""COMPUTED_VALUE"""),"en")</f>
        <v>en</v>
      </c>
      <c r="B10742">
        <f>IFERROR(__xludf.DUMMYFUNCTION("""COMPUTED_VALUE"""),3536520.0)</f>
        <v>3536520</v>
      </c>
      <c r="C10742" t="str">
        <f>IFERROR(__xludf.DUMMYFUNCTION("""COMPUTED_VALUE"""),"Docker for .NET Apps - on Linux and Windows")</f>
        <v>Docker for .NET Apps - on Linux and Windows</v>
      </c>
    </row>
    <row r="10743">
      <c r="A10743" s="140" t="str">
        <f>IFERROR(__xludf.DUMMYFUNCTION("""COMPUTED_VALUE"""),"fr")</f>
        <v>fr</v>
      </c>
      <c r="B10743">
        <f>IFERROR(__xludf.DUMMYFUNCTION("""COMPUTED_VALUE"""),1035594.0)</f>
        <v>1035594</v>
      </c>
      <c r="C10743" t="str">
        <f>IFERROR(__xludf.DUMMYFUNCTION("""COMPUTED_VALUE"""),"Toute la vérité sur l’audace - Lionel Bellenger")</f>
        <v>Toute la vérité sur l’audace - Lionel Bellenger</v>
      </c>
    </row>
    <row r="10744">
      <c r="A10744" s="140" t="str">
        <f>IFERROR(__xludf.DUMMYFUNCTION("""COMPUTED_VALUE"""),"ja")</f>
        <v>ja</v>
      </c>
      <c r="B10744">
        <f>IFERROR(__xludf.DUMMYFUNCTION("""COMPUTED_VALUE"""),1639104.0)</f>
        <v>1639104</v>
      </c>
      <c r="C10744" t="str">
        <f>IFERROR(__xludf.DUMMYFUNCTION("""COMPUTED_VALUE"""),"医師が教えるR言語での医療データ分析入門")</f>
        <v>医師が教えるR言語での医療データ分析入門</v>
      </c>
    </row>
    <row r="10745">
      <c r="A10745" s="140" t="str">
        <f>IFERROR(__xludf.DUMMYFUNCTION("""COMPUTED_VALUE"""),"en")</f>
        <v>en</v>
      </c>
      <c r="B10745">
        <f>IFERROR(__xludf.DUMMYFUNCTION("""COMPUTED_VALUE"""),77732.0)</f>
        <v>77732</v>
      </c>
      <c r="C10745" t="str">
        <f>IFERROR(__xludf.DUMMYFUNCTION("""COMPUTED_VALUE"""),"Advanced Object Oriented Analysis of Hard Problems using UML")</f>
        <v>Advanced Object Oriented Analysis of Hard Problems using UML</v>
      </c>
    </row>
    <row r="10746">
      <c r="A10746" s="140" t="str">
        <f>IFERROR(__xludf.DUMMYFUNCTION("""COMPUTED_VALUE"""),"en")</f>
        <v>en</v>
      </c>
      <c r="B10746">
        <f>IFERROR(__xludf.DUMMYFUNCTION("""COMPUTED_VALUE"""),1605180.0)</f>
        <v>1605180</v>
      </c>
      <c r="C10746" t="str">
        <f>IFERROR(__xludf.DUMMYFUNCTION("""COMPUTED_VALUE"""),"Starting an ISP with MikroTik")</f>
        <v>Starting an ISP with MikroTik</v>
      </c>
    </row>
    <row r="10747">
      <c r="A10747" s="140" t="str">
        <f>IFERROR(__xludf.DUMMYFUNCTION("""COMPUTED_VALUE"""),"ar")</f>
        <v>ar</v>
      </c>
      <c r="B10747">
        <f>IFERROR(__xludf.DUMMYFUNCTION("""COMPUTED_VALUE"""),3495448.0)</f>
        <v>3495448</v>
      </c>
      <c r="C10747" t="str">
        <f>IFERROR(__xludf.DUMMYFUNCTION("""COMPUTED_VALUE"""),"أساسيات إدارة التشغيل للمديرين ورجال الأعمال")</f>
        <v>أساسيات إدارة التشغيل للمديرين ورجال الأعمال</v>
      </c>
    </row>
    <row r="10748">
      <c r="A10748" s="140" t="str">
        <f>IFERROR(__xludf.DUMMYFUNCTION("""COMPUTED_VALUE"""),"pt")</f>
        <v>pt</v>
      </c>
      <c r="B10748">
        <f>IFERROR(__xludf.DUMMYFUNCTION("""COMPUTED_VALUE"""),406424.0)</f>
        <v>406424</v>
      </c>
      <c r="C10748" t="str">
        <f>IFERROR(__xludf.DUMMYFUNCTION("""COMPUTED_VALUE"""),"Photoshop, Illustrator, InDesign &amp; Design Gráfico")</f>
        <v>Photoshop, Illustrator, InDesign &amp; Design Gráfico</v>
      </c>
    </row>
    <row r="10749">
      <c r="A10749" s="140" t="str">
        <f>IFERROR(__xludf.DUMMYFUNCTION("""COMPUTED_VALUE"""),"en")</f>
        <v>en</v>
      </c>
      <c r="B10749">
        <f>IFERROR(__xludf.DUMMYFUNCTION("""COMPUTED_VALUE"""),1855830.0)</f>
        <v>1855830</v>
      </c>
      <c r="C10749" t="str">
        <f>IFERROR(__xludf.DUMMYFUNCTION("""COMPUTED_VALUE"""),"The Complete Sketch 5 Course - Design Apps &amp; Websites 2020")</f>
        <v>The Complete Sketch 5 Course - Design Apps &amp; Websites 2020</v>
      </c>
    </row>
    <row r="10750">
      <c r="A10750" s="140" t="str">
        <f>IFERROR(__xludf.DUMMYFUNCTION("""COMPUTED_VALUE"""),"ja")</f>
        <v>ja</v>
      </c>
      <c r="B10750">
        <f>IFERROR(__xludf.DUMMYFUNCTION("""COMPUTED_VALUE"""),2897780.0)</f>
        <v>2897780</v>
      </c>
      <c r="C10750" t="str">
        <f>IFERROR(__xludf.DUMMYFUNCTION("""COMPUTED_VALUE"""),"【SOA-C02版】AWS 認定SysOpsアドミニストレーター アソシエイト模擬試験問題集（全4回分294問）")</f>
        <v>【SOA-C02版】AWS 認定SysOpsアドミニストレーター アソシエイト模擬試験問題集（全4回分294問）</v>
      </c>
    </row>
    <row r="10751">
      <c r="A10751" s="140" t="str">
        <f>IFERROR(__xludf.DUMMYFUNCTION("""COMPUTED_VALUE"""),"pt")</f>
        <v>pt</v>
      </c>
      <c r="B10751">
        <f>IFERROR(__xludf.DUMMYFUNCTION("""COMPUTED_VALUE"""),3860572.0)</f>
        <v>3860572</v>
      </c>
      <c r="C10751" t="str">
        <f>IFERROR(__xludf.DUMMYFUNCTION("""COMPUTED_VALUE"""),"Data Storytelling e Visualização de Dados [2021]")</f>
        <v>Data Storytelling e Visualização de Dados [2021]</v>
      </c>
    </row>
    <row r="10752">
      <c r="A10752" s="140" t="str">
        <f>IFERROR(__xludf.DUMMYFUNCTION("""COMPUTED_VALUE"""),"ja")</f>
        <v>ja</v>
      </c>
      <c r="B10752">
        <f>IFERROR(__xludf.DUMMYFUNCTION("""COMPUTED_VALUE"""),1581154.0)</f>
        <v>1581154</v>
      </c>
      <c r="C10752" t="str">
        <f>IFERROR(__xludf.DUMMYFUNCTION("""COMPUTED_VALUE"""),"React + Redux を使用したモダンフロントエンド開発")</f>
        <v>React + Redux を使用したモダンフロントエンド開発</v>
      </c>
    </row>
    <row r="10753">
      <c r="A10753" s="140" t="str">
        <f>IFERROR(__xludf.DUMMYFUNCTION("""COMPUTED_VALUE"""),"en")</f>
        <v>en</v>
      </c>
      <c r="B10753">
        <f>IFERROR(__xludf.DUMMYFUNCTION("""COMPUTED_VALUE"""),3452232.0)</f>
        <v>3452232</v>
      </c>
      <c r="C10753" t="str">
        <f>IFERROR(__xludf.DUMMYFUNCTION("""COMPUTED_VALUE"""),"Power Automate - Complete Guide to Microsoft Power Automate")</f>
        <v>Power Automate - Complete Guide to Microsoft Power Automate</v>
      </c>
    </row>
    <row r="10754">
      <c r="A10754" s="140" t="str">
        <f>IFERROR(__xludf.DUMMYFUNCTION("""COMPUTED_VALUE"""),"pt")</f>
        <v>pt</v>
      </c>
      <c r="B10754">
        <f>IFERROR(__xludf.DUMMYFUNCTION("""COMPUTED_VALUE"""),1961532.0)</f>
        <v>1961532</v>
      </c>
      <c r="C10754" t="str">
        <f>IFERROR(__xludf.DUMMYFUNCTION("""COMPUTED_VALUE"""),"Design Gráfico: Adobe CC 2019 + projetos do início ao fim")</f>
        <v>Design Gráfico: Adobe CC 2019 + projetos do início ao fim</v>
      </c>
    </row>
    <row r="10755">
      <c r="A10755" s="140" t="str">
        <f>IFERROR(__xludf.DUMMYFUNCTION("""COMPUTED_VALUE"""),"en")</f>
        <v>en</v>
      </c>
      <c r="B10755">
        <f>IFERROR(__xludf.DUMMYFUNCTION("""COMPUTED_VALUE"""),1838018.0)</f>
        <v>1838018</v>
      </c>
      <c r="C10755" t="str">
        <f>IFERROR(__xludf.DUMMYFUNCTION("""COMPUTED_VALUE"""),"PHP Unit Testing with PHPUnit")</f>
        <v>PHP Unit Testing with PHPUnit</v>
      </c>
    </row>
    <row r="10756">
      <c r="A10756" s="140" t="str">
        <f>IFERROR(__xludf.DUMMYFUNCTION("""COMPUTED_VALUE"""),"ar")</f>
        <v>ar</v>
      </c>
      <c r="B10756">
        <f>IFERROR(__xludf.DUMMYFUNCTION("""COMPUTED_VALUE"""),3151916.0)</f>
        <v>3151916</v>
      </c>
      <c r="C10756" t="str">
        <f>IFERROR(__xludf.DUMMYFUNCTION("""COMPUTED_VALUE"""),"كورس التسويق الإلكتروني الاحترافي الشامل إعلانات جوجل 2020")</f>
        <v>كورس التسويق الإلكتروني الاحترافي الشامل إعلانات جوجل 2020</v>
      </c>
    </row>
    <row r="10757">
      <c r="A10757" s="140" t="str">
        <f>IFERROR(__xludf.DUMMYFUNCTION("""COMPUTED_VALUE"""),"en")</f>
        <v>en</v>
      </c>
      <c r="B10757">
        <f>IFERROR(__xludf.DUMMYFUNCTION("""COMPUTED_VALUE"""),413494.0)</f>
        <v>413494</v>
      </c>
      <c r="C10757" t="str">
        <f>IFERROR(__xludf.DUMMYFUNCTION("""COMPUTED_VALUE"""),"Getting Started with LESS - Beginner Crash Course")</f>
        <v>Getting Started with LESS - Beginner Crash Course</v>
      </c>
    </row>
    <row r="10758">
      <c r="A10758" s="140" t="str">
        <f>IFERROR(__xludf.DUMMYFUNCTION("""COMPUTED_VALUE"""),"en")</f>
        <v>en</v>
      </c>
      <c r="B10758">
        <f>IFERROR(__xludf.DUMMYFUNCTION("""COMPUTED_VALUE"""),3343878.0)</f>
        <v>3343878</v>
      </c>
      <c r="C10758" t="str">
        <f>IFERROR(__xludf.DUMMYFUNCTION("""COMPUTED_VALUE"""),"MS-700 Managing Microsoft Teams Training &amp; Lab Simulations")</f>
        <v>MS-700 Managing Microsoft Teams Training &amp; Lab Simulations</v>
      </c>
    </row>
    <row r="10759">
      <c r="A10759" s="140" t="str">
        <f>IFERROR(__xludf.DUMMYFUNCTION("""COMPUTED_VALUE"""),"pt")</f>
        <v>pt</v>
      </c>
      <c r="B10759">
        <f>IFERROR(__xludf.DUMMYFUNCTION("""COMPUTED_VALUE"""),2445386.0)</f>
        <v>2445386</v>
      </c>
      <c r="C10759" t="str">
        <f>IFERROR(__xludf.DUMMYFUNCTION("""COMPUTED_VALUE"""),"Google ADS (Adwords) Masterclass: Venda Mais Com o GoogleADS")</f>
        <v>Google ADS (Adwords) Masterclass: Venda Mais Com o GoogleADS</v>
      </c>
    </row>
    <row r="10760">
      <c r="A10760" s="140" t="str">
        <f>IFERROR(__xludf.DUMMYFUNCTION("""COMPUTED_VALUE"""),"tr")</f>
        <v>tr</v>
      </c>
      <c r="B10760">
        <f>IFERROR(__xludf.DUMMYFUNCTION("""COMPUTED_VALUE"""),2751868.0)</f>
        <v>2751868</v>
      </c>
      <c r="C10760" t="str">
        <f>IFERROR(__xludf.DUMMYFUNCTION("""COMPUTED_VALUE"""),"APQP / İleri Ürün Kalite Planlaması # Sertifika Programı")</f>
        <v>APQP / İleri Ürün Kalite Planlaması # Sertifika Programı</v>
      </c>
    </row>
    <row r="10761">
      <c r="A10761" s="140" t="str">
        <f>IFERROR(__xludf.DUMMYFUNCTION("""COMPUTED_VALUE"""),"en")</f>
        <v>en</v>
      </c>
      <c r="B10761">
        <f>IFERROR(__xludf.DUMMYFUNCTION("""COMPUTED_VALUE"""),1149896.0)</f>
        <v>1149896</v>
      </c>
      <c r="C10761" t="str">
        <f>IFERROR(__xludf.DUMMYFUNCTION("""COMPUTED_VALUE"""),"Newly Updated for 2020/21 - Comprehensive Guide to LinkedIn")</f>
        <v>Newly Updated for 2020/21 - Comprehensive Guide to LinkedIn</v>
      </c>
    </row>
    <row r="10762">
      <c r="A10762" s="140" t="str">
        <f>IFERROR(__xludf.DUMMYFUNCTION("""COMPUTED_VALUE"""),"en")</f>
        <v>en</v>
      </c>
      <c r="B10762">
        <f>IFERROR(__xludf.DUMMYFUNCTION("""COMPUTED_VALUE"""),1442960.0)</f>
        <v>1442960</v>
      </c>
      <c r="C10762" t="str">
        <f>IFERROR(__xludf.DUMMYFUNCTION("""COMPUTED_VALUE"""),"Angular Material Masterclass &amp; FREE E-Book")</f>
        <v>Angular Material Masterclass &amp; FREE E-Book</v>
      </c>
    </row>
    <row r="10763">
      <c r="A10763" s="140" t="str">
        <f>IFERROR(__xludf.DUMMYFUNCTION("""COMPUTED_VALUE"""),"en")</f>
        <v>en</v>
      </c>
      <c r="B10763">
        <f>IFERROR(__xludf.DUMMYFUNCTION("""COMPUTED_VALUE"""),2511476.0)</f>
        <v>2511476</v>
      </c>
      <c r="C10763" t="str">
        <f>IFERROR(__xludf.DUMMYFUNCTION("""COMPUTED_VALUE"""),"Complete Machine Learning &amp; Data Science Bootcamp 2022")</f>
        <v>Complete Machine Learning &amp; Data Science Bootcamp 2022</v>
      </c>
    </row>
    <row r="10764">
      <c r="A10764" s="140" t="str">
        <f>IFERROR(__xludf.DUMMYFUNCTION("""COMPUTED_VALUE"""),"pt")</f>
        <v>pt</v>
      </c>
      <c r="B10764">
        <f>IFERROR(__xludf.DUMMYFUNCTION("""COMPUTED_VALUE"""),1336356.0)</f>
        <v>1336356</v>
      </c>
      <c r="C10764" t="str">
        <f>IFERROR(__xludf.DUMMYFUNCTION("""COMPUTED_VALUE"""),"Google Drive - Curso completo")</f>
        <v>Google Drive - Curso completo</v>
      </c>
    </row>
    <row r="10765">
      <c r="A10765" s="140" t="str">
        <f>IFERROR(__xludf.DUMMYFUNCTION("""COMPUTED_VALUE"""),"en")</f>
        <v>en</v>
      </c>
      <c r="B10765">
        <f>IFERROR(__xludf.DUMMYFUNCTION("""COMPUTED_VALUE"""),2306900.0)</f>
        <v>2306900</v>
      </c>
      <c r="C10765" t="str">
        <f>IFERROR(__xludf.DUMMYFUNCTION("""COMPUTED_VALUE"""),"WooCommerce Theme Development: Advanced Course")</f>
        <v>WooCommerce Theme Development: Advanced Course</v>
      </c>
    </row>
    <row r="10766">
      <c r="A10766" s="140" t="str">
        <f>IFERROR(__xludf.DUMMYFUNCTION("""COMPUTED_VALUE"""),"en")</f>
        <v>en</v>
      </c>
      <c r="B10766">
        <f>IFERROR(__xludf.DUMMYFUNCTION("""COMPUTED_VALUE"""),352838.0)</f>
        <v>352838</v>
      </c>
      <c r="C10766" t="str">
        <f>IFERROR(__xludf.DUMMYFUNCTION("""COMPUTED_VALUE"""),"The DEFINITIVE course on Speed Reading. All techniques+hacks")</f>
        <v>The DEFINITIVE course on Speed Reading. All techniques+hacks</v>
      </c>
    </row>
    <row r="10767">
      <c r="A10767" s="140" t="str">
        <f>IFERROR(__xludf.DUMMYFUNCTION("""COMPUTED_VALUE"""),"tr")</f>
        <v>tr</v>
      </c>
      <c r="B10767">
        <f>IFERROR(__xludf.DUMMYFUNCTION("""COMPUTED_VALUE"""),2353260.0)</f>
        <v>2353260</v>
      </c>
      <c r="C10767" t="str">
        <f>IFERROR(__xludf.DUMMYFUNCTION("""COMPUTED_VALUE"""),"SAS Enterprise Guide (Türkçe)")</f>
        <v>SAS Enterprise Guide (Türkçe)</v>
      </c>
    </row>
    <row r="10768">
      <c r="A10768" s="140" t="str">
        <f>IFERROR(__xludf.DUMMYFUNCTION("""COMPUTED_VALUE"""),"en")</f>
        <v>en</v>
      </c>
      <c r="B10768">
        <f>IFERROR(__xludf.DUMMYFUNCTION("""COMPUTED_VALUE"""),1225362.0)</f>
        <v>1225362</v>
      </c>
      <c r="C10768" t="str">
        <f>IFERROR(__xludf.DUMMYFUNCTION("""COMPUTED_VALUE"""),"CCNA MPLS Core technologies and MPLS Layer 3 VPNs: Exam prep")</f>
        <v>CCNA MPLS Core technologies and MPLS Layer 3 VPNs: Exam prep</v>
      </c>
    </row>
    <row r="10769">
      <c r="A10769" s="140" t="str">
        <f>IFERROR(__xludf.DUMMYFUNCTION("""COMPUTED_VALUE"""),"pt")</f>
        <v>pt</v>
      </c>
      <c r="B10769">
        <f>IFERROR(__xludf.DUMMYFUNCTION("""COMPUTED_VALUE"""),665364.0)</f>
        <v>665364</v>
      </c>
      <c r="C10769" t="str">
        <f>IFERROR(__xludf.DUMMYFUNCTION("""COMPUTED_VALUE"""),"YouTube SEO - Seu Video Na Primeira Pagina Do YouTube")</f>
        <v>YouTube SEO - Seu Video Na Primeira Pagina Do YouTube</v>
      </c>
    </row>
    <row r="10770">
      <c r="A10770" s="140" t="str">
        <f>IFERROR(__xludf.DUMMYFUNCTION("""COMPUTED_VALUE"""),"ko")</f>
        <v>ko</v>
      </c>
      <c r="B10770">
        <f>IFERROR(__xludf.DUMMYFUNCTION("""COMPUTED_VALUE"""),647846.0)</f>
        <v>647846</v>
      </c>
      <c r="C10770" t="str">
        <f>IFERROR(__xludf.DUMMYFUNCTION("""COMPUTED_VALUE"""),"[워드프레스] 코딩없이 비즈니스 웹사이트 만들기")</f>
        <v>[워드프레스] 코딩없이 비즈니스 웹사이트 만들기</v>
      </c>
    </row>
    <row r="10771">
      <c r="A10771" s="140" t="str">
        <f>IFERROR(__xludf.DUMMYFUNCTION("""COMPUTED_VALUE"""),"ja")</f>
        <v>ja</v>
      </c>
      <c r="B10771">
        <f>IFERROR(__xludf.DUMMYFUNCTION("""COMPUTED_VALUE"""),3880856.0)</f>
        <v>3880856</v>
      </c>
      <c r="C10771" t="str">
        <f>IFERROR(__xludf.DUMMYFUNCTION("""COMPUTED_VALUE"""),"(販売停止中）購入しないでください。受講できません。　受講生の方に一部心無い方がいらっしゃるため閉鎖します。")</f>
        <v>(販売停止中）購入しないでください。受講できません。　受講生の方に一部心無い方がいらっしゃるため閉鎖します。</v>
      </c>
    </row>
    <row r="10772">
      <c r="A10772" s="140" t="str">
        <f>IFERROR(__xludf.DUMMYFUNCTION("""COMPUTED_VALUE"""),"en")</f>
        <v>en</v>
      </c>
      <c r="B10772">
        <f>IFERROR(__xludf.DUMMYFUNCTION("""COMPUTED_VALUE"""),1267792.0)</f>
        <v>1267792</v>
      </c>
      <c r="C10772" t="str">
        <f>IFERROR(__xludf.DUMMYFUNCTION("""COMPUTED_VALUE"""),"Framer Crash Course – Design, Code, and Collaborate")</f>
        <v>Framer Crash Course – Design, Code, and Collaborate</v>
      </c>
    </row>
    <row r="10773">
      <c r="A10773" s="140" t="str">
        <f>IFERROR(__xludf.DUMMYFUNCTION("""COMPUTED_VALUE"""),"en")</f>
        <v>en</v>
      </c>
      <c r="B10773">
        <f>IFERROR(__xludf.DUMMYFUNCTION("""COMPUTED_VALUE"""),1532752.0)</f>
        <v>1532752</v>
      </c>
      <c r="C10773" t="str">
        <f>IFERROR(__xludf.DUMMYFUNCTION("""COMPUTED_VALUE"""),"Core Data and Realm - Master Data Persistence for iOS")</f>
        <v>Core Data and Realm - Master Data Persistence for iOS</v>
      </c>
    </row>
    <row r="10774">
      <c r="A10774" s="140" t="str">
        <f>IFERROR(__xludf.DUMMYFUNCTION("""COMPUTED_VALUE"""),"pt")</f>
        <v>pt</v>
      </c>
      <c r="B10774">
        <f>IFERROR(__xludf.DUMMYFUNCTION("""COMPUTED_VALUE"""),2777074.0)</f>
        <v>2777074</v>
      </c>
      <c r="C10774" t="str">
        <f>IFERROR(__xludf.DUMMYFUNCTION("""COMPUTED_VALUE"""),"Spring Boot Expert: JPA, RESTFul API, Security, JWT e Mais")</f>
        <v>Spring Boot Expert: JPA, RESTFul API, Security, JWT e Mais</v>
      </c>
    </row>
    <row r="10775">
      <c r="A10775" s="140" t="str">
        <f>IFERROR(__xludf.DUMMYFUNCTION("""COMPUTED_VALUE"""),"ko")</f>
        <v>ko</v>
      </c>
      <c r="B10775">
        <f>IFERROR(__xludf.DUMMYFUNCTION("""COMPUTED_VALUE"""),3399328.0)</f>
        <v>3399328</v>
      </c>
      <c r="C10775" t="str">
        <f>IFERROR(__xludf.DUMMYFUNCTION("""COMPUTED_VALUE"""),"AWS 공인 솔루션스 아키텍트 – 어소시에이트 SAA-C02 연습문제")</f>
        <v>AWS 공인 솔루션스 아키텍트 – 어소시에이트 SAA-C02 연습문제</v>
      </c>
    </row>
    <row r="10776">
      <c r="A10776" s="140" t="str">
        <f>IFERROR(__xludf.DUMMYFUNCTION("""COMPUTED_VALUE"""),"en")</f>
        <v>en</v>
      </c>
      <c r="B10776">
        <f>IFERROR(__xludf.DUMMYFUNCTION("""COMPUTED_VALUE"""),1395644.0)</f>
        <v>1395644</v>
      </c>
      <c r="C10776" t="str">
        <f>IFERROR(__xludf.DUMMYFUNCTION("""COMPUTED_VALUE"""),"Image Processing on Raspberry Pi - Beginner to Advanced")</f>
        <v>Image Processing on Raspberry Pi - Beginner to Advanced</v>
      </c>
    </row>
    <row r="10777">
      <c r="A10777" s="140" t="str">
        <f>IFERROR(__xludf.DUMMYFUNCTION("""COMPUTED_VALUE"""),"en")</f>
        <v>en</v>
      </c>
      <c r="B10777">
        <f>IFERROR(__xludf.DUMMYFUNCTION("""COMPUTED_VALUE"""),2351710.0)</f>
        <v>2351710</v>
      </c>
      <c r="C10777" t="str">
        <f>IFERROR(__xludf.DUMMYFUNCTION("""COMPUTED_VALUE"""),"Learn SQL for Data Analysis with Google Big Query")</f>
        <v>Learn SQL for Data Analysis with Google Big Query</v>
      </c>
    </row>
    <row r="10778">
      <c r="A10778" s="140" t="str">
        <f>IFERROR(__xludf.DUMMYFUNCTION("""COMPUTED_VALUE"""),"zh")</f>
        <v>zh</v>
      </c>
      <c r="B10778">
        <f>IFERROR(__xludf.DUMMYFUNCTION("""COMPUTED_VALUE"""),899448.0)</f>
        <v>899448</v>
      </c>
      <c r="C10778" t="str">
        <f>IFERROR(__xludf.DUMMYFUNCTION("""COMPUTED_VALUE"""),"Swift3 从入门到精通")</f>
        <v>Swift3 从入门到精通</v>
      </c>
    </row>
    <row r="10779">
      <c r="A10779" s="140" t="str">
        <f>IFERROR(__xludf.DUMMYFUNCTION("""COMPUTED_VALUE"""),"ja")</f>
        <v>ja</v>
      </c>
      <c r="B10779">
        <f>IFERROR(__xludf.DUMMYFUNCTION("""COMPUTED_VALUE"""),3452290.0)</f>
        <v>3452290</v>
      </c>
      <c r="C10779" t="str">
        <f>IFERROR(__xludf.DUMMYFUNCTION("""COMPUTED_VALUE"""),"2時間で学ぶ！ソフトウェアテスト設計講座（機能テスト編）～効率的に”もれ”の無いテスト設計手法を習得～")</f>
        <v>2時間で学ぶ！ソフトウェアテスト設計講座（機能テスト編）～効率的に”もれ”の無いテスト設計手法を習得～</v>
      </c>
    </row>
    <row r="10780">
      <c r="A10780" s="140" t="str">
        <f>IFERROR(__xludf.DUMMYFUNCTION("""COMPUTED_VALUE"""),"ja")</f>
        <v>ja</v>
      </c>
      <c r="B10780">
        <f>IFERROR(__xludf.DUMMYFUNCTION("""COMPUTED_VALUE"""),3098304.0)</f>
        <v>3098304</v>
      </c>
      <c r="C10780" t="str">
        <f>IFERROR(__xludf.DUMMYFUNCTION("""COMPUTED_VALUE"""),"【デジタルトランスフォーメーション】事例と理論で学ぶ、DXの基礎知識&amp;戦略論")</f>
        <v>【デジタルトランスフォーメーション】事例と理論で学ぶ、DXの基礎知識&amp;戦略論</v>
      </c>
    </row>
    <row r="10781">
      <c r="A10781" s="140" t="str">
        <f>IFERROR(__xludf.DUMMYFUNCTION("""COMPUTED_VALUE"""),"en")</f>
        <v>en</v>
      </c>
      <c r="B10781">
        <f>IFERROR(__xludf.DUMMYFUNCTION("""COMPUTED_VALUE"""),1592432.0)</f>
        <v>1592432</v>
      </c>
      <c r="C10781" t="str">
        <f>IFERROR(__xludf.DUMMYFUNCTION("""COMPUTED_VALUE"""),"Discrete Math Series : Set Theory &amp; Algebra masterclass")</f>
        <v>Discrete Math Series : Set Theory &amp; Algebra masterclass</v>
      </c>
    </row>
    <row r="10782">
      <c r="A10782" s="140" t="str">
        <f>IFERROR(__xludf.DUMMYFUNCTION("""COMPUTED_VALUE"""),"ja")</f>
        <v>ja</v>
      </c>
      <c r="B10782">
        <f>IFERROR(__xludf.DUMMYFUNCTION("""COMPUTED_VALUE"""),1081802.0)</f>
        <v>1081802</v>
      </c>
      <c r="C10782" t="str">
        <f>IFERROR(__xludf.DUMMYFUNCTION("""COMPUTED_VALUE"""),"Git：はじめてのGitとGitHub")</f>
        <v>Git：はじめてのGitとGitHub</v>
      </c>
    </row>
    <row r="10783">
      <c r="A10783" s="140" t="str">
        <f>IFERROR(__xludf.DUMMYFUNCTION("""COMPUTED_VALUE"""),"pt")</f>
        <v>pt</v>
      </c>
      <c r="B10783">
        <f>IFERROR(__xludf.DUMMYFUNCTION("""COMPUTED_VALUE"""),2844120.0)</f>
        <v>2844120</v>
      </c>
      <c r="C10783" t="str">
        <f>IFERROR(__xludf.DUMMYFUNCTION("""COMPUTED_VALUE"""),"Angular 9 + Spring Boot 2.2: Fullstack Completo e Atualizado")</f>
        <v>Angular 9 + Spring Boot 2.2: Fullstack Completo e Atualizado</v>
      </c>
    </row>
    <row r="10784">
      <c r="A10784" s="140" t="str">
        <f>IFERROR(__xludf.DUMMYFUNCTION("""COMPUTED_VALUE"""),"en")</f>
        <v>en</v>
      </c>
      <c r="B10784">
        <f>IFERROR(__xludf.DUMMYFUNCTION("""COMPUTED_VALUE"""),1377538.0)</f>
        <v>1377538</v>
      </c>
      <c r="C10784" t="str">
        <f>IFERROR(__xludf.DUMMYFUNCTION("""COMPUTED_VALUE"""),"Complete Selenium Ruby Automation Engineer Bootcamp")</f>
        <v>Complete Selenium Ruby Automation Engineer Bootcamp</v>
      </c>
    </row>
    <row r="10785">
      <c r="A10785" s="140" t="str">
        <f>IFERROR(__xludf.DUMMYFUNCTION("""COMPUTED_VALUE"""),"en")</f>
        <v>en</v>
      </c>
      <c r="B10785">
        <f>IFERROR(__xludf.DUMMYFUNCTION("""COMPUTED_VALUE"""),4011300.0)</f>
        <v>4011300</v>
      </c>
      <c r="C10785" t="str">
        <f>IFERROR(__xludf.DUMMYFUNCTION("""COMPUTED_VALUE"""),"Building Automated Machine Images with HashiCorp Packer")</f>
        <v>Building Automated Machine Images with HashiCorp Packer</v>
      </c>
    </row>
    <row r="10786">
      <c r="A10786" s="140" t="str">
        <f>IFERROR(__xludf.DUMMYFUNCTION("""COMPUTED_VALUE"""),"pt")</f>
        <v>pt</v>
      </c>
      <c r="B10786">
        <f>IFERROR(__xludf.DUMMYFUNCTION("""COMPUTED_VALUE"""),2644622.0)</f>
        <v>2644622</v>
      </c>
      <c r="C10786" t="str">
        <f>IFERROR(__xludf.DUMMYFUNCTION("""COMPUTED_VALUE"""),"Adobe Photoshop para sublimação e produtos personalizados.")</f>
        <v>Adobe Photoshop para sublimação e produtos personalizados.</v>
      </c>
    </row>
    <row r="10787">
      <c r="A10787" s="140" t="str">
        <f>IFERROR(__xludf.DUMMYFUNCTION("""COMPUTED_VALUE"""),"en")</f>
        <v>en</v>
      </c>
      <c r="B10787">
        <f>IFERROR(__xludf.DUMMYFUNCTION("""COMPUTED_VALUE"""),497492.0)</f>
        <v>497492</v>
      </c>
      <c r="C10787" t="str">
        <f>IFERROR(__xludf.DUMMYFUNCTION("""COMPUTED_VALUE"""),"Information Systems Security for Professionals: CISSP")</f>
        <v>Information Systems Security for Professionals: CISSP</v>
      </c>
    </row>
    <row r="10788">
      <c r="A10788" s="140" t="str">
        <f>IFERROR(__xludf.DUMMYFUNCTION("""COMPUTED_VALUE"""),"en")</f>
        <v>en</v>
      </c>
      <c r="B10788">
        <f>IFERROR(__xludf.DUMMYFUNCTION("""COMPUTED_VALUE"""),3476228.0)</f>
        <v>3476228</v>
      </c>
      <c r="C10788" t="str">
        <f>IFERROR(__xludf.DUMMYFUNCTION("""COMPUTED_VALUE"""),"DP-900 Azure Data Fundamentals 100% Original Practice Exam")</f>
        <v>DP-900 Azure Data Fundamentals 100% Original Practice Exam</v>
      </c>
    </row>
    <row r="10789">
      <c r="A10789" s="140" t="str">
        <f>IFERROR(__xludf.DUMMYFUNCTION("""COMPUTED_VALUE"""),"en")</f>
        <v>en</v>
      </c>
      <c r="B10789">
        <f>IFERROR(__xludf.DUMMYFUNCTION("""COMPUTED_VALUE"""),1461992.0)</f>
        <v>1461992</v>
      </c>
      <c r="C10789" t="str">
        <f>IFERROR(__xludf.DUMMYFUNCTION("""COMPUTED_VALUE"""),"Java Design Patterns: The Complete Masterclass - 21 Patterns")</f>
        <v>Java Design Patterns: The Complete Masterclass - 21 Patterns</v>
      </c>
    </row>
    <row r="10790">
      <c r="A10790" s="140" t="str">
        <f>IFERROR(__xludf.DUMMYFUNCTION("""COMPUTED_VALUE"""),"fr")</f>
        <v>fr</v>
      </c>
      <c r="B10790">
        <f>IFERROR(__xludf.DUMMYFUNCTION("""COMPUTED_VALUE"""),1473556.0)</f>
        <v>1473556</v>
      </c>
      <c r="C10790" t="str">
        <f>IFERROR(__xludf.DUMMYFUNCTION("""COMPUTED_VALUE"""),"Créez 4 Apps et Jeux en Réalité Augmentée-Vuforia-Unity")</f>
        <v>Créez 4 Apps et Jeux en Réalité Augmentée-Vuforia-Unity</v>
      </c>
    </row>
    <row r="10791">
      <c r="A10791" s="140" t="str">
        <f>IFERROR(__xludf.DUMMYFUNCTION("""COMPUTED_VALUE"""),"de")</f>
        <v>de</v>
      </c>
      <c r="B10791">
        <f>IFERROR(__xludf.DUMMYFUNCTION("""COMPUTED_VALUE"""),2235936.0)</f>
        <v>2235936</v>
      </c>
      <c r="C10791" t="str">
        <f>IFERROR(__xludf.DUMMYFUNCTION("""COMPUTED_VALUE"""),"Das Blog-Launch-Rezept - Erfolgreich bloggen von Anfang an!")</f>
        <v>Das Blog-Launch-Rezept - Erfolgreich bloggen von Anfang an!</v>
      </c>
    </row>
    <row r="10792">
      <c r="A10792" s="140" t="str">
        <f>IFERROR(__xludf.DUMMYFUNCTION("""COMPUTED_VALUE"""),"ja")</f>
        <v>ja</v>
      </c>
      <c r="B10792">
        <f>IFERROR(__xludf.DUMMYFUNCTION("""COMPUTED_VALUE"""),2265174.0)</f>
        <v>2265174</v>
      </c>
      <c r="C10792" t="str">
        <f>IFERROR(__xludf.DUMMYFUNCTION("""COMPUTED_VALUE"""),"EXCELで学ぶ数字思考力とマーケティング分析【入門編】分析のための考え方と手法を学び、実践的な分析ができるようになる！")</f>
        <v>EXCELで学ぶ数字思考力とマーケティング分析【入門編】分析のための考え方と手法を学び、実践的な分析ができるようになる！</v>
      </c>
    </row>
    <row r="10793">
      <c r="A10793" s="140" t="str">
        <f>IFERROR(__xludf.DUMMYFUNCTION("""COMPUTED_VALUE"""),"en")</f>
        <v>en</v>
      </c>
      <c r="B10793">
        <f>IFERROR(__xludf.DUMMYFUNCTION("""COMPUTED_VALUE"""),1635492.0)</f>
        <v>1635492</v>
      </c>
      <c r="C10793" t="str">
        <f>IFERROR(__xludf.DUMMYFUNCTION("""COMPUTED_VALUE"""),"Master Java Unit Testing with Spring Boot &amp; Mockito")</f>
        <v>Master Java Unit Testing with Spring Boot &amp; Mockito</v>
      </c>
    </row>
    <row r="10794">
      <c r="A10794" s="140" t="str">
        <f>IFERROR(__xludf.DUMMYFUNCTION("""COMPUTED_VALUE"""),"en")</f>
        <v>en</v>
      </c>
      <c r="B10794">
        <f>IFERROR(__xludf.DUMMYFUNCTION("""COMPUTED_VALUE"""),1331846.0)</f>
        <v>1331846</v>
      </c>
      <c r="C10794" t="str">
        <f>IFERROR(__xludf.DUMMYFUNCTION("""COMPUTED_VALUE"""),"Sorting Algorithms using Java &amp; C: Make Your Basics Strong")</f>
        <v>Sorting Algorithms using Java &amp; C: Make Your Basics Strong</v>
      </c>
    </row>
    <row r="10795">
      <c r="A10795" s="140" t="str">
        <f>IFERROR(__xludf.DUMMYFUNCTION("""COMPUTED_VALUE"""),"es")</f>
        <v>es</v>
      </c>
      <c r="B10795">
        <f>IFERROR(__xludf.DUMMYFUNCTION("""COMPUTED_VALUE"""),2489052.0)</f>
        <v>2489052</v>
      </c>
      <c r="C10795" t="str">
        <f>IFERROR(__xludf.DUMMYFUNCTION("""COMPUTED_VALUE"""),"Sistema de encuestas en Node.js &amp; Express y MySQL full stack")</f>
        <v>Sistema de encuestas en Node.js &amp; Express y MySQL full stack</v>
      </c>
    </row>
    <row r="10796">
      <c r="A10796" s="140" t="str">
        <f>IFERROR(__xludf.DUMMYFUNCTION("""COMPUTED_VALUE"""),"ko")</f>
        <v>ko</v>
      </c>
      <c r="B10796">
        <f>IFERROR(__xludf.DUMMYFUNCTION("""COMPUTED_VALUE"""),4191520.0)</f>
        <v>4191520</v>
      </c>
      <c r="C10796" t="str">
        <f>IFERROR(__xludf.DUMMYFUNCTION("""COMPUTED_VALUE"""),"☕ 블랙커피 Vanilla JS Lv1. 문벅스 카페 메뉴 앱 만들기")</f>
        <v>☕ 블랙커피 Vanilla JS Lv1. 문벅스 카페 메뉴 앱 만들기</v>
      </c>
    </row>
    <row r="10797">
      <c r="A10797" s="140" t="str">
        <f>IFERROR(__xludf.DUMMYFUNCTION("""COMPUTED_VALUE"""),"en")</f>
        <v>en</v>
      </c>
      <c r="B10797">
        <f>IFERROR(__xludf.DUMMYFUNCTION("""COMPUTED_VALUE"""),1839848.0)</f>
        <v>1839848</v>
      </c>
      <c r="C10797" t="str">
        <f>IFERROR(__xludf.DUMMYFUNCTION("""COMPUTED_VALUE"""),"Learn Vert.x - Reactive microservices with Java")</f>
        <v>Learn Vert.x - Reactive microservices with Java</v>
      </c>
    </row>
    <row r="10798">
      <c r="A10798" s="140" t="str">
        <f>IFERROR(__xludf.DUMMYFUNCTION("""COMPUTED_VALUE"""),"ar")</f>
        <v>ar</v>
      </c>
      <c r="B10798">
        <f>IFERROR(__xludf.DUMMYFUNCTION("""COMPUTED_VALUE"""),3247336.0)</f>
        <v>3247336</v>
      </c>
      <c r="C10798" t="str">
        <f>IFERROR(__xludf.DUMMYFUNCTION("""COMPUTED_VALUE"""),"Excel for Marketers: 20 Things You Must Know! (Arabic)")</f>
        <v>Excel for Marketers: 20 Things You Must Know! (Arabic)</v>
      </c>
    </row>
    <row r="10799">
      <c r="A10799" s="140" t="str">
        <f>IFERROR(__xludf.DUMMYFUNCTION("""COMPUTED_VALUE"""),"pt")</f>
        <v>pt</v>
      </c>
      <c r="B10799">
        <f>IFERROR(__xludf.DUMMYFUNCTION("""COMPUTED_VALUE"""),2680130.0)</f>
        <v>2680130</v>
      </c>
      <c r="C10799" t="str">
        <f>IFERROR(__xludf.DUMMYFUNCTION("""COMPUTED_VALUE"""),"MySQL - Guia para iniciantes do zero (Curso Rápido)")</f>
        <v>MySQL - Guia para iniciantes do zero (Curso Rápido)</v>
      </c>
    </row>
    <row r="10800">
      <c r="A10800" s="140" t="str">
        <f>IFERROR(__xludf.DUMMYFUNCTION("""COMPUTED_VALUE"""),"ja")</f>
        <v>ja</v>
      </c>
      <c r="B10800">
        <f>IFERROR(__xludf.DUMMYFUNCTION("""COMPUTED_VALUE"""),2306248.0)</f>
        <v>2306248</v>
      </c>
      <c r="C10800" t="str">
        <f>IFERROR(__xludf.DUMMYFUNCTION("""COMPUTED_VALUE"""),"はじめての AI")</f>
        <v>はじめての AI</v>
      </c>
    </row>
    <row r="10801">
      <c r="A10801" s="140" t="str">
        <f>IFERROR(__xludf.DUMMYFUNCTION("""COMPUTED_VALUE"""),"es")</f>
        <v>es</v>
      </c>
      <c r="B10801">
        <f>IFERROR(__xludf.DUMMYFUNCTION("""COMPUTED_VALUE"""),958164.0)</f>
        <v>958164</v>
      </c>
      <c r="C10801" t="str">
        <f>IFERROR(__xludf.DUMMYFUNCTION("""COMPUTED_VALUE"""),"Aprende a crea tus propias apps para Android N desde cero")</f>
        <v>Aprende a crea tus propias apps para Android N desde cero</v>
      </c>
    </row>
    <row r="10802">
      <c r="A10802" s="140" t="str">
        <f>IFERROR(__xludf.DUMMYFUNCTION("""COMPUTED_VALUE"""),"en")</f>
        <v>en</v>
      </c>
      <c r="B10802">
        <f>IFERROR(__xludf.DUMMYFUNCTION("""COMPUTED_VALUE"""),1031780.0)</f>
        <v>1031780</v>
      </c>
      <c r="C10802" t="str">
        <f>IFERROR(__xludf.DUMMYFUNCTION("""COMPUTED_VALUE"""),"Ready for Production with Spring Boot Actuator")</f>
        <v>Ready for Production with Spring Boot Actuator</v>
      </c>
    </row>
    <row r="10803">
      <c r="A10803" s="140" t="str">
        <f>IFERROR(__xludf.DUMMYFUNCTION("""COMPUTED_VALUE"""),"tr")</f>
        <v>tr</v>
      </c>
      <c r="B10803">
        <f>IFERROR(__xludf.DUMMYFUNCTION("""COMPUTED_VALUE"""),2551693.0)</f>
        <v>2551693</v>
      </c>
      <c r="C10803" t="str">
        <f>IFERROR(__xludf.DUMMYFUNCTION("""COMPUTED_VALUE"""),"DevOps - Linux Başlangıç")</f>
        <v>DevOps - Linux Başlangıç</v>
      </c>
    </row>
    <row r="10804">
      <c r="A10804" s="140" t="str">
        <f>IFERROR(__xludf.DUMMYFUNCTION("""COMPUTED_VALUE"""),"de")</f>
        <v>de</v>
      </c>
      <c r="B10804">
        <f>IFERROR(__xludf.DUMMYFUNCTION("""COMPUTED_VALUE"""),1009096.0)</f>
        <v>1009096</v>
      </c>
      <c r="C10804" t="str">
        <f>IFERROR(__xludf.DUMMYFUNCTION("""COMPUTED_VALUE"""),"Angular (2+) verstehen und anwenden")</f>
        <v>Angular (2+) verstehen und anwenden</v>
      </c>
    </row>
    <row r="10805">
      <c r="A10805" s="140" t="str">
        <f>IFERROR(__xludf.DUMMYFUNCTION("""COMPUTED_VALUE"""),"en")</f>
        <v>en</v>
      </c>
      <c r="B10805">
        <f>IFERROR(__xludf.DUMMYFUNCTION("""COMPUTED_VALUE"""),3472712.0)</f>
        <v>3472712</v>
      </c>
      <c r="C10805" t="str">
        <f>IFERROR(__xludf.DUMMYFUNCTION("""COMPUTED_VALUE"""),"Web Authentication With Golang - Google's Go Language")</f>
        <v>Web Authentication With Golang - Google's Go Language</v>
      </c>
    </row>
    <row r="10806">
      <c r="A10806" s="140" t="str">
        <f>IFERROR(__xludf.DUMMYFUNCTION("""COMPUTED_VALUE"""),"de")</f>
        <v>de</v>
      </c>
      <c r="B10806">
        <f>IFERROR(__xludf.DUMMYFUNCTION("""COMPUTED_VALUE"""),1112962.0)</f>
        <v>1112962</v>
      </c>
      <c r="C10806" t="str">
        <f>IFERROR(__xludf.DUMMYFUNCTION("""COMPUTED_VALUE"""),"BUCHFÜHRUNG - KOMPLETTKURS")</f>
        <v>BUCHFÜHRUNG - KOMPLETTKURS</v>
      </c>
    </row>
    <row r="10807">
      <c r="A10807" s="140" t="str">
        <f>IFERROR(__xludf.DUMMYFUNCTION("""COMPUTED_VALUE"""),"en")</f>
        <v>en</v>
      </c>
      <c r="B10807">
        <f>IFERROR(__xludf.DUMMYFUNCTION("""COMPUTED_VALUE"""),2453718.0)</f>
        <v>2453718</v>
      </c>
      <c r="C10807" t="str">
        <f>IFERROR(__xludf.DUMMYFUNCTION("""COMPUTED_VALUE"""),"The Complete Salesforce Advanced Administrator Certification")</f>
        <v>The Complete Salesforce Advanced Administrator Certification</v>
      </c>
    </row>
    <row r="10808">
      <c r="A10808" s="140" t="str">
        <f>IFERROR(__xludf.DUMMYFUNCTION("""COMPUTED_VALUE"""),"en")</f>
        <v>en</v>
      </c>
      <c r="B10808">
        <f>IFERROR(__xludf.DUMMYFUNCTION("""COMPUTED_VALUE"""),2337484.0)</f>
        <v>2337484</v>
      </c>
      <c r="C10808" t="str">
        <f>IFERROR(__xludf.DUMMYFUNCTION("""COMPUTED_VALUE"""),"Talent Development for Leaders: Develop Your High-Potentials")</f>
        <v>Talent Development for Leaders: Develop Your High-Potentials</v>
      </c>
    </row>
    <row r="10809">
      <c r="A10809" s="140" t="str">
        <f>IFERROR(__xludf.DUMMYFUNCTION("""COMPUTED_VALUE"""),"pt")</f>
        <v>pt</v>
      </c>
      <c r="B10809">
        <f>IFERROR(__xludf.DUMMYFUNCTION("""COMPUTED_VALUE"""),1283306.0)</f>
        <v>1283306</v>
      </c>
      <c r="C10809" t="str">
        <f>IFERROR(__xludf.DUMMYFUNCTION("""COMPUTED_VALUE"""),"Adobe Premiere")</f>
        <v>Adobe Premiere</v>
      </c>
    </row>
    <row r="10810">
      <c r="A10810" s="140" t="str">
        <f>IFERROR(__xludf.DUMMYFUNCTION("""COMPUTED_VALUE"""),"en")</f>
        <v>en</v>
      </c>
      <c r="B10810">
        <f>IFERROR(__xludf.DUMMYFUNCTION("""COMPUTED_VALUE"""),904462.0)</f>
        <v>904462</v>
      </c>
      <c r="C10810" t="str">
        <f>IFERROR(__xludf.DUMMYFUNCTION("""COMPUTED_VALUE"""),"The Complete Elixir and Phoenix Bootcamp")</f>
        <v>The Complete Elixir and Phoenix Bootcamp</v>
      </c>
    </row>
    <row r="10811">
      <c r="A10811" s="140" t="str">
        <f>IFERROR(__xludf.DUMMYFUNCTION("""COMPUTED_VALUE"""),"es")</f>
        <v>es</v>
      </c>
      <c r="B10811">
        <f>IFERROR(__xludf.DUMMYFUNCTION("""COMPUTED_VALUE"""),650714.0)</f>
        <v>650714</v>
      </c>
      <c r="C10811" t="str">
        <f>IFERROR(__xludf.DUMMYFUNCTION("""COMPUTED_VALUE"""),"Conviértete en un Desarrollador Web desde cero Paso a Paso")</f>
        <v>Conviértete en un Desarrollador Web desde cero Paso a Paso</v>
      </c>
    </row>
    <row r="10812">
      <c r="A10812" s="140" t="str">
        <f>IFERROR(__xludf.DUMMYFUNCTION("""COMPUTED_VALUE"""),"en")</f>
        <v>en</v>
      </c>
      <c r="B10812">
        <f>IFERROR(__xludf.DUMMYFUNCTION("""COMPUTED_VALUE"""),64605.0)</f>
        <v>64605</v>
      </c>
      <c r="C10812" t="str">
        <f>IFERROR(__xludf.DUMMYFUNCTION("""COMPUTED_VALUE"""),"1 Hour CSS")</f>
        <v>1 Hour CSS</v>
      </c>
    </row>
    <row r="10813">
      <c r="A10813" s="140" t="str">
        <f>IFERROR(__xludf.DUMMYFUNCTION("""COMPUTED_VALUE"""),"en")</f>
        <v>en</v>
      </c>
      <c r="B10813">
        <f>IFERROR(__xludf.DUMMYFUNCTION("""COMPUTED_VALUE"""),1379786.0)</f>
        <v>1379786</v>
      </c>
      <c r="C10813" t="str">
        <f>IFERROR(__xludf.DUMMYFUNCTION("""COMPUTED_VALUE"""),"Leading Effective Meetings")</f>
        <v>Leading Effective Meetings</v>
      </c>
    </row>
    <row r="10814">
      <c r="A10814" s="140" t="str">
        <f>IFERROR(__xludf.DUMMYFUNCTION("""COMPUTED_VALUE"""),"en")</f>
        <v>en</v>
      </c>
      <c r="B10814">
        <f>IFERROR(__xludf.DUMMYFUNCTION("""COMPUTED_VALUE"""),1213886.0)</f>
        <v>1213886</v>
      </c>
      <c r="C10814" t="str">
        <f>IFERROR(__xludf.DUMMYFUNCTION("""COMPUTED_VALUE"""),"Digital Forensics and Electronic Evidence")</f>
        <v>Digital Forensics and Electronic Evidence</v>
      </c>
    </row>
    <row r="10815">
      <c r="A10815" s="140" t="str">
        <f>IFERROR(__xludf.DUMMYFUNCTION("""COMPUTED_VALUE"""),"es")</f>
        <v>es</v>
      </c>
      <c r="B10815">
        <f>IFERROR(__xludf.DUMMYFUNCTION("""COMPUTED_VALUE"""),3332088.0)</f>
        <v>3332088</v>
      </c>
      <c r="C10815" t="str">
        <f>IFERROR(__xludf.DUMMYFUNCTION("""COMPUTED_VALUE"""),"Inteligencia Estratégica")</f>
        <v>Inteligencia Estratégica</v>
      </c>
    </row>
    <row r="10816">
      <c r="A10816" s="140" t="str">
        <f>IFERROR(__xludf.DUMMYFUNCTION("""COMPUTED_VALUE"""),"en")</f>
        <v>en</v>
      </c>
      <c r="B10816">
        <f>IFERROR(__xludf.DUMMYFUNCTION("""COMPUTED_VALUE"""),3250536.0)</f>
        <v>3250536</v>
      </c>
      <c r="C10816" t="str">
        <f>IFERROR(__xludf.DUMMYFUNCTION("""COMPUTED_VALUE"""),"Construction Claims - Foundation Course")</f>
        <v>Construction Claims - Foundation Course</v>
      </c>
    </row>
    <row r="10817">
      <c r="A10817" s="140" t="str">
        <f>IFERROR(__xludf.DUMMYFUNCTION("""COMPUTED_VALUE"""),"pt")</f>
        <v>pt</v>
      </c>
      <c r="B10817">
        <f>IFERROR(__xludf.DUMMYFUNCTION("""COMPUTED_VALUE"""),1265680.0)</f>
        <v>1265680</v>
      </c>
      <c r="C10817" t="str">
        <f>IFERROR(__xludf.DUMMYFUNCTION("""COMPUTED_VALUE"""),"Curso completo de Kotlin para Android")</f>
        <v>Curso completo de Kotlin para Android</v>
      </c>
    </row>
    <row r="10818">
      <c r="A10818" s="140" t="str">
        <f>IFERROR(__xludf.DUMMYFUNCTION("""COMPUTED_VALUE"""),"en")</f>
        <v>en</v>
      </c>
      <c r="B10818">
        <f>IFERROR(__xludf.DUMMYFUNCTION("""COMPUTED_VALUE"""),3934238.0)</f>
        <v>3934238</v>
      </c>
      <c r="C10818" t="str">
        <f>IFERROR(__xludf.DUMMYFUNCTION("""COMPUTED_VALUE"""),"Coaching Skills for Engagement &amp; Inclusion")</f>
        <v>Coaching Skills for Engagement &amp; Inclusion</v>
      </c>
    </row>
    <row r="10819">
      <c r="A10819" s="140" t="str">
        <f>IFERROR(__xludf.DUMMYFUNCTION("""COMPUTED_VALUE"""),"ja")</f>
        <v>ja</v>
      </c>
      <c r="B10819">
        <f>IFERROR(__xludf.DUMMYFUNCTION("""COMPUTED_VALUE"""),1751564.0)</f>
        <v>1751564</v>
      </c>
      <c r="C10819" t="str">
        <f>IFERROR(__xludf.DUMMYFUNCTION("""COMPUTED_VALUE"""),"今すぐ使えるビジネス英語【メールの書き方】")</f>
        <v>今すぐ使えるビジネス英語【メールの書き方】</v>
      </c>
    </row>
    <row r="10820">
      <c r="A10820" s="140" t="str">
        <f>IFERROR(__xludf.DUMMYFUNCTION("""COMPUTED_VALUE"""),"en")</f>
        <v>en</v>
      </c>
      <c r="B10820">
        <f>IFERROR(__xludf.DUMMYFUNCTION("""COMPUTED_VALUE"""),880046.0)</f>
        <v>880046</v>
      </c>
      <c r="C10820" t="str">
        <f>IFERROR(__xludf.DUMMYFUNCTION("""COMPUTED_VALUE"""),"From 0 to 1: The Oozie Orchestration Framework")</f>
        <v>From 0 to 1: The Oozie Orchestration Framework</v>
      </c>
    </row>
    <row r="10821">
      <c r="A10821" s="140" t="str">
        <f>IFERROR(__xludf.DUMMYFUNCTION("""COMPUTED_VALUE"""),"en")</f>
        <v>en</v>
      </c>
      <c r="B10821">
        <f>IFERROR(__xludf.DUMMYFUNCTION("""COMPUTED_VALUE"""),1118518.0)</f>
        <v>1118518</v>
      </c>
      <c r="C10821" t="str">
        <f>IFERROR(__xludf.DUMMYFUNCTION("""COMPUTED_VALUE"""),"Building a Binary Classification Model in Azure ML")</f>
        <v>Building a Binary Classification Model in Azure ML</v>
      </c>
    </row>
    <row r="10822">
      <c r="A10822" s="140" t="str">
        <f>IFERROR(__xludf.DUMMYFUNCTION("""COMPUTED_VALUE"""),"de")</f>
        <v>de</v>
      </c>
      <c r="B10822">
        <f>IFERROR(__xludf.DUMMYFUNCTION("""COMPUTED_VALUE"""),2210888.0)</f>
        <v>2210888</v>
      </c>
      <c r="C10822" t="str">
        <f>IFERROR(__xludf.DUMMYFUNCTION("""COMPUTED_VALUE"""),"Expressive und farbenfrohe Blumen in Aquarell")</f>
        <v>Expressive und farbenfrohe Blumen in Aquarell</v>
      </c>
    </row>
    <row r="10823">
      <c r="A10823" s="140" t="str">
        <f>IFERROR(__xludf.DUMMYFUNCTION("""COMPUTED_VALUE"""),"pt")</f>
        <v>pt</v>
      </c>
      <c r="B10823">
        <f>IFERROR(__xludf.DUMMYFUNCTION("""COMPUTED_VALUE"""),2531236.0)</f>
        <v>2531236</v>
      </c>
      <c r="C10823" t="str">
        <f>IFERROR(__xludf.DUMMYFUNCTION("""COMPUTED_VALUE"""),"Data Science e Machine Learning com Estatística e Python")</f>
        <v>Data Science e Machine Learning com Estatística e Python</v>
      </c>
    </row>
    <row r="10824">
      <c r="A10824" s="140" t="str">
        <f>IFERROR(__xludf.DUMMYFUNCTION("""COMPUTED_VALUE"""),"es")</f>
        <v>es</v>
      </c>
      <c r="B10824">
        <f>IFERROR(__xludf.DUMMYFUNCTION("""COMPUTED_VALUE"""),1493880.0)</f>
        <v>1493880</v>
      </c>
      <c r="C10824" t="str">
        <f>IFERROR(__xludf.DUMMYFUNCTION("""COMPUTED_VALUE"""),"Curso para iniciar en YouTube y generar ingresos")</f>
        <v>Curso para iniciar en YouTube y generar ingresos</v>
      </c>
    </row>
    <row r="10825">
      <c r="A10825" s="140" t="str">
        <f>IFERROR(__xludf.DUMMYFUNCTION("""COMPUTED_VALUE"""),"en")</f>
        <v>en</v>
      </c>
      <c r="B10825">
        <f>IFERROR(__xludf.DUMMYFUNCTION("""COMPUTED_VALUE"""),632738.0)</f>
        <v>632738</v>
      </c>
      <c r="C10825" t="str">
        <f>IFERROR(__xludf.DUMMYFUNCTION("""COMPUTED_VALUE"""),"Better Business Writing Skills")</f>
        <v>Better Business Writing Skills</v>
      </c>
    </row>
    <row r="10826">
      <c r="A10826" s="140" t="str">
        <f>IFERROR(__xludf.DUMMYFUNCTION("""COMPUTED_VALUE"""),"es")</f>
        <v>es</v>
      </c>
      <c r="B10826">
        <f>IFERROR(__xludf.DUMMYFUNCTION("""COMPUTED_VALUE"""),2624938.0)</f>
        <v>2624938</v>
      </c>
      <c r="C10826" t="str">
        <f>IFERROR(__xludf.DUMMYFUNCTION("""COMPUTED_VALUE"""),"Foto Lectura - Lectura Rápida de Máxima Velocidad.")</f>
        <v>Foto Lectura - Lectura Rápida de Máxima Velocidad.</v>
      </c>
    </row>
    <row r="10827">
      <c r="A10827" s="140" t="str">
        <f>IFERROR(__xludf.DUMMYFUNCTION("""COMPUTED_VALUE"""),"en")</f>
        <v>en</v>
      </c>
      <c r="B10827">
        <f>IFERROR(__xludf.DUMMYFUNCTION("""COMPUTED_VALUE"""),1278936.0)</f>
        <v>1278936</v>
      </c>
      <c r="C10827" t="str">
        <f>IFERROR(__xludf.DUMMYFUNCTION("""COMPUTED_VALUE"""),"Confessions of an ex procrastinator")</f>
        <v>Confessions of an ex procrastinator</v>
      </c>
    </row>
    <row r="10828">
      <c r="A10828" s="140" t="str">
        <f>IFERROR(__xludf.DUMMYFUNCTION("""COMPUTED_VALUE"""),"en")</f>
        <v>en</v>
      </c>
      <c r="B10828">
        <f>IFERROR(__xludf.DUMMYFUNCTION("""COMPUTED_VALUE"""),2018128.0)</f>
        <v>2018128</v>
      </c>
      <c r="C10828" t="str">
        <f>IFERROR(__xludf.DUMMYFUNCTION("""COMPUTED_VALUE"""),"Stock &amp; Forex Trading  With Chart Pattern Technical Analysis")</f>
        <v>Stock &amp; Forex Trading  With Chart Pattern Technical Analysis</v>
      </c>
    </row>
    <row r="10829">
      <c r="A10829" s="140" t="str">
        <f>IFERROR(__xludf.DUMMYFUNCTION("""COMPUTED_VALUE"""),"en")</f>
        <v>en</v>
      </c>
      <c r="B10829">
        <f>IFERROR(__xludf.DUMMYFUNCTION("""COMPUTED_VALUE"""),448878.0)</f>
        <v>448878</v>
      </c>
      <c r="C10829" t="str">
        <f>IFERROR(__xludf.DUMMYFUNCTION("""COMPUTED_VALUE"""),"Master Adobe Lightroom Fast")</f>
        <v>Master Adobe Lightroom Fast</v>
      </c>
    </row>
    <row r="10830">
      <c r="A10830" s="140" t="str">
        <f>IFERROR(__xludf.DUMMYFUNCTION("""COMPUTED_VALUE"""),"en")</f>
        <v>en</v>
      </c>
      <c r="B10830">
        <f>IFERROR(__xludf.DUMMYFUNCTION("""COMPUTED_VALUE"""),586902.0)</f>
        <v>586902</v>
      </c>
      <c r="C10830" t="str">
        <f>IFERROR(__xludf.DUMMYFUNCTION("""COMPUTED_VALUE"""),"Learn T-SQL From Scratch For SQL Server Administrator")</f>
        <v>Learn T-SQL From Scratch For SQL Server Administrator</v>
      </c>
    </row>
    <row r="10831">
      <c r="A10831" s="140" t="str">
        <f>IFERROR(__xludf.DUMMYFUNCTION("""COMPUTED_VALUE"""),"en")</f>
        <v>en</v>
      </c>
      <c r="B10831">
        <f>IFERROR(__xludf.DUMMYFUNCTION("""COMPUTED_VALUE"""),3452540.0)</f>
        <v>3452540</v>
      </c>
      <c r="C10831" t="str">
        <f>IFERROR(__xludf.DUMMYFUNCTION("""COMPUTED_VALUE"""),"Interviewing Skills for a Product Manager")</f>
        <v>Interviewing Skills for a Product Manager</v>
      </c>
    </row>
    <row r="10832">
      <c r="A10832" s="140" t="str">
        <f>IFERROR(__xludf.DUMMYFUNCTION("""COMPUTED_VALUE"""),"en")</f>
        <v>en</v>
      </c>
      <c r="B10832">
        <f>IFERROR(__xludf.DUMMYFUNCTION("""COMPUTED_VALUE"""),2058283.0)</f>
        <v>2058283</v>
      </c>
      <c r="C10832" t="str">
        <f>IFERROR(__xludf.DUMMYFUNCTION("""COMPUTED_VALUE"""),"NLP - Natural Language Processing with Python")</f>
        <v>NLP - Natural Language Processing with Python</v>
      </c>
    </row>
    <row r="10833">
      <c r="A10833" s="140" t="str">
        <f>IFERROR(__xludf.DUMMYFUNCTION("""COMPUTED_VALUE"""),"en")</f>
        <v>en</v>
      </c>
      <c r="B10833">
        <f>IFERROR(__xludf.DUMMYFUNCTION("""COMPUTED_VALUE"""),548058.0)</f>
        <v>548058</v>
      </c>
      <c r="C10833" t="str">
        <f>IFERROR(__xludf.DUMMYFUNCTION("""COMPUTED_VALUE"""),"JUnit and Mockito Crash Course")</f>
        <v>JUnit and Mockito Crash Course</v>
      </c>
    </row>
    <row r="10834">
      <c r="A10834" s="140" t="str">
        <f>IFERROR(__xludf.DUMMYFUNCTION("""COMPUTED_VALUE"""),"en")</f>
        <v>en</v>
      </c>
      <c r="B10834">
        <f>IFERROR(__xludf.DUMMYFUNCTION("""COMPUTED_VALUE"""),135046.0)</f>
        <v>135046</v>
      </c>
      <c r="C10834" t="str">
        <f>IFERROR(__xludf.DUMMYFUNCTION("""COMPUTED_VALUE"""),"Micro Expressions Training &amp; Body Language for Lie Detection")</f>
        <v>Micro Expressions Training &amp; Body Language for Lie Detection</v>
      </c>
    </row>
    <row r="10835">
      <c r="A10835" s="140" t="str">
        <f>IFERROR(__xludf.DUMMYFUNCTION("""COMPUTED_VALUE"""),"ja")</f>
        <v>ja</v>
      </c>
      <c r="B10835">
        <f>IFERROR(__xludf.DUMMYFUNCTION("""COMPUTED_VALUE"""),4048592.0)</f>
        <v>4048592</v>
      </c>
      <c r="C10835" t="str">
        <f>IFERROR(__xludf.DUMMYFUNCTION("""COMPUTED_VALUE"""),"High Performance React Web 開発")</f>
        <v>High Performance React Web 開発</v>
      </c>
    </row>
    <row r="10836">
      <c r="A10836" s="140" t="str">
        <f>IFERROR(__xludf.DUMMYFUNCTION("""COMPUTED_VALUE"""),"en")</f>
        <v>en</v>
      </c>
      <c r="B10836">
        <f>IFERROR(__xludf.DUMMYFUNCTION("""COMPUTED_VALUE"""),2899228.0)</f>
        <v>2899228</v>
      </c>
      <c r="C10836" t="str">
        <f>IFERROR(__xludf.DUMMYFUNCTION("""COMPUTED_VALUE"""),"Ultimate Sound Design Complete: Mastering Sound Design")</f>
        <v>Ultimate Sound Design Complete: Mastering Sound Design</v>
      </c>
    </row>
    <row r="10837">
      <c r="A10837" s="140" t="str">
        <f>IFERROR(__xludf.DUMMYFUNCTION("""COMPUTED_VALUE"""),"en")</f>
        <v>en</v>
      </c>
      <c r="B10837">
        <f>IFERROR(__xludf.DUMMYFUNCTION("""COMPUTED_VALUE"""),2051705.0)</f>
        <v>2051705</v>
      </c>
      <c r="C10837" t="str">
        <f>IFERROR(__xludf.DUMMYFUNCTION("""COMPUTED_VALUE"""),"React Hooks")</f>
        <v>React Hooks</v>
      </c>
    </row>
    <row r="10838">
      <c r="A10838" s="140" t="str">
        <f>IFERROR(__xludf.DUMMYFUNCTION("""COMPUTED_VALUE"""),"en")</f>
        <v>en</v>
      </c>
      <c r="B10838">
        <f>IFERROR(__xludf.DUMMYFUNCTION("""COMPUTED_VALUE"""),1245870.0)</f>
        <v>1245870</v>
      </c>
      <c r="C10838" t="str">
        <f>IFERROR(__xludf.DUMMYFUNCTION("""COMPUTED_VALUE"""),"Complete Elasticsearch Masterclass with Logstash and Kibana")</f>
        <v>Complete Elasticsearch Masterclass with Logstash and Kibana</v>
      </c>
    </row>
    <row r="10839">
      <c r="A10839" s="140" t="str">
        <f>IFERROR(__xludf.DUMMYFUNCTION("""COMPUTED_VALUE"""),"pt")</f>
        <v>pt</v>
      </c>
      <c r="B10839">
        <f>IFERROR(__xludf.DUMMYFUNCTION("""COMPUTED_VALUE"""),1349908.0)</f>
        <v>1349908</v>
      </c>
      <c r="C10839" t="str">
        <f>IFERROR(__xludf.DUMMYFUNCTION("""COMPUTED_VALUE"""),"Redes Neurais Artificiais em Python")</f>
        <v>Redes Neurais Artificiais em Python</v>
      </c>
    </row>
    <row r="10840">
      <c r="A10840" s="140" t="str">
        <f>IFERROR(__xludf.DUMMYFUNCTION("""COMPUTED_VALUE"""),"en")</f>
        <v>en</v>
      </c>
      <c r="B10840">
        <f>IFERROR(__xludf.DUMMYFUNCTION("""COMPUTED_VALUE"""),2810839.0)</f>
        <v>2810839</v>
      </c>
      <c r="C10840" t="str">
        <f>IFERROR(__xludf.DUMMYFUNCTION("""COMPUTED_VALUE"""),"Introduction to Project Management with PRINCE2")</f>
        <v>Introduction to Project Management with PRINCE2</v>
      </c>
    </row>
    <row r="10841">
      <c r="A10841" s="140" t="str">
        <f>IFERROR(__xludf.DUMMYFUNCTION("""COMPUTED_VALUE"""),"ar")</f>
        <v>ar</v>
      </c>
      <c r="B10841">
        <f>IFERROR(__xludf.DUMMYFUNCTION("""COMPUTED_VALUE"""),2370068.0)</f>
        <v>2370068</v>
      </c>
      <c r="C10841" t="str">
        <f>IFERROR(__xludf.DUMMYFUNCTION("""COMPUTED_VALUE"""),"تعلم إعلانات جوجل بكثافة - الاصدار الجديد Google Adwords")</f>
        <v>تعلم إعلانات جوجل بكثافة - الاصدار الجديد Google Adwords</v>
      </c>
    </row>
    <row r="10842">
      <c r="A10842" s="140" t="str">
        <f>IFERROR(__xludf.DUMMYFUNCTION("""COMPUTED_VALUE"""),"en")</f>
        <v>en</v>
      </c>
      <c r="B10842">
        <f>IFERROR(__xludf.DUMMYFUNCTION("""COMPUTED_VALUE"""),3377424.0)</f>
        <v>3377424</v>
      </c>
      <c r="C10842" t="str">
        <f>IFERROR(__xludf.DUMMYFUNCTION("""COMPUTED_VALUE"""),"DP-203: Data Engineering on Microsoft Azure + Practice Tests")</f>
        <v>DP-203: Data Engineering on Microsoft Azure + Practice Tests</v>
      </c>
    </row>
    <row r="10843">
      <c r="A10843" s="140" t="str">
        <f>IFERROR(__xludf.DUMMYFUNCTION("""COMPUTED_VALUE"""),"en")</f>
        <v>en</v>
      </c>
      <c r="B10843">
        <f>IFERROR(__xludf.DUMMYFUNCTION("""COMPUTED_VALUE"""),430234.0)</f>
        <v>430234</v>
      </c>
      <c r="C10843" t="str">
        <f>IFERROR(__xludf.DUMMYFUNCTION("""COMPUTED_VALUE"""),"Women Empowerment Life Coach Certification 1WEC Training")</f>
        <v>Women Empowerment Life Coach Certification 1WEC Training</v>
      </c>
    </row>
    <row r="10844">
      <c r="A10844" s="140" t="str">
        <f>IFERROR(__xludf.DUMMYFUNCTION("""COMPUTED_VALUE"""),"en")</f>
        <v>en</v>
      </c>
      <c r="B10844">
        <f>IFERROR(__xludf.DUMMYFUNCTION("""COMPUTED_VALUE"""),1262598.0)</f>
        <v>1262598</v>
      </c>
      <c r="C10844" t="str">
        <f>IFERROR(__xludf.DUMMYFUNCTION("""COMPUTED_VALUE"""),"Clear and Simple VMware vSphere 6.5 Foundations VCP - Part 2")</f>
        <v>Clear and Simple VMware vSphere 6.5 Foundations VCP - Part 2</v>
      </c>
    </row>
    <row r="10845">
      <c r="A10845" s="140" t="str">
        <f>IFERROR(__xludf.DUMMYFUNCTION("""COMPUTED_VALUE"""),"en")</f>
        <v>en</v>
      </c>
      <c r="B10845">
        <f>IFERROR(__xludf.DUMMYFUNCTION("""COMPUTED_VALUE"""),1766478.0)</f>
        <v>1766478</v>
      </c>
      <c r="C10845" t="str">
        <f>IFERROR(__xludf.DUMMYFUNCTION("""COMPUTED_VALUE"""),"CCSO - Certified Cloud Security Officer")</f>
        <v>CCSO - Certified Cloud Security Officer</v>
      </c>
    </row>
    <row r="10846">
      <c r="A10846" s="140" t="str">
        <f>IFERROR(__xludf.DUMMYFUNCTION("""COMPUTED_VALUE"""),"es")</f>
        <v>es</v>
      </c>
      <c r="B10846">
        <f>IFERROR(__xludf.DUMMYFUNCTION("""COMPUTED_VALUE"""),2385150.0)</f>
        <v>2385150</v>
      </c>
      <c r="C10846" t="str">
        <f>IFERROR(__xludf.DUMMYFUNCTION("""COMPUTED_VALUE"""),"C# Asp.Net MVC ( Ajax + Json +Bootstrap + JavaScript)")</f>
        <v>C# Asp.Net MVC ( Ajax + Json +Bootstrap + JavaScript)</v>
      </c>
    </row>
    <row r="10847">
      <c r="A10847" s="140" t="str">
        <f>IFERROR(__xludf.DUMMYFUNCTION("""COMPUTED_VALUE"""),"en")</f>
        <v>en</v>
      </c>
      <c r="B10847">
        <f>IFERROR(__xludf.DUMMYFUNCTION("""COMPUTED_VALUE"""),3259902.0)</f>
        <v>3259902</v>
      </c>
      <c r="C10847" t="str">
        <f>IFERROR(__xludf.DUMMYFUNCTION("""COMPUTED_VALUE"""),"AWS Technical Essentials 2021 - Ultimate Training Program")</f>
        <v>AWS Technical Essentials 2021 - Ultimate Training Program</v>
      </c>
    </row>
    <row r="10848">
      <c r="A10848" s="140" t="str">
        <f>IFERROR(__xludf.DUMMYFUNCTION("""COMPUTED_VALUE"""),"en")</f>
        <v>en</v>
      </c>
      <c r="B10848">
        <f>IFERROR(__xludf.DUMMYFUNCTION("""COMPUTED_VALUE"""),1626968.0)</f>
        <v>1626968</v>
      </c>
      <c r="C10848" t="str">
        <f>IFERROR(__xludf.DUMMYFUNCTION("""COMPUTED_VALUE"""),"Power BI Master Class - Query Editor [2021 Edition]")</f>
        <v>Power BI Master Class - Query Editor [2021 Edition]</v>
      </c>
    </row>
    <row r="10849">
      <c r="A10849" s="140" t="str">
        <f>IFERROR(__xludf.DUMMYFUNCTION("""COMPUTED_VALUE"""),"en")</f>
        <v>en</v>
      </c>
      <c r="B10849">
        <f>IFERROR(__xludf.DUMMYFUNCTION("""COMPUTED_VALUE"""),1266662.0)</f>
        <v>1266662</v>
      </c>
      <c r="C10849" t="str">
        <f>IFERROR(__xludf.DUMMYFUNCTION("""COMPUTED_VALUE"""),"Axure RP 8 - Comprehensive training for UX Design")</f>
        <v>Axure RP 8 - Comprehensive training for UX Design</v>
      </c>
    </row>
    <row r="10850">
      <c r="A10850" s="140" t="str">
        <f>IFERROR(__xludf.DUMMYFUNCTION("""COMPUTED_VALUE"""),"en")</f>
        <v>en</v>
      </c>
      <c r="B10850">
        <f>IFERROR(__xludf.DUMMYFUNCTION("""COMPUTED_VALUE"""),3036658.0)</f>
        <v>3036658</v>
      </c>
      <c r="C10850" t="str">
        <f>IFERROR(__xludf.DUMMYFUNCTION("""COMPUTED_VALUE"""),"Oracle GoldenGate Beginner to Expert")</f>
        <v>Oracle GoldenGate Beginner to Expert</v>
      </c>
    </row>
    <row r="10851">
      <c r="A10851" s="140" t="str">
        <f>IFERROR(__xludf.DUMMYFUNCTION("""COMPUTED_VALUE"""),"en")</f>
        <v>en</v>
      </c>
      <c r="B10851">
        <f>IFERROR(__xludf.DUMMYFUNCTION("""COMPUTED_VALUE"""),1754638.0)</f>
        <v>1754638</v>
      </c>
      <c r="C10851" t="str">
        <f>IFERROR(__xludf.DUMMYFUNCTION("""COMPUTED_VALUE"""),"Learn Marvelous Designer")</f>
        <v>Learn Marvelous Designer</v>
      </c>
    </row>
    <row r="10852">
      <c r="A10852" s="140" t="str">
        <f>IFERROR(__xludf.DUMMYFUNCTION("""COMPUTED_VALUE"""),"zh")</f>
        <v>zh</v>
      </c>
      <c r="B10852">
        <f>IFERROR(__xludf.DUMMYFUNCTION("""COMPUTED_VALUE"""),1927732.0)</f>
        <v>1927732</v>
      </c>
      <c r="C10852" t="str">
        <f>IFERROR(__xludf.DUMMYFUNCTION("""COMPUTED_VALUE"""),"Photoshop高手之路---基础篇")</f>
        <v>Photoshop高手之路---基础篇</v>
      </c>
    </row>
    <row r="10853">
      <c r="A10853" s="140" t="str">
        <f>IFERROR(__xludf.DUMMYFUNCTION("""COMPUTED_VALUE"""),"en")</f>
        <v>en</v>
      </c>
      <c r="B10853">
        <f>IFERROR(__xludf.DUMMYFUNCTION("""COMPUTED_VALUE"""),2111474.0)</f>
        <v>2111474</v>
      </c>
      <c r="C10853" t="str">
        <f>IFERROR(__xludf.DUMMYFUNCTION("""COMPUTED_VALUE"""),"CISM Certification: CISM Domain 1 Video Boot Camp 2022")</f>
        <v>CISM Certification: CISM Domain 1 Video Boot Camp 2022</v>
      </c>
    </row>
    <row r="10854">
      <c r="A10854" s="140" t="str">
        <f>IFERROR(__xludf.DUMMYFUNCTION("""COMPUTED_VALUE"""),"ja")</f>
        <v>ja</v>
      </c>
      <c r="B10854">
        <f>IFERROR(__xludf.DUMMYFUNCTION("""COMPUTED_VALUE"""),2674168.0)</f>
        <v>2674168</v>
      </c>
      <c r="C10854" t="str">
        <f>IFERROR(__xludf.DUMMYFUNCTION("""COMPUTED_VALUE"""),"【売上分析で売上を最大化】ゼロから始めるGoogleスプレッドシートマスターコース｜最先端技術で売上最大化＆無駄の最小化")</f>
        <v>【売上分析で売上を最大化】ゼロから始めるGoogleスプレッドシートマスターコース｜最先端技術で売上最大化＆無駄の最小化</v>
      </c>
    </row>
    <row r="10855">
      <c r="A10855" s="140" t="str">
        <f>IFERROR(__xludf.DUMMYFUNCTION("""COMPUTED_VALUE"""),"en")</f>
        <v>en</v>
      </c>
      <c r="B10855">
        <f>IFERROR(__xludf.DUMMYFUNCTION("""COMPUTED_VALUE"""),179174.0)</f>
        <v>179174</v>
      </c>
      <c r="C10855" t="str">
        <f>IFERROR(__xludf.DUMMYFUNCTION("""COMPUTED_VALUE"""),"How To Write A Business Plan And A Winning Business Model")</f>
        <v>How To Write A Business Plan And A Winning Business Model</v>
      </c>
    </row>
    <row r="10856">
      <c r="A10856" s="140" t="str">
        <f>IFERROR(__xludf.DUMMYFUNCTION("""COMPUTED_VALUE"""),"en")</f>
        <v>en</v>
      </c>
      <c r="B10856">
        <f>IFERROR(__xludf.DUMMYFUNCTION("""COMPUTED_VALUE"""),622824.0)</f>
        <v>622824</v>
      </c>
      <c r="C10856" t="str">
        <f>IFERROR(__xludf.DUMMYFUNCTION("""COMPUTED_VALUE"""),"Moodle 3.0x Masterclass: Complete Educator's Guide to Moodle")</f>
        <v>Moodle 3.0x Masterclass: Complete Educator's Guide to Moodle</v>
      </c>
    </row>
    <row r="10857">
      <c r="A10857" s="140" t="str">
        <f>IFERROR(__xludf.DUMMYFUNCTION("""COMPUTED_VALUE"""),"en")</f>
        <v>en</v>
      </c>
      <c r="B10857">
        <f>IFERROR(__xludf.DUMMYFUNCTION("""COMPUTED_VALUE"""),2626584.0)</f>
        <v>2626584</v>
      </c>
      <c r="C10857" t="str">
        <f>IFERROR(__xludf.DUMMYFUNCTION("""COMPUTED_VALUE"""),"Fundamentals of Microsoft Planner")</f>
        <v>Fundamentals of Microsoft Planner</v>
      </c>
    </row>
    <row r="10858">
      <c r="A10858" s="140" t="str">
        <f>IFERROR(__xludf.DUMMYFUNCTION("""COMPUTED_VALUE"""),"pt")</f>
        <v>pt</v>
      </c>
      <c r="B10858">
        <f>IFERROR(__xludf.DUMMYFUNCTION("""COMPUTED_VALUE"""),831588.0)</f>
        <v>831588</v>
      </c>
      <c r="C10858" t="str">
        <f>IFERROR(__xludf.DUMMYFUNCTION("""COMPUTED_VALUE"""),"Gamificação: Teoria e Aplicações Práticas")</f>
        <v>Gamificação: Teoria e Aplicações Práticas</v>
      </c>
    </row>
    <row r="10859">
      <c r="A10859" s="140" t="str">
        <f>IFERROR(__xludf.DUMMYFUNCTION("""COMPUTED_VALUE"""),"en")</f>
        <v>en</v>
      </c>
      <c r="B10859">
        <f>IFERROR(__xludf.DUMMYFUNCTION("""COMPUTED_VALUE"""),340226.0)</f>
        <v>340226</v>
      </c>
      <c r="C10859" t="str">
        <f>IFERROR(__xludf.DUMMYFUNCTION("""COMPUTED_VALUE"""),"Marketing Strategy: Why are they not buying your product?")</f>
        <v>Marketing Strategy: Why are they not buying your product?</v>
      </c>
    </row>
    <row r="10860">
      <c r="A10860" s="140" t="str">
        <f>IFERROR(__xludf.DUMMYFUNCTION("""COMPUTED_VALUE"""),"en")</f>
        <v>en</v>
      </c>
      <c r="B10860">
        <f>IFERROR(__xludf.DUMMYFUNCTION("""COMPUTED_VALUE"""),1036342.0)</f>
        <v>1036342</v>
      </c>
      <c r="C10860" t="str">
        <f>IFERROR(__xludf.DUMMYFUNCTION("""COMPUTED_VALUE"""),"SQL &amp; Database Design A-Z™: Learn MS SQL Server + PostgreSQL")</f>
        <v>SQL &amp; Database Design A-Z™: Learn MS SQL Server + PostgreSQL</v>
      </c>
    </row>
    <row r="10861">
      <c r="A10861" s="140" t="str">
        <f>IFERROR(__xludf.DUMMYFUNCTION("""COMPUTED_VALUE"""),"en")</f>
        <v>en</v>
      </c>
      <c r="B10861">
        <f>IFERROR(__xludf.DUMMYFUNCTION("""COMPUTED_VALUE"""),728106.0)</f>
        <v>728106</v>
      </c>
      <c r="C10861" t="str">
        <f>IFERROR(__xludf.DUMMYFUNCTION("""COMPUTED_VALUE"""),"Eclipse Tutorial For Beginners : Learn Java IDE in 10 Steps")</f>
        <v>Eclipse Tutorial For Beginners : Learn Java IDE in 10 Steps</v>
      </c>
    </row>
    <row r="10862">
      <c r="A10862" s="140" t="str">
        <f>IFERROR(__xludf.DUMMYFUNCTION("""COMPUTED_VALUE"""),"en")</f>
        <v>en</v>
      </c>
      <c r="B10862">
        <f>IFERROR(__xludf.DUMMYFUNCTION("""COMPUTED_VALUE"""),2346808.0)</f>
        <v>2346808</v>
      </c>
      <c r="C10862" t="str">
        <f>IFERROR(__xludf.DUMMYFUNCTION("""COMPUTED_VALUE"""),"AWS  Automation with boto3 of Python and Lambda Functions")</f>
        <v>AWS  Automation with boto3 of Python and Lambda Functions</v>
      </c>
    </row>
    <row r="10863">
      <c r="A10863" s="140" t="str">
        <f>IFERROR(__xludf.DUMMYFUNCTION("""COMPUTED_VALUE"""),"es")</f>
        <v>es</v>
      </c>
      <c r="B10863">
        <f>IFERROR(__xludf.DUMMYFUNCTION("""COMPUTED_VALUE"""),2025246.0)</f>
        <v>2025246</v>
      </c>
      <c r="C10863" t="str">
        <f>IFERROR(__xludf.DUMMYFUNCTION("""COMPUTED_VALUE"""),"Curso completo de PHP7")</f>
        <v>Curso completo de PHP7</v>
      </c>
    </row>
    <row r="10864">
      <c r="A10864" s="140" t="str">
        <f>IFERROR(__xludf.DUMMYFUNCTION("""COMPUTED_VALUE"""),"zh")</f>
        <v>zh</v>
      </c>
      <c r="B10864">
        <f>IFERROR(__xludf.DUMMYFUNCTION("""COMPUTED_VALUE"""),1786528.0)</f>
        <v>1786528</v>
      </c>
      <c r="C10864" t="str">
        <f>IFERROR(__xludf.DUMMYFUNCTION("""COMPUTED_VALUE"""),"学习用于Web开发的JavaScript高级篇")</f>
        <v>学习用于Web开发的JavaScript高级篇</v>
      </c>
    </row>
    <row r="10865">
      <c r="A10865" s="140" t="str">
        <f>IFERROR(__xludf.DUMMYFUNCTION("""COMPUTED_VALUE"""),"es")</f>
        <v>es</v>
      </c>
      <c r="B10865">
        <f>IFERROR(__xludf.DUMMYFUNCTION("""COMPUTED_VALUE"""),3297112.0)</f>
        <v>3297112</v>
      </c>
      <c r="C10865" t="str">
        <f>IFERROR(__xludf.DUMMYFUNCTION("""COMPUTED_VALUE"""),"Happy Sleep")</f>
        <v>Happy Sleep</v>
      </c>
    </row>
    <row r="10866">
      <c r="A10866" s="140" t="str">
        <f>IFERROR(__xludf.DUMMYFUNCTION("""COMPUTED_VALUE"""),"zh")</f>
        <v>zh</v>
      </c>
      <c r="B10866">
        <f>IFERROR(__xludf.DUMMYFUNCTION("""COMPUTED_VALUE"""),2318180.0)</f>
        <v>2318180</v>
      </c>
      <c r="C10866" t="str">
        <f>IFERROR(__xludf.DUMMYFUNCTION("""COMPUTED_VALUE"""),"放码过来！新版Java坦克大战")</f>
        <v>放码过来！新版Java坦克大战</v>
      </c>
    </row>
    <row r="10867">
      <c r="A10867" s="140" t="str">
        <f>IFERROR(__xludf.DUMMYFUNCTION("""COMPUTED_VALUE"""),"es")</f>
        <v>es</v>
      </c>
      <c r="B10867">
        <f>IFERROR(__xludf.DUMMYFUNCTION("""COMPUTED_VALUE"""),1562070.0)</f>
        <v>1562070</v>
      </c>
      <c r="C10867" t="str">
        <f>IFERROR(__xludf.DUMMYFUNCTION("""COMPUTED_VALUE"""),"Node: De cero a experto ( Edición 2021 )")</f>
        <v>Node: De cero a experto ( Edición 2021 )</v>
      </c>
    </row>
    <row r="10868">
      <c r="A10868" s="140" t="str">
        <f>IFERROR(__xludf.DUMMYFUNCTION("""COMPUTED_VALUE"""),"es")</f>
        <v>es</v>
      </c>
      <c r="B10868">
        <f>IFERROR(__xludf.DUMMYFUNCTION("""COMPUTED_VALUE"""),4206538.0)</f>
        <v>4206538</v>
      </c>
      <c r="C10868" t="str">
        <f>IFERROR(__xludf.DUMMYFUNCTION("""COMPUTED_VALUE"""),"Curso de Terraform en Español | Infraestructura como código")</f>
        <v>Curso de Terraform en Español | Infraestructura como código</v>
      </c>
    </row>
    <row r="10869">
      <c r="A10869" s="140" t="str">
        <f>IFERROR(__xludf.DUMMYFUNCTION("""COMPUTED_VALUE"""),"en")</f>
        <v>en</v>
      </c>
      <c r="B10869">
        <f>IFERROR(__xludf.DUMMYFUNCTION("""COMPUTED_VALUE"""),1116388.0)</f>
        <v>1116388</v>
      </c>
      <c r="C10869" t="str">
        <f>IFERROR(__xludf.DUMMYFUNCTION("""COMPUTED_VALUE"""),"How to Build Confidence in Your Abilities")</f>
        <v>How to Build Confidence in Your Abilities</v>
      </c>
    </row>
    <row r="10870">
      <c r="A10870" s="140" t="str">
        <f>IFERROR(__xludf.DUMMYFUNCTION("""COMPUTED_VALUE"""),"es")</f>
        <v>es</v>
      </c>
      <c r="B10870">
        <f>IFERROR(__xludf.DUMMYFUNCTION("""COMPUTED_VALUE"""),2806027.0)</f>
        <v>2806027</v>
      </c>
      <c r="C10870" t="str">
        <f>IFERROR(__xludf.DUMMYFUNCTION("""COMPUTED_VALUE"""),"TABLEAU 10 (A-Z): Crea Impactantes DASHBOARDS Interactivos")</f>
        <v>TABLEAU 10 (A-Z): Crea Impactantes DASHBOARDS Interactivos</v>
      </c>
    </row>
    <row r="10871">
      <c r="A10871" s="140" t="str">
        <f>IFERROR(__xludf.DUMMYFUNCTION("""COMPUTED_VALUE"""),"en")</f>
        <v>en</v>
      </c>
      <c r="B10871">
        <f>IFERROR(__xludf.DUMMYFUNCTION("""COMPUTED_VALUE"""),578950.0)</f>
        <v>578950</v>
      </c>
      <c r="C10871" t="str">
        <f>IFERROR(__xludf.DUMMYFUNCTION("""COMPUTED_VALUE"""),"Git Essentials: Learn Git with Bitbucket and Sourcetree")</f>
        <v>Git Essentials: Learn Git with Bitbucket and Sourcetree</v>
      </c>
    </row>
    <row r="10872">
      <c r="A10872" s="140" t="str">
        <f>IFERROR(__xludf.DUMMYFUNCTION("""COMPUTED_VALUE"""),"en")</f>
        <v>en</v>
      </c>
      <c r="B10872">
        <f>IFERROR(__xludf.DUMMYFUNCTION("""COMPUTED_VALUE"""),3291970.0)</f>
        <v>3291970</v>
      </c>
      <c r="C10872" t="str">
        <f>IFERROR(__xludf.DUMMYFUNCTION("""COMPUTED_VALUE"""),"Complete Ethical Hacking Bootcamp 2022: Zero to Mastery")</f>
        <v>Complete Ethical Hacking Bootcamp 2022: Zero to Mastery</v>
      </c>
    </row>
    <row r="10873">
      <c r="A10873" s="140" t="str">
        <f>IFERROR(__xludf.DUMMYFUNCTION("""COMPUTED_VALUE"""),"en")</f>
        <v>en</v>
      </c>
      <c r="B10873">
        <f>IFERROR(__xludf.DUMMYFUNCTION("""COMPUTED_VALUE"""),1189148.0)</f>
        <v>1189148</v>
      </c>
      <c r="C10873" t="str">
        <f>IFERROR(__xludf.DUMMYFUNCTION("""COMPUTED_VALUE"""),"Growth Team Management - How to Build a Growth Team")</f>
        <v>Growth Team Management - How to Build a Growth Team</v>
      </c>
    </row>
    <row r="10874">
      <c r="A10874" s="140" t="str">
        <f>IFERROR(__xludf.DUMMYFUNCTION("""COMPUTED_VALUE"""),"en")</f>
        <v>en</v>
      </c>
      <c r="B10874">
        <f>IFERROR(__xludf.DUMMYFUNCTION("""COMPUTED_VALUE"""),1049036.0)</f>
        <v>1049036</v>
      </c>
      <c r="C10874" t="str">
        <f>IFERROR(__xludf.DUMMYFUNCTION("""COMPUTED_VALUE"""),"SAP Sales and Distribution (SD) Super User Training")</f>
        <v>SAP Sales and Distribution (SD) Super User Training</v>
      </c>
    </row>
    <row r="10875">
      <c r="A10875" s="140" t="str">
        <f>IFERROR(__xludf.DUMMYFUNCTION("""COMPUTED_VALUE"""),"en")</f>
        <v>en</v>
      </c>
      <c r="B10875">
        <f>IFERROR(__xludf.DUMMYFUNCTION("""COMPUTED_VALUE"""),1343886.0)</f>
        <v>1343886</v>
      </c>
      <c r="C10875" t="str">
        <f>IFERROR(__xludf.DUMMYFUNCTION("""COMPUTED_VALUE"""),"The Ultimate AWS Certified Solutions Architect - Associate")</f>
        <v>The Ultimate AWS Certified Solutions Architect - Associate</v>
      </c>
    </row>
    <row r="10876">
      <c r="A10876" s="140" t="str">
        <f>IFERROR(__xludf.DUMMYFUNCTION("""COMPUTED_VALUE"""),"en")</f>
        <v>en</v>
      </c>
      <c r="B10876">
        <f>IFERROR(__xludf.DUMMYFUNCTION("""COMPUTED_VALUE"""),1694750.0)</f>
        <v>1694750</v>
      </c>
      <c r="C10876" t="str">
        <f>IFERROR(__xludf.DUMMYFUNCTION("""COMPUTED_VALUE"""),"Real World SAP - Plant Maintenance Orders and Notifications")</f>
        <v>Real World SAP - Plant Maintenance Orders and Notifications</v>
      </c>
    </row>
    <row r="10877">
      <c r="A10877" s="140" t="str">
        <f>IFERROR(__xludf.DUMMYFUNCTION("""COMPUTED_VALUE"""),"en")</f>
        <v>en</v>
      </c>
      <c r="B10877">
        <f>IFERROR(__xludf.DUMMYFUNCTION("""COMPUTED_VALUE"""),1676170.0)</f>
        <v>1676170</v>
      </c>
      <c r="C10877" t="str">
        <f>IFERROR(__xludf.DUMMYFUNCTION("""COMPUTED_VALUE"""),"Top Python and Javascript Programming Bundle")</f>
        <v>Top Python and Javascript Programming Bundle</v>
      </c>
    </row>
    <row r="10878">
      <c r="A10878" s="140" t="str">
        <f>IFERROR(__xludf.DUMMYFUNCTION("""COMPUTED_VALUE"""),"en")</f>
        <v>en</v>
      </c>
      <c r="B10878">
        <f>IFERROR(__xludf.DUMMYFUNCTION("""COMPUTED_VALUE"""),256646.0)</f>
        <v>256646</v>
      </c>
      <c r="C10878" t="str">
        <f>IFERROR(__xludf.DUMMYFUNCTION("""COMPUTED_VALUE"""),"Effective Academic Writing: Write Papers that Get Results")</f>
        <v>Effective Academic Writing: Write Papers that Get Results</v>
      </c>
    </row>
    <row r="10879">
      <c r="A10879" s="140" t="str">
        <f>IFERROR(__xludf.DUMMYFUNCTION("""COMPUTED_VALUE"""),"de")</f>
        <v>de</v>
      </c>
      <c r="B10879">
        <f>IFERROR(__xludf.DUMMYFUNCTION("""COMPUTED_VALUE"""),3175938.0)</f>
        <v>3175938</v>
      </c>
      <c r="C10879" t="str">
        <f>IFERROR(__xludf.DUMMYFUNCTION("""COMPUTED_VALUE"""),"Einstieg in die Buchhaltung")</f>
        <v>Einstieg in die Buchhaltung</v>
      </c>
    </row>
    <row r="10880">
      <c r="A10880" s="140" t="str">
        <f>IFERROR(__xludf.DUMMYFUNCTION("""COMPUTED_VALUE"""),"en")</f>
        <v>en</v>
      </c>
      <c r="B10880">
        <f>IFERROR(__xludf.DUMMYFUNCTION("""COMPUTED_VALUE"""),3936804.0)</f>
        <v>3936804</v>
      </c>
      <c r="C10880" t="str">
        <f>IFERROR(__xludf.DUMMYFUNCTION("""COMPUTED_VALUE"""),"SharePoint Online for Administrators")</f>
        <v>SharePoint Online for Administrators</v>
      </c>
    </row>
    <row r="10881">
      <c r="A10881" s="140" t="str">
        <f>IFERROR(__xludf.DUMMYFUNCTION("""COMPUTED_VALUE"""),"en")</f>
        <v>en</v>
      </c>
      <c r="B10881">
        <f>IFERROR(__xludf.DUMMYFUNCTION("""COMPUTED_VALUE"""),48098.0)</f>
        <v>48098</v>
      </c>
      <c r="C10881" t="str">
        <f>IFERROR(__xludf.DUMMYFUNCTION("""COMPUTED_VALUE"""),"Eye-catching presentations using PowerPoint 2010")</f>
        <v>Eye-catching presentations using PowerPoint 2010</v>
      </c>
    </row>
    <row r="10882">
      <c r="A10882" s="140" t="str">
        <f>IFERROR(__xludf.DUMMYFUNCTION("""COMPUTED_VALUE"""),"pt")</f>
        <v>pt</v>
      </c>
      <c r="B10882">
        <f>IFERROR(__xludf.DUMMYFUNCTION("""COMPUTED_VALUE"""),1239772.0)</f>
        <v>1239772</v>
      </c>
      <c r="C10882" t="str">
        <f>IFERROR(__xludf.DUMMYFUNCTION("""COMPUTED_VALUE"""),"Mineração de Emoção em Textos com Python e NLTK")</f>
        <v>Mineração de Emoção em Textos com Python e NLTK</v>
      </c>
    </row>
    <row r="10883">
      <c r="A10883" s="140" t="str">
        <f>IFERROR(__xludf.DUMMYFUNCTION("""COMPUTED_VALUE"""),"es")</f>
        <v>es</v>
      </c>
      <c r="B10883">
        <f>IFERROR(__xludf.DUMMYFUNCTION("""COMPUTED_VALUE"""),2759776.0)</f>
        <v>2759776</v>
      </c>
      <c r="C10883" t="str">
        <f>IFERROR(__xludf.DUMMYFUNCTION("""COMPUTED_VALUE"""),"Kubernetes, de principiante a experto")</f>
        <v>Kubernetes, de principiante a experto</v>
      </c>
    </row>
    <row r="10884">
      <c r="A10884" s="140" t="str">
        <f>IFERROR(__xludf.DUMMYFUNCTION("""COMPUTED_VALUE"""),"es")</f>
        <v>es</v>
      </c>
      <c r="B10884">
        <f>IFERROR(__xludf.DUMMYFUNCTION("""COMPUTED_VALUE"""),2360418.0)</f>
        <v>2360418</v>
      </c>
      <c r="C10884" t="str">
        <f>IFERROR(__xludf.DUMMYFUNCTION("""COMPUTED_VALUE"""),"Design Thinking - Remoto  | 2020")</f>
        <v>Design Thinking - Remoto  | 2020</v>
      </c>
    </row>
    <row r="10885">
      <c r="A10885" s="140" t="str">
        <f>IFERROR(__xludf.DUMMYFUNCTION("""COMPUTED_VALUE"""),"en")</f>
        <v>en</v>
      </c>
      <c r="B10885">
        <f>IFERROR(__xludf.DUMMYFUNCTION("""COMPUTED_VALUE"""),1405842.0)</f>
        <v>1405842</v>
      </c>
      <c r="C10885" t="str">
        <f>IFERROR(__xludf.DUMMYFUNCTION("""COMPUTED_VALUE"""),"Supply Chain for Management Consultants &amp; Business Analysts")</f>
        <v>Supply Chain for Management Consultants &amp; Business Analysts</v>
      </c>
    </row>
    <row r="10886">
      <c r="A10886" s="140" t="str">
        <f>IFERROR(__xludf.DUMMYFUNCTION("""COMPUTED_VALUE"""),"en")</f>
        <v>en</v>
      </c>
      <c r="B10886">
        <f>IFERROR(__xludf.DUMMYFUNCTION("""COMPUTED_VALUE"""),1755264.0)</f>
        <v>1755264</v>
      </c>
      <c r="C10886" t="str">
        <f>IFERROR(__xludf.DUMMYFUNCTION("""COMPUTED_VALUE"""),"CompTIA Pentest+ (Ethical Hacking) Course &amp; Practice Exam")</f>
        <v>CompTIA Pentest+ (Ethical Hacking) Course &amp; Practice Exam</v>
      </c>
    </row>
    <row r="10887">
      <c r="A10887" s="140" t="str">
        <f>IFERROR(__xludf.DUMMYFUNCTION("""COMPUTED_VALUE"""),"en")</f>
        <v>en</v>
      </c>
      <c r="B10887">
        <f>IFERROR(__xludf.DUMMYFUNCTION("""COMPUTED_VALUE"""),1391482.0)</f>
        <v>1391482</v>
      </c>
      <c r="C10887" t="str">
        <f>IFERROR(__xludf.DUMMYFUNCTION("""COMPUTED_VALUE"""),"Cyber Security For Normal People: Protect Yourself Online")</f>
        <v>Cyber Security For Normal People: Protect Yourself Online</v>
      </c>
    </row>
    <row r="10888">
      <c r="A10888" s="140" t="str">
        <f>IFERROR(__xludf.DUMMYFUNCTION("""COMPUTED_VALUE"""),"tr")</f>
        <v>tr</v>
      </c>
      <c r="B10888">
        <f>IFERROR(__xludf.DUMMYFUNCTION("""COMPUTED_VALUE"""),1939612.0)</f>
        <v>1939612</v>
      </c>
      <c r="C10888" t="str">
        <f>IFERROR(__xludf.DUMMYFUNCTION("""COMPUTED_VALUE"""),"Uygulamalarla SQL Öğreniyorum")</f>
        <v>Uygulamalarla SQL Öğreniyorum</v>
      </c>
    </row>
    <row r="10889">
      <c r="A10889" s="140" t="str">
        <f>IFERROR(__xludf.DUMMYFUNCTION("""COMPUTED_VALUE"""),"en")</f>
        <v>en</v>
      </c>
      <c r="B10889">
        <f>IFERROR(__xludf.DUMMYFUNCTION("""COMPUTED_VALUE"""),744576.0)</f>
        <v>744576</v>
      </c>
      <c r="C10889" t="str">
        <f>IFERROR(__xludf.DUMMYFUNCTION("""COMPUTED_VALUE"""),"Learn to Play Chess: from a Novice to a Fierce Competitor")</f>
        <v>Learn to Play Chess: from a Novice to a Fierce Competitor</v>
      </c>
    </row>
    <row r="10890">
      <c r="A10890" s="140" t="str">
        <f>IFERROR(__xludf.DUMMYFUNCTION("""COMPUTED_VALUE"""),"en")</f>
        <v>en</v>
      </c>
      <c r="B10890">
        <f>IFERROR(__xludf.DUMMYFUNCTION("""COMPUTED_VALUE"""),1054452.0)</f>
        <v>1054452</v>
      </c>
      <c r="C10890" t="str">
        <f>IFERROR(__xludf.DUMMYFUNCTION("""COMPUTED_VALUE"""),"Develop Daily Self-Discipline")</f>
        <v>Develop Daily Self-Discipline</v>
      </c>
    </row>
    <row r="10891">
      <c r="A10891" s="140" t="str">
        <f>IFERROR(__xludf.DUMMYFUNCTION("""COMPUTED_VALUE"""),"zh")</f>
        <v>zh</v>
      </c>
      <c r="B10891">
        <f>IFERROR(__xludf.DUMMYFUNCTION("""COMPUTED_VALUE"""),2470398.0)</f>
        <v>2470398</v>
      </c>
      <c r="C10891" t="str">
        <f>IFERROR(__xludf.DUMMYFUNCTION("""COMPUTED_VALUE"""),"数据可视化分析：Tableau原理与实践")</f>
        <v>数据可视化分析：Tableau原理与实践</v>
      </c>
    </row>
    <row r="10892">
      <c r="A10892" s="140" t="str">
        <f>IFERROR(__xludf.DUMMYFUNCTION("""COMPUTED_VALUE"""),"es")</f>
        <v>es</v>
      </c>
      <c r="B10892">
        <f>IFERROR(__xludf.DUMMYFUNCTION("""COMPUTED_VALUE"""),3535010.0)</f>
        <v>3535010</v>
      </c>
      <c r="C10892" t="str">
        <f>IFERROR(__xludf.DUMMYFUNCTION("""COMPUTED_VALUE"""),"Deep Learning con Python y Keras. Redes Neuronales avanzado.")</f>
        <v>Deep Learning con Python y Keras. Redes Neuronales avanzado.</v>
      </c>
    </row>
    <row r="10893">
      <c r="A10893" s="140" t="str">
        <f>IFERROR(__xludf.DUMMYFUNCTION("""COMPUTED_VALUE"""),"en")</f>
        <v>en</v>
      </c>
      <c r="B10893">
        <f>IFERROR(__xludf.DUMMYFUNCTION("""COMPUTED_VALUE"""),863844.0)</f>
        <v>863844</v>
      </c>
      <c r="C10893" t="str">
        <f>IFERROR(__xludf.DUMMYFUNCTION("""COMPUTED_VALUE"""),"Professional iOS Chat App with Social Login using Firebase 3")</f>
        <v>Professional iOS Chat App with Social Login using Firebase 3</v>
      </c>
    </row>
    <row r="10894">
      <c r="A10894" s="140" t="str">
        <f>IFERROR(__xludf.DUMMYFUNCTION("""COMPUTED_VALUE"""),"ja")</f>
        <v>ja</v>
      </c>
      <c r="B10894">
        <f>IFERROR(__xludf.DUMMYFUNCTION("""COMPUTED_VALUE"""),2497584.0)</f>
        <v>2497584</v>
      </c>
      <c r="C10894" t="str">
        <f>IFERROR(__xludf.DUMMYFUNCTION("""COMPUTED_VALUE"""),"【数字を味方につける：初級編】ビジネスの現場で使えるデータ分析")</f>
        <v>【数字を味方につける：初級編】ビジネスの現場で使えるデータ分析</v>
      </c>
    </row>
    <row r="10895">
      <c r="A10895" s="140" t="str">
        <f>IFERROR(__xludf.DUMMYFUNCTION("""COMPUTED_VALUE"""),"en")</f>
        <v>en</v>
      </c>
      <c r="B10895">
        <f>IFERROR(__xludf.DUMMYFUNCTION("""COMPUTED_VALUE"""),2358038.0)</f>
        <v>2358038</v>
      </c>
      <c r="C10895" t="str">
        <f>IFERROR(__xludf.DUMMYFUNCTION("""COMPUTED_VALUE"""),"Learn 100+ Python Pattern Printing Programs In Simple Way")</f>
        <v>Learn 100+ Python Pattern Printing Programs In Simple Way</v>
      </c>
    </row>
    <row r="10896">
      <c r="A10896" s="140" t="str">
        <f>IFERROR(__xludf.DUMMYFUNCTION("""COMPUTED_VALUE"""),"en")</f>
        <v>en</v>
      </c>
      <c r="B10896">
        <f>IFERROR(__xludf.DUMMYFUNCTION("""COMPUTED_VALUE"""),2751966.0)</f>
        <v>2751966</v>
      </c>
      <c r="C10896" t="str">
        <f>IFERROR(__xludf.DUMMYFUNCTION("""COMPUTED_VALUE"""),"Digital Marketing: Lead Generation &amp; Sales Conversion Course")</f>
        <v>Digital Marketing: Lead Generation &amp; Sales Conversion Course</v>
      </c>
    </row>
    <row r="10897">
      <c r="A10897" s="140" t="str">
        <f>IFERROR(__xludf.DUMMYFUNCTION("""COMPUTED_VALUE"""),"ja")</f>
        <v>ja</v>
      </c>
      <c r="B10897">
        <f>IFERROR(__xludf.DUMMYFUNCTION("""COMPUTED_VALUE"""),1337406.0)</f>
        <v>1337406</v>
      </c>
      <c r="C10897" t="str">
        <f>IFERROR(__xludf.DUMMYFUNCTION("""COMPUTED_VALUE"""),"就活生　社会人１年生　ビジネスマンの話し方・伝え方（論理的な話し方）講座　これでプレゼンも面接も怖くない！！")</f>
        <v>就活生　社会人１年生　ビジネスマンの話し方・伝え方（論理的な話し方）講座　これでプレゼンも面接も怖くない！！</v>
      </c>
    </row>
    <row r="10898">
      <c r="A10898" s="140" t="str">
        <f>IFERROR(__xludf.DUMMYFUNCTION("""COMPUTED_VALUE"""),"en")</f>
        <v>en</v>
      </c>
      <c r="B10898">
        <f>IFERROR(__xludf.DUMMYFUNCTION("""COMPUTED_VALUE"""),1151632.0)</f>
        <v>1151632</v>
      </c>
      <c r="C10898" t="str">
        <f>IFERROR(__xludf.DUMMYFUNCTION("""COMPUTED_VALUE"""),"Deep Learning A-Z™: Hands-On Artificial Neural Networks")</f>
        <v>Deep Learning A-Z™: Hands-On Artificial Neural Networks</v>
      </c>
    </row>
    <row r="10899">
      <c r="A10899" s="140" t="str">
        <f>IFERROR(__xludf.DUMMYFUNCTION("""COMPUTED_VALUE"""),"de")</f>
        <v>de</v>
      </c>
      <c r="B10899">
        <f>IFERROR(__xludf.DUMMYFUNCTION("""COMPUTED_VALUE"""),1012816.0)</f>
        <v>1012816</v>
      </c>
      <c r="C10899" t="str">
        <f>IFERROR(__xludf.DUMMYFUNCTION("""COMPUTED_VALUE"""),"WordPress für Macher und Anwender - vom Anfänger zum Profi")</f>
        <v>WordPress für Macher und Anwender - vom Anfänger zum Profi</v>
      </c>
    </row>
    <row r="10900">
      <c r="A10900" s="140" t="str">
        <f>IFERROR(__xludf.DUMMYFUNCTION("""COMPUTED_VALUE"""),"en")</f>
        <v>en</v>
      </c>
      <c r="B10900">
        <f>IFERROR(__xludf.DUMMYFUNCTION("""COMPUTED_VALUE"""),1955188.0)</f>
        <v>1955188</v>
      </c>
      <c r="C10900" t="str">
        <f>IFERROR(__xludf.DUMMYFUNCTION("""COMPUTED_VALUE"""),"Scrum Master Exam Prep")</f>
        <v>Scrum Master Exam Prep</v>
      </c>
    </row>
    <row r="10901">
      <c r="A10901" s="140" t="str">
        <f>IFERROR(__xludf.DUMMYFUNCTION("""COMPUTED_VALUE"""),"ja")</f>
        <v>ja</v>
      </c>
      <c r="B10901">
        <f>IFERROR(__xludf.DUMMYFUNCTION("""COMPUTED_VALUE"""),1957132.0)</f>
        <v>1957132</v>
      </c>
      <c r="C10901" t="str">
        <f>IFERROR(__xludf.DUMMYFUNCTION("""COMPUTED_VALUE"""),"『Redmine入門』〜Excelでのタスク管理にストレスを感じているプロジェクトリーダとメンバのための〜")</f>
        <v>『Redmine入門』〜Excelでのタスク管理にストレスを感じているプロジェクトリーダとメンバのための〜</v>
      </c>
    </row>
    <row r="10902">
      <c r="A10902" s="140" t="str">
        <f>IFERROR(__xludf.DUMMYFUNCTION("""COMPUTED_VALUE"""),"en")</f>
        <v>en</v>
      </c>
      <c r="B10902">
        <f>IFERROR(__xludf.DUMMYFUNCTION("""COMPUTED_VALUE"""),3834716.0)</f>
        <v>3834716</v>
      </c>
      <c r="C10902" t="str">
        <f>IFERROR(__xludf.DUMMYFUNCTION("""COMPUTED_VALUE"""),"DP-100 Microsoft Azure Data Scientist Complete Exam Prep")</f>
        <v>DP-100 Microsoft Azure Data Scientist Complete Exam Prep</v>
      </c>
    </row>
    <row r="10903">
      <c r="A10903" s="140" t="str">
        <f>IFERROR(__xludf.DUMMYFUNCTION("""COMPUTED_VALUE"""),"pt")</f>
        <v>pt</v>
      </c>
      <c r="B10903">
        <f>IFERROR(__xludf.DUMMYFUNCTION("""COMPUTED_VALUE"""),3814384.0)</f>
        <v>3814384</v>
      </c>
      <c r="C10903" t="str">
        <f>IFERROR(__xludf.DUMMYFUNCTION("""COMPUTED_VALUE"""),"Aprenda MVC com PHP e Composer")</f>
        <v>Aprenda MVC com PHP e Composer</v>
      </c>
    </row>
    <row r="10904">
      <c r="A10904" s="140" t="str">
        <f>IFERROR(__xludf.DUMMYFUNCTION("""COMPUTED_VALUE"""),"en")</f>
        <v>en</v>
      </c>
      <c r="B10904">
        <f>IFERROR(__xludf.DUMMYFUNCTION("""COMPUTED_VALUE"""),3464946.0)</f>
        <v>3464946</v>
      </c>
      <c r="C10904" t="str">
        <f>IFERROR(__xludf.DUMMYFUNCTION("""COMPUTED_VALUE"""),"SRE - The Big Picture")</f>
        <v>SRE - The Big Picture</v>
      </c>
    </row>
    <row r="10905">
      <c r="A10905" s="140" t="str">
        <f>IFERROR(__xludf.DUMMYFUNCTION("""COMPUTED_VALUE"""),"es")</f>
        <v>es</v>
      </c>
      <c r="B10905">
        <f>IFERROR(__xludf.DUMMYFUNCTION("""COMPUTED_VALUE"""),2370086.0)</f>
        <v>2370086</v>
      </c>
      <c r="C10905" t="str">
        <f>IFERROR(__xludf.DUMMYFUNCTION("""COMPUTED_VALUE"""),"Cadena logística y transporte internacional")</f>
        <v>Cadena logística y transporte internacional</v>
      </c>
    </row>
    <row r="10906">
      <c r="A10906" s="140" t="str">
        <f>IFERROR(__xludf.DUMMYFUNCTION("""COMPUTED_VALUE"""),"en")</f>
        <v>en</v>
      </c>
      <c r="B10906">
        <f>IFERROR(__xludf.DUMMYFUNCTION("""COMPUTED_VALUE"""),1320788.0)</f>
        <v>1320788</v>
      </c>
      <c r="C10906" t="str">
        <f>IFERROR(__xludf.DUMMYFUNCTION("""COMPUTED_VALUE"""),"React, Redux, &amp; Enzyme - Introducing Apps &amp; Tests")</f>
        <v>React, Redux, &amp; Enzyme - Introducing Apps &amp; Tests</v>
      </c>
    </row>
    <row r="10907">
      <c r="A10907" s="140" t="str">
        <f>IFERROR(__xludf.DUMMYFUNCTION("""COMPUTED_VALUE"""),"en")</f>
        <v>en</v>
      </c>
      <c r="B10907">
        <f>IFERROR(__xludf.DUMMYFUNCTION("""COMPUTED_VALUE"""),2475086.0)</f>
        <v>2475086</v>
      </c>
      <c r="C10907" t="str">
        <f>IFERROR(__xludf.DUMMYFUNCTION("""COMPUTED_VALUE"""),"Learn Linux User Space Debugging")</f>
        <v>Learn Linux User Space Debugging</v>
      </c>
    </row>
    <row r="10908">
      <c r="A10908" s="140" t="str">
        <f>IFERROR(__xludf.DUMMYFUNCTION("""COMPUTED_VALUE"""),"en")</f>
        <v>en</v>
      </c>
      <c r="B10908">
        <f>IFERROR(__xludf.DUMMYFUNCTION("""COMPUTED_VALUE"""),1724186.0)</f>
        <v>1724186</v>
      </c>
      <c r="C10908" t="str">
        <f>IFERROR(__xludf.DUMMYFUNCTION("""COMPUTED_VALUE"""),"Complete Introduction to Google Sheets Pivot Tables")</f>
        <v>Complete Introduction to Google Sheets Pivot Tables</v>
      </c>
    </row>
    <row r="10909">
      <c r="A10909" s="140" t="str">
        <f>IFERROR(__xludf.DUMMYFUNCTION("""COMPUTED_VALUE"""),"en")</f>
        <v>en</v>
      </c>
      <c r="B10909">
        <f>IFERROR(__xludf.DUMMYFUNCTION("""COMPUTED_VALUE"""),2125222.0)</f>
        <v>2125222</v>
      </c>
      <c r="C10909" t="str">
        <f>IFERROR(__xludf.DUMMYFUNCTION("""COMPUTED_VALUE"""),"Salesforce Lightning Development")</f>
        <v>Salesforce Lightning Development</v>
      </c>
    </row>
    <row r="10910">
      <c r="A10910" s="140" t="str">
        <f>IFERROR(__xludf.DUMMYFUNCTION("""COMPUTED_VALUE"""),"en")</f>
        <v>en</v>
      </c>
      <c r="B10910">
        <f>IFERROR(__xludf.DUMMYFUNCTION("""COMPUTED_VALUE"""),3233977.0)</f>
        <v>3233977</v>
      </c>
      <c r="C10910" t="str">
        <f>IFERROR(__xludf.DUMMYFUNCTION("""COMPUTED_VALUE"""),"SAP - C_ACTIVATE12 Certification - Practice Questions")</f>
        <v>SAP - C_ACTIVATE12 Certification - Practice Questions</v>
      </c>
    </row>
    <row r="10911">
      <c r="A10911" s="140" t="str">
        <f>IFERROR(__xludf.DUMMYFUNCTION("""COMPUTED_VALUE"""),"en")</f>
        <v>en</v>
      </c>
      <c r="B10911">
        <f>IFERROR(__xludf.DUMMYFUNCTION("""COMPUTED_VALUE"""),26100.0)</f>
        <v>26100</v>
      </c>
      <c r="C10911" t="str">
        <f>IFERROR(__xludf.DUMMYFUNCTION("""COMPUTED_VALUE"""),"MS Office - Advanced - Efficiency Training")</f>
        <v>MS Office - Advanced - Efficiency Training</v>
      </c>
    </row>
    <row r="10912">
      <c r="A10912" s="140" t="str">
        <f>IFERROR(__xludf.DUMMYFUNCTION("""COMPUTED_VALUE"""),"tr")</f>
        <v>tr</v>
      </c>
      <c r="B10912">
        <f>IFERROR(__xludf.DUMMYFUNCTION("""COMPUTED_VALUE"""),3209663.0)</f>
        <v>3209663</v>
      </c>
      <c r="C10912" t="str">
        <f>IFERROR(__xludf.DUMMYFUNCTION("""COMPUTED_VALUE"""),"Etik Hacker Olmak: Web Sızma Testleri ve Bug Bounty")</f>
        <v>Etik Hacker Olmak: Web Sızma Testleri ve Bug Bounty</v>
      </c>
    </row>
    <row r="10913">
      <c r="A10913" s="140" t="str">
        <f>IFERROR(__xludf.DUMMYFUNCTION("""COMPUTED_VALUE"""),"pt")</f>
        <v>pt</v>
      </c>
      <c r="B10913">
        <f>IFERROR(__xludf.DUMMYFUNCTION("""COMPUTED_VALUE"""),2231456.0)</f>
        <v>2231456</v>
      </c>
      <c r="C10913" t="str">
        <f>IFERROR(__xludf.DUMMYFUNCTION("""COMPUTED_VALUE"""),"Python para Data Science do Zero Absoluto ao Domínio em 5h")</f>
        <v>Python para Data Science do Zero Absoluto ao Domínio em 5h</v>
      </c>
    </row>
    <row r="10914">
      <c r="A10914" s="140" t="str">
        <f>IFERROR(__xludf.DUMMYFUNCTION("""COMPUTED_VALUE"""),"en")</f>
        <v>en</v>
      </c>
      <c r="B10914">
        <f>IFERROR(__xludf.DUMMYFUNCTION("""COMPUTED_VALUE"""),780118.0)</f>
        <v>780118</v>
      </c>
      <c r="C10914" t="str">
        <f>IFERROR(__xludf.DUMMYFUNCTION("""COMPUTED_VALUE"""),"After Effects CC: Data Visualization &amp; Animated Infographics")</f>
        <v>After Effects CC: Data Visualization &amp; Animated Infographics</v>
      </c>
    </row>
    <row r="10915">
      <c r="A10915" s="140" t="str">
        <f>IFERROR(__xludf.DUMMYFUNCTION("""COMPUTED_VALUE"""),"en")</f>
        <v>en</v>
      </c>
      <c r="B10915">
        <f>IFERROR(__xludf.DUMMYFUNCTION("""COMPUTED_VALUE"""),3585712.0)</f>
        <v>3585712</v>
      </c>
      <c r="C10915" t="str">
        <f>IFERROR(__xludf.DUMMYFUNCTION("""COMPUTED_VALUE"""),"1Z0-1054-20: Oracle Financials Cloud: General Ledger 2020")</f>
        <v>1Z0-1054-20: Oracle Financials Cloud: General Ledger 2020</v>
      </c>
    </row>
    <row r="10916">
      <c r="A10916" s="140" t="str">
        <f>IFERROR(__xludf.DUMMYFUNCTION("""COMPUTED_VALUE"""),"ja")</f>
        <v>ja</v>
      </c>
      <c r="B10916">
        <f>IFERROR(__xludf.DUMMYFUNCTION("""COMPUTED_VALUE"""),2096858.0)</f>
        <v>2096858</v>
      </c>
      <c r="C10916" t="str">
        <f>IFERROR(__xludf.DUMMYFUNCTION("""COMPUTED_VALUE"""),"レゴマインドストームEV3で学ぶ、絶対に挫折しないプログラミング入門")</f>
        <v>レゴマインドストームEV3で学ぶ、絶対に挫折しないプログラミング入門</v>
      </c>
    </row>
    <row r="10917">
      <c r="A10917" s="140" t="str">
        <f>IFERROR(__xludf.DUMMYFUNCTION("""COMPUTED_VALUE"""),"en")</f>
        <v>en</v>
      </c>
      <c r="B10917">
        <f>IFERROR(__xludf.DUMMYFUNCTION("""COMPUTED_VALUE"""),1401738.0)</f>
        <v>1401738</v>
      </c>
      <c r="C10917" t="str">
        <f>IFERROR(__xludf.DUMMYFUNCTION("""COMPUTED_VALUE"""),"CONFIDENCE and SELF ESTEEM: Develop Confident Body Language")</f>
        <v>CONFIDENCE and SELF ESTEEM: Develop Confident Body Language</v>
      </c>
    </row>
    <row r="10918">
      <c r="A10918" s="140" t="str">
        <f>IFERROR(__xludf.DUMMYFUNCTION("""COMPUTED_VALUE"""),"en")</f>
        <v>en</v>
      </c>
      <c r="B10918">
        <f>IFERROR(__xludf.DUMMYFUNCTION("""COMPUTED_VALUE"""),1347692.0)</f>
        <v>1347692</v>
      </c>
      <c r="C10918" t="str">
        <f>IFERROR(__xludf.DUMMYFUNCTION("""COMPUTED_VALUE"""),"Instructional Design Pro (Part 3): No Beginners Allowed!")</f>
        <v>Instructional Design Pro (Part 3): No Beginners Allowed!</v>
      </c>
    </row>
    <row r="10919">
      <c r="A10919" s="140" t="str">
        <f>IFERROR(__xludf.DUMMYFUNCTION("""COMPUTED_VALUE"""),"en")</f>
        <v>en</v>
      </c>
      <c r="B10919">
        <f>IFERROR(__xludf.DUMMYFUNCTION("""COMPUTED_VALUE"""),692188.0)</f>
        <v>692188</v>
      </c>
      <c r="C10919" t="str">
        <f>IFERROR(__xludf.DUMMYFUNCTION("""COMPUTED_VALUE"""),"The Python Mega Course 2022: Build 10 Real-World Programs")</f>
        <v>The Python Mega Course 2022: Build 10 Real-World Programs</v>
      </c>
    </row>
    <row r="10920">
      <c r="A10920" s="140" t="str">
        <f>IFERROR(__xludf.DUMMYFUNCTION("""COMPUTED_VALUE"""),"en")</f>
        <v>en</v>
      </c>
      <c r="B10920">
        <f>IFERROR(__xludf.DUMMYFUNCTION("""COMPUTED_VALUE"""),692188.0)</f>
        <v>692188</v>
      </c>
      <c r="C10920" t="str">
        <f>IFERROR(__xludf.DUMMYFUNCTION("""COMPUTED_VALUE"""),"The Python Mega Course 2022: Build 10 Real-World Programs")</f>
        <v>The Python Mega Course 2022: Build 10 Real-World Programs</v>
      </c>
    </row>
    <row r="10921">
      <c r="A10921" s="140" t="str">
        <f>IFERROR(__xludf.DUMMYFUNCTION("""COMPUTED_VALUE"""),"en")</f>
        <v>en</v>
      </c>
      <c r="B10921">
        <f>IFERROR(__xludf.DUMMYFUNCTION("""COMPUTED_VALUE"""),3440036.0)</f>
        <v>3440036</v>
      </c>
      <c r="C10921" t="str">
        <f>IFERROR(__xludf.DUMMYFUNCTION("""COMPUTED_VALUE"""),"MuleSoft (Mule4) for Beginners/Developers | Mule ESB | Mule")</f>
        <v>MuleSoft (Mule4) for Beginners/Developers | Mule ESB | Mule</v>
      </c>
    </row>
    <row r="10922">
      <c r="A10922" s="140" t="str">
        <f>IFERROR(__xludf.DUMMYFUNCTION("""COMPUTED_VALUE"""),"pt")</f>
        <v>pt</v>
      </c>
      <c r="B10922">
        <f>IFERROR(__xludf.DUMMYFUNCTION("""COMPUTED_VALUE"""),2143752.0)</f>
        <v>2143752</v>
      </c>
      <c r="C10922" t="str">
        <f>IFERROR(__xludf.DUMMYFUNCTION("""COMPUTED_VALUE"""),"Curso de Introdução às Planilhas do Excel 2016/365:Essencial")</f>
        <v>Curso de Introdução às Planilhas do Excel 2016/365:Essencial</v>
      </c>
    </row>
    <row r="10923">
      <c r="A10923" s="140" t="str">
        <f>IFERROR(__xludf.DUMMYFUNCTION("""COMPUTED_VALUE"""),"tr")</f>
        <v>tr</v>
      </c>
      <c r="B10923">
        <f>IFERROR(__xludf.DUMMYFUNCTION("""COMPUTED_VALUE"""),2580124.0)</f>
        <v>2580124</v>
      </c>
      <c r="C10923" t="str">
        <f>IFERROR(__xludf.DUMMYFUNCTION("""COMPUTED_VALUE"""),"İOS Mobil Uygulama Geliştirme Eğitimi | Swift |SwiftUI| 2021")</f>
        <v>İOS Mobil Uygulama Geliştirme Eğitimi | Swift |SwiftUI| 2021</v>
      </c>
    </row>
    <row r="10924">
      <c r="A10924" s="140" t="str">
        <f>IFERROR(__xludf.DUMMYFUNCTION("""COMPUTED_VALUE"""),"en")</f>
        <v>en</v>
      </c>
      <c r="B10924">
        <f>IFERROR(__xludf.DUMMYFUNCTION("""COMPUTED_VALUE"""),2225686.0)</f>
        <v>2225686</v>
      </c>
      <c r="C10924" t="str">
        <f>IFERROR(__xludf.DUMMYFUNCTION("""COMPUTED_VALUE"""),"Fundamentals of Reservoir Simulation")</f>
        <v>Fundamentals of Reservoir Simulation</v>
      </c>
    </row>
    <row r="10925">
      <c r="A10925" s="140" t="str">
        <f>IFERROR(__xludf.DUMMYFUNCTION("""COMPUTED_VALUE"""),"fr")</f>
        <v>fr</v>
      </c>
      <c r="B10925">
        <f>IFERROR(__xludf.DUMMYFUNCTION("""COMPUTED_VALUE"""),1476066.0)</f>
        <v>1476066</v>
      </c>
      <c r="C10925" t="str">
        <f>IFERROR(__xludf.DUMMYFUNCTION("""COMPUTED_VALUE"""),"Travaux pratiques Java")</f>
        <v>Travaux pratiques Java</v>
      </c>
    </row>
    <row r="10926">
      <c r="A10926" s="140" t="str">
        <f>IFERROR(__xludf.DUMMYFUNCTION("""COMPUTED_VALUE"""),"en")</f>
        <v>en</v>
      </c>
      <c r="B10926">
        <f>IFERROR(__xludf.DUMMYFUNCTION("""COMPUTED_VALUE"""),1138176.0)</f>
        <v>1138176</v>
      </c>
      <c r="C10926" t="str">
        <f>IFERROR(__xludf.DUMMYFUNCTION("""COMPUTED_VALUE"""),"Cisco CCNP T-Shoot (300-135): The Complete Course")</f>
        <v>Cisco CCNP T-Shoot (300-135): The Complete Course</v>
      </c>
    </row>
    <row r="10927">
      <c r="A10927" s="140" t="str">
        <f>IFERROR(__xludf.DUMMYFUNCTION("""COMPUTED_VALUE"""),"ja")</f>
        <v>ja</v>
      </c>
      <c r="B10927">
        <f>IFERROR(__xludf.DUMMYFUNCTION("""COMPUTED_VALUE"""),1536972.0)</f>
        <v>1536972</v>
      </c>
      <c r="C10927" t="str">
        <f>IFERROR(__xludf.DUMMYFUNCTION("""COMPUTED_VALUE"""),"【キカガク流】人工知能・機械学習 脱ブラックボックス講座 - 中級編 -")</f>
        <v>【キカガク流】人工知能・機械学習 脱ブラックボックス講座 - 中級編 -</v>
      </c>
    </row>
    <row r="10928">
      <c r="A10928" s="140" t="str">
        <f>IFERROR(__xludf.DUMMYFUNCTION("""COMPUTED_VALUE"""),"en")</f>
        <v>en</v>
      </c>
      <c r="B10928">
        <f>IFERROR(__xludf.DUMMYFUNCTION("""COMPUTED_VALUE"""),1111630.0)</f>
        <v>1111630</v>
      </c>
      <c r="C10928" t="str">
        <f>IFERROR(__xludf.DUMMYFUNCTION("""COMPUTED_VALUE"""),"Learn piano or keyboard from scratch - Complete piano course")</f>
        <v>Learn piano or keyboard from scratch - Complete piano course</v>
      </c>
    </row>
    <row r="10929">
      <c r="A10929" s="140" t="str">
        <f>IFERROR(__xludf.DUMMYFUNCTION("""COMPUTED_VALUE"""),"en")</f>
        <v>en</v>
      </c>
      <c r="B10929">
        <f>IFERROR(__xludf.DUMMYFUNCTION("""COMPUTED_VALUE"""),995016.0)</f>
        <v>995016</v>
      </c>
      <c r="C10929" t="str">
        <f>IFERROR(__xludf.DUMMYFUNCTION("""COMPUTED_VALUE"""),"Vue - The Complete Guide (w/ Router, Vuex, Composition API)")</f>
        <v>Vue - The Complete Guide (w/ Router, Vuex, Composition API)</v>
      </c>
    </row>
    <row r="10930">
      <c r="A10930" s="140" t="str">
        <f>IFERROR(__xludf.DUMMYFUNCTION("""COMPUTED_VALUE"""),"en")</f>
        <v>en</v>
      </c>
      <c r="B10930">
        <f>IFERROR(__xludf.DUMMYFUNCTION("""COMPUTED_VALUE"""),1605286.0)</f>
        <v>1605286</v>
      </c>
      <c r="C10930" t="str">
        <f>IFERROR(__xludf.DUMMYFUNCTION("""COMPUTED_VALUE"""),"ISTQB Certified Tester - Foundation Level 2021 - Accredited")</f>
        <v>ISTQB Certified Tester - Foundation Level 2021 - Accredited</v>
      </c>
    </row>
    <row r="10931">
      <c r="A10931" s="140" t="str">
        <f>IFERROR(__xludf.DUMMYFUNCTION("""COMPUTED_VALUE"""),"ja")</f>
        <v>ja</v>
      </c>
      <c r="B10931">
        <f>IFERROR(__xludf.DUMMYFUNCTION("""COMPUTED_VALUE"""),3773370.0)</f>
        <v>3773370</v>
      </c>
      <c r="C10931" t="str">
        <f>IFERROR(__xludf.DUMMYFUNCTION("""COMPUTED_VALUE"""),"【世界ベストセラー講師による】良いメンターになるために ～メンターシップの実践ガイド")</f>
        <v>【世界ベストセラー講師による】良いメンターになるために ～メンターシップの実践ガイド</v>
      </c>
    </row>
    <row r="10932">
      <c r="A10932" s="140" t="str">
        <f>IFERROR(__xludf.DUMMYFUNCTION("""COMPUTED_VALUE"""),"en")</f>
        <v>en</v>
      </c>
      <c r="B10932">
        <f>IFERROR(__xludf.DUMMYFUNCTION("""COMPUTED_VALUE"""),2215474.0)</f>
        <v>2215474</v>
      </c>
      <c r="C10932" t="str">
        <f>IFERROR(__xludf.DUMMYFUNCTION("""COMPUTED_VALUE"""),"Todd Lammle's ICND2 200-105 Certification Practice Tests")</f>
        <v>Todd Lammle's ICND2 200-105 Certification Practice Tests</v>
      </c>
    </row>
    <row r="10933">
      <c r="A10933" s="140" t="str">
        <f>IFERROR(__xludf.DUMMYFUNCTION("""COMPUTED_VALUE"""),"en")</f>
        <v>en</v>
      </c>
      <c r="B10933">
        <f>IFERROR(__xludf.DUMMYFUNCTION("""COMPUTED_VALUE"""),1853176.0)</f>
        <v>1853176</v>
      </c>
      <c r="C10933" t="str">
        <f>IFERROR(__xludf.DUMMYFUNCTION("""COMPUTED_VALUE"""),"Master Full-Stack Web Development | Node, SQL, React, &amp; More")</f>
        <v>Master Full-Stack Web Development | Node, SQL, React, &amp; More</v>
      </c>
    </row>
    <row r="10934">
      <c r="A10934" s="140" t="str">
        <f>IFERROR(__xludf.DUMMYFUNCTION("""COMPUTED_VALUE"""),"de")</f>
        <v>de</v>
      </c>
      <c r="B10934">
        <f>IFERROR(__xludf.DUMMYFUNCTION("""COMPUTED_VALUE"""),2212196.0)</f>
        <v>2212196</v>
      </c>
      <c r="C10934" t="str">
        <f>IFERROR(__xludf.DUMMYFUNCTION("""COMPUTED_VALUE"""),"Mit  Aktiensparplänen selbstständig Vermögen aufbauen")</f>
        <v>Mit  Aktiensparplänen selbstständig Vermögen aufbauen</v>
      </c>
    </row>
    <row r="10935">
      <c r="A10935" s="140" t="str">
        <f>IFERROR(__xludf.DUMMYFUNCTION("""COMPUTED_VALUE"""),"en")</f>
        <v>en</v>
      </c>
      <c r="B10935">
        <f>IFERROR(__xludf.DUMMYFUNCTION("""COMPUTED_VALUE"""),1623098.0)</f>
        <v>1623098</v>
      </c>
      <c r="C10935" t="str">
        <f>IFERROR(__xludf.DUMMYFUNCTION("""COMPUTED_VALUE"""),"The Complete Cryptocurrency Course: More than 5 Courses in 1")</f>
        <v>The Complete Cryptocurrency Course: More than 5 Courses in 1</v>
      </c>
    </row>
    <row r="10936">
      <c r="A10936" s="140" t="str">
        <f>IFERROR(__xludf.DUMMYFUNCTION("""COMPUTED_VALUE"""),"en")</f>
        <v>en</v>
      </c>
      <c r="B10936">
        <f>IFERROR(__xludf.DUMMYFUNCTION("""COMPUTED_VALUE"""),1582154.0)</f>
        <v>1582154</v>
      </c>
      <c r="C10936" t="str">
        <f>IFERROR(__xludf.DUMMYFUNCTION("""COMPUTED_VALUE"""),"JavaScript Projects for JavaScript Beginners")</f>
        <v>JavaScript Projects for JavaScript Beginners</v>
      </c>
    </row>
    <row r="10937">
      <c r="A10937" s="140" t="str">
        <f>IFERROR(__xludf.DUMMYFUNCTION("""COMPUTED_VALUE"""),"en")</f>
        <v>en</v>
      </c>
      <c r="B10937">
        <f>IFERROR(__xludf.DUMMYFUNCTION("""COMPUTED_VALUE"""),1188148.0)</f>
        <v>1188148</v>
      </c>
      <c r="C10937" t="str">
        <f>IFERROR(__xludf.DUMMYFUNCTION("""COMPUTED_VALUE"""),"Fusion 360 for 3D Printing - Design Fidget Spinners")</f>
        <v>Fusion 360 for 3D Printing - Design Fidget Spinners</v>
      </c>
    </row>
    <row r="10938">
      <c r="A10938" s="140" t="str">
        <f>IFERROR(__xludf.DUMMYFUNCTION("""COMPUTED_VALUE"""),"en")</f>
        <v>en</v>
      </c>
      <c r="B10938">
        <f>IFERROR(__xludf.DUMMYFUNCTION("""COMPUTED_VALUE"""),1482442.0)</f>
        <v>1482442</v>
      </c>
      <c r="C10938" t="str">
        <f>IFERROR(__xludf.DUMMYFUNCTION("""COMPUTED_VALUE"""),"From Wire to PLC , A Bootcamp In Industrial Automation")</f>
        <v>From Wire to PLC , A Bootcamp In Industrial Automation</v>
      </c>
    </row>
    <row r="10939">
      <c r="A10939" s="140" t="str">
        <f>IFERROR(__xludf.DUMMYFUNCTION("""COMPUTED_VALUE"""),"en")</f>
        <v>en</v>
      </c>
      <c r="B10939">
        <f>IFERROR(__xludf.DUMMYFUNCTION("""COMPUTED_VALUE"""),2044798.0)</f>
        <v>2044798</v>
      </c>
      <c r="C10939" t="str">
        <f>IFERROR(__xludf.DUMMYFUNCTION("""COMPUTED_VALUE"""),"The Simplest Guide to SAS Programming- SAS Base-SAS Advanced")</f>
        <v>The Simplest Guide to SAS Programming- SAS Base-SAS Advanced</v>
      </c>
    </row>
    <row r="10940">
      <c r="A10940" s="140" t="str">
        <f>IFERROR(__xludf.DUMMYFUNCTION("""COMPUTED_VALUE"""),"fr")</f>
        <v>fr</v>
      </c>
      <c r="B10940">
        <f>IFERROR(__xludf.DUMMYFUNCTION("""COMPUTED_VALUE"""),1684308.0)</f>
        <v>1684308</v>
      </c>
      <c r="C10940" t="str">
        <f>IFERROR(__xludf.DUMMYFUNCTION("""COMPUTED_VALUE"""),"Réaliser votre personnage avec Blender &amp; Unity | de A à Z")</f>
        <v>Réaliser votre personnage avec Blender &amp; Unity | de A à Z</v>
      </c>
    </row>
    <row r="10941">
      <c r="A10941" s="140" t="str">
        <f>IFERROR(__xludf.DUMMYFUNCTION("""COMPUTED_VALUE"""),"es")</f>
        <v>es</v>
      </c>
      <c r="B10941">
        <f>IFERROR(__xludf.DUMMYFUNCTION("""COMPUTED_VALUE"""),1923378.0)</f>
        <v>1923378</v>
      </c>
      <c r="C10941" t="str">
        <f>IFERROR(__xludf.DUMMYFUNCTION("""COMPUTED_VALUE"""),"Publicidad en Google, Fundamentos de Marketing en Google Ads")</f>
        <v>Publicidad en Google, Fundamentos de Marketing en Google Ads</v>
      </c>
    </row>
    <row r="10942">
      <c r="A10942" s="140" t="str">
        <f>IFERROR(__xludf.DUMMYFUNCTION("""COMPUTED_VALUE"""),"es")</f>
        <v>es</v>
      </c>
      <c r="B10942">
        <f>IFERROR(__xludf.DUMMYFUNCTION("""COMPUTED_VALUE"""),2471756.0)</f>
        <v>2471756</v>
      </c>
      <c r="C10942" t="str">
        <f>IFERROR(__xludf.DUMMYFUNCTION("""COMPUTED_VALUE"""),"Alexa, aplicaciones de voz. Curso básico de Amazon Alexa")</f>
        <v>Alexa, aplicaciones de voz. Curso básico de Amazon Alexa</v>
      </c>
    </row>
    <row r="10943">
      <c r="A10943" s="140" t="str">
        <f>IFERROR(__xludf.DUMMYFUNCTION("""COMPUTED_VALUE"""),"en")</f>
        <v>en</v>
      </c>
      <c r="B10943">
        <f>IFERROR(__xludf.DUMMYFUNCTION("""COMPUTED_VALUE"""),670712.0)</f>
        <v>670712</v>
      </c>
      <c r="C10943" t="str">
        <f>IFERROR(__xludf.DUMMYFUNCTION("""COMPUTED_VALUE"""),"SQL Server Administration Part1")</f>
        <v>SQL Server Administration Part1</v>
      </c>
    </row>
    <row r="10944">
      <c r="A10944" s="140" t="str">
        <f>IFERROR(__xludf.DUMMYFUNCTION("""COMPUTED_VALUE"""),"en")</f>
        <v>en</v>
      </c>
      <c r="B10944">
        <f>IFERROR(__xludf.DUMMYFUNCTION("""COMPUTED_VALUE"""),1516474.0)</f>
        <v>1516474</v>
      </c>
      <c r="C10944" t="str">
        <f>IFERROR(__xludf.DUMMYFUNCTION("""COMPUTED_VALUE"""),"SINGING SIMPLIFIED #1: The Fast-Track to Singing Like a Pro")</f>
        <v>SINGING SIMPLIFIED #1: The Fast-Track to Singing Like a Pro</v>
      </c>
    </row>
    <row r="10945">
      <c r="A10945" s="140" t="str">
        <f>IFERROR(__xludf.DUMMYFUNCTION("""COMPUTED_VALUE"""),"en")</f>
        <v>en</v>
      </c>
      <c r="B10945">
        <f>IFERROR(__xludf.DUMMYFUNCTION("""COMPUTED_VALUE"""),2056191.0)</f>
        <v>2056191</v>
      </c>
      <c r="C10945" t="str">
        <f>IFERROR(__xludf.DUMMYFUNCTION("""COMPUTED_VALUE"""),"Organic Chemistry: Spectroscopy Master Class")</f>
        <v>Organic Chemistry: Spectroscopy Master Class</v>
      </c>
    </row>
    <row r="10946">
      <c r="A10946" s="140" t="str">
        <f>IFERROR(__xludf.DUMMYFUNCTION("""COMPUTED_VALUE"""),"pt")</f>
        <v>pt</v>
      </c>
      <c r="B10946">
        <f>IFERROR(__xludf.DUMMYFUNCTION("""COMPUTED_VALUE"""),2785566.0)</f>
        <v>2785566</v>
      </c>
      <c r="C10946" t="str">
        <f>IFERROR(__xludf.DUMMYFUNCTION("""COMPUTED_VALUE"""),"Curso Completo de Espanhol - Método Extraordinário")</f>
        <v>Curso Completo de Espanhol - Método Extraordinário</v>
      </c>
    </row>
    <row r="10947">
      <c r="A10947" s="140" t="str">
        <f>IFERROR(__xludf.DUMMYFUNCTION("""COMPUTED_VALUE"""),"pt")</f>
        <v>pt</v>
      </c>
      <c r="B10947">
        <f>IFERROR(__xludf.DUMMYFUNCTION("""COMPUTED_VALUE"""),3164978.0)</f>
        <v>3164978</v>
      </c>
      <c r="C10947" t="str">
        <f>IFERROR(__xludf.DUMMYFUNCTION("""COMPUTED_VALUE"""),"Banco de Dados Oracle Completo: SQL+PLSQL+Modelagem de Dados")</f>
        <v>Banco de Dados Oracle Completo: SQL+PLSQL+Modelagem de Dados</v>
      </c>
    </row>
    <row r="10948">
      <c r="A10948" s="140" t="str">
        <f>IFERROR(__xludf.DUMMYFUNCTION("""COMPUTED_VALUE"""),"en")</f>
        <v>en</v>
      </c>
      <c r="B10948">
        <f>IFERROR(__xludf.DUMMYFUNCTION("""COMPUTED_VALUE"""),3385322.0)</f>
        <v>3385322</v>
      </c>
      <c r="C10948" t="str">
        <f>IFERROR(__xludf.DUMMYFUNCTION("""COMPUTED_VALUE"""),"Anti-Money Laundering Concepts: AML, KYC and Compliance")</f>
        <v>Anti-Money Laundering Concepts: AML, KYC and Compliance</v>
      </c>
    </row>
    <row r="10949">
      <c r="A10949" s="140" t="str">
        <f>IFERROR(__xludf.DUMMYFUNCTION("""COMPUTED_VALUE"""),"en")</f>
        <v>en</v>
      </c>
      <c r="B10949">
        <f>IFERROR(__xludf.DUMMYFUNCTION("""COMPUTED_VALUE"""),2514486.0)</f>
        <v>2514486</v>
      </c>
      <c r="C10949" t="str">
        <f>IFERROR(__xludf.DUMMYFUNCTION("""COMPUTED_VALUE"""),"Unity Game Development: Create 2D And 3D Games With C#")</f>
        <v>Unity Game Development: Create 2D And 3D Games With C#</v>
      </c>
    </row>
    <row r="10950">
      <c r="A10950" s="140" t="str">
        <f>IFERROR(__xludf.DUMMYFUNCTION("""COMPUTED_VALUE"""),"en")</f>
        <v>en</v>
      </c>
      <c r="B10950">
        <f>IFERROR(__xludf.DUMMYFUNCTION("""COMPUTED_VALUE"""),2343996.0)</f>
        <v>2343996</v>
      </c>
      <c r="C10950" t="str">
        <f>IFERROR(__xludf.DUMMYFUNCTION("""COMPUTED_VALUE"""),"Apache Kafka Series - KSQL on ksqlDB for Stream Processing !")</f>
        <v>Apache Kafka Series - KSQL on ksqlDB for Stream Processing !</v>
      </c>
    </row>
    <row r="10951">
      <c r="A10951" s="140" t="str">
        <f>IFERROR(__xludf.DUMMYFUNCTION("""COMPUTED_VALUE"""),"ja")</f>
        <v>ja</v>
      </c>
      <c r="B10951">
        <f>IFERROR(__xludf.DUMMYFUNCTION("""COMPUTED_VALUE"""),2329814.0)</f>
        <v>2329814</v>
      </c>
      <c r="C10951" t="str">
        <f>IFERROR(__xludf.DUMMYFUNCTION("""COMPUTED_VALUE"""),"React Hooks 入門 - HooksとReduxを組み合わせて最新のフロントエンド状態管理手法を習得")</f>
        <v>React Hooks 入門 - HooksとReduxを組み合わせて最新のフロントエンド状態管理手法を習得</v>
      </c>
    </row>
    <row r="10952">
      <c r="A10952" s="140" t="str">
        <f>IFERROR(__xludf.DUMMYFUNCTION("""COMPUTED_VALUE"""),"fr")</f>
        <v>fr</v>
      </c>
      <c r="B10952">
        <f>IFERROR(__xludf.DUMMYFUNCTION("""COMPUTED_VALUE"""),1105848.0)</f>
        <v>1105848</v>
      </c>
      <c r="C10952" t="str">
        <f>IFERROR(__xludf.DUMMYFUNCTION("""COMPUTED_VALUE"""),"L'enfant surdoué - Jeanne SIAUD-FACCHIN")</f>
        <v>L'enfant surdoué - Jeanne SIAUD-FACCHIN</v>
      </c>
    </row>
    <row r="10953">
      <c r="A10953" s="140" t="str">
        <f>IFERROR(__xludf.DUMMYFUNCTION("""COMPUTED_VALUE"""),"en")</f>
        <v>en</v>
      </c>
      <c r="B10953">
        <f>IFERROR(__xludf.DUMMYFUNCTION("""COMPUTED_VALUE"""),689836.0)</f>
        <v>689836</v>
      </c>
      <c r="C10953" t="str">
        <f>IFERROR(__xludf.DUMMYFUNCTION("""COMPUTED_VALUE"""),"VP1: Creating Quality Videos for Entrepreneurs &amp; Nonprofits")</f>
        <v>VP1: Creating Quality Videos for Entrepreneurs &amp; Nonprofits</v>
      </c>
    </row>
    <row r="10954">
      <c r="A10954" s="140" t="str">
        <f>IFERROR(__xludf.DUMMYFUNCTION("""COMPUTED_VALUE"""),"en")</f>
        <v>en</v>
      </c>
      <c r="B10954">
        <f>IFERROR(__xludf.DUMMYFUNCTION("""COMPUTED_VALUE"""),1644806.0)</f>
        <v>1644806</v>
      </c>
      <c r="C10954" t="str">
        <f>IFERROR(__xludf.DUMMYFUNCTION("""COMPUTED_VALUE"""),"Hands On Natural Language Processing (NLP) using Python")</f>
        <v>Hands On Natural Language Processing (NLP) using Python</v>
      </c>
    </row>
    <row r="10955">
      <c r="A10955" s="140" t="str">
        <f>IFERROR(__xludf.DUMMYFUNCTION("""COMPUTED_VALUE"""),"de")</f>
        <v>de</v>
      </c>
      <c r="B10955">
        <f>IFERROR(__xludf.DUMMYFUNCTION("""COMPUTED_VALUE"""),1183414.0)</f>
        <v>1183414</v>
      </c>
      <c r="C10955" t="str">
        <f>IFERROR(__xludf.DUMMYFUNCTION("""COMPUTED_VALUE"""),"Adobe Lightroom: Die Komplette Adobe Lightroom Masterclass")</f>
        <v>Adobe Lightroom: Die Komplette Adobe Lightroom Masterclass</v>
      </c>
    </row>
    <row r="10956">
      <c r="A10956" s="140" t="str">
        <f>IFERROR(__xludf.DUMMYFUNCTION("""COMPUTED_VALUE"""),"en")</f>
        <v>en</v>
      </c>
      <c r="B10956">
        <f>IFERROR(__xludf.DUMMYFUNCTION("""COMPUTED_VALUE"""),2168354.0)</f>
        <v>2168354</v>
      </c>
      <c r="C10956" t="str">
        <f>IFERROR(__xludf.DUMMYFUNCTION("""COMPUTED_VALUE"""),"The Qlik Sense Mashup Bootcamp")</f>
        <v>The Qlik Sense Mashup Bootcamp</v>
      </c>
    </row>
    <row r="10957">
      <c r="A10957" s="140" t="str">
        <f>IFERROR(__xludf.DUMMYFUNCTION("""COMPUTED_VALUE"""),"en")</f>
        <v>en</v>
      </c>
      <c r="B10957">
        <f>IFERROR(__xludf.DUMMYFUNCTION("""COMPUTED_VALUE"""),606096.0)</f>
        <v>606096</v>
      </c>
      <c r="C10957" t="str">
        <f>IFERROR(__xludf.DUMMYFUNCTION("""COMPUTED_VALUE"""),"Node.js for Beginners - Become a Node js Developer + Project")</f>
        <v>Node.js for Beginners - Become a Node js Developer + Project</v>
      </c>
    </row>
    <row r="10958">
      <c r="A10958" s="140" t="str">
        <f>IFERROR(__xludf.DUMMYFUNCTION("""COMPUTED_VALUE"""),"ja")</f>
        <v>ja</v>
      </c>
      <c r="B10958">
        <f>IFERROR(__xludf.DUMMYFUNCTION("""COMPUTED_VALUE"""),2146650.0)</f>
        <v>2146650</v>
      </c>
      <c r="C10958" t="str">
        <f>IFERROR(__xludf.DUMMYFUNCTION("""COMPUTED_VALUE"""),"【夢月流】Pythonスクレイピング入門2～Web APIを使ってスクレイピングプログラムを素早く作るコツを教えます～")</f>
        <v>【夢月流】Pythonスクレイピング入門2～Web APIを使ってスクレイピングプログラムを素早く作るコツを教えます～</v>
      </c>
    </row>
    <row r="10959">
      <c r="A10959" s="140" t="str">
        <f>IFERROR(__xludf.DUMMYFUNCTION("""COMPUTED_VALUE"""),"en")</f>
        <v>en</v>
      </c>
      <c r="B10959">
        <f>IFERROR(__xludf.DUMMYFUNCTION("""COMPUTED_VALUE"""),1141808.0)</f>
        <v>1141808</v>
      </c>
      <c r="C10959" t="str">
        <f>IFERROR(__xludf.DUMMYFUNCTION("""COMPUTED_VALUE"""),"Build+Deploy+Test with Jenkins 2.0")</f>
        <v>Build+Deploy+Test with Jenkins 2.0</v>
      </c>
    </row>
    <row r="10960">
      <c r="A10960" s="140" t="str">
        <f>IFERROR(__xludf.DUMMYFUNCTION("""COMPUTED_VALUE"""),"es")</f>
        <v>es</v>
      </c>
      <c r="B10960">
        <f>IFERROR(__xludf.DUMMYFUNCTION("""COMPUTED_VALUE"""),4301065.0)</f>
        <v>4301065</v>
      </c>
      <c r="C10960" t="str">
        <f>IFERROR(__xludf.DUMMYFUNCTION("""COMPUTED_VALUE"""),"React PRO: Lleva tus bases al siguiente nivel")</f>
        <v>React PRO: Lleva tus bases al siguiente nivel</v>
      </c>
    </row>
    <row r="10961">
      <c r="A10961" s="140" t="str">
        <f>IFERROR(__xludf.DUMMYFUNCTION("""COMPUTED_VALUE"""),"es")</f>
        <v>es</v>
      </c>
      <c r="B10961">
        <f>IFERROR(__xludf.DUMMYFUNCTION("""COMPUTED_VALUE"""),1533992.0)</f>
        <v>1533992</v>
      </c>
      <c r="C10961" t="str">
        <f>IFERROR(__xludf.DUMMYFUNCTION("""COMPUTED_VALUE"""),"Aprende a utilizar Datatables de forma avanzada desde 0")</f>
        <v>Aprende a utilizar Datatables de forma avanzada desde 0</v>
      </c>
    </row>
    <row r="10962">
      <c r="A10962" s="140" t="str">
        <f>IFERROR(__xludf.DUMMYFUNCTION("""COMPUTED_VALUE"""),"de")</f>
        <v>de</v>
      </c>
      <c r="B10962">
        <f>IFERROR(__xludf.DUMMYFUNCTION("""COMPUTED_VALUE"""),1909816.0)</f>
        <v>1909816</v>
      </c>
      <c r="C10962" t="str">
        <f>IFERROR(__xludf.DUMMYFUNCTION("""COMPUTED_VALUE"""),"So funktionieren Top-Teams. Machen Sie Ihr Team zum A-Team")</f>
        <v>So funktionieren Top-Teams. Machen Sie Ihr Team zum A-Team</v>
      </c>
    </row>
    <row r="10963">
      <c r="A10963" s="140" t="str">
        <f>IFERROR(__xludf.DUMMYFUNCTION("""COMPUTED_VALUE"""),"fr")</f>
        <v>fr</v>
      </c>
      <c r="B10963">
        <f>IFERROR(__xludf.DUMMYFUNCTION("""COMPUTED_VALUE"""),1477838.0)</f>
        <v>1477838</v>
      </c>
      <c r="C10963" t="str">
        <f>IFERROR(__xludf.DUMMYFUNCTION("""COMPUTED_VALUE"""),"CCNA2: Vlan - Trunk - STP - Adressage IPv4 - EtherChannel")</f>
        <v>CCNA2: Vlan - Trunk - STP - Adressage IPv4 - EtherChannel</v>
      </c>
    </row>
    <row r="10964">
      <c r="A10964" s="140" t="str">
        <f>IFERROR(__xludf.DUMMYFUNCTION("""COMPUTED_VALUE"""),"pt")</f>
        <v>pt</v>
      </c>
      <c r="B10964">
        <f>IFERROR(__xludf.DUMMYFUNCTION("""COMPUTED_VALUE"""),3034448.0)</f>
        <v>3034448</v>
      </c>
      <c r="C10964" t="str">
        <f>IFERROR(__xludf.DUMMYFUNCTION("""COMPUTED_VALUE"""),"C# - Aplicando Princípios SOLID na prática")</f>
        <v>C# - Aplicando Princípios SOLID na prática</v>
      </c>
    </row>
    <row r="10965">
      <c r="A10965" s="140" t="str">
        <f>IFERROR(__xludf.DUMMYFUNCTION("""COMPUTED_VALUE"""),"zh")</f>
        <v>zh</v>
      </c>
      <c r="B10965">
        <f>IFERROR(__xludf.DUMMYFUNCTION("""COMPUTED_VALUE"""),2500014.0)</f>
        <v>2500014</v>
      </c>
      <c r="C10965" t="str">
        <f>IFERROR(__xludf.DUMMYFUNCTION("""COMPUTED_VALUE"""),"Spring Cloud手把手带你进入微服务开发")</f>
        <v>Spring Cloud手把手带你进入微服务开发</v>
      </c>
    </row>
    <row r="10966">
      <c r="A10966" s="140" t="str">
        <f>IFERROR(__xludf.DUMMYFUNCTION("""COMPUTED_VALUE"""),"en")</f>
        <v>en</v>
      </c>
      <c r="B10966">
        <f>IFERROR(__xludf.DUMMYFUNCTION("""COMPUTED_VALUE"""),2468936.0)</f>
        <v>2468936</v>
      </c>
      <c r="C10966" t="str">
        <f>IFERROR(__xludf.DUMMYFUNCTION("""COMPUTED_VALUE"""),"Master Odoo Studio")</f>
        <v>Master Odoo Studio</v>
      </c>
    </row>
    <row r="10967">
      <c r="A10967" s="140" t="str">
        <f>IFERROR(__xludf.DUMMYFUNCTION("""COMPUTED_VALUE"""),"en")</f>
        <v>en</v>
      </c>
      <c r="B10967">
        <f>IFERROR(__xludf.DUMMYFUNCTION("""COMPUTED_VALUE"""),4005612.0)</f>
        <v>4005612</v>
      </c>
      <c r="C10967" t="str">
        <f>IFERROR(__xludf.DUMMYFUNCTION("""COMPUTED_VALUE"""),"SelectorsHub Tutorial- A Free Next Gen XPath &amp; Locators tool")</f>
        <v>SelectorsHub Tutorial- A Free Next Gen XPath &amp; Locators tool</v>
      </c>
    </row>
    <row r="10968">
      <c r="A10968" s="140" t="str">
        <f>IFERROR(__xludf.DUMMYFUNCTION("""COMPUTED_VALUE"""),"en")</f>
        <v>en</v>
      </c>
      <c r="B10968">
        <f>IFERROR(__xludf.DUMMYFUNCTION("""COMPUTED_VALUE"""),1924662.0)</f>
        <v>1924662</v>
      </c>
      <c r="C10968" t="str">
        <f>IFERROR(__xludf.DUMMYFUNCTION("""COMPUTED_VALUE"""),"Color Grading with Da Vinci Resolve:  Beginner to Advanced")</f>
        <v>Color Grading with Da Vinci Resolve:  Beginner to Advanced</v>
      </c>
    </row>
    <row r="10969">
      <c r="A10969" s="140" t="str">
        <f>IFERROR(__xludf.DUMMYFUNCTION("""COMPUTED_VALUE"""),"en")</f>
        <v>en</v>
      </c>
      <c r="B10969">
        <f>IFERROR(__xludf.DUMMYFUNCTION("""COMPUTED_VALUE"""),1460764.0)</f>
        <v>1460764</v>
      </c>
      <c r="C10969" t="str">
        <f>IFERROR(__xludf.DUMMYFUNCTION("""COMPUTED_VALUE"""),"Deep Learning and NLP A-Z™: How to create a ChatBot")</f>
        <v>Deep Learning and NLP A-Z™: How to create a ChatBot</v>
      </c>
    </row>
    <row r="10970">
      <c r="A10970" s="140" t="str">
        <f>IFERROR(__xludf.DUMMYFUNCTION("""COMPUTED_VALUE"""),"ja")</f>
        <v>ja</v>
      </c>
      <c r="B10970">
        <f>IFERROR(__xludf.DUMMYFUNCTION("""COMPUTED_VALUE"""),484050.0)</f>
        <v>484050</v>
      </c>
      <c r="C10970" t="str">
        <f>IFERROR(__xludf.DUMMYFUNCTION("""COMPUTED_VALUE"""),"【企画が通らないNG資料を大改善】元外資系トップコンサルが教える資料作成・インパクト図解術")</f>
        <v>【企画が通らないNG資料を大改善】元外資系トップコンサルが教える資料作成・インパクト図解術</v>
      </c>
    </row>
    <row r="10971">
      <c r="A10971" s="140" t="str">
        <f>IFERROR(__xludf.DUMMYFUNCTION("""COMPUTED_VALUE"""),"en")</f>
        <v>en</v>
      </c>
      <c r="B10971">
        <f>IFERROR(__xludf.DUMMYFUNCTION("""COMPUTED_VALUE"""),2840406.0)</f>
        <v>2840406</v>
      </c>
      <c r="C10971" t="str">
        <f>IFERROR(__xludf.DUMMYFUNCTION("""COMPUTED_VALUE"""),"Executive Briefing: Deep Learning (DL)")</f>
        <v>Executive Briefing: Deep Learning (DL)</v>
      </c>
    </row>
    <row r="10972">
      <c r="A10972" s="140" t="str">
        <f>IFERROR(__xludf.DUMMYFUNCTION("""COMPUTED_VALUE"""),"en")</f>
        <v>en</v>
      </c>
      <c r="B10972">
        <f>IFERROR(__xludf.DUMMYFUNCTION("""COMPUTED_VALUE"""),88188.0)</f>
        <v>88188</v>
      </c>
      <c r="C10972" t="str">
        <f>IFERROR(__xludf.DUMMYFUNCTION("""COMPUTED_VALUE"""),"Learn 5 PLCs in a Day-AB, Siemens, Schneider, Omron &amp; Delta")</f>
        <v>Learn 5 PLCs in a Day-AB, Siemens, Schneider, Omron &amp; Delta</v>
      </c>
    </row>
    <row r="10973">
      <c r="A10973" s="140" t="str">
        <f>IFERROR(__xludf.DUMMYFUNCTION("""COMPUTED_VALUE"""),"en")</f>
        <v>en</v>
      </c>
      <c r="B10973">
        <f>IFERROR(__xludf.DUMMYFUNCTION("""COMPUTED_VALUE"""),2776734.0)</f>
        <v>2776734</v>
      </c>
      <c r="C10973" t="str">
        <f>IFERROR(__xludf.DUMMYFUNCTION("""COMPUTED_VALUE"""),"VR Development Fundamentals With Oculus Quest 2 And Unity")</f>
        <v>VR Development Fundamentals With Oculus Quest 2 And Unity</v>
      </c>
    </row>
    <row r="10974">
      <c r="A10974" s="140" t="str">
        <f>IFERROR(__xludf.DUMMYFUNCTION("""COMPUTED_VALUE"""),"en")</f>
        <v>en</v>
      </c>
      <c r="B10974">
        <f>IFERROR(__xludf.DUMMYFUNCTION("""COMPUTED_VALUE"""),2271958.0)</f>
        <v>2271958</v>
      </c>
      <c r="C10974" t="str">
        <f>IFERROR(__xludf.DUMMYFUNCTION("""COMPUTED_VALUE"""),"The iOS Development Animations Course - Swift 5 &amp; Xcode 10")</f>
        <v>The iOS Development Animations Course - Swift 5 &amp; Xcode 10</v>
      </c>
    </row>
    <row r="10975">
      <c r="A10975" s="140" t="str">
        <f>IFERROR(__xludf.DUMMYFUNCTION("""COMPUTED_VALUE"""),"fr")</f>
        <v>fr</v>
      </c>
      <c r="B10975">
        <f>IFERROR(__xludf.DUMMYFUNCTION("""COMPUTED_VALUE"""),1436102.0)</f>
        <v>1436102</v>
      </c>
      <c r="C10975" t="str">
        <f>IFERROR(__xludf.DUMMYFUNCTION("""COMPUTED_VALUE"""),"Guide complet ManyChat: créer un chatbot Facebook Messenger")</f>
        <v>Guide complet ManyChat: créer un chatbot Facebook Messenger</v>
      </c>
    </row>
    <row r="10976">
      <c r="A10976" s="140" t="str">
        <f>IFERROR(__xludf.DUMMYFUNCTION("""COMPUTED_VALUE"""),"en")</f>
        <v>en</v>
      </c>
      <c r="B10976">
        <f>IFERROR(__xludf.DUMMYFUNCTION("""COMPUTED_VALUE"""),1388972.0)</f>
        <v>1388972</v>
      </c>
      <c r="C10976" t="str">
        <f>IFERROR(__xludf.DUMMYFUNCTION("""COMPUTED_VALUE"""),"Careers in Data Science A-Z™")</f>
        <v>Careers in Data Science A-Z™</v>
      </c>
    </row>
    <row r="10977">
      <c r="A10977" s="140" t="str">
        <f>IFERROR(__xludf.DUMMYFUNCTION("""COMPUTED_VALUE"""),"es")</f>
        <v>es</v>
      </c>
      <c r="B10977">
        <f>IFERROR(__xludf.DUMMYFUNCTION("""COMPUTED_VALUE"""),1509816.0)</f>
        <v>1509816</v>
      </c>
      <c r="C10977" t="str">
        <f>IFERROR(__xludf.DUMMYFUNCTION("""COMPUTED_VALUE"""),"JavaScript Moderno Guía Definitiva Construye +15 Proyectos")</f>
        <v>JavaScript Moderno Guía Definitiva Construye +15 Proyectos</v>
      </c>
    </row>
    <row r="10978">
      <c r="A10978" s="140" t="str">
        <f>IFERROR(__xludf.DUMMYFUNCTION("""COMPUTED_VALUE"""),"en")</f>
        <v>en</v>
      </c>
      <c r="B10978">
        <f>IFERROR(__xludf.DUMMYFUNCTION("""COMPUTED_VALUE"""),1093774.0)</f>
        <v>1093774</v>
      </c>
      <c r="C10978" t="str">
        <f>IFERROR(__xludf.DUMMYFUNCTION("""COMPUTED_VALUE"""),"Develop Minecraft Plugins (Java)")</f>
        <v>Develop Minecraft Plugins (Java)</v>
      </c>
    </row>
    <row r="10979">
      <c r="A10979" s="140" t="str">
        <f>IFERROR(__xludf.DUMMYFUNCTION("""COMPUTED_VALUE"""),"es")</f>
        <v>es</v>
      </c>
      <c r="B10979">
        <f>IFERROR(__xludf.DUMMYFUNCTION("""COMPUTED_VALUE"""),2661610.0)</f>
        <v>2661610</v>
      </c>
      <c r="C10979" t="str">
        <f>IFERROR(__xludf.DUMMYFUNCTION("""COMPUTED_VALUE"""),"Valoración de Empresas: Descubre Cuánto Pagar por un Negocio")</f>
        <v>Valoración de Empresas: Descubre Cuánto Pagar por un Negocio</v>
      </c>
    </row>
    <row r="10980">
      <c r="A10980" s="140" t="str">
        <f>IFERROR(__xludf.DUMMYFUNCTION("""COMPUTED_VALUE"""),"en")</f>
        <v>en</v>
      </c>
      <c r="B10980">
        <f>IFERROR(__xludf.DUMMYFUNCTION("""COMPUTED_VALUE"""),563478.0)</f>
        <v>563478</v>
      </c>
      <c r="C10980" t="str">
        <f>IFERROR(__xludf.DUMMYFUNCTION("""COMPUTED_VALUE"""),"Sales Training: Practical Sales Techniques")</f>
        <v>Sales Training: Practical Sales Techniques</v>
      </c>
    </row>
    <row r="10981">
      <c r="A10981" s="140" t="str">
        <f>IFERROR(__xludf.DUMMYFUNCTION("""COMPUTED_VALUE"""),"en")</f>
        <v>en</v>
      </c>
      <c r="B10981">
        <f>IFERROR(__xludf.DUMMYFUNCTION("""COMPUTED_VALUE"""),1510324.0)</f>
        <v>1510324</v>
      </c>
      <c r="C10981" t="str">
        <f>IFERROR(__xludf.DUMMYFUNCTION("""COMPUTED_VALUE"""),"Learn SASS and SCSS")</f>
        <v>Learn SASS and SCSS</v>
      </c>
    </row>
    <row r="10982">
      <c r="A10982" s="140" t="str">
        <f>IFERROR(__xludf.DUMMYFUNCTION("""COMPUTED_VALUE"""),"en")</f>
        <v>en</v>
      </c>
      <c r="B10982">
        <f>IFERROR(__xludf.DUMMYFUNCTION("""COMPUTED_VALUE"""),1286908.0)</f>
        <v>1286908</v>
      </c>
      <c r="C10982" t="str">
        <f>IFERROR(__xludf.DUMMYFUNCTION("""COMPUTED_VALUE"""),"The Complete React Developer Course (w/ Hooks and Redux)")</f>
        <v>The Complete React Developer Course (w/ Hooks and Redux)</v>
      </c>
    </row>
    <row r="10983">
      <c r="A10983" s="140" t="str">
        <f>IFERROR(__xludf.DUMMYFUNCTION("""COMPUTED_VALUE"""),"es")</f>
        <v>es</v>
      </c>
      <c r="B10983">
        <f>IFERROR(__xludf.DUMMYFUNCTION("""COMPUTED_VALUE"""),1304386.0)</f>
        <v>1304386</v>
      </c>
      <c r="C10983" t="str">
        <f>IFERROR(__xludf.DUMMYFUNCTION("""COMPUTED_VALUE"""),"Diseño Web y Móvil con Sketch")</f>
        <v>Diseño Web y Móvil con Sketch</v>
      </c>
    </row>
    <row r="10984">
      <c r="A10984" s="140" t="str">
        <f>IFERROR(__xludf.DUMMYFUNCTION("""COMPUTED_VALUE"""),"en")</f>
        <v>en</v>
      </c>
      <c r="B10984">
        <f>IFERROR(__xludf.DUMMYFUNCTION("""COMPUTED_VALUE"""),973072.0)</f>
        <v>973072</v>
      </c>
      <c r="C10984" t="str">
        <f>IFERROR(__xludf.DUMMYFUNCTION("""COMPUTED_VALUE"""),"SQL Server Administration (Mock Internship Program Part1)")</f>
        <v>SQL Server Administration (Mock Internship Program Part1)</v>
      </c>
    </row>
    <row r="10985">
      <c r="A10985" s="140" t="str">
        <f>IFERROR(__xludf.DUMMYFUNCTION("""COMPUTED_VALUE"""),"en")</f>
        <v>en</v>
      </c>
      <c r="B10985">
        <f>IFERROR(__xludf.DUMMYFUNCTION("""COMPUTED_VALUE"""),1400614.0)</f>
        <v>1400614</v>
      </c>
      <c r="C10985" t="str">
        <f>IFERROR(__xludf.DUMMYFUNCTION("""COMPUTED_VALUE"""),"A Diversity Deep-Dive, Leadership Insights and Lessons !")</f>
        <v>A Diversity Deep-Dive, Leadership Insights and Lessons !</v>
      </c>
    </row>
    <row r="10986">
      <c r="A10986" s="140" t="str">
        <f>IFERROR(__xludf.DUMMYFUNCTION("""COMPUTED_VALUE"""),"es")</f>
        <v>es</v>
      </c>
      <c r="B10986">
        <f>IFERROR(__xludf.DUMMYFUNCTION("""COMPUTED_VALUE"""),1908374.0)</f>
        <v>1908374</v>
      </c>
      <c r="C10986" t="str">
        <f>IFERROR(__xludf.DUMMYFUNCTION("""COMPUTED_VALUE"""),"Crea Planes de Mejora en 1 Semana y Optimiza tus Procesos")</f>
        <v>Crea Planes de Mejora en 1 Semana y Optimiza tus Procesos</v>
      </c>
    </row>
    <row r="10987">
      <c r="A10987" s="140" t="str">
        <f>IFERROR(__xludf.DUMMYFUNCTION("""COMPUTED_VALUE"""),"en")</f>
        <v>en</v>
      </c>
      <c r="B10987">
        <f>IFERROR(__xludf.DUMMYFUNCTION("""COMPUTED_VALUE"""),4205102.0)</f>
        <v>4205102</v>
      </c>
      <c r="C10987" t="str">
        <f>IFERROR(__xludf.DUMMYFUNCTION("""COMPUTED_VALUE"""),"The Data Literacy Course: Learn How to Work With Data")</f>
        <v>The Data Literacy Course: Learn How to Work With Data</v>
      </c>
    </row>
    <row r="10988">
      <c r="A10988" s="140" t="str">
        <f>IFERROR(__xludf.DUMMYFUNCTION("""COMPUTED_VALUE"""),"ar")</f>
        <v>ar</v>
      </c>
      <c r="B10988">
        <f>IFERROR(__xludf.DUMMYFUNCTION("""COMPUTED_VALUE"""),982182.0)</f>
        <v>982182</v>
      </c>
      <c r="C10988" t="str">
        <f>IFERROR(__xludf.DUMMYFUNCTION("""COMPUTED_VALUE"""),"تعريب وترجمة اضافات وقوالب ومواقع ووردبريس")</f>
        <v>تعريب وترجمة اضافات وقوالب ومواقع ووردبريس</v>
      </c>
    </row>
    <row r="10989">
      <c r="A10989" s="140" t="str">
        <f>IFERROR(__xludf.DUMMYFUNCTION("""COMPUTED_VALUE"""),"en")</f>
        <v>en</v>
      </c>
      <c r="B10989">
        <f>IFERROR(__xludf.DUMMYFUNCTION("""COMPUTED_VALUE"""),2361324.0)</f>
        <v>2361324</v>
      </c>
      <c r="C10989" t="str">
        <f>IFERROR(__xludf.DUMMYFUNCTION("""COMPUTED_VALUE"""),"AWS CloudFormation - Simplified | Hands On with YAML")</f>
        <v>AWS CloudFormation - Simplified | Hands On with YAML</v>
      </c>
    </row>
    <row r="10990">
      <c r="A10990" s="140" t="str">
        <f>IFERROR(__xludf.DUMMYFUNCTION("""COMPUTED_VALUE"""),"en")</f>
        <v>en</v>
      </c>
      <c r="B10990">
        <f>IFERROR(__xludf.DUMMYFUNCTION("""COMPUTED_VALUE"""),1177200.0)</f>
        <v>1177200</v>
      </c>
      <c r="C10990" t="str">
        <f>IFERROR(__xludf.DUMMYFUNCTION("""COMPUTED_VALUE"""),"Service Cloud Exam: Contact Center Industry Knowledge")</f>
        <v>Service Cloud Exam: Contact Center Industry Knowledge</v>
      </c>
    </row>
    <row r="10991">
      <c r="A10991" s="140" t="str">
        <f>IFERROR(__xludf.DUMMYFUNCTION("""COMPUTED_VALUE"""),"ja")</f>
        <v>ja</v>
      </c>
      <c r="B10991">
        <f>IFERROR(__xludf.DUMMYFUNCTION("""COMPUTED_VALUE"""),1857364.0)</f>
        <v>1857364</v>
      </c>
      <c r="C10991" t="str">
        <f>IFERROR(__xludf.DUMMYFUNCTION("""COMPUTED_VALUE"""),"【まだ間に合う！】AI開発・機械学習を理解するための数学講座")</f>
        <v>【まだ間に合う！】AI開発・機械学習を理解するための数学講座</v>
      </c>
    </row>
    <row r="10992">
      <c r="A10992" s="140" t="str">
        <f>IFERROR(__xludf.DUMMYFUNCTION("""COMPUTED_VALUE"""),"ja")</f>
        <v>ja</v>
      </c>
      <c r="B10992">
        <f>IFERROR(__xludf.DUMMYFUNCTION("""COMPUTED_VALUE"""),1159316.0)</f>
        <v>1159316</v>
      </c>
      <c r="C10992" t="str">
        <f>IFERROR(__xludf.DUMMYFUNCTION("""COMPUTED_VALUE"""),"プログラミング初心者でも安心、Python/Django入門講座")</f>
        <v>プログラミング初心者でも安心、Python/Django入門講座</v>
      </c>
    </row>
    <row r="10993">
      <c r="A10993" s="140" t="str">
        <f>IFERROR(__xludf.DUMMYFUNCTION("""COMPUTED_VALUE"""),"en")</f>
        <v>en</v>
      </c>
      <c r="B10993">
        <f>IFERROR(__xludf.DUMMYFUNCTION("""COMPUTED_VALUE"""),2130620.0)</f>
        <v>2130620</v>
      </c>
      <c r="C10993" t="str">
        <f>IFERROR(__xludf.DUMMYFUNCTION("""COMPUTED_VALUE"""),"JavaScript 2019: JavaScript ES6 Certification Course")</f>
        <v>JavaScript 2019: JavaScript ES6 Certification Course</v>
      </c>
    </row>
    <row r="10994">
      <c r="A10994" s="140" t="str">
        <f>IFERROR(__xludf.DUMMYFUNCTION("""COMPUTED_VALUE"""),"en")</f>
        <v>en</v>
      </c>
      <c r="B10994">
        <f>IFERROR(__xludf.DUMMYFUNCTION("""COMPUTED_VALUE"""),1094756.0)</f>
        <v>1094756</v>
      </c>
      <c r="C10994" t="str">
        <f>IFERROR(__xludf.DUMMYFUNCTION("""COMPUTED_VALUE"""),"Passive Income Powerhouse: Learn to Set Yourself Up For Life")</f>
        <v>Passive Income Powerhouse: Learn to Set Yourself Up For Life</v>
      </c>
    </row>
    <row r="10995">
      <c r="A10995" s="140" t="str">
        <f>IFERROR(__xludf.DUMMYFUNCTION("""COMPUTED_VALUE"""),"pt")</f>
        <v>pt</v>
      </c>
      <c r="B10995">
        <f>IFERROR(__xludf.DUMMYFUNCTION("""COMPUTED_VALUE"""),1962960.0)</f>
        <v>1962960</v>
      </c>
      <c r="C10995" t="str">
        <f>IFERROR(__xludf.DUMMYFUNCTION("""COMPUTED_VALUE"""),"Curso Completo de Facebook ADS &amp; Instagram ADS [2021]")</f>
        <v>Curso Completo de Facebook ADS &amp; Instagram ADS [2021]</v>
      </c>
    </row>
    <row r="10996">
      <c r="A10996" s="140" t="str">
        <f>IFERROR(__xludf.DUMMYFUNCTION("""COMPUTED_VALUE"""),"pt")</f>
        <v>pt</v>
      </c>
      <c r="B10996">
        <f>IFERROR(__xludf.DUMMYFUNCTION("""COMPUTED_VALUE"""),2650614.0)</f>
        <v>2650614</v>
      </c>
      <c r="C10996" t="str">
        <f>IFERROR(__xludf.DUMMYFUNCTION("""COMPUTED_VALUE"""),"HIPER-LEITURA | A Máxima Performance na Habilidade Leitura")</f>
        <v>HIPER-LEITURA | A Máxima Performance na Habilidade Leitura</v>
      </c>
    </row>
    <row r="10997">
      <c r="A10997" s="140" t="str">
        <f>IFERROR(__xludf.DUMMYFUNCTION("""COMPUTED_VALUE"""),"en")</f>
        <v>en</v>
      </c>
      <c r="B10997">
        <f>IFERROR(__xludf.DUMMYFUNCTION("""COMPUTED_VALUE"""),2455954.0)</f>
        <v>2455954</v>
      </c>
      <c r="C10997" t="str">
        <f>IFERROR(__xludf.DUMMYFUNCTION("""COMPUTED_VALUE"""),"Learn AWS - Deploy Java Spring Boot to AWS Elastic Beanstalk")</f>
        <v>Learn AWS - Deploy Java Spring Boot to AWS Elastic Beanstalk</v>
      </c>
    </row>
    <row r="10998">
      <c r="A10998" s="140" t="str">
        <f>IFERROR(__xludf.DUMMYFUNCTION("""COMPUTED_VALUE"""),"pt")</f>
        <v>pt</v>
      </c>
      <c r="B10998">
        <f>IFERROR(__xludf.DUMMYFUNCTION("""COMPUTED_VALUE"""),2263700.0)</f>
        <v>2263700</v>
      </c>
      <c r="C10998" t="str">
        <f>IFERROR(__xludf.DUMMYFUNCTION("""COMPUTED_VALUE"""),"Monitoramento de aplicações com Prometheus e Grafana")</f>
        <v>Monitoramento de aplicações com Prometheus e Grafana</v>
      </c>
    </row>
    <row r="10999">
      <c r="A10999" s="140" t="str">
        <f>IFERROR(__xludf.DUMMYFUNCTION("""COMPUTED_VALUE"""),"tr")</f>
        <v>tr</v>
      </c>
      <c r="B10999">
        <f>IFERROR(__xludf.DUMMYFUNCTION("""COMPUTED_VALUE"""),1901106.0)</f>
        <v>1901106</v>
      </c>
      <c r="C10999" t="str">
        <f>IFERROR(__xludf.DUMMYFUNCTION("""COMPUTED_VALUE"""),"MS Excel | Sıfırdan İleri Seviye Excel Öğren |Sertifikalı")</f>
        <v>MS Excel | Sıfırdan İleri Seviye Excel Öğren |Sertifikalı</v>
      </c>
    </row>
    <row r="11000">
      <c r="A11000" s="140" t="str">
        <f>IFERROR(__xludf.DUMMYFUNCTION("""COMPUTED_VALUE"""),"en")</f>
        <v>en</v>
      </c>
      <c r="B11000">
        <f>IFERROR(__xludf.DUMMYFUNCTION("""COMPUTED_VALUE"""),46807.0)</f>
        <v>46807</v>
      </c>
      <c r="C11000" t="str">
        <f>IFERROR(__xludf.DUMMYFUNCTION("""COMPUTED_VALUE"""),"Learn Microsoft Outlook 2013 the Easy Way - 7 Hours")</f>
        <v>Learn Microsoft Outlook 2013 the Easy Way - 7 Hours</v>
      </c>
    </row>
    <row r="11001">
      <c r="A11001" s="140" t="str">
        <f>IFERROR(__xludf.DUMMYFUNCTION("""COMPUTED_VALUE"""),"en")</f>
        <v>en</v>
      </c>
      <c r="B11001">
        <f>IFERROR(__xludf.DUMMYFUNCTION("""COMPUTED_VALUE"""),2031694.0)</f>
        <v>2031694</v>
      </c>
      <c r="C11001" t="str">
        <f>IFERROR(__xludf.DUMMYFUNCTION("""COMPUTED_VALUE"""),"Wondershare Filmora Masterclass A Complete Guide to Filmora")</f>
        <v>Wondershare Filmora Masterclass A Complete Guide to Filmora</v>
      </c>
    </row>
    <row r="11002">
      <c r="A11002" s="140" t="str">
        <f>IFERROR(__xludf.DUMMYFUNCTION("""COMPUTED_VALUE"""),"en")</f>
        <v>en</v>
      </c>
      <c r="B11002">
        <f>IFERROR(__xludf.DUMMYFUNCTION("""COMPUTED_VALUE"""),2858548.0)</f>
        <v>2858548</v>
      </c>
      <c r="C11002" t="str">
        <f>IFERROR(__xludf.DUMMYFUNCTION("""COMPUTED_VALUE"""),"Automated Test Framework : ServiceNow")</f>
        <v>Automated Test Framework : ServiceNow</v>
      </c>
    </row>
    <row r="11003">
      <c r="A11003" s="140" t="str">
        <f>IFERROR(__xludf.DUMMYFUNCTION("""COMPUTED_VALUE"""),"es")</f>
        <v>es</v>
      </c>
      <c r="B11003">
        <f>IFERROR(__xludf.DUMMYFUNCTION("""COMPUTED_VALUE"""),2574408.0)</f>
        <v>2574408</v>
      </c>
      <c r="C11003" t="str">
        <f>IFERROR(__xludf.DUMMYFUNCTION("""COMPUTED_VALUE"""),"Arquitectura en AWS con Terraform, Packer, Ansible y DSC")</f>
        <v>Arquitectura en AWS con Terraform, Packer, Ansible y DSC</v>
      </c>
    </row>
    <row r="11004">
      <c r="A11004" s="140" t="str">
        <f>IFERROR(__xludf.DUMMYFUNCTION("""COMPUTED_VALUE"""),"ja")</f>
        <v>ja</v>
      </c>
      <c r="B11004">
        <f>IFERROR(__xludf.DUMMYFUNCTION("""COMPUTED_VALUE"""),4101992.0)</f>
        <v>4101992</v>
      </c>
      <c r="C11004" t="str">
        <f>IFERROR(__xludf.DUMMYFUNCTION("""COMPUTED_VALUE"""),"After Effects【脱初心者】インフォグラフィックス&amp;ビジュアルデータ【モーショングラフィックス】")</f>
        <v>After Effects【脱初心者】インフォグラフィックス&amp;ビジュアルデータ【モーショングラフィックス】</v>
      </c>
    </row>
    <row r="11005">
      <c r="A11005" s="140" t="str">
        <f>IFERROR(__xludf.DUMMYFUNCTION("""COMPUTED_VALUE"""),"en")</f>
        <v>en</v>
      </c>
      <c r="B11005">
        <f>IFERROR(__xludf.DUMMYFUNCTION("""COMPUTED_VALUE"""),1642074.0)</f>
        <v>1642074</v>
      </c>
      <c r="C11005" t="str">
        <f>IFERROR(__xludf.DUMMYFUNCTION("""COMPUTED_VALUE"""),"Object-oriented Programming in JavaScript")</f>
        <v>Object-oriented Programming in JavaScript</v>
      </c>
    </row>
    <row r="11006">
      <c r="A11006" s="140" t="str">
        <f>IFERROR(__xludf.DUMMYFUNCTION("""COMPUTED_VALUE"""),"en")</f>
        <v>en</v>
      </c>
      <c r="B11006">
        <f>IFERROR(__xludf.DUMMYFUNCTION("""COMPUTED_VALUE"""),2216986.0)</f>
        <v>2216986</v>
      </c>
      <c r="C11006" t="str">
        <f>IFERROR(__xludf.DUMMYFUNCTION("""COMPUTED_VALUE"""),"The Complete Magento 2 Course")</f>
        <v>The Complete Magento 2 Course</v>
      </c>
    </row>
    <row r="11007">
      <c r="A11007" s="140" t="str">
        <f>IFERROR(__xludf.DUMMYFUNCTION("""COMPUTED_VALUE"""),"en")</f>
        <v>en</v>
      </c>
      <c r="B11007">
        <f>IFERROR(__xludf.DUMMYFUNCTION("""COMPUTED_VALUE"""),1343814.0)</f>
        <v>1343814</v>
      </c>
      <c r="C11007" t="str">
        <f>IFERROR(__xludf.DUMMYFUNCTION("""COMPUTED_VALUE"""),"SQL Server Performance Tuning Part 1")</f>
        <v>SQL Server Performance Tuning Part 1</v>
      </c>
    </row>
    <row r="11008">
      <c r="A11008" s="140" t="str">
        <f>IFERROR(__xludf.DUMMYFUNCTION("""COMPUTED_VALUE"""),"en")</f>
        <v>en</v>
      </c>
      <c r="B11008">
        <f>IFERROR(__xludf.DUMMYFUNCTION("""COMPUTED_VALUE"""),1676024.0)</f>
        <v>1676024</v>
      </c>
      <c r="C11008" t="str">
        <f>IFERROR(__xludf.DUMMYFUNCTION("""COMPUTED_VALUE"""),"Ultimate Ableton Live 10, COMPLETE: Parts 4, 5, and 6")</f>
        <v>Ultimate Ableton Live 10, COMPLETE: Parts 4, 5, and 6</v>
      </c>
    </row>
    <row r="11009">
      <c r="A11009" s="140" t="str">
        <f>IFERROR(__xludf.DUMMYFUNCTION("""COMPUTED_VALUE"""),"en")</f>
        <v>en</v>
      </c>
      <c r="B11009">
        <f>IFERROR(__xludf.DUMMYFUNCTION("""COMPUTED_VALUE"""),512304.0)</f>
        <v>512304</v>
      </c>
      <c r="C11009" t="str">
        <f>IFERROR(__xludf.DUMMYFUNCTION("""COMPUTED_VALUE"""),"OSHA Workplace Safety (General Industry 6 Hr Class)")</f>
        <v>OSHA Workplace Safety (General Industry 6 Hr Class)</v>
      </c>
    </row>
    <row r="11010">
      <c r="A11010" s="140" t="str">
        <f>IFERROR(__xludf.DUMMYFUNCTION("""COMPUTED_VALUE"""),"ko")</f>
        <v>ko</v>
      </c>
      <c r="B11010">
        <f>IFERROR(__xludf.DUMMYFUNCTION("""COMPUTED_VALUE"""),4278406.0)</f>
        <v>4278406</v>
      </c>
      <c r="C11010" t="str">
        <f>IFERROR(__xludf.DUMMYFUNCTION("""COMPUTED_VALUE"""),"【글로벌 Best강의】 Hadoop : 최고의 하둡 실습으로 빅 데이터 길들이기! (한글 자막)")</f>
        <v>【글로벌 Best강의】 Hadoop : 최고의 하둡 실습으로 빅 데이터 길들이기! (한글 자막)</v>
      </c>
    </row>
    <row r="11011">
      <c r="A11011" s="140" t="str">
        <f>IFERROR(__xludf.DUMMYFUNCTION("""COMPUTED_VALUE"""),"en")</f>
        <v>en</v>
      </c>
      <c r="B11011">
        <f>IFERROR(__xludf.DUMMYFUNCTION("""COMPUTED_VALUE"""),1498332.0)</f>
        <v>1498332</v>
      </c>
      <c r="C11011" t="str">
        <f>IFERROR(__xludf.DUMMYFUNCTION("""COMPUTED_VALUE"""),"The Complete Guide to Building Premium WordPress Themes")</f>
        <v>The Complete Guide to Building Premium WordPress Themes</v>
      </c>
    </row>
    <row r="11012">
      <c r="A11012" s="140" t="str">
        <f>IFERROR(__xludf.DUMMYFUNCTION("""COMPUTED_VALUE"""),"en")</f>
        <v>en</v>
      </c>
      <c r="B11012">
        <f>IFERROR(__xludf.DUMMYFUNCTION("""COMPUTED_VALUE"""),2386866.0)</f>
        <v>2386866</v>
      </c>
      <c r="C11012" t="str">
        <f>IFERROR(__xludf.DUMMYFUNCTION("""COMPUTED_VALUE"""),"Technical Analysis Stock Trading -Practice Assignment Course")</f>
        <v>Technical Analysis Stock Trading -Practice Assignment Course</v>
      </c>
    </row>
    <row r="11013">
      <c r="A11013" s="140" t="str">
        <f>IFERROR(__xludf.DUMMYFUNCTION("""COMPUTED_VALUE"""),"en")</f>
        <v>en</v>
      </c>
      <c r="B11013">
        <f>IFERROR(__xludf.DUMMYFUNCTION("""COMPUTED_VALUE"""),1722468.0)</f>
        <v>1722468</v>
      </c>
      <c r="C11013" t="str">
        <f>IFERROR(__xludf.DUMMYFUNCTION("""COMPUTED_VALUE"""),"Docker - Hands On for Java Developers")</f>
        <v>Docker - Hands On for Java Developers</v>
      </c>
    </row>
    <row r="11014">
      <c r="A11014" s="140" t="str">
        <f>IFERROR(__xludf.DUMMYFUNCTION("""COMPUTED_VALUE"""),"en")</f>
        <v>en</v>
      </c>
      <c r="B11014">
        <f>IFERROR(__xludf.DUMMYFUNCTION("""COMPUTED_VALUE"""),3079178.0)</f>
        <v>3079178</v>
      </c>
      <c r="C11014" t="str">
        <f>IFERROR(__xludf.DUMMYFUNCTION("""COMPUTED_VALUE"""),"Angular interview questions with answers")</f>
        <v>Angular interview questions with answers</v>
      </c>
    </row>
    <row r="11015">
      <c r="A11015" s="140" t="str">
        <f>IFERROR(__xludf.DUMMYFUNCTION("""COMPUTED_VALUE"""),"en")</f>
        <v>en</v>
      </c>
      <c r="B11015">
        <f>IFERROR(__xludf.DUMMYFUNCTION("""COMPUTED_VALUE"""),735056.0)</f>
        <v>735056</v>
      </c>
      <c r="C11015" t="str">
        <f>IFERROR(__xludf.DUMMYFUNCTION("""COMPUTED_VALUE"""),"Connecting and working with Oracle Cloud DBaaS")</f>
        <v>Connecting and working with Oracle Cloud DBaaS</v>
      </c>
    </row>
    <row r="11016">
      <c r="A11016" s="140" t="str">
        <f>IFERROR(__xludf.DUMMYFUNCTION("""COMPUTED_VALUE"""),"tr")</f>
        <v>tr</v>
      </c>
      <c r="B11016">
        <f>IFERROR(__xludf.DUMMYFUNCTION("""COMPUTED_VALUE"""),1567856.0)</f>
        <v>1567856</v>
      </c>
      <c r="C11016" t="str">
        <f>IFERROR(__xludf.DUMMYFUNCTION("""COMPUTED_VALUE"""),"C# ve DevExpress ile Gelişmiş Ön Muhasebe Yazılımı (Bölüm-1)")</f>
        <v>C# ve DevExpress ile Gelişmiş Ön Muhasebe Yazılımı (Bölüm-1)</v>
      </c>
    </row>
    <row r="11017">
      <c r="A11017" s="140" t="str">
        <f>IFERROR(__xludf.DUMMYFUNCTION("""COMPUTED_VALUE"""),"en")</f>
        <v>en</v>
      </c>
      <c r="B11017">
        <f>IFERROR(__xludf.DUMMYFUNCTION("""COMPUTED_VALUE"""),2812691.0)</f>
        <v>2812691</v>
      </c>
      <c r="C11017" t="str">
        <f>IFERROR(__xludf.DUMMYFUNCTION("""COMPUTED_VALUE"""),"Grant writing - Improve your win rate")</f>
        <v>Grant writing - Improve your win rate</v>
      </c>
    </row>
    <row r="11018">
      <c r="A11018" s="140" t="str">
        <f>IFERROR(__xludf.DUMMYFUNCTION("""COMPUTED_VALUE"""),"de")</f>
        <v>de</v>
      </c>
      <c r="B11018">
        <f>IFERROR(__xludf.DUMMYFUNCTION("""COMPUTED_VALUE"""),1108054.0)</f>
        <v>1108054</v>
      </c>
      <c r="C11018" t="str">
        <f>IFERROR(__xludf.DUMMYFUNCTION("""COMPUTED_VALUE"""),"Grundlagen und Projektbearbeitung mit AutoCAD")</f>
        <v>Grundlagen und Projektbearbeitung mit AutoCAD</v>
      </c>
    </row>
    <row r="11019">
      <c r="A11019" s="140" t="str">
        <f>IFERROR(__xludf.DUMMYFUNCTION("""COMPUTED_VALUE"""),"es")</f>
        <v>es</v>
      </c>
      <c r="B11019">
        <f>IFERROR(__xludf.DUMMYFUNCTION("""COMPUTED_VALUE"""),2335778.0)</f>
        <v>2335778</v>
      </c>
      <c r="C11019" t="str">
        <f>IFERROR(__xludf.DUMMYFUNCTION("""COMPUTED_VALUE"""),"Curso de Alemán 2 | La Manera Fácil de Aprender Alemán")</f>
        <v>Curso de Alemán 2 | La Manera Fácil de Aprender Alemán</v>
      </c>
    </row>
    <row r="11020">
      <c r="A11020" s="140" t="str">
        <f>IFERROR(__xludf.DUMMYFUNCTION("""COMPUTED_VALUE"""),"en")</f>
        <v>en</v>
      </c>
      <c r="B11020">
        <f>IFERROR(__xludf.DUMMYFUNCTION("""COMPUTED_VALUE"""),392958.0)</f>
        <v>392958</v>
      </c>
      <c r="C11020" t="str">
        <f>IFERROR(__xludf.DUMMYFUNCTION("""COMPUTED_VALUE"""),"Learn To Play The Drums")</f>
        <v>Learn To Play The Drums</v>
      </c>
    </row>
    <row r="11021">
      <c r="A11021" s="140" t="str">
        <f>IFERROR(__xludf.DUMMYFUNCTION("""COMPUTED_VALUE"""),"en")</f>
        <v>en</v>
      </c>
      <c r="B11021">
        <f>IFERROR(__xludf.DUMMYFUNCTION("""COMPUTED_VALUE"""),4154346.0)</f>
        <v>4154346</v>
      </c>
      <c r="C11021" t="str">
        <f>IFERROR(__xludf.DUMMYFUNCTION("""COMPUTED_VALUE"""),"Get Hired as a Product Manager | Applying &amp; Interviewing")</f>
        <v>Get Hired as a Product Manager | Applying &amp; Interviewing</v>
      </c>
    </row>
    <row r="11022">
      <c r="A11022" s="140" t="str">
        <f>IFERROR(__xludf.DUMMYFUNCTION("""COMPUTED_VALUE"""),"pt")</f>
        <v>pt</v>
      </c>
      <c r="B11022">
        <f>IFERROR(__xludf.DUMMYFUNCTION("""COMPUTED_VALUE"""),915102.0)</f>
        <v>915102</v>
      </c>
      <c r="C11022" t="str">
        <f>IFERROR(__xludf.DUMMYFUNCTION("""COMPUTED_VALUE"""),"Canva: design gráfico sem mistérios [para iniciantes]")</f>
        <v>Canva: design gráfico sem mistérios [para iniciantes]</v>
      </c>
    </row>
    <row r="11023">
      <c r="A11023" s="140" t="str">
        <f>IFERROR(__xludf.DUMMYFUNCTION("""COMPUTED_VALUE"""),"en")</f>
        <v>en</v>
      </c>
      <c r="B11023">
        <f>IFERROR(__xludf.DUMMYFUNCTION("""COMPUTED_VALUE"""),2219258.0)</f>
        <v>2219258</v>
      </c>
      <c r="C11023" t="str">
        <f>IFERROR(__xludf.DUMMYFUNCTION("""COMPUTED_VALUE"""),"Complete Course on XML Publisher Reports in Oracle Apps R12")</f>
        <v>Complete Course on XML Publisher Reports in Oracle Apps R12</v>
      </c>
    </row>
    <row r="11024">
      <c r="A11024" s="140" t="str">
        <f>IFERROR(__xludf.DUMMYFUNCTION("""COMPUTED_VALUE"""),"fr")</f>
        <v>fr</v>
      </c>
      <c r="B11024">
        <f>IFERROR(__xludf.DUMMYFUNCTION("""COMPUTED_VALUE"""),2770754.0)</f>
        <v>2770754</v>
      </c>
      <c r="C11024" t="str">
        <f>IFERROR(__xludf.DUMMYFUNCTION("""COMPUTED_VALUE"""),"Publicité Google Ads &amp; Facebook Ads : le Guide Complet")</f>
        <v>Publicité Google Ads &amp; Facebook Ads : le Guide Complet</v>
      </c>
    </row>
    <row r="11025">
      <c r="A11025" s="140" t="str">
        <f>IFERROR(__xludf.DUMMYFUNCTION("""COMPUTED_VALUE"""),"en")</f>
        <v>en</v>
      </c>
      <c r="B11025">
        <f>IFERROR(__xludf.DUMMYFUNCTION("""COMPUTED_VALUE"""),1180172.0)</f>
        <v>1180172</v>
      </c>
      <c r="C11025" t="str">
        <f>IFERROR(__xludf.DUMMYFUNCTION("""COMPUTED_VALUE"""),"Deploying Your First Resources in Azure")</f>
        <v>Deploying Your First Resources in Azure</v>
      </c>
    </row>
    <row r="11026">
      <c r="A11026" s="140" t="str">
        <f>IFERROR(__xludf.DUMMYFUNCTION("""COMPUTED_VALUE"""),"fr")</f>
        <v>fr</v>
      </c>
      <c r="B11026">
        <f>IFERROR(__xludf.DUMMYFUNCTION("""COMPUTED_VALUE"""),2939918.0)</f>
        <v>2939918</v>
      </c>
      <c r="C11026" t="str">
        <f>IFERROR(__xludf.DUMMYFUNCTION("""COMPUTED_VALUE"""),"Microsoft Power BI Desktop Masterclass - Débutants [2021]")</f>
        <v>Microsoft Power BI Desktop Masterclass - Débutants [2021]</v>
      </c>
    </row>
    <row r="11027">
      <c r="A11027" s="140" t="str">
        <f>IFERROR(__xludf.DUMMYFUNCTION("""COMPUTED_VALUE"""),"en")</f>
        <v>en</v>
      </c>
      <c r="B11027">
        <f>IFERROR(__xludf.DUMMYFUNCTION("""COMPUTED_VALUE"""),1585012.0)</f>
        <v>1585012</v>
      </c>
      <c r="C11027" t="str">
        <f>IFERROR(__xludf.DUMMYFUNCTION("""COMPUTED_VALUE"""),"Build Security Incident Response for GDPR data protection")</f>
        <v>Build Security Incident Response for GDPR data protection</v>
      </c>
    </row>
    <row r="11028">
      <c r="A11028" s="140" t="str">
        <f>IFERROR(__xludf.DUMMYFUNCTION("""COMPUTED_VALUE"""),"es")</f>
        <v>es</v>
      </c>
      <c r="B11028">
        <f>IFERROR(__xludf.DUMMYFUNCTION("""COMPUTED_VALUE"""),1245642.0)</f>
        <v>1245642</v>
      </c>
      <c r="C11028" t="str">
        <f>IFERROR(__xludf.DUMMYFUNCTION("""COMPUTED_VALUE"""),"Aprende Google Chart con PHP y MySQL")</f>
        <v>Aprende Google Chart con PHP y MySQL</v>
      </c>
    </row>
    <row r="11029">
      <c r="A11029" s="140" t="str">
        <f>IFERROR(__xludf.DUMMYFUNCTION("""COMPUTED_VALUE"""),"en")</f>
        <v>en</v>
      </c>
      <c r="B11029">
        <f>IFERROR(__xludf.DUMMYFUNCTION("""COMPUTED_VALUE"""),3475640.0)</f>
        <v>3475640</v>
      </c>
      <c r="C11029" t="str">
        <f>IFERROR(__xludf.DUMMYFUNCTION("""COMPUTED_VALUE"""),"Critical Thinking Strategies For Better Decisions")</f>
        <v>Critical Thinking Strategies For Better Decisions</v>
      </c>
    </row>
    <row r="11030">
      <c r="A11030" s="140" t="str">
        <f>IFERROR(__xludf.DUMMYFUNCTION("""COMPUTED_VALUE"""),"ja")</f>
        <v>ja</v>
      </c>
      <c r="B11030">
        <f>IFERROR(__xludf.DUMMYFUNCTION("""COMPUTED_VALUE"""),2844292.0)</f>
        <v>2844292</v>
      </c>
      <c r="C11030" t="str">
        <f>IFERROR(__xludf.DUMMYFUNCTION("""COMPUTED_VALUE"""),"[ALL in ONE] ハイパフォーマンス・エクセルスキル完全マスター講座／11時間の身につく学習であなたが即戦力へ！")</f>
        <v>[ALL in ONE] ハイパフォーマンス・エクセルスキル完全マスター講座／11時間の身につく学習であなたが即戦力へ！</v>
      </c>
    </row>
    <row r="11031">
      <c r="A11031" s="140" t="str">
        <f>IFERROR(__xludf.DUMMYFUNCTION("""COMPUTED_VALUE"""),"es")</f>
        <v>es</v>
      </c>
      <c r="B11031">
        <f>IFERROR(__xludf.DUMMYFUNCTION("""COMPUTED_VALUE"""),997144.0)</f>
        <v>997144</v>
      </c>
      <c r="C11031" t="str">
        <f>IFERROR(__xludf.DUMMYFUNCTION("""COMPUTED_VALUE"""),"Domina HTML5 y CSS3 en 8 días")</f>
        <v>Domina HTML5 y CSS3 en 8 días</v>
      </c>
    </row>
    <row r="11032">
      <c r="A11032" s="140" t="str">
        <f>IFERROR(__xludf.DUMMYFUNCTION("""COMPUTED_VALUE"""),"ja")</f>
        <v>ja</v>
      </c>
      <c r="B11032">
        <f>IFERROR(__xludf.DUMMYFUNCTION("""COMPUTED_VALUE"""),3806930.0)</f>
        <v>3806930</v>
      </c>
      <c r="C11032" t="str">
        <f>IFERROR(__xludf.DUMMYFUNCTION("""COMPUTED_VALUE"""),"これだけで合格！AZ-900: Microsoft Azure Fundamentals模擬試験問題集（7回分430問）")</f>
        <v>これだけで合格！AZ-900: Microsoft Azure Fundamentals模擬試験問題集（7回分430問）</v>
      </c>
    </row>
    <row r="11033">
      <c r="A11033" s="140" t="str">
        <f>IFERROR(__xludf.DUMMYFUNCTION("""COMPUTED_VALUE"""),"en")</f>
        <v>en</v>
      </c>
      <c r="B11033">
        <f>IFERROR(__xludf.DUMMYFUNCTION("""COMPUTED_VALUE"""),3573765.0)</f>
        <v>3573765</v>
      </c>
      <c r="C11033" t="str">
        <f>IFERROR(__xludf.DUMMYFUNCTION("""COMPUTED_VALUE"""),"Android TDD Masterclass - Coroutines, Jetpack")</f>
        <v>Android TDD Masterclass - Coroutines, Jetpack</v>
      </c>
    </row>
    <row r="11034">
      <c r="A11034" s="140" t="str">
        <f>IFERROR(__xludf.DUMMYFUNCTION("""COMPUTED_VALUE"""),"en")</f>
        <v>en</v>
      </c>
      <c r="B11034">
        <f>IFERROR(__xludf.DUMMYFUNCTION("""COMPUTED_VALUE"""),1974640.0)</f>
        <v>1974640</v>
      </c>
      <c r="C11034" t="str">
        <f>IFERROR(__xludf.DUMMYFUNCTION("""COMPUTED_VALUE"""),"ISO 27001 Cybersecurity manager. Guidelines.")</f>
        <v>ISO 27001 Cybersecurity manager. Guidelines.</v>
      </c>
    </row>
    <row r="11035">
      <c r="A11035" s="140" t="str">
        <f>IFERROR(__xludf.DUMMYFUNCTION("""COMPUTED_VALUE"""),"en")</f>
        <v>en</v>
      </c>
      <c r="B11035">
        <f>IFERROR(__xludf.DUMMYFUNCTION("""COMPUTED_VALUE"""),3926714.0)</f>
        <v>3926714</v>
      </c>
      <c r="C11035" t="str">
        <f>IFERROR(__xludf.DUMMYFUNCTION("""COMPUTED_VALUE"""),"Sophos XG Firewall for Beginners")</f>
        <v>Sophos XG Firewall for Beginners</v>
      </c>
    </row>
    <row r="11036">
      <c r="A11036" s="140" t="str">
        <f>IFERROR(__xludf.DUMMYFUNCTION("""COMPUTED_VALUE"""),"en")</f>
        <v>en</v>
      </c>
      <c r="B11036">
        <f>IFERROR(__xludf.DUMMYFUNCTION("""COMPUTED_VALUE"""),938386.0)</f>
        <v>938386</v>
      </c>
      <c r="C11036" t="str">
        <f>IFERROR(__xludf.DUMMYFUNCTION("""COMPUTED_VALUE"""),"B2B Sales, LinkedIn Lead Generation &amp; Cold Email Sales")</f>
        <v>B2B Sales, LinkedIn Lead Generation &amp; Cold Email Sales</v>
      </c>
    </row>
    <row r="11037">
      <c r="A11037" s="140" t="str">
        <f>IFERROR(__xludf.DUMMYFUNCTION("""COMPUTED_VALUE"""),"es")</f>
        <v>es</v>
      </c>
      <c r="B11037">
        <f>IFERROR(__xludf.DUMMYFUNCTION("""COMPUTED_VALUE"""),3016604.0)</f>
        <v>3016604</v>
      </c>
      <c r="C11037" t="str">
        <f>IFERROR(__xludf.DUMMYFUNCTION("""COMPUTED_VALUE"""),"Presentaciones de Alto Impacto en PowerPoint")</f>
        <v>Presentaciones de Alto Impacto en PowerPoint</v>
      </c>
    </row>
    <row r="11038">
      <c r="A11038" s="140" t="str">
        <f>IFERROR(__xludf.DUMMYFUNCTION("""COMPUTED_VALUE"""),"fr")</f>
        <v>fr</v>
      </c>
      <c r="B11038">
        <f>IFERROR(__xludf.DUMMYFUNCTION("""COMPUTED_VALUE"""),1478914.0)</f>
        <v>1478914</v>
      </c>
      <c r="C11038" t="str">
        <f>IFERROR(__xludf.DUMMYFUNCTION("""COMPUTED_VALUE"""),"Maîtrisez votre DSLR et Mirrorless en mode vidéo")</f>
        <v>Maîtrisez votre DSLR et Mirrorless en mode vidéo</v>
      </c>
    </row>
    <row r="11039">
      <c r="A11039" s="140" t="str">
        <f>IFERROR(__xludf.DUMMYFUNCTION("""COMPUTED_VALUE"""),"fr")</f>
        <v>fr</v>
      </c>
      <c r="B11039">
        <f>IFERROR(__xludf.DUMMYFUNCTION("""COMPUTED_VALUE"""),286370.0)</f>
        <v>286370</v>
      </c>
      <c r="C11039" t="str">
        <f>IFERROR(__xludf.DUMMYFUNCTION("""COMPUTED_VALUE"""),"Apprendre à coudre : c'est facile !")</f>
        <v>Apprendre à coudre : c'est facile !</v>
      </c>
    </row>
    <row r="11040">
      <c r="A11040" s="140" t="str">
        <f>IFERROR(__xludf.DUMMYFUNCTION("""COMPUTED_VALUE"""),"en")</f>
        <v>en</v>
      </c>
      <c r="B11040">
        <f>IFERROR(__xludf.DUMMYFUNCTION("""COMPUTED_VALUE"""),2917870.0)</f>
        <v>2917870</v>
      </c>
      <c r="C11040" t="str">
        <f>IFERROR(__xludf.DUMMYFUNCTION("""COMPUTED_VALUE"""),"Mastering Video Conferencing")</f>
        <v>Mastering Video Conferencing</v>
      </c>
    </row>
    <row r="11041">
      <c r="A11041" s="140" t="str">
        <f>IFERROR(__xludf.DUMMYFUNCTION("""COMPUTED_VALUE"""),"en")</f>
        <v>en</v>
      </c>
      <c r="B11041">
        <f>IFERROR(__xludf.DUMMYFUNCTION("""COMPUTED_VALUE"""),3746636.0)</f>
        <v>3746636</v>
      </c>
      <c r="C11041" t="str">
        <f>IFERROR(__xludf.DUMMYFUNCTION("""COMPUTED_VALUE"""),"Disciplined Agile Scrum Master DASM practice exam questions.")</f>
        <v>Disciplined Agile Scrum Master DASM practice exam questions.</v>
      </c>
    </row>
    <row r="11042">
      <c r="A11042" s="140" t="str">
        <f>IFERROR(__xludf.DUMMYFUNCTION("""COMPUTED_VALUE"""),"de")</f>
        <v>de</v>
      </c>
      <c r="B11042">
        <f>IFERROR(__xludf.DUMMYFUNCTION("""COMPUTED_VALUE"""),1681908.0)</f>
        <v>1681908</v>
      </c>
      <c r="C11042" t="str">
        <f>IFERROR(__xludf.DUMMYFUNCTION("""COMPUTED_VALUE"""),"Coachen Sie Ihre Mitarbeiter: Coaching Wissen für Manager")</f>
        <v>Coachen Sie Ihre Mitarbeiter: Coaching Wissen für Manager</v>
      </c>
    </row>
    <row r="11043">
      <c r="A11043" s="140" t="str">
        <f>IFERROR(__xludf.DUMMYFUNCTION("""COMPUTED_VALUE"""),"en")</f>
        <v>en</v>
      </c>
      <c r="B11043">
        <f>IFERROR(__xludf.DUMMYFUNCTION("""COMPUTED_VALUE"""),1010460.0)</f>
        <v>1010460</v>
      </c>
      <c r="C11043" t="str">
        <f>IFERROR(__xludf.DUMMYFUNCTION("""COMPUTED_VALUE"""),"Networking for Introverts: Gracefully Exiting a Conversation")</f>
        <v>Networking for Introverts: Gracefully Exiting a Conversation</v>
      </c>
    </row>
    <row r="11044">
      <c r="A11044" s="140" t="str">
        <f>IFERROR(__xludf.DUMMYFUNCTION("""COMPUTED_VALUE"""),"pt")</f>
        <v>pt</v>
      </c>
      <c r="B11044">
        <f>IFERROR(__xludf.DUMMYFUNCTION("""COMPUTED_VALUE"""),1769704.0)</f>
        <v>1769704</v>
      </c>
      <c r="C11044" t="str">
        <f>IFERROR(__xludf.DUMMYFUNCTION("""COMPUTED_VALUE"""),"GDPR e as novas regras de Proteção de Dados Pessoais")</f>
        <v>GDPR e as novas regras de Proteção de Dados Pessoais</v>
      </c>
    </row>
    <row r="11045">
      <c r="A11045" s="140" t="str">
        <f>IFERROR(__xludf.DUMMYFUNCTION("""COMPUTED_VALUE"""),"en")</f>
        <v>en</v>
      </c>
      <c r="B11045">
        <f>IFERROR(__xludf.DUMMYFUNCTION("""COMPUTED_VALUE"""),1418878.0)</f>
        <v>1418878</v>
      </c>
      <c r="C11045" t="str">
        <f>IFERROR(__xludf.DUMMYFUNCTION("""COMPUTED_VALUE"""),"Spring Boot For Software Engineers")</f>
        <v>Spring Boot For Software Engineers</v>
      </c>
    </row>
    <row r="11046">
      <c r="A11046" s="140" t="str">
        <f>IFERROR(__xludf.DUMMYFUNCTION("""COMPUTED_VALUE"""),"en")</f>
        <v>en</v>
      </c>
      <c r="B11046">
        <f>IFERROR(__xludf.DUMMYFUNCTION("""COMPUTED_VALUE"""),399808.0)</f>
        <v>399808</v>
      </c>
      <c r="C11046" t="str">
        <f>IFERROR(__xludf.DUMMYFUNCTION("""COMPUTED_VALUE"""),"Effective use of OneNote 2013 in real life")</f>
        <v>Effective use of OneNote 2013 in real life</v>
      </c>
    </row>
    <row r="11047">
      <c r="A11047" s="140" t="str">
        <f>IFERROR(__xludf.DUMMYFUNCTION("""COMPUTED_VALUE"""),"tr")</f>
        <v>tr</v>
      </c>
      <c r="B11047">
        <f>IFERROR(__xludf.DUMMYFUNCTION("""COMPUTED_VALUE"""),3260884.0)</f>
        <v>3260884</v>
      </c>
      <c r="C11047" t="str">
        <f>IFERROR(__xludf.DUMMYFUNCTION("""COMPUTED_VALUE"""),"Agile (Çevik) 101 - Herkes için Agile!")</f>
        <v>Agile (Çevik) 101 - Herkes için Agile!</v>
      </c>
    </row>
    <row r="11048">
      <c r="A11048" s="140" t="str">
        <f>IFERROR(__xludf.DUMMYFUNCTION("""COMPUTED_VALUE"""),"en")</f>
        <v>en</v>
      </c>
      <c r="B11048">
        <f>IFERROR(__xludf.DUMMYFUNCTION("""COMPUTED_VALUE"""),2813723.0)</f>
        <v>2813723</v>
      </c>
      <c r="C11048" t="str">
        <f>IFERROR(__xludf.DUMMYFUNCTION("""COMPUTED_VALUE"""),"Learn to build an e-commerce app with .Net Core and Angular")</f>
        <v>Learn to build an e-commerce app with .Net Core and Angular</v>
      </c>
    </row>
    <row r="11049">
      <c r="A11049" s="140" t="str">
        <f>IFERROR(__xludf.DUMMYFUNCTION("""COMPUTED_VALUE"""),"en")</f>
        <v>en</v>
      </c>
      <c r="B11049">
        <f>IFERROR(__xludf.DUMMYFUNCTION("""COMPUTED_VALUE"""),2362076.0)</f>
        <v>2362076</v>
      </c>
      <c r="C11049" t="str">
        <f>IFERROR(__xludf.DUMMYFUNCTION("""COMPUTED_VALUE"""),"AZ-300 Microsoft Azure Architect Practice Exam Questions NEW")</f>
        <v>AZ-300 Microsoft Azure Architect Practice Exam Questions NEW</v>
      </c>
    </row>
    <row r="11050">
      <c r="A11050" s="140" t="str">
        <f>IFERROR(__xludf.DUMMYFUNCTION("""COMPUTED_VALUE"""),"es")</f>
        <v>es</v>
      </c>
      <c r="B11050">
        <f>IFERROR(__xludf.DUMMYFUNCTION("""COMPUTED_VALUE"""),2318250.0)</f>
        <v>2318250</v>
      </c>
      <c r="C11050" t="str">
        <f>IFERROR(__xludf.DUMMYFUNCTION("""COMPUTED_VALUE"""),"Microsoft Excel - Visualización de Datos y Gráficos en Excel")</f>
        <v>Microsoft Excel - Visualización de Datos y Gráficos en Excel</v>
      </c>
    </row>
    <row r="11051">
      <c r="A11051" s="140" t="str">
        <f>IFERROR(__xludf.DUMMYFUNCTION("""COMPUTED_VALUE"""),"en")</f>
        <v>en</v>
      </c>
      <c r="B11051">
        <f>IFERROR(__xludf.DUMMYFUNCTION("""COMPUTED_VALUE"""),1470544.0)</f>
        <v>1470544</v>
      </c>
      <c r="C11051" t="str">
        <f>IFERROR(__xludf.DUMMYFUNCTION("""COMPUTED_VALUE"""),"Text Mining and Natural Language Processing in R")</f>
        <v>Text Mining and Natural Language Processing in R</v>
      </c>
    </row>
    <row r="11052">
      <c r="A11052" s="140" t="str">
        <f>IFERROR(__xludf.DUMMYFUNCTION("""COMPUTED_VALUE"""),"en")</f>
        <v>en</v>
      </c>
      <c r="B11052">
        <f>IFERROR(__xludf.DUMMYFUNCTION("""COMPUTED_VALUE"""),1914608.0)</f>
        <v>1914608</v>
      </c>
      <c r="C11052" t="str">
        <f>IFERROR(__xludf.DUMMYFUNCTION("""COMPUTED_VALUE"""),"College Level Advanced Linear Algebra! Theory &amp; Programming!")</f>
        <v>College Level Advanced Linear Algebra! Theory &amp; Programming!</v>
      </c>
    </row>
    <row r="11053">
      <c r="A11053" s="140" t="str">
        <f>IFERROR(__xludf.DUMMYFUNCTION("""COMPUTED_VALUE"""),"pt")</f>
        <v>pt</v>
      </c>
      <c r="B11053">
        <f>IFERROR(__xludf.DUMMYFUNCTION("""COMPUTED_VALUE"""),3858926.0)</f>
        <v>3858926</v>
      </c>
      <c r="C11053" t="str">
        <f>IFERROR(__xludf.DUMMYFUNCTION("""COMPUTED_VALUE"""),"Curso de Linguagem Corporal no Universo Corporativo")</f>
        <v>Curso de Linguagem Corporal no Universo Corporativo</v>
      </c>
    </row>
    <row r="11054">
      <c r="A11054" s="140" t="str">
        <f>IFERROR(__xludf.DUMMYFUNCTION("""COMPUTED_VALUE"""),"en")</f>
        <v>en</v>
      </c>
      <c r="B11054">
        <f>IFERROR(__xludf.DUMMYFUNCTION("""COMPUTED_VALUE"""),2577178.0)</f>
        <v>2577178</v>
      </c>
      <c r="C11054" t="str">
        <f>IFERROR(__xludf.DUMMYFUNCTION("""COMPUTED_VALUE"""),"Vision Creation Practitioner Certificate [Accredited]")</f>
        <v>Vision Creation Practitioner Certificate [Accredited]</v>
      </c>
    </row>
    <row r="11055">
      <c r="A11055" s="140" t="str">
        <f>IFERROR(__xludf.DUMMYFUNCTION("""COMPUTED_VALUE"""),"en")</f>
        <v>en</v>
      </c>
      <c r="B11055">
        <f>IFERROR(__xludf.DUMMYFUNCTION("""COMPUTED_VALUE"""),2112202.0)</f>
        <v>2112202</v>
      </c>
      <c r="C11055" t="str">
        <f>IFERROR(__xludf.DUMMYFUNCTION("""COMPUTED_VALUE"""),"Data analyzing and Machine Learning Hands-on with KNIME")</f>
        <v>Data analyzing and Machine Learning Hands-on with KNIME</v>
      </c>
    </row>
    <row r="11056">
      <c r="A11056" s="140" t="str">
        <f>IFERROR(__xludf.DUMMYFUNCTION("""COMPUTED_VALUE"""),"en")</f>
        <v>en</v>
      </c>
      <c r="B11056">
        <f>IFERROR(__xludf.DUMMYFUNCTION("""COMPUTED_VALUE"""),2184976.0)</f>
        <v>2184976</v>
      </c>
      <c r="C11056" t="str">
        <f>IFERROR(__xludf.DUMMYFUNCTION("""COMPUTED_VALUE"""),"Creating VR Experiences with React 360")</f>
        <v>Creating VR Experiences with React 360</v>
      </c>
    </row>
    <row r="11057">
      <c r="A11057" s="140" t="str">
        <f>IFERROR(__xludf.DUMMYFUNCTION("""COMPUTED_VALUE"""),"en")</f>
        <v>en</v>
      </c>
      <c r="B11057">
        <f>IFERROR(__xludf.DUMMYFUNCTION("""COMPUTED_VALUE"""),694116.0)</f>
        <v>694116</v>
      </c>
      <c r="C11057" t="str">
        <f>IFERROR(__xludf.DUMMYFUNCTION("""COMPUTED_VALUE"""),"Trello Level 1 - Little Known Ways to Do More with Trello")</f>
        <v>Trello Level 1 - Little Known Ways to Do More with Trello</v>
      </c>
    </row>
    <row r="11058">
      <c r="A11058" s="140" t="str">
        <f>IFERROR(__xludf.DUMMYFUNCTION("""COMPUTED_VALUE"""),"en")</f>
        <v>en</v>
      </c>
      <c r="B11058">
        <f>IFERROR(__xludf.DUMMYFUNCTION("""COMPUTED_VALUE"""),1709722.0)</f>
        <v>1709722</v>
      </c>
      <c r="C11058" t="str">
        <f>IFERROR(__xludf.DUMMYFUNCTION("""COMPUTED_VALUE"""),"Cyber Security Incident Handling and Response")</f>
        <v>Cyber Security Incident Handling and Response</v>
      </c>
    </row>
    <row r="11059">
      <c r="A11059" s="140" t="str">
        <f>IFERROR(__xludf.DUMMYFUNCTION("""COMPUTED_VALUE"""),"en")</f>
        <v>en</v>
      </c>
      <c r="B11059">
        <f>IFERROR(__xludf.DUMMYFUNCTION("""COMPUTED_VALUE"""),1178016.0)</f>
        <v>1178016</v>
      </c>
      <c r="C11059" t="str">
        <f>IFERROR(__xludf.DUMMYFUNCTION("""COMPUTED_VALUE"""),"English Vocabulary Launch: Upgrade your speaking")</f>
        <v>English Vocabulary Launch: Upgrade your speaking</v>
      </c>
    </row>
    <row r="11060">
      <c r="A11060" s="140" t="str">
        <f>IFERROR(__xludf.DUMMYFUNCTION("""COMPUTED_VALUE"""),"en")</f>
        <v>en</v>
      </c>
      <c r="B11060">
        <f>IFERROR(__xludf.DUMMYFUNCTION("""COMPUTED_VALUE"""),2308032.0)</f>
        <v>2308032</v>
      </c>
      <c r="C11060" t="str">
        <f>IFERROR(__xludf.DUMMYFUNCTION("""COMPUTED_VALUE"""),"Angular Testing Masterclass (with FREE E-Book)")</f>
        <v>Angular Testing Masterclass (with FREE E-Book)</v>
      </c>
    </row>
    <row r="11061">
      <c r="A11061" s="140" t="str">
        <f>IFERROR(__xludf.DUMMYFUNCTION("""COMPUTED_VALUE"""),"de")</f>
        <v>de</v>
      </c>
      <c r="B11061">
        <f>IFERROR(__xludf.DUMMYFUNCTION("""COMPUTED_VALUE"""),959724.0)</f>
        <v>959724</v>
      </c>
      <c r="C11061" t="str">
        <f>IFERROR(__xludf.DUMMYFUNCTION("""COMPUTED_VALUE"""),"Das ultimative Excel Kurs Komplettpaket: Jetzt durchstarten!")</f>
        <v>Das ultimative Excel Kurs Komplettpaket: Jetzt durchstarten!</v>
      </c>
    </row>
    <row r="11062">
      <c r="A11062" s="140" t="str">
        <f>IFERROR(__xludf.DUMMYFUNCTION("""COMPUTED_VALUE"""),"es")</f>
        <v>es</v>
      </c>
      <c r="B11062">
        <f>IFERROR(__xludf.DUMMYFUNCTION("""COMPUTED_VALUE"""),2940218.0)</f>
        <v>2940218</v>
      </c>
      <c r="C11062" t="str">
        <f>IFERROR(__xludf.DUMMYFUNCTION("""COMPUTED_VALUE"""),"Microsoft Access TOTAL - El Entrenamiento Definitivo [2021]")</f>
        <v>Microsoft Access TOTAL - El Entrenamiento Definitivo [2021]</v>
      </c>
    </row>
    <row r="11063">
      <c r="A11063" s="140" t="str">
        <f>IFERROR(__xludf.DUMMYFUNCTION("""COMPUTED_VALUE"""),"de")</f>
        <v>de</v>
      </c>
      <c r="B11063">
        <f>IFERROR(__xludf.DUMMYFUNCTION("""COMPUTED_VALUE"""),1809284.0)</f>
        <v>1809284</v>
      </c>
      <c r="C11063" t="str">
        <f>IFERROR(__xludf.DUMMYFUNCTION("""COMPUTED_VALUE"""),"Peter lernt Content Marketing")</f>
        <v>Peter lernt Content Marketing</v>
      </c>
    </row>
    <row r="11064">
      <c r="A11064" s="140" t="str">
        <f>IFERROR(__xludf.DUMMYFUNCTION("""COMPUTED_VALUE"""),"en")</f>
        <v>en</v>
      </c>
      <c r="B11064">
        <f>IFERROR(__xludf.DUMMYFUNCTION("""COMPUTED_VALUE"""),2940360.0)</f>
        <v>2940360</v>
      </c>
      <c r="C11064" t="str">
        <f>IFERROR(__xludf.DUMMYFUNCTION("""COMPUTED_VALUE"""),"Revenue Cycle and Healthcare Finance - Rev Cycle Ready")</f>
        <v>Revenue Cycle and Healthcare Finance - Rev Cycle Ready</v>
      </c>
    </row>
    <row r="11065">
      <c r="A11065" s="140" t="str">
        <f>IFERROR(__xludf.DUMMYFUNCTION("""COMPUTED_VALUE"""),"fr")</f>
        <v>fr</v>
      </c>
      <c r="B11065">
        <f>IFERROR(__xludf.DUMMYFUNCTION("""COMPUTED_VALUE"""),2412194.0)</f>
        <v>2412194</v>
      </c>
      <c r="C11065" t="str">
        <f>IFERROR(__xludf.DUMMYFUNCTION("""COMPUTED_VALUE"""),"Dirigez vos réunions efficacement")</f>
        <v>Dirigez vos réunions efficacement</v>
      </c>
    </row>
    <row r="11066">
      <c r="A11066" s="140" t="str">
        <f>IFERROR(__xludf.DUMMYFUNCTION("""COMPUTED_VALUE"""),"de")</f>
        <v>de</v>
      </c>
      <c r="B11066">
        <f>IFERROR(__xludf.DUMMYFUNCTION("""COMPUTED_VALUE"""),1239228.0)</f>
        <v>1239228</v>
      </c>
      <c r="C11066" t="str">
        <f>IFERROR(__xludf.DUMMYFUNCTION("""COMPUTED_VALUE"""),"⭐️WordPress Masterclass! Vom Anfänger zum Profi in 5 Stunden")</f>
        <v>⭐️WordPress Masterclass! Vom Anfänger zum Profi in 5 Stunden</v>
      </c>
    </row>
    <row r="11067">
      <c r="A11067" s="140" t="str">
        <f>IFERROR(__xludf.DUMMYFUNCTION("""COMPUTED_VALUE"""),"tr")</f>
        <v>tr</v>
      </c>
      <c r="B11067">
        <f>IFERROR(__xludf.DUMMYFUNCTION("""COMPUTED_VALUE"""),2471826.0)</f>
        <v>2471826</v>
      </c>
      <c r="C11067" t="str">
        <f>IFERROR(__xludf.DUMMYFUNCTION("""COMPUTED_VALUE"""),"ALMANCA ÖĞRENİYORUM A1 KONU ANLATIMI")</f>
        <v>ALMANCA ÖĞRENİYORUM A1 KONU ANLATIMI</v>
      </c>
    </row>
    <row r="11068">
      <c r="A11068" s="140" t="str">
        <f>IFERROR(__xludf.DUMMYFUNCTION("""COMPUTED_VALUE"""),"es")</f>
        <v>es</v>
      </c>
      <c r="B11068">
        <f>IFERROR(__xludf.DUMMYFUNCTION("""COMPUTED_VALUE"""),3002270.0)</f>
        <v>3002270</v>
      </c>
      <c r="C11068" t="str">
        <f>IFERROR(__xludf.DUMMYFUNCTION("""COMPUTED_VALUE"""),"Crea Sistemas Marketplace con PHP 8 y bases de datos MySQL")</f>
        <v>Crea Sistemas Marketplace con PHP 8 y bases de datos MySQL</v>
      </c>
    </row>
    <row r="11069">
      <c r="A11069" s="140" t="str">
        <f>IFERROR(__xludf.DUMMYFUNCTION("""COMPUTED_VALUE"""),"pt")</f>
        <v>pt</v>
      </c>
      <c r="B11069">
        <f>IFERROR(__xludf.DUMMYFUNCTION("""COMPUTED_VALUE"""),1149316.0)</f>
        <v>1149316</v>
      </c>
      <c r="C11069" t="str">
        <f>IFERROR(__xludf.DUMMYFUNCTION("""COMPUTED_VALUE"""),"Machine Learning e Data Science com Weka e Java - Completo")</f>
        <v>Machine Learning e Data Science com Weka e Java - Completo</v>
      </c>
    </row>
    <row r="11070">
      <c r="A11070" s="140" t="str">
        <f>IFERROR(__xludf.DUMMYFUNCTION("""COMPUTED_VALUE"""),"en")</f>
        <v>en</v>
      </c>
      <c r="B11070">
        <f>IFERROR(__xludf.DUMMYFUNCTION("""COMPUTED_VALUE"""),1434976.0)</f>
        <v>1434976</v>
      </c>
      <c r="C11070" t="str">
        <f>IFERROR(__xludf.DUMMYFUNCTION("""COMPUTED_VALUE"""),"Microsoft SQL Server 2016 Certification (70-765)")</f>
        <v>Microsoft SQL Server 2016 Certification (70-765)</v>
      </c>
    </row>
    <row r="11071">
      <c r="A11071" s="140" t="str">
        <f>IFERROR(__xludf.DUMMYFUNCTION("""COMPUTED_VALUE"""),"en")</f>
        <v>en</v>
      </c>
      <c r="B11071">
        <f>IFERROR(__xludf.DUMMYFUNCTION("""COMPUTED_VALUE"""),3926940.0)</f>
        <v>3926940</v>
      </c>
      <c r="C11071" t="str">
        <f>IFERROR(__xludf.DUMMYFUNCTION("""COMPUTED_VALUE"""),"MuleSoft Certified Developer-Level 1 (Mule 4)-MCD Mock Tests")</f>
        <v>MuleSoft Certified Developer-Level 1 (Mule 4)-MCD Mock Tests</v>
      </c>
    </row>
    <row r="11072">
      <c r="A11072" s="140" t="str">
        <f>IFERROR(__xludf.DUMMYFUNCTION("""COMPUTED_VALUE"""),"tr")</f>
        <v>tr</v>
      </c>
      <c r="B11072">
        <f>IFERROR(__xludf.DUMMYFUNCTION("""COMPUTED_VALUE"""),3575379.0)</f>
        <v>3575379</v>
      </c>
      <c r="C11072" t="str">
        <f>IFERROR(__xludf.DUMMYFUNCTION("""COMPUTED_VALUE"""),"Sıfırdan STM32CubeIDE ve HAL Lib. ile STM32 Programlama")</f>
        <v>Sıfırdan STM32CubeIDE ve HAL Lib. ile STM32 Programlama</v>
      </c>
    </row>
    <row r="11073">
      <c r="A11073" s="140" t="str">
        <f>IFERROR(__xludf.DUMMYFUNCTION("""COMPUTED_VALUE"""),"en")</f>
        <v>en</v>
      </c>
      <c r="B11073">
        <f>IFERROR(__xludf.DUMMYFUNCTION("""COMPUTED_VALUE"""),359046.0)</f>
        <v>359046</v>
      </c>
      <c r="C11073" t="str">
        <f>IFERROR(__xludf.DUMMYFUNCTION("""COMPUTED_VALUE"""),"Introductory Biology")</f>
        <v>Introductory Biology</v>
      </c>
    </row>
    <row r="11074">
      <c r="A11074" s="140" t="str">
        <f>IFERROR(__xludf.DUMMYFUNCTION("""COMPUTED_VALUE"""),"ja")</f>
        <v>ja</v>
      </c>
      <c r="B11074">
        <f>IFERROR(__xludf.DUMMYFUNCTION("""COMPUTED_VALUE"""),1909904.0)</f>
        <v>1909904</v>
      </c>
      <c r="C11074" t="str">
        <f>IFERROR(__xludf.DUMMYFUNCTION("""COMPUTED_VALUE"""),"Node.js 入門 ー演習しながら学ぶ基本クラスの使い方ー")</f>
        <v>Node.js 入門 ー演習しながら学ぶ基本クラスの使い方ー</v>
      </c>
    </row>
    <row r="11075">
      <c r="A11075" s="140" t="str">
        <f>IFERROR(__xludf.DUMMYFUNCTION("""COMPUTED_VALUE"""),"en")</f>
        <v>en</v>
      </c>
      <c r="B11075">
        <f>IFERROR(__xludf.DUMMYFUNCTION("""COMPUTED_VALUE"""),895850.0)</f>
        <v>895850</v>
      </c>
      <c r="C11075" t="str">
        <f>IFERROR(__xludf.DUMMYFUNCTION("""COMPUTED_VALUE"""),"Leading Effective Meetings: Beginner's Guide")</f>
        <v>Leading Effective Meetings: Beginner's Guide</v>
      </c>
    </row>
    <row r="11076">
      <c r="A11076" s="140" t="str">
        <f>IFERROR(__xludf.DUMMYFUNCTION("""COMPUTED_VALUE"""),"en")</f>
        <v>en</v>
      </c>
      <c r="B11076">
        <f>IFERROR(__xludf.DUMMYFUNCTION("""COMPUTED_VALUE"""),687720.0)</f>
        <v>687720</v>
      </c>
      <c r="C11076" t="str">
        <f>IFERROR(__xludf.DUMMYFUNCTION("""COMPUTED_VALUE"""),"Certified Six Sigma White Belt")</f>
        <v>Certified Six Sigma White Belt</v>
      </c>
    </row>
    <row r="11077">
      <c r="A11077" s="140" t="str">
        <f>IFERROR(__xludf.DUMMYFUNCTION("""COMPUTED_VALUE"""),"en")</f>
        <v>en</v>
      </c>
      <c r="B11077">
        <f>IFERROR(__xludf.DUMMYFUNCTION("""COMPUTED_VALUE"""),412738.0)</f>
        <v>412738</v>
      </c>
      <c r="C11077" t="str">
        <f>IFERROR(__xludf.DUMMYFUNCTION("""COMPUTED_VALUE"""),"UX &amp; Web Design Master Course: Strategy, Design, Development")</f>
        <v>UX &amp; Web Design Master Course: Strategy, Design, Development</v>
      </c>
    </row>
    <row r="11078">
      <c r="A11078" s="140" t="str">
        <f>IFERROR(__xludf.DUMMYFUNCTION("""COMPUTED_VALUE"""),"en")</f>
        <v>en</v>
      </c>
      <c r="B11078">
        <f>IFERROR(__xludf.DUMMYFUNCTION("""COMPUTED_VALUE"""),1049620.0)</f>
        <v>1049620</v>
      </c>
      <c r="C11078" t="str">
        <f>IFERROR(__xludf.DUMMYFUNCTION("""COMPUTED_VALUE"""),"Ethereum : Decentralized Application Design &amp; Development")</f>
        <v>Ethereum : Decentralized Application Design &amp; Development</v>
      </c>
    </row>
    <row r="11079">
      <c r="A11079" s="140" t="str">
        <f>IFERROR(__xludf.DUMMYFUNCTION("""COMPUTED_VALUE"""),"en")</f>
        <v>en</v>
      </c>
      <c r="B11079">
        <f>IFERROR(__xludf.DUMMYFUNCTION("""COMPUTED_VALUE"""),428528.0)</f>
        <v>428528</v>
      </c>
      <c r="C11079" t="str">
        <f>IFERROR(__xludf.DUMMYFUNCTION("""COMPUTED_VALUE"""),"Get Started Quickly (and Easily) With Infusionsoft")</f>
        <v>Get Started Quickly (and Easily) With Infusionsoft</v>
      </c>
    </row>
    <row r="11080">
      <c r="A11080" s="140" t="str">
        <f>IFERROR(__xludf.DUMMYFUNCTION("""COMPUTED_VALUE"""),"en")</f>
        <v>en</v>
      </c>
      <c r="B11080">
        <f>IFERROR(__xludf.DUMMYFUNCTION("""COMPUTED_VALUE"""),1997090.0)</f>
        <v>1997090</v>
      </c>
      <c r="C11080" t="str">
        <f>IFERROR(__xludf.DUMMYFUNCTION("""COMPUTED_VALUE"""),"Qt Quick and QML - Advanced (Qt 5) : Interfacing to C++")</f>
        <v>Qt Quick and QML - Advanced (Qt 5) : Interfacing to C++</v>
      </c>
    </row>
    <row r="11081">
      <c r="A11081" s="140" t="str">
        <f>IFERROR(__xludf.DUMMYFUNCTION("""COMPUTED_VALUE"""),"de")</f>
        <v>de</v>
      </c>
      <c r="B11081">
        <f>IFERROR(__xludf.DUMMYFUNCTION("""COMPUTED_VALUE"""),2238658.0)</f>
        <v>2238658</v>
      </c>
      <c r="C11081" t="str">
        <f>IFERROR(__xludf.DUMMYFUNCTION("""COMPUTED_VALUE"""),"Katakana Lesen und Schreiben lernen")</f>
        <v>Katakana Lesen und Schreiben lernen</v>
      </c>
    </row>
    <row r="11082">
      <c r="A11082" s="140" t="str">
        <f>IFERROR(__xludf.DUMMYFUNCTION("""COMPUTED_VALUE"""),"en")</f>
        <v>en</v>
      </c>
      <c r="B11082">
        <f>IFERROR(__xludf.DUMMYFUNCTION("""COMPUTED_VALUE"""),1933116.0)</f>
        <v>1933116</v>
      </c>
      <c r="C11082" t="str">
        <f>IFERROR(__xludf.DUMMYFUNCTION("""COMPUTED_VALUE"""),"Gatling Fundamentals for Stress, Load &amp; Performance Testing")</f>
        <v>Gatling Fundamentals for Stress, Load &amp; Performance Testing</v>
      </c>
    </row>
    <row r="11083">
      <c r="A11083" s="140" t="str">
        <f>IFERROR(__xludf.DUMMYFUNCTION("""COMPUTED_VALUE"""),"es")</f>
        <v>es</v>
      </c>
      <c r="B11083">
        <f>IFERROR(__xludf.DUMMYFUNCTION("""COMPUTED_VALUE"""),841242.0)</f>
        <v>841242</v>
      </c>
      <c r="C11083" t="str">
        <f>IFERROR(__xludf.DUMMYFUNCTION("""COMPUTED_VALUE"""),"Crea páginas web responsive con Bootstrap 3")</f>
        <v>Crea páginas web responsive con Bootstrap 3</v>
      </c>
    </row>
    <row r="11084">
      <c r="A11084" s="140" t="str">
        <f>IFERROR(__xludf.DUMMYFUNCTION("""COMPUTED_VALUE"""),"fr")</f>
        <v>fr</v>
      </c>
      <c r="B11084">
        <f>IFERROR(__xludf.DUMMYFUNCTION("""COMPUTED_VALUE"""),3475158.0)</f>
        <v>3475158</v>
      </c>
      <c r="C11084" t="str">
        <f>IFERROR(__xludf.DUMMYFUNCTION("""COMPUTED_VALUE"""),"VRAIMENT bien maîtriser son Ordinateur et Windows 10")</f>
        <v>VRAIMENT bien maîtriser son Ordinateur et Windows 10</v>
      </c>
    </row>
    <row r="11085">
      <c r="A11085" s="140" t="str">
        <f>IFERROR(__xludf.DUMMYFUNCTION("""COMPUTED_VALUE"""),"en")</f>
        <v>en</v>
      </c>
      <c r="B11085">
        <f>IFERROR(__xludf.DUMMYFUNCTION("""COMPUTED_VALUE"""),2985506.0)</f>
        <v>2985506</v>
      </c>
      <c r="C11085" t="str">
        <f>IFERROR(__xludf.DUMMYFUNCTION("""COMPUTED_VALUE"""),"DevOps Deployment Automation with Terraform, AWS and Docker")</f>
        <v>DevOps Deployment Automation with Terraform, AWS and Docker</v>
      </c>
    </row>
    <row r="11086">
      <c r="A11086" s="140" t="str">
        <f>IFERROR(__xludf.DUMMYFUNCTION("""COMPUTED_VALUE"""),"en")</f>
        <v>en</v>
      </c>
      <c r="B11086">
        <f>IFERROR(__xludf.DUMMYFUNCTION("""COMPUTED_VALUE"""),1683326.0)</f>
        <v>1683326</v>
      </c>
      <c r="C11086" t="str">
        <f>IFERROR(__xludf.DUMMYFUNCTION("""COMPUTED_VALUE"""),"TOTAL: CompTIA Cloud+ (CV0-002): 3 FULL Practice Tests")</f>
        <v>TOTAL: CompTIA Cloud+ (CV0-002): 3 FULL Practice Tests</v>
      </c>
    </row>
    <row r="11087">
      <c r="A11087" s="140" t="str">
        <f>IFERROR(__xludf.DUMMYFUNCTION("""COMPUTED_VALUE"""),"en")</f>
        <v>en</v>
      </c>
      <c r="B11087">
        <f>IFERROR(__xludf.DUMMYFUNCTION("""COMPUTED_VALUE"""),1153378.0)</f>
        <v>1153378</v>
      </c>
      <c r="C11087" t="str">
        <f>IFERROR(__xludf.DUMMYFUNCTION("""COMPUTED_VALUE"""),"Getting Started with Spring Boot 2")</f>
        <v>Getting Started with Spring Boot 2</v>
      </c>
    </row>
    <row r="11088">
      <c r="A11088" s="140" t="str">
        <f>IFERROR(__xludf.DUMMYFUNCTION("""COMPUTED_VALUE"""),"en")</f>
        <v>en</v>
      </c>
      <c r="B11088">
        <f>IFERROR(__xludf.DUMMYFUNCTION("""COMPUTED_VALUE"""),3783644.0)</f>
        <v>3783644</v>
      </c>
      <c r="C11088" t="str">
        <f>IFERROR(__xludf.DUMMYFUNCTION("""COMPUTED_VALUE"""),"Sales Forecasting in Excel for Management Consultants")</f>
        <v>Sales Forecasting in Excel for Management Consultants</v>
      </c>
    </row>
    <row r="11089">
      <c r="A11089" s="140" t="str">
        <f>IFERROR(__xludf.DUMMYFUNCTION("""COMPUTED_VALUE"""),"en")</f>
        <v>en</v>
      </c>
      <c r="B11089">
        <f>IFERROR(__xludf.DUMMYFUNCTION("""COMPUTED_VALUE"""),2373842.0)</f>
        <v>2373842</v>
      </c>
      <c r="C11089" t="str">
        <f>IFERROR(__xludf.DUMMYFUNCTION("""COMPUTED_VALUE"""),"Complete Tensorflow 2 and Keras Deep Learning Bootcamp")</f>
        <v>Complete Tensorflow 2 and Keras Deep Learning Bootcamp</v>
      </c>
    </row>
    <row r="11090">
      <c r="A11090" s="140" t="str">
        <f>IFERROR(__xludf.DUMMYFUNCTION("""COMPUTED_VALUE"""),"en")</f>
        <v>en</v>
      </c>
      <c r="B11090">
        <f>IFERROR(__xludf.DUMMYFUNCTION("""COMPUTED_VALUE"""),1462912.0)</f>
        <v>1462912</v>
      </c>
      <c r="C11090" t="str">
        <f>IFERROR(__xludf.DUMMYFUNCTION("""COMPUTED_VALUE"""),"Artificial Intelligence III - Deep Learning in Java")</f>
        <v>Artificial Intelligence III - Deep Learning in Java</v>
      </c>
    </row>
    <row r="11091">
      <c r="A11091" s="140" t="str">
        <f>IFERROR(__xludf.DUMMYFUNCTION("""COMPUTED_VALUE"""),"fr")</f>
        <v>fr</v>
      </c>
      <c r="B11091">
        <f>IFERROR(__xludf.DUMMYFUNCTION("""COMPUTED_VALUE"""),2396820.0)</f>
        <v>2396820</v>
      </c>
      <c r="C11091" t="str">
        <f>IFERROR(__xludf.DUMMYFUNCTION("""COMPUTED_VALUE"""),"Créez des animations javascript avec l'HTML Canvas")</f>
        <v>Créez des animations javascript avec l'HTML Canvas</v>
      </c>
    </row>
    <row r="11092">
      <c r="A11092" s="140" t="str">
        <f>IFERROR(__xludf.DUMMYFUNCTION("""COMPUTED_VALUE"""),"pt")</f>
        <v>pt</v>
      </c>
      <c r="B11092">
        <f>IFERROR(__xludf.DUMMYFUNCTION("""COMPUTED_VALUE"""),981414.0)</f>
        <v>981414</v>
      </c>
      <c r="C11092" t="str">
        <f>IFERROR(__xludf.DUMMYFUNCTION("""COMPUTED_VALUE"""),"Curso completo de Lógica de Programação e Algoritmos")</f>
        <v>Curso completo de Lógica de Programação e Algoritmos</v>
      </c>
    </row>
    <row r="11093">
      <c r="A11093" s="140" t="str">
        <f>IFERROR(__xludf.DUMMYFUNCTION("""COMPUTED_VALUE"""),"ar")</f>
        <v>ar</v>
      </c>
      <c r="B11093">
        <f>IFERROR(__xludf.DUMMYFUNCTION("""COMPUTED_VALUE"""),2903436.0)</f>
        <v>2903436</v>
      </c>
      <c r="C11093" t="str">
        <f>IFERROR(__xludf.DUMMYFUNCTION("""COMPUTED_VALUE"""),"Ultimate Microsoft Office; Excel, Word (بالعربية ICDL كورس)")</f>
        <v>Ultimate Microsoft Office; Excel, Word (بالعربية ICDL كورس)</v>
      </c>
    </row>
    <row r="11094">
      <c r="A11094" s="140" t="str">
        <f>IFERROR(__xludf.DUMMYFUNCTION("""COMPUTED_VALUE"""),"fr")</f>
        <v>fr</v>
      </c>
      <c r="B11094">
        <f>IFERROR(__xludf.DUMMYFUNCTION("""COMPUTED_VALUE"""),2989874.0)</f>
        <v>2989874</v>
      </c>
      <c r="C11094" t="str">
        <f>IFERROR(__xludf.DUMMYFUNCTION("""COMPUTED_VALUE"""),"REVIT 2021 ARCHITECTURE")</f>
        <v>REVIT 2021 ARCHITECTURE</v>
      </c>
    </row>
    <row r="11095">
      <c r="A11095" s="140" t="str">
        <f>IFERROR(__xludf.DUMMYFUNCTION("""COMPUTED_VALUE"""),"fr")</f>
        <v>fr</v>
      </c>
      <c r="B11095">
        <f>IFERROR(__xludf.DUMMYFUNCTION("""COMPUTED_VALUE"""),2963914.0)</f>
        <v>2963914</v>
      </c>
      <c r="C11095" t="str">
        <f>IFERROR(__xludf.DUMMYFUNCTION("""COMPUTED_VALUE"""),"30 Exercices Orientés Objets avec Python")</f>
        <v>30 Exercices Orientés Objets avec Python</v>
      </c>
    </row>
    <row r="11096">
      <c r="A11096" s="140" t="str">
        <f>IFERROR(__xludf.DUMMYFUNCTION("""COMPUTED_VALUE"""),"en")</f>
        <v>en</v>
      </c>
      <c r="B11096">
        <f>IFERROR(__xludf.DUMMYFUNCTION("""COMPUTED_VALUE"""),746014.0)</f>
        <v>746014</v>
      </c>
      <c r="C11096" t="str">
        <f>IFERROR(__xludf.DUMMYFUNCTION("""COMPUTED_VALUE"""),"The Complete Sass &amp; SCSS Course: From Beginner to Advanced")</f>
        <v>The Complete Sass &amp; SCSS Course: From Beginner to Advanced</v>
      </c>
    </row>
    <row r="11097">
      <c r="A11097" s="140" t="str">
        <f>IFERROR(__xludf.DUMMYFUNCTION("""COMPUTED_VALUE"""),"en")</f>
        <v>en</v>
      </c>
      <c r="B11097">
        <f>IFERROR(__xludf.DUMMYFUNCTION("""COMPUTED_VALUE"""),3241926.0)</f>
        <v>3241926</v>
      </c>
      <c r="C11097" t="str">
        <f>IFERROR(__xludf.DUMMYFUNCTION("""COMPUTED_VALUE"""),"MicroPython for everyone using ESP32 / ESP8266 (Beginner)")</f>
        <v>MicroPython for everyone using ESP32 / ESP8266 (Beginner)</v>
      </c>
    </row>
    <row r="11098">
      <c r="A11098" s="140" t="str">
        <f>IFERROR(__xludf.DUMMYFUNCTION("""COMPUTED_VALUE"""),"en")</f>
        <v>en</v>
      </c>
      <c r="B11098">
        <f>IFERROR(__xludf.DUMMYFUNCTION("""COMPUTED_VALUE"""),1721592.0)</f>
        <v>1721592</v>
      </c>
      <c r="C11098" t="str">
        <f>IFERROR(__xludf.DUMMYFUNCTION("""COMPUTED_VALUE"""),"Never be Lied to Again: Advanced Lie Detection Course")</f>
        <v>Never be Lied to Again: Advanced Lie Detection Course</v>
      </c>
    </row>
    <row r="11099">
      <c r="A11099" s="140" t="str">
        <f>IFERROR(__xludf.DUMMYFUNCTION("""COMPUTED_VALUE"""),"es")</f>
        <v>es</v>
      </c>
      <c r="B11099">
        <f>IFERROR(__xludf.DUMMYFUNCTION("""COMPUTED_VALUE"""),3538444.0)</f>
        <v>3538444</v>
      </c>
      <c r="C11099" t="str">
        <f>IFERROR(__xludf.DUMMYFUNCTION("""COMPUTED_VALUE"""),"Diseño Creativo para Reclutamiento de RRHH")</f>
        <v>Diseño Creativo para Reclutamiento de RRHH</v>
      </c>
    </row>
    <row r="11100">
      <c r="A11100" s="140" t="str">
        <f>IFERROR(__xludf.DUMMYFUNCTION("""COMPUTED_VALUE"""),"en")</f>
        <v>en</v>
      </c>
      <c r="B11100">
        <f>IFERROR(__xludf.DUMMYFUNCTION("""COMPUTED_VALUE"""),1941434.0)</f>
        <v>1941434</v>
      </c>
      <c r="C11100" t="str">
        <f>IFERROR(__xludf.DUMMYFUNCTION("""COMPUTED_VALUE"""),"Learning Bootstrap - From HTML to Wordpress Theme")</f>
        <v>Learning Bootstrap - From HTML to Wordpress Theme</v>
      </c>
    </row>
    <row r="11101">
      <c r="A11101" s="140" t="str">
        <f>IFERROR(__xludf.DUMMYFUNCTION("""COMPUTED_VALUE"""),"en")</f>
        <v>en</v>
      </c>
      <c r="B11101">
        <f>IFERROR(__xludf.DUMMYFUNCTION("""COMPUTED_VALUE"""),1523066.0)</f>
        <v>1523066</v>
      </c>
      <c r="C11101" t="str">
        <f>IFERROR(__xludf.DUMMYFUNCTION("""COMPUTED_VALUE"""),"Complete Linux Training Course to Get Your Dream IT Job 2021")</f>
        <v>Complete Linux Training Course to Get Your Dream IT Job 2021</v>
      </c>
    </row>
    <row r="11102">
      <c r="A11102" s="140" t="str">
        <f>IFERROR(__xludf.DUMMYFUNCTION("""COMPUTED_VALUE"""),"pt")</f>
        <v>pt</v>
      </c>
      <c r="B11102">
        <f>IFERROR(__xludf.DUMMYFUNCTION("""COMPUTED_VALUE"""),1701388.0)</f>
        <v>1701388</v>
      </c>
      <c r="C11102" t="str">
        <f>IFERROR(__xludf.DUMMYFUNCTION("""COMPUTED_VALUE"""),"Java COMPLETO Programação Orientada a Objetos +Projetos")</f>
        <v>Java COMPLETO Programação Orientada a Objetos +Projetos</v>
      </c>
    </row>
    <row r="11103">
      <c r="A11103" s="140" t="str">
        <f>IFERROR(__xludf.DUMMYFUNCTION("""COMPUTED_VALUE"""),"en")</f>
        <v>en</v>
      </c>
      <c r="B11103">
        <f>IFERROR(__xludf.DUMMYFUNCTION("""COMPUTED_VALUE"""),897969.0)</f>
        <v>897969</v>
      </c>
      <c r="C11103" t="str">
        <f>IFERROR(__xludf.DUMMYFUNCTION("""COMPUTED_VALUE"""),"Master English Vocabulary (TOEFL iBT, TOEIC, GRE)")</f>
        <v>Master English Vocabulary (TOEFL iBT, TOEIC, GRE)</v>
      </c>
    </row>
    <row r="11104">
      <c r="A11104" s="140" t="str">
        <f>IFERROR(__xludf.DUMMYFUNCTION("""COMPUTED_VALUE"""),"en")</f>
        <v>en</v>
      </c>
      <c r="B11104">
        <f>IFERROR(__xludf.DUMMYFUNCTION("""COMPUTED_VALUE"""),2214982.0)</f>
        <v>2214982</v>
      </c>
      <c r="C11104" t="str">
        <f>IFERROR(__xludf.DUMMYFUNCTION("""COMPUTED_VALUE"""),"Building an All in Culture with Chester Elton")</f>
        <v>Building an All in Culture with Chester Elton</v>
      </c>
    </row>
    <row r="11105">
      <c r="A11105" s="140" t="str">
        <f>IFERROR(__xludf.DUMMYFUNCTION("""COMPUTED_VALUE"""),"en")</f>
        <v>en</v>
      </c>
      <c r="B11105">
        <f>IFERROR(__xludf.DUMMYFUNCTION("""COMPUTED_VALUE"""),976936.0)</f>
        <v>976936</v>
      </c>
      <c r="C11105" t="str">
        <f>IFERROR(__xludf.DUMMYFUNCTION("""COMPUTED_VALUE"""),"Introduction Azure Backup")</f>
        <v>Introduction Azure Backup</v>
      </c>
    </row>
    <row r="11106">
      <c r="A11106" s="140" t="str">
        <f>IFERROR(__xludf.DUMMYFUNCTION("""COMPUTED_VALUE"""),"de")</f>
        <v>de</v>
      </c>
      <c r="B11106">
        <f>IFERROR(__xludf.DUMMYFUNCTION("""COMPUTED_VALUE"""),1316808.0)</f>
        <v>1316808</v>
      </c>
      <c r="C11106" t="str">
        <f>IFERROR(__xludf.DUMMYFUNCTION("""COMPUTED_VALUE"""),"Content Marketing Strategie: Mit System Ziele erreichen!")</f>
        <v>Content Marketing Strategie: Mit System Ziele erreichen!</v>
      </c>
    </row>
    <row r="11107">
      <c r="A11107" s="140" t="str">
        <f>IFERROR(__xludf.DUMMYFUNCTION("""COMPUTED_VALUE"""),"en")</f>
        <v>en</v>
      </c>
      <c r="B11107">
        <f>IFERROR(__xludf.DUMMYFUNCTION("""COMPUTED_VALUE"""),1918258.0)</f>
        <v>1918258</v>
      </c>
      <c r="C11107" t="str">
        <f>IFERROR(__xludf.DUMMYFUNCTION("""COMPUTED_VALUE"""),"Anxiety and Stress")</f>
        <v>Anxiety and Stress</v>
      </c>
    </row>
    <row r="11108">
      <c r="A11108" s="140" t="str">
        <f>IFERROR(__xludf.DUMMYFUNCTION("""COMPUTED_VALUE"""),"fr")</f>
        <v>fr</v>
      </c>
      <c r="B11108">
        <f>IFERROR(__xludf.DUMMYFUNCTION("""COMPUTED_VALUE"""),4061746.0)</f>
        <v>4061746</v>
      </c>
      <c r="C11108" t="str">
        <f>IFERROR(__xludf.DUMMYFUNCTION("""COMPUTED_VALUE"""),"Comment réaliser un Reporting commercial avec Excel")</f>
        <v>Comment réaliser un Reporting commercial avec Excel</v>
      </c>
    </row>
    <row r="11109">
      <c r="A11109" s="140" t="str">
        <f>IFERROR(__xludf.DUMMYFUNCTION("""COMPUTED_VALUE"""),"en")</f>
        <v>en</v>
      </c>
      <c r="B11109">
        <f>IFERROR(__xludf.DUMMYFUNCTION("""COMPUTED_VALUE"""),1435028.0)</f>
        <v>1435028</v>
      </c>
      <c r="C11109" t="str">
        <f>IFERROR(__xludf.DUMMYFUNCTION("""COMPUTED_VALUE"""),"Personal Branding Masterclass: The Complete Branding Course")</f>
        <v>Personal Branding Masterclass: The Complete Branding Course</v>
      </c>
    </row>
    <row r="11110">
      <c r="A11110" s="140" t="str">
        <f>IFERROR(__xludf.DUMMYFUNCTION("""COMPUTED_VALUE"""),"es")</f>
        <v>es</v>
      </c>
      <c r="B11110">
        <f>IFERROR(__xludf.DUMMYFUNCTION("""COMPUTED_VALUE"""),883176.0)</f>
        <v>883176</v>
      </c>
      <c r="C11110" t="str">
        <f>IFERROR(__xludf.DUMMYFUNCTION("""COMPUTED_VALUE"""),"Curso Completo de iOS 10 y Swift 3: de Cero a Experto con JB")</f>
        <v>Curso Completo de iOS 10 y Swift 3: de Cero a Experto con JB</v>
      </c>
    </row>
    <row r="11111">
      <c r="A11111" s="140" t="str">
        <f>IFERROR(__xludf.DUMMYFUNCTION("""COMPUTED_VALUE"""),"en")</f>
        <v>en</v>
      </c>
      <c r="B11111">
        <f>IFERROR(__xludf.DUMMYFUNCTION("""COMPUTED_VALUE"""),1176574.0)</f>
        <v>1176574</v>
      </c>
      <c r="C11111" t="str">
        <f>IFERROR(__xludf.DUMMYFUNCTION("""COMPUTED_VALUE"""),"Advanced C Programming: Pointers")</f>
        <v>Advanced C Programming: Pointers</v>
      </c>
    </row>
    <row r="11112">
      <c r="A11112" s="140" t="str">
        <f>IFERROR(__xludf.DUMMYFUNCTION("""COMPUTED_VALUE"""),"en")</f>
        <v>en</v>
      </c>
      <c r="B11112">
        <f>IFERROR(__xludf.DUMMYFUNCTION("""COMPUTED_VALUE"""),1694758.0)</f>
        <v>1694758</v>
      </c>
      <c r="C11112" t="str">
        <f>IFERROR(__xludf.DUMMYFUNCTION("""COMPUTED_VALUE"""),"Ask Me Anything About Unity")</f>
        <v>Ask Me Anything About Unity</v>
      </c>
    </row>
    <row r="11113">
      <c r="A11113" s="140" t="str">
        <f>IFERROR(__xludf.DUMMYFUNCTION("""COMPUTED_VALUE"""),"en")</f>
        <v>en</v>
      </c>
      <c r="B11113">
        <f>IFERROR(__xludf.DUMMYFUNCTION("""COMPUTED_VALUE"""),1587422.0)</f>
        <v>1587422</v>
      </c>
      <c r="C11113" t="str">
        <f>IFERROR(__xludf.DUMMYFUNCTION("""COMPUTED_VALUE"""),"Complete JSON AJAX API Code Course Beginner to Professional")</f>
        <v>Complete JSON AJAX API Code Course Beginner to Professional</v>
      </c>
    </row>
    <row r="11114">
      <c r="A11114" s="140" t="str">
        <f>IFERROR(__xludf.DUMMYFUNCTION("""COMPUTED_VALUE"""),"en")</f>
        <v>en</v>
      </c>
      <c r="B11114">
        <f>IFERROR(__xludf.DUMMYFUNCTION("""COMPUTED_VALUE"""),993480.0)</f>
        <v>993480</v>
      </c>
      <c r="C11114" t="str">
        <f>IFERROR(__xludf.DUMMYFUNCTION("""COMPUTED_VALUE"""),"Seth Godin's Value Creation Master Class")</f>
        <v>Seth Godin's Value Creation Master Class</v>
      </c>
    </row>
    <row r="11115">
      <c r="A11115" s="140" t="str">
        <f>IFERROR(__xludf.DUMMYFUNCTION("""COMPUTED_VALUE"""),"es")</f>
        <v>es</v>
      </c>
      <c r="B11115">
        <f>IFERROR(__xludf.DUMMYFUNCTION("""COMPUTED_VALUE"""),2780914.0)</f>
        <v>2780914</v>
      </c>
      <c r="C11115" t="str">
        <f>IFERROR(__xludf.DUMMYFUNCTION("""COMPUTED_VALUE"""),"AWS Certified Cloud Practitioner 2021 Exams")</f>
        <v>AWS Certified Cloud Practitioner 2021 Exams</v>
      </c>
    </row>
    <row r="11116">
      <c r="A11116" s="140" t="str">
        <f>IFERROR(__xludf.DUMMYFUNCTION("""COMPUTED_VALUE"""),"tr")</f>
        <v>tr</v>
      </c>
      <c r="B11116">
        <f>IFERROR(__xludf.DUMMYFUNCTION("""COMPUTED_VALUE"""),2389126.0)</f>
        <v>2389126</v>
      </c>
      <c r="C11116" t="str">
        <f>IFERROR(__xludf.DUMMYFUNCTION("""COMPUTED_VALUE"""),"Temel İngilizce Dilbilgisi - 2 (Tüm Konular)")</f>
        <v>Temel İngilizce Dilbilgisi - 2 (Tüm Konular)</v>
      </c>
    </row>
    <row r="11117">
      <c r="A11117" s="140" t="str">
        <f>IFERROR(__xludf.DUMMYFUNCTION("""COMPUTED_VALUE"""),"en")</f>
        <v>en</v>
      </c>
      <c r="B11117">
        <f>IFERROR(__xludf.DUMMYFUNCTION("""COMPUTED_VALUE"""),1510852.0)</f>
        <v>1510852</v>
      </c>
      <c r="C11117" t="str">
        <f>IFERROR(__xludf.DUMMYFUNCTION("""COMPUTED_VALUE"""),"Google Cloud Professional Data Engineer Course [2019 Update]")</f>
        <v>Google Cloud Professional Data Engineer Course [2019 Update]</v>
      </c>
    </row>
    <row r="11118">
      <c r="A11118" s="140" t="str">
        <f>IFERROR(__xludf.DUMMYFUNCTION("""COMPUTED_VALUE"""),"en")</f>
        <v>en</v>
      </c>
      <c r="B11118">
        <f>IFERROR(__xludf.DUMMYFUNCTION("""COMPUTED_VALUE"""),1511358.0)</f>
        <v>1511358</v>
      </c>
      <c r="C11118" t="str">
        <f>IFERROR(__xludf.DUMMYFUNCTION("""COMPUTED_VALUE"""),"The Circular Economy")</f>
        <v>The Circular Economy</v>
      </c>
    </row>
    <row r="11119">
      <c r="A11119" s="140" t="str">
        <f>IFERROR(__xludf.DUMMYFUNCTION("""COMPUTED_VALUE"""),"pt")</f>
        <v>pt</v>
      </c>
      <c r="B11119">
        <f>IFERROR(__xludf.DUMMYFUNCTION("""COMPUTED_VALUE"""),1046092.0)</f>
        <v>1046092</v>
      </c>
      <c r="C11119" t="str">
        <f>IFERROR(__xludf.DUMMYFUNCTION("""COMPUTED_VALUE"""),"Business Intelligence SQL - ETL Integration Services")</f>
        <v>Business Intelligence SQL - ETL Integration Services</v>
      </c>
    </row>
    <row r="11120">
      <c r="A11120" s="140" t="str">
        <f>IFERROR(__xludf.DUMMYFUNCTION("""COMPUTED_VALUE"""),"tr")</f>
        <v>tr</v>
      </c>
      <c r="B11120">
        <f>IFERROR(__xludf.DUMMYFUNCTION("""COMPUTED_VALUE"""),1695265.0)</f>
        <v>1695265</v>
      </c>
      <c r="C11120" t="str">
        <f>IFERROR(__xludf.DUMMYFUNCTION("""COMPUTED_VALUE"""),"Yatırım ve Teknik Analiz Yöntemleri")</f>
        <v>Yatırım ve Teknik Analiz Yöntemleri</v>
      </c>
    </row>
    <row r="11121">
      <c r="A11121" s="140" t="str">
        <f>IFERROR(__xludf.DUMMYFUNCTION("""COMPUTED_VALUE"""),"pt")</f>
        <v>pt</v>
      </c>
      <c r="B11121">
        <f>IFERROR(__xludf.DUMMYFUNCTION("""COMPUTED_VALUE"""),1767388.0)</f>
        <v>1767388</v>
      </c>
      <c r="C11121" t="str">
        <f>IFERROR(__xludf.DUMMYFUNCTION("""COMPUTED_VALUE"""),"Implantando e Configurando o firewall Fortigate")</f>
        <v>Implantando e Configurando o firewall Fortigate</v>
      </c>
    </row>
    <row r="11122">
      <c r="A11122" s="140" t="str">
        <f>IFERROR(__xludf.DUMMYFUNCTION("""COMPUTED_VALUE"""),"en")</f>
        <v>en</v>
      </c>
      <c r="B11122">
        <f>IFERROR(__xludf.DUMMYFUNCTION("""COMPUTED_VALUE"""),3757948.0)</f>
        <v>3757948</v>
      </c>
      <c r="C11122" t="str">
        <f>IFERROR(__xludf.DUMMYFUNCTION("""COMPUTED_VALUE"""),"MB-300: Dynamics 365 Core Finance and Operations (Part 1/2)")</f>
        <v>MB-300: Dynamics 365 Core Finance and Operations (Part 1/2)</v>
      </c>
    </row>
    <row r="11123">
      <c r="A11123" s="140" t="str">
        <f>IFERROR(__xludf.DUMMYFUNCTION("""COMPUTED_VALUE"""),"en")</f>
        <v>en</v>
      </c>
      <c r="B11123">
        <f>IFERROR(__xludf.DUMMYFUNCTION("""COMPUTED_VALUE"""),219010.0)</f>
        <v>219010</v>
      </c>
      <c r="C11123" t="str">
        <f>IFERROR(__xludf.DUMMYFUNCTION("""COMPUTED_VALUE"""),"Law of Contracts in 60 Minutes: A Fast Track Course")</f>
        <v>Law of Contracts in 60 Minutes: A Fast Track Course</v>
      </c>
    </row>
    <row r="11124">
      <c r="A11124" s="140" t="str">
        <f>IFERROR(__xludf.DUMMYFUNCTION("""COMPUTED_VALUE"""),"ja")</f>
        <v>ja</v>
      </c>
      <c r="B11124">
        <f>IFERROR(__xludf.DUMMYFUNCTION("""COMPUTED_VALUE"""),1614778.0)</f>
        <v>1614778</v>
      </c>
      <c r="C11124" t="str">
        <f>IFERROR(__xludf.DUMMYFUNCTION("""COMPUTED_VALUE"""),"PHP+MySQL（MariaDB） Webサーバーサイドプログラミング入門")</f>
        <v>PHP+MySQL（MariaDB） Webサーバーサイドプログラミング入門</v>
      </c>
    </row>
    <row r="11125">
      <c r="A11125" s="140" t="str">
        <f>IFERROR(__xludf.DUMMYFUNCTION("""COMPUTED_VALUE"""),"fr")</f>
        <v>fr</v>
      </c>
      <c r="B11125">
        <f>IFERROR(__xludf.DUMMYFUNCTION("""COMPUTED_VALUE"""),924116.0)</f>
        <v>924116</v>
      </c>
      <c r="C11125" t="str">
        <f>IFERROR(__xludf.DUMMYFUNCTION("""COMPUTED_VALUE"""),"La Mindfulness : Méditation de Pleine Conscience")</f>
        <v>La Mindfulness : Méditation de Pleine Conscience</v>
      </c>
    </row>
    <row r="11126">
      <c r="A11126" s="140" t="str">
        <f>IFERROR(__xludf.DUMMYFUNCTION("""COMPUTED_VALUE"""),"en")</f>
        <v>en</v>
      </c>
      <c r="B11126">
        <f>IFERROR(__xludf.DUMMYFUNCTION("""COMPUTED_VALUE"""),828670.0)</f>
        <v>828670</v>
      </c>
      <c r="C11126" t="str">
        <f>IFERROR(__xludf.DUMMYFUNCTION("""COMPUTED_VALUE"""),"Predictable Revenue Pipedrive Mastery Course")</f>
        <v>Predictable Revenue Pipedrive Mastery Course</v>
      </c>
    </row>
    <row r="11127">
      <c r="A11127" s="140" t="str">
        <f>IFERROR(__xludf.DUMMYFUNCTION("""COMPUTED_VALUE"""),"es")</f>
        <v>es</v>
      </c>
      <c r="B11127">
        <f>IFERROR(__xludf.DUMMYFUNCTION("""COMPUTED_VALUE"""),1768214.0)</f>
        <v>1768214</v>
      </c>
      <c r="C11127" t="str">
        <f>IFERROR(__xludf.DUMMYFUNCTION("""COMPUTED_VALUE"""),"Programación de juegos para niños.")</f>
        <v>Programación de juegos para niños.</v>
      </c>
    </row>
    <row r="11128">
      <c r="A11128" s="140" t="str">
        <f>IFERROR(__xludf.DUMMYFUNCTION("""COMPUTED_VALUE"""),"es")</f>
        <v>es</v>
      </c>
      <c r="B11128">
        <f>IFERROR(__xludf.DUMMYFUNCTION("""COMPUTED_VALUE"""),2662806.0)</f>
        <v>2662806</v>
      </c>
      <c r="C11128" t="str">
        <f>IFERROR(__xludf.DUMMYFUNCTION("""COMPUTED_VALUE"""),"Amazon AWS Desarrollo. Curso de AWS programador certificado")</f>
        <v>Amazon AWS Desarrollo. Curso de AWS programador certificado</v>
      </c>
    </row>
    <row r="11129">
      <c r="A11129" s="140" t="str">
        <f>IFERROR(__xludf.DUMMYFUNCTION("""COMPUTED_VALUE"""),"pt")</f>
        <v>pt</v>
      </c>
      <c r="B11129">
        <f>IFERROR(__xludf.DUMMYFUNCTION("""COMPUTED_VALUE"""),1281960.0)</f>
        <v>1281960</v>
      </c>
      <c r="C11129" t="str">
        <f>IFERROR(__xludf.DUMMYFUNCTION("""COMPUTED_VALUE"""),"Detecção de Faces com Python e OpenCV")</f>
        <v>Detecção de Faces com Python e OpenCV</v>
      </c>
    </row>
    <row r="11130">
      <c r="A11130" s="140" t="str">
        <f>IFERROR(__xludf.DUMMYFUNCTION("""COMPUTED_VALUE"""),"en")</f>
        <v>en</v>
      </c>
      <c r="B11130">
        <f>IFERROR(__xludf.DUMMYFUNCTION("""COMPUTED_VALUE"""),509454.0)</f>
        <v>509454</v>
      </c>
      <c r="C11130" t="str">
        <f>IFERROR(__xludf.DUMMYFUNCTION("""COMPUTED_VALUE"""),"Essentials of Developing Windows Store Apps Using C#")</f>
        <v>Essentials of Developing Windows Store Apps Using C#</v>
      </c>
    </row>
    <row r="11131">
      <c r="A11131" s="140" t="str">
        <f>IFERROR(__xludf.DUMMYFUNCTION("""COMPUTED_VALUE"""),"en")</f>
        <v>en</v>
      </c>
      <c r="B11131">
        <f>IFERROR(__xludf.DUMMYFUNCTION("""COMPUTED_VALUE"""),2639196.0)</f>
        <v>2639196</v>
      </c>
      <c r="C11131" t="str">
        <f>IFERROR(__xludf.DUMMYFUNCTION("""COMPUTED_VALUE"""),"How to Become a Senior Developer - Beyond coding skills")</f>
        <v>How to Become a Senior Developer - Beyond coding skills</v>
      </c>
    </row>
    <row r="11132">
      <c r="A11132" s="140" t="str">
        <f>IFERROR(__xludf.DUMMYFUNCTION("""COMPUTED_VALUE"""),"ja")</f>
        <v>ja</v>
      </c>
      <c r="B11132">
        <f>IFERROR(__xludf.DUMMYFUNCTION("""COMPUTED_VALUE"""),1753920.0)</f>
        <v>1753920</v>
      </c>
      <c r="C11132" t="str">
        <f>IFERROR(__xludf.DUMMYFUNCTION("""COMPUTED_VALUE"""),"感情を動かす！社外プレゼンの資料作成術")</f>
        <v>感情を動かす！社外プレゼンの資料作成術</v>
      </c>
    </row>
    <row r="11133">
      <c r="A11133" s="140" t="str">
        <f>IFERROR(__xludf.DUMMYFUNCTION("""COMPUTED_VALUE"""),"pt")</f>
        <v>pt</v>
      </c>
      <c r="B11133">
        <f>IFERROR(__xludf.DUMMYFUNCTION("""COMPUTED_VALUE"""),1694340.0)</f>
        <v>1694340</v>
      </c>
      <c r="C11133" t="str">
        <f>IFERROR(__xludf.DUMMYFUNCTION("""COMPUTED_VALUE"""),"O Curso completo de Business Intelligence com SQL Server")</f>
        <v>O Curso completo de Business Intelligence com SQL Server</v>
      </c>
    </row>
    <row r="11134">
      <c r="A11134" s="140" t="str">
        <f>IFERROR(__xludf.DUMMYFUNCTION("""COMPUTED_VALUE"""),"es")</f>
        <v>es</v>
      </c>
      <c r="B11134">
        <f>IFERROR(__xludf.DUMMYFUNCTION("""COMPUTED_VALUE"""),2380528.0)</f>
        <v>2380528</v>
      </c>
      <c r="C11134" t="str">
        <f>IFERROR(__xludf.DUMMYFUNCTION("""COMPUTED_VALUE"""),"Aprende Xamarin Forms y desarrolla apps para Android y IOS")</f>
        <v>Aprende Xamarin Forms y desarrolla apps para Android y IOS</v>
      </c>
    </row>
    <row r="11135">
      <c r="A11135" s="140" t="str">
        <f>IFERROR(__xludf.DUMMYFUNCTION("""COMPUTED_VALUE"""),"de")</f>
        <v>de</v>
      </c>
      <c r="B11135">
        <f>IFERROR(__xludf.DUMMYFUNCTION("""COMPUTED_VALUE"""),1143726.0)</f>
        <v>1143726</v>
      </c>
      <c r="C11135" t="str">
        <f>IFERROR(__xludf.DUMMYFUNCTION("""COMPUTED_VALUE"""),"Baue Webseiten mit HTML5 &amp; CSS3: Vom Anfänger zum Profi!")</f>
        <v>Baue Webseiten mit HTML5 &amp; CSS3: Vom Anfänger zum Profi!</v>
      </c>
    </row>
    <row r="11136">
      <c r="A11136" s="140" t="str">
        <f>IFERROR(__xludf.DUMMYFUNCTION("""COMPUTED_VALUE"""),"tr")</f>
        <v>tr</v>
      </c>
      <c r="B11136">
        <f>IFERROR(__xludf.DUMMYFUNCTION("""COMPUTED_VALUE"""),1487092.0)</f>
        <v>1487092</v>
      </c>
      <c r="C11136" t="str">
        <f>IFERROR(__xludf.DUMMYFUNCTION("""COMPUTED_VALUE"""),"SIFIRDAN WİNDOWS SERVER VE SİSTEM YÖNETİCİLİĞİ EĞİTİMİ -2021")</f>
        <v>SIFIRDAN WİNDOWS SERVER VE SİSTEM YÖNETİCİLİĞİ EĞİTİMİ -2021</v>
      </c>
    </row>
    <row r="11137">
      <c r="A11137" s="140" t="str">
        <f>IFERROR(__xludf.DUMMYFUNCTION("""COMPUTED_VALUE"""),"en")</f>
        <v>en</v>
      </c>
      <c r="B11137">
        <f>IFERROR(__xludf.DUMMYFUNCTION("""COMPUTED_VALUE"""),1158720.0)</f>
        <v>1158720</v>
      </c>
      <c r="C11137" t="str">
        <f>IFERROR(__xludf.DUMMYFUNCTION("""COMPUTED_VALUE"""),"SAP ABAP in BW: Core ABAP Training")</f>
        <v>SAP ABAP in BW: Core ABAP Training</v>
      </c>
    </row>
    <row r="11138">
      <c r="A11138" s="140" t="str">
        <f>IFERROR(__xludf.DUMMYFUNCTION("""COMPUTED_VALUE"""),"ja")</f>
        <v>ja</v>
      </c>
      <c r="B11138">
        <f>IFERROR(__xludf.DUMMYFUNCTION("""COMPUTED_VALUE"""),2833280.0)</f>
        <v>2833280</v>
      </c>
      <c r="C11138" t="str">
        <f>IFERROR(__xludf.DUMMYFUNCTION("""COMPUTED_VALUE"""),"最短・最速で学ぶ Firebase Hosting + Vue Todoアプリ実装")</f>
        <v>最短・最速で学ぶ Firebase Hosting + Vue Todoアプリ実装</v>
      </c>
    </row>
    <row r="11139">
      <c r="A11139" s="140" t="str">
        <f>IFERROR(__xludf.DUMMYFUNCTION("""COMPUTED_VALUE"""),"en")</f>
        <v>en</v>
      </c>
      <c r="B11139">
        <f>IFERROR(__xludf.DUMMYFUNCTION("""COMPUTED_VALUE"""),2779876.0)</f>
        <v>2779876</v>
      </c>
      <c r="C11139" t="str">
        <f>IFERROR(__xludf.DUMMYFUNCTION("""COMPUTED_VALUE"""),"Ethical Hacking and Network Security from Scratch in 2022")</f>
        <v>Ethical Hacking and Network Security from Scratch in 2022</v>
      </c>
    </row>
    <row r="11140">
      <c r="A11140" s="140" t="str">
        <f>IFERROR(__xludf.DUMMYFUNCTION("""COMPUTED_VALUE"""),"en")</f>
        <v>en</v>
      </c>
      <c r="B11140">
        <f>IFERROR(__xludf.DUMMYFUNCTION("""COMPUTED_VALUE"""),528038.0)</f>
        <v>528038</v>
      </c>
      <c r="C11140" t="str">
        <f>IFERROR(__xludf.DUMMYFUNCTION("""COMPUTED_VALUE"""),"Master 320 Common English Phrases")</f>
        <v>Master 320 Common English Phrases</v>
      </c>
    </row>
    <row r="11141">
      <c r="A11141" s="140" t="str">
        <f>IFERROR(__xludf.DUMMYFUNCTION("""COMPUTED_VALUE"""),"es")</f>
        <v>es</v>
      </c>
      <c r="B11141">
        <f>IFERROR(__xludf.DUMMYFUNCTION("""COMPUTED_VALUE"""),1505156.0)</f>
        <v>1505156</v>
      </c>
      <c r="C11141" t="str">
        <f>IFERROR(__xludf.DUMMYFUNCTION("""COMPUTED_VALUE"""),"Curso de Project: Completo y desde cero para principiantes")</f>
        <v>Curso de Project: Completo y desde cero para principiantes</v>
      </c>
    </row>
    <row r="11142">
      <c r="A11142" s="140" t="str">
        <f>IFERROR(__xludf.DUMMYFUNCTION("""COMPUTED_VALUE"""),"en")</f>
        <v>en</v>
      </c>
      <c r="B11142">
        <f>IFERROR(__xludf.DUMMYFUNCTION("""COMPUTED_VALUE"""),283336.0)</f>
        <v>283336</v>
      </c>
      <c r="C11142" t="str">
        <f>IFERROR(__xludf.DUMMYFUNCTION("""COMPUTED_VALUE"""),"Dressing to Win in the Workplace")</f>
        <v>Dressing to Win in the Workplace</v>
      </c>
    </row>
    <row r="11143">
      <c r="A11143" s="140" t="str">
        <f>IFERROR(__xludf.DUMMYFUNCTION("""COMPUTED_VALUE"""),"ja")</f>
        <v>ja</v>
      </c>
      <c r="B11143">
        <f>IFERROR(__xludf.DUMMYFUNCTION("""COMPUTED_VALUE"""),3194484.0)</f>
        <v>3194484</v>
      </c>
      <c r="C11143" t="str">
        <f>IFERROR(__xludf.DUMMYFUNCTION("""COMPUTED_VALUE"""),"実務直結！Excelデータを駆使してビジネスを成長させる！実践的な分析手法【初級～中級編】")</f>
        <v>実務直結！Excelデータを駆使してビジネスを成長させる！実践的な分析手法【初級～中級編】</v>
      </c>
    </row>
    <row r="11144">
      <c r="A11144" s="140" t="str">
        <f>IFERROR(__xludf.DUMMYFUNCTION("""COMPUTED_VALUE"""),"es")</f>
        <v>es</v>
      </c>
      <c r="B11144">
        <f>IFERROR(__xludf.DUMMYFUNCTION("""COMPUTED_VALUE"""),867948.0)</f>
        <v>867948</v>
      </c>
      <c r="C11144" t="str">
        <f>IFERROR(__xludf.DUMMYFUNCTION("""COMPUTED_VALUE"""),"Máster en JavaScript: ECMAScript, Angular 9+, React, NodeJS")</f>
        <v>Máster en JavaScript: ECMAScript, Angular 9+, React, NodeJS</v>
      </c>
    </row>
    <row r="11145">
      <c r="A11145" s="140" t="str">
        <f>IFERROR(__xludf.DUMMYFUNCTION("""COMPUTED_VALUE"""),"tr")</f>
        <v>tr</v>
      </c>
      <c r="B11145">
        <f>IFERROR(__xludf.DUMMYFUNCTION("""COMPUTED_VALUE"""),1575716.0)</f>
        <v>1575716</v>
      </c>
      <c r="C11145" t="str">
        <f>IFERROR(__xludf.DUMMYFUNCTION("""COMPUTED_VALUE"""),"Codeigniter ile Dinamik Site Kodlama")</f>
        <v>Codeigniter ile Dinamik Site Kodlama</v>
      </c>
    </row>
    <row r="11146">
      <c r="A11146" s="140" t="str">
        <f>IFERROR(__xludf.DUMMYFUNCTION("""COMPUTED_VALUE"""),"zh")</f>
        <v>zh</v>
      </c>
      <c r="B11146">
        <f>IFERROR(__xludf.DUMMYFUNCTION("""COMPUTED_VALUE"""),1634932.0)</f>
        <v>1634932</v>
      </c>
      <c r="C11146" t="str">
        <f>IFERROR(__xludf.DUMMYFUNCTION("""COMPUTED_VALUE"""),"FFmpeg + qt 音视频播放器 C++ 跨平台实战")</f>
        <v>FFmpeg + qt 音视频播放器 C++ 跨平台实战</v>
      </c>
    </row>
    <row r="11147">
      <c r="A11147" s="140" t="str">
        <f>IFERROR(__xludf.DUMMYFUNCTION("""COMPUTED_VALUE"""),"pt")</f>
        <v>pt</v>
      </c>
      <c r="B11147">
        <f>IFERROR(__xludf.DUMMYFUNCTION("""COMPUTED_VALUE"""),3270132.0)</f>
        <v>3270132</v>
      </c>
      <c r="C11147" t="str">
        <f>IFERROR(__xludf.DUMMYFUNCTION("""COMPUTED_VALUE"""),"JavaScript: Completo de A a Z + Projetos Profissionais")</f>
        <v>JavaScript: Completo de A a Z + Projetos Profissionais</v>
      </c>
    </row>
    <row r="11148">
      <c r="A11148" s="140" t="str">
        <f>IFERROR(__xludf.DUMMYFUNCTION("""COMPUTED_VALUE"""),"es")</f>
        <v>es</v>
      </c>
      <c r="B11148">
        <f>IFERROR(__xludf.DUMMYFUNCTION("""COMPUTED_VALUE"""),1119270.0)</f>
        <v>1119270</v>
      </c>
      <c r="C11148" t="str">
        <f>IFERROR(__xludf.DUMMYFUNCTION("""COMPUTED_VALUE"""),"Unity3D: De 0 a la Realidad Virtual y Realidad Aumentada")</f>
        <v>Unity3D: De 0 a la Realidad Virtual y Realidad Aumentada</v>
      </c>
    </row>
    <row r="11149">
      <c r="A11149" s="140" t="str">
        <f>IFERROR(__xludf.DUMMYFUNCTION("""COMPUTED_VALUE"""),"en")</f>
        <v>en</v>
      </c>
      <c r="B11149">
        <f>IFERROR(__xludf.DUMMYFUNCTION("""COMPUTED_VALUE"""),1573384.0)</f>
        <v>1573384</v>
      </c>
      <c r="C11149" t="str">
        <f>IFERROR(__xludf.DUMMYFUNCTION("""COMPUTED_VALUE"""),"ISO/IEC 20000-1. Service Management System")</f>
        <v>ISO/IEC 20000-1. Service Management System</v>
      </c>
    </row>
    <row r="11150">
      <c r="A11150" s="140" t="str">
        <f>IFERROR(__xludf.DUMMYFUNCTION("""COMPUTED_VALUE"""),"en")</f>
        <v>en</v>
      </c>
      <c r="B11150">
        <f>IFERROR(__xludf.DUMMYFUNCTION("""COMPUTED_VALUE"""),1591772.0)</f>
        <v>1591772</v>
      </c>
      <c r="C11150" t="str">
        <f>IFERROR(__xludf.DUMMYFUNCTION("""COMPUTED_VALUE"""),"JavaScript and Ruby on Rails with React, Angular, and Vue")</f>
        <v>JavaScript and Ruby on Rails with React, Angular, and Vue</v>
      </c>
    </row>
    <row r="11151">
      <c r="A11151" s="140" t="str">
        <f>IFERROR(__xludf.DUMMYFUNCTION("""COMPUTED_VALUE"""),"en")</f>
        <v>en</v>
      </c>
      <c r="B11151">
        <f>IFERROR(__xludf.DUMMYFUNCTION("""COMPUTED_VALUE"""),433102.0)</f>
        <v>433102</v>
      </c>
      <c r="C11151" t="str">
        <f>IFERROR(__xludf.DUMMYFUNCTION("""COMPUTED_VALUE"""),"Professional Podcast Production, Editing &amp; Blueprint")</f>
        <v>Professional Podcast Production, Editing &amp; Blueprint</v>
      </c>
    </row>
    <row r="11152">
      <c r="A11152" s="140" t="str">
        <f>IFERROR(__xludf.DUMMYFUNCTION("""COMPUTED_VALUE"""),"en")</f>
        <v>en</v>
      </c>
      <c r="B11152">
        <f>IFERROR(__xludf.DUMMYFUNCTION("""COMPUTED_VALUE"""),2315630.0)</f>
        <v>2315630</v>
      </c>
      <c r="C11152" t="str">
        <f>IFERROR(__xludf.DUMMYFUNCTION("""COMPUTED_VALUE"""),"CONFIDENCE Tools - Confidence &amp; Self Esteem for Introverts")</f>
        <v>CONFIDENCE Tools - Confidence &amp; Self Esteem for Introverts</v>
      </c>
    </row>
    <row r="11153">
      <c r="A11153" s="140" t="str">
        <f>IFERROR(__xludf.DUMMYFUNCTION("""COMPUTED_VALUE"""),"en")</f>
        <v>en</v>
      </c>
      <c r="B11153">
        <f>IFERROR(__xludf.DUMMYFUNCTION("""COMPUTED_VALUE"""),325852.0)</f>
        <v>325852</v>
      </c>
      <c r="C11153" t="str">
        <f>IFERROR(__xludf.DUMMYFUNCTION("""COMPUTED_VALUE"""),"MTA: Networking Fundamentals - Exam: Microsoft 98-366")</f>
        <v>MTA: Networking Fundamentals - Exam: Microsoft 98-366</v>
      </c>
    </row>
    <row r="11154">
      <c r="A11154" s="140" t="str">
        <f>IFERROR(__xludf.DUMMYFUNCTION("""COMPUTED_VALUE"""),"es")</f>
        <v>es</v>
      </c>
      <c r="B11154">
        <f>IFERROR(__xludf.DUMMYFUNCTION("""COMPUTED_VALUE"""),1307416.0)</f>
        <v>1307416</v>
      </c>
      <c r="C11154" t="str">
        <f>IFERROR(__xludf.DUMMYFUNCTION("""COMPUTED_VALUE"""),"Blender 2.9x a 2.7x Curso Profesional + WEB &amp; Unreal Engine")</f>
        <v>Blender 2.9x a 2.7x Curso Profesional + WEB &amp; Unreal Engine</v>
      </c>
    </row>
    <row r="11155">
      <c r="A11155" s="140" t="str">
        <f>IFERROR(__xludf.DUMMYFUNCTION("""COMPUTED_VALUE"""),"en")</f>
        <v>en</v>
      </c>
      <c r="B11155">
        <f>IFERROR(__xludf.DUMMYFUNCTION("""COMPUTED_VALUE"""),266154.0)</f>
        <v>266154</v>
      </c>
      <c r="C11155" t="str">
        <f>IFERROR(__xludf.DUMMYFUNCTION("""COMPUTED_VALUE"""),"15 Minutes x 15 Days Yoga Strength Challenge")</f>
        <v>15 Minutes x 15 Days Yoga Strength Challenge</v>
      </c>
    </row>
    <row r="11156">
      <c r="A11156" s="140" t="str">
        <f>IFERROR(__xludf.DUMMYFUNCTION("""COMPUTED_VALUE"""),"es")</f>
        <v>es</v>
      </c>
      <c r="B11156">
        <f>IFERROR(__xludf.DUMMYFUNCTION("""COMPUTED_VALUE"""),3473408.0)</f>
        <v>3473408</v>
      </c>
      <c r="C11156" t="str">
        <f>IFERROR(__xludf.DUMMYFUNCTION("""COMPUTED_VALUE"""),"Evoluciona desde Excel a Python")</f>
        <v>Evoluciona desde Excel a Python</v>
      </c>
    </row>
    <row r="11157">
      <c r="A11157" s="140" t="str">
        <f>IFERROR(__xludf.DUMMYFUNCTION("""COMPUTED_VALUE"""),"en")</f>
        <v>en</v>
      </c>
      <c r="B11157">
        <f>IFERROR(__xludf.DUMMYFUNCTION("""COMPUTED_VALUE"""),2539266.0)</f>
        <v>2539266</v>
      </c>
      <c r="C11157" t="str">
        <f>IFERROR(__xludf.DUMMYFUNCTION("""COMPUTED_VALUE"""),"AWS Elastic Beanstalk - Master Class|Hands On Learning!")</f>
        <v>AWS Elastic Beanstalk - Master Class|Hands On Learning!</v>
      </c>
    </row>
    <row r="11158">
      <c r="A11158" s="140" t="str">
        <f>IFERROR(__xludf.DUMMYFUNCTION("""COMPUTED_VALUE"""),"fr")</f>
        <v>fr</v>
      </c>
      <c r="B11158">
        <f>IFERROR(__xludf.DUMMYFUNCTION("""COMPUTED_VALUE"""),2440786.0)</f>
        <v>2440786</v>
      </c>
      <c r="C11158" t="str">
        <f>IFERROR(__xludf.DUMMYFUNCTION("""COMPUTED_VALUE"""),"Qu'est-ce que l'informatique en nuage ou cloud computing ?")</f>
        <v>Qu'est-ce que l'informatique en nuage ou cloud computing ?</v>
      </c>
    </row>
    <row r="11159">
      <c r="A11159" s="140" t="str">
        <f>IFERROR(__xludf.DUMMYFUNCTION("""COMPUTED_VALUE"""),"en")</f>
        <v>en</v>
      </c>
      <c r="B11159">
        <f>IFERROR(__xludf.DUMMYFUNCTION("""COMPUTED_VALUE"""),2446844.0)</f>
        <v>2446844</v>
      </c>
      <c r="C11159" t="str">
        <f>IFERROR(__xludf.DUMMYFUNCTION("""COMPUTED_VALUE"""),"Functional &amp; Reactive programming in Java : Modern Style")</f>
        <v>Functional &amp; Reactive programming in Java : Modern Style</v>
      </c>
    </row>
    <row r="11160">
      <c r="A11160" s="140" t="str">
        <f>IFERROR(__xludf.DUMMYFUNCTION("""COMPUTED_VALUE"""),"en")</f>
        <v>en</v>
      </c>
      <c r="B11160">
        <f>IFERROR(__xludf.DUMMYFUNCTION("""COMPUTED_VALUE"""),2398666.0)</f>
        <v>2398666</v>
      </c>
      <c r="C11160" t="str">
        <f>IFERROR(__xludf.DUMMYFUNCTION("""COMPUTED_VALUE"""),"SwiftUI - Learn How to Build Beautiful, Robust, Apps")</f>
        <v>SwiftUI - Learn How to Build Beautiful, Robust, Apps</v>
      </c>
    </row>
    <row r="11161">
      <c r="A11161" s="140" t="str">
        <f>IFERROR(__xludf.DUMMYFUNCTION("""COMPUTED_VALUE"""),"en")</f>
        <v>en</v>
      </c>
      <c r="B11161">
        <f>IFERROR(__xludf.DUMMYFUNCTION("""COMPUTED_VALUE"""),2668274.0)</f>
        <v>2668274</v>
      </c>
      <c r="C11161" t="str">
        <f>IFERROR(__xludf.DUMMYFUNCTION("""COMPUTED_VALUE"""),"Stripe In Practice")</f>
        <v>Stripe In Practice</v>
      </c>
    </row>
    <row r="11162">
      <c r="A11162" s="140" t="str">
        <f>IFERROR(__xludf.DUMMYFUNCTION("""COMPUTED_VALUE"""),"en")</f>
        <v>en</v>
      </c>
      <c r="B11162">
        <f>IFERROR(__xludf.DUMMYFUNCTION("""COMPUTED_VALUE"""),1612492.0)</f>
        <v>1612492</v>
      </c>
      <c r="C11162" t="str">
        <f>IFERROR(__xludf.DUMMYFUNCTION("""COMPUTED_VALUE"""),"Complete Guide to Protocol Buffers 3 [Java, Golang, Python]")</f>
        <v>Complete Guide to Protocol Buffers 3 [Java, Golang, Python]</v>
      </c>
    </row>
    <row r="11163">
      <c r="A11163" s="140" t="str">
        <f>IFERROR(__xludf.DUMMYFUNCTION("""COMPUTED_VALUE"""),"ko")</f>
        <v>ko</v>
      </c>
      <c r="B11163">
        <f>IFERROR(__xludf.DUMMYFUNCTION("""COMPUTED_VALUE"""),1612264.0)</f>
        <v>1612264</v>
      </c>
      <c r="C11163" t="str">
        <f>IFERROR(__xludf.DUMMYFUNCTION("""COMPUTED_VALUE"""),"프로들만의 차별화된 엑셀 데이터 분석과 차트 시각화")</f>
        <v>프로들만의 차별화된 엑셀 데이터 분석과 차트 시각화</v>
      </c>
    </row>
    <row r="11164">
      <c r="A11164" s="140" t="str">
        <f>IFERROR(__xludf.DUMMYFUNCTION("""COMPUTED_VALUE"""),"es")</f>
        <v>es</v>
      </c>
      <c r="B11164">
        <f>IFERROR(__xludf.DUMMYFUNCTION("""COMPUTED_VALUE"""),2190228.0)</f>
        <v>2190228</v>
      </c>
      <c r="C11164" t="str">
        <f>IFERROR(__xludf.DUMMYFUNCTION("""COMPUTED_VALUE"""),"Italiano en un par de clicks!")</f>
        <v>Italiano en un par de clicks!</v>
      </c>
    </row>
    <row r="11165">
      <c r="A11165" s="140" t="str">
        <f>IFERROR(__xludf.DUMMYFUNCTION("""COMPUTED_VALUE"""),"ja")</f>
        <v>ja</v>
      </c>
      <c r="B11165">
        <f>IFERROR(__xludf.DUMMYFUNCTION("""COMPUTED_VALUE"""),2123138.0)</f>
        <v>2123138</v>
      </c>
      <c r="C11165" t="str">
        <f>IFERROR(__xludf.DUMMYFUNCTION("""COMPUTED_VALUE"""),"Tableauを使いこなしたい分析者のための『ゼロからの Tableau Prep 入門』")</f>
        <v>Tableauを使いこなしたい分析者のための『ゼロからの Tableau Prep 入門』</v>
      </c>
    </row>
    <row r="11166">
      <c r="A11166" s="140" t="str">
        <f>IFERROR(__xludf.DUMMYFUNCTION("""COMPUTED_VALUE"""),"en")</f>
        <v>en</v>
      </c>
      <c r="B11166">
        <f>IFERROR(__xludf.DUMMYFUNCTION("""COMPUTED_VALUE"""),827928.0)</f>
        <v>827928</v>
      </c>
      <c r="C11166" t="str">
        <f>IFERROR(__xludf.DUMMYFUNCTION("""COMPUTED_VALUE"""),"Cisco ASA firewall basics")</f>
        <v>Cisco ASA firewall basics</v>
      </c>
    </row>
    <row r="11167">
      <c r="A11167" s="140" t="str">
        <f>IFERROR(__xludf.DUMMYFUNCTION("""COMPUTED_VALUE"""),"en")</f>
        <v>en</v>
      </c>
      <c r="B11167">
        <f>IFERROR(__xludf.DUMMYFUNCTION("""COMPUTED_VALUE"""),1575562.0)</f>
        <v>1575562</v>
      </c>
      <c r="C11167" t="str">
        <f>IFERROR(__xludf.DUMMYFUNCTION("""COMPUTED_VALUE"""),"Interactive Python Dashboards with Plotly and Dash")</f>
        <v>Interactive Python Dashboards with Plotly and Dash</v>
      </c>
    </row>
    <row r="11168">
      <c r="A11168" s="140" t="str">
        <f>IFERROR(__xludf.DUMMYFUNCTION("""COMPUTED_VALUE"""),"es")</f>
        <v>es</v>
      </c>
      <c r="B11168">
        <f>IFERROR(__xludf.DUMMYFUNCTION("""COMPUTED_VALUE"""),1392412.0)</f>
        <v>1392412</v>
      </c>
      <c r="C11168" t="str">
        <f>IFERROR(__xludf.DUMMYFUNCTION("""COMPUTED_VALUE"""),"Android y Kotlin Desde Cero a Profesional Completo +45 horas")</f>
        <v>Android y Kotlin Desde Cero a Profesional Completo +45 horas</v>
      </c>
    </row>
    <row r="11169">
      <c r="A11169" s="140" t="str">
        <f>IFERROR(__xludf.DUMMYFUNCTION("""COMPUTED_VALUE"""),"en")</f>
        <v>en</v>
      </c>
      <c r="B11169">
        <f>IFERROR(__xludf.DUMMYFUNCTION("""COMPUTED_VALUE"""),1506522.0)</f>
        <v>1506522</v>
      </c>
      <c r="C11169" t="str">
        <f>IFERROR(__xludf.DUMMYFUNCTION("""COMPUTED_VALUE"""),"Java Design Patterns")</f>
        <v>Java Design Patterns</v>
      </c>
    </row>
    <row r="11170">
      <c r="A11170" s="140" t="str">
        <f>IFERROR(__xludf.DUMMYFUNCTION("""COMPUTED_VALUE"""),"en")</f>
        <v>en</v>
      </c>
      <c r="B11170">
        <f>IFERROR(__xludf.DUMMYFUNCTION("""COMPUTED_VALUE"""),1346052.0)</f>
        <v>1346052</v>
      </c>
      <c r="C11170" t="str">
        <f>IFERROR(__xludf.DUMMYFUNCTION("""COMPUTED_VALUE"""),"Learn to Develop for Cloud with Pivotal Cloud Foundry")</f>
        <v>Learn to Develop for Cloud with Pivotal Cloud Foundry</v>
      </c>
    </row>
    <row r="11171">
      <c r="A11171" s="140" t="str">
        <f>IFERROR(__xludf.DUMMYFUNCTION("""COMPUTED_VALUE"""),"en")</f>
        <v>en</v>
      </c>
      <c r="B11171">
        <f>IFERROR(__xludf.DUMMYFUNCTION("""COMPUTED_VALUE"""),979144.0)</f>
        <v>979144</v>
      </c>
      <c r="C11171" t="str">
        <f>IFERROR(__xludf.DUMMYFUNCTION("""COMPUTED_VALUE"""),"UX &amp; Design Thinking Quick Start")</f>
        <v>UX &amp; Design Thinking Quick Start</v>
      </c>
    </row>
    <row r="11172">
      <c r="A11172" s="140" t="str">
        <f>IFERROR(__xludf.DUMMYFUNCTION("""COMPUTED_VALUE"""),"en")</f>
        <v>en</v>
      </c>
      <c r="B11172">
        <f>IFERROR(__xludf.DUMMYFUNCTION("""COMPUTED_VALUE"""),1910268.0)</f>
        <v>1910268</v>
      </c>
      <c r="C11172" t="str">
        <f>IFERROR(__xludf.DUMMYFUNCTION("""COMPUTED_VALUE"""),"Jenkins - The Complete Tutorial | Master CICD and DevOps")</f>
        <v>Jenkins - The Complete Tutorial | Master CICD and DevOps</v>
      </c>
    </row>
    <row r="11173">
      <c r="A11173" s="140" t="str">
        <f>IFERROR(__xludf.DUMMYFUNCTION("""COMPUTED_VALUE"""),"en")</f>
        <v>en</v>
      </c>
      <c r="B11173">
        <f>IFERROR(__xludf.DUMMYFUNCTION("""COMPUTED_VALUE"""),4173476.0)</f>
        <v>4173476</v>
      </c>
      <c r="C11173" t="str">
        <f>IFERROR(__xludf.DUMMYFUNCTION("""COMPUTED_VALUE"""),"Learn Advanced AI for Games with Behaviour Trees")</f>
        <v>Learn Advanced AI for Games with Behaviour Trees</v>
      </c>
    </row>
    <row r="11174">
      <c r="A11174" s="140" t="str">
        <f>IFERROR(__xludf.DUMMYFUNCTION("""COMPUTED_VALUE"""),"pt")</f>
        <v>pt</v>
      </c>
      <c r="B11174">
        <f>IFERROR(__xludf.DUMMYFUNCTION("""COMPUTED_VALUE"""),4031296.0)</f>
        <v>4031296</v>
      </c>
      <c r="C11174" t="str">
        <f>IFERROR(__xludf.DUMMYFUNCTION("""COMPUTED_VALUE"""),"Curso de Power Apps aprenda criar seu próprio Aplicativo")</f>
        <v>Curso de Power Apps aprenda criar seu próprio Aplicativo</v>
      </c>
    </row>
    <row r="11175">
      <c r="A11175" s="140" t="str">
        <f>IFERROR(__xludf.DUMMYFUNCTION("""COMPUTED_VALUE"""),"ja")</f>
        <v>ja</v>
      </c>
      <c r="B11175">
        <f>IFERROR(__xludf.DUMMYFUNCTION("""COMPUTED_VALUE"""),3762426.0)</f>
        <v>3762426</v>
      </c>
      <c r="C11175" t="str">
        <f>IFERROR(__xludf.DUMMYFUNCTION("""COMPUTED_VALUE"""),"【全てのビジネスパーソン対象】いまさら聞けないビジネス契約書の読み方")</f>
        <v>【全てのビジネスパーソン対象】いまさら聞けないビジネス契約書の読み方</v>
      </c>
    </row>
    <row r="11176">
      <c r="A11176" s="140" t="str">
        <f>IFERROR(__xludf.DUMMYFUNCTION("""COMPUTED_VALUE"""),"es")</f>
        <v>es</v>
      </c>
      <c r="B11176">
        <f>IFERROR(__xludf.DUMMYFUNCTION("""COMPUTED_VALUE"""),2425340.0)</f>
        <v>2425340</v>
      </c>
      <c r="C11176" t="str">
        <f>IFERROR(__xludf.DUMMYFUNCTION("""COMPUTED_VALUE"""),"Curso MVVM Android La Arquitectura recomendada por Android")</f>
        <v>Curso MVVM Android La Arquitectura recomendada por Android</v>
      </c>
    </row>
    <row r="11177">
      <c r="A11177" s="140" t="str">
        <f>IFERROR(__xludf.DUMMYFUNCTION("""COMPUTED_VALUE"""),"en")</f>
        <v>en</v>
      </c>
      <c r="B11177">
        <f>IFERROR(__xludf.DUMMYFUNCTION("""COMPUTED_VALUE"""),3546864.0)</f>
        <v>3546864</v>
      </c>
      <c r="C11177" t="str">
        <f>IFERROR(__xludf.DUMMYFUNCTION("""COMPUTED_VALUE"""),"React Redux Ecommerce - Master MERN Stack Web Development")</f>
        <v>React Redux Ecommerce - Master MERN Stack Web Development</v>
      </c>
    </row>
    <row r="11178">
      <c r="A11178" s="140" t="str">
        <f>IFERROR(__xludf.DUMMYFUNCTION("""COMPUTED_VALUE"""),"en")</f>
        <v>en</v>
      </c>
      <c r="B11178">
        <f>IFERROR(__xludf.DUMMYFUNCTION("""COMPUTED_VALUE"""),1189214.0)</f>
        <v>1189214</v>
      </c>
      <c r="C11178" t="str">
        <f>IFERROR(__xludf.DUMMYFUNCTION("""COMPUTED_VALUE"""),"Introduction to Java EE")</f>
        <v>Introduction to Java EE</v>
      </c>
    </row>
    <row r="11179">
      <c r="A11179" s="140" t="str">
        <f>IFERROR(__xludf.DUMMYFUNCTION("""COMPUTED_VALUE"""),"en")</f>
        <v>en</v>
      </c>
      <c r="B11179">
        <f>IFERROR(__xludf.DUMMYFUNCTION("""COMPUTED_VALUE"""),1328594.0)</f>
        <v>1328594</v>
      </c>
      <c r="C11179" t="str">
        <f>IFERROR(__xludf.DUMMYFUNCTION("""COMPUTED_VALUE"""),"Leadership Communication Skills for Influence and Impact")</f>
        <v>Leadership Communication Skills for Influence and Impact</v>
      </c>
    </row>
    <row r="11180">
      <c r="A11180" s="140" t="str">
        <f>IFERROR(__xludf.DUMMYFUNCTION("""COMPUTED_VALUE"""),"en")</f>
        <v>en</v>
      </c>
      <c r="B11180">
        <f>IFERROR(__xludf.DUMMYFUNCTION("""COMPUTED_VALUE"""),474212.0)</f>
        <v>474212</v>
      </c>
      <c r="C11180" t="str">
        <f>IFERROR(__xludf.DUMMYFUNCTION("""COMPUTED_VALUE"""),"High performance Stock Trading using key Options techniques")</f>
        <v>High performance Stock Trading using key Options techniques</v>
      </c>
    </row>
    <row r="11181">
      <c r="A11181" s="140" t="str">
        <f>IFERROR(__xludf.DUMMYFUNCTION("""COMPUTED_VALUE"""),"en")</f>
        <v>en</v>
      </c>
      <c r="B11181">
        <f>IFERROR(__xludf.DUMMYFUNCTION("""COMPUTED_VALUE"""),166240.0)</f>
        <v>166240</v>
      </c>
      <c r="C11181" t="str">
        <f>IFERROR(__xludf.DUMMYFUNCTION("""COMPUTED_VALUE"""),"Managing Change:  Learn to thrive through change.")</f>
        <v>Managing Change:  Learn to thrive through change.</v>
      </c>
    </row>
    <row r="11182">
      <c r="A11182" s="140" t="str">
        <f>IFERROR(__xludf.DUMMYFUNCTION("""COMPUTED_VALUE"""),"en")</f>
        <v>en</v>
      </c>
      <c r="B11182">
        <f>IFERROR(__xludf.DUMMYFUNCTION("""COMPUTED_VALUE"""),1318880.0)</f>
        <v>1318880</v>
      </c>
      <c r="C11182" t="str">
        <f>IFERROR(__xludf.DUMMYFUNCTION("""COMPUTED_VALUE"""),"How to Stop Procrastinating &amp; Get Things Done")</f>
        <v>How to Stop Procrastinating &amp; Get Things Done</v>
      </c>
    </row>
    <row r="11183">
      <c r="A11183" s="140" t="str">
        <f>IFERROR(__xludf.DUMMYFUNCTION("""COMPUTED_VALUE"""),"en")</f>
        <v>en</v>
      </c>
      <c r="B11183">
        <f>IFERROR(__xludf.DUMMYFUNCTION("""COMPUTED_VALUE"""),1906852.0)</f>
        <v>1906852</v>
      </c>
      <c r="C11183" t="str">
        <f>IFERROR(__xludf.DUMMYFUNCTION("""COMPUTED_VALUE"""),"MongoDB - The Complete Developer's Guide 2022")</f>
        <v>MongoDB - The Complete Developer's Guide 2022</v>
      </c>
    </row>
    <row r="11184">
      <c r="A11184" s="140" t="str">
        <f>IFERROR(__xludf.DUMMYFUNCTION("""COMPUTED_VALUE"""),"en")</f>
        <v>en</v>
      </c>
      <c r="B11184">
        <f>IFERROR(__xludf.DUMMYFUNCTION("""COMPUTED_VALUE"""),1379794.0)</f>
        <v>1379794</v>
      </c>
      <c r="C11184" t="str">
        <f>IFERROR(__xludf.DUMMYFUNCTION("""COMPUTED_VALUE"""),"How to Hire &amp; Manage Virtual Teams")</f>
        <v>How to Hire &amp; Manage Virtual Teams</v>
      </c>
    </row>
    <row r="11185">
      <c r="A11185" s="140" t="str">
        <f>IFERROR(__xludf.DUMMYFUNCTION("""COMPUTED_VALUE"""),"en")</f>
        <v>en</v>
      </c>
      <c r="B11185">
        <f>IFERROR(__xludf.DUMMYFUNCTION("""COMPUTED_VALUE"""),1295848.0)</f>
        <v>1295848</v>
      </c>
      <c r="C11185" t="str">
        <f>IFERROR(__xludf.DUMMYFUNCTION("""COMPUTED_VALUE"""),"Performance Management: Build a High Performing Team")</f>
        <v>Performance Management: Build a High Performing Team</v>
      </c>
    </row>
    <row r="11186">
      <c r="A11186" s="140" t="str">
        <f>IFERROR(__xludf.DUMMYFUNCTION("""COMPUTED_VALUE"""),"fr")</f>
        <v>fr</v>
      </c>
      <c r="B11186">
        <f>IFERROR(__xludf.DUMMYFUNCTION("""COMPUTED_VALUE"""),4047244.0)</f>
        <v>4047244</v>
      </c>
      <c r="C11186" t="str">
        <f>IFERROR(__xludf.DUMMYFUNCTION("""COMPUTED_VALUE"""),"Adobe Xd | Formation Complète UX Designer")</f>
        <v>Adobe Xd | Formation Complète UX Designer</v>
      </c>
    </row>
    <row r="11187">
      <c r="A11187" s="140" t="str">
        <f>IFERROR(__xludf.DUMMYFUNCTION("""COMPUTED_VALUE"""),"ja")</f>
        <v>ja</v>
      </c>
      <c r="B11187">
        <f>IFERROR(__xludf.DUMMYFUNCTION("""COMPUTED_VALUE"""),2707752.0)</f>
        <v>2707752</v>
      </c>
      <c r="C11187" t="str">
        <f>IFERROR(__xludf.DUMMYFUNCTION("""COMPUTED_VALUE"""),"【JavaScript＆CSS】ガチで学びたい人のためのWEB開発徹底実践（フロントエンド編）")</f>
        <v>【JavaScript＆CSS】ガチで学びたい人のためのWEB開発徹底実践（フロントエンド編）</v>
      </c>
    </row>
    <row r="11188">
      <c r="A11188" s="140" t="str">
        <f>IFERROR(__xludf.DUMMYFUNCTION("""COMPUTED_VALUE"""),"de")</f>
        <v>de</v>
      </c>
      <c r="B11188">
        <f>IFERROR(__xludf.DUMMYFUNCTION("""COMPUTED_VALUE"""),1150594.0)</f>
        <v>1150594</v>
      </c>
      <c r="C11188" t="str">
        <f>IFERROR(__xludf.DUMMYFUNCTION("""COMPUTED_VALUE"""),"Microsoft Excel Pivot-Tabellen: Vom Anfänger zum Profi")</f>
        <v>Microsoft Excel Pivot-Tabellen: Vom Anfänger zum Profi</v>
      </c>
    </row>
    <row r="11189">
      <c r="A11189" s="140" t="str">
        <f>IFERROR(__xludf.DUMMYFUNCTION("""COMPUTED_VALUE"""),"en")</f>
        <v>en</v>
      </c>
      <c r="B11189">
        <f>IFERROR(__xludf.DUMMYFUNCTION("""COMPUTED_VALUE"""),3306872.0)</f>
        <v>3306872</v>
      </c>
      <c r="C11189" t="str">
        <f>IFERROR(__xludf.DUMMYFUNCTION("""COMPUTED_VALUE"""),"Zoom | How to Use Zoom like a Pro (and Look Good Doing It!)")</f>
        <v>Zoom | How to Use Zoom like a Pro (and Look Good Doing It!)</v>
      </c>
    </row>
    <row r="11190">
      <c r="A11190" s="140" t="str">
        <f>IFERROR(__xludf.DUMMYFUNCTION("""COMPUTED_VALUE"""),"es")</f>
        <v>es</v>
      </c>
      <c r="B11190">
        <f>IFERROR(__xludf.DUMMYFUNCTION("""COMPUTED_VALUE"""),1546244.0)</f>
        <v>1546244</v>
      </c>
      <c r="C11190" t="str">
        <f>IFERROR(__xludf.DUMMYFUNCTION("""COMPUTED_VALUE"""),"Desarrollo de bases de datos con SQL Server")</f>
        <v>Desarrollo de bases de datos con SQL Server</v>
      </c>
    </row>
    <row r="11191">
      <c r="A11191" s="140" t="str">
        <f>IFERROR(__xludf.DUMMYFUNCTION("""COMPUTED_VALUE"""),"fr")</f>
        <v>fr</v>
      </c>
      <c r="B11191">
        <f>IFERROR(__xludf.DUMMYFUNCTION("""COMPUTED_VALUE"""),1561024.0)</f>
        <v>1561024</v>
      </c>
      <c r="C11191" t="str">
        <f>IFERROR(__xludf.DUMMYFUNCTION("""COMPUTED_VALUE"""),"Illustrator CC 2020- Intermédiaire - Outils + Ateliers Créas")</f>
        <v>Illustrator CC 2020- Intermédiaire - Outils + Ateliers Créas</v>
      </c>
    </row>
    <row r="11192">
      <c r="A11192" s="140" t="str">
        <f>IFERROR(__xludf.DUMMYFUNCTION("""COMPUTED_VALUE"""),"en")</f>
        <v>en</v>
      </c>
      <c r="B11192">
        <f>IFERROR(__xludf.DUMMYFUNCTION("""COMPUTED_VALUE"""),1016736.0)</f>
        <v>1016736</v>
      </c>
      <c r="C11192" t="str">
        <f>IFERROR(__xludf.DUMMYFUNCTION("""COMPUTED_VALUE"""),"Cisco CCNA 200-301 Complete Course: Packet Tracer Labs")</f>
        <v>Cisco CCNA 200-301 Complete Course: Packet Tracer Labs</v>
      </c>
    </row>
    <row r="11193">
      <c r="A11193" s="140" t="str">
        <f>IFERROR(__xludf.DUMMYFUNCTION("""COMPUTED_VALUE"""),"pt")</f>
        <v>pt</v>
      </c>
      <c r="B11193">
        <f>IFERROR(__xludf.DUMMYFUNCTION("""COMPUTED_VALUE"""),2372702.0)</f>
        <v>2372702</v>
      </c>
      <c r="C11193" t="str">
        <f>IFERROR(__xludf.DUMMYFUNCTION("""COMPUTED_VALUE"""),"Day Trade e Swing Trade com Análise Técnica")</f>
        <v>Day Trade e Swing Trade com Análise Técnica</v>
      </c>
    </row>
    <row r="11194">
      <c r="A11194" s="140" t="str">
        <f>IFERROR(__xludf.DUMMYFUNCTION("""COMPUTED_VALUE"""),"en")</f>
        <v>en</v>
      </c>
      <c r="B11194">
        <f>IFERROR(__xludf.DUMMYFUNCTION("""COMPUTED_VALUE"""),3012636.0)</f>
        <v>3012636</v>
      </c>
      <c r="C11194" t="str">
        <f>IFERROR(__xludf.DUMMYFUNCTION("""COMPUTED_VALUE"""),"How To Design for Accessibility: for UX Designers (WCAG 2.2)")</f>
        <v>How To Design for Accessibility: for UX Designers (WCAG 2.2)</v>
      </c>
    </row>
    <row r="11195">
      <c r="A11195" s="140" t="str">
        <f>IFERROR(__xludf.DUMMYFUNCTION("""COMPUTED_VALUE"""),"en")</f>
        <v>en</v>
      </c>
      <c r="B11195">
        <f>IFERROR(__xludf.DUMMYFUNCTION("""COMPUTED_VALUE"""),1746704.0)</f>
        <v>1746704</v>
      </c>
      <c r="C11195" t="str">
        <f>IFERROR(__xludf.DUMMYFUNCTION("""COMPUTED_VALUE"""),"Graphic Design Bootcamp: Advanced Training Using Adobe CC")</f>
        <v>Graphic Design Bootcamp: Advanced Training Using Adobe CC</v>
      </c>
    </row>
    <row r="11196">
      <c r="A11196" s="140" t="str">
        <f>IFERROR(__xludf.DUMMYFUNCTION("""COMPUTED_VALUE"""),"en")</f>
        <v>en</v>
      </c>
      <c r="B11196">
        <f>IFERROR(__xludf.DUMMYFUNCTION("""COMPUTED_VALUE"""),926512.0)</f>
        <v>926512</v>
      </c>
      <c r="C11196" t="str">
        <f>IFERROR(__xludf.DUMMYFUNCTION("""COMPUTED_VALUE"""),"Adobe Premiere Pro CC Masterclass: Video Editing in Premiere")</f>
        <v>Adobe Premiere Pro CC Masterclass: Video Editing in Premiere</v>
      </c>
    </row>
    <row r="11197">
      <c r="A11197" s="140" t="str">
        <f>IFERROR(__xludf.DUMMYFUNCTION("""COMPUTED_VALUE"""),"en")</f>
        <v>en</v>
      </c>
      <c r="B11197">
        <f>IFERROR(__xludf.DUMMYFUNCTION("""COMPUTED_VALUE"""),1394478.0)</f>
        <v>1394478</v>
      </c>
      <c r="C11197" t="str">
        <f>IFERROR(__xludf.DUMMYFUNCTION("""COMPUTED_VALUE"""),"Design, Build and Manage your own Cisco Meraki Network")</f>
        <v>Design, Build and Manage your own Cisco Meraki Network</v>
      </c>
    </row>
    <row r="11198">
      <c r="A11198" s="140" t="str">
        <f>IFERROR(__xludf.DUMMYFUNCTION("""COMPUTED_VALUE"""),"fr")</f>
        <v>fr</v>
      </c>
      <c r="B11198">
        <f>IFERROR(__xludf.DUMMYFUNCTION("""COMPUTED_VALUE"""),1105812.0)</f>
        <v>1105812</v>
      </c>
      <c r="C11198" t="str">
        <f>IFERROR(__xludf.DUMMYFUNCTION("""COMPUTED_VALUE"""),"Cultivez votre bonheur grâce à la psychologie positive")</f>
        <v>Cultivez votre bonheur grâce à la psychologie positive</v>
      </c>
    </row>
    <row r="11199">
      <c r="A11199" s="140" t="str">
        <f>IFERROR(__xludf.DUMMYFUNCTION("""COMPUTED_VALUE"""),"es")</f>
        <v>es</v>
      </c>
      <c r="B11199">
        <f>IFERROR(__xludf.DUMMYFUNCTION("""COMPUTED_VALUE"""),3412714.0)</f>
        <v>3412714</v>
      </c>
      <c r="C11199" t="str">
        <f>IFERROR(__xludf.DUMMYFUNCTION("""COMPUTED_VALUE"""),"BIOSEGURIDAD LABORAL COVID 19 - CONSEJOS Y GUIAS PRACTICAS")</f>
        <v>BIOSEGURIDAD LABORAL COVID 19 - CONSEJOS Y GUIAS PRACTICAS</v>
      </c>
    </row>
    <row r="11200">
      <c r="A11200" s="140" t="str">
        <f>IFERROR(__xludf.DUMMYFUNCTION("""COMPUTED_VALUE"""),"en")</f>
        <v>en</v>
      </c>
      <c r="B11200">
        <f>IFERROR(__xludf.DUMMYFUNCTION("""COMPUTED_VALUE"""),2945044.0)</f>
        <v>2945044</v>
      </c>
      <c r="C11200" t="str">
        <f>IFERROR(__xludf.DUMMYFUNCTION("""COMPUTED_VALUE"""),"AWS Security and Governance Administration for Professionals")</f>
        <v>AWS Security and Governance Administration for Professionals</v>
      </c>
    </row>
    <row r="11201">
      <c r="A11201" s="140" t="str">
        <f>IFERROR(__xludf.DUMMYFUNCTION("""COMPUTED_VALUE"""),"en")</f>
        <v>en</v>
      </c>
      <c r="B11201">
        <f>IFERROR(__xludf.DUMMYFUNCTION("""COMPUTED_VALUE"""),526104.0)</f>
        <v>526104</v>
      </c>
      <c r="C11201" t="str">
        <f>IFERROR(__xludf.DUMMYFUNCTION("""COMPUTED_VALUE"""),"Robot Framework Test Automation - Level 1 ( Selenium )")</f>
        <v>Robot Framework Test Automation - Level 1 ( Selenium )</v>
      </c>
    </row>
    <row r="11202">
      <c r="A11202" s="140" t="str">
        <f>IFERROR(__xludf.DUMMYFUNCTION("""COMPUTED_VALUE"""),"en")</f>
        <v>en</v>
      </c>
      <c r="B11202">
        <f>IFERROR(__xludf.DUMMYFUNCTION("""COMPUTED_VALUE"""),328386.0)</f>
        <v>328386</v>
      </c>
      <c r="C11202" t="str">
        <f>IFERROR(__xludf.DUMMYFUNCTION("""COMPUTED_VALUE"""),"Google Analytics Certification - Become Analytics Certified!")</f>
        <v>Google Analytics Certification - Become Analytics Certified!</v>
      </c>
    </row>
    <row r="11203">
      <c r="A11203" s="140" t="str">
        <f>IFERROR(__xludf.DUMMYFUNCTION("""COMPUTED_VALUE"""),"en")</f>
        <v>en</v>
      </c>
      <c r="B11203">
        <f>IFERROR(__xludf.DUMMYFUNCTION("""COMPUTED_VALUE"""),1157688.0)</f>
        <v>1157688</v>
      </c>
      <c r="C11203" t="str">
        <f>IFERROR(__xludf.DUMMYFUNCTION("""COMPUTED_VALUE"""),"Programming for Kids and Beginners: Learn to Code in Scratch")</f>
        <v>Programming for Kids and Beginners: Learn to Code in Scratch</v>
      </c>
    </row>
    <row r="11204">
      <c r="A11204" s="140" t="str">
        <f>IFERROR(__xludf.DUMMYFUNCTION("""COMPUTED_VALUE"""),"es")</f>
        <v>es</v>
      </c>
      <c r="B11204">
        <f>IFERROR(__xludf.DUMMYFUNCTION("""COMPUTED_VALUE"""),3007072.0)</f>
        <v>3007072</v>
      </c>
      <c r="C11204" t="str">
        <f>IFERROR(__xludf.DUMMYFUNCTION("""COMPUTED_VALUE"""),"Curso avanzado de Series Temporales con R y Python")</f>
        <v>Curso avanzado de Series Temporales con R y Python</v>
      </c>
    </row>
    <row r="11205">
      <c r="A11205" s="140" t="str">
        <f>IFERROR(__xludf.DUMMYFUNCTION("""COMPUTED_VALUE"""),"en")</f>
        <v>en</v>
      </c>
      <c r="B11205">
        <f>IFERROR(__xludf.DUMMYFUNCTION("""COMPUTED_VALUE"""),1332278.0)</f>
        <v>1332278</v>
      </c>
      <c r="C11205" t="str">
        <f>IFERROR(__xludf.DUMMYFUNCTION("""COMPUTED_VALUE"""),"Docker for the Absolute Beginner - Hands On - DevOps")</f>
        <v>Docker for the Absolute Beginner - Hands On - DevOps</v>
      </c>
    </row>
    <row r="11206">
      <c r="A11206" s="140" t="str">
        <f>IFERROR(__xludf.DUMMYFUNCTION("""COMPUTED_VALUE"""),"en")</f>
        <v>en</v>
      </c>
      <c r="B11206">
        <f>IFERROR(__xludf.DUMMYFUNCTION("""COMPUTED_VALUE"""),196152.0)</f>
        <v>196152</v>
      </c>
      <c r="C11206" t="str">
        <f>IFERROR(__xludf.DUMMYFUNCTION("""COMPUTED_VALUE"""),"Writing With Flair: How To Become An Exceptional Writer")</f>
        <v>Writing With Flair: How To Become An Exceptional Writer</v>
      </c>
    </row>
    <row r="11207">
      <c r="A11207" s="140" t="str">
        <f>IFERROR(__xludf.DUMMYFUNCTION("""COMPUTED_VALUE"""),"tr")</f>
        <v>tr</v>
      </c>
      <c r="B11207">
        <f>IFERROR(__xludf.DUMMYFUNCTION("""COMPUTED_VALUE"""),2279650.0)</f>
        <v>2279650</v>
      </c>
      <c r="C11207" t="str">
        <f>IFERROR(__xludf.DUMMYFUNCTION("""COMPUTED_VALUE"""),"İleri Düzey Microsoft Powerpoint Eğitimi")</f>
        <v>İleri Düzey Microsoft Powerpoint Eğitimi</v>
      </c>
    </row>
    <row r="11208">
      <c r="A11208" s="140" t="str">
        <f>IFERROR(__xludf.DUMMYFUNCTION("""COMPUTED_VALUE"""),"en")</f>
        <v>en</v>
      </c>
      <c r="B11208">
        <f>IFERROR(__xludf.DUMMYFUNCTION("""COMPUTED_VALUE"""),4008264.0)</f>
        <v>4008264</v>
      </c>
      <c r="C11208" t="str">
        <f>IFERROR(__xludf.DUMMYFUNCTION("""COMPUTED_VALUE"""),"Asana: Project Management on Asana")</f>
        <v>Asana: Project Management on Asana</v>
      </c>
    </row>
    <row r="11209">
      <c r="A11209" s="140" t="str">
        <f>IFERROR(__xludf.DUMMYFUNCTION("""COMPUTED_VALUE"""),"ja")</f>
        <v>ja</v>
      </c>
      <c r="B11209">
        <f>IFERROR(__xludf.DUMMYFUNCTION("""COMPUTED_VALUE"""),1683852.0)</f>
        <v>1683852</v>
      </c>
      <c r="C11209" t="str">
        <f>IFERROR(__xludf.DUMMYFUNCTION("""COMPUTED_VALUE"""),"時間管理マスターコース：生産性を上げると、仕事も人生も豊かになる！")</f>
        <v>時間管理マスターコース：生産性を上げると、仕事も人生も豊かになる！</v>
      </c>
    </row>
    <row r="11210">
      <c r="A11210" s="140" t="str">
        <f>IFERROR(__xludf.DUMMYFUNCTION("""COMPUTED_VALUE"""),"en")</f>
        <v>en</v>
      </c>
      <c r="B11210">
        <f>IFERROR(__xludf.DUMMYFUNCTION("""COMPUTED_VALUE"""),184138.0)</f>
        <v>184138</v>
      </c>
      <c r="C11210" t="str">
        <f>IFERROR(__xludf.DUMMYFUNCTION("""COMPUTED_VALUE"""),"The Authentic Confidence and Self-Esteem Masterclass")</f>
        <v>The Authentic Confidence and Self-Esteem Masterclass</v>
      </c>
    </row>
    <row r="11211">
      <c r="A11211" s="140" t="str">
        <f>IFERROR(__xludf.DUMMYFUNCTION("""COMPUTED_VALUE"""),"en")</f>
        <v>en</v>
      </c>
      <c r="B11211">
        <f>IFERROR(__xludf.DUMMYFUNCTION("""COMPUTED_VALUE"""),1510692.0)</f>
        <v>1510692</v>
      </c>
      <c r="C11211" t="str">
        <f>IFERROR(__xludf.DUMMYFUNCTION("""COMPUTED_VALUE"""),"Complete Course on Data Visualization, Matplotlib and Python")</f>
        <v>Complete Course on Data Visualization, Matplotlib and Python</v>
      </c>
    </row>
    <row r="11212">
      <c r="A11212" s="140" t="str">
        <f>IFERROR(__xludf.DUMMYFUNCTION("""COMPUTED_VALUE"""),"tr")</f>
        <v>tr</v>
      </c>
      <c r="B11212">
        <f>IFERROR(__xludf.DUMMYFUNCTION("""COMPUTED_VALUE"""),736686.0)</f>
        <v>736686</v>
      </c>
      <c r="C11212" t="str">
        <f>IFERROR(__xludf.DUMMYFUNCTION("""COMPUTED_VALUE"""),"ASP .NET MVC Yazılımcıların Yükselişi")</f>
        <v>ASP .NET MVC Yazılımcıların Yükselişi</v>
      </c>
    </row>
    <row r="11213">
      <c r="A11213" s="140" t="str">
        <f>IFERROR(__xludf.DUMMYFUNCTION("""COMPUTED_VALUE"""),"ja")</f>
        <v>ja</v>
      </c>
      <c r="B11213">
        <f>IFERROR(__xludf.DUMMYFUNCTION("""COMPUTED_VALUE"""),2016490.0)</f>
        <v>2016490</v>
      </c>
      <c r="C11213" t="str">
        <f>IFERROR(__xludf.DUMMYFUNCTION("""COMPUTED_VALUE"""),"[今更聞けない！] 損しないための社会人マナー・ビジネスマナー講座")</f>
        <v>[今更聞けない！] 損しないための社会人マナー・ビジネスマナー講座</v>
      </c>
    </row>
    <row r="11214">
      <c r="A11214" s="140" t="str">
        <f>IFERROR(__xludf.DUMMYFUNCTION("""COMPUTED_VALUE"""),"en")</f>
        <v>en</v>
      </c>
      <c r="B11214">
        <f>IFERROR(__xludf.DUMMYFUNCTION("""COMPUTED_VALUE"""),1668050.0)</f>
        <v>1668050</v>
      </c>
      <c r="C11214" t="str">
        <f>IFERROR(__xludf.DUMMYFUNCTION("""COMPUTED_VALUE"""),"Presentation Skills: Master Confident Presentations")</f>
        <v>Presentation Skills: Master Confident Presentations</v>
      </c>
    </row>
    <row r="11215">
      <c r="A11215" s="140" t="str">
        <f>IFERROR(__xludf.DUMMYFUNCTION("""COMPUTED_VALUE"""),"en")</f>
        <v>en</v>
      </c>
      <c r="B11215">
        <f>IFERROR(__xludf.DUMMYFUNCTION("""COMPUTED_VALUE"""),834558.0)</f>
        <v>834558</v>
      </c>
      <c r="C11215" t="str">
        <f>IFERROR(__xludf.DUMMYFUNCTION("""COMPUTED_VALUE"""),"What Finance Job is for You? Explanation of 14 Finance Roles")</f>
        <v>What Finance Job is for You? Explanation of 14 Finance Roles</v>
      </c>
    </row>
    <row r="11216">
      <c r="A11216" s="140" t="str">
        <f>IFERROR(__xludf.DUMMYFUNCTION("""COMPUTED_VALUE"""),"en")</f>
        <v>en</v>
      </c>
      <c r="B11216">
        <f>IFERROR(__xludf.DUMMYFUNCTION("""COMPUTED_VALUE"""),1306426.0)</f>
        <v>1306426</v>
      </c>
      <c r="C11216" t="str">
        <f>IFERROR(__xludf.DUMMYFUNCTION("""COMPUTED_VALUE"""),"A to Z of Azure Network services - Covers AZ 300, 103 &amp; more")</f>
        <v>A to Z of Azure Network services - Covers AZ 300, 103 &amp; more</v>
      </c>
    </row>
    <row r="11217">
      <c r="A11217" s="140" t="str">
        <f>IFERROR(__xludf.DUMMYFUNCTION("""COMPUTED_VALUE"""),"pt")</f>
        <v>pt</v>
      </c>
      <c r="B11217">
        <f>IFERROR(__xludf.DUMMYFUNCTION("""COMPUTED_VALUE"""),1462026.0)</f>
        <v>1462026</v>
      </c>
      <c r="C11217" t="str">
        <f>IFERROR(__xludf.DUMMYFUNCTION("""COMPUTED_VALUE"""),"Criação de personagens para jogos. (Básico ao Avançado)")</f>
        <v>Criação de personagens para jogos. (Básico ao Avançado)</v>
      </c>
    </row>
    <row r="11218">
      <c r="A11218" s="140" t="str">
        <f>IFERROR(__xludf.DUMMYFUNCTION("""COMPUTED_VALUE"""),"en")</f>
        <v>en</v>
      </c>
      <c r="B11218">
        <f>IFERROR(__xludf.DUMMYFUNCTION("""COMPUTED_VALUE"""),1893024.0)</f>
        <v>1893024</v>
      </c>
      <c r="C11218" t="str">
        <f>IFERROR(__xludf.DUMMYFUNCTION("""COMPUTED_VALUE"""),"Web Scraping 101 with Python3 using REQUESTS, LXML &amp; SPLASH")</f>
        <v>Web Scraping 101 with Python3 using REQUESTS, LXML &amp; SPLASH</v>
      </c>
    </row>
    <row r="11219">
      <c r="A11219" s="140" t="str">
        <f>IFERROR(__xludf.DUMMYFUNCTION("""COMPUTED_VALUE"""),"en")</f>
        <v>en</v>
      </c>
      <c r="B11219">
        <f>IFERROR(__xludf.DUMMYFUNCTION("""COMPUTED_VALUE"""),3977986.0)</f>
        <v>3977986</v>
      </c>
      <c r="C11219" t="str">
        <f>IFERROR(__xludf.DUMMYFUNCTION("""COMPUTED_VALUE"""),"Solving Critical Business Challenges with Sales Tools")</f>
        <v>Solving Critical Business Challenges with Sales Tools</v>
      </c>
    </row>
    <row r="11220">
      <c r="A11220" s="140" t="str">
        <f>IFERROR(__xludf.DUMMYFUNCTION("""COMPUTED_VALUE"""),"pt")</f>
        <v>pt</v>
      </c>
      <c r="B11220">
        <f>IFERROR(__xludf.DUMMYFUNCTION("""COMPUTED_VALUE"""),3807638.0)</f>
        <v>3807638</v>
      </c>
      <c r="C11220" t="str">
        <f>IFERROR(__xludf.DUMMYFUNCTION("""COMPUTED_VALUE"""),"Aprenda a criar bots RPA com Automation Anywhere")</f>
        <v>Aprenda a criar bots RPA com Automation Anywhere</v>
      </c>
    </row>
    <row r="11221">
      <c r="A11221" s="140" t="str">
        <f>IFERROR(__xludf.DUMMYFUNCTION("""COMPUTED_VALUE"""),"en")</f>
        <v>en</v>
      </c>
      <c r="B11221">
        <f>IFERROR(__xludf.DUMMYFUNCTION("""COMPUTED_VALUE"""),3009336.0)</f>
        <v>3009336</v>
      </c>
      <c r="C11221" t="str">
        <f>IFERROR(__xludf.DUMMYFUNCTION("""COMPUTED_VALUE"""),"SwiftUI Covid19 Statistics tracking with REST API &amp; Swift 5")</f>
        <v>SwiftUI Covid19 Statistics tracking with REST API &amp; Swift 5</v>
      </c>
    </row>
    <row r="11222">
      <c r="A11222" s="140" t="str">
        <f>IFERROR(__xludf.DUMMYFUNCTION("""COMPUTED_VALUE"""),"en")</f>
        <v>en</v>
      </c>
      <c r="B11222">
        <f>IFERROR(__xludf.DUMMYFUNCTION("""COMPUTED_VALUE"""),351960.0)</f>
        <v>351960</v>
      </c>
      <c r="C11222" t="str">
        <f>IFERROR(__xludf.DUMMYFUNCTION("""COMPUTED_VALUE"""),"Asterisk Made Easy: Learn to Install Asterisk and Linux")</f>
        <v>Asterisk Made Easy: Learn to Install Asterisk and Linux</v>
      </c>
    </row>
    <row r="11223">
      <c r="A11223" s="140" t="str">
        <f>IFERROR(__xludf.DUMMYFUNCTION("""COMPUTED_VALUE"""),"en")</f>
        <v>en</v>
      </c>
      <c r="B11223">
        <f>IFERROR(__xludf.DUMMYFUNCTION("""COMPUTED_VALUE"""),704840.0)</f>
        <v>704840</v>
      </c>
      <c r="C11223" t="str">
        <f>IFERROR(__xludf.DUMMYFUNCTION("""COMPUTED_VALUE"""),"Mentor for Impact - Start Mentoring")</f>
        <v>Mentor for Impact - Start Mentoring</v>
      </c>
    </row>
    <row r="11224">
      <c r="A11224" s="140" t="str">
        <f>IFERROR(__xludf.DUMMYFUNCTION("""COMPUTED_VALUE"""),"es")</f>
        <v>es</v>
      </c>
      <c r="B11224">
        <f>IFERROR(__xludf.DUMMYFUNCTION("""COMPUTED_VALUE"""),1856252.0)</f>
        <v>1856252</v>
      </c>
      <c r="C11224" t="str">
        <f>IFERROR(__xludf.DUMMYFUNCTION("""COMPUTED_VALUE"""),"Asterisk Nativo, Configura tu central Telefónica desde cero.")</f>
        <v>Asterisk Nativo, Configura tu central Telefónica desde cero.</v>
      </c>
    </row>
    <row r="11225">
      <c r="A11225" s="140" t="str">
        <f>IFERROR(__xludf.DUMMYFUNCTION("""COMPUTED_VALUE"""),"en")</f>
        <v>en</v>
      </c>
      <c r="B11225">
        <f>IFERROR(__xludf.DUMMYFUNCTION("""COMPUTED_VALUE"""),184840.0)</f>
        <v>184840</v>
      </c>
      <c r="C11225" t="str">
        <f>IFERROR(__xludf.DUMMYFUNCTION("""COMPUTED_VALUE"""),"Trademark Law for Entrepreneurs")</f>
        <v>Trademark Law for Entrepreneurs</v>
      </c>
    </row>
    <row r="11226">
      <c r="A11226" s="140" t="str">
        <f>IFERROR(__xludf.DUMMYFUNCTION("""COMPUTED_VALUE"""),"en")</f>
        <v>en</v>
      </c>
      <c r="B11226">
        <f>IFERROR(__xludf.DUMMYFUNCTION("""COMPUTED_VALUE"""),1030316.0)</f>
        <v>1030316</v>
      </c>
      <c r="C11226" t="str">
        <f>IFERROR(__xludf.DUMMYFUNCTION("""COMPUTED_VALUE"""),"Business Model Innovation: Differentiate &amp; Grow Your Company")</f>
        <v>Business Model Innovation: Differentiate &amp; Grow Your Company</v>
      </c>
    </row>
    <row r="11227">
      <c r="A11227" s="140" t="str">
        <f>IFERROR(__xludf.DUMMYFUNCTION("""COMPUTED_VALUE"""),"en")</f>
        <v>en</v>
      </c>
      <c r="B11227">
        <f>IFERROR(__xludf.DUMMYFUNCTION("""COMPUTED_VALUE"""),2630926.0)</f>
        <v>2630926</v>
      </c>
      <c r="C11227" t="str">
        <f>IFERROR(__xludf.DUMMYFUNCTION("""COMPUTED_VALUE"""),"Azure Deep Dive: Complete Cost Management Course")</f>
        <v>Azure Deep Dive: Complete Cost Management Course</v>
      </c>
    </row>
    <row r="11228">
      <c r="A11228" s="140" t="str">
        <f>IFERROR(__xludf.DUMMYFUNCTION("""COMPUTED_VALUE"""),"de")</f>
        <v>de</v>
      </c>
      <c r="B11228">
        <f>IFERROR(__xludf.DUMMYFUNCTION("""COMPUTED_VALUE"""),2738020.0)</f>
        <v>2738020</v>
      </c>
      <c r="C11228" t="str">
        <f>IFERROR(__xludf.DUMMYFUNCTION("""COMPUTED_VALUE"""),"Grundkurs GfK -Gewaltfreie &amp; wertschätzende Kommunikation")</f>
        <v>Grundkurs GfK -Gewaltfreie &amp; wertschätzende Kommunikation</v>
      </c>
    </row>
    <row r="11229">
      <c r="A11229" s="140" t="str">
        <f>IFERROR(__xludf.DUMMYFUNCTION("""COMPUTED_VALUE"""),"en")</f>
        <v>en</v>
      </c>
      <c r="B11229">
        <f>IFERROR(__xludf.DUMMYFUNCTION("""COMPUTED_VALUE"""),2008080.0)</f>
        <v>2008080</v>
      </c>
      <c r="C11229" t="str">
        <f>IFERROR(__xludf.DUMMYFUNCTION("""COMPUTED_VALUE"""),"Akka Essentials with Scala | Rock the JVM")</f>
        <v>Akka Essentials with Scala | Rock the JVM</v>
      </c>
    </row>
    <row r="11230">
      <c r="A11230" s="140" t="str">
        <f>IFERROR(__xludf.DUMMYFUNCTION("""COMPUTED_VALUE"""),"tr")</f>
        <v>tr</v>
      </c>
      <c r="B11230">
        <f>IFERROR(__xludf.DUMMYFUNCTION("""COMPUTED_VALUE"""),1808334.0)</f>
        <v>1808334</v>
      </c>
      <c r="C11230" t="str">
        <f>IFERROR(__xludf.DUMMYFUNCTION("""COMPUTED_VALUE"""),"0'dan Uzmanlığa Gittigidiyor Satış Yapma | E-Ticaret Eğitimi")</f>
        <v>0'dan Uzmanlığa Gittigidiyor Satış Yapma | E-Ticaret Eğitimi</v>
      </c>
    </row>
    <row r="11231">
      <c r="A11231" s="140" t="str">
        <f>IFERROR(__xludf.DUMMYFUNCTION("""COMPUTED_VALUE"""),"ja")</f>
        <v>ja</v>
      </c>
      <c r="B11231">
        <f>IFERROR(__xludf.DUMMYFUNCTION("""COMPUTED_VALUE"""),3131012.0)</f>
        <v>3131012</v>
      </c>
      <c r="C11231" t="str">
        <f>IFERROR(__xludf.DUMMYFUNCTION("""COMPUTED_VALUE"""),"今日から始めるデジタルトランスフォーメーション！テクノロジーの仕組みからデータ活用基盤のつくりかたまで")</f>
        <v>今日から始めるデジタルトランスフォーメーション！テクノロジーの仕組みからデータ活用基盤のつくりかたまで</v>
      </c>
    </row>
    <row r="11232">
      <c r="A11232" s="140" t="str">
        <f>IFERROR(__xludf.DUMMYFUNCTION("""COMPUTED_VALUE"""),"es")</f>
        <v>es</v>
      </c>
      <c r="B11232">
        <f>IFERROR(__xludf.DUMMYFUNCTION("""COMPUTED_VALUE"""),3008858.0)</f>
        <v>3008858</v>
      </c>
      <c r="C11232" t="str">
        <f>IFERROR(__xludf.DUMMYFUNCTION("""COMPUTED_VALUE"""),"ISO 9001:2015 Sistemas de Gestión de la Calidad")</f>
        <v>ISO 9001:2015 Sistemas de Gestión de la Calidad</v>
      </c>
    </row>
    <row r="11233">
      <c r="A11233" s="140" t="str">
        <f>IFERROR(__xludf.DUMMYFUNCTION("""COMPUTED_VALUE"""),"en")</f>
        <v>en</v>
      </c>
      <c r="B11233">
        <f>IFERROR(__xludf.DUMMYFUNCTION("""COMPUTED_VALUE"""),853584.0)</f>
        <v>853584</v>
      </c>
      <c r="C11233" t="str">
        <f>IFERROR(__xludf.DUMMYFUNCTION("""COMPUTED_VALUE"""),"Salesforce Lightning Framework")</f>
        <v>Salesforce Lightning Framework</v>
      </c>
    </row>
    <row r="11234">
      <c r="A11234" s="140" t="str">
        <f>IFERROR(__xludf.DUMMYFUNCTION("""COMPUTED_VALUE"""),"es")</f>
        <v>es</v>
      </c>
      <c r="B11234">
        <f>IFERROR(__xludf.DUMMYFUNCTION("""COMPUTED_VALUE"""),1576870.0)</f>
        <v>1576870</v>
      </c>
      <c r="C11234" t="str">
        <f>IFERROR(__xludf.DUMMYFUNCTION("""COMPUTED_VALUE"""),"Aprende Sql Server nivel básico - avanzado ! (Actualizado)")</f>
        <v>Aprende Sql Server nivel básico - avanzado ! (Actualizado)</v>
      </c>
    </row>
    <row r="11235">
      <c r="A11235" s="140" t="str">
        <f>IFERROR(__xludf.DUMMYFUNCTION("""COMPUTED_VALUE"""),"en")</f>
        <v>en</v>
      </c>
      <c r="B11235">
        <f>IFERROR(__xludf.DUMMYFUNCTION("""COMPUTED_VALUE"""),2555316.0)</f>
        <v>2555316</v>
      </c>
      <c r="C11235" t="str">
        <f>IFERROR(__xludf.DUMMYFUNCTION("""COMPUTED_VALUE"""),"MS-900 Exam Prep: Microsoft 365 Fundamentals Course")</f>
        <v>MS-900 Exam Prep: Microsoft 365 Fundamentals Course</v>
      </c>
    </row>
    <row r="11236">
      <c r="A11236" s="140" t="str">
        <f>IFERROR(__xludf.DUMMYFUNCTION("""COMPUTED_VALUE"""),"en")</f>
        <v>en</v>
      </c>
      <c r="B11236">
        <f>IFERROR(__xludf.DUMMYFUNCTION("""COMPUTED_VALUE"""),2443214.0)</f>
        <v>2443214</v>
      </c>
      <c r="C11236" t="str">
        <f>IFERROR(__xludf.DUMMYFUNCTION("""COMPUTED_VALUE"""),"Get Git Smart Course: Learn Git in Unity, SourceTree, GitHub")</f>
        <v>Get Git Smart Course: Learn Git in Unity, SourceTree, GitHub</v>
      </c>
    </row>
    <row r="11237">
      <c r="A11237" s="140" t="str">
        <f>IFERROR(__xludf.DUMMYFUNCTION("""COMPUTED_VALUE"""),"en")</f>
        <v>en</v>
      </c>
      <c r="B11237">
        <f>IFERROR(__xludf.DUMMYFUNCTION("""COMPUTED_VALUE"""),2327688.0)</f>
        <v>2327688</v>
      </c>
      <c r="C11237" t="str">
        <f>IFERROR(__xludf.DUMMYFUNCTION("""COMPUTED_VALUE"""),"Git &amp; GitHub Masterclass")</f>
        <v>Git &amp; GitHub Masterclass</v>
      </c>
    </row>
    <row r="11238">
      <c r="A11238" s="140" t="str">
        <f>IFERROR(__xludf.DUMMYFUNCTION("""COMPUTED_VALUE"""),"en")</f>
        <v>en</v>
      </c>
      <c r="B11238">
        <f>IFERROR(__xludf.DUMMYFUNCTION("""COMPUTED_VALUE"""),2699024.0)</f>
        <v>2699024</v>
      </c>
      <c r="C11238" t="str">
        <f>IFERROR(__xludf.DUMMYFUNCTION("""COMPUTED_VALUE"""),"AWS Cloud Security: Learn to Protect &amp; Defend your resources")</f>
        <v>AWS Cloud Security: Learn to Protect &amp; Defend your resources</v>
      </c>
    </row>
    <row r="11239">
      <c r="A11239" s="140" t="str">
        <f>IFERROR(__xludf.DUMMYFUNCTION("""COMPUTED_VALUE"""),"en")</f>
        <v>en</v>
      </c>
      <c r="B11239">
        <f>IFERROR(__xludf.DUMMYFUNCTION("""COMPUTED_VALUE"""),1297046.0)</f>
        <v>1297046</v>
      </c>
      <c r="C11239" t="str">
        <f>IFERROR(__xludf.DUMMYFUNCTION("""COMPUTED_VALUE"""),"Performance Management: Objective setting for NEW MANAGERS")</f>
        <v>Performance Management: Objective setting for NEW MANAGERS</v>
      </c>
    </row>
    <row r="11240">
      <c r="A11240" s="140" t="str">
        <f>IFERROR(__xludf.DUMMYFUNCTION("""COMPUTED_VALUE"""),"es")</f>
        <v>es</v>
      </c>
      <c r="B11240">
        <f>IFERROR(__xludf.DUMMYFUNCTION("""COMPUTED_VALUE"""),2566624.0)</f>
        <v>2566624</v>
      </c>
      <c r="C11240" t="str">
        <f>IFERROR(__xludf.DUMMYFUNCTION("""COMPUTED_VALUE"""),"Programación Orientada a Objetos con C#: Un Caso Práctico")</f>
        <v>Programación Orientada a Objetos con C#: Un Caso Práctico</v>
      </c>
    </row>
    <row r="11241">
      <c r="A11241" s="140" t="str">
        <f>IFERROR(__xludf.DUMMYFUNCTION("""COMPUTED_VALUE"""),"en")</f>
        <v>en</v>
      </c>
      <c r="B11241">
        <f>IFERROR(__xludf.DUMMYFUNCTION("""COMPUTED_VALUE"""),413689.0)</f>
        <v>413689</v>
      </c>
      <c r="C11241" t="str">
        <f>IFERROR(__xludf.DUMMYFUNCTION("""COMPUTED_VALUE"""),"Understanding Worker Classification Crash Course")</f>
        <v>Understanding Worker Classification Crash Course</v>
      </c>
    </row>
    <row r="11242">
      <c r="A11242" s="140" t="str">
        <f>IFERROR(__xludf.DUMMYFUNCTION("""COMPUTED_VALUE"""),"pt")</f>
        <v>pt</v>
      </c>
      <c r="B11242">
        <f>IFERROR(__xludf.DUMMYFUNCTION("""COMPUTED_VALUE"""),3118864.0)</f>
        <v>3118864</v>
      </c>
      <c r="C11242" t="str">
        <f>IFERROR(__xludf.DUMMYFUNCTION("""COMPUTED_VALUE"""),"Formação de Business Partner- RH estrategista")</f>
        <v>Formação de Business Partner- RH estrategista</v>
      </c>
    </row>
    <row r="11243">
      <c r="A11243" s="140" t="str">
        <f>IFERROR(__xludf.DUMMYFUNCTION("""COMPUTED_VALUE"""),"en")</f>
        <v>en</v>
      </c>
      <c r="B11243">
        <f>IFERROR(__xludf.DUMMYFUNCTION("""COMPUTED_VALUE"""),382002.0)</f>
        <v>382002</v>
      </c>
      <c r="C11243" t="str">
        <f>IFERROR(__xludf.DUMMYFUNCTION("""COMPUTED_VALUE"""),"C# Basics for Beginners: Learn C# Fundamentals by Coding")</f>
        <v>C# Basics for Beginners: Learn C# Fundamentals by Coding</v>
      </c>
    </row>
    <row r="11244">
      <c r="A11244" s="140" t="str">
        <f>IFERROR(__xludf.DUMMYFUNCTION("""COMPUTED_VALUE"""),"ko")</f>
        <v>ko</v>
      </c>
      <c r="B11244">
        <f>IFERROR(__xludf.DUMMYFUNCTION("""COMPUTED_VALUE"""),4278018.0)</f>
        <v>4278018</v>
      </c>
      <c r="C11244" t="str">
        <f>IFERROR(__xludf.DUMMYFUNCTION("""COMPUTED_VALUE"""),"[실.전.독일어] 독일에서 일주일 살아남기")</f>
        <v>[실.전.독일어] 독일에서 일주일 살아남기</v>
      </c>
    </row>
    <row r="11245">
      <c r="A11245" s="140" t="str">
        <f>IFERROR(__xludf.DUMMYFUNCTION("""COMPUTED_VALUE"""),"fr")</f>
        <v>fr</v>
      </c>
      <c r="B11245">
        <f>IFERROR(__xludf.DUMMYFUNCTION("""COMPUTED_VALUE"""),2334698.0)</f>
        <v>2334698</v>
      </c>
      <c r="C11245" t="str">
        <f>IFERROR(__xludf.DUMMYFUNCTION("""COMPUTED_VALUE"""),"Expert en productivité : Gestion du temps &amp; Organisation")</f>
        <v>Expert en productivité : Gestion du temps &amp; Organisation</v>
      </c>
    </row>
    <row r="11246">
      <c r="A11246" s="140" t="str">
        <f>IFERROR(__xludf.DUMMYFUNCTION("""COMPUTED_VALUE"""),"en")</f>
        <v>en</v>
      </c>
      <c r="B11246">
        <f>IFERROR(__xludf.DUMMYFUNCTION("""COMPUTED_VALUE"""),2909924.0)</f>
        <v>2909924</v>
      </c>
      <c r="C11246" t="str">
        <f>IFERROR(__xludf.DUMMYFUNCTION("""COMPUTED_VALUE"""),"Salesforce Certification - Sales Cloud Consultant")</f>
        <v>Salesforce Certification - Sales Cloud Consultant</v>
      </c>
    </row>
    <row r="11247">
      <c r="A11247" s="140" t="str">
        <f>IFERROR(__xludf.DUMMYFUNCTION("""COMPUTED_VALUE"""),"en")</f>
        <v>en</v>
      </c>
      <c r="B11247">
        <f>IFERROR(__xludf.DUMMYFUNCTION("""COMPUTED_VALUE"""),2585574.0)</f>
        <v>2585574</v>
      </c>
      <c r="C11247" t="str">
        <f>IFERROR(__xludf.DUMMYFUNCTION("""COMPUTED_VALUE"""),"AWS Advanced Security")</f>
        <v>AWS Advanced Security</v>
      </c>
    </row>
    <row r="11248">
      <c r="A11248" s="140" t="str">
        <f>IFERROR(__xludf.DUMMYFUNCTION("""COMPUTED_VALUE"""),"es")</f>
        <v>es</v>
      </c>
      <c r="B11248">
        <f>IFERROR(__xludf.DUMMYFUNCTION("""COMPUTED_VALUE"""),899216.0)</f>
        <v>899216</v>
      </c>
      <c r="C11248" t="str">
        <f>IFERROR(__xludf.DUMMYFUNCTION("""COMPUTED_VALUE"""),"Negociación: Cómo Negociar con Eficacia y Éxito")</f>
        <v>Negociación: Cómo Negociar con Eficacia y Éxito</v>
      </c>
    </row>
    <row r="11249">
      <c r="A11249" s="140" t="str">
        <f>IFERROR(__xludf.DUMMYFUNCTION("""COMPUTED_VALUE"""),"es")</f>
        <v>es</v>
      </c>
      <c r="B11249">
        <f>IFERROR(__xludf.DUMMYFUNCTION("""COMPUTED_VALUE"""),420452.0)</f>
        <v>420452</v>
      </c>
      <c r="C11249" t="str">
        <f>IFERROR(__xludf.DUMMYFUNCTION("""COMPUTED_VALUE"""),"3D Studio Max:  Espacios arquitectónicos")</f>
        <v>3D Studio Max:  Espacios arquitectónicos</v>
      </c>
    </row>
    <row r="11250">
      <c r="A11250" s="140" t="str">
        <f>IFERROR(__xludf.DUMMYFUNCTION("""COMPUTED_VALUE"""),"en")</f>
        <v>en</v>
      </c>
      <c r="B11250">
        <f>IFERROR(__xludf.DUMMYFUNCTION("""COMPUTED_VALUE"""),1236568.0)</f>
        <v>1236568</v>
      </c>
      <c r="C11250" t="str">
        <f>IFERROR(__xludf.DUMMYFUNCTION("""COMPUTED_VALUE"""),"The Absolute Beginners Guide to Cyber Security 2021 - Part 1")</f>
        <v>The Absolute Beginners Guide to Cyber Security 2021 - Part 1</v>
      </c>
    </row>
    <row r="11251">
      <c r="A11251" s="140" t="str">
        <f>IFERROR(__xludf.DUMMYFUNCTION("""COMPUTED_VALUE"""),"es")</f>
        <v>es</v>
      </c>
      <c r="B11251">
        <f>IFERROR(__xludf.DUMMYFUNCTION("""COMPUTED_VALUE"""),1695520.0)</f>
        <v>1695520</v>
      </c>
      <c r="C11251" t="str">
        <f>IFERROR(__xludf.DUMMYFUNCTION("""COMPUTED_VALUE"""),"Japonés para Principiantes: Idioma y Cultura")</f>
        <v>Japonés para Principiantes: Idioma y Cultura</v>
      </c>
    </row>
    <row r="11252">
      <c r="A11252" s="140" t="str">
        <f>IFERROR(__xludf.DUMMYFUNCTION("""COMPUTED_VALUE"""),"en")</f>
        <v>en</v>
      </c>
      <c r="B11252">
        <f>IFERROR(__xludf.DUMMYFUNCTION("""COMPUTED_VALUE"""),1892918.0)</f>
        <v>1892918</v>
      </c>
      <c r="C11252" t="str">
        <f>IFERROR(__xludf.DUMMYFUNCTION("""COMPUTED_VALUE"""),"ProCreate Masterclass: How to Draw and Paint on iPad Course")</f>
        <v>ProCreate Masterclass: How to Draw and Paint on iPad Course</v>
      </c>
    </row>
    <row r="11253">
      <c r="A11253" s="140" t="str">
        <f>IFERROR(__xludf.DUMMYFUNCTION("""COMPUTED_VALUE"""),"en")</f>
        <v>en</v>
      </c>
      <c r="B11253">
        <f>IFERROR(__xludf.DUMMYFUNCTION("""COMPUTED_VALUE"""),3465764.0)</f>
        <v>3465764</v>
      </c>
      <c r="C11253" t="str">
        <f>IFERROR(__xludf.DUMMYFUNCTION("""COMPUTED_VALUE"""),"PostgreSQL v12  Database Administration on Windows and Linux")</f>
        <v>PostgreSQL v12  Database Administration on Windows and Linux</v>
      </c>
    </row>
    <row r="11254">
      <c r="A11254" s="140" t="str">
        <f>IFERROR(__xludf.DUMMYFUNCTION("""COMPUTED_VALUE"""),"en")</f>
        <v>en</v>
      </c>
      <c r="B11254">
        <f>IFERROR(__xludf.DUMMYFUNCTION("""COMPUTED_VALUE"""),110240.0)</f>
        <v>110240</v>
      </c>
      <c r="C11254" t="str">
        <f>IFERROR(__xludf.DUMMYFUNCTION("""COMPUTED_VALUE"""),"How to Manage &amp; Influence Your Virtual Team")</f>
        <v>How to Manage &amp; Influence Your Virtual Team</v>
      </c>
    </row>
    <row r="11255">
      <c r="A11255" s="140" t="str">
        <f>IFERROR(__xludf.DUMMYFUNCTION("""COMPUTED_VALUE"""),"tr")</f>
        <v>tr</v>
      </c>
      <c r="B11255">
        <f>IFERROR(__xludf.DUMMYFUNCTION("""COMPUTED_VALUE"""),3259330.0)</f>
        <v>3259330</v>
      </c>
      <c r="C11255" t="str">
        <f>IFERROR(__xludf.DUMMYFUNCTION("""COMPUTED_VALUE"""),"HIZLI GRAMER (YDS-YDT-YÖKDİL)")</f>
        <v>HIZLI GRAMER (YDS-YDT-YÖKDİL)</v>
      </c>
    </row>
    <row r="11256">
      <c r="A11256" s="140" t="str">
        <f>IFERROR(__xludf.DUMMYFUNCTION("""COMPUTED_VALUE"""),"es")</f>
        <v>es</v>
      </c>
      <c r="B11256">
        <f>IFERROR(__xludf.DUMMYFUNCTION("""COMPUTED_VALUE"""),896882.0)</f>
        <v>896882</v>
      </c>
      <c r="C11256" t="str">
        <f>IFERROR(__xludf.DUMMYFUNCTION("""COMPUTED_VALUE"""),"Prevención y Protección contra Incendios en el Trabajo")</f>
        <v>Prevención y Protección contra Incendios en el Trabajo</v>
      </c>
    </row>
    <row r="11257">
      <c r="A11257" s="140" t="str">
        <f>IFERROR(__xludf.DUMMYFUNCTION("""COMPUTED_VALUE"""),"es")</f>
        <v>es</v>
      </c>
      <c r="B11257">
        <f>IFERROR(__xludf.DUMMYFUNCTION("""COMPUTED_VALUE"""),1249414.0)</f>
        <v>1249414</v>
      </c>
      <c r="C11257" t="str">
        <f>IFERROR(__xludf.DUMMYFUNCTION("""COMPUTED_VALUE"""),"Test unitarios con JUnit. Curso de introducción")</f>
        <v>Test unitarios con JUnit. Curso de introducción</v>
      </c>
    </row>
    <row r="11258">
      <c r="A11258" s="140" t="str">
        <f>IFERROR(__xludf.DUMMYFUNCTION("""COMPUTED_VALUE"""),"en")</f>
        <v>en</v>
      </c>
      <c r="B11258">
        <f>IFERROR(__xludf.DUMMYFUNCTION("""COMPUTED_VALUE"""),804700.0)</f>
        <v>804700</v>
      </c>
      <c r="C11258" t="str">
        <f>IFERROR(__xludf.DUMMYFUNCTION("""COMPUTED_VALUE"""),"SAP Finance and Controlling")</f>
        <v>SAP Finance and Controlling</v>
      </c>
    </row>
    <row r="11259">
      <c r="A11259" s="140" t="str">
        <f>IFERROR(__xludf.DUMMYFUNCTION("""COMPUTED_VALUE"""),"en")</f>
        <v>en</v>
      </c>
      <c r="B11259">
        <f>IFERROR(__xludf.DUMMYFUNCTION("""COMPUTED_VALUE"""),2268814.0)</f>
        <v>2268814</v>
      </c>
      <c r="C11259" t="str">
        <f>IFERROR(__xludf.DUMMYFUNCTION("""COMPUTED_VALUE"""),"Amazon Cognito: The Complete Introduction (2019)")</f>
        <v>Amazon Cognito: The Complete Introduction (2019)</v>
      </c>
    </row>
    <row r="11260">
      <c r="A11260" s="140" t="str">
        <f>IFERROR(__xludf.DUMMYFUNCTION("""COMPUTED_VALUE"""),"pt")</f>
        <v>pt</v>
      </c>
      <c r="B11260">
        <f>IFERROR(__xludf.DUMMYFUNCTION("""COMPUTED_VALUE"""),56052.0)</f>
        <v>56052</v>
      </c>
      <c r="C11260" t="str">
        <f>IFERROR(__xludf.DUMMYFUNCTION("""COMPUTED_VALUE"""),"Citrix XenDesktop 7.6 Introdução Arquitetura e Suporte")</f>
        <v>Citrix XenDesktop 7.6 Introdução Arquitetura e Suporte</v>
      </c>
    </row>
    <row r="11261">
      <c r="A11261" s="140" t="str">
        <f>IFERROR(__xludf.DUMMYFUNCTION("""COMPUTED_VALUE"""),"en")</f>
        <v>en</v>
      </c>
      <c r="B11261">
        <f>IFERROR(__xludf.DUMMYFUNCTION("""COMPUTED_VALUE"""),1137854.0)</f>
        <v>1137854</v>
      </c>
      <c r="C11261" t="str">
        <f>IFERROR(__xludf.DUMMYFUNCTION("""COMPUTED_VALUE"""),"LinkedIn Marketing Lead Generation for B2B Sales and Coaches")</f>
        <v>LinkedIn Marketing Lead Generation for B2B Sales and Coaches</v>
      </c>
    </row>
    <row r="11262">
      <c r="A11262" s="140" t="str">
        <f>IFERROR(__xludf.DUMMYFUNCTION("""COMPUTED_VALUE"""),"ja")</f>
        <v>ja</v>
      </c>
      <c r="B11262">
        <f>IFERROR(__xludf.DUMMYFUNCTION("""COMPUTED_VALUE"""),2492712.0)</f>
        <v>2492712</v>
      </c>
      <c r="C11262" t="str">
        <f>IFERROR(__xludf.DUMMYFUNCTION("""COMPUTED_VALUE"""),"Microsoft Excel - Power Pivot, Power Query, DAX 入門講座")</f>
        <v>Microsoft Excel - Power Pivot, Power Query, DAX 入門講座</v>
      </c>
    </row>
    <row r="11263">
      <c r="A11263" s="140" t="str">
        <f>IFERROR(__xludf.DUMMYFUNCTION("""COMPUTED_VALUE"""),"en")</f>
        <v>en</v>
      </c>
      <c r="B11263">
        <f>IFERROR(__xludf.DUMMYFUNCTION("""COMPUTED_VALUE"""),889692.0)</f>
        <v>889692</v>
      </c>
      <c r="C11263" t="str">
        <f>IFERROR(__xludf.DUMMYFUNCTION("""COMPUTED_VALUE"""),"OSHA Safety Pro: MUTCD Work Zone Traffic Control")</f>
        <v>OSHA Safety Pro: MUTCD Work Zone Traffic Control</v>
      </c>
    </row>
    <row r="11264">
      <c r="A11264" s="140" t="str">
        <f>IFERROR(__xludf.DUMMYFUNCTION("""COMPUTED_VALUE"""),"en")</f>
        <v>en</v>
      </c>
      <c r="B11264">
        <f>IFERROR(__xludf.DUMMYFUNCTION("""COMPUTED_VALUE"""),2990476.0)</f>
        <v>2990476</v>
      </c>
      <c r="C11264" t="str">
        <f>IFERROR(__xludf.DUMMYFUNCTION("""COMPUTED_VALUE"""),"Digital Banking - Masterclass")</f>
        <v>Digital Banking - Masterclass</v>
      </c>
    </row>
    <row r="11265">
      <c r="A11265" s="140" t="str">
        <f>IFERROR(__xludf.DUMMYFUNCTION("""COMPUTED_VALUE"""),"en")</f>
        <v>en</v>
      </c>
      <c r="B11265">
        <f>IFERROR(__xludf.DUMMYFUNCTION("""COMPUTED_VALUE"""),850600.0)</f>
        <v>850600</v>
      </c>
      <c r="C11265" t="str">
        <f>IFERROR(__xludf.DUMMYFUNCTION("""COMPUTED_VALUE"""),"Primavera P6 Foundations Course")</f>
        <v>Primavera P6 Foundations Course</v>
      </c>
    </row>
    <row r="11266">
      <c r="A11266" s="140" t="str">
        <f>IFERROR(__xludf.DUMMYFUNCTION("""COMPUTED_VALUE"""),"en")</f>
        <v>en</v>
      </c>
      <c r="B11266">
        <f>IFERROR(__xludf.DUMMYFUNCTION("""COMPUTED_VALUE"""),1219330.0)</f>
        <v>1219330</v>
      </c>
      <c r="C11266" t="str">
        <f>IFERROR(__xludf.DUMMYFUNCTION("""COMPUTED_VALUE"""),"FreePBX Asterisk 13 VoIP Server Administration Step by Step")</f>
        <v>FreePBX Asterisk 13 VoIP Server Administration Step by Step</v>
      </c>
    </row>
    <row r="11267">
      <c r="A11267" s="140" t="str">
        <f>IFERROR(__xludf.DUMMYFUNCTION("""COMPUTED_VALUE"""),"en")</f>
        <v>en</v>
      </c>
      <c r="B11267">
        <f>IFERROR(__xludf.DUMMYFUNCTION("""COMPUTED_VALUE"""),1568078.0)</f>
        <v>1568078</v>
      </c>
      <c r="C11267" t="str">
        <f>IFERROR(__xludf.DUMMYFUNCTION("""COMPUTED_VALUE"""),"Mastering pfSense")</f>
        <v>Mastering pfSense</v>
      </c>
    </row>
    <row r="11268">
      <c r="A11268" s="140" t="str">
        <f>IFERROR(__xludf.DUMMYFUNCTION("""COMPUTED_VALUE"""),"es")</f>
        <v>es</v>
      </c>
      <c r="B11268">
        <f>IFERROR(__xludf.DUMMYFUNCTION("""COMPUTED_VALUE"""),2867200.0)</f>
        <v>2867200</v>
      </c>
      <c r="C11268" t="str">
        <f>IFERROR(__xludf.DUMMYFUNCTION("""COMPUTED_VALUE"""),"Inteligencia Artificial aplicada a Negocios y Empresas")</f>
        <v>Inteligencia Artificial aplicada a Negocios y Empresas</v>
      </c>
    </row>
    <row r="11269">
      <c r="A11269" s="140" t="str">
        <f>IFERROR(__xludf.DUMMYFUNCTION("""COMPUTED_VALUE"""),"fr")</f>
        <v>fr</v>
      </c>
      <c r="B11269">
        <f>IFERROR(__xludf.DUMMYFUNCTION("""COMPUTED_VALUE"""),2396872.0)</f>
        <v>2396872</v>
      </c>
      <c r="C11269" t="str">
        <f>IFERROR(__xludf.DUMMYFUNCTION("""COMPUTED_VALUE"""),"Apprenez à résoudre des algorithmes en JavaScript")</f>
        <v>Apprenez à résoudre des algorithmes en JavaScript</v>
      </c>
    </row>
    <row r="11270">
      <c r="A11270" s="140" t="str">
        <f>IFERROR(__xludf.DUMMYFUNCTION("""COMPUTED_VALUE"""),"es")</f>
        <v>es</v>
      </c>
      <c r="B11270">
        <f>IFERROR(__xludf.DUMMYFUNCTION("""COMPUTED_VALUE"""),923610.0)</f>
        <v>923610</v>
      </c>
      <c r="C11270" t="str">
        <f>IFERROR(__xludf.DUMMYFUNCTION("""COMPUTED_VALUE"""),"Entrevista de trabajo ganadora")</f>
        <v>Entrevista de trabajo ganadora</v>
      </c>
    </row>
    <row r="11271">
      <c r="A11271" s="140" t="str">
        <f>IFERROR(__xludf.DUMMYFUNCTION("""COMPUTED_VALUE"""),"es")</f>
        <v>es</v>
      </c>
      <c r="B11271">
        <f>IFERROR(__xludf.DUMMYFUNCTION("""COMPUTED_VALUE"""),1513984.0)</f>
        <v>1513984</v>
      </c>
      <c r="C11271" t="str">
        <f>IFERROR(__xludf.DUMMYFUNCTION("""COMPUTED_VALUE"""),"Neuroeducación y Neurodidáctica - Herramientas para educar")</f>
        <v>Neuroeducación y Neurodidáctica - Herramientas para educar</v>
      </c>
    </row>
    <row r="11272">
      <c r="A11272" s="140" t="str">
        <f>IFERROR(__xludf.DUMMYFUNCTION("""COMPUTED_VALUE"""),"pt")</f>
        <v>pt</v>
      </c>
      <c r="B11272">
        <f>IFERROR(__xludf.DUMMYFUNCTION("""COMPUTED_VALUE"""),3296886.0)</f>
        <v>3296886</v>
      </c>
      <c r="C11272" t="str">
        <f>IFERROR(__xludf.DUMMYFUNCTION("""COMPUTED_VALUE"""),"Docker Essencial para o Desenvolvedor")</f>
        <v>Docker Essencial para o Desenvolvedor</v>
      </c>
    </row>
    <row r="11273">
      <c r="A11273" s="140" t="str">
        <f>IFERROR(__xludf.DUMMYFUNCTION("""COMPUTED_VALUE"""),"en")</f>
        <v>en</v>
      </c>
      <c r="B11273">
        <f>IFERROR(__xludf.DUMMYFUNCTION("""COMPUTED_VALUE"""),574452.0)</f>
        <v>574452</v>
      </c>
      <c r="C11273" t="str">
        <f>IFERROR(__xludf.DUMMYFUNCTION("""COMPUTED_VALUE"""),"Operations Management in small businesses: key techniques")</f>
        <v>Operations Management in small businesses: key techniques</v>
      </c>
    </row>
    <row r="11274">
      <c r="A11274" s="140" t="str">
        <f>IFERROR(__xludf.DUMMYFUNCTION("""COMPUTED_VALUE"""),"en")</f>
        <v>en</v>
      </c>
      <c r="B11274">
        <f>IFERROR(__xludf.DUMMYFUNCTION("""COMPUTED_VALUE"""),749044.0)</f>
        <v>749044</v>
      </c>
      <c r="C11274" t="str">
        <f>IFERROR(__xludf.DUMMYFUNCTION("""COMPUTED_VALUE"""),"VMware vSphere 6.0 Part 6 - P2V Migrations With Converter")</f>
        <v>VMware vSphere 6.0 Part 6 - P2V Migrations With Converter</v>
      </c>
    </row>
    <row r="11275">
      <c r="A11275" s="140" t="str">
        <f>IFERROR(__xludf.DUMMYFUNCTION("""COMPUTED_VALUE"""),"ja")</f>
        <v>ja</v>
      </c>
      <c r="B11275">
        <f>IFERROR(__xludf.DUMMYFUNCTION("""COMPUTED_VALUE"""),2793478.0)</f>
        <v>2793478</v>
      </c>
      <c r="C11275" t="str">
        <f>IFERROR(__xludf.DUMMYFUNCTION("""COMPUTED_VALUE"""),"家族で実践　安心・安全なインターネット利用のためにできること")</f>
        <v>家族で実践　安心・安全なインターネット利用のためにできること</v>
      </c>
    </row>
    <row r="11276">
      <c r="A11276" s="140" t="str">
        <f>IFERROR(__xludf.DUMMYFUNCTION("""COMPUTED_VALUE"""),"en")</f>
        <v>en</v>
      </c>
      <c r="B11276">
        <f>IFERROR(__xludf.DUMMYFUNCTION("""COMPUTED_VALUE"""),2794906.0)</f>
        <v>2794906</v>
      </c>
      <c r="C11276" t="str">
        <f>IFERROR(__xludf.DUMMYFUNCTION("""COMPUTED_VALUE"""),"Spring Professional Certification Exam Tutorial - Module 06")</f>
        <v>Spring Professional Certification Exam Tutorial - Module 06</v>
      </c>
    </row>
    <row r="11277">
      <c r="A11277" s="140" t="str">
        <f>IFERROR(__xludf.DUMMYFUNCTION("""COMPUTED_VALUE"""),"en")</f>
        <v>en</v>
      </c>
      <c r="B11277">
        <f>IFERROR(__xludf.DUMMYFUNCTION("""COMPUTED_VALUE"""),447734.0)</f>
        <v>447734</v>
      </c>
      <c r="C11277" t="str">
        <f>IFERROR(__xludf.DUMMYFUNCTION("""COMPUTED_VALUE"""),"SVG &amp; CSS Animation - Using HTML &amp; CSS")</f>
        <v>SVG &amp; CSS Animation - Using HTML &amp; CSS</v>
      </c>
    </row>
    <row r="11278">
      <c r="A11278" s="140" t="str">
        <f>IFERROR(__xludf.DUMMYFUNCTION("""COMPUTED_VALUE"""),"en")</f>
        <v>en</v>
      </c>
      <c r="B11278">
        <f>IFERROR(__xludf.DUMMYFUNCTION("""COMPUTED_VALUE"""),760562.0)</f>
        <v>760562</v>
      </c>
      <c r="C11278" t="str">
        <f>IFERROR(__xludf.DUMMYFUNCTION("""COMPUTED_VALUE"""),"Git &amp; GitHub Complete Masterclass : Beginner to Git Expert")</f>
        <v>Git &amp; GitHub Complete Masterclass : Beginner to Git Expert</v>
      </c>
    </row>
    <row r="11279">
      <c r="A11279" s="140" t="str">
        <f>IFERROR(__xludf.DUMMYFUNCTION("""COMPUTED_VALUE"""),"es")</f>
        <v>es</v>
      </c>
      <c r="B11279">
        <f>IFERROR(__xludf.DUMMYFUNCTION("""COMPUTED_VALUE"""),956362.0)</f>
        <v>956362</v>
      </c>
      <c r="C11279" t="str">
        <f>IFERROR(__xludf.DUMMYFUNCTION("""COMPUTED_VALUE"""),"SAP Conceptos e iniciación")</f>
        <v>SAP Conceptos e iniciación</v>
      </c>
    </row>
    <row r="11280">
      <c r="A11280" s="140" t="str">
        <f>IFERROR(__xludf.DUMMYFUNCTION("""COMPUTED_VALUE"""),"es")</f>
        <v>es</v>
      </c>
      <c r="B11280">
        <f>IFERROR(__xludf.DUMMYFUNCTION("""COMPUTED_VALUE"""),2128114.0)</f>
        <v>2128114</v>
      </c>
      <c r="C11280" t="str">
        <f>IFERROR(__xludf.DUMMYFUNCTION("""COMPUTED_VALUE"""),"Curso de Finanzas Personales")</f>
        <v>Curso de Finanzas Personales</v>
      </c>
    </row>
    <row r="11281">
      <c r="A11281" s="140" t="str">
        <f>IFERROR(__xludf.DUMMYFUNCTION("""COMPUTED_VALUE"""),"fr")</f>
        <v>fr</v>
      </c>
      <c r="B11281">
        <f>IFERROR(__xludf.DUMMYFUNCTION("""COMPUTED_VALUE"""),2717578.0)</f>
        <v>2717578</v>
      </c>
      <c r="C11281" t="str">
        <f>IFERROR(__xludf.DUMMYFUNCTION("""COMPUTED_VALUE"""),"AutoCAD 2020- La formation complète")</f>
        <v>AutoCAD 2020- La formation complète</v>
      </c>
    </row>
    <row r="11282">
      <c r="A11282" s="140" t="str">
        <f>IFERROR(__xludf.DUMMYFUNCTION("""COMPUTED_VALUE"""),"tr")</f>
        <v>tr</v>
      </c>
      <c r="B11282">
        <f>IFERROR(__xludf.DUMMYFUNCTION("""COMPUTED_VALUE"""),2467900.0)</f>
        <v>2467900</v>
      </c>
      <c r="C11282" t="str">
        <f>IFERROR(__xludf.DUMMYFUNCTION("""COMPUTED_VALUE"""),"Hollandaca öğrenin ... Hollandaca 1: öğrenmek başlayın")</f>
        <v>Hollandaca öğrenin ... Hollandaca 1: öğrenmek başlayın</v>
      </c>
    </row>
    <row r="11283">
      <c r="A11283" s="140" t="str">
        <f>IFERROR(__xludf.DUMMYFUNCTION("""COMPUTED_VALUE"""),"en")</f>
        <v>en</v>
      </c>
      <c r="B11283">
        <f>IFERROR(__xludf.DUMMYFUNCTION("""COMPUTED_VALUE"""),3524296.0)</f>
        <v>3524296</v>
      </c>
      <c r="C11283" t="str">
        <f>IFERROR(__xludf.DUMMYFUNCTION("""COMPUTED_VALUE"""),"Calculus 1: The key for Science, Engineering and Economics.")</f>
        <v>Calculus 1: The key for Science, Engineering and Economics.</v>
      </c>
    </row>
    <row r="11284">
      <c r="A11284" s="140" t="str">
        <f>IFERROR(__xludf.DUMMYFUNCTION("""COMPUTED_VALUE"""),"pt")</f>
        <v>pt</v>
      </c>
      <c r="B11284">
        <f>IFERROR(__xludf.DUMMYFUNCTION("""COMPUTED_VALUE"""),2382729.0)</f>
        <v>2382729</v>
      </c>
      <c r="C11284" t="str">
        <f>IFERROR(__xludf.DUMMYFUNCTION("""COMPUTED_VALUE"""),"Inteligência Artificial: Algoritmos de Otimização em Python")</f>
        <v>Inteligência Artificial: Algoritmos de Otimização em Python</v>
      </c>
    </row>
    <row r="11285">
      <c r="A11285" s="140" t="str">
        <f>IFERROR(__xludf.DUMMYFUNCTION("""COMPUTED_VALUE"""),"pt")</f>
        <v>pt</v>
      </c>
      <c r="B11285">
        <f>IFERROR(__xludf.DUMMYFUNCTION("""COMPUTED_VALUE"""),1329648.0)</f>
        <v>1329648</v>
      </c>
      <c r="C11285" t="str">
        <f>IFERROR(__xludf.DUMMYFUNCTION("""COMPUTED_VALUE"""),"Substance Painter2 e Modelagem de Assets para Jogos AAA")</f>
        <v>Substance Painter2 e Modelagem de Assets para Jogos AAA</v>
      </c>
    </row>
    <row r="11286">
      <c r="A11286" s="140" t="str">
        <f>IFERROR(__xludf.DUMMYFUNCTION("""COMPUTED_VALUE"""),"en")</f>
        <v>en</v>
      </c>
      <c r="B11286">
        <f>IFERROR(__xludf.DUMMYFUNCTION("""COMPUTED_VALUE"""),3236687.0)</f>
        <v>3236687</v>
      </c>
      <c r="C11286" t="str">
        <f>IFERROR(__xludf.DUMMYFUNCTION("""COMPUTED_VALUE"""),"How to develop a productive HTTP client in Golang (Go)")</f>
        <v>How to develop a productive HTTP client in Golang (Go)</v>
      </c>
    </row>
    <row r="11287">
      <c r="A11287" s="140" t="str">
        <f>IFERROR(__xludf.DUMMYFUNCTION("""COMPUTED_VALUE"""),"en")</f>
        <v>en</v>
      </c>
      <c r="B11287">
        <f>IFERROR(__xludf.DUMMYFUNCTION("""COMPUTED_VALUE"""),3870424.0)</f>
        <v>3870424</v>
      </c>
      <c r="C11287" t="str">
        <f>IFERROR(__xludf.DUMMYFUNCTION("""COMPUTED_VALUE"""),"TOTAL: CompTIA Security+ Cert (SY0-601) Practice Tests")</f>
        <v>TOTAL: CompTIA Security+ Cert (SY0-601) Practice Tests</v>
      </c>
    </row>
    <row r="11288">
      <c r="A11288" s="140" t="str">
        <f>IFERROR(__xludf.DUMMYFUNCTION("""COMPUTED_VALUE"""),"de")</f>
        <v>de</v>
      </c>
      <c r="B11288">
        <f>IFERROR(__xludf.DUMMYFUNCTION("""COMPUTED_VALUE"""),1868032.0)</f>
        <v>1868032</v>
      </c>
      <c r="C11288" t="str">
        <f>IFERROR(__xludf.DUMMYFUNCTION("""COMPUTED_VALUE"""),"Statistik für Data Science und Business Analytics")</f>
        <v>Statistik für Data Science und Business Analytics</v>
      </c>
    </row>
    <row r="11289">
      <c r="A11289" s="140" t="str">
        <f>IFERROR(__xludf.DUMMYFUNCTION("""COMPUTED_VALUE"""),"en")</f>
        <v>en</v>
      </c>
      <c r="B11289">
        <f>IFERROR(__xludf.DUMMYFUNCTION("""COMPUTED_VALUE"""),1148688.0)</f>
        <v>1148688</v>
      </c>
      <c r="C11289" t="str">
        <f>IFERROR(__xludf.DUMMYFUNCTION("""COMPUTED_VALUE"""),"Design Patterns in C# and .NET")</f>
        <v>Design Patterns in C# and .NET</v>
      </c>
    </row>
    <row r="11290">
      <c r="A11290" s="140" t="str">
        <f>IFERROR(__xludf.DUMMYFUNCTION("""COMPUTED_VALUE"""),"en")</f>
        <v>en</v>
      </c>
      <c r="B11290">
        <f>IFERROR(__xludf.DUMMYFUNCTION("""COMPUTED_VALUE"""),224138.0)</f>
        <v>224138</v>
      </c>
      <c r="C11290" t="str">
        <f>IFERROR(__xludf.DUMMYFUNCTION("""COMPUTED_VALUE"""),"Business Presentation Skills - Excellence Made Easy")</f>
        <v>Business Presentation Skills - Excellence Made Easy</v>
      </c>
    </row>
    <row r="11291">
      <c r="A11291" s="140" t="str">
        <f>IFERROR(__xludf.DUMMYFUNCTION("""COMPUTED_VALUE"""),"en")</f>
        <v>en</v>
      </c>
      <c r="B11291">
        <f>IFERROR(__xludf.DUMMYFUNCTION("""COMPUTED_VALUE"""),2521762.0)</f>
        <v>2521762</v>
      </c>
      <c r="C11291" t="str">
        <f>IFERROR(__xludf.DUMMYFUNCTION("""COMPUTED_VALUE"""),"Introduction to D3.js with React")</f>
        <v>Introduction to D3.js with React</v>
      </c>
    </row>
    <row r="11292">
      <c r="A11292" s="140" t="str">
        <f>IFERROR(__xludf.DUMMYFUNCTION("""COMPUTED_VALUE"""),"en")</f>
        <v>en</v>
      </c>
      <c r="B11292">
        <f>IFERROR(__xludf.DUMMYFUNCTION("""COMPUTED_VALUE"""),3313696.0)</f>
        <v>3313696</v>
      </c>
      <c r="C11292" t="str">
        <f>IFERROR(__xludf.DUMMYFUNCTION("""COMPUTED_VALUE"""),"Ace Your Virtual Job Interview")</f>
        <v>Ace Your Virtual Job Interview</v>
      </c>
    </row>
    <row r="11293">
      <c r="A11293" s="140" t="str">
        <f>IFERROR(__xludf.DUMMYFUNCTION("""COMPUTED_VALUE"""),"en")</f>
        <v>en</v>
      </c>
      <c r="B11293">
        <f>IFERROR(__xludf.DUMMYFUNCTION("""COMPUTED_VALUE"""),1918908.0)</f>
        <v>1918908</v>
      </c>
      <c r="C11293" t="str">
        <f>IFERROR(__xludf.DUMMYFUNCTION("""COMPUTED_VALUE"""),"Build Data Visualizations with D3.js &amp; Firebase")</f>
        <v>Build Data Visualizations with D3.js &amp; Firebase</v>
      </c>
    </row>
    <row r="11294">
      <c r="A11294" s="140" t="str">
        <f>IFERROR(__xludf.DUMMYFUNCTION("""COMPUTED_VALUE"""),"en")</f>
        <v>en</v>
      </c>
      <c r="B11294">
        <f>IFERROR(__xludf.DUMMYFUNCTION("""COMPUTED_VALUE"""),2831264.0)</f>
        <v>2831264</v>
      </c>
      <c r="C11294" t="str">
        <f>IFERROR(__xludf.DUMMYFUNCTION("""COMPUTED_VALUE"""),"AWS Athena Tutorial with Hands on LAB | Serverless Querying")</f>
        <v>AWS Athena Tutorial with Hands on LAB | Serverless Querying</v>
      </c>
    </row>
    <row r="11295">
      <c r="A11295" s="140" t="str">
        <f>IFERROR(__xludf.DUMMYFUNCTION("""COMPUTED_VALUE"""),"en")</f>
        <v>en</v>
      </c>
      <c r="B11295">
        <f>IFERROR(__xludf.DUMMYFUNCTION("""COMPUTED_VALUE"""),2418356.0)</f>
        <v>2418356</v>
      </c>
      <c r="C11295" t="str">
        <f>IFERROR(__xludf.DUMMYFUNCTION("""COMPUTED_VALUE"""),"Linux Privilege Escalation for OSCP &amp; Beyond!")</f>
        <v>Linux Privilege Escalation for OSCP &amp; Beyond!</v>
      </c>
    </row>
    <row r="11296">
      <c r="A11296" s="140" t="str">
        <f>IFERROR(__xludf.DUMMYFUNCTION("""COMPUTED_VALUE"""),"en")</f>
        <v>en</v>
      </c>
      <c r="B11296">
        <f>IFERROR(__xludf.DUMMYFUNCTION("""COMPUTED_VALUE"""),2502008.0)</f>
        <v>2502008</v>
      </c>
      <c r="C11296" t="str">
        <f>IFERROR(__xludf.DUMMYFUNCTION("""COMPUTED_VALUE"""),"Oracle Goldengate Microservices 19c")</f>
        <v>Oracle Goldengate Microservices 19c</v>
      </c>
    </row>
    <row r="11297">
      <c r="A11297" s="140" t="str">
        <f>IFERROR(__xludf.DUMMYFUNCTION("""COMPUTED_VALUE"""),"en")</f>
        <v>en</v>
      </c>
      <c r="B11297">
        <f>IFERROR(__xludf.DUMMYFUNCTION("""COMPUTED_VALUE"""),3302130.0)</f>
        <v>3302130</v>
      </c>
      <c r="C11297" t="str">
        <f>IFERROR(__xludf.DUMMYFUNCTION("""COMPUTED_VALUE"""),"Complete AWS EKS MasterClass (best practices) in 2021")</f>
        <v>Complete AWS EKS MasterClass (best practices) in 2021</v>
      </c>
    </row>
    <row r="11298">
      <c r="A11298" s="140" t="str">
        <f>IFERROR(__xludf.DUMMYFUNCTION("""COMPUTED_VALUE"""),"tr")</f>
        <v>tr</v>
      </c>
      <c r="B11298">
        <f>IFERROR(__xludf.DUMMYFUNCTION("""COMPUTED_VALUE"""),2739832.0)</f>
        <v>2739832</v>
      </c>
      <c r="C11298" t="str">
        <f>IFERROR(__xludf.DUMMYFUNCTION("""COMPUTED_VALUE"""),"Gann Square TP &amp; SL Destek Direnç Tablosu Hazirlama ve Trade")</f>
        <v>Gann Square TP &amp; SL Destek Direnç Tablosu Hazirlama ve Trade</v>
      </c>
    </row>
    <row r="11299">
      <c r="A11299" s="140" t="str">
        <f>IFERROR(__xludf.DUMMYFUNCTION("""COMPUTED_VALUE"""),"en")</f>
        <v>en</v>
      </c>
      <c r="B11299">
        <f>IFERROR(__xludf.DUMMYFUNCTION("""COMPUTED_VALUE"""),1340822.0)</f>
        <v>1340822</v>
      </c>
      <c r="C11299" t="str">
        <f>IFERROR(__xludf.DUMMYFUNCTION("""COMPUTED_VALUE"""),"Let's Create a Course in Articulate Storyline 3 / 360")</f>
        <v>Let's Create a Course in Articulate Storyline 3 / 360</v>
      </c>
    </row>
    <row r="11300">
      <c r="A11300" s="140" t="str">
        <f>IFERROR(__xludf.DUMMYFUNCTION("""COMPUTED_VALUE"""),"en")</f>
        <v>en</v>
      </c>
      <c r="B11300">
        <f>IFERROR(__xludf.DUMMYFUNCTION("""COMPUTED_VALUE"""),1693472.0)</f>
        <v>1693472</v>
      </c>
      <c r="C11300" t="str">
        <f>IFERROR(__xludf.DUMMYFUNCTION("""COMPUTED_VALUE"""),"SwiftUI Masterclass 2022 - iOS 15 App Development &amp; Swift 5")</f>
        <v>SwiftUI Masterclass 2022 - iOS 15 App Development &amp; Swift 5</v>
      </c>
    </row>
    <row r="11301">
      <c r="A11301" s="140" t="str">
        <f>IFERROR(__xludf.DUMMYFUNCTION("""COMPUTED_VALUE"""),"fr")</f>
        <v>fr</v>
      </c>
      <c r="B11301">
        <f>IFERROR(__xludf.DUMMYFUNCTION("""COMPUTED_VALUE"""),3618668.0)</f>
        <v>3618668</v>
      </c>
      <c r="C11301" t="str">
        <f>IFERROR(__xludf.DUMMYFUNCTION("""COMPUTED_VALUE"""),"Microsoft Word 2019 | Le guide Complet de Débutant à Expert.")</f>
        <v>Microsoft Word 2019 | Le guide Complet de Débutant à Expert.</v>
      </c>
    </row>
    <row r="11302">
      <c r="A11302" s="140" t="str">
        <f>IFERROR(__xludf.DUMMYFUNCTION("""COMPUTED_VALUE"""),"en")</f>
        <v>en</v>
      </c>
      <c r="B11302">
        <f>IFERROR(__xludf.DUMMYFUNCTION("""COMPUTED_VALUE"""),1511170.0)</f>
        <v>1511170</v>
      </c>
      <c r="C11302" t="str">
        <f>IFERROR(__xludf.DUMMYFUNCTION("""COMPUTED_VALUE"""),"The Absolute Beginners Guide to Cyber Security 2021 - Part 2")</f>
        <v>The Absolute Beginners Guide to Cyber Security 2021 - Part 2</v>
      </c>
    </row>
    <row r="11303">
      <c r="A11303" s="140" t="str">
        <f>IFERROR(__xludf.DUMMYFUNCTION("""COMPUTED_VALUE"""),"pt")</f>
        <v>pt</v>
      </c>
      <c r="B11303">
        <f>IFERROR(__xludf.DUMMYFUNCTION("""COMPUTED_VALUE"""),1795242.0)</f>
        <v>1795242</v>
      </c>
      <c r="C11303" t="str">
        <f>IFERROR(__xludf.DUMMYFUNCTION("""COMPUTED_VALUE"""),"Desenvolver Sistema com Delphi e SQL-Server na PRÁTICA")</f>
        <v>Desenvolver Sistema com Delphi e SQL-Server na PRÁTICA</v>
      </c>
    </row>
    <row r="11304">
      <c r="A11304" s="140" t="str">
        <f>IFERROR(__xludf.DUMMYFUNCTION("""COMPUTED_VALUE"""),"en")</f>
        <v>en</v>
      </c>
      <c r="B11304">
        <f>IFERROR(__xludf.DUMMYFUNCTION("""COMPUTED_VALUE"""),1288304.0)</f>
        <v>1288304</v>
      </c>
      <c r="C11304" t="str">
        <f>IFERROR(__xludf.DUMMYFUNCTION("""COMPUTED_VALUE"""),"Angular Forms In Depth")</f>
        <v>Angular Forms In Depth</v>
      </c>
    </row>
    <row r="11305">
      <c r="A11305" s="140" t="str">
        <f>IFERROR(__xludf.DUMMYFUNCTION("""COMPUTED_VALUE"""),"ko")</f>
        <v>ko</v>
      </c>
      <c r="B11305">
        <f>IFERROR(__xludf.DUMMYFUNCTION("""COMPUTED_VALUE"""),3113136.0)</f>
        <v>3113136</v>
      </c>
      <c r="C11305" t="str">
        <f>IFERROR(__xludf.DUMMYFUNCTION("""COMPUTED_VALUE"""),"역학조사관을 위한 통계")</f>
        <v>역학조사관을 위한 통계</v>
      </c>
    </row>
    <row r="11306">
      <c r="A11306" s="140" t="str">
        <f>IFERROR(__xludf.DUMMYFUNCTION("""COMPUTED_VALUE"""),"es")</f>
        <v>es</v>
      </c>
      <c r="B11306">
        <f>IFERROR(__xludf.DUMMYFUNCTION("""COMPUTED_VALUE"""),2216784.0)</f>
        <v>2216784</v>
      </c>
      <c r="C11306" t="str">
        <f>IFERROR(__xludf.DUMMYFUNCTION("""COMPUTED_VALUE"""),"RxJS nivel PRO")</f>
        <v>RxJS nivel PRO</v>
      </c>
    </row>
    <row r="11307">
      <c r="A11307" s="140" t="str">
        <f>IFERROR(__xludf.DUMMYFUNCTION("""COMPUTED_VALUE"""),"ja")</f>
        <v>ja</v>
      </c>
      <c r="B11307">
        <f>IFERROR(__xludf.DUMMYFUNCTION("""COMPUTED_VALUE"""),3457204.0)</f>
        <v>3457204</v>
      </c>
      <c r="C11307" t="str">
        <f>IFERROR(__xludf.DUMMYFUNCTION("""COMPUTED_VALUE"""),"米シリコンバレーDevOps監修！Istio Service Mesh ハンズオン+Kubernetes AWS EKS")</f>
        <v>米シリコンバレーDevOps監修！Istio Service Mesh ハンズオン+Kubernetes AWS EKS</v>
      </c>
    </row>
    <row r="11308">
      <c r="A11308" s="140" t="str">
        <f>IFERROR(__xludf.DUMMYFUNCTION("""COMPUTED_VALUE"""),"en")</f>
        <v>en</v>
      </c>
      <c r="B11308">
        <f>IFERROR(__xludf.DUMMYFUNCTION("""COMPUTED_VALUE"""),2651556.0)</f>
        <v>2651556</v>
      </c>
      <c r="C11308" t="str">
        <f>IFERROR(__xludf.DUMMYFUNCTION("""COMPUTED_VALUE"""),"Real-Time Data Stream Processing In Azure")</f>
        <v>Real-Time Data Stream Processing In Azure</v>
      </c>
    </row>
    <row r="11309">
      <c r="A11309" s="140" t="str">
        <f>IFERROR(__xludf.DUMMYFUNCTION("""COMPUTED_VALUE"""),"en")</f>
        <v>en</v>
      </c>
      <c r="B11309">
        <f>IFERROR(__xludf.DUMMYFUNCTION("""COMPUTED_VALUE"""),1316728.0)</f>
        <v>1316728</v>
      </c>
      <c r="C11309" t="str">
        <f>IFERROR(__xludf.DUMMYFUNCTION("""COMPUTED_VALUE"""),"Adobe InDesign CC - Essentials Training Course")</f>
        <v>Adobe InDesign CC - Essentials Training Course</v>
      </c>
    </row>
    <row r="11310">
      <c r="A11310" s="140" t="str">
        <f>IFERROR(__xludf.DUMMYFUNCTION("""COMPUTED_VALUE"""),"tr")</f>
        <v>tr</v>
      </c>
      <c r="B11310">
        <f>IFERROR(__xludf.DUMMYFUNCTION("""COMPUTED_VALUE"""),1439038.0)</f>
        <v>1439038</v>
      </c>
      <c r="C11310" t="str">
        <f>IFERROR(__xludf.DUMMYFUNCTION("""COMPUTED_VALUE"""),"Komple Sıfırdan Adım Adım Javascript Öğrenin")</f>
        <v>Komple Sıfırdan Adım Adım Javascript Öğrenin</v>
      </c>
    </row>
    <row r="11311">
      <c r="A11311" s="140" t="str">
        <f>IFERROR(__xludf.DUMMYFUNCTION("""COMPUTED_VALUE"""),"de")</f>
        <v>de</v>
      </c>
      <c r="B11311">
        <f>IFERROR(__xludf.DUMMYFUNCTION("""COMPUTED_VALUE"""),2516268.0)</f>
        <v>2516268</v>
      </c>
      <c r="C11311" t="str">
        <f>IFERROR(__xludf.DUMMYFUNCTION("""COMPUTED_VALUE"""),"Digitalisierung mit Microsoft SharePoint Teamwebsites")</f>
        <v>Digitalisierung mit Microsoft SharePoint Teamwebsites</v>
      </c>
    </row>
    <row r="11312">
      <c r="A11312" s="140" t="str">
        <f>IFERROR(__xludf.DUMMYFUNCTION("""COMPUTED_VALUE"""),"en")</f>
        <v>en</v>
      </c>
      <c r="B11312">
        <f>IFERROR(__xludf.DUMMYFUNCTION("""COMPUTED_VALUE"""),844036.0)</f>
        <v>844036</v>
      </c>
      <c r="C11312" t="str">
        <f>IFERROR(__xludf.DUMMYFUNCTION("""COMPUTED_VALUE"""),"Final Cut Pro X 101")</f>
        <v>Final Cut Pro X 101</v>
      </c>
    </row>
    <row r="11313">
      <c r="A11313" s="140" t="str">
        <f>IFERROR(__xludf.DUMMYFUNCTION("""COMPUTED_VALUE"""),"tr")</f>
        <v>tr</v>
      </c>
      <c r="B11313">
        <f>IFERROR(__xludf.DUMMYFUNCTION("""COMPUTED_VALUE"""),3384022.0)</f>
        <v>3384022</v>
      </c>
      <c r="C11313" t="str">
        <f>IFERROR(__xludf.DUMMYFUNCTION("""COMPUTED_VALUE"""),"Sıfırdan İleri Seviyeye C++ ve Arduino Kursu")</f>
        <v>Sıfırdan İleri Seviyeye C++ ve Arduino Kursu</v>
      </c>
    </row>
    <row r="11314">
      <c r="A11314" s="140" t="str">
        <f>IFERROR(__xludf.DUMMYFUNCTION("""COMPUTED_VALUE"""),"ja")</f>
        <v>ja</v>
      </c>
      <c r="B11314">
        <f>IFERROR(__xludf.DUMMYFUNCTION("""COMPUTED_VALUE"""),2542887.0)</f>
        <v>2542887</v>
      </c>
      <c r="C11314" t="str">
        <f>IFERROR(__xludf.DUMMYFUNCTION("""COMPUTED_VALUE"""),"医師が教えるR言語での医療データ分析入門：R言語で作業自動化～エクセルデータの自動処理とパワーポイント作成～")</f>
        <v>医師が教えるR言語での医療データ分析入門：R言語で作業自動化～エクセルデータの自動処理とパワーポイント作成～</v>
      </c>
    </row>
    <row r="11315">
      <c r="A11315" s="140" t="str">
        <f>IFERROR(__xludf.DUMMYFUNCTION("""COMPUTED_VALUE"""),"ar")</f>
        <v>ar</v>
      </c>
      <c r="B11315">
        <f>IFERROR(__xludf.DUMMYFUNCTION("""COMPUTED_VALUE"""),2570584.0)</f>
        <v>2570584</v>
      </c>
      <c r="C11315" t="str">
        <f>IFERROR(__xludf.DUMMYFUNCTION("""COMPUTED_VALUE"""),"The Android-Kotlin Development Guide")</f>
        <v>The Android-Kotlin Development Guide</v>
      </c>
    </row>
    <row r="11316">
      <c r="A11316" s="140" t="str">
        <f>IFERROR(__xludf.DUMMYFUNCTION("""COMPUTED_VALUE"""),"en")</f>
        <v>en</v>
      </c>
      <c r="B11316">
        <f>IFERROR(__xludf.DUMMYFUNCTION("""COMPUTED_VALUE"""),1252630.0)</f>
        <v>1252630</v>
      </c>
      <c r="C11316" t="str">
        <f>IFERROR(__xludf.DUMMYFUNCTION("""COMPUTED_VALUE"""),"React JS - Mastering Redux")</f>
        <v>React JS - Mastering Redux</v>
      </c>
    </row>
    <row r="11317">
      <c r="A11317" s="140" t="str">
        <f>IFERROR(__xludf.DUMMYFUNCTION("""COMPUTED_VALUE"""),"en")</f>
        <v>en</v>
      </c>
      <c r="B11317">
        <f>IFERROR(__xludf.DUMMYFUNCTION("""COMPUTED_VALUE"""),1470462.0)</f>
        <v>1470462</v>
      </c>
      <c r="C11317" t="str">
        <f>IFERROR(__xludf.DUMMYFUNCTION("""COMPUTED_VALUE"""),"Introduction To Unity® For Absolute Beginners | 2018 ready")</f>
        <v>Introduction To Unity® For Absolute Beginners | 2018 ready</v>
      </c>
    </row>
    <row r="11318">
      <c r="A11318" s="140" t="str">
        <f>IFERROR(__xludf.DUMMYFUNCTION("""COMPUTED_VALUE"""),"en")</f>
        <v>en</v>
      </c>
      <c r="B11318">
        <f>IFERROR(__xludf.DUMMYFUNCTION("""COMPUTED_VALUE"""),3273174.0)</f>
        <v>3273174</v>
      </c>
      <c r="C11318" t="str">
        <f>IFERROR(__xludf.DUMMYFUNCTION("""COMPUTED_VALUE"""),"Procurement Masterclass: A Complete Guide to Purchase To Pay")</f>
        <v>Procurement Masterclass: A Complete Guide to Purchase To Pay</v>
      </c>
    </row>
    <row r="11319">
      <c r="A11319" s="140" t="str">
        <f>IFERROR(__xludf.DUMMYFUNCTION("""COMPUTED_VALUE"""),"es")</f>
        <v>es</v>
      </c>
      <c r="B11319">
        <f>IFERROR(__xludf.DUMMYFUNCTION("""COMPUTED_VALUE"""),3657264.0)</f>
        <v>3657264</v>
      </c>
      <c r="C11319" t="str">
        <f>IFERROR(__xludf.DUMMYFUNCTION("""COMPUTED_VALUE"""),"Curso Fullstack Java y React - Curso practico")</f>
        <v>Curso Fullstack Java y React - Curso practico</v>
      </c>
    </row>
    <row r="11320">
      <c r="A11320" s="140" t="str">
        <f>IFERROR(__xludf.DUMMYFUNCTION("""COMPUTED_VALUE"""),"en")</f>
        <v>en</v>
      </c>
      <c r="B11320">
        <f>IFERROR(__xludf.DUMMYFUNCTION("""COMPUTED_VALUE"""),1362988.0)</f>
        <v>1362988</v>
      </c>
      <c r="C11320" t="str">
        <f>IFERROR(__xludf.DUMMYFUNCTION("""COMPUTED_VALUE"""),"Docker Swarm Mastery: DevOps Style Cluster Orchestration")</f>
        <v>Docker Swarm Mastery: DevOps Style Cluster Orchestration</v>
      </c>
    </row>
    <row r="11321">
      <c r="A11321" s="140" t="str">
        <f>IFERROR(__xludf.DUMMYFUNCTION("""COMPUTED_VALUE"""),"fr")</f>
        <v>fr</v>
      </c>
      <c r="B11321">
        <f>IFERROR(__xludf.DUMMYFUNCTION("""COMPUTED_VALUE"""),3145664.0)</f>
        <v>3145664</v>
      </c>
      <c r="C11321" t="str">
        <f>IFERROR(__xludf.DUMMYFUNCTION("""COMPUTED_VALUE"""),"Prise de parole en public – Le guide complet")</f>
        <v>Prise de parole en public – Le guide complet</v>
      </c>
    </row>
    <row r="11322">
      <c r="A11322" s="140" t="str">
        <f>IFERROR(__xludf.DUMMYFUNCTION("""COMPUTED_VALUE"""),"en")</f>
        <v>en</v>
      </c>
      <c r="B11322">
        <f>IFERROR(__xludf.DUMMYFUNCTION("""COMPUTED_VALUE"""),767836.0)</f>
        <v>767836</v>
      </c>
      <c r="C11322" t="str">
        <f>IFERROR(__xludf.DUMMYFUNCTION("""COMPUTED_VALUE"""),"Understanding Macroeconomics for University and Business")</f>
        <v>Understanding Macroeconomics for University and Business</v>
      </c>
    </row>
    <row r="11323">
      <c r="A11323" s="140" t="str">
        <f>IFERROR(__xludf.DUMMYFUNCTION("""COMPUTED_VALUE"""),"en")</f>
        <v>en</v>
      </c>
      <c r="B11323">
        <f>IFERROR(__xludf.DUMMYFUNCTION("""COMPUTED_VALUE"""),2427368.0)</f>
        <v>2427368</v>
      </c>
      <c r="C11323" t="str">
        <f>IFERROR(__xludf.DUMMYFUNCTION("""COMPUTED_VALUE"""),"CompTIA IT Fundamentals ITF+ Exam (FC0-U61) : Practice Tests")</f>
        <v>CompTIA IT Fundamentals ITF+ Exam (FC0-U61) : Practice Tests</v>
      </c>
    </row>
    <row r="11324">
      <c r="A11324" s="140" t="str">
        <f>IFERROR(__xludf.DUMMYFUNCTION("""COMPUTED_VALUE"""),"en")</f>
        <v>en</v>
      </c>
      <c r="B11324">
        <f>IFERROR(__xludf.DUMMYFUNCTION("""COMPUTED_VALUE"""),3493044.0)</f>
        <v>3493044</v>
      </c>
      <c r="C11324" t="str">
        <f>IFERROR(__xludf.DUMMYFUNCTION("""COMPUTED_VALUE"""),"Data Governance Fundamentals")</f>
        <v>Data Governance Fundamentals</v>
      </c>
    </row>
    <row r="11325">
      <c r="A11325" s="140" t="str">
        <f>IFERROR(__xludf.DUMMYFUNCTION("""COMPUTED_VALUE"""),"en")</f>
        <v>en</v>
      </c>
      <c r="B11325">
        <f>IFERROR(__xludf.DUMMYFUNCTION("""COMPUTED_VALUE"""),1459220.0)</f>
        <v>1459220</v>
      </c>
      <c r="C11325" t="str">
        <f>IFERROR(__xludf.DUMMYFUNCTION("""COMPUTED_VALUE"""),"Cisco CyberOps - 200-201 CBROPS - Exam Simulations (2020)")</f>
        <v>Cisco CyberOps - 200-201 CBROPS - Exam Simulations (2020)</v>
      </c>
    </row>
    <row r="11326">
      <c r="A11326" s="140" t="str">
        <f>IFERROR(__xludf.DUMMYFUNCTION("""COMPUTED_VALUE"""),"fr")</f>
        <v>fr</v>
      </c>
      <c r="B11326">
        <f>IFERROR(__xludf.DUMMYFUNCTION("""COMPUTED_VALUE"""),941978.0)</f>
        <v>941978</v>
      </c>
      <c r="C11326" t="str">
        <f>IFERROR(__xludf.DUMMYFUNCTION("""COMPUTED_VALUE"""),"Osez la confiance en vous ! - David Laroche")</f>
        <v>Osez la confiance en vous ! - David Laroche</v>
      </c>
    </row>
    <row r="11327">
      <c r="A11327" s="140" t="str">
        <f>IFERROR(__xludf.DUMMYFUNCTION("""COMPUTED_VALUE"""),"en")</f>
        <v>en</v>
      </c>
      <c r="B11327">
        <f>IFERROR(__xludf.DUMMYFUNCTION("""COMPUTED_VALUE"""),3368010.0)</f>
        <v>3368010</v>
      </c>
      <c r="C11327" t="str">
        <f>IFERROR(__xludf.DUMMYFUNCTION("""COMPUTED_VALUE"""),"Introduction to Supermetrics for Data Studio and BigQuery")</f>
        <v>Introduction to Supermetrics for Data Studio and BigQuery</v>
      </c>
    </row>
    <row r="11328">
      <c r="A11328" s="140" t="str">
        <f>IFERROR(__xludf.DUMMYFUNCTION("""COMPUTED_VALUE"""),"en")</f>
        <v>en</v>
      </c>
      <c r="B11328">
        <f>IFERROR(__xludf.DUMMYFUNCTION("""COMPUTED_VALUE"""),2285953.0)</f>
        <v>2285953</v>
      </c>
      <c r="C11328" t="str">
        <f>IFERROR(__xludf.DUMMYFUNCTION("""COMPUTED_VALUE"""),"Digital Electronics &amp; Logic Design")</f>
        <v>Digital Electronics &amp; Logic Design</v>
      </c>
    </row>
    <row r="11329">
      <c r="A11329" s="140" t="str">
        <f>IFERROR(__xludf.DUMMYFUNCTION("""COMPUTED_VALUE"""),"en")</f>
        <v>en</v>
      </c>
      <c r="B11329">
        <f>IFERROR(__xludf.DUMMYFUNCTION("""COMPUTED_VALUE"""),2853038.0)</f>
        <v>2853038</v>
      </c>
      <c r="C11329" t="str">
        <f>IFERROR(__xludf.DUMMYFUNCTION("""COMPUTED_VALUE"""),"Beginners Masterclass into Internet of Things")</f>
        <v>Beginners Masterclass into Internet of Things</v>
      </c>
    </row>
    <row r="11330">
      <c r="A11330" s="140" t="str">
        <f>IFERROR(__xludf.DUMMYFUNCTION("""COMPUTED_VALUE"""),"en")</f>
        <v>en</v>
      </c>
      <c r="B11330">
        <f>IFERROR(__xludf.DUMMYFUNCTION("""COMPUTED_VALUE"""),2682516.0)</f>
        <v>2682516</v>
      </c>
      <c r="C11330" t="str">
        <f>IFERROR(__xludf.DUMMYFUNCTION("""COMPUTED_VALUE"""),"Blue Prism Developer Certification AD01 2021")</f>
        <v>Blue Prism Developer Certification AD01 2021</v>
      </c>
    </row>
    <row r="11331">
      <c r="A11331" s="140" t="str">
        <f>IFERROR(__xludf.DUMMYFUNCTION("""COMPUTED_VALUE"""),"en")</f>
        <v>en</v>
      </c>
      <c r="B11331">
        <f>IFERROR(__xludf.DUMMYFUNCTION("""COMPUTED_VALUE"""),187246.0)</f>
        <v>187246</v>
      </c>
      <c r="C11331" t="str">
        <f>IFERROR(__xludf.DUMMYFUNCTION("""COMPUTED_VALUE"""),"SEO Training Masterclass 2021: Beginner SEO To Advanced SEO")</f>
        <v>SEO Training Masterclass 2021: Beginner SEO To Advanced SEO</v>
      </c>
    </row>
    <row r="11332">
      <c r="A11332" s="140" t="str">
        <f>IFERROR(__xludf.DUMMYFUNCTION("""COMPUTED_VALUE"""),"en")</f>
        <v>en</v>
      </c>
      <c r="B11332">
        <f>IFERROR(__xludf.DUMMYFUNCTION("""COMPUTED_VALUE"""),682346.0)</f>
        <v>682346</v>
      </c>
      <c r="C11332" t="str">
        <f>IFERROR(__xludf.DUMMYFUNCTION("""COMPUTED_VALUE"""),"Complete SAP OS/DB Migration")</f>
        <v>Complete SAP OS/DB Migration</v>
      </c>
    </row>
    <row r="11333">
      <c r="A11333" s="140" t="str">
        <f>IFERROR(__xludf.DUMMYFUNCTION("""COMPUTED_VALUE"""),"en")</f>
        <v>en</v>
      </c>
      <c r="B11333">
        <f>IFERROR(__xludf.DUMMYFUNCTION("""COMPUTED_VALUE"""),1357844.0)</f>
        <v>1357844</v>
      </c>
      <c r="C11333" t="str">
        <f>IFERROR(__xludf.DUMMYFUNCTION("""COMPUTED_VALUE"""),"Deep Learning and Computer Vision A-Z™: OpenCV, SSD &amp; GANs")</f>
        <v>Deep Learning and Computer Vision A-Z™: OpenCV, SSD &amp; GANs</v>
      </c>
    </row>
    <row r="11334">
      <c r="A11334" s="140" t="str">
        <f>IFERROR(__xludf.DUMMYFUNCTION("""COMPUTED_VALUE"""),"pt")</f>
        <v>pt</v>
      </c>
      <c r="B11334">
        <f>IFERROR(__xludf.DUMMYFUNCTION("""COMPUTED_VALUE"""),1195840.0)</f>
        <v>1195840</v>
      </c>
      <c r="C11334" t="str">
        <f>IFERROR(__xludf.DUMMYFUNCTION("""COMPUTED_VALUE"""),"Introdução ao Node JS + Express")</f>
        <v>Introdução ao Node JS + Express</v>
      </c>
    </row>
    <row r="11335">
      <c r="A11335" s="140" t="str">
        <f>IFERROR(__xludf.DUMMYFUNCTION("""COMPUTED_VALUE"""),"en")</f>
        <v>en</v>
      </c>
      <c r="B11335">
        <f>IFERROR(__xludf.DUMMYFUNCTION("""COMPUTED_VALUE"""),3521942.0)</f>
        <v>3521942</v>
      </c>
      <c r="C11335" t="str">
        <f>IFERROR(__xludf.DUMMYFUNCTION("""COMPUTED_VALUE"""),"Value Stream Mapping Masterclass: Become a VSM Specialist")</f>
        <v>Value Stream Mapping Masterclass: Become a VSM Specialist</v>
      </c>
    </row>
    <row r="11336">
      <c r="A11336" s="140" t="str">
        <f>IFERROR(__xludf.DUMMYFUNCTION("""COMPUTED_VALUE"""),"en")</f>
        <v>en</v>
      </c>
      <c r="B11336">
        <f>IFERROR(__xludf.DUMMYFUNCTION("""COMPUTED_VALUE"""),840958.0)</f>
        <v>840958</v>
      </c>
      <c r="C11336" t="str">
        <f>IFERROR(__xludf.DUMMYFUNCTION("""COMPUTED_VALUE"""),"3ds Max Mastery in 7 Hrs: Project Based Intro for Beginners")</f>
        <v>3ds Max Mastery in 7 Hrs: Project Based Intro for Beginners</v>
      </c>
    </row>
    <row r="11337">
      <c r="A11337" s="140" t="str">
        <f>IFERROR(__xludf.DUMMYFUNCTION("""COMPUTED_VALUE"""),"es")</f>
        <v>es</v>
      </c>
      <c r="B11337">
        <f>IFERROR(__xludf.DUMMYFUNCTION("""COMPUTED_VALUE"""),3866462.0)</f>
        <v>3866462</v>
      </c>
      <c r="C11337" t="str">
        <f>IFERROR(__xludf.DUMMYFUNCTION("""COMPUTED_VALUE"""),"MÁSTER en Penetration Testing y Ethical Hacking con Ruby")</f>
        <v>MÁSTER en Penetration Testing y Ethical Hacking con Ruby</v>
      </c>
    </row>
    <row r="11338">
      <c r="A11338" s="140" t="str">
        <f>IFERROR(__xludf.DUMMYFUNCTION("""COMPUTED_VALUE"""),"en")</f>
        <v>en</v>
      </c>
      <c r="B11338">
        <f>IFERROR(__xludf.DUMMYFUNCTION("""COMPUTED_VALUE"""),2837362.0)</f>
        <v>2837362</v>
      </c>
      <c r="C11338" t="str">
        <f>IFERROR(__xludf.DUMMYFUNCTION("""COMPUTED_VALUE"""),"The Lean Recruiting Toolkit: Advanced Strategy Course!")</f>
        <v>The Lean Recruiting Toolkit: Advanced Strategy Course!</v>
      </c>
    </row>
    <row r="11339">
      <c r="A11339" s="140" t="str">
        <f>IFERROR(__xludf.DUMMYFUNCTION("""COMPUTED_VALUE"""),"fr")</f>
        <v>fr</v>
      </c>
      <c r="B11339">
        <f>IFERROR(__xludf.DUMMYFUNCTION("""COMPUTED_VALUE"""),3229517.0)</f>
        <v>3229517</v>
      </c>
      <c r="C11339" t="str">
        <f>IFERROR(__xludf.DUMMYFUNCTION("""COMPUTED_VALUE"""),"Les bases de données spatiales-PostGIS dans Postgres et QGIS")</f>
        <v>Les bases de données spatiales-PostGIS dans Postgres et QGIS</v>
      </c>
    </row>
    <row r="11340">
      <c r="A11340" s="140" t="str">
        <f>IFERROR(__xludf.DUMMYFUNCTION("""COMPUTED_VALUE"""),"pt")</f>
        <v>pt</v>
      </c>
      <c r="B11340">
        <f>IFERROR(__xludf.DUMMYFUNCTION("""COMPUTED_VALUE"""),2607844.0)</f>
        <v>2607844</v>
      </c>
      <c r="C11340" t="str">
        <f>IFERROR(__xludf.DUMMYFUNCTION("""COMPUTED_VALUE"""),"Formação Engenheiro de Blockchain: O Curso Completo!")</f>
        <v>Formação Engenheiro de Blockchain: O Curso Completo!</v>
      </c>
    </row>
    <row r="11341">
      <c r="A11341" s="140" t="str">
        <f>IFERROR(__xludf.DUMMYFUNCTION("""COMPUTED_VALUE"""),"pt")</f>
        <v>pt</v>
      </c>
      <c r="B11341">
        <f>IFERROR(__xludf.DUMMYFUNCTION("""COMPUTED_VALUE"""),2320034.0)</f>
        <v>2320034</v>
      </c>
      <c r="C11341" t="str">
        <f>IFERROR(__xludf.DUMMYFUNCTION("""COMPUTED_VALUE"""),"GraphQL: Criando APIs Profissionais e Flexíveis")</f>
        <v>GraphQL: Criando APIs Profissionais e Flexíveis</v>
      </c>
    </row>
    <row r="11342">
      <c r="A11342" s="140" t="str">
        <f>IFERROR(__xludf.DUMMYFUNCTION("""COMPUTED_VALUE"""),"es")</f>
        <v>es</v>
      </c>
      <c r="B11342">
        <f>IFERROR(__xludf.DUMMYFUNCTION("""COMPUTED_VALUE"""),2440972.0)</f>
        <v>2440972</v>
      </c>
      <c r="C11342" t="str">
        <f>IFERROR(__xludf.DUMMYFUNCTION("""COMPUTED_VALUE"""),"Marketing de Contenidos para Principiantes: La Guía Completa")</f>
        <v>Marketing de Contenidos para Principiantes: La Guía Completa</v>
      </c>
    </row>
    <row r="11343">
      <c r="A11343" s="140" t="str">
        <f>IFERROR(__xludf.DUMMYFUNCTION("""COMPUTED_VALUE"""),"es")</f>
        <v>es</v>
      </c>
      <c r="B11343">
        <f>IFERROR(__xludf.DUMMYFUNCTION("""COMPUTED_VALUE"""),3161208.0)</f>
        <v>3161208</v>
      </c>
      <c r="C11343" t="str">
        <f>IFERROR(__xludf.DUMMYFUNCTION("""COMPUTED_VALUE"""),"Espanhol Completo A1 (Iniciante 1) - @espanholnomundo")</f>
        <v>Espanhol Completo A1 (Iniciante 1) - @espanholnomundo</v>
      </c>
    </row>
    <row r="11344">
      <c r="A11344" s="140" t="str">
        <f>IFERROR(__xludf.DUMMYFUNCTION("""COMPUTED_VALUE"""),"zh")</f>
        <v>zh</v>
      </c>
      <c r="B11344">
        <f>IFERROR(__xludf.DUMMYFUNCTION("""COMPUTED_VALUE"""),2452606.0)</f>
        <v>2452606</v>
      </c>
      <c r="C11344" t="str">
        <f>IFERROR(__xludf.DUMMYFUNCTION("""COMPUTED_VALUE"""),"MBA完整商业课程(MBA in a Box in Chinese)")</f>
        <v>MBA完整商业课程(MBA in a Box in Chinese)</v>
      </c>
    </row>
    <row r="11345">
      <c r="A11345" s="140" t="str">
        <f>IFERROR(__xludf.DUMMYFUNCTION("""COMPUTED_VALUE"""),"de")</f>
        <v>de</v>
      </c>
      <c r="B11345">
        <f>IFERROR(__xludf.DUMMYFUNCTION("""COMPUTED_VALUE"""),3687358.0)</f>
        <v>3687358</v>
      </c>
      <c r="C11345" t="str">
        <f>IFERROR(__xludf.DUMMYFUNCTION("""COMPUTED_VALUE"""),"Englisch für Fortgeschrittene Anfänger (A2)")</f>
        <v>Englisch für Fortgeschrittene Anfänger (A2)</v>
      </c>
    </row>
    <row r="11346">
      <c r="A11346" s="140" t="str">
        <f>IFERROR(__xludf.DUMMYFUNCTION("""COMPUTED_VALUE"""),"de")</f>
        <v>de</v>
      </c>
      <c r="B11346">
        <f>IFERROR(__xludf.DUMMYFUNCTION("""COMPUTED_VALUE"""),2104842.0)</f>
        <v>2104842</v>
      </c>
      <c r="C11346" t="str">
        <f>IFERROR(__xludf.DUMMYFUNCTION("""COMPUTED_VALUE"""),"Hiragana Lesen und Schreiben lernen")</f>
        <v>Hiragana Lesen und Schreiben lernen</v>
      </c>
    </row>
    <row r="11347">
      <c r="A11347" s="140" t="str">
        <f>IFERROR(__xludf.DUMMYFUNCTION("""COMPUTED_VALUE"""),"es")</f>
        <v>es</v>
      </c>
      <c r="B11347">
        <f>IFERROR(__xludf.DUMMYFUNCTION("""COMPUTED_VALUE"""),1044864.0)</f>
        <v>1044864</v>
      </c>
      <c r="C11347" t="str">
        <f>IFERROR(__xludf.DUMMYFUNCTION("""COMPUTED_VALUE"""),"Confianza Indestructible en 30 días")</f>
        <v>Confianza Indestructible en 30 días</v>
      </c>
    </row>
    <row r="11348">
      <c r="A11348" s="140" t="str">
        <f>IFERROR(__xludf.DUMMYFUNCTION("""COMPUTED_VALUE"""),"es")</f>
        <v>es</v>
      </c>
      <c r="B11348">
        <f>IFERROR(__xludf.DUMMYFUNCTION("""COMPUTED_VALUE"""),2570310.0)</f>
        <v>2570310</v>
      </c>
      <c r="C11348" t="str">
        <f>IFERROR(__xludf.DUMMYFUNCTION("""COMPUTED_VALUE"""),"Procesa Pagos y Suscripciones con Laravel y Llamados a APIs")</f>
        <v>Procesa Pagos y Suscripciones con Laravel y Llamados a APIs</v>
      </c>
    </row>
    <row r="11349">
      <c r="A11349" s="140" t="str">
        <f>IFERROR(__xludf.DUMMYFUNCTION("""COMPUTED_VALUE"""),"es")</f>
        <v>es</v>
      </c>
      <c r="B11349">
        <f>IFERROR(__xludf.DUMMYFUNCTION("""COMPUTED_VALUE"""),2213022.0)</f>
        <v>2213022</v>
      </c>
      <c r="C11349" t="str">
        <f>IFERROR(__xludf.DUMMYFUNCTION("""COMPUTED_VALUE"""),"PrestaShop 1.7: Crea tu Tienda Online de 0 a Experto!")</f>
        <v>PrestaShop 1.7: Crea tu Tienda Online de 0 a Experto!</v>
      </c>
    </row>
    <row r="11350">
      <c r="A11350" s="140" t="str">
        <f>IFERROR(__xludf.DUMMYFUNCTION("""COMPUTED_VALUE"""),"es")</f>
        <v>es</v>
      </c>
      <c r="B11350">
        <f>IFERROR(__xludf.DUMMYFUNCTION("""COMPUTED_VALUE"""),3778016.0)</f>
        <v>3778016</v>
      </c>
      <c r="C11350" t="str">
        <f>IFERROR(__xludf.DUMMYFUNCTION("""COMPUTED_VALUE"""),"Google Cloud Platform - Fundamentos Laboratorios y Practicas")</f>
        <v>Google Cloud Platform - Fundamentos Laboratorios y Practicas</v>
      </c>
    </row>
    <row r="11351">
      <c r="A11351" s="140" t="str">
        <f>IFERROR(__xludf.DUMMYFUNCTION("""COMPUTED_VALUE"""),"en")</f>
        <v>en</v>
      </c>
      <c r="B11351">
        <f>IFERROR(__xludf.DUMMYFUNCTION("""COMPUTED_VALUE"""),892806.0)</f>
        <v>892806</v>
      </c>
      <c r="C11351" t="str">
        <f>IFERROR(__xludf.DUMMYFUNCTION("""COMPUTED_VALUE"""),"Apache Spark with Scala - Hands On with Big Data!")</f>
        <v>Apache Spark with Scala - Hands On with Big Data!</v>
      </c>
    </row>
    <row r="11352">
      <c r="A11352" s="140" t="str">
        <f>IFERROR(__xludf.DUMMYFUNCTION("""COMPUTED_VALUE"""),"en")</f>
        <v>en</v>
      </c>
      <c r="B11352">
        <f>IFERROR(__xludf.DUMMYFUNCTION("""COMPUTED_VALUE"""),1361790.0)</f>
        <v>1361790</v>
      </c>
      <c r="C11352" t="str">
        <f>IFERROR(__xludf.DUMMYFUNCTION("""COMPUTED_VALUE"""),"PMP Exam Prep Seminar - 2021 Exam Content with 35 PDUs")</f>
        <v>PMP Exam Prep Seminar - 2021 Exam Content with 35 PDUs</v>
      </c>
    </row>
    <row r="11353">
      <c r="A11353" s="140" t="str">
        <f>IFERROR(__xludf.DUMMYFUNCTION("""COMPUTED_VALUE"""),"en")</f>
        <v>en</v>
      </c>
      <c r="B11353">
        <f>IFERROR(__xludf.DUMMYFUNCTION("""COMPUTED_VALUE"""),3637254.0)</f>
        <v>3637254</v>
      </c>
      <c r="C11353" t="str">
        <f>IFERROR(__xludf.DUMMYFUNCTION("""COMPUTED_VALUE"""),"Deploy Infra in the Cloud using Terraform")</f>
        <v>Deploy Infra in the Cloud using Terraform</v>
      </c>
    </row>
    <row r="11354">
      <c r="A11354" s="140" t="str">
        <f>IFERROR(__xludf.DUMMYFUNCTION("""COMPUTED_VALUE"""),"en")</f>
        <v>en</v>
      </c>
      <c r="B11354">
        <f>IFERROR(__xludf.DUMMYFUNCTION("""COMPUTED_VALUE"""),1848328.0)</f>
        <v>1848328</v>
      </c>
      <c r="C11354" t="str">
        <f>IFERROR(__xludf.DUMMYFUNCTION("""COMPUTED_VALUE"""),"Hibernate: Advanced Development Techniques")</f>
        <v>Hibernate: Advanced Development Techniques</v>
      </c>
    </row>
    <row r="11355">
      <c r="A11355" s="140" t="str">
        <f>IFERROR(__xludf.DUMMYFUNCTION("""COMPUTED_VALUE"""),"en")</f>
        <v>en</v>
      </c>
      <c r="B11355">
        <f>IFERROR(__xludf.DUMMYFUNCTION("""COMPUTED_VALUE"""),45136.0)</f>
        <v>45136</v>
      </c>
      <c r="C11355" t="str">
        <f>IFERROR(__xludf.DUMMYFUNCTION("""COMPUTED_VALUE"""),"Weekly Options and study of Options expiration dynamics")</f>
        <v>Weekly Options and study of Options expiration dynamics</v>
      </c>
    </row>
    <row r="11356">
      <c r="A11356" s="140" t="str">
        <f>IFERROR(__xludf.DUMMYFUNCTION("""COMPUTED_VALUE"""),"ja")</f>
        <v>ja</v>
      </c>
      <c r="B11356">
        <f>IFERROR(__xludf.DUMMYFUNCTION("""COMPUTED_VALUE"""),927198.0)</f>
        <v>927198</v>
      </c>
      <c r="C11356" t="str">
        <f>IFERROR(__xludf.DUMMYFUNCTION("""COMPUTED_VALUE"""),"【3日でできる】はじめてのLinuxサーバー構築入門（CentOS 7・PHP 7・Docker対応）")</f>
        <v>【3日でできる】はじめてのLinuxサーバー構築入門（CentOS 7・PHP 7・Docker対応）</v>
      </c>
    </row>
    <row r="11357">
      <c r="A11357" s="140" t="str">
        <f>IFERROR(__xludf.DUMMYFUNCTION("""COMPUTED_VALUE"""),"en")</f>
        <v>en</v>
      </c>
      <c r="B11357">
        <f>IFERROR(__xludf.DUMMYFUNCTION("""COMPUTED_VALUE"""),2694740.0)</f>
        <v>2694740</v>
      </c>
      <c r="C11357" t="str">
        <f>IFERROR(__xludf.DUMMYFUNCTION("""COMPUTED_VALUE"""),"AWS Serverless Design for IoT")</f>
        <v>AWS Serverless Design for IoT</v>
      </c>
    </row>
    <row r="11358">
      <c r="A11358" s="140" t="str">
        <f>IFERROR(__xludf.DUMMYFUNCTION("""COMPUTED_VALUE"""),"en")</f>
        <v>en</v>
      </c>
      <c r="B11358">
        <f>IFERROR(__xludf.DUMMYFUNCTION("""COMPUTED_VALUE"""),2346354.0)</f>
        <v>2346354</v>
      </c>
      <c r="C11358" t="str">
        <f>IFERROR(__xludf.DUMMYFUNCTION("""COMPUTED_VALUE"""),"Break out of Excel and into Tableau in 90 Minutes")</f>
        <v>Break out of Excel and into Tableau in 90 Minutes</v>
      </c>
    </row>
    <row r="11359">
      <c r="A11359" s="140" t="str">
        <f>IFERROR(__xludf.DUMMYFUNCTION("""COMPUTED_VALUE"""),"en")</f>
        <v>en</v>
      </c>
      <c r="B11359">
        <f>IFERROR(__xludf.DUMMYFUNCTION("""COMPUTED_VALUE"""),2249104.0)</f>
        <v>2249104</v>
      </c>
      <c r="C11359" t="str">
        <f>IFERROR(__xludf.DUMMYFUNCTION("""COMPUTED_VALUE"""),"Domain Driven Design: Complete Software Architecture Course")</f>
        <v>Domain Driven Design: Complete Software Architecture Course</v>
      </c>
    </row>
    <row r="11360">
      <c r="A11360" s="140" t="str">
        <f>IFERROR(__xludf.DUMMYFUNCTION("""COMPUTED_VALUE"""),"en")</f>
        <v>en</v>
      </c>
      <c r="B11360">
        <f>IFERROR(__xludf.DUMMYFUNCTION("""COMPUTED_VALUE"""),2514204.0)</f>
        <v>2514204</v>
      </c>
      <c r="C11360" t="str">
        <f>IFERROR(__xludf.DUMMYFUNCTION("""COMPUTED_VALUE"""),"AZ-900: Microsoft Azure Fundamentals Original Practice Tests")</f>
        <v>AZ-900: Microsoft Azure Fundamentals Original Practice Tests</v>
      </c>
    </row>
    <row r="11361">
      <c r="A11361" s="140" t="str">
        <f>IFERROR(__xludf.DUMMYFUNCTION("""COMPUTED_VALUE"""),"en")</f>
        <v>en</v>
      </c>
      <c r="B11361">
        <f>IFERROR(__xludf.DUMMYFUNCTION("""COMPUTED_VALUE"""),68736.0)</f>
        <v>68736</v>
      </c>
      <c r="C11361" t="str">
        <f>IFERROR(__xludf.DUMMYFUNCTION("""COMPUTED_VALUE"""),"Marketing Research: support your marketing decisions")</f>
        <v>Marketing Research: support your marketing decisions</v>
      </c>
    </row>
    <row r="11362">
      <c r="A11362" s="140" t="str">
        <f>IFERROR(__xludf.DUMMYFUNCTION("""COMPUTED_VALUE"""),"en")</f>
        <v>en</v>
      </c>
      <c r="B11362">
        <f>IFERROR(__xludf.DUMMYFUNCTION("""COMPUTED_VALUE"""),3939902.0)</f>
        <v>3939902</v>
      </c>
      <c r="C11362" t="str">
        <f>IFERROR(__xludf.DUMMYFUNCTION("""COMPUTED_VALUE"""),"Terraform on AWS with SRE &amp; IaC DevOps | Real-World 20 Demos")</f>
        <v>Terraform on AWS with SRE &amp; IaC DevOps | Real-World 20 Demos</v>
      </c>
    </row>
    <row r="11363">
      <c r="A11363" s="140" t="str">
        <f>IFERROR(__xludf.DUMMYFUNCTION("""COMPUTED_VALUE"""),"en")</f>
        <v>en</v>
      </c>
      <c r="B11363">
        <f>IFERROR(__xludf.DUMMYFUNCTION("""COMPUTED_VALUE"""),2815517.0)</f>
        <v>2815517</v>
      </c>
      <c r="C11363" t="str">
        <f>IFERROR(__xludf.DUMMYFUNCTION("""COMPUTED_VALUE"""),"Kanban Practitioner and Using Scrum™ with Kanban")</f>
        <v>Kanban Practitioner and Using Scrum™ with Kanban</v>
      </c>
    </row>
    <row r="11364">
      <c r="A11364" s="140" t="str">
        <f>IFERROR(__xludf.DUMMYFUNCTION("""COMPUTED_VALUE"""),"en")</f>
        <v>en</v>
      </c>
      <c r="B11364">
        <f>IFERROR(__xludf.DUMMYFUNCTION("""COMPUTED_VALUE"""),1138208.0)</f>
        <v>1138208</v>
      </c>
      <c r="C11364" t="str">
        <f>IFERROR(__xludf.DUMMYFUNCTION("""COMPUTED_VALUE"""),"Bookkeeping Basics #2: Understand The Mechanics")</f>
        <v>Bookkeeping Basics #2: Understand The Mechanics</v>
      </c>
    </row>
    <row r="11365">
      <c r="A11365" s="140" t="str">
        <f>IFERROR(__xludf.DUMMYFUNCTION("""COMPUTED_VALUE"""),"ja")</f>
        <v>ja</v>
      </c>
      <c r="B11365">
        <f>IFERROR(__xludf.DUMMYFUNCTION("""COMPUTED_VALUE"""),2148120.0)</f>
        <v>2148120</v>
      </c>
      <c r="C11365" t="str">
        <f>IFERROR(__xludf.DUMMYFUNCTION("""COMPUTED_VALUE"""),"現役エンジニアが教える、手を動かして学ぶGoogle Cloud Platform(GCP) 入門")</f>
        <v>現役エンジニアが教える、手を動かして学ぶGoogle Cloud Platform(GCP) 入門</v>
      </c>
    </row>
    <row r="11366">
      <c r="A11366" s="140" t="str">
        <f>IFERROR(__xludf.DUMMYFUNCTION("""COMPUTED_VALUE"""),"pt")</f>
        <v>pt</v>
      </c>
      <c r="B11366">
        <f>IFERROR(__xludf.DUMMYFUNCTION("""COMPUTED_VALUE"""),2067821.0)</f>
        <v>2067821</v>
      </c>
      <c r="C11366" t="str">
        <f>IFERROR(__xludf.DUMMYFUNCTION("""COMPUTED_VALUE"""),"15 Estratégias para criar elos emocionais com os clientes")</f>
        <v>15 Estratégias para criar elos emocionais com os clientes</v>
      </c>
    </row>
    <row r="11367">
      <c r="A11367" s="140" t="str">
        <f>IFERROR(__xludf.DUMMYFUNCTION("""COMPUTED_VALUE"""),"es")</f>
        <v>es</v>
      </c>
      <c r="B11367">
        <f>IFERROR(__xludf.DUMMYFUNCTION("""COMPUTED_VALUE"""),1805854.0)</f>
        <v>1805854</v>
      </c>
      <c r="C11367" t="str">
        <f>IFERROR(__xludf.DUMMYFUNCTION("""COMPUTED_VALUE"""),"Curso Completo de SPSS de la A a la Z")</f>
        <v>Curso Completo de SPSS de la A a la Z</v>
      </c>
    </row>
    <row r="11368">
      <c r="A11368" s="140" t="str">
        <f>IFERROR(__xludf.DUMMYFUNCTION("""COMPUTED_VALUE"""),"ja")</f>
        <v>ja</v>
      </c>
      <c r="B11368">
        <f>IFERROR(__xludf.DUMMYFUNCTION("""COMPUTED_VALUE"""),2841690.0)</f>
        <v>2841690</v>
      </c>
      <c r="C11368" t="str">
        <f>IFERROR(__xludf.DUMMYFUNCTION("""COMPUTED_VALUE"""),"最新のBIツールを使って、バラバラなデータを１つにまとめ、ビジュアル化するまでを体験するコース")</f>
        <v>最新のBIツールを使って、バラバラなデータを１つにまとめ、ビジュアル化するまでを体験するコース</v>
      </c>
    </row>
    <row r="11369">
      <c r="A11369" s="140" t="str">
        <f>IFERROR(__xludf.DUMMYFUNCTION("""COMPUTED_VALUE"""),"en")</f>
        <v>en</v>
      </c>
      <c r="B11369">
        <f>IFERROR(__xludf.DUMMYFUNCTION("""COMPUTED_VALUE"""),1329100.0)</f>
        <v>1329100</v>
      </c>
      <c r="C11369" t="str">
        <f>IFERROR(__xludf.DUMMYFUNCTION("""COMPUTED_VALUE"""),"Progressive Web Apps (PWA) - The Complete Guide")</f>
        <v>Progressive Web Apps (PWA) - The Complete Guide</v>
      </c>
    </row>
    <row r="11370">
      <c r="A11370" s="140" t="str">
        <f>IFERROR(__xludf.DUMMYFUNCTION("""COMPUTED_VALUE"""),"de")</f>
        <v>de</v>
      </c>
      <c r="B11370">
        <f>IFERROR(__xludf.DUMMYFUNCTION("""COMPUTED_VALUE"""),3441820.0)</f>
        <v>3441820</v>
      </c>
      <c r="C11370" t="str">
        <f>IFERROR(__xludf.DUMMYFUNCTION("""COMPUTED_VALUE"""),"Bilanzen lesen und verstehen")</f>
        <v>Bilanzen lesen und verstehen</v>
      </c>
    </row>
    <row r="11371">
      <c r="A11371" s="140" t="str">
        <f>IFERROR(__xludf.DUMMYFUNCTION("""COMPUTED_VALUE"""),"en")</f>
        <v>en</v>
      </c>
      <c r="B11371">
        <f>IFERROR(__xludf.DUMMYFUNCTION("""COMPUTED_VALUE"""),1309308.0)</f>
        <v>1309308</v>
      </c>
      <c r="C11371" t="str">
        <f>IFERROR(__xludf.DUMMYFUNCTION("""COMPUTED_VALUE"""),"Business Writing For Busy People")</f>
        <v>Business Writing For Busy People</v>
      </c>
    </row>
    <row r="11372">
      <c r="A11372" s="140" t="str">
        <f>IFERROR(__xludf.DUMMYFUNCTION("""COMPUTED_VALUE"""),"en")</f>
        <v>en</v>
      </c>
      <c r="B11372">
        <f>IFERROR(__xludf.DUMMYFUNCTION("""COMPUTED_VALUE"""),2653276.0)</f>
        <v>2653276</v>
      </c>
      <c r="C11372" t="str">
        <f>IFERROR(__xludf.DUMMYFUNCTION("""COMPUTED_VALUE"""),"Being Strategic: Thinking and Acting with Impact")</f>
        <v>Being Strategic: Thinking and Acting with Impact</v>
      </c>
    </row>
    <row r="11373">
      <c r="A11373" s="140" t="str">
        <f>IFERROR(__xludf.DUMMYFUNCTION("""COMPUTED_VALUE"""),"en")</f>
        <v>en</v>
      </c>
      <c r="B11373">
        <f>IFERROR(__xludf.DUMMYFUNCTION("""COMPUTED_VALUE"""),622228.0)</f>
        <v>622228</v>
      </c>
      <c r="C11373" t="str">
        <f>IFERROR(__xludf.DUMMYFUNCTION("""COMPUTED_VALUE"""),"Mastering Windows 10 Made Easy Training Tutorial")</f>
        <v>Mastering Windows 10 Made Easy Training Tutorial</v>
      </c>
    </row>
    <row r="11374">
      <c r="A11374" s="140" t="str">
        <f>IFERROR(__xludf.DUMMYFUNCTION("""COMPUTED_VALUE"""),"en")</f>
        <v>en</v>
      </c>
      <c r="B11374">
        <f>IFERROR(__xludf.DUMMYFUNCTION("""COMPUTED_VALUE"""),1456464.0)</f>
        <v>1456464</v>
      </c>
      <c r="C11374" t="str">
        <f>IFERROR(__xludf.DUMMYFUNCTION("""COMPUTED_VALUE"""),"CompTIA CySA+ (CS0-002) Complete Course &amp; Practice Exam")</f>
        <v>CompTIA CySA+ (CS0-002) Complete Course &amp; Practice Exam</v>
      </c>
    </row>
    <row r="11375">
      <c r="A11375" s="140" t="str">
        <f>IFERROR(__xludf.DUMMYFUNCTION("""COMPUTED_VALUE"""),"en")</f>
        <v>en</v>
      </c>
      <c r="B11375">
        <f>IFERROR(__xludf.DUMMYFUNCTION("""COMPUTED_VALUE"""),3346204.0)</f>
        <v>3346204</v>
      </c>
      <c r="C11375" t="str">
        <f>IFERROR(__xludf.DUMMYFUNCTION("""COMPUTED_VALUE"""),"Reverse Engineering 4: Software Protection")</f>
        <v>Reverse Engineering 4: Software Protection</v>
      </c>
    </row>
    <row r="11376">
      <c r="A11376" s="140" t="str">
        <f>IFERROR(__xludf.DUMMYFUNCTION("""COMPUTED_VALUE"""),"tr")</f>
        <v>tr</v>
      </c>
      <c r="B11376">
        <f>IFERROR(__xludf.DUMMYFUNCTION("""COMPUTED_VALUE"""),1849592.0)</f>
        <v>1849592</v>
      </c>
      <c r="C11376" t="str">
        <f>IFERROR(__xludf.DUMMYFUNCTION("""COMPUTED_VALUE"""),"Linux A-Z™ | Uygulamalarla Sıfırdan Linux Eğitimi")</f>
        <v>Linux A-Z™ | Uygulamalarla Sıfırdan Linux Eğitimi</v>
      </c>
    </row>
    <row r="11377">
      <c r="A11377" s="140" t="str">
        <f>IFERROR(__xludf.DUMMYFUNCTION("""COMPUTED_VALUE"""),"en")</f>
        <v>en</v>
      </c>
      <c r="B11377">
        <f>IFERROR(__xludf.DUMMYFUNCTION("""COMPUTED_VALUE"""),1844356.0)</f>
        <v>1844356</v>
      </c>
      <c r="C11377" t="str">
        <f>IFERROR(__xludf.DUMMYFUNCTION("""COMPUTED_VALUE"""),"Complete guide to ASP.NET Core MVC (.NET 6)")</f>
        <v>Complete guide to ASP.NET Core MVC (.NET 6)</v>
      </c>
    </row>
    <row r="11378">
      <c r="A11378" s="140" t="str">
        <f>IFERROR(__xludf.DUMMYFUNCTION("""COMPUTED_VALUE"""),"en")</f>
        <v>en</v>
      </c>
      <c r="B11378">
        <f>IFERROR(__xludf.DUMMYFUNCTION("""COMPUTED_VALUE"""),697346.0)</f>
        <v>697346</v>
      </c>
      <c r="C11378" t="str">
        <f>IFERROR(__xludf.DUMMYFUNCTION("""COMPUTED_VALUE"""),"Leadership Styles and Corporate Culture")</f>
        <v>Leadership Styles and Corporate Culture</v>
      </c>
    </row>
    <row r="11379">
      <c r="A11379" s="140" t="str">
        <f>IFERROR(__xludf.DUMMYFUNCTION("""COMPUTED_VALUE"""),"en")</f>
        <v>en</v>
      </c>
      <c r="B11379">
        <f>IFERROR(__xludf.DUMMYFUNCTION("""COMPUTED_VALUE"""),821986.0)</f>
        <v>821986</v>
      </c>
      <c r="C11379" t="str">
        <f>IFERROR(__xludf.DUMMYFUNCTION("""COMPUTED_VALUE"""),"Complete Java SE 8 Developer Bootcamp - OCA Prep Included")</f>
        <v>Complete Java SE 8 Developer Bootcamp - OCA Prep Included</v>
      </c>
    </row>
    <row r="11380">
      <c r="A11380" s="140" t="str">
        <f>IFERROR(__xludf.DUMMYFUNCTION("""COMPUTED_VALUE"""),"en")</f>
        <v>en</v>
      </c>
      <c r="B11380">
        <f>IFERROR(__xludf.DUMMYFUNCTION("""COMPUTED_VALUE"""),129118.0)</f>
        <v>129118</v>
      </c>
      <c r="C11380" t="str">
        <f>IFERROR(__xludf.DUMMYFUNCTION("""COMPUTED_VALUE"""),"Product Management 101")</f>
        <v>Product Management 101</v>
      </c>
    </row>
    <row r="11381">
      <c r="A11381" s="140" t="str">
        <f>IFERROR(__xludf.DUMMYFUNCTION("""COMPUTED_VALUE"""),"en")</f>
        <v>en</v>
      </c>
      <c r="B11381">
        <f>IFERROR(__xludf.DUMMYFUNCTION("""COMPUTED_VALUE"""),1798930.0)</f>
        <v>1798930</v>
      </c>
      <c r="C11381" t="str">
        <f>IFERROR(__xludf.DUMMYFUNCTION("""COMPUTED_VALUE"""),"Constructing a Website With Google Sites")</f>
        <v>Constructing a Website With Google Sites</v>
      </c>
    </row>
    <row r="11382">
      <c r="A11382" s="140" t="str">
        <f>IFERROR(__xludf.DUMMYFUNCTION("""COMPUTED_VALUE"""),"ja")</f>
        <v>ja</v>
      </c>
      <c r="B11382">
        <f>IFERROR(__xludf.DUMMYFUNCTION("""COMPUTED_VALUE"""),1723932.0)</f>
        <v>1723932</v>
      </c>
      <c r="C11382" t="str">
        <f>IFERROR(__xludf.DUMMYFUNCTION("""COMPUTED_VALUE"""),"【4日間でチャレンジ】Python 3・ PyTorch によるディープラーニング・AIアプリ開発入門")</f>
        <v>【4日間でチャレンジ】Python 3・ PyTorch によるディープラーニング・AIアプリ開発入門</v>
      </c>
    </row>
    <row r="11383">
      <c r="A11383" s="140" t="str">
        <f>IFERROR(__xludf.DUMMYFUNCTION("""COMPUTED_VALUE"""),"en")</f>
        <v>en</v>
      </c>
      <c r="B11383">
        <f>IFERROR(__xludf.DUMMYFUNCTION("""COMPUTED_VALUE"""),3389138.0)</f>
        <v>3389138</v>
      </c>
      <c r="C11383" t="str">
        <f>IFERROR(__xludf.DUMMYFUNCTION("""COMPUTED_VALUE"""),"Complete Introduction to AWS QuickSight [2021 Edition]")</f>
        <v>Complete Introduction to AWS QuickSight [2021 Edition]</v>
      </c>
    </row>
    <row r="11384">
      <c r="A11384" s="140" t="str">
        <f>IFERROR(__xludf.DUMMYFUNCTION("""COMPUTED_VALUE"""),"en")</f>
        <v>en</v>
      </c>
      <c r="B11384">
        <f>IFERROR(__xludf.DUMMYFUNCTION("""COMPUTED_VALUE"""),2563788.0)</f>
        <v>2563788</v>
      </c>
      <c r="C11384" t="str">
        <f>IFERROR(__xludf.DUMMYFUNCTION("""COMPUTED_VALUE"""),"Advanced Python: Python OOP with 10 Real-World Programs")</f>
        <v>Advanced Python: Python OOP with 10 Real-World Programs</v>
      </c>
    </row>
    <row r="11385">
      <c r="A11385" s="140" t="str">
        <f>IFERROR(__xludf.DUMMYFUNCTION("""COMPUTED_VALUE"""),"tr")</f>
        <v>tr</v>
      </c>
      <c r="B11385">
        <f>IFERROR(__xludf.DUMMYFUNCTION("""COMPUTED_VALUE"""),2607458.0)</f>
        <v>2607458</v>
      </c>
      <c r="C11385" t="str">
        <f>IFERROR(__xludf.DUMMYFUNCTION("""COMPUTED_VALUE"""),"Türkçe SAP/ABAP 4 Eğitim Seti")</f>
        <v>Türkçe SAP/ABAP 4 Eğitim Seti</v>
      </c>
    </row>
    <row r="11386">
      <c r="A11386" s="140" t="str">
        <f>IFERROR(__xludf.DUMMYFUNCTION("""COMPUTED_VALUE"""),"pt")</f>
        <v>pt</v>
      </c>
      <c r="B11386">
        <f>IFERROR(__xludf.DUMMYFUNCTION("""COMPUTED_VALUE"""),1849492.0)</f>
        <v>1849492</v>
      </c>
      <c r="C11386" t="str">
        <f>IFERROR(__xludf.DUMMYFUNCTION("""COMPUTED_VALUE"""),"Elementor PRO - Como Criar Temas Personalizados no WordPress")</f>
        <v>Elementor PRO - Como Criar Temas Personalizados no WordPress</v>
      </c>
    </row>
    <row r="11387">
      <c r="A11387" s="140" t="str">
        <f>IFERROR(__xludf.DUMMYFUNCTION("""COMPUTED_VALUE"""),"pt")</f>
        <v>pt</v>
      </c>
      <c r="B11387">
        <f>IFERROR(__xludf.DUMMYFUNCTION("""COMPUTED_VALUE"""),1557696.0)</f>
        <v>1557696</v>
      </c>
      <c r="C11387" t="str">
        <f>IFERROR(__xludf.DUMMYFUNCTION("""COMPUTED_VALUE"""),"Microsoft Office - Word e Excel Iniciante ao Intermediário")</f>
        <v>Microsoft Office - Word e Excel Iniciante ao Intermediário</v>
      </c>
    </row>
    <row r="11388">
      <c r="A11388" s="140" t="str">
        <f>IFERROR(__xludf.DUMMYFUNCTION("""COMPUTED_VALUE"""),"en")</f>
        <v>en</v>
      </c>
      <c r="B11388">
        <f>IFERROR(__xludf.DUMMYFUNCTION("""COMPUTED_VALUE"""),1768792.0)</f>
        <v>1768792</v>
      </c>
      <c r="C11388" t="str">
        <f>IFERROR(__xludf.DUMMYFUNCTION("""COMPUTED_VALUE"""),"The Complete iOS 12 &amp; Swift Developer Course - Build 28 Apps")</f>
        <v>The Complete iOS 12 &amp; Swift Developer Course - Build 28 Apps</v>
      </c>
    </row>
    <row r="11389">
      <c r="A11389" s="140" t="str">
        <f>IFERROR(__xludf.DUMMYFUNCTION("""COMPUTED_VALUE"""),"ko")</f>
        <v>ko</v>
      </c>
      <c r="B11389">
        <f>IFERROR(__xludf.DUMMYFUNCTION("""COMPUTED_VALUE"""),4270198.0)</f>
        <v>4270198</v>
      </c>
      <c r="C11389" t="str">
        <f>IFERROR(__xludf.DUMMYFUNCTION("""COMPUTED_VALUE"""),"그로스 마케팅 패키지 - 데이터 드리븐 마케팅, 프로모션, 퍼널 전략")</f>
        <v>그로스 마케팅 패키지 - 데이터 드리븐 마케팅, 프로모션, 퍼널 전략</v>
      </c>
    </row>
    <row r="11390">
      <c r="A11390" s="140" t="str">
        <f>IFERROR(__xludf.DUMMYFUNCTION("""COMPUTED_VALUE"""),"en")</f>
        <v>en</v>
      </c>
      <c r="B11390">
        <f>IFERROR(__xludf.DUMMYFUNCTION("""COMPUTED_VALUE"""),2472890.0)</f>
        <v>2472890</v>
      </c>
      <c r="C11390" t="str">
        <f>IFERROR(__xludf.DUMMYFUNCTION("""COMPUTED_VALUE"""),"Artificial Intelligence for Simple Games")</f>
        <v>Artificial Intelligence for Simple Games</v>
      </c>
    </row>
    <row r="11391">
      <c r="A11391" s="140" t="str">
        <f>IFERROR(__xludf.DUMMYFUNCTION("""COMPUTED_VALUE"""),"ar")</f>
        <v>ar</v>
      </c>
      <c r="B11391">
        <f>IFERROR(__xludf.DUMMYFUNCTION("""COMPUTED_VALUE"""),2060979.0)</f>
        <v>2060979</v>
      </c>
      <c r="C11391" t="str">
        <f>IFERROR(__xludf.DUMMYFUNCTION("""COMPUTED_VALUE"""),"EXCEL CHARTS تعلم الرسوم البيانية في الاكسل من صفر للاحتراف")</f>
        <v>EXCEL CHARTS تعلم الرسوم البيانية في الاكسل من صفر للاحتراف</v>
      </c>
    </row>
    <row r="11392">
      <c r="A11392" s="140" t="str">
        <f>IFERROR(__xludf.DUMMYFUNCTION("""COMPUTED_VALUE"""),"es")</f>
        <v>es</v>
      </c>
      <c r="B11392">
        <f>IFERROR(__xludf.DUMMYFUNCTION("""COMPUTED_VALUE"""),957286.0)</f>
        <v>957286</v>
      </c>
      <c r="C11392" t="str">
        <f>IFERROR(__xludf.DUMMYFUNCTION("""COMPUTED_VALUE"""),"Cómo hacer interfaces gráficas en Java con Swing desde cero")</f>
        <v>Cómo hacer interfaces gráficas en Java con Swing desde cero</v>
      </c>
    </row>
    <row r="11393">
      <c r="A11393" s="140" t="str">
        <f>IFERROR(__xludf.DUMMYFUNCTION("""COMPUTED_VALUE"""),"pt")</f>
        <v>pt</v>
      </c>
      <c r="B11393">
        <f>IFERROR(__xludf.DUMMYFUNCTION("""COMPUTED_VALUE"""),1876394.0)</f>
        <v>1876394</v>
      </c>
      <c r="C11393" t="str">
        <f>IFERROR(__xludf.DUMMYFUNCTION("""COMPUTED_VALUE"""),"Programação em Java 11 LTS do básico ao avançado")</f>
        <v>Programação em Java 11 LTS do básico ao avançado</v>
      </c>
    </row>
    <row r="11394">
      <c r="A11394" s="140" t="str">
        <f>IFERROR(__xludf.DUMMYFUNCTION("""COMPUTED_VALUE"""),"en")</f>
        <v>en</v>
      </c>
      <c r="B11394">
        <f>IFERROR(__xludf.DUMMYFUNCTION("""COMPUTED_VALUE"""),1693610.0)</f>
        <v>1693610</v>
      </c>
      <c r="C11394" t="str">
        <f>IFERROR(__xludf.DUMMYFUNCTION("""COMPUTED_VALUE"""),"Learn DevOps: On-Prem or Cloud Agnostic Kubernetes")</f>
        <v>Learn DevOps: On-Prem or Cloud Agnostic Kubernetes</v>
      </c>
    </row>
    <row r="11395">
      <c r="A11395" s="140" t="str">
        <f>IFERROR(__xludf.DUMMYFUNCTION("""COMPUTED_VALUE"""),"es")</f>
        <v>es</v>
      </c>
      <c r="B11395">
        <f>IFERROR(__xludf.DUMMYFUNCTION("""COMPUTED_VALUE"""),2562862.0)</f>
        <v>2562862</v>
      </c>
      <c r="C11395" t="str">
        <f>IFERROR(__xludf.DUMMYFUNCTION("""COMPUTED_VALUE"""),"Aprende a automatizar con Katalon Studio")</f>
        <v>Aprende a automatizar con Katalon Studio</v>
      </c>
    </row>
    <row r="11396">
      <c r="A11396" s="140" t="str">
        <f>IFERROR(__xludf.DUMMYFUNCTION("""COMPUTED_VALUE"""),"tr")</f>
        <v>tr</v>
      </c>
      <c r="B11396">
        <f>IFERROR(__xludf.DUMMYFUNCTION("""COMPUTED_VALUE"""),2296462.0)</f>
        <v>2296462</v>
      </c>
      <c r="C11396" t="str">
        <f>IFERROR(__xludf.DUMMYFUNCTION("""COMPUTED_VALUE"""),"Sıfırdan Uzmanlığa İngilizce Kampı | 72 saat+ İngilizce!")</f>
        <v>Sıfırdan Uzmanlığa İngilizce Kampı | 72 saat+ İngilizce!</v>
      </c>
    </row>
    <row r="11397">
      <c r="A11397" s="140" t="str">
        <f>IFERROR(__xludf.DUMMYFUNCTION("""COMPUTED_VALUE"""),"ja")</f>
        <v>ja</v>
      </c>
      <c r="B11397">
        <f>IFERROR(__xludf.DUMMYFUNCTION("""COMPUTED_VALUE"""),2395178.0)</f>
        <v>2395178</v>
      </c>
      <c r="C11397" t="str">
        <f>IFERROR(__xludf.DUMMYFUNCTION("""COMPUTED_VALUE"""),"声質・発声改善ボイストレーニング講座【発声に困っているビジネスマン向け】リモートワーク・テレワークの方必見！")</f>
        <v>声質・発声改善ボイストレーニング講座【発声に困っているビジネスマン向け】リモートワーク・テレワークの方必見！</v>
      </c>
    </row>
    <row r="11398">
      <c r="A11398" s="140" t="str">
        <f>IFERROR(__xludf.DUMMYFUNCTION("""COMPUTED_VALUE"""),"en")</f>
        <v>en</v>
      </c>
      <c r="B11398">
        <f>IFERROR(__xludf.DUMMYFUNCTION("""COMPUTED_VALUE"""),1228490.0)</f>
        <v>1228490</v>
      </c>
      <c r="C11398" t="str">
        <f>IFERROR(__xludf.DUMMYFUNCTION("""COMPUTED_VALUE"""),"Java for Absolute Beginners")</f>
        <v>Java for Absolute Beginners</v>
      </c>
    </row>
    <row r="11399">
      <c r="A11399" s="140" t="str">
        <f>IFERROR(__xludf.DUMMYFUNCTION("""COMPUTED_VALUE"""),"ja")</f>
        <v>ja</v>
      </c>
      <c r="B11399">
        <f>IFERROR(__xludf.DUMMYFUNCTION("""COMPUTED_VALUE"""),1692628.0)</f>
        <v>1692628</v>
      </c>
      <c r="C11399" t="str">
        <f>IFERROR(__xludf.DUMMYFUNCTION("""COMPUTED_VALUE"""),"【エクセル・会計知識不要！】いきなりビジネスシュミレーション！　会計／ファイナンスが本職の方は受講しないで下さい")</f>
        <v>【エクセル・会計知識不要！】いきなりビジネスシュミレーション！　会計／ファイナンスが本職の方は受講しないで下さい</v>
      </c>
    </row>
    <row r="11400">
      <c r="A11400" s="140" t="str">
        <f>IFERROR(__xludf.DUMMYFUNCTION("""COMPUTED_VALUE"""),"ja")</f>
        <v>ja</v>
      </c>
      <c r="B11400">
        <f>IFERROR(__xludf.DUMMYFUNCTION("""COMPUTED_VALUE"""),4100678.0)</f>
        <v>4100678</v>
      </c>
      <c r="C11400" t="str">
        <f>IFERROR(__xludf.DUMMYFUNCTION("""COMPUTED_VALUE"""),"[Hasura応用編] Nextjs + Firebase + HasuraによるGraphQL Web開発")</f>
        <v>[Hasura応用編] Nextjs + Firebase + HasuraによるGraphQL Web開発</v>
      </c>
    </row>
    <row r="11401">
      <c r="A11401" s="140" t="str">
        <f>IFERROR(__xludf.DUMMYFUNCTION("""COMPUTED_VALUE"""),"en")</f>
        <v>en</v>
      </c>
      <c r="B11401">
        <f>IFERROR(__xludf.DUMMYFUNCTION("""COMPUTED_VALUE"""),1919176.0)</f>
        <v>1919176</v>
      </c>
      <c r="C11401" t="str">
        <f>IFERROR(__xludf.DUMMYFUNCTION("""COMPUTED_VALUE"""),"Complete Time Series Analysis With Python")</f>
        <v>Complete Time Series Analysis With Python</v>
      </c>
    </row>
    <row r="11402">
      <c r="A11402" s="140" t="str">
        <f>IFERROR(__xludf.DUMMYFUNCTION("""COMPUTED_VALUE"""),"fr")</f>
        <v>fr</v>
      </c>
      <c r="B11402">
        <f>IFERROR(__xludf.DUMMYFUNCTION("""COMPUTED_VALUE"""),1356868.0)</f>
        <v>1356868</v>
      </c>
      <c r="C11402" t="str">
        <f>IFERROR(__xludf.DUMMYFUNCTION("""COMPUTED_VALUE"""),"Blender 2.7-9 - Le guide complet pour la création graphique")</f>
        <v>Blender 2.7-9 - Le guide complet pour la création graphique</v>
      </c>
    </row>
    <row r="11403">
      <c r="A11403" s="140" t="str">
        <f>IFERROR(__xludf.DUMMYFUNCTION("""COMPUTED_VALUE"""),"pt")</f>
        <v>pt</v>
      </c>
      <c r="B11403">
        <f>IFERROR(__xludf.DUMMYFUNCTION("""COMPUTED_VALUE"""),2412884.0)</f>
        <v>2412884</v>
      </c>
      <c r="C11403" t="str">
        <f>IFERROR(__xludf.DUMMYFUNCTION("""COMPUTED_VALUE"""),"Fundamentos de Ciência de Dados em Python")</f>
        <v>Fundamentos de Ciência de Dados em Python</v>
      </c>
    </row>
    <row r="11404">
      <c r="A11404" s="140" t="str">
        <f>IFERROR(__xludf.DUMMYFUNCTION("""COMPUTED_VALUE"""),"en")</f>
        <v>en</v>
      </c>
      <c r="B11404">
        <f>IFERROR(__xludf.DUMMYFUNCTION("""COMPUTED_VALUE"""),766614.0)</f>
        <v>766614</v>
      </c>
      <c r="C11404" t="str">
        <f>IFERROR(__xludf.DUMMYFUNCTION("""COMPUTED_VALUE"""),"Slack: Less email. More productive.")</f>
        <v>Slack: Less email. More productive.</v>
      </c>
    </row>
    <row r="11405">
      <c r="A11405" s="140" t="str">
        <f>IFERROR(__xludf.DUMMYFUNCTION("""COMPUTED_VALUE"""),"pt")</f>
        <v>pt</v>
      </c>
      <c r="B11405">
        <f>IFERROR(__xludf.DUMMYFUNCTION("""COMPUTED_VALUE"""),2761080.0)</f>
        <v>2761080</v>
      </c>
      <c r="C11405" t="str">
        <f>IFERROR(__xludf.DUMMYFUNCTION("""COMPUTED_VALUE"""),"Curso Completo de Podcasting e Criação de Podcast")</f>
        <v>Curso Completo de Podcasting e Criação de Podcast</v>
      </c>
    </row>
    <row r="11406">
      <c r="A11406" s="140" t="str">
        <f>IFERROR(__xludf.DUMMYFUNCTION("""COMPUTED_VALUE"""),"en")</f>
        <v>en</v>
      </c>
      <c r="B11406">
        <f>IFERROR(__xludf.DUMMYFUNCTION("""COMPUTED_VALUE"""),2163994.0)</f>
        <v>2163994</v>
      </c>
      <c r="C11406" t="str">
        <f>IFERROR(__xludf.DUMMYFUNCTION("""COMPUTED_VALUE"""),"Huawei HCIA-HNTD with LABS - Intermediate level")</f>
        <v>Huawei HCIA-HNTD with LABS - Intermediate level</v>
      </c>
    </row>
    <row r="11407">
      <c r="A11407" s="140" t="str">
        <f>IFERROR(__xludf.DUMMYFUNCTION("""COMPUTED_VALUE"""),"en")</f>
        <v>en</v>
      </c>
      <c r="B11407">
        <f>IFERROR(__xludf.DUMMYFUNCTION("""COMPUTED_VALUE"""),2018990.0)</f>
        <v>2018990</v>
      </c>
      <c r="C11407" t="str">
        <f>IFERROR(__xludf.DUMMYFUNCTION("""COMPUTED_VALUE"""),"Art for Beginners &amp; Kids: 8 Drawing &amp; Mixed-Media Projects")</f>
        <v>Art for Beginners &amp; Kids: 8 Drawing &amp; Mixed-Media Projects</v>
      </c>
    </row>
    <row r="11408">
      <c r="A11408" s="140" t="str">
        <f>IFERROR(__xludf.DUMMYFUNCTION("""COMPUTED_VALUE"""),"en")</f>
        <v>en</v>
      </c>
      <c r="B11408">
        <f>IFERROR(__xludf.DUMMYFUNCTION("""COMPUTED_VALUE"""),3642112.0)</f>
        <v>3642112</v>
      </c>
      <c r="C11408" t="str">
        <f>IFERROR(__xludf.DUMMYFUNCTION("""COMPUTED_VALUE"""),"Data Structures &amp; Algorithms, Level-up for Coding Interviews")</f>
        <v>Data Structures &amp; Algorithms, Level-up for Coding Interviews</v>
      </c>
    </row>
    <row r="11409">
      <c r="A11409" s="140" t="str">
        <f>IFERROR(__xludf.DUMMYFUNCTION("""COMPUTED_VALUE"""),"en")</f>
        <v>en</v>
      </c>
      <c r="B11409">
        <f>IFERROR(__xludf.DUMMYFUNCTION("""COMPUTED_VALUE"""),1022928.0)</f>
        <v>1022928</v>
      </c>
      <c r="C11409" t="str">
        <f>IFERROR(__xludf.DUMMYFUNCTION("""COMPUTED_VALUE"""),"REST API Automation With REST Assured - A Complete Guide")</f>
        <v>REST API Automation With REST Assured - A Complete Guide</v>
      </c>
    </row>
    <row r="11410">
      <c r="A11410" s="140" t="str">
        <f>IFERROR(__xludf.DUMMYFUNCTION("""COMPUTED_VALUE"""),"en")</f>
        <v>en</v>
      </c>
      <c r="B11410">
        <f>IFERROR(__xludf.DUMMYFUNCTION("""COMPUTED_VALUE"""),139166.0)</f>
        <v>139166</v>
      </c>
      <c r="C11410" t="str">
        <f>IFERROR(__xludf.DUMMYFUNCTION("""COMPUTED_VALUE"""),"Conscious Listening")</f>
        <v>Conscious Listening</v>
      </c>
    </row>
    <row r="11411">
      <c r="A11411" s="140" t="str">
        <f>IFERROR(__xludf.DUMMYFUNCTION("""COMPUTED_VALUE"""),"es")</f>
        <v>es</v>
      </c>
      <c r="B11411">
        <f>IFERROR(__xludf.DUMMYFUNCTION("""COMPUTED_VALUE"""),2057499.0)</f>
        <v>2057499</v>
      </c>
      <c r="C11411" t="str">
        <f>IFERROR(__xludf.DUMMYFUNCTION("""COMPUTED_VALUE"""),"Curso Restfull Java Spring Boot")</f>
        <v>Curso Restfull Java Spring Boot</v>
      </c>
    </row>
    <row r="11412">
      <c r="A11412" s="140" t="str">
        <f>IFERROR(__xludf.DUMMYFUNCTION("""COMPUTED_VALUE"""),"en")</f>
        <v>en</v>
      </c>
      <c r="B11412">
        <f>IFERROR(__xludf.DUMMYFUNCTION("""COMPUTED_VALUE"""),331738.0)</f>
        <v>331738</v>
      </c>
      <c r="C11412" t="str">
        <f>IFERROR(__xludf.DUMMYFUNCTION("""COMPUTED_VALUE"""),"Excel for Accountants: Mapping Tables")</f>
        <v>Excel for Accountants: Mapping Tables</v>
      </c>
    </row>
    <row r="11413">
      <c r="A11413" s="140" t="str">
        <f>IFERROR(__xludf.DUMMYFUNCTION("""COMPUTED_VALUE"""),"es")</f>
        <v>es</v>
      </c>
      <c r="B11413">
        <f>IFERROR(__xludf.DUMMYFUNCTION("""COMPUTED_VALUE"""),1982518.0)</f>
        <v>1982518</v>
      </c>
      <c r="C11413" t="str">
        <f>IFERROR(__xludf.DUMMYFUNCTION("""COMPUTED_VALUE"""),"Creatividad e Innovación - Dale Una Vuelta Más a Tu Cerebro")</f>
        <v>Creatividad e Innovación - Dale Una Vuelta Más a Tu Cerebro</v>
      </c>
    </row>
    <row r="11414">
      <c r="A11414" s="140" t="str">
        <f>IFERROR(__xludf.DUMMYFUNCTION("""COMPUTED_VALUE"""),"ja")</f>
        <v>ja</v>
      </c>
      <c r="B11414">
        <f>IFERROR(__xludf.DUMMYFUNCTION("""COMPUTED_VALUE"""),4060948.0)</f>
        <v>4060948</v>
      </c>
      <c r="C11414" t="str">
        <f>IFERROR(__xludf.DUMMYFUNCTION("""COMPUTED_VALUE"""),"＜UB確認テスト＞プロダクトマネジメント入門講座：作るなら最初から世界を目指せ！シリコンバレー流Product Man")</f>
        <v>＜UB確認テスト＞プロダクトマネジメント入門講座：作るなら最初から世界を目指せ！シリコンバレー流Product Man</v>
      </c>
    </row>
    <row r="11415">
      <c r="A11415" s="140" t="str">
        <f>IFERROR(__xludf.DUMMYFUNCTION("""COMPUTED_VALUE"""),"en")</f>
        <v>en</v>
      </c>
      <c r="B11415">
        <f>IFERROR(__xludf.DUMMYFUNCTION("""COMPUTED_VALUE"""),2241936.0)</f>
        <v>2241936</v>
      </c>
      <c r="C11415" t="str">
        <f>IFERROR(__xludf.DUMMYFUNCTION("""COMPUTED_VALUE"""),"Java Application Performance and Memory Management")</f>
        <v>Java Application Performance and Memory Management</v>
      </c>
    </row>
    <row r="11416">
      <c r="A11416" s="140" t="str">
        <f>IFERROR(__xludf.DUMMYFUNCTION("""COMPUTED_VALUE"""),"en")</f>
        <v>en</v>
      </c>
      <c r="B11416">
        <f>IFERROR(__xludf.DUMMYFUNCTION("""COMPUTED_VALUE"""),2518074.0)</f>
        <v>2518074</v>
      </c>
      <c r="C11416" t="str">
        <f>IFERROR(__xludf.DUMMYFUNCTION("""COMPUTED_VALUE"""),"Learn BERT - most powerful NLP algorithm by Google")</f>
        <v>Learn BERT - most powerful NLP algorithm by Google</v>
      </c>
    </row>
    <row r="11417">
      <c r="A11417" s="140" t="str">
        <f>IFERROR(__xludf.DUMMYFUNCTION("""COMPUTED_VALUE"""),"en")</f>
        <v>en</v>
      </c>
      <c r="B11417">
        <f>IFERROR(__xludf.DUMMYFUNCTION("""COMPUTED_VALUE"""),1386968.0)</f>
        <v>1386968</v>
      </c>
      <c r="C11417" t="str">
        <f>IFERROR(__xludf.DUMMYFUNCTION("""COMPUTED_VALUE"""),"Building Apps Using Amazon's Alexa and Lex")</f>
        <v>Building Apps Using Amazon's Alexa and Lex</v>
      </c>
    </row>
    <row r="11418">
      <c r="A11418" s="140" t="str">
        <f>IFERROR(__xludf.DUMMYFUNCTION("""COMPUTED_VALUE"""),"ja")</f>
        <v>ja</v>
      </c>
      <c r="B11418">
        <f>IFERROR(__xludf.DUMMYFUNCTION("""COMPUTED_VALUE"""),1556980.0)</f>
        <v>1556980</v>
      </c>
      <c r="C11418" t="str">
        <f>IFERROR(__xludf.DUMMYFUNCTION("""COMPUTED_VALUE"""),"【修正・内容改変のため一般非公開中】HTML・CSS・JavaScript入門・はじめてのHTMLからマスターしていこう")</f>
        <v>【修正・内容改変のため一般非公開中】HTML・CSS・JavaScript入門・はじめてのHTMLからマスターしていこう</v>
      </c>
    </row>
    <row r="11419">
      <c r="A11419" s="140" t="str">
        <f>IFERROR(__xludf.DUMMYFUNCTION("""COMPUTED_VALUE"""),"tr")</f>
        <v>tr</v>
      </c>
      <c r="B11419">
        <f>IFERROR(__xludf.DUMMYFUNCTION("""COMPUTED_VALUE"""),3741304.0)</f>
        <v>3741304</v>
      </c>
      <c r="C11419" t="str">
        <f>IFERROR(__xludf.DUMMYFUNCTION("""COMPUTED_VALUE"""),"A'dan Z'ye Uygulamalı Web 2.0 Araçlarının Etkin Kullanımı")</f>
        <v>A'dan Z'ye Uygulamalı Web 2.0 Araçlarının Etkin Kullanımı</v>
      </c>
    </row>
    <row r="11420">
      <c r="A11420" s="140" t="str">
        <f>IFERROR(__xludf.DUMMYFUNCTION("""COMPUTED_VALUE"""),"en")</f>
        <v>en</v>
      </c>
      <c r="B11420">
        <f>IFERROR(__xludf.DUMMYFUNCTION("""COMPUTED_VALUE"""),3703210.0)</f>
        <v>3703210</v>
      </c>
      <c r="C11420" t="str">
        <f>IFERROR(__xludf.DUMMYFUNCTION("""COMPUTED_VALUE"""),"AWS Networking Masterclass - Amazon VPC and Hybrid Cloud")</f>
        <v>AWS Networking Masterclass - Amazon VPC and Hybrid Cloud</v>
      </c>
    </row>
    <row r="11421">
      <c r="A11421" s="140" t="str">
        <f>IFERROR(__xludf.DUMMYFUNCTION("""COMPUTED_VALUE"""),"es")</f>
        <v>es</v>
      </c>
      <c r="B11421">
        <f>IFERROR(__xludf.DUMMYFUNCTION("""COMPUTED_VALUE"""),1422250.0)</f>
        <v>1422250</v>
      </c>
      <c r="C11421" t="str">
        <f>IFERROR(__xludf.DUMMYFUNCTION("""COMPUTED_VALUE"""),"Domina ACTIVECAMPAIGN Desde Cero Y AUTOMATIZA Tu Negocio")</f>
        <v>Domina ACTIVECAMPAIGN Desde Cero Y AUTOMATIZA Tu Negocio</v>
      </c>
    </row>
    <row r="11422">
      <c r="A11422" s="140" t="str">
        <f>IFERROR(__xludf.DUMMYFUNCTION("""COMPUTED_VALUE"""),"en")</f>
        <v>en</v>
      </c>
      <c r="B11422">
        <f>IFERROR(__xludf.DUMMYFUNCTION("""COMPUTED_VALUE"""),719742.0)</f>
        <v>719742</v>
      </c>
      <c r="C11422" t="str">
        <f>IFERROR(__xludf.DUMMYFUNCTION("""COMPUTED_VALUE"""),"Mastering Microsoft Excel 2016 Made Easy Training Tutorial")</f>
        <v>Mastering Microsoft Excel 2016 Made Easy Training Tutorial</v>
      </c>
    </row>
    <row r="11423">
      <c r="A11423" s="140" t="str">
        <f>IFERROR(__xludf.DUMMYFUNCTION("""COMPUTED_VALUE"""),"en")</f>
        <v>en</v>
      </c>
      <c r="B11423">
        <f>IFERROR(__xludf.DUMMYFUNCTION("""COMPUTED_VALUE"""),1907358.0)</f>
        <v>1907358</v>
      </c>
      <c r="C11423" t="str">
        <f>IFERROR(__xludf.DUMMYFUNCTION("""COMPUTED_VALUE"""),"The Guide To macOS Mojave")</f>
        <v>The Guide To macOS Mojave</v>
      </c>
    </row>
    <row r="11424">
      <c r="A11424" s="140" t="str">
        <f>IFERROR(__xludf.DUMMYFUNCTION("""COMPUTED_VALUE"""),"en")</f>
        <v>en</v>
      </c>
      <c r="B11424">
        <f>IFERROR(__xludf.DUMMYFUNCTION("""COMPUTED_VALUE"""),2997692.0)</f>
        <v>2997692</v>
      </c>
      <c r="C11424" t="str">
        <f>IFERROR(__xludf.DUMMYFUNCTION("""COMPUTED_VALUE"""),"Serverless Framework Bootcamp: Node.js, AWS &amp; Microservices")</f>
        <v>Serverless Framework Bootcamp: Node.js, AWS &amp; Microservices</v>
      </c>
    </row>
    <row r="11425">
      <c r="A11425" s="140" t="str">
        <f>IFERROR(__xludf.DUMMYFUNCTION("""COMPUTED_VALUE"""),"en")</f>
        <v>en</v>
      </c>
      <c r="B11425">
        <f>IFERROR(__xludf.DUMMYFUNCTION("""COMPUTED_VALUE"""),1511066.0)</f>
        <v>1511066</v>
      </c>
      <c r="C11425" t="str">
        <f>IFERROR(__xludf.DUMMYFUNCTION("""COMPUTED_VALUE"""),"SSH advanced usage")</f>
        <v>SSH advanced usage</v>
      </c>
    </row>
    <row r="11426">
      <c r="A11426" s="140" t="str">
        <f>IFERROR(__xludf.DUMMYFUNCTION("""COMPUTED_VALUE"""),"en")</f>
        <v>en</v>
      </c>
      <c r="B11426">
        <f>IFERROR(__xludf.DUMMYFUNCTION("""COMPUTED_VALUE"""),1473322.0)</f>
        <v>1473322</v>
      </c>
      <c r="C11426" t="str">
        <f>IFERROR(__xludf.DUMMYFUNCTION("""COMPUTED_VALUE"""),"CISSP Easy/Mid practice questions: Domain 3 &amp; 4 - 2022")</f>
        <v>CISSP Easy/Mid practice questions: Domain 3 &amp; 4 - 2022</v>
      </c>
    </row>
    <row r="11427">
      <c r="A11427" s="140" t="str">
        <f>IFERROR(__xludf.DUMMYFUNCTION("""COMPUTED_VALUE"""),"pt")</f>
        <v>pt</v>
      </c>
      <c r="B11427">
        <f>IFERROR(__xludf.DUMMYFUNCTION("""COMPUTED_VALUE"""),1800638.0)</f>
        <v>1800638</v>
      </c>
      <c r="C11427" t="str">
        <f>IFERROR(__xludf.DUMMYFUNCTION("""COMPUTED_VALUE"""),"BOOTSTRAP - Todos os segredos da melhor framework CSS.")</f>
        <v>BOOTSTRAP - Todos os segredos da melhor framework CSS.</v>
      </c>
    </row>
    <row r="11428">
      <c r="A11428" s="140" t="str">
        <f>IFERROR(__xludf.DUMMYFUNCTION("""COMPUTED_VALUE"""),"es")</f>
        <v>es</v>
      </c>
      <c r="B11428">
        <f>IFERROR(__xludf.DUMMYFUNCTION("""COMPUTED_VALUE"""),3541506.0)</f>
        <v>3541506</v>
      </c>
      <c r="C11428" t="str">
        <f>IFERROR(__xludf.DUMMYFUNCTION("""COMPUTED_VALUE"""),"Design Thinking: dispara tu creatividad para innovar - 2021")</f>
        <v>Design Thinking: dispara tu creatividad para innovar - 2021</v>
      </c>
    </row>
    <row r="11429">
      <c r="A11429" s="140" t="str">
        <f>IFERROR(__xludf.DUMMYFUNCTION("""COMPUTED_VALUE"""),"en")</f>
        <v>en</v>
      </c>
      <c r="B11429">
        <f>IFERROR(__xludf.DUMMYFUNCTION("""COMPUTED_VALUE"""),2436348.0)</f>
        <v>2436348</v>
      </c>
      <c r="C11429" t="str">
        <f>IFERROR(__xludf.DUMMYFUNCTION("""COMPUTED_VALUE"""),"KPI and metrics for Management Consultants &amp; Managers")</f>
        <v>KPI and metrics for Management Consultants &amp; Managers</v>
      </c>
    </row>
    <row r="11430">
      <c r="A11430" s="140" t="str">
        <f>IFERROR(__xludf.DUMMYFUNCTION("""COMPUTED_VALUE"""),"fr")</f>
        <v>fr</v>
      </c>
      <c r="B11430">
        <f>IFERROR(__xludf.DUMMYFUNCTION("""COMPUTED_VALUE"""),2796590.0)</f>
        <v>2796590</v>
      </c>
      <c r="C11430" t="str">
        <f>IFERROR(__xludf.DUMMYFUNCTION("""COMPUTED_VALUE"""),"Apprendre l'anglais : En finir avec les temps en 2h !")</f>
        <v>Apprendre l'anglais : En finir avec les temps en 2h !</v>
      </c>
    </row>
    <row r="11431">
      <c r="A11431" s="140" t="str">
        <f>IFERROR(__xludf.DUMMYFUNCTION("""COMPUTED_VALUE"""),"en")</f>
        <v>en</v>
      </c>
      <c r="B11431">
        <f>IFERROR(__xludf.DUMMYFUNCTION("""COMPUTED_VALUE"""),2701468.0)</f>
        <v>2701468</v>
      </c>
      <c r="C11431" t="str">
        <f>IFERROR(__xludf.DUMMYFUNCTION("""COMPUTED_VALUE"""),"Customer Success: Build Cross-Functional Relationships")</f>
        <v>Customer Success: Build Cross-Functional Relationships</v>
      </c>
    </row>
    <row r="11432">
      <c r="A11432" s="140" t="str">
        <f>IFERROR(__xludf.DUMMYFUNCTION("""COMPUTED_VALUE"""),"tr")</f>
        <v>tr</v>
      </c>
      <c r="B11432">
        <f>IFERROR(__xludf.DUMMYFUNCTION("""COMPUTED_VALUE"""),1653744.0)</f>
        <v>1653744</v>
      </c>
      <c r="C11432" t="str">
        <f>IFERROR(__xludf.DUMMYFUNCTION("""COMPUTED_VALUE"""),"Sıfırdan Her Yönüyle Big Data ( Büyük Veri ) Eğitimi")</f>
        <v>Sıfırdan Her Yönüyle Big Data ( Büyük Veri ) Eğitimi</v>
      </c>
    </row>
    <row r="11433">
      <c r="A11433" s="140" t="str">
        <f>IFERROR(__xludf.DUMMYFUNCTION("""COMPUTED_VALUE"""),"en")</f>
        <v>en</v>
      </c>
      <c r="B11433">
        <f>IFERROR(__xludf.DUMMYFUNCTION("""COMPUTED_VALUE"""),1610356.0)</f>
        <v>1610356</v>
      </c>
      <c r="C11433" t="str">
        <f>IFERROR(__xludf.DUMMYFUNCTION("""COMPUTED_VALUE"""),"Git for Windows: Step-By-Step Mastery using Commands and GUI")</f>
        <v>Git for Windows: Step-By-Step Mastery using Commands and GUI</v>
      </c>
    </row>
    <row r="11434">
      <c r="A11434" s="140" t="str">
        <f>IFERROR(__xludf.DUMMYFUNCTION("""COMPUTED_VALUE"""),"en")</f>
        <v>en</v>
      </c>
      <c r="B11434">
        <f>IFERROR(__xludf.DUMMYFUNCTION("""COMPUTED_VALUE"""),1046722.0)</f>
        <v>1046722</v>
      </c>
      <c r="C11434" t="str">
        <f>IFERROR(__xludf.DUMMYFUNCTION("""COMPUTED_VALUE"""),"Ultimate Adobe Photoshop Training: From Beginner to Pro 2022")</f>
        <v>Ultimate Adobe Photoshop Training: From Beginner to Pro 2022</v>
      </c>
    </row>
    <row r="11435">
      <c r="A11435" s="140" t="str">
        <f>IFERROR(__xludf.DUMMYFUNCTION("""COMPUTED_VALUE"""),"fr")</f>
        <v>fr</v>
      </c>
      <c r="B11435">
        <f>IFERROR(__xludf.DUMMYFUNCTION("""COMPUTED_VALUE"""),951948.0)</f>
        <v>951948</v>
      </c>
      <c r="C11435" t="str">
        <f>IFERROR(__xludf.DUMMYFUNCTION("""COMPUTED_VALUE"""),"Photoshop pour débutants : le guide complet")</f>
        <v>Photoshop pour débutants : le guide complet</v>
      </c>
    </row>
    <row r="11436">
      <c r="A11436" s="140" t="str">
        <f>IFERROR(__xludf.DUMMYFUNCTION("""COMPUTED_VALUE"""),"pt")</f>
        <v>pt</v>
      </c>
      <c r="B11436">
        <f>IFERROR(__xludf.DUMMYFUNCTION("""COMPUTED_VALUE"""),902580.0)</f>
        <v>902580</v>
      </c>
      <c r="C11436" t="str">
        <f>IFERROR(__xludf.DUMMYFUNCTION("""COMPUTED_VALUE"""),"Guia Cisco CCNA para Iniciantes")</f>
        <v>Guia Cisco CCNA para Iniciantes</v>
      </c>
    </row>
    <row r="11437">
      <c r="A11437" s="140" t="str">
        <f>IFERROR(__xludf.DUMMYFUNCTION("""COMPUTED_VALUE"""),"en")</f>
        <v>en</v>
      </c>
      <c r="B11437">
        <f>IFERROR(__xludf.DUMMYFUNCTION("""COMPUTED_VALUE"""),2010088.0)</f>
        <v>2010088</v>
      </c>
      <c r="C11437" t="str">
        <f>IFERROR(__xludf.DUMMYFUNCTION("""COMPUTED_VALUE"""),"Mastering Iterative Object-oriented Development in C#")</f>
        <v>Mastering Iterative Object-oriented Development in C#</v>
      </c>
    </row>
    <row r="11438">
      <c r="A11438" s="140" t="str">
        <f>IFERROR(__xludf.DUMMYFUNCTION("""COMPUTED_VALUE"""),"de")</f>
        <v>de</v>
      </c>
      <c r="B11438">
        <f>IFERROR(__xludf.DUMMYFUNCTION("""COMPUTED_VALUE"""),1156302.0)</f>
        <v>1156302</v>
      </c>
      <c r="C11438" t="str">
        <f>IFERROR(__xludf.DUMMYFUNCTION("""COMPUTED_VALUE"""),"Stimmtraining - stimmig sein lohnt sich")</f>
        <v>Stimmtraining - stimmig sein lohnt sich</v>
      </c>
    </row>
    <row r="11439">
      <c r="A11439" s="140" t="str">
        <f>IFERROR(__xludf.DUMMYFUNCTION("""COMPUTED_VALUE"""),"en")</f>
        <v>en</v>
      </c>
      <c r="B11439">
        <f>IFERROR(__xludf.DUMMYFUNCTION("""COMPUTED_VALUE"""),3482516.0)</f>
        <v>3482516</v>
      </c>
      <c r="C11439" t="str">
        <f>IFERROR(__xludf.DUMMYFUNCTION("""COMPUTED_VALUE"""),"Master Spring Batch")</f>
        <v>Master Spring Batch</v>
      </c>
    </row>
    <row r="11440">
      <c r="A11440" s="140" t="str">
        <f>IFERROR(__xludf.DUMMYFUNCTION("""COMPUTED_VALUE"""),"pt")</f>
        <v>pt</v>
      </c>
      <c r="B11440">
        <f>IFERROR(__xludf.DUMMYFUNCTION("""COMPUTED_VALUE"""),2743350.0)</f>
        <v>2743350</v>
      </c>
      <c r="C11440" t="str">
        <f>IFERROR(__xludf.DUMMYFUNCTION("""COMPUTED_VALUE"""),"Curso de Python 3 Completo - Do Zero ao Avançado")</f>
        <v>Curso de Python 3 Completo - Do Zero ao Avançado</v>
      </c>
    </row>
    <row r="11441">
      <c r="A11441" s="140" t="str">
        <f>IFERROR(__xludf.DUMMYFUNCTION("""COMPUTED_VALUE"""),"en")</f>
        <v>en</v>
      </c>
      <c r="B11441">
        <f>IFERROR(__xludf.DUMMYFUNCTION("""COMPUTED_VALUE"""),131816.0)</f>
        <v>131816</v>
      </c>
      <c r="C11441" t="str">
        <f>IFERROR(__xludf.DUMMYFUNCTION("""COMPUTED_VALUE"""),"The Agile Samurai Bootcamp")</f>
        <v>The Agile Samurai Bootcamp</v>
      </c>
    </row>
    <row r="11442">
      <c r="A11442" s="140" t="str">
        <f>IFERROR(__xludf.DUMMYFUNCTION("""COMPUTED_VALUE"""),"en")</f>
        <v>en</v>
      </c>
      <c r="B11442">
        <f>IFERROR(__xludf.DUMMYFUNCTION("""COMPUTED_VALUE"""),1843628.0)</f>
        <v>1843628</v>
      </c>
      <c r="C11442" t="str">
        <f>IFERROR(__xludf.DUMMYFUNCTION("""COMPUTED_VALUE"""),"Ultimate Openshift (2021)  Bootcamp by School of Devops®")</f>
        <v>Ultimate Openshift (2021)  Bootcamp by School of Devops®</v>
      </c>
    </row>
    <row r="11443">
      <c r="A11443" s="140" t="str">
        <f>IFERROR(__xludf.DUMMYFUNCTION("""COMPUTED_VALUE"""),"tr")</f>
        <v>tr</v>
      </c>
      <c r="B11443">
        <f>IFERROR(__xludf.DUMMYFUNCTION("""COMPUTED_VALUE"""),1696930.0)</f>
        <v>1696930</v>
      </c>
      <c r="C11443" t="str">
        <f>IFERROR(__xludf.DUMMYFUNCTION("""COMPUTED_VALUE"""),"Harita Üzerinde Excel Dashboard")</f>
        <v>Harita Üzerinde Excel Dashboard</v>
      </c>
    </row>
    <row r="11444">
      <c r="A11444" s="140" t="str">
        <f>IFERROR(__xludf.DUMMYFUNCTION("""COMPUTED_VALUE"""),"en")</f>
        <v>en</v>
      </c>
      <c r="B11444">
        <f>IFERROR(__xludf.DUMMYFUNCTION("""COMPUTED_VALUE"""),566030.0)</f>
        <v>566030</v>
      </c>
      <c r="C11444" t="str">
        <f>IFERROR(__xludf.DUMMYFUNCTION("""COMPUTED_VALUE"""),"Technical English for Beginners")</f>
        <v>Technical English for Beginners</v>
      </c>
    </row>
    <row r="11445">
      <c r="A11445" s="140" t="str">
        <f>IFERROR(__xludf.DUMMYFUNCTION("""COMPUTED_VALUE"""),"en")</f>
        <v>en</v>
      </c>
      <c r="B11445">
        <f>IFERROR(__xludf.DUMMYFUNCTION("""COMPUTED_VALUE"""),1164384.0)</f>
        <v>1164384</v>
      </c>
      <c r="C11445" t="str">
        <f>IFERROR(__xludf.DUMMYFUNCTION("""COMPUTED_VALUE"""),"Forensic Psychology - ACCREDITED CERTIFICATE")</f>
        <v>Forensic Psychology - ACCREDITED CERTIFICATE</v>
      </c>
    </row>
    <row r="11446">
      <c r="A11446" s="140" t="str">
        <f>IFERROR(__xludf.DUMMYFUNCTION("""COMPUTED_VALUE"""),"en")</f>
        <v>en</v>
      </c>
      <c r="B11446">
        <f>IFERROR(__xludf.DUMMYFUNCTION("""COMPUTED_VALUE"""),3350964.0)</f>
        <v>3350964</v>
      </c>
      <c r="C11446" t="str">
        <f>IFERROR(__xludf.DUMMYFUNCTION("""COMPUTED_VALUE"""),"Learn about Apigee API Management Platform")</f>
        <v>Learn about Apigee API Management Platform</v>
      </c>
    </row>
    <row r="11447">
      <c r="A11447" s="140" t="str">
        <f>IFERROR(__xludf.DUMMYFUNCTION("""COMPUTED_VALUE"""),"en")</f>
        <v>en</v>
      </c>
      <c r="B11447">
        <f>IFERROR(__xludf.DUMMYFUNCTION("""COMPUTED_VALUE"""),2256324.0)</f>
        <v>2256324</v>
      </c>
      <c r="C11447" t="str">
        <f>IFERROR(__xludf.DUMMYFUNCTION("""COMPUTED_VALUE"""),"Goal Setting at Work: Plan for Success and Reach Your Goals")</f>
        <v>Goal Setting at Work: Plan for Success and Reach Your Goals</v>
      </c>
    </row>
    <row r="11448">
      <c r="A11448" s="140" t="str">
        <f>IFERROR(__xludf.DUMMYFUNCTION("""COMPUTED_VALUE"""),"en")</f>
        <v>en</v>
      </c>
      <c r="B11448">
        <f>IFERROR(__xludf.DUMMYFUNCTION("""COMPUTED_VALUE"""),1687788.0)</f>
        <v>1687788</v>
      </c>
      <c r="C11448" t="str">
        <f>IFERROR(__xludf.DUMMYFUNCTION("""COMPUTED_VALUE"""),"SharePoint 2016 Branding (Custom Master Page)")</f>
        <v>SharePoint 2016 Branding (Custom Master Page)</v>
      </c>
    </row>
    <row r="11449">
      <c r="A11449" s="140" t="str">
        <f>IFERROR(__xludf.DUMMYFUNCTION("""COMPUTED_VALUE"""),"en")</f>
        <v>en</v>
      </c>
      <c r="B11449">
        <f>IFERROR(__xludf.DUMMYFUNCTION("""COMPUTED_VALUE"""),86332.0)</f>
        <v>86332</v>
      </c>
      <c r="C11449" t="str">
        <f>IFERROR(__xludf.DUMMYFUNCTION("""COMPUTED_VALUE"""),"Statistics/Data Analysis with SPSS: Descriptive Statistics")</f>
        <v>Statistics/Data Analysis with SPSS: Descriptive Statistics</v>
      </c>
    </row>
    <row r="11450">
      <c r="A11450" s="140" t="str">
        <f>IFERROR(__xludf.DUMMYFUNCTION("""COMPUTED_VALUE"""),"tr")</f>
        <v>tr</v>
      </c>
      <c r="B11450">
        <f>IFERROR(__xludf.DUMMYFUNCTION("""COMPUTED_VALUE"""),2932298.0)</f>
        <v>2932298</v>
      </c>
      <c r="C11450" t="str">
        <f>IFERROR(__xludf.DUMMYFUNCTION("""COMPUTED_VALUE"""),"Evde Etkili ve Verimli Çalışmanın Yolları")</f>
        <v>Evde Etkili ve Verimli Çalışmanın Yolları</v>
      </c>
    </row>
    <row r="11451">
      <c r="A11451" s="140" t="str">
        <f>IFERROR(__xludf.DUMMYFUNCTION("""COMPUTED_VALUE"""),"en")</f>
        <v>en</v>
      </c>
      <c r="B11451">
        <f>IFERROR(__xludf.DUMMYFUNCTION("""COMPUTED_VALUE"""),2002948.0)</f>
        <v>2002948</v>
      </c>
      <c r="C11451" t="str">
        <f>IFERROR(__xludf.DUMMYFUNCTION("""COMPUTED_VALUE"""),"The Advanced Xamarin Developer Masterclass")</f>
        <v>The Advanced Xamarin Developer Masterclass</v>
      </c>
    </row>
    <row r="11452">
      <c r="A11452" s="140" t="str">
        <f>IFERROR(__xludf.DUMMYFUNCTION("""COMPUTED_VALUE"""),"fr")</f>
        <v>fr</v>
      </c>
      <c r="B11452">
        <f>IFERROR(__xludf.DUMMYFUNCTION("""COMPUTED_VALUE"""),927046.0)</f>
        <v>927046</v>
      </c>
      <c r="C11452" t="str">
        <f>IFERROR(__xludf.DUMMYFUNCTION("""COMPUTED_VALUE"""),"Devenez un leader charismatique - Chilina Hills")</f>
        <v>Devenez un leader charismatique - Chilina Hills</v>
      </c>
    </row>
    <row r="11453">
      <c r="A11453" s="140" t="str">
        <f>IFERROR(__xludf.DUMMYFUNCTION("""COMPUTED_VALUE"""),"en")</f>
        <v>en</v>
      </c>
      <c r="B11453">
        <f>IFERROR(__xludf.DUMMYFUNCTION("""COMPUTED_VALUE"""),1875528.0)</f>
        <v>1875528</v>
      </c>
      <c r="C11453" t="str">
        <f>IFERROR(__xludf.DUMMYFUNCTION("""COMPUTED_VALUE"""),"Introduction to Programmatic Advertising - Digital Marketing")</f>
        <v>Introduction to Programmatic Advertising - Digital Marketing</v>
      </c>
    </row>
    <row r="11454">
      <c r="A11454" s="140" t="str">
        <f>IFERROR(__xludf.DUMMYFUNCTION("""COMPUTED_VALUE"""),"es")</f>
        <v>es</v>
      </c>
      <c r="B11454">
        <f>IFERROR(__xludf.DUMMYFUNCTION("""COMPUTED_VALUE"""),2004390.0)</f>
        <v>2004390</v>
      </c>
      <c r="C11454" t="str">
        <f>IFERROR(__xludf.DUMMYFUNCTION("""COMPUTED_VALUE"""),"Redes de datos y detección de fallas")</f>
        <v>Redes de datos y detección de fallas</v>
      </c>
    </row>
    <row r="11455">
      <c r="A11455" s="140" t="str">
        <f>IFERROR(__xludf.DUMMYFUNCTION("""COMPUTED_VALUE"""),"en")</f>
        <v>en</v>
      </c>
      <c r="B11455">
        <f>IFERROR(__xludf.DUMMYFUNCTION("""COMPUTED_VALUE"""),3829288.0)</f>
        <v>3829288</v>
      </c>
      <c r="C11455" t="str">
        <f>IFERROR(__xludf.DUMMYFUNCTION("""COMPUTED_VALUE"""),"AI-900 Microsoft Azure AI Fundamentals Certification 2021")</f>
        <v>AI-900 Microsoft Azure AI Fundamentals Certification 2021</v>
      </c>
    </row>
    <row r="11456">
      <c r="A11456" s="140" t="str">
        <f>IFERROR(__xludf.DUMMYFUNCTION("""COMPUTED_VALUE"""),"en")</f>
        <v>en</v>
      </c>
      <c r="B11456">
        <f>IFERROR(__xludf.DUMMYFUNCTION("""COMPUTED_VALUE"""),2989290.0)</f>
        <v>2989290</v>
      </c>
      <c r="C11456" t="str">
        <f>IFERROR(__xludf.DUMMYFUNCTION("""COMPUTED_VALUE"""),"Microsoft 365 Fundamentals: MS-900 +Practice Questions")</f>
        <v>Microsoft 365 Fundamentals: MS-900 +Practice Questions</v>
      </c>
    </row>
    <row r="11457">
      <c r="A11457" s="140" t="str">
        <f>IFERROR(__xludf.DUMMYFUNCTION("""COMPUTED_VALUE"""),"ja")</f>
        <v>ja</v>
      </c>
      <c r="B11457">
        <f>IFERROR(__xludf.DUMMYFUNCTION("""COMPUTED_VALUE"""),3589658.0)</f>
        <v>3589658</v>
      </c>
      <c r="C11457" t="str">
        <f>IFERROR(__xludf.DUMMYFUNCTION("""COMPUTED_VALUE"""),"【実務に役立つ！】いちばんわかりやすい「原価計算」基礎講座")</f>
        <v>【実務に役立つ！】いちばんわかりやすい「原価計算」基礎講座</v>
      </c>
    </row>
    <row r="11458">
      <c r="A11458" s="140" t="str">
        <f>IFERROR(__xludf.DUMMYFUNCTION("""COMPUTED_VALUE"""),"ja")</f>
        <v>ja</v>
      </c>
      <c r="B11458">
        <f>IFERROR(__xludf.DUMMYFUNCTION("""COMPUTED_VALUE"""),3149156.0)</f>
        <v>3149156</v>
      </c>
      <c r="C11458" t="str">
        <f>IFERROR(__xludf.DUMMYFUNCTION("""COMPUTED_VALUE"""),"なぜ、幸せな組織は生産性が高いのか？〜明日からできる！「Happiness at Work」実践コース〜")</f>
        <v>なぜ、幸せな組織は生産性が高いのか？〜明日からできる！「Happiness at Work」実践コース〜</v>
      </c>
    </row>
    <row r="11459">
      <c r="A11459" s="140" t="str">
        <f>IFERROR(__xludf.DUMMYFUNCTION("""COMPUTED_VALUE"""),"es")</f>
        <v>es</v>
      </c>
      <c r="B11459">
        <f>IFERROR(__xludf.DUMMYFUNCTION("""COMPUTED_VALUE"""),1166436.0)</f>
        <v>1166436</v>
      </c>
      <c r="C11459" t="str">
        <f>IFERROR(__xludf.DUMMYFUNCTION("""COMPUTED_VALUE"""),"Adobe Captivate 9")</f>
        <v>Adobe Captivate 9</v>
      </c>
    </row>
    <row r="11460">
      <c r="A11460" s="140" t="str">
        <f>IFERROR(__xludf.DUMMYFUNCTION("""COMPUTED_VALUE"""),"pt")</f>
        <v>pt</v>
      </c>
      <c r="B11460">
        <f>IFERROR(__xludf.DUMMYFUNCTION("""COMPUTED_VALUE"""),2002080.0)</f>
        <v>2002080</v>
      </c>
      <c r="C11460" t="str">
        <f>IFERROR(__xludf.DUMMYFUNCTION("""COMPUTED_VALUE"""),"Criação de arte para games")</f>
        <v>Criação de arte para games</v>
      </c>
    </row>
    <row r="11461">
      <c r="A11461" s="140" t="str">
        <f>IFERROR(__xludf.DUMMYFUNCTION("""COMPUTED_VALUE"""),"en")</f>
        <v>en</v>
      </c>
      <c r="B11461">
        <f>IFERROR(__xludf.DUMMYFUNCTION("""COMPUTED_VALUE"""),593074.0)</f>
        <v>593074</v>
      </c>
      <c r="C11461" t="str">
        <f>IFERROR(__xludf.DUMMYFUNCTION("""COMPUTED_VALUE"""),"Gamification: Motivation Psychology &amp; The Art of Engagement")</f>
        <v>Gamification: Motivation Psychology &amp; The Art of Engagement</v>
      </c>
    </row>
    <row r="11462">
      <c r="A11462" s="140" t="str">
        <f>IFERROR(__xludf.DUMMYFUNCTION("""COMPUTED_VALUE"""),"en")</f>
        <v>en</v>
      </c>
      <c r="B11462">
        <f>IFERROR(__xludf.DUMMYFUNCTION("""COMPUTED_VALUE"""),2463454.0)</f>
        <v>2463454</v>
      </c>
      <c r="C11462" t="str">
        <f>IFERROR(__xludf.DUMMYFUNCTION("""COMPUTED_VALUE"""),"Spring Cloud Data Flow - Cloud Native Data Stream Processing")</f>
        <v>Spring Cloud Data Flow - Cloud Native Data Stream Processing</v>
      </c>
    </row>
    <row r="11463">
      <c r="A11463" s="140" t="str">
        <f>IFERROR(__xludf.DUMMYFUNCTION("""COMPUTED_VALUE"""),"en")</f>
        <v>en</v>
      </c>
      <c r="B11463">
        <f>IFERROR(__xludf.DUMMYFUNCTION("""COMPUTED_VALUE"""),1626628.0)</f>
        <v>1626628</v>
      </c>
      <c r="C11463" t="str">
        <f>IFERROR(__xludf.DUMMYFUNCTION("""COMPUTED_VALUE"""),"Let's Get Interactive with Storyline 3 / 360")</f>
        <v>Let's Get Interactive with Storyline 3 / 360</v>
      </c>
    </row>
    <row r="11464">
      <c r="A11464" s="140" t="str">
        <f>IFERROR(__xludf.DUMMYFUNCTION("""COMPUTED_VALUE"""),"en")</f>
        <v>en</v>
      </c>
      <c r="B11464">
        <f>IFERROR(__xludf.DUMMYFUNCTION("""COMPUTED_VALUE"""),959400.0)</f>
        <v>959400</v>
      </c>
      <c r="C11464" t="str">
        <f>IFERROR(__xludf.DUMMYFUNCTION("""COMPUTED_VALUE"""),"The Guide to macOS Sierra / High Sierra")</f>
        <v>The Guide to macOS Sierra / High Sierra</v>
      </c>
    </row>
    <row r="11465">
      <c r="A11465" s="140" t="str">
        <f>IFERROR(__xludf.DUMMYFUNCTION("""COMPUTED_VALUE"""),"en")</f>
        <v>en</v>
      </c>
      <c r="B11465">
        <f>IFERROR(__xludf.DUMMYFUNCTION("""COMPUTED_VALUE"""),1608644.0)</f>
        <v>1608644</v>
      </c>
      <c r="C11465" t="str">
        <f>IFERROR(__xludf.DUMMYFUNCTION("""COMPUTED_VALUE"""),"Certified Wireless Network Administrator (CWNA)")</f>
        <v>Certified Wireless Network Administrator (CWNA)</v>
      </c>
    </row>
    <row r="11466">
      <c r="A11466" s="140" t="str">
        <f>IFERROR(__xludf.DUMMYFUNCTION("""COMPUTED_VALUE"""),"en")</f>
        <v>en</v>
      </c>
      <c r="B11466">
        <f>IFERROR(__xludf.DUMMYFUNCTION("""COMPUTED_VALUE"""),1925838.0)</f>
        <v>1925838</v>
      </c>
      <c r="C11466" t="str">
        <f>IFERROR(__xludf.DUMMYFUNCTION("""COMPUTED_VALUE"""),"The 7 Day Android App Bootcamp - Android Pie and Kotlin")</f>
        <v>The 7 Day Android App Bootcamp - Android Pie and Kotlin</v>
      </c>
    </row>
    <row r="11467">
      <c r="A11467" s="140" t="str">
        <f>IFERROR(__xludf.DUMMYFUNCTION("""COMPUTED_VALUE"""),"en")</f>
        <v>en</v>
      </c>
      <c r="B11467">
        <f>IFERROR(__xludf.DUMMYFUNCTION("""COMPUTED_VALUE"""),1414034.0)</f>
        <v>1414034</v>
      </c>
      <c r="C11467" t="str">
        <f>IFERROR(__xludf.DUMMYFUNCTION("""COMPUTED_VALUE"""),"Front End Web Development with open source Dojo Toolkit.")</f>
        <v>Front End Web Development with open source Dojo Toolkit.</v>
      </c>
    </row>
    <row r="11468">
      <c r="A11468" s="140" t="str">
        <f>IFERROR(__xludf.DUMMYFUNCTION("""COMPUTED_VALUE"""),"tr")</f>
        <v>tr</v>
      </c>
      <c r="B11468">
        <f>IFERROR(__xludf.DUMMYFUNCTION("""COMPUTED_VALUE"""),2723432.0)</f>
        <v>2723432</v>
      </c>
      <c r="C11468" t="str">
        <f>IFERROR(__xludf.DUMMYFUNCTION("""COMPUTED_VALUE"""),"Gülgûn Feyman ile Güzel ve Etkili Konuşmak")</f>
        <v>Gülgûn Feyman ile Güzel ve Etkili Konuşmak</v>
      </c>
    </row>
    <row r="11469">
      <c r="A11469" s="140" t="str">
        <f>IFERROR(__xludf.DUMMYFUNCTION("""COMPUTED_VALUE"""),"es")</f>
        <v>es</v>
      </c>
      <c r="B11469">
        <f>IFERROR(__xludf.DUMMYFUNCTION("""COMPUTED_VALUE"""),1620060.0)</f>
        <v>1620060</v>
      </c>
      <c r="C11469" t="str">
        <f>IFERROR(__xludf.DUMMYFUNCTION("""COMPUTED_VALUE"""),"Curso completo de Inbound Marketing con técnicas actuales")</f>
        <v>Curso completo de Inbound Marketing con técnicas actuales</v>
      </c>
    </row>
    <row r="11470">
      <c r="A11470" s="140" t="str">
        <f>IFERROR(__xludf.DUMMYFUNCTION("""COMPUTED_VALUE"""),"en")</f>
        <v>en</v>
      </c>
      <c r="B11470">
        <f>IFERROR(__xludf.DUMMYFUNCTION("""COMPUTED_VALUE"""),3566239.0)</f>
        <v>3566239</v>
      </c>
      <c r="C11470" t="str">
        <f>IFERROR(__xludf.DUMMYFUNCTION("""COMPUTED_VALUE"""),"HR as a Strategic Business Partner")</f>
        <v>HR as a Strategic Business Partner</v>
      </c>
    </row>
    <row r="11471">
      <c r="A11471" s="140" t="str">
        <f>IFERROR(__xludf.DUMMYFUNCTION("""COMPUTED_VALUE"""),"pt")</f>
        <v>pt</v>
      </c>
      <c r="B11471">
        <f>IFERROR(__xludf.DUMMYFUNCTION("""COMPUTED_VALUE"""),978246.0)</f>
        <v>978246</v>
      </c>
      <c r="C11471" t="str">
        <f>IFERROR(__xludf.DUMMYFUNCTION("""COMPUTED_VALUE"""),"Entendendo e documentando REST / RESTful APIs")</f>
        <v>Entendendo e documentando REST / RESTful APIs</v>
      </c>
    </row>
    <row r="11472">
      <c r="A11472" s="140" t="str">
        <f>IFERROR(__xludf.DUMMYFUNCTION("""COMPUTED_VALUE"""),"ja")</f>
        <v>ja</v>
      </c>
      <c r="B11472">
        <f>IFERROR(__xludf.DUMMYFUNCTION("""COMPUTED_VALUE"""),3750990.0)</f>
        <v>3750990</v>
      </c>
      <c r="C11472" t="str">
        <f>IFERROR(__xludf.DUMMYFUNCTION("""COMPUTED_VALUE"""),"「テレワーク時代に必須！」元外資系企業トレーニングマネジャーが教える実践的コーチング講座(入門編)")</f>
        <v>「テレワーク時代に必須！」元外資系企業トレーニングマネジャーが教える実践的コーチング講座(入門編)</v>
      </c>
    </row>
    <row r="11473">
      <c r="A11473" s="140" t="str">
        <f>IFERROR(__xludf.DUMMYFUNCTION("""COMPUTED_VALUE"""),"en")</f>
        <v>en</v>
      </c>
      <c r="B11473">
        <f>IFERROR(__xludf.DUMMYFUNCTION("""COMPUTED_VALUE"""),1537898.0)</f>
        <v>1537898</v>
      </c>
      <c r="C11473" t="str">
        <f>IFERROR(__xludf.DUMMYFUNCTION("""COMPUTED_VALUE"""),"Microsoft 70-741 – Networking with Windows Server 2016")</f>
        <v>Microsoft 70-741 – Networking with Windows Server 2016</v>
      </c>
    </row>
    <row r="11474">
      <c r="A11474" s="140" t="str">
        <f>IFERROR(__xludf.DUMMYFUNCTION("""COMPUTED_VALUE"""),"en")</f>
        <v>en</v>
      </c>
      <c r="B11474">
        <f>IFERROR(__xludf.DUMMYFUNCTION("""COMPUTED_VALUE"""),863338.0)</f>
        <v>863338</v>
      </c>
      <c r="C11474" t="str">
        <f>IFERROR(__xludf.DUMMYFUNCTION("""COMPUTED_VALUE"""),"Robot Framework Test Automation - Level 2")</f>
        <v>Robot Framework Test Automation - Level 2</v>
      </c>
    </row>
    <row r="11475">
      <c r="A11475" s="140" t="str">
        <f>IFERROR(__xludf.DUMMYFUNCTION("""COMPUTED_VALUE"""),"en")</f>
        <v>en</v>
      </c>
      <c r="B11475">
        <f>IFERROR(__xludf.DUMMYFUNCTION("""COMPUTED_VALUE"""),4035666.0)</f>
        <v>4035666</v>
      </c>
      <c r="C11475" t="str">
        <f>IFERROR(__xludf.DUMMYFUNCTION("""COMPUTED_VALUE"""),"Azure Data Engineering - Build Ingestion Framework")</f>
        <v>Azure Data Engineering - Build Ingestion Framework</v>
      </c>
    </row>
    <row r="11476">
      <c r="A11476" s="140" t="str">
        <f>IFERROR(__xludf.DUMMYFUNCTION("""COMPUTED_VALUE"""),"en")</f>
        <v>en</v>
      </c>
      <c r="B11476">
        <f>IFERROR(__xludf.DUMMYFUNCTION("""COMPUTED_VALUE"""),464122.0)</f>
        <v>464122</v>
      </c>
      <c r="C11476" t="str">
        <f>IFERROR(__xludf.DUMMYFUNCTION("""COMPUTED_VALUE"""),"Write German like a Native: 10 German Dictation Exercises")</f>
        <v>Write German like a Native: 10 German Dictation Exercises</v>
      </c>
    </row>
    <row r="11477">
      <c r="A11477" s="140" t="str">
        <f>IFERROR(__xludf.DUMMYFUNCTION("""COMPUTED_VALUE"""),"en")</f>
        <v>en</v>
      </c>
      <c r="B11477">
        <f>IFERROR(__xludf.DUMMYFUNCTION("""COMPUTED_VALUE"""),1545824.0)</f>
        <v>1545824</v>
      </c>
      <c r="C11477" t="str">
        <f>IFERROR(__xludf.DUMMYFUNCTION("""COMPUTED_VALUE"""),"Mainframe : The Complete TSO/ISPF from Beginner to Expert")</f>
        <v>Mainframe : The Complete TSO/ISPF from Beginner to Expert</v>
      </c>
    </row>
    <row r="11478">
      <c r="A11478" s="140" t="str">
        <f>IFERROR(__xludf.DUMMYFUNCTION("""COMPUTED_VALUE"""),"pt")</f>
        <v>pt</v>
      </c>
      <c r="B11478">
        <f>IFERROR(__xludf.DUMMYFUNCTION("""COMPUTED_VALUE"""),1452130.0)</f>
        <v>1452130</v>
      </c>
      <c r="C11478" t="str">
        <f>IFERROR(__xludf.DUMMYFUNCTION("""COMPUTED_VALUE"""),"De Devedor a Poupador - Finanças Pessoais")</f>
        <v>De Devedor a Poupador - Finanças Pessoais</v>
      </c>
    </row>
    <row r="11479">
      <c r="A11479" s="140" t="str">
        <f>IFERROR(__xludf.DUMMYFUNCTION("""COMPUTED_VALUE"""),"en")</f>
        <v>en</v>
      </c>
      <c r="B11479">
        <f>IFERROR(__xludf.DUMMYFUNCTION("""COMPUTED_VALUE"""),1986382.0)</f>
        <v>1986382</v>
      </c>
      <c r="C11479" t="str">
        <f>IFERROR(__xludf.DUMMYFUNCTION("""COMPUTED_VALUE"""),"The Complete Train the Trainer Bootcamp - Beginners-Advanced")</f>
        <v>The Complete Train the Trainer Bootcamp - Beginners-Advanced</v>
      </c>
    </row>
    <row r="11480">
      <c r="A11480" s="140" t="str">
        <f>IFERROR(__xludf.DUMMYFUNCTION("""COMPUTED_VALUE"""),"en")</f>
        <v>en</v>
      </c>
      <c r="B11480">
        <f>IFERROR(__xludf.DUMMYFUNCTION("""COMPUTED_VALUE"""),622414.0)</f>
        <v>622414</v>
      </c>
      <c r="C11480" t="str">
        <f>IFERROR(__xludf.DUMMYFUNCTION("""COMPUTED_VALUE"""),"Taming Big Data with Apache Spark and Python - Hands On!")</f>
        <v>Taming Big Data with Apache Spark and Python - Hands On!</v>
      </c>
    </row>
    <row r="11481">
      <c r="A11481" s="140" t="str">
        <f>IFERROR(__xludf.DUMMYFUNCTION("""COMPUTED_VALUE"""),"pt")</f>
        <v>pt</v>
      </c>
      <c r="B11481">
        <f>IFERROR(__xludf.DUMMYFUNCTION("""COMPUTED_VALUE"""),1285448.0)</f>
        <v>1285448</v>
      </c>
      <c r="C11481" t="str">
        <f>IFERROR(__xludf.DUMMYFUNCTION("""COMPUTED_VALUE"""),"Project KPI: Crie Faróis e Indicadores no Ms Project")</f>
        <v>Project KPI: Crie Faróis e Indicadores no Ms Project</v>
      </c>
    </row>
    <row r="11482">
      <c r="A11482" s="140" t="str">
        <f>IFERROR(__xludf.DUMMYFUNCTION("""COMPUTED_VALUE"""),"en")</f>
        <v>en</v>
      </c>
      <c r="B11482">
        <f>IFERROR(__xludf.DUMMYFUNCTION("""COMPUTED_VALUE"""),1405632.0)</f>
        <v>1405632</v>
      </c>
      <c r="C11482" t="str">
        <f>IFERROR(__xludf.DUMMYFUNCTION("""COMPUTED_VALUE"""),"SQL - MySQL for Data Analytics and Business Intelligence")</f>
        <v>SQL - MySQL for Data Analytics and Business Intelligence</v>
      </c>
    </row>
    <row r="11483">
      <c r="A11483" s="140" t="str">
        <f>IFERROR(__xludf.DUMMYFUNCTION("""COMPUTED_VALUE"""),"en")</f>
        <v>en</v>
      </c>
      <c r="B11483">
        <f>IFERROR(__xludf.DUMMYFUNCTION("""COMPUTED_VALUE"""),1076582.0)</f>
        <v>1076582</v>
      </c>
      <c r="C11483" t="str">
        <f>IFERROR(__xludf.DUMMYFUNCTION("""COMPUTED_VALUE"""),"Advanced SQL Server Transaction Log Analysis")</f>
        <v>Advanced SQL Server Transaction Log Analysis</v>
      </c>
    </row>
    <row r="11484">
      <c r="A11484" s="140" t="str">
        <f>IFERROR(__xludf.DUMMYFUNCTION("""COMPUTED_VALUE"""),"en")</f>
        <v>en</v>
      </c>
      <c r="B11484">
        <f>IFERROR(__xludf.DUMMYFUNCTION("""COMPUTED_VALUE"""),3693266.0)</f>
        <v>3693266</v>
      </c>
      <c r="C11484" t="str">
        <f>IFERROR(__xludf.DUMMYFUNCTION("""COMPUTED_VALUE"""),"Machine Learning for BI, PART 1: Data Profiling &amp; QA")</f>
        <v>Machine Learning for BI, PART 1: Data Profiling &amp; QA</v>
      </c>
    </row>
    <row r="11485">
      <c r="A11485" s="140" t="str">
        <f>IFERROR(__xludf.DUMMYFUNCTION("""COMPUTED_VALUE"""),"pt")</f>
        <v>pt</v>
      </c>
      <c r="B11485">
        <f>IFERROR(__xludf.DUMMYFUNCTION("""COMPUTED_VALUE"""),720994.0)</f>
        <v>720994</v>
      </c>
      <c r="C11485" t="str">
        <f>IFERROR(__xludf.DUMMYFUNCTION("""COMPUTED_VALUE"""),"Gestão Financeira Para Pequenas e Médias Empresas")</f>
        <v>Gestão Financeira Para Pequenas e Médias Empresas</v>
      </c>
    </row>
    <row r="11486">
      <c r="A11486" s="140" t="str">
        <f>IFERROR(__xludf.DUMMYFUNCTION("""COMPUTED_VALUE"""),"ja")</f>
        <v>ja</v>
      </c>
      <c r="B11486">
        <f>IFERROR(__xludf.DUMMYFUNCTION("""COMPUTED_VALUE"""),2443344.0)</f>
        <v>2443344</v>
      </c>
      <c r="C11486" t="str">
        <f>IFERROR(__xludf.DUMMYFUNCTION("""COMPUTED_VALUE"""),"【ビジネスデータ集計を極める】エクセル関数マスターコース")</f>
        <v>【ビジネスデータ集計を極める】エクセル関数マスターコース</v>
      </c>
    </row>
    <row r="11487">
      <c r="A11487" s="140" t="str">
        <f>IFERROR(__xludf.DUMMYFUNCTION("""COMPUTED_VALUE"""),"en")</f>
        <v>en</v>
      </c>
      <c r="B11487">
        <f>IFERROR(__xludf.DUMMYFUNCTION("""COMPUTED_VALUE"""),4223896.0)</f>
        <v>4223896</v>
      </c>
      <c r="C11487" t="str">
        <f>IFERROR(__xludf.DUMMYFUNCTION("""COMPUTED_VALUE"""),"Autosar Architecture  (Learn from Scratch with Demo)")</f>
        <v>Autosar Architecture  (Learn from Scratch with Demo)</v>
      </c>
    </row>
    <row r="11488">
      <c r="A11488" s="140" t="str">
        <f>IFERROR(__xludf.DUMMYFUNCTION("""COMPUTED_VALUE"""),"en")</f>
        <v>en</v>
      </c>
      <c r="B11488">
        <f>IFERROR(__xludf.DUMMYFUNCTION("""COMPUTED_VALUE"""),3876610.0)</f>
        <v>3876610</v>
      </c>
      <c r="C11488" t="str">
        <f>IFERROR(__xludf.DUMMYFUNCTION("""COMPUTED_VALUE"""),"AWS &amp; Typescript Masterclass - CDK, Serverless, React")</f>
        <v>AWS &amp; Typescript Masterclass - CDK, Serverless, React</v>
      </c>
    </row>
    <row r="11489">
      <c r="A11489" s="140" t="str">
        <f>IFERROR(__xludf.DUMMYFUNCTION("""COMPUTED_VALUE"""),"ja")</f>
        <v>ja</v>
      </c>
      <c r="B11489">
        <f>IFERROR(__xludf.DUMMYFUNCTION("""COMPUTED_VALUE"""),1820806.0)</f>
        <v>1820806</v>
      </c>
      <c r="C11489" t="str">
        <f>IFERROR(__xludf.DUMMYFUNCTION("""COMPUTED_VALUE"""),"【2021年3月リニューアル！】挨拶から店舗予約まで！手を動かして学ぶAIチャットボット開発入門")</f>
        <v>【2021年3月リニューアル！】挨拶から店舗予約まで！手を動かして学ぶAIチャットボット開発入門</v>
      </c>
    </row>
    <row r="11490">
      <c r="A11490" s="140" t="str">
        <f>IFERROR(__xludf.DUMMYFUNCTION("""COMPUTED_VALUE"""),"ar")</f>
        <v>ar</v>
      </c>
      <c r="B11490">
        <f>IFERROR(__xludf.DUMMYFUNCTION("""COMPUTED_VALUE"""),728586.0)</f>
        <v>728586</v>
      </c>
      <c r="C11490" t="str">
        <f>IFERROR(__xludf.DUMMYFUNCTION("""COMPUTED_VALUE"""),"كورس جافا شامل تمهيدي للأندرويد")</f>
        <v>كورس جافا شامل تمهيدي للأندرويد</v>
      </c>
    </row>
    <row r="11491">
      <c r="A11491" s="140" t="str">
        <f>IFERROR(__xludf.DUMMYFUNCTION("""COMPUTED_VALUE"""),"en")</f>
        <v>en</v>
      </c>
      <c r="B11491">
        <f>IFERROR(__xludf.DUMMYFUNCTION("""COMPUTED_VALUE"""),1193132.0)</f>
        <v>1193132</v>
      </c>
      <c r="C11491" t="str">
        <f>IFERROR(__xludf.DUMMYFUNCTION("""COMPUTED_VALUE"""),"Facebook Page Marketing: Use It to Grow Your Business")</f>
        <v>Facebook Page Marketing: Use It to Grow Your Business</v>
      </c>
    </row>
    <row r="11492">
      <c r="A11492" s="140" t="str">
        <f>IFERROR(__xludf.DUMMYFUNCTION("""COMPUTED_VALUE"""),"ja")</f>
        <v>ja</v>
      </c>
      <c r="B11492">
        <f>IFERROR(__xludf.DUMMYFUNCTION("""COMPUTED_VALUE"""),662816.0)</f>
        <v>662816</v>
      </c>
      <c r="C11492" t="str">
        <f>IFERROR(__xludf.DUMMYFUNCTION("""COMPUTED_VALUE"""),"After Effects Class 初めてでも安心！現役クリエイターが教える動画コンテンツ制作術")</f>
        <v>After Effects Class 初めてでも安心！現役クリエイターが教える動画コンテンツ制作術</v>
      </c>
    </row>
    <row r="11493">
      <c r="A11493" s="140" t="str">
        <f>IFERROR(__xludf.DUMMYFUNCTION("""COMPUTED_VALUE"""),"de")</f>
        <v>de</v>
      </c>
      <c r="B11493">
        <f>IFERROR(__xludf.DUMMYFUNCTION("""COMPUTED_VALUE"""),1948756.0)</f>
        <v>1948756</v>
      </c>
      <c r="C11493" t="str">
        <f>IFERROR(__xludf.DUMMYFUNCTION("""COMPUTED_VALUE"""),"Spark und Python für Big Data und Data Science mit PySpark")</f>
        <v>Spark und Python für Big Data und Data Science mit PySpark</v>
      </c>
    </row>
    <row r="11494">
      <c r="A11494" s="140" t="str">
        <f>IFERROR(__xludf.DUMMYFUNCTION("""COMPUTED_VALUE"""),"en")</f>
        <v>en</v>
      </c>
      <c r="B11494">
        <f>IFERROR(__xludf.DUMMYFUNCTION("""COMPUTED_VALUE"""),1922654.0)</f>
        <v>1922654</v>
      </c>
      <c r="C11494" t="str">
        <f>IFERROR(__xludf.DUMMYFUNCTION("""COMPUTED_VALUE"""),"Krita basic to advanced digital painting")</f>
        <v>Krita basic to advanced digital painting</v>
      </c>
    </row>
    <row r="11495">
      <c r="A11495" s="140" t="str">
        <f>IFERROR(__xludf.DUMMYFUNCTION("""COMPUTED_VALUE"""),"en")</f>
        <v>en</v>
      </c>
      <c r="B11495">
        <f>IFERROR(__xludf.DUMMYFUNCTION("""COMPUTED_VALUE"""),4069812.0)</f>
        <v>4069812</v>
      </c>
      <c r="C11495" t="str">
        <f>IFERROR(__xludf.DUMMYFUNCTION("""COMPUTED_VALUE"""),"WebRTC 2021 Practical Course. Create Video Chat Application")</f>
        <v>WebRTC 2021 Practical Course. Create Video Chat Application</v>
      </c>
    </row>
    <row r="11496">
      <c r="A11496" s="140" t="str">
        <f>IFERROR(__xludf.DUMMYFUNCTION("""COMPUTED_VALUE"""),"en")</f>
        <v>en</v>
      </c>
      <c r="B11496">
        <f>IFERROR(__xludf.DUMMYFUNCTION("""COMPUTED_VALUE"""),3155872.0)</f>
        <v>3155872</v>
      </c>
      <c r="C11496" t="str">
        <f>IFERROR(__xludf.DUMMYFUNCTION("""COMPUTED_VALUE"""),"DevOps Project: CICD with Git GitLab Jenkins  and Laravel")</f>
        <v>DevOps Project: CICD with Git GitLab Jenkins  and Laravel</v>
      </c>
    </row>
    <row r="11497">
      <c r="A11497" s="140" t="str">
        <f>IFERROR(__xludf.DUMMYFUNCTION("""COMPUTED_VALUE"""),"en")</f>
        <v>en</v>
      </c>
      <c r="B11497">
        <f>IFERROR(__xludf.DUMMYFUNCTION("""COMPUTED_VALUE"""),3814814.0)</f>
        <v>3814814</v>
      </c>
      <c r="C11497" t="str">
        <f>IFERROR(__xludf.DUMMYFUNCTION("""COMPUTED_VALUE"""),"Oracle Fusion Technical - Oracle Integration Cloud (OIC/ICS)")</f>
        <v>Oracle Fusion Technical - Oracle Integration Cloud (OIC/ICS)</v>
      </c>
    </row>
    <row r="11498">
      <c r="A11498" s="140" t="str">
        <f>IFERROR(__xludf.DUMMYFUNCTION("""COMPUTED_VALUE"""),"pt")</f>
        <v>pt</v>
      </c>
      <c r="B11498">
        <f>IFERROR(__xludf.DUMMYFUNCTION("""COMPUTED_VALUE"""),3499442.0)</f>
        <v>3499442</v>
      </c>
      <c r="C11498" t="str">
        <f>IFERROR(__xludf.DUMMYFUNCTION("""COMPUTED_VALUE"""),"Algoritmo e Lógica de Programação do Absoluto ZERO! Completo")</f>
        <v>Algoritmo e Lógica de Programação do Absoluto ZERO! Completo</v>
      </c>
    </row>
    <row r="11499">
      <c r="A11499" s="140" t="str">
        <f>IFERROR(__xludf.DUMMYFUNCTION("""COMPUTED_VALUE"""),"ja")</f>
        <v>ja</v>
      </c>
      <c r="B11499">
        <f>IFERROR(__xludf.DUMMYFUNCTION("""COMPUTED_VALUE"""),3234087.0)</f>
        <v>3234087</v>
      </c>
      <c r="C11499" t="str">
        <f>IFERROR(__xludf.DUMMYFUNCTION("""COMPUTED_VALUE"""),"【鼻濁音講座クラシック】ＡＩと差がつく洗練された日本語標準発声で、あなたもハイエンドな話し手になれる！")</f>
        <v>【鼻濁音講座クラシック】ＡＩと差がつく洗練された日本語標準発声で、あなたもハイエンドな話し手になれる！</v>
      </c>
    </row>
    <row r="11500">
      <c r="A11500" s="140" t="str">
        <f>IFERROR(__xludf.DUMMYFUNCTION("""COMPUTED_VALUE"""),"de")</f>
        <v>de</v>
      </c>
      <c r="B11500">
        <f>IFERROR(__xludf.DUMMYFUNCTION("""COMPUTED_VALUE"""),2386278.0)</f>
        <v>2386278</v>
      </c>
      <c r="C11500" t="str">
        <f>IFERROR(__xludf.DUMMYFUNCTION("""COMPUTED_VALUE"""),"Einstellungsgespräche und Recruiting-Verfahren von A-Z")</f>
        <v>Einstellungsgespräche und Recruiting-Verfahren von A-Z</v>
      </c>
    </row>
    <row r="11501">
      <c r="A11501" s="140" t="str">
        <f>IFERROR(__xludf.DUMMYFUNCTION("""COMPUTED_VALUE"""),"ar")</f>
        <v>ar</v>
      </c>
      <c r="B11501">
        <f>IFERROR(__xludf.DUMMYFUNCTION("""COMPUTED_VALUE"""),3237815.0)</f>
        <v>3237815</v>
      </c>
      <c r="C11501" t="str">
        <f>IFERROR(__xludf.DUMMYFUNCTION("""COMPUTED_VALUE"""),"دبلومة التسويق 3في1 - أهم ما في ماجستير إدارة الأعمال MBA")</f>
        <v>دبلومة التسويق 3في1 - أهم ما في ماجستير إدارة الأعمال MBA</v>
      </c>
    </row>
    <row r="11502">
      <c r="A11502" s="140" t="str">
        <f>IFERROR(__xludf.DUMMYFUNCTION("""COMPUTED_VALUE"""),"es")</f>
        <v>es</v>
      </c>
      <c r="B11502">
        <f>IFERROR(__xludf.DUMMYFUNCTION("""COMPUTED_VALUE"""),1521542.0)</f>
        <v>1521542</v>
      </c>
      <c r="C11502" t="str">
        <f>IFERROR(__xludf.DUMMYFUNCTION("""COMPUTED_VALUE"""),"Curso avanzado en temas selectos de Xamarin Forms")</f>
        <v>Curso avanzado en temas selectos de Xamarin Forms</v>
      </c>
    </row>
    <row r="11503">
      <c r="A11503" s="140" t="str">
        <f>IFERROR(__xludf.DUMMYFUNCTION("""COMPUTED_VALUE"""),"pt")</f>
        <v>pt</v>
      </c>
      <c r="B11503">
        <f>IFERROR(__xludf.DUMMYFUNCTION("""COMPUTED_VALUE"""),1535568.0)</f>
        <v>1535568</v>
      </c>
      <c r="C11503" t="str">
        <f>IFERROR(__xludf.DUMMYFUNCTION("""COMPUTED_VALUE"""),"Especialista em Design Gráfico")</f>
        <v>Especialista em Design Gráfico</v>
      </c>
    </row>
    <row r="11504">
      <c r="A11504" s="140" t="str">
        <f>IFERROR(__xludf.DUMMYFUNCTION("""COMPUTED_VALUE"""),"de")</f>
        <v>de</v>
      </c>
      <c r="B11504">
        <f>IFERROR(__xludf.DUMMYFUNCTION("""COMPUTED_VALUE"""),1301816.0)</f>
        <v>1301816</v>
      </c>
      <c r="C11504" t="str">
        <f>IFERROR(__xludf.DUMMYFUNCTION("""COMPUTED_VALUE"""),"Der ultimative HTML5 und CSS3 Komplettkurs")</f>
        <v>Der ultimative HTML5 und CSS3 Komplettkurs</v>
      </c>
    </row>
    <row r="11505">
      <c r="A11505" s="140" t="str">
        <f>IFERROR(__xludf.DUMMYFUNCTION("""COMPUTED_VALUE"""),"es")</f>
        <v>es</v>
      </c>
      <c r="B11505">
        <f>IFERROR(__xludf.DUMMYFUNCTION("""COMPUTED_VALUE"""),2819683.0)</f>
        <v>2819683</v>
      </c>
      <c r="C11505" t="str">
        <f>IFERROR(__xludf.DUMMYFUNCTION("""COMPUTED_VALUE"""),"Neuro Oratoria: Hablar en Público Científicamente")</f>
        <v>Neuro Oratoria: Hablar en Público Científicamente</v>
      </c>
    </row>
    <row r="11506">
      <c r="A11506" s="140" t="str">
        <f>IFERROR(__xludf.DUMMYFUNCTION("""COMPUTED_VALUE"""),"en")</f>
        <v>en</v>
      </c>
      <c r="B11506">
        <f>IFERROR(__xludf.DUMMYFUNCTION("""COMPUTED_VALUE"""),909354.0)</f>
        <v>909354</v>
      </c>
      <c r="C11506" t="str">
        <f>IFERROR(__xludf.DUMMYFUNCTION("""COMPUTED_VALUE"""),"Business Analyst: Project Management Techniques and Tools")</f>
        <v>Business Analyst: Project Management Techniques and Tools</v>
      </c>
    </row>
    <row r="11507">
      <c r="A11507" s="140" t="str">
        <f>IFERROR(__xludf.DUMMYFUNCTION("""COMPUTED_VALUE"""),"pt")</f>
        <v>pt</v>
      </c>
      <c r="B11507">
        <f>IFERROR(__xludf.DUMMYFUNCTION("""COMPUTED_VALUE"""),1100206.0)</f>
        <v>1100206</v>
      </c>
      <c r="C11507" t="str">
        <f>IFERROR(__xludf.DUMMYFUNCTION("""COMPUTED_VALUE"""),"Java: Programação Orientada a Objetos com Java e Eclipse")</f>
        <v>Java: Programação Orientada a Objetos com Java e Eclipse</v>
      </c>
    </row>
    <row r="11508">
      <c r="A11508" s="140" t="str">
        <f>IFERROR(__xludf.DUMMYFUNCTION("""COMPUTED_VALUE"""),"es")</f>
        <v>es</v>
      </c>
      <c r="B11508">
        <f>IFERROR(__xludf.DUMMYFUNCTION("""COMPUTED_VALUE"""),1907864.0)</f>
        <v>1907864</v>
      </c>
      <c r="C11508" t="str">
        <f>IFERROR(__xludf.DUMMYFUNCTION("""COMPUTED_VALUE"""),"Desarrollo de Temas de WordPress con Bootstrap 4 y CMB2")</f>
        <v>Desarrollo de Temas de WordPress con Bootstrap 4 y CMB2</v>
      </c>
    </row>
    <row r="11509">
      <c r="A11509" s="140" t="str">
        <f>IFERROR(__xludf.DUMMYFUNCTION("""COMPUTED_VALUE"""),"es")</f>
        <v>es</v>
      </c>
      <c r="B11509">
        <f>IFERROR(__xludf.DUMMYFUNCTION("""COMPUTED_VALUE"""),1645052.0)</f>
        <v>1645052</v>
      </c>
      <c r="C11509" t="str">
        <f>IFERROR(__xludf.DUMMYFUNCTION("""COMPUTED_VALUE"""),"Labview Core I &amp;  Labview Core II")</f>
        <v>Labview Core I &amp;  Labview Core II</v>
      </c>
    </row>
    <row r="11510">
      <c r="A11510" s="140" t="str">
        <f>IFERROR(__xludf.DUMMYFUNCTION("""COMPUTED_VALUE"""),"ko")</f>
        <v>ko</v>
      </c>
      <c r="B11510">
        <f>IFERROR(__xludf.DUMMYFUNCTION("""COMPUTED_VALUE"""),4276672.0)</f>
        <v>4276672</v>
      </c>
      <c r="C11510" t="str">
        <f>IFERROR(__xludf.DUMMYFUNCTION("""COMPUTED_VALUE"""),"인정받는 직장인을 위한 체계적 성과관리 방법 Part 2. 성과관리 실습")</f>
        <v>인정받는 직장인을 위한 체계적 성과관리 방법 Part 2. 성과관리 실습</v>
      </c>
    </row>
    <row r="11511">
      <c r="A11511" s="140" t="str">
        <f>IFERROR(__xludf.DUMMYFUNCTION("""COMPUTED_VALUE"""),"en")</f>
        <v>en</v>
      </c>
      <c r="B11511">
        <f>IFERROR(__xludf.DUMMYFUNCTION("""COMPUTED_VALUE"""),3124166.0)</f>
        <v>3124166</v>
      </c>
      <c r="C11511" t="str">
        <f>IFERROR(__xludf.DUMMYFUNCTION("""COMPUTED_VALUE"""),"Live Stock Trading Course: Beginner to Pro")</f>
        <v>Live Stock Trading Course: Beginner to Pro</v>
      </c>
    </row>
    <row r="11512">
      <c r="A11512" s="140" t="str">
        <f>IFERROR(__xludf.DUMMYFUNCTION("""COMPUTED_VALUE"""),"ko")</f>
        <v>ko</v>
      </c>
      <c r="B11512">
        <f>IFERROR(__xludf.DUMMYFUNCTION("""COMPUTED_VALUE"""),1241686.0)</f>
        <v>1241686</v>
      </c>
      <c r="C11512" t="str">
        <f>IFERROR(__xludf.DUMMYFUNCTION("""COMPUTED_VALUE"""),"직접 등록하는 iMessage Sticker - 프로젝트 설정부터 앱스토어 제출까지")</f>
        <v>직접 등록하는 iMessage Sticker - 프로젝트 설정부터 앱스토어 제출까지</v>
      </c>
    </row>
    <row r="11513">
      <c r="A11513" s="140" t="str">
        <f>IFERROR(__xludf.DUMMYFUNCTION("""COMPUTED_VALUE"""),"en")</f>
        <v>en</v>
      </c>
      <c r="B11513">
        <f>IFERROR(__xludf.DUMMYFUNCTION("""COMPUTED_VALUE"""),1043254.0)</f>
        <v>1043254</v>
      </c>
      <c r="C11513" t="str">
        <f>IFERROR(__xludf.DUMMYFUNCTION("""COMPUTED_VALUE"""),"Robust Scrum Product Owner")</f>
        <v>Robust Scrum Product Owner</v>
      </c>
    </row>
    <row r="11514">
      <c r="A11514" s="140" t="str">
        <f>IFERROR(__xludf.DUMMYFUNCTION("""COMPUTED_VALUE"""),"es")</f>
        <v>es</v>
      </c>
      <c r="B11514">
        <f>IFERROR(__xludf.DUMMYFUNCTION("""COMPUTED_VALUE"""),3579271.0)</f>
        <v>3579271</v>
      </c>
      <c r="C11514" t="str">
        <f>IFERROR(__xludf.DUMMYFUNCTION("""COMPUTED_VALUE"""),"Terraform: Infraestructura como Código")</f>
        <v>Terraform: Infraestructura como Código</v>
      </c>
    </row>
    <row r="11515">
      <c r="A11515" s="140" t="str">
        <f>IFERROR(__xludf.DUMMYFUNCTION("""COMPUTED_VALUE"""),"en")</f>
        <v>en</v>
      </c>
      <c r="B11515">
        <f>IFERROR(__xludf.DUMMYFUNCTION("""COMPUTED_VALUE"""),1540380.0)</f>
        <v>1540380</v>
      </c>
      <c r="C11515" t="str">
        <f>IFERROR(__xludf.DUMMYFUNCTION("""COMPUTED_VALUE"""),"Negotiation Secrets for Master Negotiators")</f>
        <v>Negotiation Secrets for Master Negotiators</v>
      </c>
    </row>
    <row r="11516">
      <c r="A11516" s="140" t="str">
        <f>IFERROR(__xludf.DUMMYFUNCTION("""COMPUTED_VALUE"""),"de")</f>
        <v>de</v>
      </c>
      <c r="B11516">
        <f>IFERROR(__xludf.DUMMYFUNCTION("""COMPUTED_VALUE"""),1164004.0)</f>
        <v>1164004</v>
      </c>
      <c r="C11516" t="str">
        <f>IFERROR(__xludf.DUMMYFUNCTION("""COMPUTED_VALUE"""),"Hacking mit Nmap: Portscanning und Schwachstellen-Analyse")</f>
        <v>Hacking mit Nmap: Portscanning und Schwachstellen-Analyse</v>
      </c>
    </row>
    <row r="11517">
      <c r="A11517" s="140" t="str">
        <f>IFERROR(__xludf.DUMMYFUNCTION("""COMPUTED_VALUE"""),"en")</f>
        <v>en</v>
      </c>
      <c r="B11517">
        <f>IFERROR(__xludf.DUMMYFUNCTION("""COMPUTED_VALUE"""),2828052.0)</f>
        <v>2828052</v>
      </c>
      <c r="C11517" t="str">
        <f>IFERROR(__xludf.DUMMYFUNCTION("""COMPUTED_VALUE"""),"5G: Technologies, Architecture And Protocols")</f>
        <v>5G: Technologies, Architecture And Protocols</v>
      </c>
    </row>
    <row r="11518">
      <c r="A11518" s="140" t="str">
        <f>IFERROR(__xludf.DUMMYFUNCTION("""COMPUTED_VALUE"""),"es")</f>
        <v>es</v>
      </c>
      <c r="B11518">
        <f>IFERROR(__xludf.DUMMYFUNCTION("""COMPUTED_VALUE"""),2861742.0)</f>
        <v>2861742</v>
      </c>
      <c r="C11518" t="str">
        <f>IFERROR(__xludf.DUMMYFUNCTION("""COMPUTED_VALUE"""),"Curso maestro de Web Scraping: Extracción de Datos de la Web")</f>
        <v>Curso maestro de Web Scraping: Extracción de Datos de la Web</v>
      </c>
    </row>
    <row r="11519">
      <c r="A11519" s="140" t="str">
        <f>IFERROR(__xludf.DUMMYFUNCTION("""COMPUTED_VALUE"""),"fr")</f>
        <v>fr</v>
      </c>
      <c r="B11519">
        <f>IFERROR(__xludf.DUMMYFUNCTION("""COMPUTED_VALUE"""),3080764.0)</f>
        <v>3080764</v>
      </c>
      <c r="C11519" t="str">
        <f>IFERROR(__xludf.DUMMYFUNCTION("""COMPUTED_VALUE"""),"Formation Git Avancée: Devenez un expert de Git")</f>
        <v>Formation Git Avancée: Devenez un expert de Git</v>
      </c>
    </row>
    <row r="11520">
      <c r="A11520" s="140" t="str">
        <f>IFERROR(__xludf.DUMMYFUNCTION("""COMPUTED_VALUE"""),"de")</f>
        <v>de</v>
      </c>
      <c r="B11520">
        <f>IFERROR(__xludf.DUMMYFUNCTION("""COMPUTED_VALUE"""),1759662.0)</f>
        <v>1759662</v>
      </c>
      <c r="C11520" t="str">
        <f>IFERROR(__xludf.DUMMYFUNCTION("""COMPUTED_VALUE"""),"Adobe Design Bootcamp -Photoshop, Illustrator und InDesign!")</f>
        <v>Adobe Design Bootcamp -Photoshop, Illustrator und InDesign!</v>
      </c>
    </row>
    <row r="11521">
      <c r="A11521" s="140" t="str">
        <f>IFERROR(__xludf.DUMMYFUNCTION("""COMPUTED_VALUE"""),"en")</f>
        <v>en</v>
      </c>
      <c r="B11521">
        <f>IFERROR(__xludf.DUMMYFUNCTION("""COMPUTED_VALUE"""),703316.0)</f>
        <v>703316</v>
      </c>
      <c r="C11521" t="str">
        <f>IFERROR(__xludf.DUMMYFUNCTION("""COMPUTED_VALUE"""),"Customer Success Manager: Fundamentals to your CSM career")</f>
        <v>Customer Success Manager: Fundamentals to your CSM career</v>
      </c>
    </row>
    <row r="11522">
      <c r="A11522" s="140" t="str">
        <f>IFERROR(__xludf.DUMMYFUNCTION("""COMPUTED_VALUE"""),"fr")</f>
        <v>fr</v>
      </c>
      <c r="B11522">
        <f>IFERROR(__xludf.DUMMYFUNCTION("""COMPUTED_VALUE"""),2516552.0)</f>
        <v>2516552</v>
      </c>
      <c r="C11522" t="str">
        <f>IFERROR(__xludf.DUMMYFUNCTION("""COMPUTED_VALUE"""),"Android Sensors | Cas pratiques d'applications")</f>
        <v>Android Sensors | Cas pratiques d'applications</v>
      </c>
    </row>
    <row r="11523">
      <c r="A11523" s="140" t="str">
        <f>IFERROR(__xludf.DUMMYFUNCTION("""COMPUTED_VALUE"""),"en")</f>
        <v>en</v>
      </c>
      <c r="B11523">
        <f>IFERROR(__xludf.DUMMYFUNCTION("""COMPUTED_VALUE"""),1200530.0)</f>
        <v>1200530</v>
      </c>
      <c r="C11523" t="str">
        <f>IFERROR(__xludf.DUMMYFUNCTION("""COMPUTED_VALUE"""),"Electron for Desktop Apps: The Complete Developer's Guide")</f>
        <v>Electron for Desktop Apps: The Complete Developer's Guide</v>
      </c>
    </row>
    <row r="11524">
      <c r="A11524" s="140" t="str">
        <f>IFERROR(__xludf.DUMMYFUNCTION("""COMPUTED_VALUE"""),"ja")</f>
        <v>ja</v>
      </c>
      <c r="B11524">
        <f>IFERROR(__xludf.DUMMYFUNCTION("""COMPUTED_VALUE"""),2973492.0)</f>
        <v>2973492</v>
      </c>
      <c r="C11524" t="str">
        <f>IFERROR(__xludf.DUMMYFUNCTION("""COMPUTED_VALUE"""),"LINEで順番待ち。順番待ちLINEボットの作り方講座")</f>
        <v>LINEで順番待ち。順番待ちLINEボットの作り方講座</v>
      </c>
    </row>
    <row r="11525">
      <c r="A11525" s="140" t="str">
        <f>IFERROR(__xludf.DUMMYFUNCTION("""COMPUTED_VALUE"""),"en")</f>
        <v>en</v>
      </c>
      <c r="B11525">
        <f>IFERROR(__xludf.DUMMYFUNCTION("""COMPUTED_VALUE"""),1185006.0)</f>
        <v>1185006</v>
      </c>
      <c r="C11525" t="str">
        <f>IFERROR(__xludf.DUMMYFUNCTION("""COMPUTED_VALUE"""),"The Complete App Marketing Course")</f>
        <v>The Complete App Marketing Course</v>
      </c>
    </row>
    <row r="11526">
      <c r="A11526" s="140" t="str">
        <f>IFERROR(__xludf.DUMMYFUNCTION("""COMPUTED_VALUE"""),"en")</f>
        <v>en</v>
      </c>
      <c r="B11526">
        <f>IFERROR(__xludf.DUMMYFUNCTION("""COMPUTED_VALUE"""),2496036.0)</f>
        <v>2496036</v>
      </c>
      <c r="C11526" t="str">
        <f>IFERROR(__xludf.DUMMYFUNCTION("""COMPUTED_VALUE"""),"Rocking AWS CloudFormation, CDK with DevOps, Interview Guide")</f>
        <v>Rocking AWS CloudFormation, CDK with DevOps, Interview Guide</v>
      </c>
    </row>
    <row r="11527">
      <c r="A11527" s="140" t="str">
        <f>IFERROR(__xludf.DUMMYFUNCTION("""COMPUTED_VALUE"""),"en")</f>
        <v>en</v>
      </c>
      <c r="B11527">
        <f>IFERROR(__xludf.DUMMYFUNCTION("""COMPUTED_VALUE"""),430152.0)</f>
        <v>430152</v>
      </c>
      <c r="C11527" t="str">
        <f>IFERROR(__xludf.DUMMYFUNCTION("""COMPUTED_VALUE"""),"Adobe Captivate - Focus on Demonstrations")</f>
        <v>Adobe Captivate - Focus on Demonstrations</v>
      </c>
    </row>
    <row r="11528">
      <c r="A11528" s="140" t="str">
        <f>IFERROR(__xludf.DUMMYFUNCTION("""COMPUTED_VALUE"""),"en")</f>
        <v>en</v>
      </c>
      <c r="B11528">
        <f>IFERROR(__xludf.DUMMYFUNCTION("""COMPUTED_VALUE"""),2464836.0)</f>
        <v>2464836</v>
      </c>
      <c r="C11528" t="str">
        <f>IFERROR(__xludf.DUMMYFUNCTION("""COMPUTED_VALUE"""),"Java Certification (1Z0-815) Topic-wise Tests [2021]")</f>
        <v>Java Certification (1Z0-815) Topic-wise Tests [2021]</v>
      </c>
    </row>
    <row r="11529">
      <c r="A11529" s="140" t="str">
        <f>IFERROR(__xludf.DUMMYFUNCTION("""COMPUTED_VALUE"""),"en")</f>
        <v>en</v>
      </c>
      <c r="B11529">
        <f>IFERROR(__xludf.DUMMYFUNCTION("""COMPUTED_VALUE"""),3308544.0)</f>
        <v>3308544</v>
      </c>
      <c r="C11529" t="str">
        <f>IFERROR(__xludf.DUMMYFUNCTION("""COMPUTED_VALUE"""),"HVAC fundamental concepts, design calculations and systems")</f>
        <v>HVAC fundamental concepts, design calculations and systems</v>
      </c>
    </row>
    <row r="11530">
      <c r="A11530" s="140" t="str">
        <f>IFERROR(__xludf.DUMMYFUNCTION("""COMPUTED_VALUE"""),"en")</f>
        <v>en</v>
      </c>
      <c r="B11530">
        <f>IFERROR(__xludf.DUMMYFUNCTION("""COMPUTED_VALUE"""),1292838.0)</f>
        <v>1292838</v>
      </c>
      <c r="C11530" t="str">
        <f>IFERROR(__xludf.DUMMYFUNCTION("""COMPUTED_VALUE"""),"Data Science : Master Machine Learning Without Coding")</f>
        <v>Data Science : Master Machine Learning Without Coding</v>
      </c>
    </row>
    <row r="11531">
      <c r="A11531" s="140" t="str">
        <f>IFERROR(__xludf.DUMMYFUNCTION("""COMPUTED_VALUE"""),"en")</f>
        <v>en</v>
      </c>
      <c r="B11531">
        <f>IFERROR(__xludf.DUMMYFUNCTION("""COMPUTED_VALUE"""),1309804.0)</f>
        <v>1309804</v>
      </c>
      <c r="C11531" t="str">
        <f>IFERROR(__xludf.DUMMYFUNCTION("""COMPUTED_VALUE"""),"Understanding Personality Types at Work")</f>
        <v>Understanding Personality Types at Work</v>
      </c>
    </row>
    <row r="11532">
      <c r="A11532" s="140" t="str">
        <f>IFERROR(__xludf.DUMMYFUNCTION("""COMPUTED_VALUE"""),"pt")</f>
        <v>pt</v>
      </c>
      <c r="B11532">
        <f>IFERROR(__xludf.DUMMYFUNCTION("""COMPUTED_VALUE"""),1756330.0)</f>
        <v>1756330</v>
      </c>
      <c r="C11532" t="str">
        <f>IFERROR(__xludf.DUMMYFUNCTION("""COMPUTED_VALUE"""),"Gestão de Operações Logísticas Globais")</f>
        <v>Gestão de Operações Logísticas Globais</v>
      </c>
    </row>
    <row r="11533">
      <c r="A11533" s="140" t="str">
        <f>IFERROR(__xludf.DUMMYFUNCTION("""COMPUTED_VALUE"""),"tr")</f>
        <v>tr</v>
      </c>
      <c r="B11533">
        <f>IFERROR(__xludf.DUMMYFUNCTION("""COMPUTED_VALUE"""),2168340.0)</f>
        <v>2168340</v>
      </c>
      <c r="C11533" t="str">
        <f>IFERROR(__xludf.DUMMYFUNCTION("""COMPUTED_VALUE"""),"Finans Matematiği, Finansal Modelleme ve Finansal Analiz")</f>
        <v>Finans Matematiği, Finansal Modelleme ve Finansal Analiz</v>
      </c>
    </row>
    <row r="11534">
      <c r="A11534" s="140" t="str">
        <f>IFERROR(__xludf.DUMMYFUNCTION("""COMPUTED_VALUE"""),"es")</f>
        <v>es</v>
      </c>
      <c r="B11534">
        <f>IFERROR(__xludf.DUMMYFUNCTION("""COMPUTED_VALUE"""),3725760.0)</f>
        <v>3725760</v>
      </c>
      <c r="C11534" t="str">
        <f>IFERROR(__xludf.DUMMYFUNCTION("""COMPUTED_VALUE"""),"Ethical Hacking Profesional desde 0 a Avanzado, con Práctica")</f>
        <v>Ethical Hacking Profesional desde 0 a Avanzado, con Práctica</v>
      </c>
    </row>
    <row r="11535">
      <c r="A11535" s="140" t="str">
        <f>IFERROR(__xludf.DUMMYFUNCTION("""COMPUTED_VALUE"""),"es")</f>
        <v>es</v>
      </c>
      <c r="B11535">
        <f>IFERROR(__xludf.DUMMYFUNCTION("""COMPUTED_VALUE"""),3583146.0)</f>
        <v>3583146</v>
      </c>
      <c r="C11535" t="str">
        <f>IFERROR(__xludf.DUMMYFUNCTION("""COMPUTED_VALUE"""),"Certificación LPI Linux Essentials: Temario oficial completo")</f>
        <v>Certificación LPI Linux Essentials: Temario oficial completo</v>
      </c>
    </row>
    <row r="11536">
      <c r="A11536" s="140" t="str">
        <f>IFERROR(__xludf.DUMMYFUNCTION("""COMPUTED_VALUE"""),"en")</f>
        <v>en</v>
      </c>
      <c r="B11536">
        <f>IFERROR(__xludf.DUMMYFUNCTION("""COMPUTED_VALUE"""),1932476.0)</f>
        <v>1932476</v>
      </c>
      <c r="C11536" t="str">
        <f>IFERROR(__xludf.DUMMYFUNCTION("""COMPUTED_VALUE"""),"Freeing Ourselves With Mindfulness - with Tara Brach")</f>
        <v>Freeing Ourselves With Mindfulness - with Tara Brach</v>
      </c>
    </row>
    <row r="11537">
      <c r="A11537" s="140" t="str">
        <f>IFERROR(__xludf.DUMMYFUNCTION("""COMPUTED_VALUE"""),"en")</f>
        <v>en</v>
      </c>
      <c r="B11537">
        <f>IFERROR(__xludf.DUMMYFUNCTION("""COMPUTED_VALUE"""),2027668.0)</f>
        <v>2027668</v>
      </c>
      <c r="C11537" t="str">
        <f>IFERROR(__xludf.DUMMYFUNCTION("""COMPUTED_VALUE"""),"Linear Algebra Mathematics for Machine Learning Data Science")</f>
        <v>Linear Algebra Mathematics for Machine Learning Data Science</v>
      </c>
    </row>
    <row r="11538">
      <c r="A11538" s="140" t="str">
        <f>IFERROR(__xludf.DUMMYFUNCTION("""COMPUTED_VALUE"""),"en")</f>
        <v>en</v>
      </c>
      <c r="B11538">
        <f>IFERROR(__xludf.DUMMYFUNCTION("""COMPUTED_VALUE"""),281672.0)</f>
        <v>281672</v>
      </c>
      <c r="C11538" t="str">
        <f>IFERROR(__xludf.DUMMYFUNCTION("""COMPUTED_VALUE"""),"Agile PM 301 - Mastering Agile Project Management")</f>
        <v>Agile PM 301 - Mastering Agile Project Management</v>
      </c>
    </row>
    <row r="11539">
      <c r="A11539" s="140" t="str">
        <f>IFERROR(__xludf.DUMMYFUNCTION("""COMPUTED_VALUE"""),"en")</f>
        <v>en</v>
      </c>
      <c r="B11539">
        <f>IFERROR(__xludf.DUMMYFUNCTION("""COMPUTED_VALUE"""),2915650.0)</f>
        <v>2915650</v>
      </c>
      <c r="C11539" t="str">
        <f>IFERROR(__xludf.DUMMYFUNCTION("""COMPUTED_VALUE"""),"Ultimate Blender 3D Character Creation &amp; Animation Course")</f>
        <v>Ultimate Blender 3D Character Creation &amp; Animation Course</v>
      </c>
    </row>
    <row r="11540">
      <c r="A11540" s="140" t="str">
        <f>IFERROR(__xludf.DUMMYFUNCTION("""COMPUTED_VALUE"""),"en")</f>
        <v>en</v>
      </c>
      <c r="B11540">
        <f>IFERROR(__xludf.DUMMYFUNCTION("""COMPUTED_VALUE"""),3867378.0)</f>
        <v>3867378</v>
      </c>
      <c r="C11540" t="str">
        <f>IFERROR(__xludf.DUMMYFUNCTION("""COMPUTED_VALUE"""),"CDMP Certified Data Management Professional Practice Exams")</f>
        <v>CDMP Certified Data Management Professional Practice Exams</v>
      </c>
    </row>
    <row r="11541">
      <c r="A11541" s="140" t="str">
        <f>IFERROR(__xludf.DUMMYFUNCTION("""COMPUTED_VALUE"""),"es")</f>
        <v>es</v>
      </c>
      <c r="B11541">
        <f>IFERROR(__xludf.DUMMYFUNCTION("""COMPUTED_VALUE"""),1516532.0)</f>
        <v>1516532</v>
      </c>
      <c r="C11541" t="str">
        <f>IFERROR(__xludf.DUMMYFUNCTION("""COMPUTED_VALUE"""),"Confianza &amp; Autoestima con la Programación Neurolinguística")</f>
        <v>Confianza &amp; Autoestima con la Programación Neurolinguística</v>
      </c>
    </row>
    <row r="11542">
      <c r="A11542" s="140" t="str">
        <f>IFERROR(__xludf.DUMMYFUNCTION("""COMPUTED_VALUE"""),"en")</f>
        <v>en</v>
      </c>
      <c r="B11542">
        <f>IFERROR(__xludf.DUMMYFUNCTION("""COMPUTED_VALUE"""),475250.0)</f>
        <v>475250</v>
      </c>
      <c r="C11542" t="str">
        <f>IFERROR(__xludf.DUMMYFUNCTION("""COMPUTED_VALUE"""),"SAP : Supply Chain Logistics in R/3")</f>
        <v>SAP : Supply Chain Logistics in R/3</v>
      </c>
    </row>
    <row r="11543">
      <c r="A11543" s="140" t="str">
        <f>IFERROR(__xludf.DUMMYFUNCTION("""COMPUTED_VALUE"""),"en")</f>
        <v>en</v>
      </c>
      <c r="B11543">
        <f>IFERROR(__xludf.DUMMYFUNCTION("""COMPUTED_VALUE"""),1399352.0)</f>
        <v>1399352</v>
      </c>
      <c r="C11543" t="str">
        <f>IFERROR(__xludf.DUMMYFUNCTION("""COMPUTED_VALUE"""),"Build Responsive Real World Websites with CSS3 v2.0")</f>
        <v>Build Responsive Real World Websites with CSS3 v2.0</v>
      </c>
    </row>
    <row r="11544">
      <c r="A11544" s="140" t="str">
        <f>IFERROR(__xludf.DUMMYFUNCTION("""COMPUTED_VALUE"""),"pt")</f>
        <v>pt</v>
      </c>
      <c r="B11544">
        <f>IFERROR(__xludf.DUMMYFUNCTION("""COMPUTED_VALUE"""),903390.0)</f>
        <v>903390</v>
      </c>
      <c r="C11544" t="str">
        <f>IFERROR(__xludf.DUMMYFUNCTION("""COMPUTED_VALUE"""),"Web Scraping com Python e Beautiful Soup")</f>
        <v>Web Scraping com Python e Beautiful Soup</v>
      </c>
    </row>
    <row r="11545">
      <c r="A11545" s="140" t="str">
        <f>IFERROR(__xludf.DUMMYFUNCTION("""COMPUTED_VALUE"""),"en")</f>
        <v>en</v>
      </c>
      <c r="B11545">
        <f>IFERROR(__xludf.DUMMYFUNCTION("""COMPUTED_VALUE"""),3986850.0)</f>
        <v>3986850</v>
      </c>
      <c r="C11545" t="str">
        <f>IFERROR(__xludf.DUMMYFUNCTION("""COMPUTED_VALUE"""),"Next.js Dev to Deployment")</f>
        <v>Next.js Dev to Deployment</v>
      </c>
    </row>
    <row r="11546">
      <c r="A11546" s="140" t="str">
        <f>IFERROR(__xludf.DUMMYFUNCTION("""COMPUTED_VALUE"""),"de")</f>
        <v>de</v>
      </c>
      <c r="B11546">
        <f>IFERROR(__xludf.DUMMYFUNCTION("""COMPUTED_VALUE"""),802806.0)</f>
        <v>802806</v>
      </c>
      <c r="C11546" t="str">
        <f>IFERROR(__xludf.DUMMYFUNCTION("""COMPUTED_VALUE"""),"Projektmanagement: Best Practices aus 14 Jahren als Berater")</f>
        <v>Projektmanagement: Best Practices aus 14 Jahren als Berater</v>
      </c>
    </row>
    <row r="11547">
      <c r="A11547" s="140" t="str">
        <f>IFERROR(__xludf.DUMMYFUNCTION("""COMPUTED_VALUE"""),"pt")</f>
        <v>pt</v>
      </c>
      <c r="B11547">
        <f>IFERROR(__xludf.DUMMYFUNCTION("""COMPUTED_VALUE"""),1962346.0)</f>
        <v>1962346</v>
      </c>
      <c r="C11547" t="str">
        <f>IFERROR(__xludf.DUMMYFUNCTION("""COMPUTED_VALUE"""),"Aprenda SketchUP, do básico ao avançado.")</f>
        <v>Aprenda SketchUP, do básico ao avançado.</v>
      </c>
    </row>
    <row r="11548">
      <c r="A11548" s="140" t="str">
        <f>IFERROR(__xludf.DUMMYFUNCTION("""COMPUTED_VALUE"""),"en")</f>
        <v>en</v>
      </c>
      <c r="B11548">
        <f>IFERROR(__xludf.DUMMYFUNCTION("""COMPUTED_VALUE"""),1512506.0)</f>
        <v>1512506</v>
      </c>
      <c r="C11548" t="str">
        <f>IFERROR(__xludf.DUMMYFUNCTION("""COMPUTED_VALUE"""),"3 Minute German - Course 3 | Language lessons for beginners")</f>
        <v>3 Minute German - Course 3 | Language lessons for beginners</v>
      </c>
    </row>
    <row r="11549">
      <c r="A11549" s="140" t="str">
        <f>IFERROR(__xludf.DUMMYFUNCTION("""COMPUTED_VALUE"""),"ar")</f>
        <v>ar</v>
      </c>
      <c r="B11549">
        <f>IFERROR(__xludf.DUMMYFUNCTION("""COMPUTED_VALUE"""),2474414.0)</f>
        <v>2474414</v>
      </c>
      <c r="C11549" t="str">
        <f>IFERROR(__xludf.DUMMYFUNCTION("""COMPUTED_VALUE"""),"تصميم الخرائط الاحترافية")</f>
        <v>تصميم الخرائط الاحترافية</v>
      </c>
    </row>
    <row r="11550">
      <c r="A11550" s="140" t="str">
        <f>IFERROR(__xludf.DUMMYFUNCTION("""COMPUTED_VALUE"""),"en")</f>
        <v>en</v>
      </c>
      <c r="B11550">
        <f>IFERROR(__xludf.DUMMYFUNCTION("""COMPUTED_VALUE"""),295503.0)</f>
        <v>295503</v>
      </c>
      <c r="C11550" t="str">
        <f>IFERROR(__xludf.DUMMYFUNCTION("""COMPUTED_VALUE"""),"Master Google Sheets (and see why it's better than Excel)")</f>
        <v>Master Google Sheets (and see why it's better than Excel)</v>
      </c>
    </row>
    <row r="11551">
      <c r="A11551" s="140" t="str">
        <f>IFERROR(__xludf.DUMMYFUNCTION("""COMPUTED_VALUE"""),"en")</f>
        <v>en</v>
      </c>
      <c r="B11551">
        <f>IFERROR(__xludf.DUMMYFUNCTION("""COMPUTED_VALUE"""),1608616.0)</f>
        <v>1608616</v>
      </c>
      <c r="C11551" t="str">
        <f>IFERROR(__xludf.DUMMYFUNCTION("""COMPUTED_VALUE"""),"Kubernetes On The Cloud &amp; The CNCF CKA Certification")</f>
        <v>Kubernetes On The Cloud &amp; The CNCF CKA Certification</v>
      </c>
    </row>
    <row r="11552">
      <c r="A11552" s="140" t="str">
        <f>IFERROR(__xludf.DUMMYFUNCTION("""COMPUTED_VALUE"""),"es")</f>
        <v>es</v>
      </c>
      <c r="B11552">
        <f>IFERROR(__xludf.DUMMYFUNCTION("""COMPUTED_VALUE"""),2736848.0)</f>
        <v>2736848</v>
      </c>
      <c r="C11552" t="str">
        <f>IFERROR(__xludf.DUMMYFUNCTION("""COMPUTED_VALUE"""),"Análisis de Datos y Gráficos con Python: Panda y Matplotlib.")</f>
        <v>Análisis de Datos y Gráficos con Python: Panda y Matplotlib.</v>
      </c>
    </row>
    <row r="11553">
      <c r="A11553" s="140" t="str">
        <f>IFERROR(__xludf.DUMMYFUNCTION("""COMPUTED_VALUE"""),"en")</f>
        <v>en</v>
      </c>
      <c r="B11553">
        <f>IFERROR(__xludf.DUMMYFUNCTION("""COMPUTED_VALUE"""),4095980.0)</f>
        <v>4095980</v>
      </c>
      <c r="C11553" t="str">
        <f>IFERROR(__xludf.DUMMYFUNCTION("""COMPUTED_VALUE"""),"GCP - Google Cloud Professional Data Engineer Certification")</f>
        <v>GCP - Google Cloud Professional Data Engineer Certification</v>
      </c>
    </row>
    <row r="11554">
      <c r="A11554" s="140" t="str">
        <f>IFERROR(__xludf.DUMMYFUNCTION("""COMPUTED_VALUE"""),"en")</f>
        <v>en</v>
      </c>
      <c r="B11554">
        <f>IFERROR(__xludf.DUMMYFUNCTION("""COMPUTED_VALUE"""),4174624.0)</f>
        <v>4174624</v>
      </c>
      <c r="C11554" t="str">
        <f>IFERROR(__xludf.DUMMYFUNCTION("""COMPUTED_VALUE"""),"Java Programming - A Complete Java course to Become Java Ace")</f>
        <v>Java Programming - A Complete Java course to Become Java Ace</v>
      </c>
    </row>
    <row r="11555">
      <c r="A11555" s="140" t="str">
        <f>IFERROR(__xludf.DUMMYFUNCTION("""COMPUTED_VALUE"""),"en")</f>
        <v>en</v>
      </c>
      <c r="B11555">
        <f>IFERROR(__xludf.DUMMYFUNCTION("""COMPUTED_VALUE"""),2441460.0)</f>
        <v>2441460</v>
      </c>
      <c r="C11555" t="str">
        <f>IFERROR(__xludf.DUMMYFUNCTION("""COMPUTED_VALUE"""),"Project Management Training")</f>
        <v>Project Management Training</v>
      </c>
    </row>
    <row r="11556">
      <c r="A11556" s="140" t="str">
        <f>IFERROR(__xludf.DUMMYFUNCTION("""COMPUTED_VALUE"""),"en")</f>
        <v>en</v>
      </c>
      <c r="B11556">
        <f>IFERROR(__xludf.DUMMYFUNCTION("""COMPUTED_VALUE"""),1140452.0)</f>
        <v>1140452</v>
      </c>
      <c r="C11556" t="str">
        <f>IFERROR(__xludf.DUMMYFUNCTION("""COMPUTED_VALUE"""),"Learn TDD in Java")</f>
        <v>Learn TDD in Java</v>
      </c>
    </row>
    <row r="11557">
      <c r="A11557" s="140" t="str">
        <f>IFERROR(__xludf.DUMMYFUNCTION("""COMPUTED_VALUE"""),"en")</f>
        <v>en</v>
      </c>
      <c r="B11557">
        <f>IFERROR(__xludf.DUMMYFUNCTION("""COMPUTED_VALUE"""),2606862.0)</f>
        <v>2606862</v>
      </c>
      <c r="C11557" t="str">
        <f>IFERROR(__xludf.DUMMYFUNCTION("""COMPUTED_VALUE"""),"Build An API With The Django Rest Framework Using Python")</f>
        <v>Build An API With The Django Rest Framework Using Python</v>
      </c>
    </row>
    <row r="11558">
      <c r="A11558" s="140" t="str">
        <f>IFERROR(__xludf.DUMMYFUNCTION("""COMPUTED_VALUE"""),"en")</f>
        <v>en</v>
      </c>
      <c r="B11558">
        <f>IFERROR(__xludf.DUMMYFUNCTION("""COMPUTED_VALUE"""),1570206.0)</f>
        <v>1570206</v>
      </c>
      <c r="C11558" t="str">
        <f>IFERROR(__xludf.DUMMYFUNCTION("""COMPUTED_VALUE"""),"Microsoft Power BI Desktop for Business Intelligence")</f>
        <v>Microsoft Power BI Desktop for Business Intelligence</v>
      </c>
    </row>
    <row r="11559">
      <c r="A11559" s="140" t="str">
        <f>IFERROR(__xludf.DUMMYFUNCTION("""COMPUTED_VALUE"""),"es")</f>
        <v>es</v>
      </c>
      <c r="B11559">
        <f>IFERROR(__xludf.DUMMYFUNCTION("""COMPUTED_VALUE"""),1261874.0)</f>
        <v>1261874</v>
      </c>
      <c r="C11559" t="str">
        <f>IFERROR(__xludf.DUMMYFUNCTION("""COMPUTED_VALUE"""),"Diseño Gráfico y Audiovisual: Máster Course")</f>
        <v>Diseño Gráfico y Audiovisual: Máster Course</v>
      </c>
    </row>
    <row r="11560">
      <c r="A11560" s="140" t="str">
        <f>IFERROR(__xludf.DUMMYFUNCTION("""COMPUTED_VALUE"""),"ja")</f>
        <v>ja</v>
      </c>
      <c r="B11560">
        <f>IFERROR(__xludf.DUMMYFUNCTION("""COMPUTED_VALUE"""),1337406.0)</f>
        <v>1337406</v>
      </c>
      <c r="C11560" t="str">
        <f>IFERROR(__xludf.DUMMYFUNCTION("""COMPUTED_VALUE"""),"就活生　社会人１年生　ビジネスマンの話し方・伝え方（論理的な話し方）講座　これでプレゼンも面接も怖くない！！")</f>
        <v>就活生　社会人１年生　ビジネスマンの話し方・伝え方（論理的な話し方）講座　これでプレゼンも面接も怖くない！！</v>
      </c>
    </row>
    <row r="11561">
      <c r="A11561" s="140" t="str">
        <f>IFERROR(__xludf.DUMMYFUNCTION("""COMPUTED_VALUE"""),"es")</f>
        <v>es</v>
      </c>
      <c r="B11561">
        <f>IFERROR(__xludf.DUMMYFUNCTION("""COMPUTED_VALUE"""),4119364.0)</f>
        <v>4119364</v>
      </c>
      <c r="C11561" t="str">
        <f>IFERROR(__xludf.DUMMYFUNCTION("""COMPUTED_VALUE"""),"Vue.js: De cero a experto")</f>
        <v>Vue.js: De cero a experto</v>
      </c>
    </row>
    <row r="11562">
      <c r="A11562" s="140" t="str">
        <f>IFERROR(__xludf.DUMMYFUNCTION("""COMPUTED_VALUE"""),"fr")</f>
        <v>fr</v>
      </c>
      <c r="B11562">
        <f>IFERROR(__xludf.DUMMYFUNCTION("""COMPUTED_VALUE"""),1355250.0)</f>
        <v>1355250</v>
      </c>
      <c r="C11562" t="str">
        <f>IFERROR(__xludf.DUMMYFUNCTION("""COMPUTED_VALUE"""),"Maîtrisez la méthode du pitch Silicon Valley")</f>
        <v>Maîtrisez la méthode du pitch Silicon Valley</v>
      </c>
    </row>
    <row r="11563">
      <c r="A11563" s="140" t="str">
        <f>IFERROR(__xludf.DUMMYFUNCTION("""COMPUTED_VALUE"""),"en")</f>
        <v>en</v>
      </c>
      <c r="B11563">
        <f>IFERROR(__xludf.DUMMYFUNCTION("""COMPUTED_VALUE"""),3326742.0)</f>
        <v>3326742</v>
      </c>
      <c r="C11563" t="str">
        <f>IFERROR(__xludf.DUMMYFUNCTION("""COMPUTED_VALUE"""),"Be an International Business Professional")</f>
        <v>Be an International Business Professional</v>
      </c>
    </row>
    <row r="11564">
      <c r="A11564" s="140" t="str">
        <f>IFERROR(__xludf.DUMMYFUNCTION("""COMPUTED_VALUE"""),"en")</f>
        <v>en</v>
      </c>
      <c r="B11564">
        <f>IFERROR(__xludf.DUMMYFUNCTION("""COMPUTED_VALUE"""),1246982.0)</f>
        <v>1246982</v>
      </c>
      <c r="C11564" t="str">
        <f>IFERROR(__xludf.DUMMYFUNCTION("""COMPUTED_VALUE"""),"Building a Smart Agile Product Backlog with User Stories")</f>
        <v>Building a Smart Agile Product Backlog with User Stories</v>
      </c>
    </row>
    <row r="11565">
      <c r="A11565" s="140" t="str">
        <f>IFERROR(__xludf.DUMMYFUNCTION("""COMPUTED_VALUE"""),"en")</f>
        <v>en</v>
      </c>
      <c r="B11565">
        <f>IFERROR(__xludf.DUMMYFUNCTION("""COMPUTED_VALUE"""),802576.0)</f>
        <v>802576</v>
      </c>
      <c r="C11565" t="str">
        <f>IFERROR(__xludf.DUMMYFUNCTION("""COMPUTED_VALUE"""),"AZ-104 Microsoft Azure Administrator Exam Certification 2021")</f>
        <v>AZ-104 Microsoft Azure Administrator Exam Certification 2021</v>
      </c>
    </row>
    <row r="11566">
      <c r="A11566" s="140" t="str">
        <f>IFERROR(__xludf.DUMMYFUNCTION("""COMPUTED_VALUE"""),"ja")</f>
        <v>ja</v>
      </c>
      <c r="B11566">
        <f>IFERROR(__xludf.DUMMYFUNCTION("""COMPUTED_VALUE"""),3797128.0)</f>
        <v>3797128</v>
      </c>
      <c r="C11566" t="str">
        <f>IFERROR(__xludf.DUMMYFUNCTION("""COMPUTED_VALUE"""),"【Flutter】2Dゲーム（〇✕ゲーム）を開発する")</f>
        <v>【Flutter】2Dゲーム（〇✕ゲーム）を開発する</v>
      </c>
    </row>
    <row r="11567">
      <c r="A11567" s="140" t="str">
        <f>IFERROR(__xludf.DUMMYFUNCTION("""COMPUTED_VALUE"""),"en")</f>
        <v>en</v>
      </c>
      <c r="B11567">
        <f>IFERROR(__xludf.DUMMYFUNCTION("""COMPUTED_VALUE"""),2889502.0)</f>
        <v>2889502</v>
      </c>
      <c r="C11567" t="str">
        <f>IFERROR(__xludf.DUMMYFUNCTION("""COMPUTED_VALUE"""),"SERENITY BDD Framework for Selenium, Appium and REST Assured")</f>
        <v>SERENITY BDD Framework for Selenium, Appium and REST Assured</v>
      </c>
    </row>
    <row r="11568">
      <c r="A11568" s="140" t="str">
        <f>IFERROR(__xludf.DUMMYFUNCTION("""COMPUTED_VALUE"""),"en")</f>
        <v>en</v>
      </c>
      <c r="B11568">
        <f>IFERROR(__xludf.DUMMYFUNCTION("""COMPUTED_VALUE"""),2055265.0)</f>
        <v>2055265</v>
      </c>
      <c r="C11568" t="str">
        <f>IFERROR(__xludf.DUMMYFUNCTION("""COMPUTED_VALUE"""),"Introduction to process control and instrumentation")</f>
        <v>Introduction to process control and instrumentation</v>
      </c>
    </row>
    <row r="11569">
      <c r="A11569" s="140" t="str">
        <f>IFERROR(__xludf.DUMMYFUNCTION("""COMPUTED_VALUE"""),"tr")</f>
        <v>tr</v>
      </c>
      <c r="B11569">
        <f>IFERROR(__xludf.DUMMYFUNCTION("""COMPUTED_VALUE"""),2980170.0)</f>
        <v>2980170</v>
      </c>
      <c r="C11569" t="str">
        <f>IFERROR(__xludf.DUMMYFUNCTION("""COMPUTED_VALUE"""),"A'dan Z'ye Arduino Dersleri ve Robotik Kodlama Projeleri")</f>
        <v>A'dan Z'ye Arduino Dersleri ve Robotik Kodlama Projeleri</v>
      </c>
    </row>
    <row r="11570">
      <c r="A11570" s="140" t="str">
        <f>IFERROR(__xludf.DUMMYFUNCTION("""COMPUTED_VALUE"""),"en")</f>
        <v>en</v>
      </c>
      <c r="B11570">
        <f>IFERROR(__xludf.DUMMYFUNCTION("""COMPUTED_VALUE"""),2259554.0)</f>
        <v>2259554</v>
      </c>
      <c r="C11570" t="str">
        <f>IFERROR(__xludf.DUMMYFUNCTION("""COMPUTED_VALUE"""),"Tableau Desktop Specialist Certification Guide")</f>
        <v>Tableau Desktop Specialist Certification Guide</v>
      </c>
    </row>
    <row r="11571">
      <c r="A11571" s="140" t="str">
        <f>IFERROR(__xludf.DUMMYFUNCTION("""COMPUTED_VALUE"""),"en")</f>
        <v>en</v>
      </c>
      <c r="B11571">
        <f>IFERROR(__xludf.DUMMYFUNCTION("""COMPUTED_VALUE"""),2220736.0)</f>
        <v>2220736</v>
      </c>
      <c r="C11571" t="str">
        <f>IFERROR(__xludf.DUMMYFUNCTION("""COMPUTED_VALUE"""),"End to End automation testing with Cypress")</f>
        <v>End to End automation testing with Cypress</v>
      </c>
    </row>
    <row r="11572">
      <c r="A11572" s="140" t="str">
        <f>IFERROR(__xludf.DUMMYFUNCTION("""COMPUTED_VALUE"""),"en")</f>
        <v>en</v>
      </c>
      <c r="B11572">
        <f>IFERROR(__xludf.DUMMYFUNCTION("""COMPUTED_VALUE"""),3531076.0)</f>
        <v>3531076</v>
      </c>
      <c r="C11572" t="str">
        <f>IFERROR(__xludf.DUMMYFUNCTION("""COMPUTED_VALUE"""),"A Professional Introduction to Scrum")</f>
        <v>A Professional Introduction to Scrum</v>
      </c>
    </row>
    <row r="11573">
      <c r="A11573" s="140" t="str">
        <f>IFERROR(__xludf.DUMMYFUNCTION("""COMPUTED_VALUE"""),"es")</f>
        <v>es</v>
      </c>
      <c r="B11573">
        <f>IFERROR(__xludf.DUMMYFUNCTION("""COMPUTED_VALUE"""),1354966.0)</f>
        <v>1354966</v>
      </c>
      <c r="C11573" t="str">
        <f>IFERROR(__xludf.DUMMYFUNCTION("""COMPUTED_VALUE"""),"Certificación en Terapia Cognitivo Conductual")</f>
        <v>Certificación en Terapia Cognitivo Conductual</v>
      </c>
    </row>
    <row r="11574">
      <c r="A11574" s="140" t="str">
        <f>IFERROR(__xludf.DUMMYFUNCTION("""COMPUTED_VALUE"""),"ja")</f>
        <v>ja</v>
      </c>
      <c r="B11574">
        <f>IFERROR(__xludf.DUMMYFUNCTION("""COMPUTED_VALUE"""),1614778.0)</f>
        <v>1614778</v>
      </c>
      <c r="C11574" t="str">
        <f>IFERROR(__xludf.DUMMYFUNCTION("""COMPUTED_VALUE"""),"PHP+MySQL（MariaDB） Webサーバーサイドプログラミング入門")</f>
        <v>PHP+MySQL（MariaDB） Webサーバーサイドプログラミング入門</v>
      </c>
    </row>
    <row r="11575">
      <c r="A11575" s="140" t="str">
        <f>IFERROR(__xludf.DUMMYFUNCTION("""COMPUTED_VALUE"""),"en")</f>
        <v>en</v>
      </c>
      <c r="B11575">
        <f>IFERROR(__xludf.DUMMYFUNCTION("""COMPUTED_VALUE"""),1703390.0)</f>
        <v>1703390</v>
      </c>
      <c r="C11575" t="str">
        <f>IFERROR(__xludf.DUMMYFUNCTION("""COMPUTED_VALUE"""),"Scrum Master Professional Cert,Real Case,2021 Exam Questions")</f>
        <v>Scrum Master Professional Cert,Real Case,2021 Exam Questions</v>
      </c>
    </row>
    <row r="11576">
      <c r="A11576" s="140" t="str">
        <f>IFERROR(__xludf.DUMMYFUNCTION("""COMPUTED_VALUE"""),"es")</f>
        <v>es</v>
      </c>
      <c r="B11576">
        <f>IFERROR(__xludf.DUMMYFUNCTION("""COMPUTED_VALUE"""),2367424.0)</f>
        <v>2367424</v>
      </c>
      <c r="C11576" t="str">
        <f>IFERROR(__xludf.DUMMYFUNCTION("""COMPUTED_VALUE"""),"Comercio Internacional &amp; Logística para Importar y Exportar")</f>
        <v>Comercio Internacional &amp; Logística para Importar y Exportar</v>
      </c>
    </row>
    <row r="11577">
      <c r="A11577" s="140" t="str">
        <f>IFERROR(__xludf.DUMMYFUNCTION("""COMPUTED_VALUE"""),"en")</f>
        <v>en</v>
      </c>
      <c r="B11577">
        <f>IFERROR(__xludf.DUMMYFUNCTION("""COMPUTED_VALUE"""),2464748.0)</f>
        <v>2464748</v>
      </c>
      <c r="C11577" t="str">
        <f>IFERROR(__xludf.DUMMYFUNCTION("""COMPUTED_VALUE"""),"Java Certification (1Z0-815) Exam Simulation [2021]")</f>
        <v>Java Certification (1Z0-815) Exam Simulation [2021]</v>
      </c>
    </row>
    <row r="11578">
      <c r="A11578" s="140" t="str">
        <f>IFERROR(__xludf.DUMMYFUNCTION("""COMPUTED_VALUE"""),"en")</f>
        <v>en</v>
      </c>
      <c r="B11578">
        <f>IFERROR(__xludf.DUMMYFUNCTION("""COMPUTED_VALUE"""),59772.0)</f>
        <v>59772</v>
      </c>
      <c r="C11578" t="str">
        <f>IFERROR(__xludf.DUMMYFUNCTION("""COMPUTED_VALUE"""),"Customer Success | Profit from the Power of Your Customers")</f>
        <v>Customer Success | Profit from the Power of Your Customers</v>
      </c>
    </row>
    <row r="11579">
      <c r="A11579" s="140" t="str">
        <f>IFERROR(__xludf.DUMMYFUNCTION("""COMPUTED_VALUE"""),"en")</f>
        <v>en</v>
      </c>
      <c r="B11579">
        <f>IFERROR(__xludf.DUMMYFUNCTION("""COMPUTED_VALUE"""),834838.0)</f>
        <v>834838</v>
      </c>
      <c r="C11579" t="str">
        <f>IFERROR(__xludf.DUMMYFUNCTION("""COMPUTED_VALUE"""),"Learn Oracle 12c SQL : Kickstart kit for beginners")</f>
        <v>Learn Oracle 12c SQL : Kickstart kit for beginners</v>
      </c>
    </row>
    <row r="11580">
      <c r="A11580" s="140" t="str">
        <f>IFERROR(__xludf.DUMMYFUNCTION("""COMPUTED_VALUE"""),"es")</f>
        <v>es</v>
      </c>
      <c r="B11580">
        <f>IFERROR(__xludf.DUMMYFUNCTION("""COMPUTED_VALUE"""),2027872.0)</f>
        <v>2027872</v>
      </c>
      <c r="C11580" t="str">
        <f>IFERROR(__xludf.DUMMYFUNCTION("""COMPUTED_VALUE"""),"Domina SCRUM con JIRA - Metodología Agile [2021]")</f>
        <v>Domina SCRUM con JIRA - Metodología Agile [2021]</v>
      </c>
    </row>
    <row r="11581">
      <c r="A11581" s="140" t="str">
        <f>IFERROR(__xludf.DUMMYFUNCTION("""COMPUTED_VALUE"""),"fr")</f>
        <v>fr</v>
      </c>
      <c r="B11581">
        <f>IFERROR(__xludf.DUMMYFUNCTION("""COMPUTED_VALUE"""),2508564.0)</f>
        <v>2508564</v>
      </c>
      <c r="C11581" t="str">
        <f>IFERROR(__xludf.DUMMYFUNCTION("""COMPUTED_VALUE"""),"gestion du temps: obtenez des résultats exceptionnels")</f>
        <v>gestion du temps: obtenez des résultats exceptionnels</v>
      </c>
    </row>
    <row r="11582">
      <c r="A11582" s="140" t="str">
        <f>IFERROR(__xludf.DUMMYFUNCTION("""COMPUTED_VALUE"""),"en")</f>
        <v>en</v>
      </c>
      <c r="B11582">
        <f>IFERROR(__xludf.DUMMYFUNCTION("""COMPUTED_VALUE"""),244294.0)</f>
        <v>244294</v>
      </c>
      <c r="C11582" t="str">
        <f>IFERROR(__xludf.DUMMYFUNCTION("""COMPUTED_VALUE"""),"Microsoft Word VBA Macro Programming - Introduction")</f>
        <v>Microsoft Word VBA Macro Programming - Introduction</v>
      </c>
    </row>
    <row r="11583">
      <c r="A11583" s="140" t="str">
        <f>IFERROR(__xludf.DUMMYFUNCTION("""COMPUTED_VALUE"""),"en")</f>
        <v>en</v>
      </c>
      <c r="B11583">
        <f>IFERROR(__xludf.DUMMYFUNCTION("""COMPUTED_VALUE"""),3256844.0)</f>
        <v>3256844</v>
      </c>
      <c r="C11583" t="str">
        <f>IFERROR(__xludf.DUMMYFUNCTION("""COMPUTED_VALUE"""),"SAP Supply Chain : Learn EDI &amp; Idocs Interface Architecture")</f>
        <v>SAP Supply Chain : Learn EDI &amp; Idocs Interface Architecture</v>
      </c>
    </row>
    <row r="11584">
      <c r="A11584" s="140" t="str">
        <f>IFERROR(__xludf.DUMMYFUNCTION("""COMPUTED_VALUE"""),"de")</f>
        <v>de</v>
      </c>
      <c r="B11584">
        <f>IFERROR(__xludf.DUMMYFUNCTION("""COMPUTED_VALUE"""),4198506.0)</f>
        <v>4198506</v>
      </c>
      <c r="C11584" t="str">
        <f>IFERROR(__xludf.DUMMYFUNCTION("""COMPUTED_VALUE"""),"SMALLTALK &amp; NETZWERKEN: 2 unterschätzte Karriere-Booster")</f>
        <v>SMALLTALK &amp; NETZWERKEN: 2 unterschätzte Karriere-Booster</v>
      </c>
    </row>
    <row r="11585">
      <c r="A11585" s="140" t="str">
        <f>IFERROR(__xludf.DUMMYFUNCTION("""COMPUTED_VALUE"""),"en")</f>
        <v>en</v>
      </c>
      <c r="B11585">
        <f>IFERROR(__xludf.DUMMYFUNCTION("""COMPUTED_VALUE"""),2727716.0)</f>
        <v>2727716</v>
      </c>
      <c r="C11585" t="str">
        <f>IFERROR(__xludf.DUMMYFUNCTION("""COMPUTED_VALUE"""),"Master DevOps Monitoring with Prometheus")</f>
        <v>Master DevOps Monitoring with Prometheus</v>
      </c>
    </row>
    <row r="11586">
      <c r="A11586" s="140" t="str">
        <f>IFERROR(__xludf.DUMMYFUNCTION("""COMPUTED_VALUE"""),"en")</f>
        <v>en</v>
      </c>
      <c r="B11586">
        <f>IFERROR(__xludf.DUMMYFUNCTION("""COMPUTED_VALUE"""),2254618.0)</f>
        <v>2254618</v>
      </c>
      <c r="C11586" t="str">
        <f>IFERROR(__xludf.DUMMYFUNCTION("""COMPUTED_VALUE"""),"TEKLA STRUCTURES for Beginners &amp; Intermediates")</f>
        <v>TEKLA STRUCTURES for Beginners &amp; Intermediates</v>
      </c>
    </row>
    <row r="11587">
      <c r="A11587" s="140" t="str">
        <f>IFERROR(__xludf.DUMMYFUNCTION("""COMPUTED_VALUE"""),"en")</f>
        <v>en</v>
      </c>
      <c r="B11587">
        <f>IFERROR(__xludf.DUMMYFUNCTION("""COMPUTED_VALUE"""),99750.0)</f>
        <v>99750</v>
      </c>
      <c r="C11587" t="str">
        <f>IFERROR(__xludf.DUMMYFUNCTION("""COMPUTED_VALUE"""),"Microsoft Access 2013 Advanced Course")</f>
        <v>Microsoft Access 2013 Advanced Course</v>
      </c>
    </row>
    <row r="11588">
      <c r="A11588" s="140" t="str">
        <f>IFERROR(__xludf.DUMMYFUNCTION("""COMPUTED_VALUE"""),"en")</f>
        <v>en</v>
      </c>
      <c r="B11588">
        <f>IFERROR(__xludf.DUMMYFUNCTION("""COMPUTED_VALUE"""),573994.0)</f>
        <v>573994</v>
      </c>
      <c r="C11588" t="str">
        <f>IFERROR(__xludf.DUMMYFUNCTION("""COMPUTED_VALUE"""),"The Complete Mailchimp Email Marketing Course")</f>
        <v>The Complete Mailchimp Email Marketing Course</v>
      </c>
    </row>
    <row r="11589">
      <c r="A11589" s="140" t="str">
        <f>IFERROR(__xludf.DUMMYFUNCTION("""COMPUTED_VALUE"""),"ja")</f>
        <v>ja</v>
      </c>
      <c r="B11589">
        <f>IFERROR(__xludf.DUMMYFUNCTION("""COMPUTED_VALUE"""),3613254.0)</f>
        <v>3613254</v>
      </c>
      <c r="C11589" t="str">
        <f>IFERROR(__xludf.DUMMYFUNCTION("""COMPUTED_VALUE"""),"【Adobe認定プロフェッショナル講師が教える】初心者向けPremiere Pro（プレミアプロ）を実戦まで丁寧に解説")</f>
        <v>【Adobe認定プロフェッショナル講師が教える】初心者向けPremiere Pro（プレミアプロ）を実戦まで丁寧に解説</v>
      </c>
    </row>
    <row r="11590">
      <c r="A11590" s="140" t="str">
        <f>IFERROR(__xludf.DUMMYFUNCTION("""COMPUTED_VALUE"""),"en")</f>
        <v>en</v>
      </c>
      <c r="B11590">
        <f>IFERROR(__xludf.DUMMYFUNCTION("""COMPUTED_VALUE"""),526104.0)</f>
        <v>526104</v>
      </c>
      <c r="C11590" t="str">
        <f>IFERROR(__xludf.DUMMYFUNCTION("""COMPUTED_VALUE"""),"Robot Framework Test Automation - Level 1 ( Selenium )")</f>
        <v>Robot Framework Test Automation - Level 1 ( Selenium )</v>
      </c>
    </row>
    <row r="11591">
      <c r="A11591" s="140" t="str">
        <f>IFERROR(__xludf.DUMMYFUNCTION("""COMPUTED_VALUE"""),"en")</f>
        <v>en</v>
      </c>
      <c r="B11591">
        <f>IFERROR(__xludf.DUMMYFUNCTION("""COMPUTED_VALUE"""),4236602.0)</f>
        <v>4236602</v>
      </c>
      <c r="C11591" t="str">
        <f>IFERROR(__xludf.DUMMYFUNCTION("""COMPUTED_VALUE"""),"RHCSA on RHEL 8: From Novice to Pro")</f>
        <v>RHCSA on RHEL 8: From Novice to Pro</v>
      </c>
    </row>
    <row r="11592">
      <c r="A11592" s="140" t="str">
        <f>IFERROR(__xludf.DUMMYFUNCTION("""COMPUTED_VALUE"""),"en")</f>
        <v>en</v>
      </c>
      <c r="B11592">
        <f>IFERROR(__xludf.DUMMYFUNCTION("""COMPUTED_VALUE"""),1068176.0)</f>
        <v>1068176</v>
      </c>
      <c r="C11592" t="str">
        <f>IFERROR(__xludf.DUMMYFUNCTION("""COMPUTED_VALUE"""),"Cisco ASA Clientless VPN")</f>
        <v>Cisco ASA Clientless VPN</v>
      </c>
    </row>
    <row r="11593">
      <c r="A11593" s="140" t="str">
        <f>IFERROR(__xludf.DUMMYFUNCTION("""COMPUTED_VALUE"""),"en")</f>
        <v>en</v>
      </c>
      <c r="B11593">
        <f>IFERROR(__xludf.DUMMYFUNCTION("""COMPUTED_VALUE"""),2349662.0)</f>
        <v>2349662</v>
      </c>
      <c r="C11593" t="str">
        <f>IFERROR(__xludf.DUMMYFUNCTION("""COMPUTED_VALUE"""),"Terraform Beginner to Advanced - Using Google Cloud Platform")</f>
        <v>Terraform Beginner to Advanced - Using Google Cloud Platform</v>
      </c>
    </row>
    <row r="11594">
      <c r="A11594" s="140" t="str">
        <f>IFERROR(__xludf.DUMMYFUNCTION("""COMPUTED_VALUE"""),"es")</f>
        <v>es</v>
      </c>
      <c r="B11594">
        <f>IFERROR(__xludf.DUMMYFUNCTION("""COMPUTED_VALUE"""),1433498.0)</f>
        <v>1433498</v>
      </c>
      <c r="C11594" t="str">
        <f>IFERROR(__xludf.DUMMYFUNCTION("""COMPUTED_VALUE"""),"Las Reglas de Oro de Atención a Clientes")</f>
        <v>Las Reglas de Oro de Atención a Clientes</v>
      </c>
    </row>
    <row r="11595">
      <c r="A11595" s="140" t="str">
        <f>IFERROR(__xludf.DUMMYFUNCTION("""COMPUTED_VALUE"""),"en")</f>
        <v>en</v>
      </c>
      <c r="B11595">
        <f>IFERROR(__xludf.DUMMYFUNCTION("""COMPUTED_VALUE"""),2809697.0)</f>
        <v>2809697</v>
      </c>
      <c r="C11595" t="str">
        <f>IFERROR(__xludf.DUMMYFUNCTION("""COMPUTED_VALUE"""),"DevOps Fundamentals: Build Azure Infra with Terraform")</f>
        <v>DevOps Fundamentals: Build Azure Infra with Terraform</v>
      </c>
    </row>
    <row r="11596">
      <c r="A11596" s="140" t="str">
        <f>IFERROR(__xludf.DUMMYFUNCTION("""COMPUTED_VALUE"""),"en")</f>
        <v>en</v>
      </c>
      <c r="B11596">
        <f>IFERROR(__xludf.DUMMYFUNCTION("""COMPUTED_VALUE"""),1453796.0)</f>
        <v>1453796</v>
      </c>
      <c r="C11596" t="str">
        <f>IFERROR(__xludf.DUMMYFUNCTION("""COMPUTED_VALUE"""),"Basics in Cloud Computing with SAP Cloud Platform")</f>
        <v>Basics in Cloud Computing with SAP Cloud Platform</v>
      </c>
    </row>
    <row r="11597">
      <c r="A11597" s="140" t="str">
        <f>IFERROR(__xludf.DUMMYFUNCTION("""COMPUTED_VALUE"""),"en")</f>
        <v>en</v>
      </c>
      <c r="B11597">
        <f>IFERROR(__xludf.DUMMYFUNCTION("""COMPUTED_VALUE"""),1283168.0)</f>
        <v>1283168</v>
      </c>
      <c r="C11597" t="str">
        <f>IFERROR(__xludf.DUMMYFUNCTION("""COMPUTED_VALUE"""),"Videoscribe Whiteboard Animations: The Complete Guide")</f>
        <v>Videoscribe Whiteboard Animations: The Complete Guide</v>
      </c>
    </row>
    <row r="11598">
      <c r="A11598" s="140" t="str">
        <f>IFERROR(__xludf.DUMMYFUNCTION("""COMPUTED_VALUE"""),"es")</f>
        <v>es</v>
      </c>
      <c r="B11598">
        <f>IFERROR(__xludf.DUMMYFUNCTION("""COMPUTED_VALUE"""),1091530.0)</f>
        <v>1091530</v>
      </c>
      <c r="C11598" t="str">
        <f>IFERROR(__xludf.DUMMYFUNCTION("""COMPUTED_VALUE"""),"Guia Suprema para las Relaciones de Pareja")</f>
        <v>Guia Suprema para las Relaciones de Pareja</v>
      </c>
    </row>
    <row r="11599">
      <c r="A11599" s="140" t="str">
        <f>IFERROR(__xludf.DUMMYFUNCTION("""COMPUTED_VALUE"""),"en")</f>
        <v>en</v>
      </c>
      <c r="B11599">
        <f>IFERROR(__xludf.DUMMYFUNCTION("""COMPUTED_VALUE"""),4059902.0)</f>
        <v>4059902</v>
      </c>
      <c r="C11599" t="str">
        <f>IFERROR(__xludf.DUMMYFUNCTION("""COMPUTED_VALUE"""),"Natural Language Processing for Text Summarization")</f>
        <v>Natural Language Processing for Text Summarization</v>
      </c>
    </row>
    <row r="11600">
      <c r="A11600" s="140" t="str">
        <f>IFERROR(__xludf.DUMMYFUNCTION("""COMPUTED_VALUE"""),"ja")</f>
        <v>ja</v>
      </c>
      <c r="B11600">
        <f>IFERROR(__xludf.DUMMYFUNCTION("""COMPUTED_VALUE"""),3790274.0)</f>
        <v>3790274</v>
      </c>
      <c r="C11600" t="str">
        <f>IFERROR(__xludf.DUMMYFUNCTION("""COMPUTED_VALUE"""),"いちばん理解できる統計学ベーシック講座その１【確率分布・推定・検定】")</f>
        <v>いちばん理解できる統計学ベーシック講座その１【確率分布・推定・検定】</v>
      </c>
    </row>
    <row r="11601">
      <c r="A11601" s="140" t="str">
        <f>IFERROR(__xludf.DUMMYFUNCTION("""COMPUTED_VALUE"""),"ja")</f>
        <v>ja</v>
      </c>
      <c r="B11601">
        <f>IFERROR(__xludf.DUMMYFUNCTION("""COMPUTED_VALUE"""),2622530.0)</f>
        <v>2622530</v>
      </c>
      <c r="C11601" t="str">
        <f>IFERROR(__xludf.DUMMYFUNCTION("""COMPUTED_VALUE"""),"【数字を味方につける：中級編】ビジネスの現場で使えるデータ分析")</f>
        <v>【数字を味方につける：中級編】ビジネスの現場で使えるデータ分析</v>
      </c>
    </row>
    <row r="11602">
      <c r="A11602" s="140" t="str">
        <f>IFERROR(__xludf.DUMMYFUNCTION("""COMPUTED_VALUE"""),"en")</f>
        <v>en</v>
      </c>
      <c r="B11602">
        <f>IFERROR(__xludf.DUMMYFUNCTION("""COMPUTED_VALUE"""),3173978.0)</f>
        <v>3173978</v>
      </c>
      <c r="C11602" t="str">
        <f>IFERROR(__xludf.DUMMYFUNCTION("""COMPUTED_VALUE"""),"The Complete Introduction to New Relic One [With APM]")</f>
        <v>The Complete Introduction to New Relic One [With APM]</v>
      </c>
    </row>
    <row r="11603">
      <c r="A11603" s="140" t="str">
        <f>IFERROR(__xludf.DUMMYFUNCTION("""COMPUTED_VALUE"""),"en")</f>
        <v>en</v>
      </c>
      <c r="B11603">
        <f>IFERROR(__xludf.DUMMYFUNCTION("""COMPUTED_VALUE"""),1797176.0)</f>
        <v>1797176</v>
      </c>
      <c r="C11603" t="str">
        <f>IFERROR(__xludf.DUMMYFUNCTION("""COMPUTED_VALUE"""),"React styled components v5 (2021 edition)")</f>
        <v>React styled components v5 (2021 edition)</v>
      </c>
    </row>
    <row r="11604">
      <c r="A11604" s="140" t="str">
        <f>IFERROR(__xludf.DUMMYFUNCTION("""COMPUTED_VALUE"""),"en")</f>
        <v>en</v>
      </c>
      <c r="B11604">
        <f>IFERROR(__xludf.DUMMYFUNCTION("""COMPUTED_VALUE"""),1247516.0)</f>
        <v>1247516</v>
      </c>
      <c r="C11604" t="str">
        <f>IFERROR(__xludf.DUMMYFUNCTION("""COMPUTED_VALUE"""),"The Complete Database Design &amp; Modeling Beginners Tutorial")</f>
        <v>The Complete Database Design &amp; Modeling Beginners Tutorial</v>
      </c>
    </row>
    <row r="11605">
      <c r="A11605" s="140" t="str">
        <f>IFERROR(__xludf.DUMMYFUNCTION("""COMPUTED_VALUE"""),"en")</f>
        <v>en</v>
      </c>
      <c r="B11605">
        <f>IFERROR(__xludf.DUMMYFUNCTION("""COMPUTED_VALUE"""),3913642.0)</f>
        <v>3913642</v>
      </c>
      <c r="C11605" t="str">
        <f>IFERROR(__xludf.DUMMYFUNCTION("""COMPUTED_VALUE"""),"Cybersecurity Habits Masterclass")</f>
        <v>Cybersecurity Habits Masterclass</v>
      </c>
    </row>
    <row r="11606">
      <c r="A11606" s="140" t="str">
        <f>IFERROR(__xludf.DUMMYFUNCTION("""COMPUTED_VALUE"""),"en")</f>
        <v>en</v>
      </c>
      <c r="B11606">
        <f>IFERROR(__xludf.DUMMYFUNCTION("""COMPUTED_VALUE"""),2395488.0)</f>
        <v>2395488</v>
      </c>
      <c r="C11606" t="str">
        <f>IFERROR(__xludf.DUMMYFUNCTION("""COMPUTED_VALUE"""),"React Front To Back")</f>
        <v>React Front To Back</v>
      </c>
    </row>
    <row r="11607">
      <c r="A11607" s="140" t="str">
        <f>IFERROR(__xludf.DUMMYFUNCTION("""COMPUTED_VALUE"""),"en")</f>
        <v>en</v>
      </c>
      <c r="B11607">
        <f>IFERROR(__xludf.DUMMYFUNCTION("""COMPUTED_VALUE"""),946742.0)</f>
        <v>946742</v>
      </c>
      <c r="C11607" t="str">
        <f>IFERROR(__xludf.DUMMYFUNCTION("""COMPUTED_VALUE"""),"Beginning Project Management: Project Management Level One")</f>
        <v>Beginning Project Management: Project Management Level One</v>
      </c>
    </row>
    <row r="11608">
      <c r="A11608" s="140" t="str">
        <f>IFERROR(__xludf.DUMMYFUNCTION("""COMPUTED_VALUE"""),"ja")</f>
        <v>ja</v>
      </c>
      <c r="B11608">
        <f>IFERROR(__xludf.DUMMYFUNCTION("""COMPUTED_VALUE"""),785690.0)</f>
        <v>785690</v>
      </c>
      <c r="C11608" t="str">
        <f>IFERROR(__xludf.DUMMYFUNCTION("""COMPUTED_VALUE"""),"レスポンシブル・スマートフォンサイト制作講座　70以上の充実レッスンで作れるようになる！")</f>
        <v>レスポンシブル・スマートフォンサイト制作講座　70以上の充実レッスンで作れるようになる！</v>
      </c>
    </row>
    <row r="11609">
      <c r="A11609" s="140" t="str">
        <f>IFERROR(__xludf.DUMMYFUNCTION("""COMPUTED_VALUE"""),"en")</f>
        <v>en</v>
      </c>
      <c r="B11609">
        <f>IFERROR(__xludf.DUMMYFUNCTION("""COMPUTED_VALUE"""),1356742.0)</f>
        <v>1356742</v>
      </c>
      <c r="C11609" t="str">
        <f>IFERROR(__xludf.DUMMYFUNCTION("""COMPUTED_VALUE"""),"The Complete Personal Finance Course: Save,Protect,Make More")</f>
        <v>The Complete Personal Finance Course: Save,Protect,Make More</v>
      </c>
    </row>
    <row r="11610">
      <c r="A11610" s="140" t="str">
        <f>IFERROR(__xludf.DUMMYFUNCTION("""COMPUTED_VALUE"""),"es")</f>
        <v>es</v>
      </c>
      <c r="B11610">
        <f>IFERROR(__xludf.DUMMYFUNCTION("""COMPUTED_VALUE"""),3617548.0)</f>
        <v>3617548</v>
      </c>
      <c r="C11610" t="str">
        <f>IFERROR(__xludf.DUMMYFUNCTION("""COMPUTED_VALUE"""),"Programando en COBOL-CICS")</f>
        <v>Programando en COBOL-CICS</v>
      </c>
    </row>
    <row r="11611">
      <c r="A11611" s="140" t="str">
        <f>IFERROR(__xludf.DUMMYFUNCTION("""COMPUTED_VALUE"""),"en")</f>
        <v>en</v>
      </c>
      <c r="B11611">
        <f>IFERROR(__xludf.DUMMYFUNCTION("""COMPUTED_VALUE"""),737242.0)</f>
        <v>737242</v>
      </c>
      <c r="C11611" t="str">
        <f>IFERROR(__xludf.DUMMYFUNCTION("""COMPUTED_VALUE"""),"Learn Maya - Intro to 3D Box Modeling Techniques with Maya")</f>
        <v>Learn Maya - Intro to 3D Box Modeling Techniques with Maya</v>
      </c>
    </row>
    <row r="11612">
      <c r="A11612" s="140" t="str">
        <f>IFERROR(__xludf.DUMMYFUNCTION("""COMPUTED_VALUE"""),"de")</f>
        <v>de</v>
      </c>
      <c r="B11612">
        <f>IFERROR(__xludf.DUMMYFUNCTION("""COMPUTED_VALUE"""),1247234.0)</f>
        <v>1247234</v>
      </c>
      <c r="C11612" t="str">
        <f>IFERROR(__xludf.DUMMYFUNCTION("""COMPUTED_VALUE"""),"Laravel für Anfänger - Lerne Laravel in nur 4 Stunden")</f>
        <v>Laravel für Anfänger - Lerne Laravel in nur 4 Stunden</v>
      </c>
    </row>
    <row r="11613">
      <c r="A11613" s="140" t="str">
        <f>IFERROR(__xludf.DUMMYFUNCTION("""COMPUTED_VALUE"""),"en")</f>
        <v>en</v>
      </c>
      <c r="B11613">
        <f>IFERROR(__xludf.DUMMYFUNCTION("""COMPUTED_VALUE"""),1905484.0)</f>
        <v>1905484</v>
      </c>
      <c r="C11613" t="str">
        <f>IFERROR(__xludf.DUMMYFUNCTION("""COMPUTED_VALUE"""),"Cisco ACI (Application Centric Infrastructure) for Beginners")</f>
        <v>Cisco ACI (Application Centric Infrastructure) for Beginners</v>
      </c>
    </row>
    <row r="11614">
      <c r="A11614" s="140" t="str">
        <f>IFERROR(__xludf.DUMMYFUNCTION("""COMPUTED_VALUE"""),"pt")</f>
        <v>pt</v>
      </c>
      <c r="B11614">
        <f>IFERROR(__xludf.DUMMYFUNCTION("""COMPUTED_VALUE"""),1612618.0)</f>
        <v>1612618</v>
      </c>
      <c r="C11614" t="str">
        <f>IFERROR(__xludf.DUMMYFUNCTION("""COMPUTED_VALUE"""),"Vendas da Prospecção a Negociação (COMPLETO): 15 CURSOS EM 1")</f>
        <v>Vendas da Prospecção a Negociação (COMPLETO): 15 CURSOS EM 1</v>
      </c>
    </row>
    <row r="11615">
      <c r="A11615" s="140" t="str">
        <f>IFERROR(__xludf.DUMMYFUNCTION("""COMPUTED_VALUE"""),"en")</f>
        <v>en</v>
      </c>
      <c r="B11615">
        <f>IFERROR(__xludf.DUMMYFUNCTION("""COMPUTED_VALUE"""),1469142.0)</f>
        <v>1469142</v>
      </c>
      <c r="C11615" t="str">
        <f>IFERROR(__xludf.DUMMYFUNCTION("""COMPUTED_VALUE"""),"The Complete Apache HBase Developer Course")</f>
        <v>The Complete Apache HBase Developer Course</v>
      </c>
    </row>
    <row r="11616">
      <c r="A11616" s="140" t="str">
        <f>IFERROR(__xludf.DUMMYFUNCTION("""COMPUTED_VALUE"""),"es")</f>
        <v>es</v>
      </c>
      <c r="B11616">
        <f>IFERROR(__xludf.DUMMYFUNCTION("""COMPUTED_VALUE"""),554274.0)</f>
        <v>554274</v>
      </c>
      <c r="C11616" t="str">
        <f>IFERROR(__xludf.DUMMYFUNCTION("""COMPUTED_VALUE"""),"Organiza a tu equipo y haz que sea más productivo y eficaz")</f>
        <v>Organiza a tu equipo y haz que sea más productivo y eficaz</v>
      </c>
    </row>
    <row r="11617">
      <c r="A11617" s="140" t="str">
        <f>IFERROR(__xludf.DUMMYFUNCTION("""COMPUTED_VALUE"""),"en")</f>
        <v>en</v>
      </c>
      <c r="B11617">
        <f>IFERROR(__xludf.DUMMYFUNCTION("""COMPUTED_VALUE"""),1101380.0)</f>
        <v>1101380</v>
      </c>
      <c r="C11617" t="str">
        <f>IFERROR(__xludf.DUMMYFUNCTION("""COMPUTED_VALUE"""),"Seth Godin on Presenting to Persuade")</f>
        <v>Seth Godin on Presenting to Persuade</v>
      </c>
    </row>
    <row r="11618">
      <c r="A11618" s="140" t="str">
        <f>IFERROR(__xludf.DUMMYFUNCTION("""COMPUTED_VALUE"""),"en")</f>
        <v>en</v>
      </c>
      <c r="B11618">
        <f>IFERROR(__xludf.DUMMYFUNCTION("""COMPUTED_VALUE"""),831902.0)</f>
        <v>831902</v>
      </c>
      <c r="C11618" t="str">
        <f>IFERROR(__xludf.DUMMYFUNCTION("""COMPUTED_VALUE"""),"Authoring Elegant and Meaningful Agile User Stories")</f>
        <v>Authoring Elegant and Meaningful Agile User Stories</v>
      </c>
    </row>
    <row r="11619">
      <c r="A11619" s="140" t="str">
        <f>IFERROR(__xludf.DUMMYFUNCTION("""COMPUTED_VALUE"""),"en")</f>
        <v>en</v>
      </c>
      <c r="B11619">
        <f>IFERROR(__xludf.DUMMYFUNCTION("""COMPUTED_VALUE"""),1336656.0)</f>
        <v>1336656</v>
      </c>
      <c r="C11619" t="str">
        <f>IFERROR(__xludf.DUMMYFUNCTION("""COMPUTED_VALUE"""),"JavaScript Bootcamp - Build Real World Applications")</f>
        <v>JavaScript Bootcamp - Build Real World Applications</v>
      </c>
    </row>
    <row r="11620">
      <c r="A11620" s="140" t="str">
        <f>IFERROR(__xludf.DUMMYFUNCTION("""COMPUTED_VALUE"""),"zh")</f>
        <v>zh</v>
      </c>
      <c r="B11620">
        <f>IFERROR(__xludf.DUMMYFUNCTION("""COMPUTED_VALUE"""),2684012.0)</f>
        <v>2684012</v>
      </c>
      <c r="C11620" t="str">
        <f>IFERROR(__xludf.DUMMYFUNCTION("""COMPUTED_VALUE"""),"深度学习框架-PyTorch实战系列")</f>
        <v>深度学习框架-PyTorch实战系列</v>
      </c>
    </row>
    <row r="11621">
      <c r="A11621" s="140" t="str">
        <f>IFERROR(__xludf.DUMMYFUNCTION("""COMPUTED_VALUE"""),"de")</f>
        <v>de</v>
      </c>
      <c r="B11621">
        <f>IFERROR(__xludf.DUMMYFUNCTION("""COMPUTED_VALUE"""),2388518.0)</f>
        <v>2388518</v>
      </c>
      <c r="C11621" t="str">
        <f>IFERROR(__xludf.DUMMYFUNCTION("""COMPUTED_VALUE"""),"Java Benutzeroberflächen mit Swing erstellen + Wetter App")</f>
        <v>Java Benutzeroberflächen mit Swing erstellen + Wetter App</v>
      </c>
    </row>
    <row r="11622">
      <c r="A11622" s="140" t="str">
        <f>IFERROR(__xludf.DUMMYFUNCTION("""COMPUTED_VALUE"""),"pt")</f>
        <v>pt</v>
      </c>
      <c r="B11622">
        <f>IFERROR(__xludf.DUMMYFUNCTION("""COMPUTED_VALUE"""),1748906.0)</f>
        <v>1748906</v>
      </c>
      <c r="C11622" t="str">
        <f>IFERROR(__xludf.DUMMYFUNCTION("""COMPUTED_VALUE"""),"Neuromarketing Aplicado nas Estratégias Digitais 2021")</f>
        <v>Neuromarketing Aplicado nas Estratégias Digitais 2021</v>
      </c>
    </row>
    <row r="11623">
      <c r="A11623" s="140" t="str">
        <f>IFERROR(__xludf.DUMMYFUNCTION("""COMPUTED_VALUE"""),"en")</f>
        <v>en</v>
      </c>
      <c r="B11623">
        <f>IFERROR(__xludf.DUMMYFUNCTION("""COMPUTED_VALUE"""),1996656.0)</f>
        <v>1996656</v>
      </c>
      <c r="C11623" t="str">
        <f>IFERROR(__xludf.DUMMYFUNCTION("""COMPUTED_VALUE"""),"Complete Data Wrangling &amp; Data Visualisation In R")</f>
        <v>Complete Data Wrangling &amp; Data Visualisation In R</v>
      </c>
    </row>
    <row r="11624">
      <c r="A11624" s="140" t="str">
        <f>IFERROR(__xludf.DUMMYFUNCTION("""COMPUTED_VALUE"""),"en")</f>
        <v>en</v>
      </c>
      <c r="B11624">
        <f>IFERROR(__xludf.DUMMYFUNCTION("""COMPUTED_VALUE"""),1352462.0)</f>
        <v>1352462</v>
      </c>
      <c r="C11624" t="str">
        <f>IFERROR(__xludf.DUMMYFUNCTION("""COMPUTED_VALUE"""),"Developing Your Team - Forming to Performing")</f>
        <v>Developing Your Team - Forming to Performing</v>
      </c>
    </row>
    <row r="11625">
      <c r="A11625" s="140" t="str">
        <f>IFERROR(__xludf.DUMMYFUNCTION("""COMPUTED_VALUE"""),"en")</f>
        <v>en</v>
      </c>
      <c r="B11625">
        <f>IFERROR(__xludf.DUMMYFUNCTION("""COMPUTED_VALUE"""),479776.0)</f>
        <v>479776</v>
      </c>
      <c r="C11625" t="str">
        <f>IFERROR(__xludf.DUMMYFUNCTION("""COMPUTED_VALUE"""),"Linux Command Line Essentials - Become a Linux Power User!")</f>
        <v>Linux Command Line Essentials - Become a Linux Power User!</v>
      </c>
    </row>
    <row r="11626">
      <c r="A11626" s="140" t="str">
        <f>IFERROR(__xludf.DUMMYFUNCTION("""COMPUTED_VALUE"""),"en")</f>
        <v>en</v>
      </c>
      <c r="B11626">
        <f>IFERROR(__xludf.DUMMYFUNCTION("""COMPUTED_VALUE"""),943496.0)</f>
        <v>943496</v>
      </c>
      <c r="C11626" t="str">
        <f>IFERROR(__xludf.DUMMYFUNCTION("""COMPUTED_VALUE"""),"3 Minute German - Course 1 | Language lessons for beginners")</f>
        <v>3 Minute German - Course 1 | Language lessons for beginners</v>
      </c>
    </row>
    <row r="11627">
      <c r="A11627" s="140" t="str">
        <f>IFERROR(__xludf.DUMMYFUNCTION("""COMPUTED_VALUE"""),"fr")</f>
        <v>fr</v>
      </c>
      <c r="B11627">
        <f>IFERROR(__xludf.DUMMYFUNCTION("""COMPUTED_VALUE"""),3523458.0)</f>
        <v>3523458</v>
      </c>
      <c r="C11627" t="str">
        <f>IFERROR(__xludf.DUMMYFUNCTION("""COMPUTED_VALUE"""),"Maîtrisez les fondamentaux d'Excel")</f>
        <v>Maîtrisez les fondamentaux d'Excel</v>
      </c>
    </row>
    <row r="11628">
      <c r="A11628" s="140" t="str">
        <f>IFERROR(__xludf.DUMMYFUNCTION("""COMPUTED_VALUE"""),"en")</f>
        <v>en</v>
      </c>
      <c r="B11628">
        <f>IFERROR(__xludf.DUMMYFUNCTION("""COMPUTED_VALUE"""),714188.0)</f>
        <v>714188</v>
      </c>
      <c r="C11628" t="str">
        <f>IFERROR(__xludf.DUMMYFUNCTION("""COMPUTED_VALUE"""),"Fixed Income Valuation and Analysis, CFA L2")</f>
        <v>Fixed Income Valuation and Analysis, CFA L2</v>
      </c>
    </row>
    <row r="11629">
      <c r="A11629" s="140" t="str">
        <f>IFERROR(__xludf.DUMMYFUNCTION("""COMPUTED_VALUE"""),"pt")</f>
        <v>pt</v>
      </c>
      <c r="B11629">
        <f>IFERROR(__xludf.DUMMYFUNCTION("""COMPUTED_VALUE"""),1035634.0)</f>
        <v>1035634</v>
      </c>
      <c r="C11629" t="str">
        <f>IFERROR(__xludf.DUMMYFUNCTION("""COMPUTED_VALUE"""),"Especialista em AutoCAD")</f>
        <v>Especialista em AutoCAD</v>
      </c>
    </row>
    <row r="11630">
      <c r="A11630" s="140" t="str">
        <f>IFERROR(__xludf.DUMMYFUNCTION("""COMPUTED_VALUE"""),"pt")</f>
        <v>pt</v>
      </c>
      <c r="B11630">
        <f>IFERROR(__xludf.DUMMYFUNCTION("""COMPUTED_VALUE"""),1490012.0)</f>
        <v>1490012</v>
      </c>
      <c r="C11630" t="str">
        <f>IFERROR(__xludf.DUMMYFUNCTION("""COMPUTED_VALUE"""),"Bitcoin e Blockchain - Conceitos Fundamentais")</f>
        <v>Bitcoin e Blockchain - Conceitos Fundamentais</v>
      </c>
    </row>
    <row r="11631">
      <c r="A11631" s="140" t="str">
        <f>IFERROR(__xludf.DUMMYFUNCTION("""COMPUTED_VALUE"""),"en")</f>
        <v>en</v>
      </c>
      <c r="B11631">
        <f>IFERROR(__xludf.DUMMYFUNCTION("""COMPUTED_VALUE"""),149910.0)</f>
        <v>149910</v>
      </c>
      <c r="C11631" t="str">
        <f>IFERROR(__xludf.DUMMYFUNCTION("""COMPUTED_VALUE"""),"Linux for Beginners")</f>
        <v>Linux for Beginners</v>
      </c>
    </row>
    <row r="11632">
      <c r="A11632" s="140" t="str">
        <f>IFERROR(__xludf.DUMMYFUNCTION("""COMPUTED_VALUE"""),"es")</f>
        <v>es</v>
      </c>
      <c r="B11632">
        <f>IFERROR(__xludf.DUMMYFUNCTION("""COMPUTED_VALUE"""),1316658.0)</f>
        <v>1316658</v>
      </c>
      <c r="C11632" t="str">
        <f>IFERROR(__xludf.DUMMYFUNCTION("""COMPUTED_VALUE"""),"Curso Completo de Email Marketing - Actualizado 2021")</f>
        <v>Curso Completo de Email Marketing - Actualizado 2021</v>
      </c>
    </row>
    <row r="11633">
      <c r="A11633" s="140" t="str">
        <f>IFERROR(__xludf.DUMMYFUNCTION("""COMPUTED_VALUE"""),"de")</f>
        <v>de</v>
      </c>
      <c r="B11633">
        <f>IFERROR(__xludf.DUMMYFUNCTION("""COMPUTED_VALUE"""),2453636.0)</f>
        <v>2453636</v>
      </c>
      <c r="C11633" t="str">
        <f>IFERROR(__xludf.DUMMYFUNCTION("""COMPUTED_VALUE"""),"Marketing Automatisierung mit Webinaris")</f>
        <v>Marketing Automatisierung mit Webinaris</v>
      </c>
    </row>
    <row r="11634">
      <c r="A11634" s="140" t="str">
        <f>IFERROR(__xludf.DUMMYFUNCTION("""COMPUTED_VALUE"""),"es")</f>
        <v>es</v>
      </c>
      <c r="B11634">
        <f>IFERROR(__xludf.DUMMYFUNCTION("""COMPUTED_VALUE"""),2278569.0)</f>
        <v>2278569</v>
      </c>
      <c r="C11634" t="str">
        <f>IFERROR(__xludf.DUMMYFUNCTION("""COMPUTED_VALUE"""),"Usa Laravel para consumir APIs y Servicios HTTP")</f>
        <v>Usa Laravel para consumir APIs y Servicios HTTP</v>
      </c>
    </row>
    <row r="11635">
      <c r="A11635" s="140" t="str">
        <f>IFERROR(__xludf.DUMMYFUNCTION("""COMPUTED_VALUE"""),"en")</f>
        <v>en</v>
      </c>
      <c r="B11635">
        <f>IFERROR(__xludf.DUMMYFUNCTION("""COMPUTED_VALUE"""),2364714.0)</f>
        <v>2364714</v>
      </c>
      <c r="C11635" t="str">
        <f>IFERROR(__xludf.DUMMYFUNCTION("""COMPUTED_VALUE"""),"Mastering Variables in Articulate Storyline 360")</f>
        <v>Mastering Variables in Articulate Storyline 360</v>
      </c>
    </row>
    <row r="11636">
      <c r="A11636" s="140" t="str">
        <f>IFERROR(__xludf.DUMMYFUNCTION("""COMPUTED_VALUE"""),"tr")</f>
        <v>tr</v>
      </c>
      <c r="B11636">
        <f>IFERROR(__xludf.DUMMYFUNCTION("""COMPUTED_VALUE"""),2568296.0)</f>
        <v>2568296</v>
      </c>
      <c r="C11636" t="str">
        <f>IFERROR(__xludf.DUMMYFUNCTION("""COMPUTED_VALUE"""),"Unreal engine 4 - Sıfırdan Üst düzey oyun yapma (GÜNCEL)")</f>
        <v>Unreal engine 4 - Sıfırdan Üst düzey oyun yapma (GÜNCEL)</v>
      </c>
    </row>
    <row r="11637">
      <c r="A11637" s="140" t="str">
        <f>IFERROR(__xludf.DUMMYFUNCTION("""COMPUTED_VALUE"""),"es")</f>
        <v>es</v>
      </c>
      <c r="B11637">
        <f>IFERROR(__xludf.DUMMYFUNCTION("""COMPUTED_VALUE"""),3942504.0)</f>
        <v>3942504</v>
      </c>
      <c r="C11637" t="str">
        <f>IFERROR(__xludf.DUMMYFUNCTION("""COMPUTED_VALUE"""),"Trabajar con OKRs: Conocimientos y Creencias Fundamentales")</f>
        <v>Trabajar con OKRs: Conocimientos y Creencias Fundamentales</v>
      </c>
    </row>
    <row r="11638">
      <c r="A11638" s="140" t="str">
        <f>IFERROR(__xludf.DUMMYFUNCTION("""COMPUTED_VALUE"""),"en")</f>
        <v>en</v>
      </c>
      <c r="B11638">
        <f>IFERROR(__xludf.DUMMYFUNCTION("""COMPUTED_VALUE"""),2063545.0)</f>
        <v>2063545</v>
      </c>
      <c r="C11638" t="str">
        <f>IFERROR(__xludf.DUMMYFUNCTION("""COMPUTED_VALUE"""),"Artificial Intelligence Masterclass")</f>
        <v>Artificial Intelligence Masterclass</v>
      </c>
    </row>
    <row r="11639">
      <c r="A11639" s="140" t="str">
        <f>IFERROR(__xludf.DUMMYFUNCTION("""COMPUTED_VALUE"""),"en")</f>
        <v>en</v>
      </c>
      <c r="B11639">
        <f>IFERROR(__xludf.DUMMYFUNCTION("""COMPUTED_VALUE"""),1706950.0)</f>
        <v>1706950</v>
      </c>
      <c r="C11639" t="str">
        <f>IFERROR(__xludf.DUMMYFUNCTION("""COMPUTED_VALUE"""),"Create Virtual Reality Apps using React VR &amp; React 360")</f>
        <v>Create Virtual Reality Apps using React VR &amp; React 360</v>
      </c>
    </row>
    <row r="11640">
      <c r="A11640" s="140" t="str">
        <f>IFERROR(__xludf.DUMMYFUNCTION("""COMPUTED_VALUE"""),"ja")</f>
        <v>ja</v>
      </c>
      <c r="B11640">
        <f>IFERROR(__xludf.DUMMYFUNCTION("""COMPUTED_VALUE"""),2258932.0)</f>
        <v>2258932</v>
      </c>
      <c r="C11640" t="str">
        <f>IFERROR(__xludf.DUMMYFUNCTION("""COMPUTED_VALUE"""),"Excel VBA[第0弾]ゲームでわかる、マクロVBAプログラミング超入門～作りながら「楽しい！」を実感する2時間講義")</f>
        <v>Excel VBA[第0弾]ゲームでわかる、マクロVBAプログラミング超入門～作りながら「楽しい！」を実感する2時間講義</v>
      </c>
    </row>
    <row r="11641">
      <c r="A11641" s="140" t="str">
        <f>IFERROR(__xludf.DUMMYFUNCTION("""COMPUTED_VALUE"""),"de")</f>
        <v>de</v>
      </c>
      <c r="B11641">
        <f>IFERROR(__xludf.DUMMYFUNCTION("""COMPUTED_VALUE"""),587086.0)</f>
        <v>587086</v>
      </c>
      <c r="C11641" t="str">
        <f>IFERROR(__xludf.DUMMYFUNCTION("""COMPUTED_VALUE"""),"Zbrush Tutorial")</f>
        <v>Zbrush Tutorial</v>
      </c>
    </row>
    <row r="11642">
      <c r="A11642" s="140" t="str">
        <f>IFERROR(__xludf.DUMMYFUNCTION("""COMPUTED_VALUE"""),"en")</f>
        <v>en</v>
      </c>
      <c r="B11642">
        <f>IFERROR(__xludf.DUMMYFUNCTION("""COMPUTED_VALUE"""),561718.0)</f>
        <v>561718</v>
      </c>
      <c r="C11642" t="str">
        <f>IFERROR(__xludf.DUMMYFUNCTION("""COMPUTED_VALUE"""),"Play Modern Blues Now")</f>
        <v>Play Modern Blues Now</v>
      </c>
    </row>
    <row r="11643">
      <c r="A11643" s="140" t="str">
        <f>IFERROR(__xludf.DUMMYFUNCTION("""COMPUTED_VALUE"""),"en")</f>
        <v>en</v>
      </c>
      <c r="B11643">
        <f>IFERROR(__xludf.DUMMYFUNCTION("""COMPUTED_VALUE"""),618738.0)</f>
        <v>618738</v>
      </c>
      <c r="C11643" t="str">
        <f>IFERROR(__xludf.DUMMYFUNCTION("""COMPUTED_VALUE"""),"Drawing for Beginners: How to Draw Step-by-Step Cartoons")</f>
        <v>Drawing for Beginners: How to Draw Step-by-Step Cartoons</v>
      </c>
    </row>
    <row r="11644">
      <c r="A11644" s="140" t="str">
        <f>IFERROR(__xludf.DUMMYFUNCTION("""COMPUTED_VALUE"""),"en")</f>
        <v>en</v>
      </c>
      <c r="B11644">
        <f>IFERROR(__xludf.DUMMYFUNCTION("""COMPUTED_VALUE"""),930946.0)</f>
        <v>930946</v>
      </c>
      <c r="C11644" t="str">
        <f>IFERROR(__xludf.DUMMYFUNCTION("""COMPUTED_VALUE"""),"Java for complete beginners | Learn core java using IntelliJ")</f>
        <v>Java for complete beginners | Learn core java using IntelliJ</v>
      </c>
    </row>
    <row r="11645">
      <c r="A11645" s="140" t="str">
        <f>IFERROR(__xludf.DUMMYFUNCTION("""COMPUTED_VALUE"""),"en")</f>
        <v>en</v>
      </c>
      <c r="B11645">
        <f>IFERROR(__xludf.DUMMYFUNCTION("""COMPUTED_VALUE"""),3718490.0)</f>
        <v>3718490</v>
      </c>
      <c r="C11645" t="str">
        <f>IFERROR(__xludf.DUMMYFUNCTION("""COMPUTED_VALUE"""),"Monday - Project Management - Intermediate to Advanced")</f>
        <v>Monday - Project Management - Intermediate to Advanced</v>
      </c>
    </row>
    <row r="11646">
      <c r="A11646" s="140" t="str">
        <f>IFERROR(__xludf.DUMMYFUNCTION("""COMPUTED_VALUE"""),"en")</f>
        <v>en</v>
      </c>
      <c r="B11646">
        <f>IFERROR(__xludf.DUMMYFUNCTION("""COMPUTED_VALUE"""),2510228.0)</f>
        <v>2510228</v>
      </c>
      <c r="C11646" t="str">
        <f>IFERROR(__xludf.DUMMYFUNCTION("""COMPUTED_VALUE"""),"SAP Production Planning (PP) Module Online Practical Class")</f>
        <v>SAP Production Planning (PP) Module Online Practical Class</v>
      </c>
    </row>
    <row r="11647">
      <c r="A11647" s="140" t="str">
        <f>IFERROR(__xludf.DUMMYFUNCTION("""COMPUTED_VALUE"""),"en")</f>
        <v>en</v>
      </c>
      <c r="B11647">
        <f>IFERROR(__xludf.DUMMYFUNCTION("""COMPUTED_VALUE"""),402836.0)</f>
        <v>402836</v>
      </c>
      <c r="C11647" t="str">
        <f>IFERROR(__xludf.DUMMYFUNCTION("""COMPUTED_VALUE"""),"Accounting 101: How to read an Accounting Balance Sheet")</f>
        <v>Accounting 101: How to read an Accounting Balance Sheet</v>
      </c>
    </row>
    <row r="11648">
      <c r="A11648" s="140" t="str">
        <f>IFERROR(__xludf.DUMMYFUNCTION("""COMPUTED_VALUE"""),"en")</f>
        <v>en</v>
      </c>
      <c r="B11648">
        <f>IFERROR(__xludf.DUMMYFUNCTION("""COMPUTED_VALUE"""),2368724.0)</f>
        <v>2368724</v>
      </c>
      <c r="C11648" t="str">
        <f>IFERROR(__xludf.DUMMYFUNCTION("""COMPUTED_VALUE"""),"Exploring the ESP32")</f>
        <v>Exploring the ESP32</v>
      </c>
    </row>
    <row r="11649">
      <c r="A11649" s="140" t="str">
        <f>IFERROR(__xludf.DUMMYFUNCTION("""COMPUTED_VALUE"""),"ar")</f>
        <v>ar</v>
      </c>
      <c r="B11649">
        <f>IFERROR(__xludf.DUMMYFUNCTION("""COMPUTED_VALUE"""),2921398.0)</f>
        <v>2921398</v>
      </c>
      <c r="C11649" t="str">
        <f>IFERROR(__xludf.DUMMYFUNCTION("""COMPUTED_VALUE"""),"(Updated 2021) الاستهداف السيكولوجي")</f>
        <v>(Updated 2021) الاستهداف السيكولوجي</v>
      </c>
    </row>
    <row r="11650">
      <c r="A11650" s="140" t="str">
        <f>IFERROR(__xludf.DUMMYFUNCTION("""COMPUTED_VALUE"""),"en")</f>
        <v>en</v>
      </c>
      <c r="B11650">
        <f>IFERROR(__xludf.DUMMYFUNCTION("""COMPUTED_VALUE"""),2483966.0)</f>
        <v>2483966</v>
      </c>
      <c r="C11650" t="str">
        <f>IFERROR(__xludf.DUMMYFUNCTION("""COMPUTED_VALUE"""),"Getting Started with Okta")</f>
        <v>Getting Started with Okta</v>
      </c>
    </row>
    <row r="11651">
      <c r="A11651" s="140" t="str">
        <f>IFERROR(__xludf.DUMMYFUNCTION("""COMPUTED_VALUE"""),"en")</f>
        <v>en</v>
      </c>
      <c r="B11651">
        <f>IFERROR(__xludf.DUMMYFUNCTION("""COMPUTED_VALUE"""),924746.0)</f>
        <v>924746</v>
      </c>
      <c r="C11651" t="str">
        <f>IFERROR(__xludf.DUMMYFUNCTION("""COMPUTED_VALUE"""),"50 Business Productivity And Personal Productivity Skills")</f>
        <v>50 Business Productivity And Personal Productivity Skills</v>
      </c>
    </row>
    <row r="11652">
      <c r="A11652" s="140" t="str">
        <f>IFERROR(__xludf.DUMMYFUNCTION("""COMPUTED_VALUE"""),"ko")</f>
        <v>ko</v>
      </c>
      <c r="B11652">
        <f>IFERROR(__xludf.DUMMYFUNCTION("""COMPUTED_VALUE"""),4253080.0)</f>
        <v>4253080</v>
      </c>
      <c r="C11652" t="str">
        <f>IFERROR(__xludf.DUMMYFUNCTION("""COMPUTED_VALUE"""),"클린코드 자바스크립트")</f>
        <v>클린코드 자바스크립트</v>
      </c>
    </row>
    <row r="11653">
      <c r="A11653" s="140" t="str">
        <f>IFERROR(__xludf.DUMMYFUNCTION("""COMPUTED_VALUE"""),"en")</f>
        <v>en</v>
      </c>
      <c r="B11653">
        <f>IFERROR(__xludf.DUMMYFUNCTION("""COMPUTED_VALUE"""),882610.0)</f>
        <v>882610</v>
      </c>
      <c r="C11653" t="str">
        <f>IFERROR(__xludf.DUMMYFUNCTION("""COMPUTED_VALUE"""),"Level 2 Intelligence Analyst Certification")</f>
        <v>Level 2 Intelligence Analyst Certification</v>
      </c>
    </row>
    <row r="11654">
      <c r="A11654" s="140" t="str">
        <f>IFERROR(__xludf.DUMMYFUNCTION("""COMPUTED_VALUE"""),"es")</f>
        <v>es</v>
      </c>
      <c r="B11654">
        <f>IFERROR(__xludf.DUMMYFUNCTION("""COMPUTED_VALUE"""),3197712.0)</f>
        <v>3197712</v>
      </c>
      <c r="C11654" t="str">
        <f>IFERROR(__xludf.DUMMYFUNCTION("""COMPUTED_VALUE"""),"Guía completa Y REAL para crecer en YouTube")</f>
        <v>Guía completa Y REAL para crecer en YouTube</v>
      </c>
    </row>
    <row r="11655">
      <c r="A11655" s="140" t="str">
        <f>IFERROR(__xludf.DUMMYFUNCTION("""COMPUTED_VALUE"""),"pt")</f>
        <v>pt</v>
      </c>
      <c r="B11655">
        <f>IFERROR(__xludf.DUMMYFUNCTION("""COMPUTED_VALUE"""),1611150.0)</f>
        <v>1611150</v>
      </c>
      <c r="C11655" t="str">
        <f>IFERROR(__xludf.DUMMYFUNCTION("""COMPUTED_VALUE"""),"Aprenda BDD com Cucumber em JAVA")</f>
        <v>Aprenda BDD com Cucumber em JAVA</v>
      </c>
    </row>
    <row r="11656">
      <c r="A11656" s="140" t="str">
        <f>IFERROR(__xludf.DUMMYFUNCTION("""COMPUTED_VALUE"""),"en")</f>
        <v>en</v>
      </c>
      <c r="B11656">
        <f>IFERROR(__xludf.DUMMYFUNCTION("""COMPUTED_VALUE"""),3202558.0)</f>
        <v>3202558</v>
      </c>
      <c r="C11656" t="str">
        <f>IFERROR(__xludf.DUMMYFUNCTION("""COMPUTED_VALUE"""),"Angular Router In Depth")</f>
        <v>Angular Router In Depth</v>
      </c>
    </row>
    <row r="11657">
      <c r="A11657" s="140" t="str">
        <f>IFERROR(__xludf.DUMMYFUNCTION("""COMPUTED_VALUE"""),"en")</f>
        <v>en</v>
      </c>
      <c r="B11657">
        <f>IFERROR(__xludf.DUMMYFUNCTION("""COMPUTED_VALUE"""),1656672.0)</f>
        <v>1656672</v>
      </c>
      <c r="C11657" t="str">
        <f>IFERROR(__xludf.DUMMYFUNCTION("""COMPUTED_VALUE"""),"PowerShell - essential course with labs")</f>
        <v>PowerShell - essential course with labs</v>
      </c>
    </row>
    <row r="11658">
      <c r="A11658" s="140" t="str">
        <f>IFERROR(__xludf.DUMMYFUNCTION("""COMPUTED_VALUE"""),"en")</f>
        <v>en</v>
      </c>
      <c r="B11658">
        <f>IFERROR(__xludf.DUMMYFUNCTION("""COMPUTED_VALUE"""),3309182.0)</f>
        <v>3309182</v>
      </c>
      <c r="C11658" t="str">
        <f>IFERROR(__xludf.DUMMYFUNCTION("""COMPUTED_VALUE"""),"Advanced Typescript programming with NodeJs and Webpack")</f>
        <v>Advanced Typescript programming with NodeJs and Webpack</v>
      </c>
    </row>
    <row r="11659">
      <c r="A11659" s="140" t="str">
        <f>IFERROR(__xludf.DUMMYFUNCTION("""COMPUTED_VALUE"""),"en")</f>
        <v>en</v>
      </c>
      <c r="B11659">
        <f>IFERROR(__xludf.DUMMYFUNCTION("""COMPUTED_VALUE"""),1597956.0)</f>
        <v>1597956</v>
      </c>
      <c r="C11659" t="str">
        <f>IFERROR(__xludf.DUMMYFUNCTION("""COMPUTED_VALUE"""),"Build A Culture of Freedom &amp; Responsibility by Patty McCord")</f>
        <v>Build A Culture of Freedom &amp; Responsibility by Patty McCord</v>
      </c>
    </row>
    <row r="11660">
      <c r="A11660" s="140" t="str">
        <f>IFERROR(__xludf.DUMMYFUNCTION("""COMPUTED_VALUE"""),"es")</f>
        <v>es</v>
      </c>
      <c r="B11660">
        <f>IFERROR(__xludf.DUMMYFUNCTION("""COMPUTED_VALUE"""),3267250.0)</f>
        <v>3267250</v>
      </c>
      <c r="C11660" t="str">
        <f>IFERROR(__xludf.DUMMYFUNCTION("""COMPUTED_VALUE"""),"CURSO CSS3 [Aprende y DOMINA CSS3 desde cero a avanzado]")</f>
        <v>CURSO CSS3 [Aprende y DOMINA CSS3 desde cero a avanzado]</v>
      </c>
    </row>
    <row r="11661">
      <c r="A11661" s="140" t="str">
        <f>IFERROR(__xludf.DUMMYFUNCTION("""COMPUTED_VALUE"""),"en")</f>
        <v>en</v>
      </c>
      <c r="B11661">
        <f>IFERROR(__xludf.DUMMYFUNCTION("""COMPUTED_VALUE"""),2519004.0)</f>
        <v>2519004</v>
      </c>
      <c r="C11661" t="str">
        <f>IFERROR(__xludf.DUMMYFUNCTION("""COMPUTED_VALUE"""),"Cisco ASA Firewall Training")</f>
        <v>Cisco ASA Firewall Training</v>
      </c>
    </row>
    <row r="11662">
      <c r="A11662" s="140" t="str">
        <f>IFERROR(__xludf.DUMMYFUNCTION("""COMPUTED_VALUE"""),"en")</f>
        <v>en</v>
      </c>
      <c r="B11662">
        <f>IFERROR(__xludf.DUMMYFUNCTION("""COMPUTED_VALUE"""),2018498.0)</f>
        <v>2018498</v>
      </c>
      <c r="C11662" t="str">
        <f>IFERROR(__xludf.DUMMYFUNCTION("""COMPUTED_VALUE"""),"FL Studio 20 - Music Production In FL Studio for Mac &amp; PC")</f>
        <v>FL Studio 20 - Music Production In FL Studio for Mac &amp; PC</v>
      </c>
    </row>
    <row r="11663">
      <c r="A11663" s="140" t="str">
        <f>IFERROR(__xludf.DUMMYFUNCTION("""COMPUTED_VALUE"""),"de")</f>
        <v>de</v>
      </c>
      <c r="B11663">
        <f>IFERROR(__xludf.DUMMYFUNCTION("""COMPUTED_VALUE"""),859804.0)</f>
        <v>859804</v>
      </c>
      <c r="C11663" t="str">
        <f>IFERROR(__xludf.DUMMYFUNCTION("""COMPUTED_VALUE"""),"Quellenverwaltung mit Zotero automatisieren: Praxiskurs")</f>
        <v>Quellenverwaltung mit Zotero automatisieren: Praxiskurs</v>
      </c>
    </row>
    <row r="11664">
      <c r="A11664" s="140" t="str">
        <f>IFERROR(__xludf.DUMMYFUNCTION("""COMPUTED_VALUE"""),"en")</f>
        <v>en</v>
      </c>
      <c r="B11664">
        <f>IFERROR(__xludf.DUMMYFUNCTION("""COMPUTED_VALUE"""),1520372.0)</f>
        <v>1520372</v>
      </c>
      <c r="C11664" t="str">
        <f>IFERROR(__xludf.DUMMYFUNCTION("""COMPUTED_VALUE"""),"Business Intelligence with Microstrategy 10 Analytics")</f>
        <v>Business Intelligence with Microstrategy 10 Analytics</v>
      </c>
    </row>
    <row r="11665">
      <c r="A11665" s="140" t="str">
        <f>IFERROR(__xludf.DUMMYFUNCTION("""COMPUTED_VALUE"""),"en")</f>
        <v>en</v>
      </c>
      <c r="B11665">
        <f>IFERROR(__xludf.DUMMYFUNCTION("""COMPUTED_VALUE"""),1184844.0)</f>
        <v>1184844</v>
      </c>
      <c r="C11665" t="str">
        <f>IFERROR(__xludf.DUMMYFUNCTION("""COMPUTED_VALUE"""),"The Complete App Design Course - UX, UI and Design Thinking")</f>
        <v>The Complete App Design Course - UX, UI and Design Thinking</v>
      </c>
    </row>
    <row r="11666">
      <c r="A11666" s="140" t="str">
        <f>IFERROR(__xludf.DUMMYFUNCTION("""COMPUTED_VALUE"""),"en")</f>
        <v>en</v>
      </c>
      <c r="B11666">
        <f>IFERROR(__xludf.DUMMYFUNCTION("""COMPUTED_VALUE"""),1267792.0)</f>
        <v>1267792</v>
      </c>
      <c r="C11666" t="str">
        <f>IFERROR(__xludf.DUMMYFUNCTION("""COMPUTED_VALUE"""),"Framer Crash Course – Design, Code, and Collaborate")</f>
        <v>Framer Crash Course – Design, Code, and Collaborate</v>
      </c>
    </row>
    <row r="11667">
      <c r="A11667" s="140" t="str">
        <f>IFERROR(__xludf.DUMMYFUNCTION("""COMPUTED_VALUE"""),"de")</f>
        <v>de</v>
      </c>
      <c r="B11667">
        <f>IFERROR(__xludf.DUMMYFUNCTION("""COMPUTED_VALUE"""),1833306.0)</f>
        <v>1833306</v>
      </c>
      <c r="C11667" t="str">
        <f>IFERROR(__xludf.DUMMYFUNCTION("""COMPUTED_VALUE"""),"Lerne Blockchain Entwicklung: Ethereum, Solidity und Truffle")</f>
        <v>Lerne Blockchain Entwicklung: Ethereum, Solidity und Truffle</v>
      </c>
    </row>
    <row r="11668">
      <c r="A11668" s="140" t="str">
        <f>IFERROR(__xludf.DUMMYFUNCTION("""COMPUTED_VALUE"""),"en")</f>
        <v>en</v>
      </c>
      <c r="B11668">
        <f>IFERROR(__xludf.DUMMYFUNCTION("""COMPUTED_VALUE"""),1608398.0)</f>
        <v>1608398</v>
      </c>
      <c r="C11668" t="str">
        <f>IFERROR(__xludf.DUMMYFUNCTION("""COMPUTED_VALUE"""),"Certified Wireless Security Professional (CWSP)")</f>
        <v>Certified Wireless Security Professional (CWSP)</v>
      </c>
    </row>
    <row r="11669">
      <c r="A11669" s="140" t="str">
        <f>IFERROR(__xludf.DUMMYFUNCTION("""COMPUTED_VALUE"""),"en")</f>
        <v>en</v>
      </c>
      <c r="B11669">
        <f>IFERROR(__xludf.DUMMYFUNCTION("""COMPUTED_VALUE"""),1654314.0)</f>
        <v>1654314</v>
      </c>
      <c r="C11669" t="str">
        <f>IFERROR(__xludf.DUMMYFUNCTION("""COMPUTED_VALUE"""),"The Complete TOEFL iBT Success Course (NEW VERSION)")</f>
        <v>The Complete TOEFL iBT Success Course (NEW VERSION)</v>
      </c>
    </row>
    <row r="11670">
      <c r="A11670" s="140" t="str">
        <f>IFERROR(__xludf.DUMMYFUNCTION("""COMPUTED_VALUE"""),"en")</f>
        <v>en</v>
      </c>
      <c r="B11670">
        <f>IFERROR(__xludf.DUMMYFUNCTION("""COMPUTED_VALUE"""),2885338.0)</f>
        <v>2885338</v>
      </c>
      <c r="C11670" t="str">
        <f>IFERROR(__xludf.DUMMYFUNCTION("""COMPUTED_VALUE"""),"Hands-On HR Analytics Online Course for Human Resources")</f>
        <v>Hands-On HR Analytics Online Course for Human Resources</v>
      </c>
    </row>
    <row r="11671">
      <c r="A11671" s="140" t="str">
        <f>IFERROR(__xludf.DUMMYFUNCTION("""COMPUTED_VALUE"""),"ja")</f>
        <v>ja</v>
      </c>
      <c r="B11671">
        <f>IFERROR(__xludf.DUMMYFUNCTION("""COMPUTED_VALUE"""),642146.0)</f>
        <v>642146</v>
      </c>
      <c r="C11671" t="str">
        <f>IFERROR(__xludf.DUMMYFUNCTION("""COMPUTED_VALUE"""),"70以上のレッスンで、基礎からしっかり学べる！ HTML5完全マスターコース")</f>
        <v>70以上のレッスンで、基礎からしっかり学べる！ HTML5完全マスターコース</v>
      </c>
    </row>
    <row r="11672">
      <c r="A11672" s="140" t="str">
        <f>IFERROR(__xludf.DUMMYFUNCTION("""COMPUTED_VALUE"""),"en")</f>
        <v>en</v>
      </c>
      <c r="B11672">
        <f>IFERROR(__xludf.DUMMYFUNCTION("""COMPUTED_VALUE"""),1988542.0)</f>
        <v>1988542</v>
      </c>
      <c r="C11672" t="str">
        <f>IFERROR(__xludf.DUMMYFUNCTION("""COMPUTED_VALUE"""),"Kubernetes Certified Application Developer (CKAD) with Tests")</f>
        <v>Kubernetes Certified Application Developer (CKAD) with Tests</v>
      </c>
    </row>
    <row r="11673">
      <c r="A11673" s="140" t="str">
        <f>IFERROR(__xludf.DUMMYFUNCTION("""COMPUTED_VALUE"""),"ja")</f>
        <v>ja</v>
      </c>
      <c r="B11673">
        <f>IFERROR(__xludf.DUMMYFUNCTION("""COMPUTED_VALUE"""),3493530.0)</f>
        <v>3493530</v>
      </c>
      <c r="C11673" t="str">
        <f>IFERROR(__xludf.DUMMYFUNCTION("""COMPUTED_VALUE"""),"BigQueryで学ぶ！SQLの基本：初学者からすらすらデータ抽出できるまで")</f>
        <v>BigQueryで学ぶ！SQLの基本：初学者からすらすらデータ抽出できるまで</v>
      </c>
    </row>
    <row r="11674">
      <c r="A11674" s="140" t="str">
        <f>IFERROR(__xludf.DUMMYFUNCTION("""COMPUTED_VALUE"""),"en")</f>
        <v>en</v>
      </c>
      <c r="B11674">
        <f>IFERROR(__xludf.DUMMYFUNCTION("""COMPUTED_VALUE"""),1565998.0)</f>
        <v>1565998</v>
      </c>
      <c r="C11674" t="str">
        <f>IFERROR(__xludf.DUMMYFUNCTION("""COMPUTED_VALUE"""),"Asp.Net MVC 5 - Ultimate Guide - In depth &amp; Sample Project")</f>
        <v>Asp.Net MVC 5 - Ultimate Guide - In depth &amp; Sample Project</v>
      </c>
    </row>
    <row r="11675">
      <c r="A11675" s="140" t="str">
        <f>IFERROR(__xludf.DUMMYFUNCTION("""COMPUTED_VALUE"""),"pt")</f>
        <v>pt</v>
      </c>
      <c r="B11675">
        <f>IFERROR(__xludf.DUMMYFUNCTION("""COMPUTED_VALUE"""),2009576.0)</f>
        <v>2009576</v>
      </c>
      <c r="C11675" t="str">
        <f>IFERROR(__xludf.DUMMYFUNCTION("""COMPUTED_VALUE"""),"Reporting Services - Relatórios SQL com seu o Banco de Dados")</f>
        <v>Reporting Services - Relatórios SQL com seu o Banco de Dados</v>
      </c>
    </row>
    <row r="11676">
      <c r="A11676" s="140" t="str">
        <f>IFERROR(__xludf.DUMMYFUNCTION("""COMPUTED_VALUE"""),"en")</f>
        <v>en</v>
      </c>
      <c r="B11676">
        <f>IFERROR(__xludf.DUMMYFUNCTION("""COMPUTED_VALUE"""),1467808.0)</f>
        <v>1467808</v>
      </c>
      <c r="C11676" t="str">
        <f>IFERROR(__xludf.DUMMYFUNCTION("""COMPUTED_VALUE"""),"C Programming For Beginners - Master the C Language")</f>
        <v>C Programming For Beginners - Master the C Language</v>
      </c>
    </row>
    <row r="11677">
      <c r="A11677" s="140" t="str">
        <f>IFERROR(__xludf.DUMMYFUNCTION("""COMPUTED_VALUE"""),"pt")</f>
        <v>pt</v>
      </c>
      <c r="B11677">
        <f>IFERROR(__xludf.DUMMYFUNCTION("""COMPUTED_VALUE"""),1978332.0)</f>
        <v>1978332</v>
      </c>
      <c r="C11677" t="str">
        <f>IFERROR(__xludf.DUMMYFUNCTION("""COMPUTED_VALUE"""),"Bootstrap 4 - Curso COMPLETO com Projetos Reais")</f>
        <v>Bootstrap 4 - Curso COMPLETO com Projetos Reais</v>
      </c>
    </row>
    <row r="11678">
      <c r="A11678" s="140" t="str">
        <f>IFERROR(__xludf.DUMMYFUNCTION("""COMPUTED_VALUE"""),"tr")</f>
        <v>tr</v>
      </c>
      <c r="B11678">
        <f>IFERROR(__xludf.DUMMYFUNCTION("""COMPUTED_VALUE"""),2524870.0)</f>
        <v>2524870</v>
      </c>
      <c r="C11678" t="str">
        <f>IFERROR(__xludf.DUMMYFUNCTION("""COMPUTED_VALUE"""),"16+ Saat Python ile Veri Bilimi ve Makine Öğrenmesi")</f>
        <v>16+ Saat Python ile Veri Bilimi ve Makine Öğrenmesi</v>
      </c>
    </row>
    <row r="11679">
      <c r="A11679" s="140" t="str">
        <f>IFERROR(__xludf.DUMMYFUNCTION("""COMPUTED_VALUE"""),"ar")</f>
        <v>ar</v>
      </c>
      <c r="B11679">
        <f>IFERROR(__xludf.DUMMYFUNCTION("""COMPUTED_VALUE"""),2838254.0)</f>
        <v>2838254</v>
      </c>
      <c r="C11679" t="str">
        <f>IFERROR(__xludf.DUMMYFUNCTION("""COMPUTED_VALUE"""),"Postman from Zero to Hero In Arabic | كامله من الصفر Postman")</f>
        <v>Postman from Zero to Hero In Arabic | كامله من الصفر Postman</v>
      </c>
    </row>
    <row r="11680">
      <c r="A11680" s="140" t="str">
        <f>IFERROR(__xludf.DUMMYFUNCTION("""COMPUTED_VALUE"""),"en")</f>
        <v>en</v>
      </c>
      <c r="B11680">
        <f>IFERROR(__xludf.DUMMYFUNCTION("""COMPUTED_VALUE"""),661070.0)</f>
        <v>661070</v>
      </c>
      <c r="C11680" t="str">
        <f>IFERROR(__xludf.DUMMYFUNCTION("""COMPUTED_VALUE"""),"Be A Better Manager 2 - Data Driven Manager Training")</f>
        <v>Be A Better Manager 2 - Data Driven Manager Training</v>
      </c>
    </row>
    <row r="11681">
      <c r="A11681" s="140" t="str">
        <f>IFERROR(__xludf.DUMMYFUNCTION("""COMPUTED_VALUE"""),"en")</f>
        <v>en</v>
      </c>
      <c r="B11681">
        <f>IFERROR(__xludf.DUMMYFUNCTION("""COMPUTED_VALUE"""),2212540.0)</f>
        <v>2212540</v>
      </c>
      <c r="C11681" t="str">
        <f>IFERROR(__xludf.DUMMYFUNCTION("""COMPUTED_VALUE"""),"Linux Diagnostics And Troubleshooting")</f>
        <v>Linux Diagnostics And Troubleshooting</v>
      </c>
    </row>
    <row r="11682">
      <c r="A11682" s="140" t="str">
        <f>IFERROR(__xludf.DUMMYFUNCTION("""COMPUTED_VALUE"""),"en")</f>
        <v>en</v>
      </c>
      <c r="B11682">
        <f>IFERROR(__xludf.DUMMYFUNCTION("""COMPUTED_VALUE"""),1747516.0)</f>
        <v>1747516</v>
      </c>
      <c r="C11682" t="str">
        <f>IFERROR(__xludf.DUMMYFUNCTION("""COMPUTED_VALUE"""),"Rust Programming Language for Beginners")</f>
        <v>Rust Programming Language for Beginners</v>
      </c>
    </row>
    <row r="11683">
      <c r="A11683" s="140" t="str">
        <f>IFERROR(__xludf.DUMMYFUNCTION("""COMPUTED_VALUE"""),"en")</f>
        <v>en</v>
      </c>
      <c r="B11683">
        <f>IFERROR(__xludf.DUMMYFUNCTION("""COMPUTED_VALUE"""),2676278.0)</f>
        <v>2676278</v>
      </c>
      <c r="C11683" t="str">
        <f>IFERROR(__xludf.DUMMYFUNCTION("""COMPUTED_VALUE"""),"The Complete GitHub Actions &amp; Workflows Guide")</f>
        <v>The Complete GitHub Actions &amp; Workflows Guide</v>
      </c>
    </row>
    <row r="11684">
      <c r="A11684" s="140" t="str">
        <f>IFERROR(__xludf.DUMMYFUNCTION("""COMPUTED_VALUE"""),"en")</f>
        <v>en</v>
      </c>
      <c r="B11684">
        <f>IFERROR(__xludf.DUMMYFUNCTION("""COMPUTED_VALUE"""),2396452.0)</f>
        <v>2396452</v>
      </c>
      <c r="C11684" t="str">
        <f>IFERROR(__xludf.DUMMYFUNCTION("""COMPUTED_VALUE"""),"IT/NON-IT Recruiter Training to become a Recruiter (Junior)")</f>
        <v>IT/NON-IT Recruiter Training to become a Recruiter (Junior)</v>
      </c>
    </row>
    <row r="11685">
      <c r="A11685" s="140" t="str">
        <f>IFERROR(__xludf.DUMMYFUNCTION("""COMPUTED_VALUE"""),"tr")</f>
        <v>tr</v>
      </c>
      <c r="B11685">
        <f>IFERROR(__xludf.DUMMYFUNCTION("""COMPUTED_VALUE"""),3907182.0)</f>
        <v>3907182</v>
      </c>
      <c r="C11685" t="str">
        <f>IFERROR(__xludf.DUMMYFUNCTION("""COMPUTED_VALUE"""),"Design Patterns")</f>
        <v>Design Patterns</v>
      </c>
    </row>
    <row r="11686">
      <c r="A11686" s="140" t="str">
        <f>IFERROR(__xludf.DUMMYFUNCTION("""COMPUTED_VALUE"""),"es")</f>
        <v>es</v>
      </c>
      <c r="B11686">
        <f>IFERROR(__xludf.DUMMYFUNCTION("""COMPUTED_VALUE"""),2514224.0)</f>
        <v>2514224</v>
      </c>
      <c r="C11686" t="str">
        <f>IFERROR(__xludf.DUMMYFUNCTION("""COMPUTED_VALUE"""),"Kubernetes al completo")</f>
        <v>Kubernetes al completo</v>
      </c>
    </row>
    <row r="11687">
      <c r="A11687" s="140" t="str">
        <f>IFERROR(__xludf.DUMMYFUNCTION("""COMPUTED_VALUE"""),"tr")</f>
        <v>tr</v>
      </c>
      <c r="B11687">
        <f>IFERROR(__xludf.DUMMYFUNCTION("""COMPUTED_VALUE"""),1691624.0)</f>
        <v>1691624</v>
      </c>
      <c r="C11687" t="str">
        <f>IFERROR(__xludf.DUMMYFUNCTION("""COMPUTED_VALUE"""),"Android Mobil Uygulama İleri Seviye")</f>
        <v>Android Mobil Uygulama İleri Seviye</v>
      </c>
    </row>
    <row r="11688">
      <c r="A11688" s="140" t="str">
        <f>IFERROR(__xludf.DUMMYFUNCTION("""COMPUTED_VALUE"""),"tr")</f>
        <v>tr</v>
      </c>
      <c r="B11688">
        <f>IFERROR(__xludf.DUMMYFUNCTION("""COMPUTED_VALUE"""),1644264.0)</f>
        <v>1644264</v>
      </c>
      <c r="C11688" t="str">
        <f>IFERROR(__xludf.DUMMYFUNCTION("""COMPUTED_VALUE"""),"C# ve DevExpress ile Gelişmiş Ön Muhasebe Yazılımı (Bölüm-2)")</f>
        <v>C# ve DevExpress ile Gelişmiş Ön Muhasebe Yazılımı (Bölüm-2)</v>
      </c>
    </row>
    <row r="11689">
      <c r="A11689" s="140" t="str">
        <f>IFERROR(__xludf.DUMMYFUNCTION("""COMPUTED_VALUE"""),"en")</f>
        <v>en</v>
      </c>
      <c r="B11689">
        <f>IFERROR(__xludf.DUMMYFUNCTION("""COMPUTED_VALUE"""),995736.0)</f>
        <v>995736</v>
      </c>
      <c r="C11689" t="str">
        <f>IFERROR(__xludf.DUMMYFUNCTION("""COMPUTED_VALUE"""),"Leadership: The Emotionally Intelligent Leader")</f>
        <v>Leadership: The Emotionally Intelligent Leader</v>
      </c>
    </row>
    <row r="11690">
      <c r="A11690" s="140" t="str">
        <f>IFERROR(__xludf.DUMMYFUNCTION("""COMPUTED_VALUE"""),"en")</f>
        <v>en</v>
      </c>
      <c r="B11690">
        <f>IFERROR(__xludf.DUMMYFUNCTION("""COMPUTED_VALUE"""),1910506.0)</f>
        <v>1910506</v>
      </c>
      <c r="C11690" t="str">
        <f>IFERROR(__xludf.DUMMYFUNCTION("""COMPUTED_VALUE"""),"Tesla Company Analysis: Strategy, Marketing, Financials")</f>
        <v>Tesla Company Analysis: Strategy, Marketing, Financials</v>
      </c>
    </row>
    <row r="11691">
      <c r="A11691" s="140" t="str">
        <f>IFERROR(__xludf.DUMMYFUNCTION("""COMPUTED_VALUE"""),"en")</f>
        <v>en</v>
      </c>
      <c r="B11691">
        <f>IFERROR(__xludf.DUMMYFUNCTION("""COMPUTED_VALUE"""),1904280.0)</f>
        <v>1904280</v>
      </c>
      <c r="C11691" t="str">
        <f>IFERROR(__xludf.DUMMYFUNCTION("""COMPUTED_VALUE"""),"Leadership Ethics and Integrity: A Comprehensive Guide !")</f>
        <v>Leadership Ethics and Integrity: A Comprehensive Guide !</v>
      </c>
    </row>
    <row r="11692">
      <c r="A11692" s="140" t="str">
        <f>IFERROR(__xludf.DUMMYFUNCTION("""COMPUTED_VALUE"""),"ja")</f>
        <v>ja</v>
      </c>
      <c r="B11692">
        <f>IFERROR(__xludf.DUMMYFUNCTION("""COMPUTED_VALUE"""),3834240.0)</f>
        <v>3834240</v>
      </c>
      <c r="C11692" t="str">
        <f>IFERROR(__xludf.DUMMYFUNCTION("""COMPUTED_VALUE"""),"Reactに入門した人のためのもっとReactが楽しくなるステップアップコース完全版")</f>
        <v>Reactに入門した人のためのもっとReactが楽しくなるステップアップコース完全版</v>
      </c>
    </row>
    <row r="11693">
      <c r="A11693" s="140" t="str">
        <f>IFERROR(__xludf.DUMMYFUNCTION("""COMPUTED_VALUE"""),"en")</f>
        <v>en</v>
      </c>
      <c r="B11693">
        <f>IFERROR(__xludf.DUMMYFUNCTION("""COMPUTED_VALUE"""),506788.0)</f>
        <v>506788</v>
      </c>
      <c r="C11693" t="str">
        <f>IFERROR(__xludf.DUMMYFUNCTION("""COMPUTED_VALUE"""),"Excel to Access: Intro to Microsoft Access for Excel Users")</f>
        <v>Excel to Access: Intro to Microsoft Access for Excel Users</v>
      </c>
    </row>
    <row r="11694">
      <c r="A11694" s="140" t="str">
        <f>IFERROR(__xludf.DUMMYFUNCTION("""COMPUTED_VALUE"""),"en")</f>
        <v>en</v>
      </c>
      <c r="B11694">
        <f>IFERROR(__xludf.DUMMYFUNCTION("""COMPUTED_VALUE"""),1205570.0)</f>
        <v>1205570</v>
      </c>
      <c r="C11694" t="str">
        <f>IFERROR(__xludf.DUMMYFUNCTION("""COMPUTED_VALUE"""),"Network Security Analysis Using Wireshark, Snort, and SO")</f>
        <v>Network Security Analysis Using Wireshark, Snort, and SO</v>
      </c>
    </row>
    <row r="11695">
      <c r="A11695" s="140" t="str">
        <f>IFERROR(__xludf.DUMMYFUNCTION("""COMPUTED_VALUE"""),"ko")</f>
        <v>ko</v>
      </c>
      <c r="B11695">
        <f>IFERROR(__xludf.DUMMYFUNCTION("""COMPUTED_VALUE"""),3009206.0)</f>
        <v>3009206</v>
      </c>
      <c r="C11695" t="str">
        <f>IFERROR(__xludf.DUMMYFUNCTION("""COMPUTED_VALUE"""),"한눈에 쏙쏙 의학 통계 배우기 (아빠가 들려주는 통계)")</f>
        <v>한눈에 쏙쏙 의학 통계 배우기 (아빠가 들려주는 통계)</v>
      </c>
    </row>
    <row r="11696">
      <c r="A11696" s="140" t="str">
        <f>IFERROR(__xludf.DUMMYFUNCTION("""COMPUTED_VALUE"""),"en")</f>
        <v>en</v>
      </c>
      <c r="B11696">
        <f>IFERROR(__xludf.DUMMYFUNCTION("""COMPUTED_VALUE"""),2126504.0)</f>
        <v>2126504</v>
      </c>
      <c r="C11696" t="str">
        <f>IFERROR(__xludf.DUMMYFUNCTION("""COMPUTED_VALUE"""),"API (WebServices) Performance Testing-Loadrunner(SOAP &amp;REST)")</f>
        <v>API (WebServices) Performance Testing-Loadrunner(SOAP &amp;REST)</v>
      </c>
    </row>
    <row r="11697">
      <c r="A11697" s="140" t="str">
        <f>IFERROR(__xludf.DUMMYFUNCTION("""COMPUTED_VALUE"""),"en")</f>
        <v>en</v>
      </c>
      <c r="B11697">
        <f>IFERROR(__xludf.DUMMYFUNCTION("""COMPUTED_VALUE"""),996352.0)</f>
        <v>996352</v>
      </c>
      <c r="C11697" t="str">
        <f>IFERROR(__xludf.DUMMYFUNCTION("""COMPUTED_VALUE"""),"Automotive 101: A Beginners Guide To Automotive Repair")</f>
        <v>Automotive 101: A Beginners Guide To Automotive Repair</v>
      </c>
    </row>
    <row r="11698">
      <c r="A11698" s="140" t="str">
        <f>IFERROR(__xludf.DUMMYFUNCTION("""COMPUTED_VALUE"""),"en")</f>
        <v>en</v>
      </c>
      <c r="B11698">
        <f>IFERROR(__xludf.DUMMYFUNCTION("""COMPUTED_VALUE"""),904986.0)</f>
        <v>904986</v>
      </c>
      <c r="C11698" t="str">
        <f>IFERROR(__xludf.DUMMYFUNCTION("""COMPUTED_VALUE"""),"The Infinite Banking Concept")</f>
        <v>The Infinite Banking Concept</v>
      </c>
    </row>
    <row r="11699">
      <c r="A11699" s="140" t="str">
        <f>IFERROR(__xludf.DUMMYFUNCTION("""COMPUTED_VALUE"""),"ja")</f>
        <v>ja</v>
      </c>
      <c r="B11699">
        <f>IFERROR(__xludf.DUMMYFUNCTION("""COMPUTED_VALUE"""),3261882.0)</f>
        <v>3261882</v>
      </c>
      <c r="C11699" t="str">
        <f>IFERROR(__xludf.DUMMYFUNCTION("""COMPUTED_VALUE"""),"[Redux編] Redux Tool KitとReact HooksによるモダンReact フロントエンド開発")</f>
        <v>[Redux編] Redux Tool KitとReact HooksによるモダンReact フロントエンド開発</v>
      </c>
    </row>
    <row r="11700">
      <c r="A11700" s="140" t="str">
        <f>IFERROR(__xludf.DUMMYFUNCTION("""COMPUTED_VALUE"""),"en")</f>
        <v>en</v>
      </c>
      <c r="B11700">
        <f>IFERROR(__xludf.DUMMYFUNCTION("""COMPUTED_VALUE"""),2200284.0)</f>
        <v>2200284</v>
      </c>
      <c r="C11700" t="str">
        <f>IFERROR(__xludf.DUMMYFUNCTION("""COMPUTED_VALUE"""),"Python Tkinter Masterclass - Learn Python GUI Programming")</f>
        <v>Python Tkinter Masterclass - Learn Python GUI Programming</v>
      </c>
    </row>
    <row r="11701">
      <c r="A11701" s="140" t="str">
        <f>IFERROR(__xludf.DUMMYFUNCTION("""COMPUTED_VALUE"""),"en")</f>
        <v>en</v>
      </c>
      <c r="B11701">
        <f>IFERROR(__xludf.DUMMYFUNCTION("""COMPUTED_VALUE"""),203556.0)</f>
        <v>203556</v>
      </c>
      <c r="C11701" t="str">
        <f>IFERROR(__xludf.DUMMYFUNCTION("""COMPUTED_VALUE"""),"SQL for NEWBS: Weekender Crash Course")</f>
        <v>SQL for NEWBS: Weekender Crash Course</v>
      </c>
    </row>
    <row r="11702">
      <c r="A11702" s="140" t="str">
        <f>IFERROR(__xludf.DUMMYFUNCTION("""COMPUTED_VALUE"""),"en")</f>
        <v>en</v>
      </c>
      <c r="B11702">
        <f>IFERROR(__xludf.DUMMYFUNCTION("""COMPUTED_VALUE"""),1576340.0)</f>
        <v>1576340</v>
      </c>
      <c r="C11702" t="str">
        <f>IFERROR(__xludf.DUMMYFUNCTION("""COMPUTED_VALUE"""),"Unreal VR Dev: Make VR Experiences with Unreal Engine in C++")</f>
        <v>Unreal VR Dev: Make VR Experiences with Unreal Engine in C++</v>
      </c>
    </row>
    <row r="11703">
      <c r="A11703" s="140" t="str">
        <f>IFERROR(__xludf.DUMMYFUNCTION("""COMPUTED_VALUE"""),"en")</f>
        <v>en</v>
      </c>
      <c r="B11703">
        <f>IFERROR(__xludf.DUMMYFUNCTION("""COMPUTED_VALUE"""),527952.0)</f>
        <v>527952</v>
      </c>
      <c r="C11703" t="str">
        <f>IFERROR(__xludf.DUMMYFUNCTION("""COMPUTED_VALUE"""),"PHP for Beginners: How to Build an Ecommerce Store")</f>
        <v>PHP for Beginners: How to Build an Ecommerce Store</v>
      </c>
    </row>
    <row r="11704">
      <c r="A11704" s="140" t="str">
        <f>IFERROR(__xludf.DUMMYFUNCTION("""COMPUTED_VALUE"""),"de")</f>
        <v>de</v>
      </c>
      <c r="B11704">
        <f>IFERROR(__xludf.DUMMYFUNCTION("""COMPUTED_VALUE"""),1439098.0)</f>
        <v>1439098</v>
      </c>
      <c r="C11704" t="str">
        <f>IFERROR(__xludf.DUMMYFUNCTION("""COMPUTED_VALUE"""),"Recruiting und Bewerbungsmanagement im 21. Jahrhundert")</f>
        <v>Recruiting und Bewerbungsmanagement im 21. Jahrhundert</v>
      </c>
    </row>
    <row r="11705">
      <c r="A11705" s="140" t="str">
        <f>IFERROR(__xludf.DUMMYFUNCTION("""COMPUTED_VALUE"""),"en")</f>
        <v>en</v>
      </c>
      <c r="B11705">
        <f>IFERROR(__xludf.DUMMYFUNCTION("""COMPUTED_VALUE"""),944172.0)</f>
        <v>944172</v>
      </c>
      <c r="C11705" t="str">
        <f>IFERROR(__xludf.DUMMYFUNCTION("""COMPUTED_VALUE"""),"C*5 Introduction - This course is scheduled to be retired")</f>
        <v>C*5 Introduction - This course is scheduled to be retired</v>
      </c>
    </row>
    <row r="11706">
      <c r="A11706" s="140" t="str">
        <f>IFERROR(__xludf.DUMMYFUNCTION("""COMPUTED_VALUE"""),"ar")</f>
        <v>ar</v>
      </c>
      <c r="B11706">
        <f>IFERROR(__xludf.DUMMYFUNCTION("""COMPUTED_VALUE"""),2478354.0)</f>
        <v>2478354</v>
      </c>
      <c r="C11706" t="str">
        <f>IFERROR(__xludf.DUMMYFUNCTION("""COMPUTED_VALUE"""),"تعلم CSS3 من الصفر")</f>
        <v>تعلم CSS3 من الصفر</v>
      </c>
    </row>
    <row r="11707">
      <c r="A11707" s="140" t="str">
        <f>IFERROR(__xludf.DUMMYFUNCTION("""COMPUTED_VALUE"""),"fr")</f>
        <v>fr</v>
      </c>
      <c r="B11707">
        <f>IFERROR(__xludf.DUMMYFUNCTION("""COMPUTED_VALUE"""),1629468.0)</f>
        <v>1629468</v>
      </c>
      <c r="C11707" t="str">
        <f>IFERROR(__xludf.DUMMYFUNCTION("""COMPUTED_VALUE"""),"L'art de questionner - Lionel Bellenger")</f>
        <v>L'art de questionner - Lionel Bellenger</v>
      </c>
    </row>
    <row r="11708">
      <c r="A11708" s="140" t="str">
        <f>IFERROR(__xludf.DUMMYFUNCTION("""COMPUTED_VALUE"""),"ja")</f>
        <v>ja</v>
      </c>
      <c r="B11708">
        <f>IFERROR(__xludf.DUMMYFUNCTION("""COMPUTED_VALUE"""),3246708.0)</f>
        <v>3246708</v>
      </c>
      <c r="C11708" t="str">
        <f>IFERROR(__xludf.DUMMYFUNCTION("""COMPUTED_VALUE"""),"Unity2D脱出ゲーム開発入門：Unityインストラクターが基礎から教えるセーブ機能マスターコース【スタジオしまづ】")</f>
        <v>Unity2D脱出ゲーム開発入門：Unityインストラクターが基礎から教えるセーブ機能マスターコース【スタジオしまづ】</v>
      </c>
    </row>
    <row r="11709">
      <c r="A11709" s="140" t="str">
        <f>IFERROR(__xludf.DUMMYFUNCTION("""COMPUTED_VALUE"""),"pt")</f>
        <v>pt</v>
      </c>
      <c r="B11709">
        <f>IFERROR(__xludf.DUMMYFUNCTION("""COMPUTED_VALUE"""),1698102.0)</f>
        <v>1698102</v>
      </c>
      <c r="C11709" t="str">
        <f>IFERROR(__xludf.DUMMYFUNCTION("""COMPUTED_VALUE"""),"Guia para Desbloquear a Criatividade e ter Ideias Originais")</f>
        <v>Guia para Desbloquear a Criatividade e ter Ideias Originais</v>
      </c>
    </row>
    <row r="11710">
      <c r="A11710" s="140" t="str">
        <f>IFERROR(__xludf.DUMMYFUNCTION("""COMPUTED_VALUE"""),"en")</f>
        <v>en</v>
      </c>
      <c r="B11710">
        <f>IFERROR(__xludf.DUMMYFUNCTION("""COMPUTED_VALUE"""),4070102.0)</f>
        <v>4070102</v>
      </c>
      <c r="C11710" t="str">
        <f>IFERROR(__xludf.DUMMYFUNCTION("""COMPUTED_VALUE"""),"NetSuite Functional Ultimate Guide and Complete Course")</f>
        <v>NetSuite Functional Ultimate Guide and Complete Course</v>
      </c>
    </row>
    <row r="11711">
      <c r="A11711" s="140" t="str">
        <f>IFERROR(__xludf.DUMMYFUNCTION("""COMPUTED_VALUE"""),"en")</f>
        <v>en</v>
      </c>
      <c r="B11711">
        <f>IFERROR(__xludf.DUMMYFUNCTION("""COMPUTED_VALUE"""),1960360.0)</f>
        <v>1960360</v>
      </c>
      <c r="C11711" t="str">
        <f>IFERROR(__xludf.DUMMYFUNCTION("""COMPUTED_VALUE"""),"MikroTik Traffic Control with LABS")</f>
        <v>MikroTik Traffic Control with LABS</v>
      </c>
    </row>
    <row r="11712">
      <c r="A11712" s="140" t="str">
        <f>IFERROR(__xludf.DUMMYFUNCTION("""COMPUTED_VALUE"""),"en")</f>
        <v>en</v>
      </c>
      <c r="B11712">
        <f>IFERROR(__xludf.DUMMYFUNCTION("""COMPUTED_VALUE"""),2453718.0)</f>
        <v>2453718</v>
      </c>
      <c r="C11712" t="str">
        <f>IFERROR(__xludf.DUMMYFUNCTION("""COMPUTED_VALUE"""),"The Complete Salesforce Advanced Administrator Certification")</f>
        <v>The Complete Salesforce Advanced Administrator Certification</v>
      </c>
    </row>
    <row r="11713">
      <c r="A11713" s="140" t="str">
        <f>IFERROR(__xludf.DUMMYFUNCTION("""COMPUTED_VALUE"""),"pt")</f>
        <v>pt</v>
      </c>
      <c r="B11713">
        <f>IFERROR(__xludf.DUMMYFUNCTION("""COMPUTED_VALUE"""),2846526.0)</f>
        <v>2846526</v>
      </c>
      <c r="C11713" t="str">
        <f>IFERROR(__xludf.DUMMYFUNCTION("""COMPUTED_VALUE"""),"Curso de Libras - Básico")</f>
        <v>Curso de Libras - Básico</v>
      </c>
    </row>
    <row r="11714">
      <c r="A11714" s="140" t="str">
        <f>IFERROR(__xludf.DUMMYFUNCTION("""COMPUTED_VALUE"""),"pt")</f>
        <v>pt</v>
      </c>
      <c r="B11714">
        <f>IFERROR(__xludf.DUMMYFUNCTION("""COMPUTED_VALUE"""),1642116.0)</f>
        <v>1642116</v>
      </c>
      <c r="C11714" t="str">
        <f>IFERROR(__xludf.DUMMYFUNCTION("""COMPUTED_VALUE"""),"Redes Neurais Artificiais em R")</f>
        <v>Redes Neurais Artificiais em R</v>
      </c>
    </row>
    <row r="11715">
      <c r="A11715" s="140" t="str">
        <f>IFERROR(__xludf.DUMMYFUNCTION("""COMPUTED_VALUE"""),"ja")</f>
        <v>ja</v>
      </c>
      <c r="B11715">
        <f>IFERROR(__xludf.DUMMYFUNCTION("""COMPUTED_VALUE"""),2878324.0)</f>
        <v>2878324</v>
      </c>
      <c r="C11715" t="str">
        <f>IFERROR(__xludf.DUMMYFUNCTION("""COMPUTED_VALUE"""),"Excelショートカット道場 ～仕事を３倍速にする７つの「型」をひたすら繰り返せばスキルが身につく240分トレーニング")</f>
        <v>Excelショートカット道場 ～仕事を３倍速にする７つの「型」をひたすら繰り返せばスキルが身につく240分トレーニング</v>
      </c>
    </row>
    <row r="11716">
      <c r="A11716" s="140" t="str">
        <f>IFERROR(__xludf.DUMMYFUNCTION("""COMPUTED_VALUE"""),"en")</f>
        <v>en</v>
      </c>
      <c r="B11716">
        <f>IFERROR(__xludf.DUMMYFUNCTION("""COMPUTED_VALUE"""),3095648.0)</f>
        <v>3095648</v>
      </c>
      <c r="C11716" t="str">
        <f>IFERROR(__xludf.DUMMYFUNCTION("""COMPUTED_VALUE"""),"OutSystems Reactive for Beginners")</f>
        <v>OutSystems Reactive for Beginners</v>
      </c>
    </row>
    <row r="11717">
      <c r="A11717" s="140" t="str">
        <f>IFERROR(__xludf.DUMMYFUNCTION("""COMPUTED_VALUE"""),"es")</f>
        <v>es</v>
      </c>
      <c r="B11717">
        <f>IFERROR(__xludf.DUMMYFUNCTION("""COMPUTED_VALUE"""),1478318.0)</f>
        <v>1478318</v>
      </c>
      <c r="C11717" t="str">
        <f>IFERROR(__xludf.DUMMYFUNCTION("""COMPUTED_VALUE"""),"Club Java Master: De Novato a Experto Java. +80 hrs")</f>
        <v>Club Java Master: De Novato a Experto Java. +80 hrs</v>
      </c>
    </row>
    <row r="11718">
      <c r="A11718" s="140" t="str">
        <f>IFERROR(__xludf.DUMMYFUNCTION("""COMPUTED_VALUE"""),"en")</f>
        <v>en</v>
      </c>
      <c r="B11718">
        <f>IFERROR(__xludf.DUMMYFUNCTION("""COMPUTED_VALUE"""),2362076.0)</f>
        <v>2362076</v>
      </c>
      <c r="C11718" t="str">
        <f>IFERROR(__xludf.DUMMYFUNCTION("""COMPUTED_VALUE"""),"AZ-300 Microsoft Azure Architect Practice Exam Questions NEW")</f>
        <v>AZ-300 Microsoft Azure Architect Practice Exam Questions NEW</v>
      </c>
    </row>
    <row r="11719">
      <c r="A11719" s="140" t="str">
        <f>IFERROR(__xludf.DUMMYFUNCTION("""COMPUTED_VALUE"""),"fr")</f>
        <v>fr</v>
      </c>
      <c r="B11719">
        <f>IFERROR(__xludf.DUMMYFUNCTION("""COMPUTED_VALUE"""),1538096.0)</f>
        <v>1538096</v>
      </c>
      <c r="C11719" t="str">
        <f>IFERROR(__xludf.DUMMYFUNCTION("""COMPUTED_VALUE"""),"RGPD - GDPR : Les fondamentaux sur la protection des données")</f>
        <v>RGPD - GDPR : Les fondamentaux sur la protection des données</v>
      </c>
    </row>
    <row r="11720">
      <c r="A11720" s="140" t="str">
        <f>IFERROR(__xludf.DUMMYFUNCTION("""COMPUTED_VALUE"""),"en")</f>
        <v>en</v>
      </c>
      <c r="B11720">
        <f>IFERROR(__xludf.DUMMYFUNCTION("""COMPUTED_VALUE"""),2834322.0)</f>
        <v>2834322</v>
      </c>
      <c r="C11720" t="str">
        <f>IFERROR(__xludf.DUMMYFUNCTION("""COMPUTED_VALUE"""),"TOTAL: Cloud Computing / CompTIA Cloud+ Cert. (CV0-002)")</f>
        <v>TOTAL: Cloud Computing / CompTIA Cloud+ Cert. (CV0-002)</v>
      </c>
    </row>
    <row r="11721">
      <c r="A11721" s="140" t="str">
        <f>IFERROR(__xludf.DUMMYFUNCTION("""COMPUTED_VALUE"""),"fr")</f>
        <v>fr</v>
      </c>
      <c r="B11721">
        <f>IFERROR(__xludf.DUMMYFUNCTION("""COMPUTED_VALUE"""),1114134.0)</f>
        <v>1114134</v>
      </c>
      <c r="C11721" t="str">
        <f>IFERROR(__xludf.DUMMYFUNCTION("""COMPUTED_VALUE"""),"Introduction au Machine Learning")</f>
        <v>Introduction au Machine Learning</v>
      </c>
    </row>
    <row r="11722">
      <c r="A11722" s="140" t="str">
        <f>IFERROR(__xludf.DUMMYFUNCTION("""COMPUTED_VALUE"""),"en")</f>
        <v>en</v>
      </c>
      <c r="B11722">
        <f>IFERROR(__xludf.DUMMYFUNCTION("""COMPUTED_VALUE"""),442872.0)</f>
        <v>442872</v>
      </c>
      <c r="C11722" t="str">
        <f>IFERROR(__xludf.DUMMYFUNCTION("""COMPUTED_VALUE"""),"Business Analysis: Data Flow Diagrams to Visualize Workflows")</f>
        <v>Business Analysis: Data Flow Diagrams to Visualize Workflows</v>
      </c>
    </row>
    <row r="11723">
      <c r="A11723" s="140" t="str">
        <f>IFERROR(__xludf.DUMMYFUNCTION("""COMPUTED_VALUE"""),"pt")</f>
        <v>pt</v>
      </c>
      <c r="B11723">
        <f>IFERROR(__xludf.DUMMYFUNCTION("""COMPUTED_VALUE"""),1107512.0)</f>
        <v>1107512</v>
      </c>
      <c r="C11723" t="str">
        <f>IFERROR(__xludf.DUMMYFUNCTION("""COMPUTED_VALUE"""),"Git Completo: Do Básico ao Avançado")</f>
        <v>Git Completo: Do Básico ao Avançado</v>
      </c>
    </row>
    <row r="11724">
      <c r="A11724" s="140" t="str">
        <f>IFERROR(__xludf.DUMMYFUNCTION("""COMPUTED_VALUE"""),"pt")</f>
        <v>pt</v>
      </c>
      <c r="B11724">
        <f>IFERROR(__xludf.DUMMYFUNCTION("""COMPUTED_VALUE"""),2618812.0)</f>
        <v>2618812</v>
      </c>
      <c r="C11724" t="str">
        <f>IFERROR(__xludf.DUMMYFUNCTION("""COMPUTED_VALUE"""),"Dart lang do básico ao avançado + Api Rest!")</f>
        <v>Dart lang do básico ao avançado + Api Rest!</v>
      </c>
    </row>
    <row r="11725">
      <c r="A11725" s="140" t="str">
        <f>IFERROR(__xludf.DUMMYFUNCTION("""COMPUTED_VALUE"""),"en")</f>
        <v>en</v>
      </c>
      <c r="B11725">
        <f>IFERROR(__xludf.DUMMYFUNCTION("""COMPUTED_VALUE"""),3770032.0)</f>
        <v>3770032</v>
      </c>
      <c r="C11725" t="str">
        <f>IFERROR(__xludf.DUMMYFUNCTION("""COMPUTED_VALUE"""),"CCNP,CCIE Security SCOR (350-701) Training Part-2/2")</f>
        <v>CCNP,CCIE Security SCOR (350-701) Training Part-2/2</v>
      </c>
    </row>
    <row r="11726">
      <c r="A11726" s="140" t="str">
        <f>IFERROR(__xludf.DUMMYFUNCTION("""COMPUTED_VALUE"""),"pt")</f>
        <v>pt</v>
      </c>
      <c r="B11726">
        <f>IFERROR(__xludf.DUMMYFUNCTION("""COMPUTED_VALUE"""),1880066.0)</f>
        <v>1880066</v>
      </c>
      <c r="C11726" t="str">
        <f>IFERROR(__xludf.DUMMYFUNCTION("""COMPUTED_VALUE"""),"Aprenda Machine Learning em Python com Scikit-learn")</f>
        <v>Aprenda Machine Learning em Python com Scikit-learn</v>
      </c>
    </row>
    <row r="11727">
      <c r="A11727" s="140" t="str">
        <f>IFERROR(__xludf.DUMMYFUNCTION("""COMPUTED_VALUE"""),"en")</f>
        <v>en</v>
      </c>
      <c r="B11727">
        <f>IFERROR(__xludf.DUMMYFUNCTION("""COMPUTED_VALUE"""),403072.0)</f>
        <v>403072</v>
      </c>
      <c r="C11727" t="str">
        <f>IFERROR(__xludf.DUMMYFUNCTION("""COMPUTED_VALUE"""),"Logistics for Management Consultants - a practical guide")</f>
        <v>Logistics for Management Consultants - a practical guide</v>
      </c>
    </row>
    <row r="11728">
      <c r="A11728" s="140" t="str">
        <f>IFERROR(__xludf.DUMMYFUNCTION("""COMPUTED_VALUE"""),"es")</f>
        <v>es</v>
      </c>
      <c r="B11728">
        <f>IFERROR(__xludf.DUMMYFUNCTION("""COMPUTED_VALUE"""),3677068.0)</f>
        <v>3677068</v>
      </c>
      <c r="C11728" t="str">
        <f>IFERROR(__xludf.DUMMYFUNCTION("""COMPUTED_VALUE"""),"Programador Autodidacta Node.js, TypeScript, TDD, Clean Code")</f>
        <v>Programador Autodidacta Node.js, TypeScript, TDD, Clean Code</v>
      </c>
    </row>
    <row r="11729">
      <c r="A11729" s="140" t="str">
        <f>IFERROR(__xludf.DUMMYFUNCTION("""COMPUTED_VALUE"""),"en")</f>
        <v>en</v>
      </c>
      <c r="B11729">
        <f>IFERROR(__xludf.DUMMYFUNCTION("""COMPUTED_VALUE"""),2296484.0)</f>
        <v>2296484</v>
      </c>
      <c r="C11729" t="str">
        <f>IFERROR(__xludf.DUMMYFUNCTION("""COMPUTED_VALUE"""),"Python 3: Deep Dive (Part 4 - OOP)")</f>
        <v>Python 3: Deep Dive (Part 4 - OOP)</v>
      </c>
    </row>
    <row r="11730">
      <c r="A11730" s="140" t="str">
        <f>IFERROR(__xludf.DUMMYFUNCTION("""COMPUTED_VALUE"""),"en")</f>
        <v>en</v>
      </c>
      <c r="B11730">
        <f>IFERROR(__xludf.DUMMYFUNCTION("""COMPUTED_VALUE"""),1343418.0)</f>
        <v>1343418</v>
      </c>
      <c r="C11730" t="str">
        <f>IFERROR(__xludf.DUMMYFUNCTION("""COMPUTED_VALUE"""),"Computer Science 101 - Computers &amp; Programming for Beginners")</f>
        <v>Computer Science 101 - Computers &amp; Programming for Beginners</v>
      </c>
    </row>
    <row r="11731">
      <c r="A11731" s="140" t="str">
        <f>IFERROR(__xludf.DUMMYFUNCTION("""COMPUTED_VALUE"""),"pt")</f>
        <v>pt</v>
      </c>
      <c r="B11731">
        <f>IFERROR(__xludf.DUMMYFUNCTION("""COMPUTED_VALUE"""),2098080.0)</f>
        <v>2098080</v>
      </c>
      <c r="C11731" t="str">
        <f>IFERROR(__xludf.DUMMYFUNCTION("""COMPUTED_VALUE"""),"Firebase para Android - Módulo III - Notificações")</f>
        <v>Firebase para Android - Módulo III - Notificações</v>
      </c>
    </row>
    <row r="11732">
      <c r="A11732" s="140" t="str">
        <f>IFERROR(__xludf.DUMMYFUNCTION("""COMPUTED_VALUE"""),"ja")</f>
        <v>ja</v>
      </c>
      <c r="B11732">
        <f>IFERROR(__xludf.DUMMYFUNCTION("""COMPUTED_VALUE"""),2800998.0)</f>
        <v>2800998</v>
      </c>
      <c r="C11732" t="str">
        <f>IFERROR(__xludf.DUMMYFUNCTION("""COMPUTED_VALUE"""),"Affinity Designer(アフィニティデザイナー) 超入門編★テキストと図形ツールを使った簡単ロゴ作成")</f>
        <v>Affinity Designer(アフィニティデザイナー) 超入門編★テキストと図形ツールを使った簡単ロゴ作成</v>
      </c>
    </row>
    <row r="11733">
      <c r="A11733" s="140" t="str">
        <f>IFERROR(__xludf.DUMMYFUNCTION("""COMPUTED_VALUE"""),"en")</f>
        <v>en</v>
      </c>
      <c r="B11733">
        <f>IFERROR(__xludf.DUMMYFUNCTION("""COMPUTED_VALUE"""),1032950.0)</f>
        <v>1032950</v>
      </c>
      <c r="C11733" t="str">
        <f>IFERROR(__xludf.DUMMYFUNCTION("""COMPUTED_VALUE"""),"After Effects for Entrepreneurs: 9 Practical Video Projects")</f>
        <v>After Effects for Entrepreneurs: 9 Practical Video Projects</v>
      </c>
    </row>
    <row r="11734">
      <c r="A11734" s="140" t="str">
        <f>IFERROR(__xludf.DUMMYFUNCTION("""COMPUTED_VALUE"""),"ar")</f>
        <v>ar</v>
      </c>
      <c r="B11734">
        <f>IFERROR(__xludf.DUMMYFUNCTION("""COMPUTED_VALUE"""),2450544.0)</f>
        <v>2450544</v>
      </c>
      <c r="C11734" t="str">
        <f>IFERROR(__xludf.DUMMYFUNCTION("""COMPUTED_VALUE"""),"Learn Laravel From Zero &amp; Build Awesome Project in Arabic.")</f>
        <v>Learn Laravel From Zero &amp; Build Awesome Project in Arabic.</v>
      </c>
    </row>
    <row r="11735">
      <c r="A11735" s="140" t="str">
        <f>IFERROR(__xludf.DUMMYFUNCTION("""COMPUTED_VALUE"""),"es")</f>
        <v>es</v>
      </c>
      <c r="B11735">
        <f>IFERROR(__xludf.DUMMYFUNCTION("""COMPUTED_VALUE"""),2235040.0)</f>
        <v>2235040</v>
      </c>
      <c r="C11735" t="str">
        <f>IFERROR(__xludf.DUMMYFUNCTION("""COMPUTED_VALUE"""),"Administración de Active Directory con Windows PowerShell")</f>
        <v>Administración de Active Directory con Windows PowerShell</v>
      </c>
    </row>
    <row r="11736">
      <c r="A11736" s="140" t="str">
        <f>IFERROR(__xludf.DUMMYFUNCTION("""COMPUTED_VALUE"""),"en")</f>
        <v>en</v>
      </c>
      <c r="B11736">
        <f>IFERROR(__xludf.DUMMYFUNCTION("""COMPUTED_VALUE"""),1247102.0)</f>
        <v>1247102</v>
      </c>
      <c r="C11736" t="str">
        <f>IFERROR(__xludf.DUMMYFUNCTION("""COMPUTED_VALUE"""),"Introduction to Sustainable Development Goals (SDGs)")</f>
        <v>Introduction to Sustainable Development Goals (SDGs)</v>
      </c>
    </row>
    <row r="11737">
      <c r="A11737" s="140" t="str">
        <f>IFERROR(__xludf.DUMMYFUNCTION("""COMPUTED_VALUE"""),"en")</f>
        <v>en</v>
      </c>
      <c r="B11737">
        <f>IFERROR(__xludf.DUMMYFUNCTION("""COMPUTED_VALUE"""),1764216.0)</f>
        <v>1764216</v>
      </c>
      <c r="C11737" t="str">
        <f>IFERROR(__xludf.DUMMYFUNCTION("""COMPUTED_VALUE"""),"Unit Testing and Test Driven Development in NodeJS")</f>
        <v>Unit Testing and Test Driven Development in NodeJS</v>
      </c>
    </row>
    <row r="11738">
      <c r="A11738" s="140" t="str">
        <f>IFERROR(__xludf.DUMMYFUNCTION("""COMPUTED_VALUE"""),"de")</f>
        <v>de</v>
      </c>
      <c r="B11738">
        <f>IFERROR(__xludf.DUMMYFUNCTION("""COMPUTED_VALUE"""),3206347.0)</f>
        <v>3206347</v>
      </c>
      <c r="C11738" t="str">
        <f>IFERROR(__xludf.DUMMYFUNCTION("""COMPUTED_VALUE"""),"Aktien &amp; ETF Grundlagenkurs")</f>
        <v>Aktien &amp; ETF Grundlagenkurs</v>
      </c>
    </row>
    <row r="11739">
      <c r="A11739" s="140" t="str">
        <f>IFERROR(__xludf.DUMMYFUNCTION("""COMPUTED_VALUE"""),"en")</f>
        <v>en</v>
      </c>
      <c r="B11739">
        <f>IFERROR(__xludf.DUMMYFUNCTION("""COMPUTED_VALUE"""),1407170.0)</f>
        <v>1407170</v>
      </c>
      <c r="C11739" t="str">
        <f>IFERROR(__xludf.DUMMYFUNCTION("""COMPUTED_VALUE"""),"Affinity Designer: The Complete Guide to Affinity Designer")</f>
        <v>Affinity Designer: The Complete Guide to Affinity Designer</v>
      </c>
    </row>
    <row r="11740">
      <c r="A11740" s="140" t="str">
        <f>IFERROR(__xludf.DUMMYFUNCTION("""COMPUTED_VALUE"""),"tr")</f>
        <v>tr</v>
      </c>
      <c r="B11740">
        <f>IFERROR(__xludf.DUMMYFUNCTION("""COMPUTED_VALUE"""),3092276.0)</f>
        <v>3092276</v>
      </c>
      <c r="C11740" t="str">
        <f>IFERROR(__xludf.DUMMYFUNCTION("""COMPUTED_VALUE"""),"İNŞAAT MÜHENDİSLİĞİNDE EXCEL VBA &amp; SAP2000 OAPI")</f>
        <v>İNŞAAT MÜHENDİSLİĞİNDE EXCEL VBA &amp; SAP2000 OAPI</v>
      </c>
    </row>
    <row r="11741">
      <c r="A11741" s="140" t="str">
        <f>IFERROR(__xludf.DUMMYFUNCTION("""COMPUTED_VALUE"""),"en")</f>
        <v>en</v>
      </c>
      <c r="B11741">
        <f>IFERROR(__xludf.DUMMYFUNCTION("""COMPUTED_VALUE"""),1265276.0)</f>
        <v>1265276</v>
      </c>
      <c r="C11741" t="str">
        <f>IFERROR(__xludf.DUMMYFUNCTION("""COMPUTED_VALUE"""),"OBIEE 12c Data Modeling Course")</f>
        <v>OBIEE 12c Data Modeling Course</v>
      </c>
    </row>
    <row r="11742">
      <c r="A11742" s="140" t="str">
        <f>IFERROR(__xludf.DUMMYFUNCTION("""COMPUTED_VALUE"""),"fr")</f>
        <v>fr</v>
      </c>
      <c r="B11742">
        <f>IFERROR(__xludf.DUMMYFUNCTION("""COMPUTED_VALUE"""),3712470.0)</f>
        <v>3712470</v>
      </c>
      <c r="C11742" t="str">
        <f>IFERROR(__xludf.DUMMYFUNCTION("""COMPUTED_VALUE"""),"Développeur C# | Formation complète 2021")</f>
        <v>Développeur C# | Formation complète 2021</v>
      </c>
    </row>
    <row r="11743">
      <c r="A11743" s="140" t="str">
        <f>IFERROR(__xludf.DUMMYFUNCTION("""COMPUTED_VALUE"""),"en")</f>
        <v>en</v>
      </c>
      <c r="B11743">
        <f>IFERROR(__xludf.DUMMYFUNCTION("""COMPUTED_VALUE"""),3143142.0)</f>
        <v>3143142</v>
      </c>
      <c r="C11743" t="str">
        <f>IFERROR(__xludf.DUMMYFUNCTION("""COMPUTED_VALUE"""),"The STATA OMNIBUS: Regression and Modelling with STATA")</f>
        <v>The STATA OMNIBUS: Regression and Modelling with STATA</v>
      </c>
    </row>
    <row r="11744">
      <c r="A11744" s="140" t="str">
        <f>IFERROR(__xludf.DUMMYFUNCTION("""COMPUTED_VALUE"""),"en")</f>
        <v>en</v>
      </c>
      <c r="B11744">
        <f>IFERROR(__xludf.DUMMYFUNCTION("""COMPUTED_VALUE"""),1183846.0)</f>
        <v>1183846</v>
      </c>
      <c r="C11744" t="str">
        <f>IFERROR(__xludf.DUMMYFUNCTION("""COMPUTED_VALUE"""),"Fusion 360 For Hobbyists and Woodworkers")</f>
        <v>Fusion 360 For Hobbyists and Woodworkers</v>
      </c>
    </row>
    <row r="11745">
      <c r="A11745" s="140" t="str">
        <f>IFERROR(__xludf.DUMMYFUNCTION("""COMPUTED_VALUE"""),"tr")</f>
        <v>tr</v>
      </c>
      <c r="B11745">
        <f>IFERROR(__xludf.DUMMYFUNCTION("""COMPUTED_VALUE"""),2694030.0)</f>
        <v>2694030</v>
      </c>
      <c r="C11745" t="str">
        <f>IFERROR(__xludf.DUMMYFUNCTION("""COMPUTED_VALUE"""),"Etik Hacker Olmak: Mobil Uygulamalar ve Telefonlar")</f>
        <v>Etik Hacker Olmak: Mobil Uygulamalar ve Telefonlar</v>
      </c>
    </row>
    <row r="11746">
      <c r="A11746" s="140" t="str">
        <f>IFERROR(__xludf.DUMMYFUNCTION("""COMPUTED_VALUE"""),"de")</f>
        <v>de</v>
      </c>
      <c r="B11746">
        <f>IFERROR(__xludf.DUMMYFUNCTION("""COMPUTED_VALUE"""),2858842.0)</f>
        <v>2858842</v>
      </c>
      <c r="C11746" t="str">
        <f>IFERROR(__xludf.DUMMYFUNCTION("""COMPUTED_VALUE"""),"Mehr Verkäufe über Social Media: Marketing für Anfänger")</f>
        <v>Mehr Verkäufe über Social Media: Marketing für Anfänger</v>
      </c>
    </row>
    <row r="11747">
      <c r="A11747" s="140" t="str">
        <f>IFERROR(__xludf.DUMMYFUNCTION("""COMPUTED_VALUE"""),"en")</f>
        <v>en</v>
      </c>
      <c r="B11747">
        <f>IFERROR(__xludf.DUMMYFUNCTION("""COMPUTED_VALUE"""),2998050.0)</f>
        <v>2998050</v>
      </c>
      <c r="C11747" t="str">
        <f>IFERROR(__xludf.DUMMYFUNCTION("""COMPUTED_VALUE"""),"Frazzled to Focused")</f>
        <v>Frazzled to Focused</v>
      </c>
    </row>
    <row r="11748">
      <c r="A11748" s="140" t="str">
        <f>IFERROR(__xludf.DUMMYFUNCTION("""COMPUTED_VALUE"""),"en")</f>
        <v>en</v>
      </c>
      <c r="B11748">
        <f>IFERROR(__xludf.DUMMYFUNCTION("""COMPUTED_VALUE"""),425086.0)</f>
        <v>425086</v>
      </c>
      <c r="C11748" t="str">
        <f>IFERROR(__xludf.DUMMYFUNCTION("""COMPUTED_VALUE"""),"Implementing a Data Warehouse with SQL Server 2012")</f>
        <v>Implementing a Data Warehouse with SQL Server 2012</v>
      </c>
    </row>
    <row r="11749">
      <c r="A11749" s="140" t="str">
        <f>IFERROR(__xludf.DUMMYFUNCTION("""COMPUTED_VALUE"""),"en")</f>
        <v>en</v>
      </c>
      <c r="B11749">
        <f>IFERROR(__xludf.DUMMYFUNCTION("""COMPUTED_VALUE"""),1914608.0)</f>
        <v>1914608</v>
      </c>
      <c r="C11749" t="str">
        <f>IFERROR(__xludf.DUMMYFUNCTION("""COMPUTED_VALUE"""),"College Level Advanced Linear Algebra! Theory &amp; Programming!")</f>
        <v>College Level Advanced Linear Algebra! Theory &amp; Programming!</v>
      </c>
    </row>
    <row r="11750">
      <c r="A11750" s="140" t="str">
        <f>IFERROR(__xludf.DUMMYFUNCTION("""COMPUTED_VALUE"""),"en")</f>
        <v>en</v>
      </c>
      <c r="B11750">
        <f>IFERROR(__xludf.DUMMYFUNCTION("""COMPUTED_VALUE"""),1349100.0)</f>
        <v>1349100</v>
      </c>
      <c r="C11750" t="str">
        <f>IFERROR(__xludf.DUMMYFUNCTION("""COMPUTED_VALUE"""),"Performance Management For Managers")</f>
        <v>Performance Management For Managers</v>
      </c>
    </row>
    <row r="11751">
      <c r="A11751" s="140" t="str">
        <f>IFERROR(__xludf.DUMMYFUNCTION("""COMPUTED_VALUE"""),"en")</f>
        <v>en</v>
      </c>
      <c r="B11751">
        <f>IFERROR(__xludf.DUMMYFUNCTION("""COMPUTED_VALUE"""),1659206.0)</f>
        <v>1659206</v>
      </c>
      <c r="C11751" t="str">
        <f>IFERROR(__xludf.DUMMYFUNCTION("""COMPUTED_VALUE"""),"Migrate from WordPress to Hugo, Step by Step")</f>
        <v>Migrate from WordPress to Hugo, Step by Step</v>
      </c>
    </row>
    <row r="11752">
      <c r="A11752" s="140" t="str">
        <f>IFERROR(__xludf.DUMMYFUNCTION("""COMPUTED_VALUE"""),"de")</f>
        <v>de</v>
      </c>
      <c r="B11752">
        <f>IFERROR(__xludf.DUMMYFUNCTION("""COMPUTED_VALUE"""),1782064.0)</f>
        <v>1782064</v>
      </c>
      <c r="C11752" t="str">
        <f>IFERROR(__xludf.DUMMYFUNCTION("""COMPUTED_VALUE"""),"Deep Learning: Generative Neuronale Netzwerke mit Python")</f>
        <v>Deep Learning: Generative Neuronale Netzwerke mit Python</v>
      </c>
    </row>
    <row r="11753">
      <c r="A11753" s="140" t="str">
        <f>IFERROR(__xludf.DUMMYFUNCTION("""COMPUTED_VALUE"""),"pt")</f>
        <v>pt</v>
      </c>
      <c r="B11753">
        <f>IFERROR(__xludf.DUMMYFUNCTION("""COMPUTED_VALUE"""),2974434.0)</f>
        <v>2974434</v>
      </c>
      <c r="C11753" t="str">
        <f>IFERROR(__xludf.DUMMYFUNCTION("""COMPUTED_VALUE"""),"Introdução ao Sistema Tributário Nacional")</f>
        <v>Introdução ao Sistema Tributário Nacional</v>
      </c>
    </row>
    <row r="11754">
      <c r="A11754" s="140" t="str">
        <f>IFERROR(__xludf.DUMMYFUNCTION("""COMPUTED_VALUE"""),"en")</f>
        <v>en</v>
      </c>
      <c r="B11754">
        <f>IFERROR(__xludf.DUMMYFUNCTION("""COMPUTED_VALUE"""),1379518.0)</f>
        <v>1379518</v>
      </c>
      <c r="C11754" t="str">
        <f>IFERROR(__xludf.DUMMYFUNCTION("""COMPUTED_VALUE"""),"Emotional Intelligence Training: EI in the Workplace")</f>
        <v>Emotional Intelligence Training: EI in the Workplace</v>
      </c>
    </row>
    <row r="11755">
      <c r="A11755" s="140" t="str">
        <f>IFERROR(__xludf.DUMMYFUNCTION("""COMPUTED_VALUE"""),"en")</f>
        <v>en</v>
      </c>
      <c r="B11755">
        <f>IFERROR(__xludf.DUMMYFUNCTION("""COMPUTED_VALUE"""),3868548.0)</f>
        <v>3868548</v>
      </c>
      <c r="C11755" t="str">
        <f>IFERROR(__xludf.DUMMYFUNCTION("""COMPUTED_VALUE"""),"Reactive Microservices with Spring WebFlux")</f>
        <v>Reactive Microservices with Spring WebFlux</v>
      </c>
    </row>
    <row r="11756">
      <c r="A11756" s="140" t="str">
        <f>IFERROR(__xludf.DUMMYFUNCTION("""COMPUTED_VALUE"""),"en")</f>
        <v>en</v>
      </c>
      <c r="B11756">
        <f>IFERROR(__xludf.DUMMYFUNCTION("""COMPUTED_VALUE"""),1236992.0)</f>
        <v>1236992</v>
      </c>
      <c r="C11756" t="str">
        <f>IFERROR(__xludf.DUMMYFUNCTION("""COMPUTED_VALUE"""),"Software Architecture: Meta and SOLID Principles in C#")</f>
        <v>Software Architecture: Meta and SOLID Principles in C#</v>
      </c>
    </row>
    <row r="11757">
      <c r="A11757" s="140" t="str">
        <f>IFERROR(__xludf.DUMMYFUNCTION("""COMPUTED_VALUE"""),"es")</f>
        <v>es</v>
      </c>
      <c r="B11757">
        <f>IFERROR(__xludf.DUMMYFUNCTION("""COMPUTED_VALUE"""),2158510.0)</f>
        <v>2158510</v>
      </c>
      <c r="C11757" t="str">
        <f>IFERROR(__xludf.DUMMYFUNCTION("""COMPUTED_VALUE"""),"Deep Learning e Inteligencia artificial con Keras/Tensorflow")</f>
        <v>Deep Learning e Inteligencia artificial con Keras/Tensorflow</v>
      </c>
    </row>
    <row r="11758">
      <c r="A11758" s="140" t="str">
        <f>IFERROR(__xludf.DUMMYFUNCTION("""COMPUTED_VALUE"""),"es")</f>
        <v>es</v>
      </c>
      <c r="B11758">
        <f>IFERROR(__xludf.DUMMYFUNCTION("""COMPUTED_VALUE"""),555162.0)</f>
        <v>555162</v>
      </c>
      <c r="C11758" t="str">
        <f>IFERROR(__xludf.DUMMYFUNCTION("""COMPUTED_VALUE"""),"Aprender Chino a la primera")</f>
        <v>Aprender Chino a la primera</v>
      </c>
    </row>
    <row r="11759">
      <c r="A11759" s="140" t="str">
        <f>IFERROR(__xludf.DUMMYFUNCTION("""COMPUTED_VALUE"""),"tr")</f>
        <v>tr</v>
      </c>
      <c r="B11759">
        <f>IFERROR(__xludf.DUMMYFUNCTION("""COMPUTED_VALUE"""),2989964.0)</f>
        <v>2989964</v>
      </c>
      <c r="C11759" t="str">
        <f>IFERROR(__xludf.DUMMYFUNCTION("""COMPUTED_VALUE"""),"Komple FullCalendar .Net Core MVC Randevu Sistemi Projesiyle")</f>
        <v>Komple FullCalendar .Net Core MVC Randevu Sistemi Projesiyle</v>
      </c>
    </row>
    <row r="11760">
      <c r="A11760" s="140" t="str">
        <f>IFERROR(__xludf.DUMMYFUNCTION("""COMPUTED_VALUE"""),"tr")</f>
        <v>tr</v>
      </c>
      <c r="B11760">
        <f>IFERROR(__xludf.DUMMYFUNCTION("""COMPUTED_VALUE"""),3080074.0)</f>
        <v>3080074</v>
      </c>
      <c r="C11760" t="str">
        <f>IFERROR(__xludf.DUMMYFUNCTION("""COMPUTED_VALUE"""),"Bootstrap 5 ile Premium Web Tasarım Proje Geliştirme Kursu")</f>
        <v>Bootstrap 5 ile Premium Web Tasarım Proje Geliştirme Kursu</v>
      </c>
    </row>
    <row r="11761">
      <c r="A11761" s="140" t="str">
        <f>IFERROR(__xludf.DUMMYFUNCTION("""COMPUTED_VALUE"""),"en")</f>
        <v>en</v>
      </c>
      <c r="B11761">
        <f>IFERROR(__xludf.DUMMYFUNCTION("""COMPUTED_VALUE"""),2374074.0)</f>
        <v>2374074</v>
      </c>
      <c r="C11761" t="str">
        <f>IFERROR(__xludf.DUMMYFUNCTION("""COMPUTED_VALUE"""),"Clear ECBA™ exam on your First try!")</f>
        <v>Clear ECBA™ exam on your First try!</v>
      </c>
    </row>
    <row r="11762">
      <c r="A11762" s="140" t="str">
        <f>IFERROR(__xludf.DUMMYFUNCTION("""COMPUTED_VALUE"""),"es")</f>
        <v>es</v>
      </c>
      <c r="B11762">
        <f>IFERROR(__xludf.DUMMYFUNCTION("""COMPUTED_VALUE"""),2889734.0)</f>
        <v>2889734</v>
      </c>
      <c r="C11762" t="str">
        <f>IFERROR(__xludf.DUMMYFUNCTION("""COMPUTED_VALUE"""),"React JS Desde Cero! Hooks, Redux, Context, Firebase y más!")</f>
        <v>React JS Desde Cero! Hooks, Redux, Context, Firebase y más!</v>
      </c>
    </row>
    <row r="11763">
      <c r="A11763" s="140" t="str">
        <f>IFERROR(__xludf.DUMMYFUNCTION("""COMPUTED_VALUE"""),"tr")</f>
        <v>tr</v>
      </c>
      <c r="B11763">
        <f>IFERROR(__xludf.DUMMYFUNCTION("""COMPUTED_VALUE"""),3210073.0)</f>
        <v>3210073</v>
      </c>
      <c r="C11763" t="str">
        <f>IFERROR(__xludf.DUMMYFUNCTION("""COMPUTED_VALUE"""),"Android ve iOS Mobil Uygulama Geliştirme:  Dart &amp; Flutter")</f>
        <v>Android ve iOS Mobil Uygulama Geliştirme:  Dart &amp; Flutter</v>
      </c>
    </row>
    <row r="11764">
      <c r="A11764" s="140" t="str">
        <f>IFERROR(__xludf.DUMMYFUNCTION("""COMPUTED_VALUE"""),"en")</f>
        <v>en</v>
      </c>
      <c r="B11764">
        <f>IFERROR(__xludf.DUMMYFUNCTION("""COMPUTED_VALUE"""),658766.0)</f>
        <v>658766</v>
      </c>
      <c r="C11764" t="str">
        <f>IFERROR(__xludf.DUMMYFUNCTION("""COMPUTED_VALUE"""),"Advanced Financial Management for CA/CMA/CFA/ACCA/CS/MBA")</f>
        <v>Advanced Financial Management for CA/CMA/CFA/ACCA/CS/MBA</v>
      </c>
    </row>
    <row r="11765">
      <c r="A11765" s="140" t="str">
        <f>IFERROR(__xludf.DUMMYFUNCTION("""COMPUTED_VALUE"""),"fr")</f>
        <v>fr</v>
      </c>
      <c r="B11765">
        <f>IFERROR(__xludf.DUMMYFUNCTION("""COMPUTED_VALUE"""),1548226.0)</f>
        <v>1548226</v>
      </c>
      <c r="C11765" t="str">
        <f>IFERROR(__xludf.DUMMYFUNCTION("""COMPUTED_VALUE"""),"Python avancé : aller plus loin")</f>
        <v>Python avancé : aller plus loin</v>
      </c>
    </row>
    <row r="11766">
      <c r="A11766" s="140" t="str">
        <f>IFERROR(__xludf.DUMMYFUNCTION("""COMPUTED_VALUE"""),"en")</f>
        <v>en</v>
      </c>
      <c r="B11766">
        <f>IFERROR(__xludf.DUMMYFUNCTION("""COMPUTED_VALUE"""),1686170.0)</f>
        <v>1686170</v>
      </c>
      <c r="C11766" t="str">
        <f>IFERROR(__xludf.DUMMYFUNCTION("""COMPUTED_VALUE"""),"Power BI Master Class - Dashboards and Power BI Service 2021")</f>
        <v>Power BI Master Class - Dashboards and Power BI Service 2021</v>
      </c>
    </row>
    <row r="11767">
      <c r="A11767" s="140" t="str">
        <f>IFERROR(__xludf.DUMMYFUNCTION("""COMPUTED_VALUE"""),"en")</f>
        <v>en</v>
      </c>
      <c r="B11767">
        <f>IFERROR(__xludf.DUMMYFUNCTION("""COMPUTED_VALUE"""),1153270.0)</f>
        <v>1153270</v>
      </c>
      <c r="C11767" t="str">
        <f>IFERROR(__xludf.DUMMYFUNCTION("""COMPUTED_VALUE"""),"JotForm Training")</f>
        <v>JotForm Training</v>
      </c>
    </row>
    <row r="11768">
      <c r="A11768" s="140" t="str">
        <f>IFERROR(__xludf.DUMMYFUNCTION("""COMPUTED_VALUE"""),"pt")</f>
        <v>pt</v>
      </c>
      <c r="B11768">
        <f>IFERROR(__xludf.DUMMYFUNCTION("""COMPUTED_VALUE"""),1835714.0)</f>
        <v>1835714</v>
      </c>
      <c r="C11768" t="str">
        <f>IFERROR(__xludf.DUMMYFUNCTION("""COMPUTED_VALUE"""),"Spring Boot &amp; MVC com AJAX")</f>
        <v>Spring Boot &amp; MVC com AJAX</v>
      </c>
    </row>
    <row r="11769">
      <c r="A11769" s="140" t="str">
        <f>IFERROR(__xludf.DUMMYFUNCTION("""COMPUTED_VALUE"""),"en")</f>
        <v>en</v>
      </c>
      <c r="B11769">
        <f>IFERROR(__xludf.DUMMYFUNCTION("""COMPUTED_VALUE"""),295705.0)</f>
        <v>295705</v>
      </c>
      <c r="C11769" t="str">
        <f>IFERROR(__xludf.DUMMYFUNCTION("""COMPUTED_VALUE"""),"SketchUp for Woodworkers: bring your designs to life in 3D")</f>
        <v>SketchUp for Woodworkers: bring your designs to life in 3D</v>
      </c>
    </row>
    <row r="11770">
      <c r="A11770" s="140" t="str">
        <f>IFERROR(__xludf.DUMMYFUNCTION("""COMPUTED_VALUE"""),"de")</f>
        <v>de</v>
      </c>
      <c r="B11770">
        <f>IFERROR(__xludf.DUMMYFUNCTION("""COMPUTED_VALUE"""),922108.0)</f>
        <v>922108</v>
      </c>
      <c r="C11770" t="str">
        <f>IFERROR(__xludf.DUMMYFUNCTION("""COMPUTED_VALUE"""),"Das Java - Bootcamp: Lerne Java für Hobby, Beruf &amp; Studium")</f>
        <v>Das Java - Bootcamp: Lerne Java für Hobby, Beruf &amp; Studium</v>
      </c>
    </row>
    <row r="11771">
      <c r="A11771" s="140" t="str">
        <f>IFERROR(__xludf.DUMMYFUNCTION("""COMPUTED_VALUE"""),"en")</f>
        <v>en</v>
      </c>
      <c r="B11771">
        <f>IFERROR(__xludf.DUMMYFUNCTION("""COMPUTED_VALUE"""),1238886.0)</f>
        <v>1238886</v>
      </c>
      <c r="C11771" t="str">
        <f>IFERROR(__xludf.DUMMYFUNCTION("""COMPUTED_VALUE"""),"Two popular tools -Easily Learn to work with Redis,Vagrant")</f>
        <v>Two popular tools -Easily Learn to work with Redis,Vagrant</v>
      </c>
    </row>
    <row r="11772">
      <c r="A11772" s="140" t="str">
        <f>IFERROR(__xludf.DUMMYFUNCTION("""COMPUTED_VALUE"""),"de")</f>
        <v>de</v>
      </c>
      <c r="B11772">
        <f>IFERROR(__xludf.DUMMYFUNCTION("""COMPUTED_VALUE"""),1343412.0)</f>
        <v>1343412</v>
      </c>
      <c r="C11772" t="str">
        <f>IFERROR(__xludf.DUMMYFUNCTION("""COMPUTED_VALUE"""),"Einführung in Informatik &amp; Programmierung für Anfänger")</f>
        <v>Einführung in Informatik &amp; Programmierung für Anfänger</v>
      </c>
    </row>
    <row r="11773">
      <c r="A11773" s="140" t="str">
        <f>IFERROR(__xludf.DUMMYFUNCTION("""COMPUTED_VALUE"""),"en")</f>
        <v>en</v>
      </c>
      <c r="B11773">
        <f>IFERROR(__xludf.DUMMYFUNCTION("""COMPUTED_VALUE"""),3674192.0)</f>
        <v>3674192</v>
      </c>
      <c r="C11773" t="str">
        <f>IFERROR(__xludf.DUMMYFUNCTION("""COMPUTED_VALUE"""),"Forecasting Models and Time Series for Business in R 2021")</f>
        <v>Forecasting Models and Time Series for Business in R 2021</v>
      </c>
    </row>
    <row r="11774">
      <c r="A11774" s="140" t="str">
        <f>IFERROR(__xludf.DUMMYFUNCTION("""COMPUTED_VALUE"""),"en")</f>
        <v>en</v>
      </c>
      <c r="B11774">
        <f>IFERROR(__xludf.DUMMYFUNCTION("""COMPUTED_VALUE"""),1410342.0)</f>
        <v>1410342</v>
      </c>
      <c r="C11774" t="str">
        <f>IFERROR(__xludf.DUMMYFUNCTION("""COMPUTED_VALUE"""),"TOTAL: CompTIA CySA+ (CS0-002) Practice Tests")</f>
        <v>TOTAL: CompTIA CySA+ (CS0-002) Practice Tests</v>
      </c>
    </row>
    <row r="11775">
      <c r="A11775" s="140" t="str">
        <f>IFERROR(__xludf.DUMMYFUNCTION("""COMPUTED_VALUE"""),"en")</f>
        <v>en</v>
      </c>
      <c r="B11775">
        <f>IFERROR(__xludf.DUMMYFUNCTION("""COMPUTED_VALUE"""),2502550.0)</f>
        <v>2502550</v>
      </c>
      <c r="C11775" t="str">
        <f>IFERROR(__xludf.DUMMYFUNCTION("""COMPUTED_VALUE"""),"Help Desk Professional: A guide to your IT career")</f>
        <v>Help Desk Professional: A guide to your IT career</v>
      </c>
    </row>
    <row r="11776">
      <c r="A11776" s="140" t="str">
        <f>IFERROR(__xludf.DUMMYFUNCTION("""COMPUTED_VALUE"""),"en")</f>
        <v>en</v>
      </c>
      <c r="B11776">
        <f>IFERROR(__xludf.DUMMYFUNCTION("""COMPUTED_VALUE"""),658286.0)</f>
        <v>658286</v>
      </c>
      <c r="C11776" t="str">
        <f>IFERROR(__xludf.DUMMYFUNCTION("""COMPUTED_VALUE"""),"Recursion, Backtracking and Dynamic Programming in Python")</f>
        <v>Recursion, Backtracking and Dynamic Programming in Python</v>
      </c>
    </row>
    <row r="11777">
      <c r="A11777" s="140" t="str">
        <f>IFERROR(__xludf.DUMMYFUNCTION("""COMPUTED_VALUE"""),"en")</f>
        <v>en</v>
      </c>
      <c r="B11777">
        <f>IFERROR(__xludf.DUMMYFUNCTION("""COMPUTED_VALUE"""),4087862.0)</f>
        <v>4087862</v>
      </c>
      <c r="C11777" t="str">
        <f>IFERROR(__xludf.DUMMYFUNCTION("""COMPUTED_VALUE"""),"GitLab Certified: CI/CD Specialist Practice Exam 2021")</f>
        <v>GitLab Certified: CI/CD Specialist Practice Exam 2021</v>
      </c>
    </row>
    <row r="11778">
      <c r="A11778" s="140" t="str">
        <f>IFERROR(__xludf.DUMMYFUNCTION("""COMPUTED_VALUE"""),"en")</f>
        <v>en</v>
      </c>
      <c r="B11778">
        <f>IFERROR(__xludf.DUMMYFUNCTION("""COMPUTED_VALUE"""),3890548.0)</f>
        <v>3890548</v>
      </c>
      <c r="C11778" t="str">
        <f>IFERROR(__xludf.DUMMYFUNCTION("""COMPUTED_VALUE"""),"Reverse Engineering: Ghidra For Beginners")</f>
        <v>Reverse Engineering: Ghidra For Beginners</v>
      </c>
    </row>
    <row r="11779">
      <c r="A11779" s="140" t="str">
        <f>IFERROR(__xludf.DUMMYFUNCTION("""COMPUTED_VALUE"""),"de")</f>
        <v>de</v>
      </c>
      <c r="B11779">
        <f>IFERROR(__xludf.DUMMYFUNCTION("""COMPUTED_VALUE"""),1122962.0)</f>
        <v>1122962</v>
      </c>
      <c r="C11779" t="str">
        <f>IFERROR(__xludf.DUMMYFUNCTION("""COMPUTED_VALUE"""),"Einführung in Datenbanken und SQL")</f>
        <v>Einführung in Datenbanken und SQL</v>
      </c>
    </row>
    <row r="11780">
      <c r="A11780" s="140" t="str">
        <f>IFERROR(__xludf.DUMMYFUNCTION("""COMPUTED_VALUE"""),"pt")</f>
        <v>pt</v>
      </c>
      <c r="B11780">
        <f>IFERROR(__xludf.DUMMYFUNCTION("""COMPUTED_VALUE"""),1616938.0)</f>
        <v>1616938</v>
      </c>
      <c r="C11780" t="str">
        <f>IFERROR(__xludf.DUMMYFUNCTION("""COMPUTED_VALUE"""),"Curso Web Design Completo: HTML5, CSS3 e JS + 5 Projetos")</f>
        <v>Curso Web Design Completo: HTML5, CSS3 e JS + 5 Projetos</v>
      </c>
    </row>
    <row r="11781">
      <c r="A11781" s="140" t="str">
        <f>IFERROR(__xludf.DUMMYFUNCTION("""COMPUTED_VALUE"""),"en")</f>
        <v>en</v>
      </c>
      <c r="B11781">
        <f>IFERROR(__xludf.DUMMYFUNCTION("""COMPUTED_VALUE"""),1616708.0)</f>
        <v>1616708</v>
      </c>
      <c r="C11781" t="str">
        <f>IFERROR(__xludf.DUMMYFUNCTION("""COMPUTED_VALUE"""),"RESTful Web Services, Java, Spring Boot, Spring MVC and JPA")</f>
        <v>RESTful Web Services, Java, Spring Boot, Spring MVC and JPA</v>
      </c>
    </row>
    <row r="11782">
      <c r="A11782" s="140" t="str">
        <f>IFERROR(__xludf.DUMMYFUNCTION("""COMPUTED_VALUE"""),"de")</f>
        <v>de</v>
      </c>
      <c r="B11782">
        <f>IFERROR(__xludf.DUMMYFUNCTION("""COMPUTED_VALUE"""),3096980.0)</f>
        <v>3096980</v>
      </c>
      <c r="C11782" t="str">
        <f>IFERROR(__xludf.DUMMYFUNCTION("""COMPUTED_VALUE"""),"Vertriebscontrolling mit Excel")</f>
        <v>Vertriebscontrolling mit Excel</v>
      </c>
    </row>
    <row r="11783">
      <c r="A11783" s="140" t="str">
        <f>IFERROR(__xludf.DUMMYFUNCTION("""COMPUTED_VALUE"""),"ja")</f>
        <v>ja</v>
      </c>
      <c r="B11783">
        <f>IFERROR(__xludf.DUMMYFUNCTION("""COMPUTED_VALUE"""),2619470.0)</f>
        <v>2619470</v>
      </c>
      <c r="C11783" t="str">
        <f>IFERROR(__xludf.DUMMYFUNCTION("""COMPUTED_VALUE"""),"Microsoft Excel Pivot Table 0 to Hero エクセル ピボット テーブル入門から実戦まで")</f>
        <v>Microsoft Excel Pivot Table 0 to Hero エクセル ピボット テーブル入門から実戦まで</v>
      </c>
    </row>
    <row r="11784">
      <c r="A11784" s="140" t="str">
        <f>IFERROR(__xludf.DUMMYFUNCTION("""COMPUTED_VALUE"""),"pt")</f>
        <v>pt</v>
      </c>
      <c r="B11784">
        <f>IFERROR(__xludf.DUMMYFUNCTION("""COMPUTED_VALUE"""),3194104.0)</f>
        <v>3194104</v>
      </c>
      <c r="C11784" t="str">
        <f>IFERROR(__xludf.DUMMYFUNCTION("""COMPUTED_VALUE"""),"DESIGN SPRINT: Curso Completo para Formação de Facilitadores")</f>
        <v>DESIGN SPRINT: Curso Completo para Formação de Facilitadores</v>
      </c>
    </row>
    <row r="11785">
      <c r="A11785" s="140" t="str">
        <f>IFERROR(__xludf.DUMMYFUNCTION("""COMPUTED_VALUE"""),"en")</f>
        <v>en</v>
      </c>
      <c r="B11785">
        <f>IFERROR(__xludf.DUMMYFUNCTION("""COMPUTED_VALUE"""),1433858.0)</f>
        <v>1433858</v>
      </c>
      <c r="C11785" t="str">
        <f>IFERROR(__xludf.DUMMYFUNCTION("""COMPUTED_VALUE"""),"The Complete SEO Bootcamp")</f>
        <v>The Complete SEO Bootcamp</v>
      </c>
    </row>
    <row r="11786">
      <c r="A11786" s="140" t="str">
        <f>IFERROR(__xludf.DUMMYFUNCTION("""COMPUTED_VALUE"""),"en")</f>
        <v>en</v>
      </c>
      <c r="B11786">
        <f>IFERROR(__xludf.DUMMYFUNCTION("""COMPUTED_VALUE"""),2796030.0)</f>
        <v>2796030</v>
      </c>
      <c r="C11786" t="str">
        <f>IFERROR(__xludf.DUMMYFUNCTION("""COMPUTED_VALUE"""),"Three.js and TypeScript")</f>
        <v>Three.js and TypeScript</v>
      </c>
    </row>
    <row r="11787">
      <c r="A11787" s="140" t="str">
        <f>IFERROR(__xludf.DUMMYFUNCTION("""COMPUTED_VALUE"""),"ja")</f>
        <v>ja</v>
      </c>
      <c r="B11787">
        <f>IFERROR(__xludf.DUMMYFUNCTION("""COMPUTED_VALUE"""),2986896.0)</f>
        <v>2986896</v>
      </c>
      <c r="C11787" t="str">
        <f>IFERROR(__xludf.DUMMYFUNCTION("""COMPUTED_VALUE"""),"プログラミング 学習を失敗させない科学的な方法【一生使える独学スキル＋プログラマーのマインドセットを2時間で習得！】")</f>
        <v>プログラミング 学習を失敗させない科学的な方法【一生使える独学スキル＋プログラマーのマインドセットを2時間で習得！】</v>
      </c>
    </row>
    <row r="11788">
      <c r="A11788" s="140" t="str">
        <f>IFERROR(__xludf.DUMMYFUNCTION("""COMPUTED_VALUE"""),"en")</f>
        <v>en</v>
      </c>
      <c r="B11788">
        <f>IFERROR(__xludf.DUMMYFUNCTION("""COMPUTED_VALUE"""),3349322.0)</f>
        <v>3349322</v>
      </c>
      <c r="C11788" t="str">
        <f>IFERROR(__xludf.DUMMYFUNCTION("""COMPUTED_VALUE"""),"Cryptocurrency Trading Bot with a User Interface in Python")</f>
        <v>Cryptocurrency Trading Bot with a User Interface in Python</v>
      </c>
    </row>
    <row r="11789">
      <c r="A11789" s="140" t="str">
        <f>IFERROR(__xludf.DUMMYFUNCTION("""COMPUTED_VALUE"""),"ja")</f>
        <v>ja</v>
      </c>
      <c r="B11789">
        <f>IFERROR(__xludf.DUMMYFUNCTION("""COMPUTED_VALUE"""),2550455.0)</f>
        <v>2550455</v>
      </c>
      <c r="C11789" t="str">
        <f>IFERROR(__xludf.DUMMYFUNCTION("""COMPUTED_VALUE"""),"【これだけでOK！】あらゆるビジネスに役立つ！はじめての実践マーケティング講座")</f>
        <v>【これだけでOK！】あらゆるビジネスに役立つ！はじめての実践マーケティング講座</v>
      </c>
    </row>
    <row r="11790">
      <c r="A11790" s="140" t="str">
        <f>IFERROR(__xludf.DUMMYFUNCTION("""COMPUTED_VALUE"""),"en")</f>
        <v>en</v>
      </c>
      <c r="B11790">
        <f>IFERROR(__xludf.DUMMYFUNCTION("""COMPUTED_VALUE"""),4056058.0)</f>
        <v>4056058</v>
      </c>
      <c r="C11790" t="str">
        <f>IFERROR(__xludf.DUMMYFUNCTION("""COMPUTED_VALUE"""),"Squarespace - Master Squarespace Web Design &amp; Work from Home")</f>
        <v>Squarespace - Master Squarespace Web Design &amp; Work from Home</v>
      </c>
    </row>
    <row r="11791">
      <c r="A11791" s="140" t="str">
        <f>IFERROR(__xludf.DUMMYFUNCTION("""COMPUTED_VALUE"""),"en")</f>
        <v>en</v>
      </c>
      <c r="B11791">
        <f>IFERROR(__xludf.DUMMYFUNCTION("""COMPUTED_VALUE"""),4056058.0)</f>
        <v>4056058</v>
      </c>
      <c r="C11791" t="str">
        <f>IFERROR(__xludf.DUMMYFUNCTION("""COMPUTED_VALUE"""),"Squarespace - Master Squarespace Web Design &amp; Work from Home")</f>
        <v>Squarespace - Master Squarespace Web Design &amp; Work from Home</v>
      </c>
    </row>
    <row r="11792">
      <c r="A11792" s="140" t="str">
        <f>IFERROR(__xludf.DUMMYFUNCTION("""COMPUTED_VALUE"""),"es")</f>
        <v>es</v>
      </c>
      <c r="B11792">
        <f>IFERROR(__xludf.DUMMYFUNCTION("""COMPUTED_VALUE"""),919422.0)</f>
        <v>919422</v>
      </c>
      <c r="C11792" t="str">
        <f>IFERROR(__xludf.DUMMYFUNCTION("""COMPUTED_VALUE"""),"SQL Server: domina lo necesario para el trabajo")</f>
        <v>SQL Server: domina lo necesario para el trabajo</v>
      </c>
    </row>
    <row r="11793">
      <c r="A11793" s="140" t="str">
        <f>IFERROR(__xludf.DUMMYFUNCTION("""COMPUTED_VALUE"""),"en")</f>
        <v>en</v>
      </c>
      <c r="B11793">
        <f>IFERROR(__xludf.DUMMYFUNCTION("""COMPUTED_VALUE"""),1832784.0)</f>
        <v>1832784</v>
      </c>
      <c r="C11793" t="str">
        <f>IFERROR(__xludf.DUMMYFUNCTION("""COMPUTED_VALUE"""),"Learn SAP OData Services Developments in 2 Hours")</f>
        <v>Learn SAP OData Services Developments in 2 Hours</v>
      </c>
    </row>
    <row r="11794">
      <c r="A11794" s="140" t="str">
        <f>IFERROR(__xludf.DUMMYFUNCTION("""COMPUTED_VALUE"""),"ja")</f>
        <v>ja</v>
      </c>
      <c r="B11794">
        <f>IFERROR(__xludf.DUMMYFUNCTION("""COMPUTED_VALUE"""),425352.0)</f>
        <v>425352</v>
      </c>
      <c r="C11794" t="str">
        <f>IFERROR(__xludf.DUMMYFUNCTION("""COMPUTED_VALUE"""),"１度会ったら忘れられない人になる！一流営業マンのコミュニケーション術（日本語字幕版）")</f>
        <v>１度会ったら忘れられない人になる！一流営業マンのコミュニケーション術（日本語字幕版）</v>
      </c>
    </row>
    <row r="11795">
      <c r="A11795" s="140" t="str">
        <f>IFERROR(__xludf.DUMMYFUNCTION("""COMPUTED_VALUE"""),"en")</f>
        <v>en</v>
      </c>
      <c r="B11795">
        <f>IFERROR(__xludf.DUMMYFUNCTION("""COMPUTED_VALUE"""),1139080.0)</f>
        <v>1139080</v>
      </c>
      <c r="C11795" t="str">
        <f>IFERROR(__xludf.DUMMYFUNCTION("""COMPUTED_VALUE"""),"Cisco - TCP/IP &amp; OSI Network Architecture Models")</f>
        <v>Cisco - TCP/IP &amp; OSI Network Architecture Models</v>
      </c>
    </row>
    <row r="11796">
      <c r="A11796" s="140" t="str">
        <f>IFERROR(__xludf.DUMMYFUNCTION("""COMPUTED_VALUE"""),"en")</f>
        <v>en</v>
      </c>
      <c r="B11796">
        <f>IFERROR(__xludf.DUMMYFUNCTION("""COMPUTED_VALUE"""),1592094.0)</f>
        <v>1592094</v>
      </c>
      <c r="C11796" t="str">
        <f>IFERROR(__xludf.DUMMYFUNCTION("""COMPUTED_VALUE"""),"MATLAB/SIMULINK Bible|Go From Zero to Hero!")</f>
        <v>MATLAB/SIMULINK Bible|Go From Zero to Hero!</v>
      </c>
    </row>
    <row r="11797">
      <c r="A11797" s="140" t="str">
        <f>IFERROR(__xludf.DUMMYFUNCTION("""COMPUTED_VALUE"""),"ko")</f>
        <v>ko</v>
      </c>
      <c r="B11797">
        <f>IFERROR(__xludf.DUMMYFUNCTION("""COMPUTED_VALUE"""),4291032.0)</f>
        <v>4291032</v>
      </c>
      <c r="C11797" t="str">
        <f>IFERROR(__xludf.DUMMYFUNCTION("""COMPUTED_VALUE"""),"인공지능 이해를 위한 머신러닝 기초 다지기 Part 2")</f>
        <v>인공지능 이해를 위한 머신러닝 기초 다지기 Part 2</v>
      </c>
    </row>
    <row r="11798">
      <c r="A11798" s="140" t="str">
        <f>IFERROR(__xludf.DUMMYFUNCTION("""COMPUTED_VALUE"""),"en")</f>
        <v>en</v>
      </c>
      <c r="B11798">
        <f>IFERROR(__xludf.DUMMYFUNCTION("""COMPUTED_VALUE"""),1248784.0)</f>
        <v>1248784</v>
      </c>
      <c r="C11798" t="str">
        <f>IFERROR(__xludf.DUMMYFUNCTION("""COMPUTED_VALUE"""),"REST API Testing, Automation using POSTMAN")</f>
        <v>REST API Testing, Automation using POSTMAN</v>
      </c>
    </row>
    <row r="11799">
      <c r="A11799" s="140" t="str">
        <f>IFERROR(__xludf.DUMMYFUNCTION("""COMPUTED_VALUE"""),"en")</f>
        <v>en</v>
      </c>
      <c r="B11799">
        <f>IFERROR(__xludf.DUMMYFUNCTION("""COMPUTED_VALUE"""),1743446.0)</f>
        <v>1743446</v>
      </c>
      <c r="C11799" t="str">
        <f>IFERROR(__xludf.DUMMYFUNCTION("""COMPUTED_VALUE"""),"27 GIMP 2.10 Projects + 547 GIMP Templates")</f>
        <v>27 GIMP 2.10 Projects + 547 GIMP Templates</v>
      </c>
    </row>
    <row r="11800">
      <c r="A11800" s="140" t="str">
        <f>IFERROR(__xludf.DUMMYFUNCTION("""COMPUTED_VALUE"""),"es")</f>
        <v>es</v>
      </c>
      <c r="B11800">
        <f>IFERROR(__xludf.DUMMYFUNCTION("""COMPUTED_VALUE"""),3229207.0)</f>
        <v>3229207</v>
      </c>
      <c r="C11800" t="str">
        <f>IFERROR(__xludf.DUMMYFUNCTION("""COMPUTED_VALUE"""),"Máster en Marketing Digital - Posiciona tu negocio en la web")</f>
        <v>Máster en Marketing Digital - Posiciona tu negocio en la web</v>
      </c>
    </row>
    <row r="11801">
      <c r="A11801" s="140" t="str">
        <f>IFERROR(__xludf.DUMMYFUNCTION("""COMPUTED_VALUE"""),"pt")</f>
        <v>pt</v>
      </c>
      <c r="B11801">
        <f>IFERROR(__xludf.DUMMYFUNCTION("""COMPUTED_VALUE"""),1209500.0)</f>
        <v>1209500</v>
      </c>
      <c r="C11801" t="str">
        <f>IFERROR(__xludf.DUMMYFUNCTION("""COMPUTED_VALUE"""),"Curso JavaScript Ninja")</f>
        <v>Curso JavaScript Ninja</v>
      </c>
    </row>
    <row r="11802">
      <c r="A11802" s="140" t="str">
        <f>IFERROR(__xludf.DUMMYFUNCTION("""COMPUTED_VALUE"""),"en")</f>
        <v>en</v>
      </c>
      <c r="B11802">
        <f>IFERROR(__xludf.DUMMYFUNCTION("""COMPUTED_VALUE"""),2323428.0)</f>
        <v>2323428</v>
      </c>
      <c r="C11802" t="str">
        <f>IFERROR(__xludf.DUMMYFUNCTION("""COMPUTED_VALUE"""),"System C/C++ Course on Linux Timers Implementation &amp; Design")</f>
        <v>System C/C++ Course on Linux Timers Implementation &amp; Design</v>
      </c>
    </row>
    <row r="11803">
      <c r="A11803" s="140" t="str">
        <f>IFERROR(__xludf.DUMMYFUNCTION("""COMPUTED_VALUE"""),"pt")</f>
        <v>pt</v>
      </c>
      <c r="B11803">
        <f>IFERROR(__xludf.DUMMYFUNCTION("""COMPUTED_VALUE"""),1650782.0)</f>
        <v>1650782</v>
      </c>
      <c r="C11803" t="str">
        <f>IFERROR(__xludf.DUMMYFUNCTION("""COMPUTED_VALUE"""),"Introdução à Estatística para Data Science em R -Casos Reais")</f>
        <v>Introdução à Estatística para Data Science em R -Casos Reais</v>
      </c>
    </row>
    <row r="11804">
      <c r="A11804" s="140" t="str">
        <f>IFERROR(__xludf.DUMMYFUNCTION("""COMPUTED_VALUE"""),"ja")</f>
        <v>ja</v>
      </c>
      <c r="B11804">
        <f>IFERROR(__xludf.DUMMYFUNCTION("""COMPUTED_VALUE"""),2845524.0)</f>
        <v>2845524</v>
      </c>
      <c r="C11804" t="str">
        <f>IFERROR(__xludf.DUMMYFUNCTION("""COMPUTED_VALUE"""),"JavaScriptをとことんやってみよう【超初心者から脱初心者へレベルアップ】【わかりやすさ重視】")</f>
        <v>JavaScriptをとことんやってみよう【超初心者から脱初心者へレベルアップ】【わかりやすさ重視】</v>
      </c>
    </row>
    <row r="11805">
      <c r="A11805" s="140" t="str">
        <f>IFERROR(__xludf.DUMMYFUNCTION("""COMPUTED_VALUE"""),"en")</f>
        <v>en</v>
      </c>
      <c r="B11805">
        <f>IFERROR(__xludf.DUMMYFUNCTION("""COMPUTED_VALUE"""),879532.0)</f>
        <v>879532</v>
      </c>
      <c r="C11805" t="str">
        <f>IFERROR(__xludf.DUMMYFUNCTION("""COMPUTED_VALUE"""),"Adobe Animate CC 2018 - HTML5 Banner Ads")</f>
        <v>Adobe Animate CC 2018 - HTML5 Banner Ads</v>
      </c>
    </row>
    <row r="11806">
      <c r="A11806" s="140" t="str">
        <f>IFERROR(__xludf.DUMMYFUNCTION("""COMPUTED_VALUE"""),"en")</f>
        <v>en</v>
      </c>
      <c r="B11806">
        <f>IFERROR(__xludf.DUMMYFUNCTION("""COMPUTED_VALUE"""),1049954.0)</f>
        <v>1049954</v>
      </c>
      <c r="C11806" t="str">
        <f>IFERROR(__xludf.DUMMYFUNCTION("""COMPUTED_VALUE"""),"Mastering LINQ with C# and .NET")</f>
        <v>Mastering LINQ with C# and .NET</v>
      </c>
    </row>
    <row r="11807">
      <c r="A11807" s="140" t="str">
        <f>IFERROR(__xludf.DUMMYFUNCTION("""COMPUTED_VALUE"""),"ja")</f>
        <v>ja</v>
      </c>
      <c r="B11807">
        <f>IFERROR(__xludf.DUMMYFUNCTION("""COMPUTED_VALUE"""),3479506.0)</f>
        <v>3479506</v>
      </c>
      <c r="C11807" t="str">
        <f>IFERROR(__xludf.DUMMYFUNCTION("""COMPUTED_VALUE"""),"ビジネススキルの底上げをしよう！ 社会を生き抜くための必須４つの力をまとめて学ぶ")</f>
        <v>ビジネススキルの底上げをしよう！ 社会を生き抜くための必須４つの力をまとめて学ぶ</v>
      </c>
    </row>
    <row r="11808">
      <c r="A11808" s="140" t="str">
        <f>IFERROR(__xludf.DUMMYFUNCTION("""COMPUTED_VALUE"""),"en")</f>
        <v>en</v>
      </c>
      <c r="B11808">
        <f>IFERROR(__xludf.DUMMYFUNCTION("""COMPUTED_VALUE"""),1480108.0)</f>
        <v>1480108</v>
      </c>
      <c r="C11808" t="str">
        <f>IFERROR(__xludf.DUMMYFUNCTION("""COMPUTED_VALUE"""),"The Complete ServiceNow System Administrator Course")</f>
        <v>The Complete ServiceNow System Administrator Course</v>
      </c>
    </row>
    <row r="11809">
      <c r="A11809" s="140" t="str">
        <f>IFERROR(__xludf.DUMMYFUNCTION("""COMPUTED_VALUE"""),"en")</f>
        <v>en</v>
      </c>
      <c r="B11809">
        <f>IFERROR(__xludf.DUMMYFUNCTION("""COMPUTED_VALUE"""),1754344.0)</f>
        <v>1754344</v>
      </c>
      <c r="C11809" t="str">
        <f>IFERROR(__xludf.DUMMYFUNCTION("""COMPUTED_VALUE"""),"Complete Fitness Trainer Certification: Beginner To Advanced")</f>
        <v>Complete Fitness Trainer Certification: Beginner To Advanced</v>
      </c>
    </row>
    <row r="11810">
      <c r="A11810" s="140" t="str">
        <f>IFERROR(__xludf.DUMMYFUNCTION("""COMPUTED_VALUE"""),"en")</f>
        <v>en</v>
      </c>
      <c r="B11810">
        <f>IFERROR(__xludf.DUMMYFUNCTION("""COMPUTED_VALUE"""),770336.0)</f>
        <v>770336</v>
      </c>
      <c r="C11810" t="str">
        <f>IFERROR(__xludf.DUMMYFUNCTION("""COMPUTED_VALUE"""),"Understanding Jira for users, managers and admins")</f>
        <v>Understanding Jira for users, managers and admins</v>
      </c>
    </row>
    <row r="11811">
      <c r="A11811" s="140" t="str">
        <f>IFERROR(__xludf.DUMMYFUNCTION("""COMPUTED_VALUE"""),"en")</f>
        <v>en</v>
      </c>
      <c r="B11811">
        <f>IFERROR(__xludf.DUMMYFUNCTION("""COMPUTED_VALUE"""),1568998.0)</f>
        <v>1568998</v>
      </c>
      <c r="C11811" t="str">
        <f>IFERROR(__xludf.DUMMYFUNCTION("""COMPUTED_VALUE"""),"Leadership: Growth Mindset for Leadership and Organizations")</f>
        <v>Leadership: Growth Mindset for Leadership and Organizations</v>
      </c>
    </row>
    <row r="11812">
      <c r="A11812" s="140" t="str">
        <f>IFERROR(__xludf.DUMMYFUNCTION("""COMPUTED_VALUE"""),"en")</f>
        <v>en</v>
      </c>
      <c r="B11812">
        <f>IFERROR(__xludf.DUMMYFUNCTION("""COMPUTED_VALUE"""),1446160.0)</f>
        <v>1446160</v>
      </c>
      <c r="C11812" t="str">
        <f>IFERROR(__xludf.DUMMYFUNCTION("""COMPUTED_VALUE"""),"Build Your Own RealTime OS (RTOS) From Ground Up™ on ARM 1")</f>
        <v>Build Your Own RealTime OS (RTOS) From Ground Up™ on ARM 1</v>
      </c>
    </row>
    <row r="11813">
      <c r="A11813" s="140" t="str">
        <f>IFERROR(__xludf.DUMMYFUNCTION("""COMPUTED_VALUE"""),"de")</f>
        <v>de</v>
      </c>
      <c r="B11813">
        <f>IFERROR(__xludf.DUMMYFUNCTION("""COMPUTED_VALUE"""),1579908.0)</f>
        <v>1579908</v>
      </c>
      <c r="C11813" t="str">
        <f>IFERROR(__xludf.DUMMYFUNCTION("""COMPUTED_VALUE"""),"ATEM - Achtsamkeits-Training für Entspannung und Meditation")</f>
        <v>ATEM - Achtsamkeits-Training für Entspannung und Meditation</v>
      </c>
    </row>
    <row r="11814">
      <c r="A11814" s="140" t="str">
        <f>IFERROR(__xludf.DUMMYFUNCTION("""COMPUTED_VALUE"""),"en")</f>
        <v>en</v>
      </c>
      <c r="B11814">
        <f>IFERROR(__xludf.DUMMYFUNCTION("""COMPUTED_VALUE"""),2470458.0)</f>
        <v>2470458</v>
      </c>
      <c r="C11814" t="str">
        <f>IFERROR(__xludf.DUMMYFUNCTION("""COMPUTED_VALUE"""),"Snowflake for Developers")</f>
        <v>Snowflake for Developers</v>
      </c>
    </row>
    <row r="11815">
      <c r="A11815" s="140" t="str">
        <f>IFERROR(__xludf.DUMMYFUNCTION("""COMPUTED_VALUE"""),"es")</f>
        <v>es</v>
      </c>
      <c r="B11815">
        <f>IFERROR(__xludf.DUMMYFUNCTION("""COMPUTED_VALUE"""),4088990.0)</f>
        <v>4088990</v>
      </c>
      <c r="C11815" t="str">
        <f>IFERROR(__xludf.DUMMYFUNCTION("""COMPUTED_VALUE"""),"Git y GitHub: Control de versiones de la A a la Z")</f>
        <v>Git y GitHub: Control de versiones de la A a la Z</v>
      </c>
    </row>
    <row r="11816">
      <c r="A11816" s="140" t="str">
        <f>IFERROR(__xludf.DUMMYFUNCTION("""COMPUTED_VALUE"""),"en")</f>
        <v>en</v>
      </c>
      <c r="B11816">
        <f>IFERROR(__xludf.DUMMYFUNCTION("""COMPUTED_VALUE"""),3311638.0)</f>
        <v>3311638</v>
      </c>
      <c r="C11816" t="str">
        <f>IFERROR(__xludf.DUMMYFUNCTION("""COMPUTED_VALUE"""),"UiPath RPA Associate Certification Exam Practice Questions")</f>
        <v>UiPath RPA Associate Certification Exam Practice Questions</v>
      </c>
    </row>
    <row r="11817">
      <c r="A11817" s="140" t="str">
        <f>IFERROR(__xludf.DUMMYFUNCTION("""COMPUTED_VALUE"""),"de")</f>
        <v>de</v>
      </c>
      <c r="B11817">
        <f>IFERROR(__xludf.DUMMYFUNCTION("""COMPUTED_VALUE"""),922108.0)</f>
        <v>922108</v>
      </c>
      <c r="C11817" t="str">
        <f>IFERROR(__xludf.DUMMYFUNCTION("""COMPUTED_VALUE"""),"Das Java - Bootcamp: Lerne Java für Hobby, Beruf &amp; Studium")</f>
        <v>Das Java - Bootcamp: Lerne Java für Hobby, Beruf &amp; Studium</v>
      </c>
    </row>
    <row r="11818">
      <c r="A11818" s="140" t="str">
        <f>IFERROR(__xludf.DUMMYFUNCTION("""COMPUTED_VALUE"""),"es")</f>
        <v>es</v>
      </c>
      <c r="B11818">
        <f>IFERROR(__xludf.DUMMYFUNCTION("""COMPUTED_VALUE"""),2382831.0)</f>
        <v>2382831</v>
      </c>
      <c r="C11818" t="str">
        <f>IFERROR(__xludf.DUMMYFUNCTION("""COMPUTED_VALUE"""),"Aprende a programar desde cero con C# de Microsoft .NET")</f>
        <v>Aprende a programar desde cero con C# de Microsoft .NET</v>
      </c>
    </row>
    <row r="11819">
      <c r="A11819" s="140" t="str">
        <f>IFERROR(__xludf.DUMMYFUNCTION("""COMPUTED_VALUE"""),"en")</f>
        <v>en</v>
      </c>
      <c r="B11819">
        <f>IFERROR(__xludf.DUMMYFUNCTION("""COMPUTED_VALUE"""),598520.0)</f>
        <v>598520</v>
      </c>
      <c r="C11819" t="str">
        <f>IFERROR(__xludf.DUMMYFUNCTION("""COMPUTED_VALUE"""),"Build Android Apps with App Inventor 2 - No Coding Required")</f>
        <v>Build Android Apps with App Inventor 2 - No Coding Required</v>
      </c>
    </row>
    <row r="11820">
      <c r="A11820" s="140" t="str">
        <f>IFERROR(__xludf.DUMMYFUNCTION("""COMPUTED_VALUE"""),"ja")</f>
        <v>ja</v>
      </c>
      <c r="B11820">
        <f>IFERROR(__xludf.DUMMYFUNCTION("""COMPUTED_VALUE"""),3091144.0)</f>
        <v>3091144</v>
      </c>
      <c r="C11820" t="str">
        <f>IFERROR(__xludf.DUMMYFUNCTION("""COMPUTED_VALUE"""),"ピーコックアンダーソンのプログラマー仕事の流儀")</f>
        <v>ピーコックアンダーソンのプログラマー仕事の流儀</v>
      </c>
    </row>
    <row r="11821">
      <c r="A11821" s="140" t="str">
        <f>IFERROR(__xludf.DUMMYFUNCTION("""COMPUTED_VALUE"""),"en")</f>
        <v>en</v>
      </c>
      <c r="B11821">
        <f>IFERROR(__xludf.DUMMYFUNCTION("""COMPUTED_VALUE"""),806710.0)</f>
        <v>806710</v>
      </c>
      <c r="C11821" t="str">
        <f>IFERROR(__xludf.DUMMYFUNCTION("""COMPUTED_VALUE"""),"Microsoft Excel for Project Management  - Earn 5 PDUs")</f>
        <v>Microsoft Excel for Project Management  - Earn 5 PDUs</v>
      </c>
    </row>
    <row r="11822">
      <c r="A11822" s="140" t="str">
        <f>IFERROR(__xludf.DUMMYFUNCTION("""COMPUTED_VALUE"""),"en")</f>
        <v>en</v>
      </c>
      <c r="B11822">
        <f>IFERROR(__xludf.DUMMYFUNCTION("""COMPUTED_VALUE"""),1325264.0)</f>
        <v>1325264</v>
      </c>
      <c r="C11822" t="str">
        <f>IFERROR(__xludf.DUMMYFUNCTION("""COMPUTED_VALUE"""),"Ultimate Guide to Digital Sketching: Beginner to Advanced")</f>
        <v>Ultimate Guide to Digital Sketching: Beginner to Advanced</v>
      </c>
    </row>
    <row r="11823">
      <c r="A11823" s="140" t="str">
        <f>IFERROR(__xludf.DUMMYFUNCTION("""COMPUTED_VALUE"""),"tr")</f>
        <v>tr</v>
      </c>
      <c r="B11823">
        <f>IFERROR(__xludf.DUMMYFUNCTION("""COMPUTED_VALUE"""),1466374.0)</f>
        <v>1466374</v>
      </c>
      <c r="C11823" t="str">
        <f>IFERROR(__xludf.DUMMYFUNCTION("""COMPUTED_VALUE"""),"WordPress İnternet Sitesi Kurmak: Blog, E-Ticaret, Kurumsal")</f>
        <v>WordPress İnternet Sitesi Kurmak: Blog, E-Ticaret, Kurumsal</v>
      </c>
    </row>
    <row r="11824">
      <c r="A11824" s="140" t="str">
        <f>IFERROR(__xludf.DUMMYFUNCTION("""COMPUTED_VALUE"""),"en")</f>
        <v>en</v>
      </c>
      <c r="B11824">
        <f>IFERROR(__xludf.DUMMYFUNCTION("""COMPUTED_VALUE"""),669558.0)</f>
        <v>669558</v>
      </c>
      <c r="C11824" t="str">
        <f>IFERROR(__xludf.DUMMYFUNCTION("""COMPUTED_VALUE"""),"Oracle Apps WMS and MSCA Training")</f>
        <v>Oracle Apps WMS and MSCA Training</v>
      </c>
    </row>
    <row r="11825">
      <c r="A11825" s="140" t="str">
        <f>IFERROR(__xludf.DUMMYFUNCTION("""COMPUTED_VALUE"""),"es")</f>
        <v>es</v>
      </c>
      <c r="B11825">
        <f>IFERROR(__xludf.DUMMYFUNCTION("""COMPUTED_VALUE"""),2967624.0)</f>
        <v>2967624</v>
      </c>
      <c r="C11825" t="str">
        <f>IFERROR(__xludf.DUMMYFUNCTION("""COMPUTED_VALUE"""),"Soft Skills para Recuperarte")</f>
        <v>Soft Skills para Recuperarte</v>
      </c>
    </row>
    <row r="11826">
      <c r="A11826" s="140" t="str">
        <f>IFERROR(__xludf.DUMMYFUNCTION("""COMPUTED_VALUE"""),"en")</f>
        <v>en</v>
      </c>
      <c r="B11826">
        <f>IFERROR(__xludf.DUMMYFUNCTION("""COMPUTED_VALUE"""),1102932.0)</f>
        <v>1102932</v>
      </c>
      <c r="C11826" t="str">
        <f>IFERROR(__xludf.DUMMYFUNCTION("""COMPUTED_VALUE"""),"Test Reporting - Know-How &amp; Templates for Test Managers")</f>
        <v>Test Reporting - Know-How &amp; Templates for Test Managers</v>
      </c>
    </row>
    <row r="11827">
      <c r="A11827" s="140" t="str">
        <f>IFERROR(__xludf.DUMMYFUNCTION("""COMPUTED_VALUE"""),"en")</f>
        <v>en</v>
      </c>
      <c r="B11827">
        <f>IFERROR(__xludf.DUMMYFUNCTION("""COMPUTED_VALUE"""),1707260.0)</f>
        <v>1707260</v>
      </c>
      <c r="C11827" t="str">
        <f>IFERROR(__xludf.DUMMYFUNCTION("""COMPUTED_VALUE"""),"Excel 101: Create Your Own CRM In Excel Masterclass")</f>
        <v>Excel 101: Create Your Own CRM In Excel Masterclass</v>
      </c>
    </row>
    <row r="11828">
      <c r="A11828" s="140" t="str">
        <f>IFERROR(__xludf.DUMMYFUNCTION("""COMPUTED_VALUE"""),"en")</f>
        <v>en</v>
      </c>
      <c r="B11828">
        <f>IFERROR(__xludf.DUMMYFUNCTION("""COMPUTED_VALUE"""),3054230.0)</f>
        <v>3054230</v>
      </c>
      <c r="C11828" t="str">
        <f>IFERROR(__xludf.DUMMYFUNCTION("""COMPUTED_VALUE"""),"Data Lake in AWS [New]")</f>
        <v>Data Lake in AWS [New]</v>
      </c>
    </row>
    <row r="11829">
      <c r="A11829" s="140" t="str">
        <f>IFERROR(__xludf.DUMMYFUNCTION("""COMPUTED_VALUE"""),"pt")</f>
        <v>pt</v>
      </c>
      <c r="B11829">
        <f>IFERROR(__xludf.DUMMYFUNCTION("""COMPUTED_VALUE"""),1652136.0)</f>
        <v>1652136</v>
      </c>
      <c r="C11829" t="str">
        <f>IFERROR(__xludf.DUMMYFUNCTION("""COMPUTED_VALUE"""),"Curso Completo de Adobe XD")</f>
        <v>Curso Completo de Adobe XD</v>
      </c>
    </row>
    <row r="11830">
      <c r="A11830" s="140" t="str">
        <f>IFERROR(__xludf.DUMMYFUNCTION("""COMPUTED_VALUE"""),"es")</f>
        <v>es</v>
      </c>
      <c r="B11830">
        <f>IFERROR(__xludf.DUMMYFUNCTION("""COMPUTED_VALUE"""),1461980.0)</f>
        <v>1461980</v>
      </c>
      <c r="C11830" t="str">
        <f>IFERROR(__xludf.DUMMYFUNCTION("""COMPUTED_VALUE"""),"MASTER en Autodesk MAYA | Aprende 3D de 0 a 100")</f>
        <v>MASTER en Autodesk MAYA | Aprende 3D de 0 a 100</v>
      </c>
    </row>
    <row r="11831">
      <c r="A11831" s="140" t="str">
        <f>IFERROR(__xludf.DUMMYFUNCTION("""COMPUTED_VALUE"""),"es")</f>
        <v>es</v>
      </c>
      <c r="B11831">
        <f>IFERROR(__xludf.DUMMYFUNCTION("""COMPUTED_VALUE"""),3339532.0)</f>
        <v>3339532</v>
      </c>
      <c r="C11831" t="str">
        <f>IFERROR(__xludf.DUMMYFUNCTION("""COMPUTED_VALUE"""),"Toma de evidencias en móviles con Android")</f>
        <v>Toma de evidencias en móviles con Android</v>
      </c>
    </row>
    <row r="11832">
      <c r="A11832" s="140" t="str">
        <f>IFERROR(__xludf.DUMMYFUNCTION("""COMPUTED_VALUE"""),"pt")</f>
        <v>pt</v>
      </c>
      <c r="B11832">
        <f>IFERROR(__xludf.DUMMYFUNCTION("""COMPUTED_VALUE"""),3735676.0)</f>
        <v>3735676</v>
      </c>
      <c r="C11832" t="str">
        <f>IFERROR(__xludf.DUMMYFUNCTION("""COMPUTED_VALUE"""),"Estratégia de Marketing - Aprenda a traçar a sua!")</f>
        <v>Estratégia de Marketing - Aprenda a traçar a sua!</v>
      </c>
    </row>
    <row r="11833">
      <c r="A11833" s="140" t="str">
        <f>IFERROR(__xludf.DUMMYFUNCTION("""COMPUTED_VALUE"""),"en")</f>
        <v>en</v>
      </c>
      <c r="B11833">
        <f>IFERROR(__xludf.DUMMYFUNCTION("""COMPUTED_VALUE"""),684420.0)</f>
        <v>684420</v>
      </c>
      <c r="C11833" t="str">
        <f>IFERROR(__xludf.DUMMYFUNCTION("""COMPUTED_VALUE"""),"Primal Learning - Join the Top 1% Fastest Learners")</f>
        <v>Primal Learning - Join the Top 1% Fastest Learners</v>
      </c>
    </row>
    <row r="11834">
      <c r="A11834" s="140" t="str">
        <f>IFERROR(__xludf.DUMMYFUNCTION("""COMPUTED_VALUE"""),"en")</f>
        <v>en</v>
      </c>
      <c r="B11834">
        <f>IFERROR(__xludf.DUMMYFUNCTION("""COMPUTED_VALUE"""),2517920.0)</f>
        <v>2517920</v>
      </c>
      <c r="C11834" t="str">
        <f>IFERROR(__xludf.DUMMYFUNCTION("""COMPUTED_VALUE"""),"TensorFlow 2.0 Practical Advanced")</f>
        <v>TensorFlow 2.0 Practical Advanced</v>
      </c>
    </row>
    <row r="11835">
      <c r="A11835" s="140" t="str">
        <f>IFERROR(__xludf.DUMMYFUNCTION("""COMPUTED_VALUE"""),"pt")</f>
        <v>pt</v>
      </c>
      <c r="B11835">
        <f>IFERROR(__xludf.DUMMYFUNCTION("""COMPUTED_VALUE"""),1115290.0)</f>
        <v>1115290</v>
      </c>
      <c r="C11835" t="str">
        <f>IFERROR(__xludf.DUMMYFUNCTION("""COMPUTED_VALUE"""),"Preparatório para Certificação Linux LPIC-1 | Atualizado V5")</f>
        <v>Preparatório para Certificação Linux LPIC-1 | Atualizado V5</v>
      </c>
    </row>
    <row r="11836">
      <c r="A11836" s="140" t="str">
        <f>IFERROR(__xludf.DUMMYFUNCTION("""COMPUTED_VALUE"""),"de")</f>
        <v>de</v>
      </c>
      <c r="B11836">
        <f>IFERROR(__xludf.DUMMYFUNCTION("""COMPUTED_VALUE"""),1648508.0)</f>
        <v>1648508</v>
      </c>
      <c r="C11836" t="str">
        <f>IFERROR(__xludf.DUMMYFUNCTION("""COMPUTED_VALUE"""),"⭐️[SMART PERFORMANCE] Erreiche deine Ziele &amp; lebe dein Leben")</f>
        <v>⭐️[SMART PERFORMANCE] Erreiche deine Ziele &amp; lebe dein Leben</v>
      </c>
    </row>
    <row r="11837">
      <c r="A11837" s="140" t="str">
        <f>IFERROR(__xludf.DUMMYFUNCTION("""COMPUTED_VALUE"""),"de")</f>
        <v>de</v>
      </c>
      <c r="B11837">
        <f>IFERROR(__xludf.DUMMYFUNCTION("""COMPUTED_VALUE"""),1607512.0)</f>
        <v>1607512</v>
      </c>
      <c r="C11837" t="str">
        <f>IFERROR(__xludf.DUMMYFUNCTION("""COMPUTED_VALUE"""),"Microsoft SSAS (Deutsch) - Cube-Erstellung + PowerBI Zugriff")</f>
        <v>Microsoft SSAS (Deutsch) - Cube-Erstellung + PowerBI Zugriff</v>
      </c>
    </row>
    <row r="11838">
      <c r="A11838" s="140" t="str">
        <f>IFERROR(__xludf.DUMMYFUNCTION("""COMPUTED_VALUE"""),"es")</f>
        <v>es</v>
      </c>
      <c r="B11838">
        <f>IFERROR(__xludf.DUMMYFUNCTION("""COMPUTED_VALUE"""),1608312.0)</f>
        <v>1608312</v>
      </c>
      <c r="C11838" t="str">
        <f>IFERROR(__xludf.DUMMYFUNCTION("""COMPUTED_VALUE"""),"CSS La Guía Completa - Flexbox, CSS Grid, SASS +20 proyectos")</f>
        <v>CSS La Guía Completa - Flexbox, CSS Grid, SASS +20 proyectos</v>
      </c>
    </row>
    <row r="11839">
      <c r="A11839" s="140" t="str">
        <f>IFERROR(__xludf.DUMMYFUNCTION("""COMPUTED_VALUE"""),"en")</f>
        <v>en</v>
      </c>
      <c r="B11839">
        <f>IFERROR(__xludf.DUMMYFUNCTION("""COMPUTED_VALUE"""),2390776.0)</f>
        <v>2390776</v>
      </c>
      <c r="C11839" t="str">
        <f>IFERROR(__xludf.DUMMYFUNCTION("""COMPUTED_VALUE"""),"Build a full-stack application in minutes with Node-RED")</f>
        <v>Build a full-stack application in minutes with Node-RED</v>
      </c>
    </row>
    <row r="11840">
      <c r="A11840" s="140" t="str">
        <f>IFERROR(__xludf.DUMMYFUNCTION("""COMPUTED_VALUE"""),"fr")</f>
        <v>fr</v>
      </c>
      <c r="B11840">
        <f>IFERROR(__xludf.DUMMYFUNCTION("""COMPUTED_VALUE"""),2437042.0)</f>
        <v>2437042</v>
      </c>
      <c r="C11840" t="str">
        <f>IFERROR(__xludf.DUMMYFUNCTION("""COMPUTED_VALUE"""),"Apprendre la programmation en C: cours complet")</f>
        <v>Apprendre la programmation en C: cours complet</v>
      </c>
    </row>
    <row r="11841">
      <c r="A11841" s="140" t="str">
        <f>IFERROR(__xludf.DUMMYFUNCTION("""COMPUTED_VALUE"""),"es")</f>
        <v>es</v>
      </c>
      <c r="B11841">
        <f>IFERROR(__xludf.DUMMYFUNCTION("""COMPUTED_VALUE"""),1996964.0)</f>
        <v>1996964</v>
      </c>
      <c r="C11841" t="str">
        <f>IFERROR(__xludf.DUMMYFUNCTION("""COMPUTED_VALUE"""),"Sistema de ventas Moderno con Visual Basic net y SQLserver")</f>
        <v>Sistema de ventas Moderno con Visual Basic net y SQLserver</v>
      </c>
    </row>
    <row r="11842">
      <c r="A11842" s="140" t="str">
        <f>IFERROR(__xludf.DUMMYFUNCTION("""COMPUTED_VALUE"""),"en")</f>
        <v>en</v>
      </c>
      <c r="B11842">
        <f>IFERROR(__xludf.DUMMYFUNCTION("""COMPUTED_VALUE"""),4152368.0)</f>
        <v>4152368</v>
      </c>
      <c r="C11842" t="str">
        <f>IFERROR(__xludf.DUMMYFUNCTION("""COMPUTED_VALUE"""),"The Ultimate Beginners Guide to Python Recommender Systems")</f>
        <v>The Ultimate Beginners Guide to Python Recommender Systems</v>
      </c>
    </row>
    <row r="11843">
      <c r="A11843" s="140" t="str">
        <f>IFERROR(__xludf.DUMMYFUNCTION("""COMPUTED_VALUE"""),"ja")</f>
        <v>ja</v>
      </c>
      <c r="B11843">
        <f>IFERROR(__xludf.DUMMYFUNCTION("""COMPUTED_VALUE"""),1586368.0)</f>
        <v>1586368</v>
      </c>
      <c r="C11843" t="str">
        <f>IFERROR(__xludf.DUMMYFUNCTION("""COMPUTED_VALUE"""),"ユニティちゃんが教える！初心者向けUnity講座")</f>
        <v>ユニティちゃんが教える！初心者向けUnity講座</v>
      </c>
    </row>
    <row r="11844">
      <c r="A11844" s="140" t="str">
        <f>IFERROR(__xludf.DUMMYFUNCTION("""COMPUTED_VALUE"""),"pt")</f>
        <v>pt</v>
      </c>
      <c r="B11844">
        <f>IFERROR(__xludf.DUMMYFUNCTION("""COMPUTED_VALUE"""),2208962.0)</f>
        <v>2208962</v>
      </c>
      <c r="C11844" t="str">
        <f>IFERROR(__xludf.DUMMYFUNCTION("""COMPUTED_VALUE"""),"Contabilidade do Zero a Profissional")</f>
        <v>Contabilidade do Zero a Profissional</v>
      </c>
    </row>
    <row r="11845">
      <c r="A11845" s="140" t="str">
        <f>IFERROR(__xludf.DUMMYFUNCTION("""COMPUTED_VALUE"""),"en")</f>
        <v>en</v>
      </c>
      <c r="B11845">
        <f>IFERROR(__xludf.DUMMYFUNCTION("""COMPUTED_VALUE"""),425522.0)</f>
        <v>425522</v>
      </c>
      <c r="C11845" t="str">
        <f>IFERROR(__xludf.DUMMYFUNCTION("""COMPUTED_VALUE"""),"Learn VHDL and FPGA Development")</f>
        <v>Learn VHDL and FPGA Development</v>
      </c>
    </row>
    <row r="11846">
      <c r="A11846" s="140" t="str">
        <f>IFERROR(__xludf.DUMMYFUNCTION("""COMPUTED_VALUE"""),"es")</f>
        <v>es</v>
      </c>
      <c r="B11846">
        <f>IFERROR(__xludf.DUMMYFUNCTION("""COMPUTED_VALUE"""),1868882.0)</f>
        <v>1868882</v>
      </c>
      <c r="C11846" t="str">
        <f>IFERROR(__xludf.DUMMYFUNCTION("""COMPUTED_VALUE"""),"Negociación Creativa - El Modelo de Negociación de Harvard")</f>
        <v>Negociación Creativa - El Modelo de Negociación de Harvard</v>
      </c>
    </row>
    <row r="11847">
      <c r="A11847" s="140" t="str">
        <f>IFERROR(__xludf.DUMMYFUNCTION("""COMPUTED_VALUE"""),"tr")</f>
        <v>tr</v>
      </c>
      <c r="B11847">
        <f>IFERROR(__xludf.DUMMYFUNCTION("""COMPUTED_VALUE"""),2966906.0)</f>
        <v>2966906</v>
      </c>
      <c r="C11847" t="str">
        <f>IFERROR(__xludf.DUMMYFUNCTION("""COMPUTED_VALUE"""),"Trade Map ile İhracatta Pazar Analizi ve Hedef Pazar Tespiti")</f>
        <v>Trade Map ile İhracatta Pazar Analizi ve Hedef Pazar Tespiti</v>
      </c>
    </row>
    <row r="11848">
      <c r="A11848" s="140" t="str">
        <f>IFERROR(__xludf.DUMMYFUNCTION("""COMPUTED_VALUE"""),"en")</f>
        <v>en</v>
      </c>
      <c r="B11848">
        <f>IFERROR(__xludf.DUMMYFUNCTION("""COMPUTED_VALUE"""),3475488.0)</f>
        <v>3475488</v>
      </c>
      <c r="C11848" t="str">
        <f>IFERROR(__xludf.DUMMYFUNCTION("""COMPUTED_VALUE"""),"Clear and Simple VMware vSphere 7 Professional VCP 2V0-21.20")</f>
        <v>Clear and Simple VMware vSphere 7 Professional VCP 2V0-21.20</v>
      </c>
    </row>
    <row r="11849">
      <c r="A11849" s="140" t="str">
        <f>IFERROR(__xludf.DUMMYFUNCTION("""COMPUTED_VALUE"""),"en")</f>
        <v>en</v>
      </c>
      <c r="B11849">
        <f>IFERROR(__xludf.DUMMYFUNCTION("""COMPUTED_VALUE"""),1322058.0)</f>
        <v>1322058</v>
      </c>
      <c r="C11849" t="str">
        <f>IFERROR(__xludf.DUMMYFUNCTION("""COMPUTED_VALUE"""),"Big Data with Apache Spark and AWS")</f>
        <v>Big Data with Apache Spark and AWS</v>
      </c>
    </row>
    <row r="11850">
      <c r="A11850" s="140" t="str">
        <f>IFERROR(__xludf.DUMMYFUNCTION("""COMPUTED_VALUE"""),"tr")</f>
        <v>tr</v>
      </c>
      <c r="B11850">
        <f>IFERROR(__xludf.DUMMYFUNCTION("""COMPUTED_VALUE"""),1250906.0)</f>
        <v>1250906</v>
      </c>
      <c r="C11850" t="str">
        <f>IFERROR(__xludf.DUMMYFUNCTION("""COMPUTED_VALUE"""),"SQL Server Veritabanı Programlama: Tüm Seviyeler [+Kitap]")</f>
        <v>SQL Server Veritabanı Programlama: Tüm Seviyeler [+Kitap]</v>
      </c>
    </row>
    <row r="11851">
      <c r="A11851" s="140" t="str">
        <f>IFERROR(__xludf.DUMMYFUNCTION("""COMPUTED_VALUE"""),"en")</f>
        <v>en</v>
      </c>
      <c r="B11851">
        <f>IFERROR(__xludf.DUMMYFUNCTION("""COMPUTED_VALUE"""),1151924.0)</f>
        <v>1151924</v>
      </c>
      <c r="C11851" t="str">
        <f>IFERROR(__xludf.DUMMYFUNCTION("""COMPUTED_VALUE"""),"Mastering Camtasia Studio 9 and Camtasia Mac 3 Preview")</f>
        <v>Mastering Camtasia Studio 9 and Camtasia Mac 3 Preview</v>
      </c>
    </row>
    <row r="11852">
      <c r="A11852" s="140" t="str">
        <f>IFERROR(__xludf.DUMMYFUNCTION("""COMPUTED_VALUE"""),"es")</f>
        <v>es</v>
      </c>
      <c r="B11852">
        <f>IFERROR(__xludf.DUMMYFUNCTION("""COMPUTED_VALUE"""),2153962.0)</f>
        <v>2153962</v>
      </c>
      <c r="C11852" t="str">
        <f>IFERROR(__xludf.DUMMYFUNCTION("""COMPUTED_VALUE"""),"Servidores en Microsoft Azure (usando IaaS)")</f>
        <v>Servidores en Microsoft Azure (usando IaaS)</v>
      </c>
    </row>
    <row r="11853">
      <c r="A11853" s="140" t="str">
        <f>IFERROR(__xludf.DUMMYFUNCTION("""COMPUTED_VALUE"""),"en")</f>
        <v>en</v>
      </c>
      <c r="B11853">
        <f>IFERROR(__xludf.DUMMYFUNCTION("""COMPUTED_VALUE"""),1178762.0)</f>
        <v>1178762</v>
      </c>
      <c r="C11853" t="str">
        <f>IFERROR(__xludf.DUMMYFUNCTION("""COMPUTED_VALUE"""),"Complete WordPress Theme &amp; Plugin Development Course [2021]")</f>
        <v>Complete WordPress Theme &amp; Plugin Development Course [2021]</v>
      </c>
    </row>
    <row r="11854">
      <c r="A11854" s="140" t="str">
        <f>IFERROR(__xludf.DUMMYFUNCTION("""COMPUTED_VALUE"""),"en")</f>
        <v>en</v>
      </c>
      <c r="B11854">
        <f>IFERROR(__xludf.DUMMYFUNCTION("""COMPUTED_VALUE"""),1961414.0)</f>
        <v>1961414</v>
      </c>
      <c r="C11854" t="str">
        <f>IFERROR(__xludf.DUMMYFUNCTION("""COMPUTED_VALUE"""),"Intro To PostgreSQL Databases With PgAdmin For Beginners")</f>
        <v>Intro To PostgreSQL Databases With PgAdmin For Beginners</v>
      </c>
    </row>
    <row r="11855">
      <c r="A11855" s="140" t="str">
        <f>IFERROR(__xludf.DUMMYFUNCTION("""COMPUTED_VALUE"""),"en")</f>
        <v>en</v>
      </c>
      <c r="B11855">
        <f>IFERROR(__xludf.DUMMYFUNCTION("""COMPUTED_VALUE"""),1021274.0)</f>
        <v>1021274</v>
      </c>
      <c r="C11855" t="str">
        <f>IFERROR(__xludf.DUMMYFUNCTION("""COMPUTED_VALUE"""),"A Beginner's Guide to Trans 101")</f>
        <v>A Beginner's Guide to Trans 101</v>
      </c>
    </row>
    <row r="11856">
      <c r="A11856" s="140" t="str">
        <f>IFERROR(__xludf.DUMMYFUNCTION("""COMPUTED_VALUE"""),"en")</f>
        <v>en</v>
      </c>
      <c r="B11856">
        <f>IFERROR(__xludf.DUMMYFUNCTION("""COMPUTED_VALUE"""),2546773.0)</f>
        <v>2546773</v>
      </c>
      <c r="C11856" t="str">
        <f>IFERROR(__xludf.DUMMYFUNCTION("""COMPUTED_VALUE"""),"The Complete Daily Positive Habits Building Course")</f>
        <v>The Complete Daily Positive Habits Building Course</v>
      </c>
    </row>
    <row r="11857">
      <c r="A11857" s="140" t="str">
        <f>IFERROR(__xludf.DUMMYFUNCTION("""COMPUTED_VALUE"""),"es")</f>
        <v>es</v>
      </c>
      <c r="B11857">
        <f>IFERROR(__xludf.DUMMYFUNCTION("""COMPUTED_VALUE"""),2756642.0)</f>
        <v>2756642</v>
      </c>
      <c r="C11857" t="str">
        <f>IFERROR(__xludf.DUMMYFUNCTION("""COMPUTED_VALUE"""),"Master en ASP.NET Core 3.1 y 5 MVC - Entity Framework")</f>
        <v>Master en ASP.NET Core 3.1 y 5 MVC - Entity Framework</v>
      </c>
    </row>
    <row r="11858">
      <c r="A11858" s="140" t="str">
        <f>IFERROR(__xludf.DUMMYFUNCTION("""COMPUTED_VALUE"""),"en")</f>
        <v>en</v>
      </c>
      <c r="B11858">
        <f>IFERROR(__xludf.DUMMYFUNCTION("""COMPUTED_VALUE"""),498706.0)</f>
        <v>498706</v>
      </c>
      <c r="C11858" t="str">
        <f>IFERROR(__xludf.DUMMYFUNCTION("""COMPUTED_VALUE"""),"Efficient Java Multithreading and Concurrency with Executors")</f>
        <v>Efficient Java Multithreading and Concurrency with Executors</v>
      </c>
    </row>
    <row r="11859">
      <c r="A11859" s="140" t="str">
        <f>IFERROR(__xludf.DUMMYFUNCTION("""COMPUTED_VALUE"""),"en")</f>
        <v>en</v>
      </c>
      <c r="B11859">
        <f>IFERROR(__xludf.DUMMYFUNCTION("""COMPUTED_VALUE"""),1289030.0)</f>
        <v>1289030</v>
      </c>
      <c r="C11859" t="str">
        <f>IFERROR(__xludf.DUMMYFUNCTION("""COMPUTED_VALUE"""),"Business Continuity Management System. ISO 22301.")</f>
        <v>Business Continuity Management System. ISO 22301.</v>
      </c>
    </row>
    <row r="11860">
      <c r="A11860" s="140" t="str">
        <f>IFERROR(__xludf.DUMMYFUNCTION("""COMPUTED_VALUE"""),"en")</f>
        <v>en</v>
      </c>
      <c r="B11860">
        <f>IFERROR(__xludf.DUMMYFUNCTION("""COMPUTED_VALUE"""),2436018.0)</f>
        <v>2436018</v>
      </c>
      <c r="C11860" t="str">
        <f>IFERROR(__xludf.DUMMYFUNCTION("""COMPUTED_VALUE"""),"CCNP SECURITY - SVPN 300-730 PART 2/3")</f>
        <v>CCNP SECURITY - SVPN 300-730 PART 2/3</v>
      </c>
    </row>
    <row r="11861">
      <c r="A11861" s="140" t="str">
        <f>IFERROR(__xludf.DUMMYFUNCTION("""COMPUTED_VALUE"""),"tr")</f>
        <v>tr</v>
      </c>
      <c r="B11861">
        <f>IFERROR(__xludf.DUMMYFUNCTION("""COMPUTED_VALUE"""),1421488.0)</f>
        <v>1421488</v>
      </c>
      <c r="C11861" t="str">
        <f>IFERROR(__xludf.DUMMYFUNCTION("""COMPUTED_VALUE"""),"Komple Sıfırdan Adım Adım JQuery ile Harika Web Projeleri")</f>
        <v>Komple Sıfırdan Adım Adım JQuery ile Harika Web Projeleri</v>
      </c>
    </row>
    <row r="11862">
      <c r="A11862" s="140" t="str">
        <f>IFERROR(__xludf.DUMMYFUNCTION("""COMPUTED_VALUE"""),"en")</f>
        <v>en</v>
      </c>
      <c r="B11862">
        <f>IFERROR(__xludf.DUMMYFUNCTION("""COMPUTED_VALUE"""),312466.0)</f>
        <v>312466</v>
      </c>
      <c r="C11862" t="str">
        <f>IFERROR(__xludf.DUMMYFUNCTION("""COMPUTED_VALUE"""),"Master Personality Power For Influence And Success")</f>
        <v>Master Personality Power For Influence And Success</v>
      </c>
    </row>
    <row r="11863">
      <c r="A11863" s="140" t="str">
        <f>IFERROR(__xludf.DUMMYFUNCTION("""COMPUTED_VALUE"""),"ja")</f>
        <v>ja</v>
      </c>
      <c r="B11863">
        <f>IFERROR(__xludf.DUMMYFUNCTION("""COMPUTED_VALUE"""),2389204.0)</f>
        <v>2389204</v>
      </c>
      <c r="C11863" t="str">
        <f>IFERROR(__xludf.DUMMYFUNCTION("""COMPUTED_VALUE"""),"アジャイル・プロジェクトマネジメント短期集中講座")</f>
        <v>アジャイル・プロジェクトマネジメント短期集中講座</v>
      </c>
    </row>
    <row r="11864">
      <c r="A11864" s="140" t="str">
        <f>IFERROR(__xludf.DUMMYFUNCTION("""COMPUTED_VALUE"""),"en")</f>
        <v>en</v>
      </c>
      <c r="B11864">
        <f>IFERROR(__xludf.DUMMYFUNCTION("""COMPUTED_VALUE"""),1846756.0)</f>
        <v>1846756</v>
      </c>
      <c r="C11864" t="str">
        <f>IFERROR(__xludf.DUMMYFUNCTION("""COMPUTED_VALUE"""),"Introduction to Blockchain with Industry Applications")</f>
        <v>Introduction to Blockchain with Industry Applications</v>
      </c>
    </row>
    <row r="11865">
      <c r="A11865" s="140" t="str">
        <f>IFERROR(__xludf.DUMMYFUNCTION("""COMPUTED_VALUE"""),"en")</f>
        <v>en</v>
      </c>
      <c r="B11865">
        <f>IFERROR(__xludf.DUMMYFUNCTION("""COMPUTED_VALUE"""),1899738.0)</f>
        <v>1899738</v>
      </c>
      <c r="C11865" t="str">
        <f>IFERROR(__xludf.DUMMYFUNCTION("""COMPUTED_VALUE"""),"Performance Testing using TruWeb")</f>
        <v>Performance Testing using TruWeb</v>
      </c>
    </row>
    <row r="11866">
      <c r="A11866" s="140" t="str">
        <f>IFERROR(__xludf.DUMMYFUNCTION("""COMPUTED_VALUE"""),"en")</f>
        <v>en</v>
      </c>
      <c r="B11866">
        <f>IFERROR(__xludf.DUMMYFUNCTION("""COMPUTED_VALUE"""),675336.0)</f>
        <v>675336</v>
      </c>
      <c r="C11866" t="str">
        <f>IFERROR(__xludf.DUMMYFUNCTION("""COMPUTED_VALUE"""),"Robot Framework Test Automation - Saucelabs Integration")</f>
        <v>Robot Framework Test Automation - Saucelabs Integration</v>
      </c>
    </row>
    <row r="11867">
      <c r="A11867" s="140" t="str">
        <f>IFERROR(__xludf.DUMMYFUNCTION("""COMPUTED_VALUE"""),"en")</f>
        <v>en</v>
      </c>
      <c r="B11867">
        <f>IFERROR(__xludf.DUMMYFUNCTION("""COMPUTED_VALUE"""),2544521.0)</f>
        <v>2544521</v>
      </c>
      <c r="C11867" t="str">
        <f>IFERROR(__xludf.DUMMYFUNCTION("""COMPUTED_VALUE"""),"Microsoft Powerapps Essential Training 2021")</f>
        <v>Microsoft Powerapps Essential Training 2021</v>
      </c>
    </row>
    <row r="11868">
      <c r="A11868" s="140" t="str">
        <f>IFERROR(__xludf.DUMMYFUNCTION("""COMPUTED_VALUE"""),"tr")</f>
        <v>tr</v>
      </c>
      <c r="B11868">
        <f>IFERROR(__xludf.DUMMYFUNCTION("""COMPUTED_VALUE"""),3124082.0)</f>
        <v>3124082</v>
      </c>
      <c r="C11868" t="str">
        <f>IFERROR(__xludf.DUMMYFUNCTION("""COMPUTED_VALUE"""),"Python ile Sıfırdan İleri Seviye Programlama 2021")</f>
        <v>Python ile Sıfırdan İleri Seviye Programlama 2021</v>
      </c>
    </row>
    <row r="11869">
      <c r="A11869" s="140" t="str">
        <f>IFERROR(__xludf.DUMMYFUNCTION("""COMPUTED_VALUE"""),"en")</f>
        <v>en</v>
      </c>
      <c r="B11869">
        <f>IFERROR(__xludf.DUMMYFUNCTION("""COMPUTED_VALUE"""),835426.0)</f>
        <v>835426</v>
      </c>
      <c r="C11869" t="str">
        <f>IFERROR(__xludf.DUMMYFUNCTION("""COMPUTED_VALUE"""),"Create Dynamic Forms HTML CSS JavaScript and jQueryUI")</f>
        <v>Create Dynamic Forms HTML CSS JavaScript and jQueryUI</v>
      </c>
    </row>
    <row r="11870">
      <c r="A11870" s="140" t="str">
        <f>IFERROR(__xludf.DUMMYFUNCTION("""COMPUTED_VALUE"""),"en")</f>
        <v>en</v>
      </c>
      <c r="B11870">
        <f>IFERROR(__xludf.DUMMYFUNCTION("""COMPUTED_VALUE"""),1562668.0)</f>
        <v>1562668</v>
      </c>
      <c r="C11870" t="str">
        <f>IFERROR(__xludf.DUMMYFUNCTION("""COMPUTED_VALUE"""),"Apache Kafka Series - Kafka Security | SSL SASL Kerberos ACL")</f>
        <v>Apache Kafka Series - Kafka Security | SSL SASL Kerberos ACL</v>
      </c>
    </row>
    <row r="11871">
      <c r="A11871" s="140" t="str">
        <f>IFERROR(__xludf.DUMMYFUNCTION("""COMPUTED_VALUE"""),"fr")</f>
        <v>fr</v>
      </c>
      <c r="B11871">
        <f>IFERROR(__xludf.DUMMYFUNCTION("""COMPUTED_VALUE"""),2423398.0)</f>
        <v>2423398</v>
      </c>
      <c r="C11871" t="str">
        <f>IFERROR(__xludf.DUMMYFUNCTION("""COMPUTED_VALUE"""),"Devenir opérationnel rapidement en Vue et Vuex")</f>
        <v>Devenir opérationnel rapidement en Vue et Vuex</v>
      </c>
    </row>
    <row r="11872">
      <c r="A11872" s="140" t="str">
        <f>IFERROR(__xludf.DUMMYFUNCTION("""COMPUTED_VALUE"""),"tr")</f>
        <v>tr</v>
      </c>
      <c r="B11872">
        <f>IFERROR(__xludf.DUMMYFUNCTION("""COMPUTED_VALUE"""),2893556.0)</f>
        <v>2893556</v>
      </c>
      <c r="C11872" t="str">
        <f>IFERROR(__xludf.DUMMYFUNCTION("""COMPUTED_VALUE"""),"Arduino Programlama-Robotik-Elektronik Devreler-3D Printer")</f>
        <v>Arduino Programlama-Robotik-Elektronik Devreler-3D Printer</v>
      </c>
    </row>
    <row r="11873">
      <c r="A11873" s="140" t="str">
        <f>IFERROR(__xludf.DUMMYFUNCTION("""COMPUTED_VALUE"""),"pt")</f>
        <v>pt</v>
      </c>
      <c r="B11873">
        <f>IFERROR(__xludf.DUMMYFUNCTION("""COMPUTED_VALUE"""),1691694.0)</f>
        <v>1691694</v>
      </c>
      <c r="C11873" t="str">
        <f>IFERROR(__xludf.DUMMYFUNCTION("""COMPUTED_VALUE"""),"Aprenda Javascript, jQuery,  Ajax e Json do Zero na Prática")</f>
        <v>Aprenda Javascript, jQuery,  Ajax e Json do Zero na Prática</v>
      </c>
    </row>
    <row r="11874">
      <c r="A11874" s="140" t="str">
        <f>IFERROR(__xludf.DUMMYFUNCTION("""COMPUTED_VALUE"""),"en")</f>
        <v>en</v>
      </c>
      <c r="B11874">
        <f>IFERROR(__xludf.DUMMYFUNCTION("""COMPUTED_VALUE"""),1850796.0)</f>
        <v>1850796</v>
      </c>
      <c r="C11874" t="str">
        <f>IFERROR(__xludf.DUMMYFUNCTION("""COMPUTED_VALUE"""),"Ethical Hacking:Network Fundamentals &amp; Network Layer Attacks")</f>
        <v>Ethical Hacking:Network Fundamentals &amp; Network Layer Attacks</v>
      </c>
    </row>
    <row r="11875">
      <c r="A11875" s="140" t="str">
        <f>IFERROR(__xludf.DUMMYFUNCTION("""COMPUTED_VALUE"""),"pt")</f>
        <v>pt</v>
      </c>
      <c r="B11875">
        <f>IFERROR(__xludf.DUMMYFUNCTION("""COMPUTED_VALUE"""),3677142.0)</f>
        <v>3677142</v>
      </c>
      <c r="C11875" t="str">
        <f>IFERROR(__xludf.DUMMYFUNCTION("""COMPUTED_VALUE"""),"Power BI | Para Projetos")</f>
        <v>Power BI | Para Projetos</v>
      </c>
    </row>
    <row r="11876">
      <c r="A11876" s="140" t="str">
        <f>IFERROR(__xludf.DUMMYFUNCTION("""COMPUTED_VALUE"""),"pt")</f>
        <v>pt</v>
      </c>
      <c r="B11876">
        <f>IFERROR(__xludf.DUMMYFUNCTION("""COMPUTED_VALUE"""),596812.0)</f>
        <v>596812</v>
      </c>
      <c r="C11876" t="str">
        <f>IFERROR(__xludf.DUMMYFUNCTION("""COMPUTED_VALUE"""),"Gestão de Projetos - Avançado")</f>
        <v>Gestão de Projetos - Avançado</v>
      </c>
    </row>
    <row r="11877">
      <c r="A11877" s="140" t="str">
        <f>IFERROR(__xludf.DUMMYFUNCTION("""COMPUTED_VALUE"""),"fr")</f>
        <v>fr</v>
      </c>
      <c r="B11877">
        <f>IFERROR(__xludf.DUMMYFUNCTION("""COMPUTED_VALUE"""),2852716.0)</f>
        <v>2852716</v>
      </c>
      <c r="C11877" t="str">
        <f>IFERROR(__xludf.DUMMYFUNCTION("""COMPUTED_VALUE"""),"CCNA6 : 24 travaux pratiques (LAB) sur Packet Tracer")</f>
        <v>CCNA6 : 24 travaux pratiques (LAB) sur Packet Tracer</v>
      </c>
    </row>
    <row r="11878">
      <c r="A11878" s="140" t="str">
        <f>IFERROR(__xludf.DUMMYFUNCTION("""COMPUTED_VALUE"""),"ar")</f>
        <v>ar</v>
      </c>
      <c r="B11878">
        <f>IFERROR(__xludf.DUMMYFUNCTION("""COMPUTED_VALUE"""),2806313.0)</f>
        <v>2806313</v>
      </c>
      <c r="C11878" t="str">
        <f>IFERROR(__xludf.DUMMYFUNCTION("""COMPUTED_VALUE"""),"فن البيع")</f>
        <v>فن البيع</v>
      </c>
    </row>
    <row r="11879">
      <c r="A11879" s="140" t="str">
        <f>IFERROR(__xludf.DUMMYFUNCTION("""COMPUTED_VALUE"""),"en")</f>
        <v>en</v>
      </c>
      <c r="B11879">
        <f>IFERROR(__xludf.DUMMYFUNCTION("""COMPUTED_VALUE"""),2699024.0)</f>
        <v>2699024</v>
      </c>
      <c r="C11879" t="str">
        <f>IFERROR(__xludf.DUMMYFUNCTION("""COMPUTED_VALUE"""),"AWS Cloud Security: Learn to Protect &amp; Defend your resources")</f>
        <v>AWS Cloud Security: Learn to Protect &amp; Defend your resources</v>
      </c>
    </row>
    <row r="11880">
      <c r="A11880" s="140" t="str">
        <f>IFERROR(__xludf.DUMMYFUNCTION("""COMPUTED_VALUE"""),"en")</f>
        <v>en</v>
      </c>
      <c r="B11880">
        <f>IFERROR(__xludf.DUMMYFUNCTION("""COMPUTED_VALUE"""),752950.0)</f>
        <v>752950</v>
      </c>
      <c r="C11880" t="str">
        <f>IFERROR(__xludf.DUMMYFUNCTION("""COMPUTED_VALUE"""),"GitHub Ultimate: Master Git and GitHub - Beginner to Expert")</f>
        <v>GitHub Ultimate: Master Git and GitHub - Beginner to Expert</v>
      </c>
    </row>
    <row r="11881">
      <c r="A11881" s="140" t="str">
        <f>IFERROR(__xludf.DUMMYFUNCTION("""COMPUTED_VALUE"""),"en")</f>
        <v>en</v>
      </c>
      <c r="B11881">
        <f>IFERROR(__xludf.DUMMYFUNCTION("""COMPUTED_VALUE"""),573984.0)</f>
        <v>573984</v>
      </c>
      <c r="C11881" t="str">
        <f>IFERROR(__xludf.DUMMYFUNCTION("""COMPUTED_VALUE"""),"Social Media Marketing MASTERY | Learn Ads on 10+ Platforms")</f>
        <v>Social Media Marketing MASTERY | Learn Ads on 10+ Platforms</v>
      </c>
    </row>
    <row r="11882">
      <c r="A11882" s="140" t="str">
        <f>IFERROR(__xludf.DUMMYFUNCTION("""COMPUTED_VALUE"""),"en")</f>
        <v>en</v>
      </c>
      <c r="B11882">
        <f>IFERROR(__xludf.DUMMYFUNCTION("""COMPUTED_VALUE"""),2015944.0)</f>
        <v>2015944</v>
      </c>
      <c r="C11882" t="str">
        <f>IFERROR(__xludf.DUMMYFUNCTION("""COMPUTED_VALUE"""),"Rigging and Animating in Adobe Animate")</f>
        <v>Rigging and Animating in Adobe Animate</v>
      </c>
    </row>
    <row r="11883">
      <c r="A11883" s="140" t="str">
        <f>IFERROR(__xludf.DUMMYFUNCTION("""COMPUTED_VALUE"""),"en")</f>
        <v>en</v>
      </c>
      <c r="B11883">
        <f>IFERROR(__xludf.DUMMYFUNCTION("""COMPUTED_VALUE"""),700540.0)</f>
        <v>700540</v>
      </c>
      <c r="C11883" t="str">
        <f>IFERROR(__xludf.DUMMYFUNCTION("""COMPUTED_VALUE"""),"SQL Server Administration Part 2")</f>
        <v>SQL Server Administration Part 2</v>
      </c>
    </row>
    <row r="11884">
      <c r="A11884" s="140" t="str">
        <f>IFERROR(__xludf.DUMMYFUNCTION("""COMPUTED_VALUE"""),"ar")</f>
        <v>ar</v>
      </c>
      <c r="B11884">
        <f>IFERROR(__xludf.DUMMYFUNCTION("""COMPUTED_VALUE"""),2478258.0)</f>
        <v>2478258</v>
      </c>
      <c r="C11884" t="str">
        <f>IFERROR(__xludf.DUMMYFUNCTION("""COMPUTED_VALUE"""),"تعلم لغة HTML5 من الصفر")</f>
        <v>تعلم لغة HTML5 من الصفر</v>
      </c>
    </row>
    <row r="11885">
      <c r="A11885" s="140" t="str">
        <f>IFERROR(__xludf.DUMMYFUNCTION("""COMPUTED_VALUE"""),"en")</f>
        <v>en</v>
      </c>
      <c r="B11885">
        <f>IFERROR(__xludf.DUMMYFUNCTION("""COMPUTED_VALUE"""),2050241.0)</f>
        <v>2050241</v>
      </c>
      <c r="C11885" t="str">
        <f>IFERROR(__xludf.DUMMYFUNCTION("""COMPUTED_VALUE"""),"Career Navigator: A Manager's Guide to Career Development")</f>
        <v>Career Navigator: A Manager's Guide to Career Development</v>
      </c>
    </row>
    <row r="11886">
      <c r="A11886" s="140" t="str">
        <f>IFERROR(__xludf.DUMMYFUNCTION("""COMPUTED_VALUE"""),"es")</f>
        <v>es</v>
      </c>
      <c r="B11886">
        <f>IFERROR(__xludf.DUMMYFUNCTION("""COMPUTED_VALUE"""),826602.0)</f>
        <v>826602</v>
      </c>
      <c r="C11886" t="str">
        <f>IFERROR(__xludf.DUMMYFUNCTION("""COMPUTED_VALUE"""),"SEO para Wordpress; guía completa de configuración")</f>
        <v>SEO para Wordpress; guía completa de configuración</v>
      </c>
    </row>
    <row r="11887">
      <c r="A11887" s="140" t="str">
        <f>IFERROR(__xludf.DUMMYFUNCTION("""COMPUTED_VALUE"""),"en")</f>
        <v>en</v>
      </c>
      <c r="B11887">
        <f>IFERROR(__xludf.DUMMYFUNCTION("""COMPUTED_VALUE"""),2428530.0)</f>
        <v>2428530</v>
      </c>
      <c r="C11887" t="str">
        <f>IFERROR(__xludf.DUMMYFUNCTION("""COMPUTED_VALUE"""),"Automotive 102: Battery, Charging System &amp; Starting System")</f>
        <v>Automotive 102: Battery, Charging System &amp; Starting System</v>
      </c>
    </row>
    <row r="11888">
      <c r="A11888" s="140" t="str">
        <f>IFERROR(__xludf.DUMMYFUNCTION("""COMPUTED_VALUE"""),"en")</f>
        <v>en</v>
      </c>
      <c r="B11888">
        <f>IFERROR(__xludf.DUMMYFUNCTION("""COMPUTED_VALUE"""),2789348.0)</f>
        <v>2789348</v>
      </c>
      <c r="C11888" t="str">
        <f>IFERROR(__xludf.DUMMYFUNCTION("""COMPUTED_VALUE"""),"Ultimate AWS Certified Solutions Architect Professional 2021")</f>
        <v>Ultimate AWS Certified Solutions Architect Professional 2021</v>
      </c>
    </row>
    <row r="11889">
      <c r="A11889" s="140" t="str">
        <f>IFERROR(__xludf.DUMMYFUNCTION("""COMPUTED_VALUE"""),"en")</f>
        <v>en</v>
      </c>
      <c r="B11889">
        <f>IFERROR(__xludf.DUMMYFUNCTION("""COMPUTED_VALUE"""),3733378.0)</f>
        <v>3733378</v>
      </c>
      <c r="C11889" t="str">
        <f>IFERROR(__xludf.DUMMYFUNCTION("""COMPUTED_VALUE"""),"CEH v11 312-50: Certified Ethical Hacker Practice Exams. NEW")</f>
        <v>CEH v11 312-50: Certified Ethical Hacker Practice Exams. NEW</v>
      </c>
    </row>
    <row r="11890">
      <c r="A11890" s="140" t="str">
        <f>IFERROR(__xludf.DUMMYFUNCTION("""COMPUTED_VALUE"""),"en")</f>
        <v>en</v>
      </c>
      <c r="B11890">
        <f>IFERROR(__xludf.DUMMYFUNCTION("""COMPUTED_VALUE"""),1096130.0)</f>
        <v>1096130</v>
      </c>
      <c r="C11890" t="str">
        <f>IFERROR(__xludf.DUMMYFUNCTION("""COMPUTED_VALUE"""),"200+ PL/SQL Interview Questions")</f>
        <v>200+ PL/SQL Interview Questions</v>
      </c>
    </row>
    <row r="11891">
      <c r="A11891" s="140" t="str">
        <f>IFERROR(__xludf.DUMMYFUNCTION("""COMPUTED_VALUE"""),"tr")</f>
        <v>tr</v>
      </c>
      <c r="B11891">
        <f>IFERROR(__xludf.DUMMYFUNCTION("""COMPUTED_VALUE"""),3796436.0)</f>
        <v>3796436</v>
      </c>
      <c r="C11891" t="str">
        <f>IFERROR(__xludf.DUMMYFUNCTION("""COMPUTED_VALUE"""),"Temel Analiz Eğitimi ve Borsa Akademisi")</f>
        <v>Temel Analiz Eğitimi ve Borsa Akademisi</v>
      </c>
    </row>
    <row r="11892">
      <c r="A11892" s="140" t="str">
        <f>IFERROR(__xludf.DUMMYFUNCTION("""COMPUTED_VALUE"""),"en")</f>
        <v>en</v>
      </c>
      <c r="B11892">
        <f>IFERROR(__xludf.DUMMYFUNCTION("""COMPUTED_VALUE"""),963970.0)</f>
        <v>963970</v>
      </c>
      <c r="C11892" t="str">
        <f>IFERROR(__xludf.DUMMYFUNCTION("""COMPUTED_VALUE"""),"Build Grit")</f>
        <v>Build Grit</v>
      </c>
    </row>
    <row r="11893">
      <c r="A11893" s="140" t="str">
        <f>IFERROR(__xludf.DUMMYFUNCTION("""COMPUTED_VALUE"""),"en")</f>
        <v>en</v>
      </c>
      <c r="B11893">
        <f>IFERROR(__xludf.DUMMYFUNCTION("""COMPUTED_VALUE"""),2619686.0)</f>
        <v>2619686</v>
      </c>
      <c r="C11893" t="str">
        <f>IFERROR(__xludf.DUMMYFUNCTION("""COMPUTED_VALUE"""),"Qt 5 Widgets for Beginners with C++")</f>
        <v>Qt 5 Widgets for Beginners with C++</v>
      </c>
    </row>
    <row r="11894">
      <c r="A11894" s="140" t="str">
        <f>IFERROR(__xludf.DUMMYFUNCTION("""COMPUTED_VALUE"""),"fr")</f>
        <v>fr</v>
      </c>
      <c r="B11894">
        <f>IFERROR(__xludf.DUMMYFUNCTION("""COMPUTED_VALUE"""),1264512.0)</f>
        <v>1264512</v>
      </c>
      <c r="C11894" t="str">
        <f>IFERROR(__xludf.DUMMYFUNCTION("""COMPUTED_VALUE"""),"Trading Forex  - L'analyse des volumes")</f>
        <v>Trading Forex  - L'analyse des volumes</v>
      </c>
    </row>
    <row r="11895">
      <c r="A11895" s="140" t="str">
        <f>IFERROR(__xludf.DUMMYFUNCTION("""COMPUTED_VALUE"""),"ja")</f>
        <v>ja</v>
      </c>
      <c r="B11895">
        <f>IFERROR(__xludf.DUMMYFUNCTION("""COMPUTED_VALUE"""),3363386.0)</f>
        <v>3363386</v>
      </c>
      <c r="C11895" t="str">
        <f>IFERROR(__xludf.DUMMYFUNCTION("""COMPUTED_VALUE"""),"実践編：React NativeとFirebaseで作るiOS/Androidアプリ：お店レビューアプリ開発編")</f>
        <v>実践編：React NativeとFirebaseで作るiOS/Androidアプリ：お店レビューアプリ開発編</v>
      </c>
    </row>
    <row r="11896">
      <c r="A11896" s="140" t="str">
        <f>IFERROR(__xludf.DUMMYFUNCTION("""COMPUTED_VALUE"""),"en")</f>
        <v>en</v>
      </c>
      <c r="B11896">
        <f>IFERROR(__xludf.DUMMYFUNCTION("""COMPUTED_VALUE"""),397068.0)</f>
        <v>397068</v>
      </c>
      <c r="C11896" t="str">
        <f>IFERROR(__xludf.DUMMYFUNCTION("""COMPUTED_VALUE"""),"Selenium Webdriver with PYTHON from Scratch + Frameworks")</f>
        <v>Selenium Webdriver with PYTHON from Scratch + Frameworks</v>
      </c>
    </row>
    <row r="11897">
      <c r="A11897" s="140" t="str">
        <f>IFERROR(__xludf.DUMMYFUNCTION("""COMPUTED_VALUE"""),"en")</f>
        <v>en</v>
      </c>
      <c r="B11897">
        <f>IFERROR(__xludf.DUMMYFUNCTION("""COMPUTED_VALUE"""),3531972.0)</f>
        <v>3531972</v>
      </c>
      <c r="C11897" t="str">
        <f>IFERROR(__xludf.DUMMYFUNCTION("""COMPUTED_VALUE"""),"Practice Exam AWS Certified Solutions Architect Professional")</f>
        <v>Practice Exam AWS Certified Solutions Architect Professional</v>
      </c>
    </row>
    <row r="11898">
      <c r="A11898" s="140" t="str">
        <f>IFERROR(__xludf.DUMMYFUNCTION("""COMPUTED_VALUE"""),"en")</f>
        <v>en</v>
      </c>
      <c r="B11898">
        <f>IFERROR(__xludf.DUMMYFUNCTION("""COMPUTED_VALUE"""),3736570.0)</f>
        <v>3736570</v>
      </c>
      <c r="C11898" t="str">
        <f>IFERROR(__xludf.DUMMYFUNCTION("""COMPUTED_VALUE"""),"AWS Cost Management Tools (Cost Explorer) Crash Course")</f>
        <v>AWS Cost Management Tools (Cost Explorer) Crash Course</v>
      </c>
    </row>
    <row r="11899">
      <c r="A11899" s="140" t="str">
        <f>IFERROR(__xludf.DUMMYFUNCTION("""COMPUTED_VALUE"""),"en")</f>
        <v>en</v>
      </c>
      <c r="B11899">
        <f>IFERROR(__xludf.DUMMYFUNCTION("""COMPUTED_VALUE"""),4172946.0)</f>
        <v>4172946</v>
      </c>
      <c r="C11899" t="str">
        <f>IFERROR(__xludf.DUMMYFUNCTION("""COMPUTED_VALUE"""),"TOTAL: CompTIA Security+ Certification (SY0-601)")</f>
        <v>TOTAL: CompTIA Security+ Certification (SY0-601)</v>
      </c>
    </row>
    <row r="11900">
      <c r="A11900" s="140" t="str">
        <f>IFERROR(__xludf.DUMMYFUNCTION("""COMPUTED_VALUE"""),"en")</f>
        <v>en</v>
      </c>
      <c r="B11900">
        <f>IFERROR(__xludf.DUMMYFUNCTION("""COMPUTED_VALUE"""),1030682.0)</f>
        <v>1030682</v>
      </c>
      <c r="C11900" t="str">
        <f>IFERROR(__xludf.DUMMYFUNCTION("""COMPUTED_VALUE"""),"Learn German Language: Complete German Course - Beginners")</f>
        <v>Learn German Language: Complete German Course - Beginners</v>
      </c>
    </row>
    <row r="11901">
      <c r="A11901" s="140" t="str">
        <f>IFERROR(__xludf.DUMMYFUNCTION("""COMPUTED_VALUE"""),"en")</f>
        <v>en</v>
      </c>
      <c r="B11901">
        <f>IFERROR(__xludf.DUMMYFUNCTION("""COMPUTED_VALUE"""),1466336.0)</f>
        <v>1466336</v>
      </c>
      <c r="C11901" t="str">
        <f>IFERROR(__xludf.DUMMYFUNCTION("""COMPUTED_VALUE"""),"Acorns' Guide to Personal Finance")</f>
        <v>Acorns' Guide to Personal Finance</v>
      </c>
    </row>
    <row r="11902">
      <c r="A11902" s="140" t="str">
        <f>IFERROR(__xludf.DUMMYFUNCTION("""COMPUTED_VALUE"""),"pt")</f>
        <v>pt</v>
      </c>
      <c r="B11902">
        <f>IFERROR(__xludf.DUMMYFUNCTION("""COMPUTED_VALUE"""),2173004.0)</f>
        <v>2173004</v>
      </c>
      <c r="C11902" t="str">
        <f>IFERROR(__xludf.DUMMYFUNCTION("""COMPUTED_VALUE"""),"Desenvolvimento Android e IOS com Flutter 2021 -Crie 15 Apps")</f>
        <v>Desenvolvimento Android e IOS com Flutter 2021 -Crie 15 Apps</v>
      </c>
    </row>
    <row r="11903">
      <c r="A11903" s="140" t="str">
        <f>IFERROR(__xludf.DUMMYFUNCTION("""COMPUTED_VALUE"""),"pt")</f>
        <v>pt</v>
      </c>
      <c r="B11903">
        <f>IFERROR(__xludf.DUMMYFUNCTION("""COMPUTED_VALUE"""),1795516.0)</f>
        <v>1795516</v>
      </c>
      <c r="C11903" t="str">
        <f>IFERROR(__xludf.DUMMYFUNCTION("""COMPUTED_VALUE"""),"Negociação de Alta Performance: da teoria à prática")</f>
        <v>Negociação de Alta Performance: da teoria à prática</v>
      </c>
    </row>
    <row r="11904">
      <c r="A11904" s="140" t="str">
        <f>IFERROR(__xludf.DUMMYFUNCTION("""COMPUTED_VALUE"""),"pt")</f>
        <v>pt</v>
      </c>
      <c r="B11904">
        <f>IFERROR(__xludf.DUMMYFUNCTION("""COMPUTED_VALUE"""),21583.0)</f>
        <v>21583</v>
      </c>
      <c r="C11904" t="str">
        <f>IFERROR(__xludf.DUMMYFUNCTION("""COMPUTED_VALUE"""),"Atendimento 2.0 - A Arte de Encantar Clientes")</f>
        <v>Atendimento 2.0 - A Arte de Encantar Clientes</v>
      </c>
    </row>
    <row r="11905">
      <c r="A11905" s="140" t="str">
        <f>IFERROR(__xludf.DUMMYFUNCTION("""COMPUTED_VALUE"""),"en")</f>
        <v>en</v>
      </c>
      <c r="B11905">
        <f>IFERROR(__xludf.DUMMYFUNCTION("""COMPUTED_VALUE"""),675336.0)</f>
        <v>675336</v>
      </c>
      <c r="C11905" t="str">
        <f>IFERROR(__xludf.DUMMYFUNCTION("""COMPUTED_VALUE"""),"Robot Framework Test Automation - Saucelabs Integration")</f>
        <v>Robot Framework Test Automation - Saucelabs Integration</v>
      </c>
    </row>
    <row r="11906">
      <c r="A11906" s="140" t="str">
        <f>IFERROR(__xludf.DUMMYFUNCTION("""COMPUTED_VALUE"""),"es")</f>
        <v>es</v>
      </c>
      <c r="B11906">
        <f>IFERROR(__xludf.DUMMYFUNCTION("""COMPUTED_VALUE"""),1133110.0)</f>
        <v>1133110</v>
      </c>
      <c r="C11906" t="str">
        <f>IFERROR(__xludf.DUMMYFUNCTION("""COMPUTED_VALUE"""),"Qa Testing: Guia Basica para QA y Robot Framework")</f>
        <v>Qa Testing: Guia Basica para QA y Robot Framework</v>
      </c>
    </row>
    <row r="11907">
      <c r="A11907" s="140" t="str">
        <f>IFERROR(__xludf.DUMMYFUNCTION("""COMPUTED_VALUE"""),"en")</f>
        <v>en</v>
      </c>
      <c r="B11907">
        <f>IFERROR(__xludf.DUMMYFUNCTION("""COMPUTED_VALUE"""),618736.0)</f>
        <v>618736</v>
      </c>
      <c r="C11907" t="str">
        <f>IFERROR(__xludf.DUMMYFUNCTION("""COMPUTED_VALUE"""),"JSP, Servlets and JDBC for Beginners: Build a Database App")</f>
        <v>JSP, Servlets and JDBC for Beginners: Build a Database App</v>
      </c>
    </row>
    <row r="11908">
      <c r="A11908" s="140" t="str">
        <f>IFERROR(__xludf.DUMMYFUNCTION("""COMPUTED_VALUE"""),"en")</f>
        <v>en</v>
      </c>
      <c r="B11908">
        <f>IFERROR(__xludf.DUMMYFUNCTION("""COMPUTED_VALUE"""),2218024.0)</f>
        <v>2218024</v>
      </c>
      <c r="C11908" t="str">
        <f>IFERROR(__xludf.DUMMYFUNCTION("""COMPUTED_VALUE"""),"Create The Best Online Courses Without Being On Camera")</f>
        <v>Create The Best Online Courses Without Being On Camera</v>
      </c>
    </row>
    <row r="11909">
      <c r="A11909" s="140" t="str">
        <f>IFERROR(__xludf.DUMMYFUNCTION("""COMPUTED_VALUE"""),"en")</f>
        <v>en</v>
      </c>
      <c r="B11909">
        <f>IFERROR(__xludf.DUMMYFUNCTION("""COMPUTED_VALUE"""),1608616.0)</f>
        <v>1608616</v>
      </c>
      <c r="C11909" t="str">
        <f>IFERROR(__xludf.DUMMYFUNCTION("""COMPUTED_VALUE"""),"Kubernetes On The Cloud &amp; The CNCF CKA Certification")</f>
        <v>Kubernetes On The Cloud &amp; The CNCF CKA Certification</v>
      </c>
    </row>
    <row r="11910">
      <c r="A11910" s="140" t="str">
        <f>IFERROR(__xludf.DUMMYFUNCTION("""COMPUTED_VALUE"""),"es")</f>
        <v>es</v>
      </c>
      <c r="B11910">
        <f>IFERROR(__xludf.DUMMYFUNCTION("""COMPUTED_VALUE"""),1986782.0)</f>
        <v>1986782</v>
      </c>
      <c r="C11910" t="str">
        <f>IFERROR(__xludf.DUMMYFUNCTION("""COMPUTED_VALUE"""),"Cómo vender por redes sociales")</f>
        <v>Cómo vender por redes sociales</v>
      </c>
    </row>
    <row r="11911">
      <c r="A11911" s="140" t="str">
        <f>IFERROR(__xludf.DUMMYFUNCTION("""COMPUTED_VALUE"""),"fr")</f>
        <v>fr</v>
      </c>
      <c r="B11911">
        <f>IFERROR(__xludf.DUMMYFUNCTION("""COMPUTED_VALUE"""),2666930.0)</f>
        <v>2666930</v>
      </c>
      <c r="C11911" t="str">
        <f>IFERROR(__xludf.DUMMYFUNCTION("""COMPUTED_VALUE"""),"Les animations au Scroll en 9 projets")</f>
        <v>Les animations au Scroll en 9 projets</v>
      </c>
    </row>
    <row r="11912">
      <c r="A11912" s="140" t="str">
        <f>IFERROR(__xludf.DUMMYFUNCTION("""COMPUTED_VALUE"""),"en")</f>
        <v>en</v>
      </c>
      <c r="B11912">
        <f>IFERROR(__xludf.DUMMYFUNCTION("""COMPUTED_VALUE"""),911318.0)</f>
        <v>911318</v>
      </c>
      <c r="C11912" t="str">
        <f>IFERROR(__xludf.DUMMYFUNCTION("""COMPUTED_VALUE"""),"Learning ECMAScript The Next Generation of Javascript")</f>
        <v>Learning ECMAScript The Next Generation of Javascript</v>
      </c>
    </row>
    <row r="11913">
      <c r="A11913" s="140" t="str">
        <f>IFERROR(__xludf.DUMMYFUNCTION("""COMPUTED_VALUE"""),"es")</f>
        <v>es</v>
      </c>
      <c r="B11913">
        <f>IFERROR(__xludf.DUMMYFUNCTION("""COMPUTED_VALUE"""),3093052.0)</f>
        <v>3093052</v>
      </c>
      <c r="C11913" t="str">
        <f>IFERROR(__xludf.DUMMYFUNCTION("""COMPUTED_VALUE"""),"CURSO COMPLETO EN DESIGN THINKING")</f>
        <v>CURSO COMPLETO EN DESIGN THINKING</v>
      </c>
    </row>
    <row r="11914">
      <c r="A11914" s="140" t="str">
        <f>IFERROR(__xludf.DUMMYFUNCTION("""COMPUTED_VALUE"""),"en")</f>
        <v>en</v>
      </c>
      <c r="B11914">
        <f>IFERROR(__xludf.DUMMYFUNCTION("""COMPUTED_VALUE"""),3203258.0)</f>
        <v>3203258</v>
      </c>
      <c r="C11914" t="str">
        <f>IFERROR(__xludf.DUMMYFUNCTION("""COMPUTED_VALUE"""),"Certified Manager of Quality Training")</f>
        <v>Certified Manager of Quality Training</v>
      </c>
    </row>
    <row r="11915">
      <c r="A11915" s="140" t="str">
        <f>IFERROR(__xludf.DUMMYFUNCTION("""COMPUTED_VALUE"""),"en")</f>
        <v>en</v>
      </c>
      <c r="B11915">
        <f>IFERROR(__xludf.DUMMYFUNCTION("""COMPUTED_VALUE"""),2512366.0)</f>
        <v>2512366</v>
      </c>
      <c r="C11915" t="str">
        <f>IFERROR(__xludf.DUMMYFUNCTION("""COMPUTED_VALUE"""),"Getting Started with Embedded AI | Edge AI")</f>
        <v>Getting Started with Embedded AI | Edge AI</v>
      </c>
    </row>
    <row r="11916">
      <c r="A11916" s="140" t="str">
        <f>IFERROR(__xludf.DUMMYFUNCTION("""COMPUTED_VALUE"""),"en")</f>
        <v>en</v>
      </c>
      <c r="B11916">
        <f>IFERROR(__xludf.DUMMYFUNCTION("""COMPUTED_VALUE"""),1419196.0)</f>
        <v>1419196</v>
      </c>
      <c r="C11916" t="str">
        <f>IFERROR(__xludf.DUMMYFUNCTION("""COMPUTED_VALUE"""),"Portrait Drawing Fundamentals Made Simple")</f>
        <v>Portrait Drawing Fundamentals Made Simple</v>
      </c>
    </row>
    <row r="11917">
      <c r="A11917" s="140" t="str">
        <f>IFERROR(__xludf.DUMMYFUNCTION("""COMPUTED_VALUE"""),"en")</f>
        <v>en</v>
      </c>
      <c r="B11917">
        <f>IFERROR(__xludf.DUMMYFUNCTION("""COMPUTED_VALUE"""),1691488.0)</f>
        <v>1691488</v>
      </c>
      <c r="C11917" t="str">
        <f>IFERROR(__xludf.DUMMYFUNCTION("""COMPUTED_VALUE"""),"Learn MVVM in Xamarin Forms and C#")</f>
        <v>Learn MVVM in Xamarin Forms and C#</v>
      </c>
    </row>
    <row r="11918">
      <c r="A11918" s="140" t="str">
        <f>IFERROR(__xludf.DUMMYFUNCTION("""COMPUTED_VALUE"""),"es")</f>
        <v>es</v>
      </c>
      <c r="B11918">
        <f>IFERROR(__xludf.DUMMYFUNCTION("""COMPUTED_VALUE"""),2460956.0)</f>
        <v>2460956</v>
      </c>
      <c r="C11918" t="str">
        <f>IFERROR(__xludf.DUMMYFUNCTION("""COMPUTED_VALUE"""),"Desarrolla Sistemas en C# .Net - 4 capas con SQL Server")</f>
        <v>Desarrolla Sistemas en C# .Net - 4 capas con SQL Server</v>
      </c>
    </row>
    <row r="11919">
      <c r="A11919" s="140" t="str">
        <f>IFERROR(__xludf.DUMMYFUNCTION("""COMPUTED_VALUE"""),"ja")</f>
        <v>ja</v>
      </c>
      <c r="B11919">
        <f>IFERROR(__xludf.DUMMYFUNCTION("""COMPUTED_VALUE"""),1746302.0)</f>
        <v>1746302</v>
      </c>
      <c r="C11919" t="str">
        <f>IFERROR(__xludf.DUMMYFUNCTION("""COMPUTED_VALUE"""),"【財務プロを目指す】エクセルで学ぶ財務三表モデル × 財務戦略シミュレーション")</f>
        <v>【財務プロを目指す】エクセルで学ぶ財務三表モデル × 財務戦略シミュレーション</v>
      </c>
    </row>
    <row r="11920">
      <c r="A11920" s="140" t="str">
        <f>IFERROR(__xludf.DUMMYFUNCTION("""COMPUTED_VALUE"""),"es")</f>
        <v>es</v>
      </c>
      <c r="B11920">
        <f>IFERROR(__xludf.DUMMYFUNCTION("""COMPUTED_VALUE"""),1317256.0)</f>
        <v>1317256</v>
      </c>
      <c r="C11920" t="str">
        <f>IFERROR(__xludf.DUMMYFUNCTION("""COMPUTED_VALUE"""),"Programación  Java SE desde 0")</f>
        <v>Programación  Java SE desde 0</v>
      </c>
    </row>
    <row r="11921">
      <c r="A11921" s="140" t="str">
        <f>IFERROR(__xludf.DUMMYFUNCTION("""COMPUTED_VALUE"""),"en")</f>
        <v>en</v>
      </c>
      <c r="B11921">
        <f>IFERROR(__xludf.DUMMYFUNCTION("""COMPUTED_VALUE"""),834702.0)</f>
        <v>834702</v>
      </c>
      <c r="C11921" t="str">
        <f>IFERROR(__xludf.DUMMYFUNCTION("""COMPUTED_VALUE"""),"Building Your English Brain")</f>
        <v>Building Your English Brain</v>
      </c>
    </row>
    <row r="11922">
      <c r="A11922" s="140" t="str">
        <f>IFERROR(__xludf.DUMMYFUNCTION("""COMPUTED_VALUE"""),"de")</f>
        <v>de</v>
      </c>
      <c r="B11922">
        <f>IFERROR(__xludf.DUMMYFUNCTION("""COMPUTED_VALUE"""),1698012.0)</f>
        <v>1698012</v>
      </c>
      <c r="C11922" t="str">
        <f>IFERROR(__xludf.DUMMYFUNCTION("""COMPUTED_VALUE"""),"Business Englisch für Anfänger-Sicher im täglichen Gebrauch")</f>
        <v>Business Englisch für Anfänger-Sicher im täglichen Gebrauch</v>
      </c>
    </row>
    <row r="11923">
      <c r="A11923" s="140" t="str">
        <f>IFERROR(__xludf.DUMMYFUNCTION("""COMPUTED_VALUE"""),"es")</f>
        <v>es</v>
      </c>
      <c r="B11923">
        <f>IFERROR(__xludf.DUMMYFUNCTION("""COMPUTED_VALUE"""),2181526.0)</f>
        <v>2181526</v>
      </c>
      <c r="C11923" t="str">
        <f>IFERROR(__xludf.DUMMYFUNCTION("""COMPUTED_VALUE"""),"Excel TOTAL - Curso de Excel de 0 a Profesional en 32 horas")</f>
        <v>Excel TOTAL - Curso de Excel de 0 a Profesional en 32 horas</v>
      </c>
    </row>
    <row r="11924">
      <c r="A11924" s="140" t="str">
        <f>IFERROR(__xludf.DUMMYFUNCTION("""COMPUTED_VALUE"""),"ar")</f>
        <v>ar</v>
      </c>
      <c r="B11924">
        <f>IFERROR(__xludf.DUMMYFUNCTION("""COMPUTED_VALUE"""),1888402.0)</f>
        <v>1888402</v>
      </c>
      <c r="C11924" t="str">
        <f>IFERROR(__xludf.DUMMYFUNCTION("""COMPUTED_VALUE"""),"تعلم تصميم فيديو السبورة البيضاء")</f>
        <v>تعلم تصميم فيديو السبورة البيضاء</v>
      </c>
    </row>
    <row r="11925">
      <c r="A11925" s="140" t="str">
        <f>IFERROR(__xludf.DUMMYFUNCTION("""COMPUTED_VALUE"""),"en")</f>
        <v>en</v>
      </c>
      <c r="B11925">
        <f>IFERROR(__xludf.DUMMYFUNCTION("""COMPUTED_VALUE"""),3800356.0)</f>
        <v>3800356</v>
      </c>
      <c r="C11925" t="str">
        <f>IFERROR(__xludf.DUMMYFUNCTION("""COMPUTED_VALUE"""),"Step-by-Step 3 Statement Financial Modeling")</f>
        <v>Step-by-Step 3 Statement Financial Modeling</v>
      </c>
    </row>
    <row r="11926">
      <c r="A11926" s="140" t="str">
        <f>IFERROR(__xludf.DUMMYFUNCTION("""COMPUTED_VALUE"""),"ja")</f>
        <v>ja</v>
      </c>
      <c r="B11926">
        <f>IFERROR(__xludf.DUMMYFUNCTION("""COMPUTED_VALUE"""),576274.0)</f>
        <v>576274</v>
      </c>
      <c r="C11926" t="str">
        <f>IFERROR(__xludf.DUMMYFUNCTION("""COMPUTED_VALUE"""),"「経営者たちのストーリー」③　株式会社資生堂　魚谷雅彦")</f>
        <v>「経営者たちのストーリー」③　株式会社資生堂　魚谷雅彦</v>
      </c>
    </row>
    <row r="11927">
      <c r="A11927" s="140" t="str">
        <f>IFERROR(__xludf.DUMMYFUNCTION("""COMPUTED_VALUE"""),"en")</f>
        <v>en</v>
      </c>
      <c r="B11927">
        <f>IFERROR(__xludf.DUMMYFUNCTION("""COMPUTED_VALUE"""),1613102.0)</f>
        <v>1613102</v>
      </c>
      <c r="C11927" t="str">
        <f>IFERROR(__xludf.DUMMYFUNCTION("""COMPUTED_VALUE"""),"The Complete Google Analytics Training for Beginners 2022")</f>
        <v>The Complete Google Analytics Training for Beginners 2022</v>
      </c>
    </row>
    <row r="11928">
      <c r="A11928" s="140" t="str">
        <f>IFERROR(__xludf.DUMMYFUNCTION("""COMPUTED_VALUE"""),"en")</f>
        <v>en</v>
      </c>
      <c r="B11928">
        <f>IFERROR(__xludf.DUMMYFUNCTION("""COMPUTED_VALUE"""),2802605.0)</f>
        <v>2802605</v>
      </c>
      <c r="C11928" t="str">
        <f>IFERROR(__xludf.DUMMYFUNCTION("""COMPUTED_VALUE"""),"The Most Comprehensive Dropshipping Guide Ever Created")</f>
        <v>The Most Comprehensive Dropshipping Guide Ever Created</v>
      </c>
    </row>
    <row r="11929">
      <c r="A11929" s="140" t="str">
        <f>IFERROR(__xludf.DUMMYFUNCTION("""COMPUTED_VALUE"""),"pt")</f>
        <v>pt</v>
      </c>
      <c r="B11929">
        <f>IFERROR(__xludf.DUMMYFUNCTION("""COMPUTED_VALUE"""),2997942.0)</f>
        <v>2997942</v>
      </c>
      <c r="C11929" t="str">
        <f>IFERROR(__xludf.DUMMYFUNCTION("""COMPUTED_VALUE"""),"Customer Experience: Garanta a melhor experiência ao cliente")</f>
        <v>Customer Experience: Garanta a melhor experiência ao cliente</v>
      </c>
    </row>
    <row r="11930">
      <c r="A11930" s="140" t="str">
        <f>IFERROR(__xludf.DUMMYFUNCTION("""COMPUTED_VALUE"""),"tr")</f>
        <v>tr</v>
      </c>
      <c r="B11930">
        <f>IFERROR(__xludf.DUMMYFUNCTION("""COMPUTED_VALUE"""),1986194.0)</f>
        <v>1986194</v>
      </c>
      <c r="C11930" t="str">
        <f>IFERROR(__xludf.DUMMYFUNCTION("""COMPUTED_VALUE"""),"Herkes İçin Python Programlama")</f>
        <v>Herkes İçin Python Programlama</v>
      </c>
    </row>
    <row r="11931">
      <c r="A11931" s="140" t="str">
        <f>IFERROR(__xludf.DUMMYFUNCTION("""COMPUTED_VALUE"""),"en")</f>
        <v>en</v>
      </c>
      <c r="B11931">
        <f>IFERROR(__xludf.DUMMYFUNCTION("""COMPUTED_VALUE"""),1251786.0)</f>
        <v>1251786</v>
      </c>
      <c r="C11931" t="str">
        <f>IFERROR(__xludf.DUMMYFUNCTION("""COMPUTED_VALUE"""),"Redux in Angular (2 and 4+)")</f>
        <v>Redux in Angular (2 and 4+)</v>
      </c>
    </row>
    <row r="11932">
      <c r="A11932" s="140" t="str">
        <f>IFERROR(__xludf.DUMMYFUNCTION("""COMPUTED_VALUE"""),"en")</f>
        <v>en</v>
      </c>
      <c r="B11932">
        <f>IFERROR(__xludf.DUMMYFUNCTION("""COMPUTED_VALUE"""),3572827.0)</f>
        <v>3572827</v>
      </c>
      <c r="C11932" t="str">
        <f>IFERROR(__xludf.DUMMYFUNCTION("""COMPUTED_VALUE"""),"Tradingview Pine Script Strategies: The Complete Guide")</f>
        <v>Tradingview Pine Script Strategies: The Complete Guide</v>
      </c>
    </row>
    <row r="11933">
      <c r="A11933" s="140" t="str">
        <f>IFERROR(__xludf.DUMMYFUNCTION("""COMPUTED_VALUE"""),"fr")</f>
        <v>fr</v>
      </c>
      <c r="B11933">
        <f>IFERROR(__xludf.DUMMYFUNCTION("""COMPUTED_VALUE"""),1324878.0)</f>
        <v>1324878</v>
      </c>
      <c r="C11933" t="str">
        <f>IFERROR(__xludf.DUMMYFUNCTION("""COMPUTED_VALUE"""),"SQL Server pour les (grands) débutants, 8 heures de pratique")</f>
        <v>SQL Server pour les (grands) débutants, 8 heures de pratique</v>
      </c>
    </row>
    <row r="11934">
      <c r="A11934" s="140" t="str">
        <f>IFERROR(__xludf.DUMMYFUNCTION("""COMPUTED_VALUE"""),"en")</f>
        <v>en</v>
      </c>
      <c r="B11934">
        <f>IFERROR(__xludf.DUMMYFUNCTION("""COMPUTED_VALUE"""),1005698.0)</f>
        <v>1005698</v>
      </c>
      <c r="C11934" t="str">
        <f>IFERROR(__xludf.DUMMYFUNCTION("""COMPUTED_VALUE"""),"Microsoft SQL from A to Z")</f>
        <v>Microsoft SQL from A to Z</v>
      </c>
    </row>
    <row r="11935">
      <c r="A11935" s="140" t="str">
        <f>IFERROR(__xludf.DUMMYFUNCTION("""COMPUTED_VALUE"""),"tr")</f>
        <v>tr</v>
      </c>
      <c r="B11935">
        <f>IFERROR(__xludf.DUMMYFUNCTION("""COMPUTED_VALUE"""),1255560.0)</f>
        <v>1255560</v>
      </c>
      <c r="C11935" t="str">
        <f>IFERROR(__xludf.DUMMYFUNCTION("""COMPUTED_VALUE"""),"iOS 15 &amp; Swift 5: Başlangıçtan İleri Seviyeye Mobil Uygulama")</f>
        <v>iOS 15 &amp; Swift 5: Başlangıçtan İleri Seviyeye Mobil Uygulama</v>
      </c>
    </row>
    <row r="11936">
      <c r="A11936" s="140" t="str">
        <f>IFERROR(__xludf.DUMMYFUNCTION("""COMPUTED_VALUE"""),"ar")</f>
        <v>ar</v>
      </c>
      <c r="B11936">
        <f>IFERROR(__xludf.DUMMYFUNCTION("""COMPUTED_VALUE"""),2435906.0)</f>
        <v>2435906</v>
      </c>
      <c r="C11936" t="str">
        <f>IFERROR(__xludf.DUMMYFUNCTION("""COMPUTED_VALUE"""),"Big Step 2 Big Data خطوتك الأولى الضخمة للبيانات الضخمة")</f>
        <v>Big Step 2 Big Data خطوتك الأولى الضخمة للبيانات الضخمة</v>
      </c>
    </row>
    <row r="11937">
      <c r="A11937" s="140" t="str">
        <f>IFERROR(__xludf.DUMMYFUNCTION("""COMPUTED_VALUE"""),"en")</f>
        <v>en</v>
      </c>
      <c r="B11937">
        <f>IFERROR(__xludf.DUMMYFUNCTION("""COMPUTED_VALUE"""),196304.0)</f>
        <v>196304</v>
      </c>
      <c r="C11937" t="str">
        <f>IFERROR(__xludf.DUMMYFUNCTION("""COMPUTED_VALUE"""),"Live Project On ASP.Net Core 2.0 MVC(Formerly ASP.Net MVC 5)")</f>
        <v>Live Project On ASP.Net Core 2.0 MVC(Formerly ASP.Net MVC 5)</v>
      </c>
    </row>
    <row r="11938">
      <c r="A11938" s="140" t="str">
        <f>IFERROR(__xludf.DUMMYFUNCTION("""COMPUTED_VALUE"""),"en")</f>
        <v>en</v>
      </c>
      <c r="B11938">
        <f>IFERROR(__xludf.DUMMYFUNCTION("""COMPUTED_VALUE"""),196304.0)</f>
        <v>196304</v>
      </c>
      <c r="C11938" t="str">
        <f>IFERROR(__xludf.DUMMYFUNCTION("""COMPUTED_VALUE"""),"Live Project On ASP.Net Core 2.0 MVC(Formerly ASP.Net MVC 5)")</f>
        <v>Live Project On ASP.Net Core 2.0 MVC(Formerly ASP.Net MVC 5)</v>
      </c>
    </row>
    <row r="11939">
      <c r="A11939" s="140" t="str">
        <f>IFERROR(__xludf.DUMMYFUNCTION("""COMPUTED_VALUE"""),"en")</f>
        <v>en</v>
      </c>
      <c r="B11939">
        <f>IFERROR(__xludf.DUMMYFUNCTION("""COMPUTED_VALUE"""),919872.0)</f>
        <v>919872</v>
      </c>
      <c r="C11939" t="str">
        <f>IFERROR(__xludf.DUMMYFUNCTION("""COMPUTED_VALUE"""),"Android Java Masterclass - Become an App Developer")</f>
        <v>Android Java Masterclass - Become an App Developer</v>
      </c>
    </row>
    <row r="11940">
      <c r="A11940" s="140" t="str">
        <f>IFERROR(__xludf.DUMMYFUNCTION("""COMPUTED_VALUE"""),"pt")</f>
        <v>pt</v>
      </c>
      <c r="B11940">
        <f>IFERROR(__xludf.DUMMYFUNCTION("""COMPUTED_VALUE"""),1833740.0)</f>
        <v>1833740</v>
      </c>
      <c r="C11940" t="str">
        <f>IFERROR(__xludf.DUMMYFUNCTION("""COMPUTED_VALUE"""),"Jenkins básico para Sysadmins e Developers")</f>
        <v>Jenkins básico para Sysadmins e Developers</v>
      </c>
    </row>
    <row r="11941">
      <c r="A11941" s="140" t="str">
        <f>IFERROR(__xludf.DUMMYFUNCTION("""COMPUTED_VALUE"""),"en")</f>
        <v>en</v>
      </c>
      <c r="B11941">
        <f>IFERROR(__xludf.DUMMYFUNCTION("""COMPUTED_VALUE"""),934032.0)</f>
        <v>934032</v>
      </c>
      <c r="C11941" t="str">
        <f>IFERROR(__xludf.DUMMYFUNCTION("""COMPUTED_VALUE"""),"YouTube SEO: How to Rank #1 on YouTube")</f>
        <v>YouTube SEO: How to Rank #1 on YouTube</v>
      </c>
    </row>
    <row r="11942">
      <c r="A11942" s="140" t="str">
        <f>IFERROR(__xludf.DUMMYFUNCTION("""COMPUTED_VALUE"""),"en")</f>
        <v>en</v>
      </c>
      <c r="B11942">
        <f>IFERROR(__xludf.DUMMYFUNCTION("""COMPUTED_VALUE"""),3125272.0)</f>
        <v>3125272</v>
      </c>
      <c r="C11942" t="str">
        <f>IFERROR(__xludf.DUMMYFUNCTION("""COMPUTED_VALUE"""),"Google Cloud Professional Data Engineer: Get Certified 2021")</f>
        <v>Google Cloud Professional Data Engineer: Get Certified 2021</v>
      </c>
    </row>
    <row r="11943">
      <c r="A11943" s="140" t="str">
        <f>IFERROR(__xludf.DUMMYFUNCTION("""COMPUTED_VALUE"""),"en")</f>
        <v>en</v>
      </c>
      <c r="B11943">
        <f>IFERROR(__xludf.DUMMYFUNCTION("""COMPUTED_VALUE"""),1508462.0)</f>
        <v>1508462</v>
      </c>
      <c r="C11943" t="str">
        <f>IFERROR(__xludf.DUMMYFUNCTION("""COMPUTED_VALUE"""),"Starting with NodeJS-HapiJS and ReactJS")</f>
        <v>Starting with NodeJS-HapiJS and ReactJS</v>
      </c>
    </row>
    <row r="11944">
      <c r="A11944" s="140" t="str">
        <f>IFERROR(__xludf.DUMMYFUNCTION("""COMPUTED_VALUE"""),"tr")</f>
        <v>tr</v>
      </c>
      <c r="B11944">
        <f>IFERROR(__xludf.DUMMYFUNCTION("""COMPUTED_VALUE"""),2679292.0)</f>
        <v>2679292</v>
      </c>
      <c r="C11944" t="str">
        <f>IFERROR(__xludf.DUMMYFUNCTION("""COMPUTED_VALUE"""),"YÖKdil SORU ÇÖZÜM TEKNİKLERİ")</f>
        <v>YÖKdil SORU ÇÖZÜM TEKNİKLERİ</v>
      </c>
    </row>
    <row r="11945">
      <c r="A11945" s="140" t="str">
        <f>IFERROR(__xludf.DUMMYFUNCTION("""COMPUTED_VALUE"""),"en")</f>
        <v>en</v>
      </c>
      <c r="B11945">
        <f>IFERROR(__xludf.DUMMYFUNCTION("""COMPUTED_VALUE"""),680088.0)</f>
        <v>680088</v>
      </c>
      <c r="C11945" t="str">
        <f>IFERROR(__xludf.DUMMYFUNCTION("""COMPUTED_VALUE"""),"Salesforce Visualforce Development: Create Visualforce pages")</f>
        <v>Salesforce Visualforce Development: Create Visualforce pages</v>
      </c>
    </row>
    <row r="11946">
      <c r="A11946" s="140" t="str">
        <f>IFERROR(__xludf.DUMMYFUNCTION("""COMPUTED_VALUE"""),"fr")</f>
        <v>fr</v>
      </c>
      <c r="B11946">
        <f>IFERROR(__xludf.DUMMYFUNCTION("""COMPUTED_VALUE"""),3833576.0)</f>
        <v>3833576</v>
      </c>
      <c r="C11946" t="str">
        <f>IFERROR(__xludf.DUMMYFUNCTION("""COMPUTED_VALUE"""),"Le guide complet pour maîtriser Spring Boot par la pratique")</f>
        <v>Le guide complet pour maîtriser Spring Boot par la pratique</v>
      </c>
    </row>
    <row r="11947">
      <c r="A11947" s="140" t="str">
        <f>IFERROR(__xludf.DUMMYFUNCTION("""COMPUTED_VALUE"""),"en")</f>
        <v>en</v>
      </c>
      <c r="B11947">
        <f>IFERROR(__xludf.DUMMYFUNCTION("""COMPUTED_VALUE"""),1329786.0)</f>
        <v>1329786</v>
      </c>
      <c r="C11947" t="str">
        <f>IFERROR(__xludf.DUMMYFUNCTION("""COMPUTED_VALUE"""),"After Effects - Motion Graphics &amp; Data Visualization")</f>
        <v>After Effects - Motion Graphics &amp; Data Visualization</v>
      </c>
    </row>
    <row r="11948">
      <c r="A11948" s="140" t="str">
        <f>IFERROR(__xludf.DUMMYFUNCTION("""COMPUTED_VALUE"""),"fr")</f>
        <v>fr</v>
      </c>
      <c r="B11948">
        <f>IFERROR(__xludf.DUMMYFUNCTION("""COMPUTED_VALUE"""),1692918.0)</f>
        <v>1692918</v>
      </c>
      <c r="C11948" t="str">
        <f>IFERROR(__xludf.DUMMYFUNCTION("""COMPUTED_VALUE"""),"UI/UX App Design : Designer des Applications avec Adobe XD")</f>
        <v>UI/UX App Design : Designer des Applications avec Adobe XD</v>
      </c>
    </row>
    <row r="11949">
      <c r="A11949" s="140" t="str">
        <f>IFERROR(__xludf.DUMMYFUNCTION("""COMPUTED_VALUE"""),"en")</f>
        <v>en</v>
      </c>
      <c r="B11949">
        <f>IFERROR(__xludf.DUMMYFUNCTION("""COMPUTED_VALUE"""),1336870.0)</f>
        <v>1336870</v>
      </c>
      <c r="C11949" t="str">
        <f>IFERROR(__xludf.DUMMYFUNCTION("""COMPUTED_VALUE"""),"NLP Master Practitioner Training (Advanced to Specialist)")</f>
        <v>NLP Master Practitioner Training (Advanced to Specialist)</v>
      </c>
    </row>
    <row r="11950">
      <c r="A11950" s="140" t="str">
        <f>IFERROR(__xludf.DUMMYFUNCTION("""COMPUTED_VALUE"""),"de")</f>
        <v>de</v>
      </c>
      <c r="B11950">
        <f>IFERROR(__xludf.DUMMYFUNCTION("""COMPUTED_VALUE"""),816250.0)</f>
        <v>816250</v>
      </c>
      <c r="C11950" t="str">
        <f>IFERROR(__xludf.DUMMYFUNCTION("""COMPUTED_VALUE"""),"Train-the-Trainer: Seminareinstieg &amp; Pinnwand-Moderation")</f>
        <v>Train-the-Trainer: Seminareinstieg &amp; Pinnwand-Moderation</v>
      </c>
    </row>
    <row r="11951">
      <c r="A11951" s="140" t="str">
        <f>IFERROR(__xludf.DUMMYFUNCTION("""COMPUTED_VALUE"""),"es")</f>
        <v>es</v>
      </c>
      <c r="B11951">
        <f>IFERROR(__xludf.DUMMYFUNCTION("""COMPUTED_VALUE"""),3241370.0)</f>
        <v>3241370</v>
      </c>
      <c r="C11951" t="str">
        <f>IFERROR(__xludf.DUMMYFUNCTION("""COMPUTED_VALUE"""),"Python 3, Programación Orientada a Objetos haciendo juegos")</f>
        <v>Python 3, Programación Orientada a Objetos haciendo juegos</v>
      </c>
    </row>
    <row r="11952">
      <c r="A11952" s="140" t="str">
        <f>IFERROR(__xludf.DUMMYFUNCTION("""COMPUTED_VALUE"""),"es")</f>
        <v>es</v>
      </c>
      <c r="B11952">
        <f>IFERROR(__xludf.DUMMYFUNCTION("""COMPUTED_VALUE"""),2538562.0)</f>
        <v>2538562</v>
      </c>
      <c r="C11952" t="str">
        <f>IFERROR(__xludf.DUMMYFUNCTION("""COMPUTED_VALUE"""),"Herramientas de Google 2021, ¡Desde Cero Hasta Experto!")</f>
        <v>Herramientas de Google 2021, ¡Desde Cero Hasta Experto!</v>
      </c>
    </row>
    <row r="11953">
      <c r="A11953" s="140" t="str">
        <f>IFERROR(__xludf.DUMMYFUNCTION("""COMPUTED_VALUE"""),"en")</f>
        <v>en</v>
      </c>
      <c r="B11953">
        <f>IFERROR(__xludf.DUMMYFUNCTION("""COMPUTED_VALUE"""),888716.0)</f>
        <v>888716</v>
      </c>
      <c r="C11953" t="str">
        <f>IFERROR(__xludf.DUMMYFUNCTION("""COMPUTED_VALUE"""),"Introduction to Finance, Accounting, Modeling and Valuation")</f>
        <v>Introduction to Finance, Accounting, Modeling and Valuation</v>
      </c>
    </row>
    <row r="11954">
      <c r="A11954" s="140" t="str">
        <f>IFERROR(__xludf.DUMMYFUNCTION("""COMPUTED_VALUE"""),"en")</f>
        <v>en</v>
      </c>
      <c r="B11954">
        <f>IFERROR(__xludf.DUMMYFUNCTION("""COMPUTED_VALUE"""),1426010.0)</f>
        <v>1426010</v>
      </c>
      <c r="C11954" t="str">
        <f>IFERROR(__xludf.DUMMYFUNCTION("""COMPUTED_VALUE"""),"Build a Serverless App with AWS Lambda - Hands On!")</f>
        <v>Build a Serverless App with AWS Lambda - Hands On!</v>
      </c>
    </row>
    <row r="11955">
      <c r="A11955" s="140" t="str">
        <f>IFERROR(__xludf.DUMMYFUNCTION("""COMPUTED_VALUE"""),"en")</f>
        <v>en</v>
      </c>
      <c r="B11955">
        <f>IFERROR(__xludf.DUMMYFUNCTION("""COMPUTED_VALUE"""),1323892.0)</f>
        <v>1323892</v>
      </c>
      <c r="C11955" t="str">
        <f>IFERROR(__xludf.DUMMYFUNCTION("""COMPUTED_VALUE"""),"Optimization problems and algorithms")</f>
        <v>Optimization problems and algorithms</v>
      </c>
    </row>
    <row r="11956">
      <c r="A11956" s="140" t="str">
        <f>IFERROR(__xludf.DUMMYFUNCTION("""COMPUTED_VALUE"""),"pt")</f>
        <v>pt</v>
      </c>
      <c r="B11956">
        <f>IFERROR(__xludf.DUMMYFUNCTION("""COMPUTED_VALUE"""),838942.0)</f>
        <v>838942</v>
      </c>
      <c r="C11956" t="str">
        <f>IFERROR(__xludf.DUMMYFUNCTION("""COMPUTED_VALUE"""),"Curso Completo de Banco de Dados Oracle SQL e PL/SQL")</f>
        <v>Curso Completo de Banco de Dados Oracle SQL e PL/SQL</v>
      </c>
    </row>
    <row r="11957">
      <c r="A11957" s="140" t="str">
        <f>IFERROR(__xludf.DUMMYFUNCTION("""COMPUTED_VALUE"""),"en")</f>
        <v>en</v>
      </c>
      <c r="B11957">
        <f>IFERROR(__xludf.DUMMYFUNCTION("""COMPUTED_VALUE"""),3067744.0)</f>
        <v>3067744</v>
      </c>
      <c r="C11957" t="str">
        <f>IFERROR(__xludf.DUMMYFUNCTION("""COMPUTED_VALUE"""),"vSphere 7 Overview: Upgrade Demos, Changes, &amp; New Features")</f>
        <v>vSphere 7 Overview: Upgrade Demos, Changes, &amp; New Features</v>
      </c>
    </row>
    <row r="11958">
      <c r="A11958" s="140" t="str">
        <f>IFERROR(__xludf.DUMMYFUNCTION("""COMPUTED_VALUE"""),"es")</f>
        <v>es</v>
      </c>
      <c r="B11958">
        <f>IFERROR(__xludf.DUMMYFUNCTION("""COMPUTED_VALUE"""),2431900.0)</f>
        <v>2431900</v>
      </c>
      <c r="C11958" t="str">
        <f>IFERROR(__xludf.DUMMYFUNCTION("""COMPUTED_VALUE"""),"Dart: De cero hasta los detalles")</f>
        <v>Dart: De cero hasta los detalles</v>
      </c>
    </row>
    <row r="11959">
      <c r="A11959" s="140" t="str">
        <f>IFERROR(__xludf.DUMMYFUNCTION("""COMPUTED_VALUE"""),"en")</f>
        <v>en</v>
      </c>
      <c r="B11959">
        <f>IFERROR(__xludf.DUMMYFUNCTION("""COMPUTED_VALUE"""),955948.0)</f>
        <v>955948</v>
      </c>
      <c r="C11959" t="str">
        <f>IFERROR(__xludf.DUMMYFUNCTION("""COMPUTED_VALUE"""),"Learn Adobe Character Animator CC")</f>
        <v>Learn Adobe Character Animator CC</v>
      </c>
    </row>
    <row r="11960">
      <c r="A11960" s="140" t="str">
        <f>IFERROR(__xludf.DUMMYFUNCTION("""COMPUTED_VALUE"""),"pt")</f>
        <v>pt</v>
      </c>
      <c r="B11960">
        <f>IFERROR(__xludf.DUMMYFUNCTION("""COMPUTED_VALUE"""),2465700.0)</f>
        <v>2465700</v>
      </c>
      <c r="C11960" t="str">
        <f>IFERROR(__xludf.DUMMYFUNCTION("""COMPUTED_VALUE"""),"Google Cloud Para Iniciantes (GCP)- Domine a Nuvem do Google")</f>
        <v>Google Cloud Para Iniciantes (GCP)- Domine a Nuvem do Google</v>
      </c>
    </row>
    <row r="11961">
      <c r="A11961" s="140" t="str">
        <f>IFERROR(__xludf.DUMMYFUNCTION("""COMPUTED_VALUE"""),"ko")</f>
        <v>ko</v>
      </c>
      <c r="B11961">
        <f>IFERROR(__xludf.DUMMYFUNCTION("""COMPUTED_VALUE"""),4234850.0)</f>
        <v>4234850</v>
      </c>
      <c r="C11961" t="str">
        <f>IFERROR(__xludf.DUMMYFUNCTION("""COMPUTED_VALUE"""),"【글로벌 Best강의】 Angular - 앵귤러 완벽 가이드 2021 (한글자막)")</f>
        <v>【글로벌 Best강의】 Angular - 앵귤러 완벽 가이드 2021 (한글자막)</v>
      </c>
    </row>
    <row r="11962">
      <c r="A11962" s="140" t="str">
        <f>IFERROR(__xludf.DUMMYFUNCTION("""COMPUTED_VALUE"""),"en")</f>
        <v>en</v>
      </c>
      <c r="B11962">
        <f>IFERROR(__xludf.DUMMYFUNCTION("""COMPUTED_VALUE"""),2969034.0)</f>
        <v>2969034</v>
      </c>
      <c r="C11962" t="str">
        <f>IFERROR(__xludf.DUMMYFUNCTION("""COMPUTED_VALUE"""),"Certified Kubernetes Administrator (CKA) Master Course")</f>
        <v>Certified Kubernetes Administrator (CKA) Master Course</v>
      </c>
    </row>
    <row r="11963">
      <c r="A11963" s="140" t="str">
        <f>IFERROR(__xludf.DUMMYFUNCTION("""COMPUTED_VALUE"""),"en")</f>
        <v>en</v>
      </c>
      <c r="B11963">
        <f>IFERROR(__xludf.DUMMYFUNCTION("""COMPUTED_VALUE"""),348116.0)</f>
        <v>348116</v>
      </c>
      <c r="C11963" t="str">
        <f>IFERROR(__xludf.DUMMYFUNCTION("""COMPUTED_VALUE"""),"Photoshop In-Depth: Master all of Photoshop's Tools Easily")</f>
        <v>Photoshop In-Depth: Master all of Photoshop's Tools Easily</v>
      </c>
    </row>
    <row r="11964">
      <c r="A11964" s="140" t="str">
        <f>IFERROR(__xludf.DUMMYFUNCTION("""COMPUTED_VALUE"""),"en")</f>
        <v>en</v>
      </c>
      <c r="B11964">
        <f>IFERROR(__xludf.DUMMYFUNCTION("""COMPUTED_VALUE"""),1882670.0)</f>
        <v>1882670</v>
      </c>
      <c r="C11964" t="str">
        <f>IFERROR(__xludf.DUMMYFUNCTION("""COMPUTED_VALUE"""),"Certified Minitab Proficient: SPC Control Chart (Accredited)")</f>
        <v>Certified Minitab Proficient: SPC Control Chart (Accredited)</v>
      </c>
    </row>
    <row r="11965">
      <c r="A11965" s="140" t="str">
        <f>IFERROR(__xludf.DUMMYFUNCTION("""COMPUTED_VALUE"""),"en")</f>
        <v>en</v>
      </c>
      <c r="B11965">
        <f>IFERROR(__xludf.DUMMYFUNCTION("""COMPUTED_VALUE"""),1205346.0)</f>
        <v>1205346</v>
      </c>
      <c r="C11965" t="str">
        <f>IFERROR(__xludf.DUMMYFUNCTION("""COMPUTED_VALUE"""),"Learn DevOps: CI/CD with Jenkins using Pipelines and Docker")</f>
        <v>Learn DevOps: CI/CD with Jenkins using Pipelines and Docker</v>
      </c>
    </row>
    <row r="11966">
      <c r="A11966" s="140" t="str">
        <f>IFERROR(__xludf.DUMMYFUNCTION("""COMPUTED_VALUE"""),"pt")</f>
        <v>pt</v>
      </c>
      <c r="B11966">
        <f>IFERROR(__xludf.DUMMYFUNCTION("""COMPUTED_VALUE"""),2601044.0)</f>
        <v>2601044</v>
      </c>
      <c r="C11966" t="str">
        <f>IFERROR(__xludf.DUMMYFUNCTION("""COMPUTED_VALUE"""),"Aprenda facilmente a criar Dashboards incríveis no Excel")</f>
        <v>Aprenda facilmente a criar Dashboards incríveis no Excel</v>
      </c>
    </row>
    <row r="11967">
      <c r="A11967" s="140" t="str">
        <f>IFERROR(__xludf.DUMMYFUNCTION("""COMPUTED_VALUE"""),"en")</f>
        <v>en</v>
      </c>
      <c r="B11967">
        <f>IFERROR(__xludf.DUMMYFUNCTION("""COMPUTED_VALUE"""),4154624.0)</f>
        <v>4154624</v>
      </c>
      <c r="C11967" t="str">
        <f>IFERROR(__xludf.DUMMYFUNCTION("""COMPUTED_VALUE"""),"How to Build a Peak Performance Sales Organization &amp; Culture")</f>
        <v>How to Build a Peak Performance Sales Organization &amp; Culture</v>
      </c>
    </row>
    <row r="11968">
      <c r="A11968" s="140" t="str">
        <f>IFERROR(__xludf.DUMMYFUNCTION("""COMPUTED_VALUE"""),"fr")</f>
        <v>fr</v>
      </c>
      <c r="B11968">
        <f>IFERROR(__xludf.DUMMYFUNCTION("""COMPUTED_VALUE"""),1393796.0)</f>
        <v>1393796</v>
      </c>
      <c r="C11968" t="str">
        <f>IFERROR(__xludf.DUMMYFUNCTION("""COMPUTED_VALUE"""),"Maîtriser Unity et le C# | Guide Complet Développeur")</f>
        <v>Maîtriser Unity et le C# | Guide Complet Développeur</v>
      </c>
    </row>
    <row r="11969">
      <c r="A11969" s="140" t="str">
        <f>IFERROR(__xludf.DUMMYFUNCTION("""COMPUTED_VALUE"""),"pt")</f>
        <v>pt</v>
      </c>
      <c r="B11969">
        <f>IFERROR(__xludf.DUMMYFUNCTION("""COMPUTED_VALUE"""),2345384.0)</f>
        <v>2345384</v>
      </c>
      <c r="C11969" t="str">
        <f>IFERROR(__xludf.DUMMYFUNCTION("""COMPUTED_VALUE"""),"Técnicas de Invasão em Redes Sem-Fios (Wi-Fi Hacking)")</f>
        <v>Técnicas de Invasão em Redes Sem-Fios (Wi-Fi Hacking)</v>
      </c>
    </row>
    <row r="11970">
      <c r="A11970" s="140" t="str">
        <f>IFERROR(__xludf.DUMMYFUNCTION("""COMPUTED_VALUE"""),"ja")</f>
        <v>ja</v>
      </c>
      <c r="B11970">
        <f>IFERROR(__xludf.DUMMYFUNCTION("""COMPUTED_VALUE"""),4060082.0)</f>
        <v>4060082</v>
      </c>
      <c r="C11970" t="str">
        <f>IFERROR(__xludf.DUMMYFUNCTION("""COMPUTED_VALUE"""),"【unity入門】2DアクションRPGを作ってゲーム開発を始めよう")</f>
        <v>【unity入門】2DアクションRPGを作ってゲーム開発を始めよう</v>
      </c>
    </row>
    <row r="11971">
      <c r="A11971" s="140" t="str">
        <f>IFERROR(__xludf.DUMMYFUNCTION("""COMPUTED_VALUE"""),"en")</f>
        <v>en</v>
      </c>
      <c r="B11971">
        <f>IFERROR(__xludf.DUMMYFUNCTION("""COMPUTED_VALUE"""),466296.0)</f>
        <v>466296</v>
      </c>
      <c r="C11971" t="str">
        <f>IFERROR(__xludf.DUMMYFUNCTION("""COMPUTED_VALUE"""),"C# Developers: Learn the Art of Writing Clean Code")</f>
        <v>C# Developers: Learn the Art of Writing Clean Code</v>
      </c>
    </row>
    <row r="11972">
      <c r="A11972" s="140" t="str">
        <f>IFERROR(__xludf.DUMMYFUNCTION("""COMPUTED_VALUE"""),"fr")</f>
        <v>fr</v>
      </c>
      <c r="B11972">
        <f>IFERROR(__xludf.DUMMYFUNCTION("""COMPUTED_VALUE"""),2396646.0)</f>
        <v>2396646</v>
      </c>
      <c r="C11972" t="str">
        <f>IFERROR(__xludf.DUMMYFUNCTION("""COMPUTED_VALUE"""),"Apprendre et Maitriser POWER POINT 2019 -  Guide complet")</f>
        <v>Apprendre et Maitriser POWER POINT 2019 -  Guide complet</v>
      </c>
    </row>
    <row r="11973">
      <c r="A11973" s="140" t="str">
        <f>IFERROR(__xludf.DUMMYFUNCTION("""COMPUTED_VALUE"""),"en")</f>
        <v>en</v>
      </c>
      <c r="B11973">
        <f>IFERROR(__xludf.DUMMYFUNCTION("""COMPUTED_VALUE"""),26089.0)</f>
        <v>26089</v>
      </c>
      <c r="C11973" t="str">
        <f>IFERROR(__xludf.DUMMYFUNCTION("""COMPUTED_VALUE"""),"Time Management Training with Outlook")</f>
        <v>Time Management Training with Outlook</v>
      </c>
    </row>
    <row r="11974">
      <c r="A11974" s="140" t="str">
        <f>IFERROR(__xludf.DUMMYFUNCTION("""COMPUTED_VALUE"""),"tr")</f>
        <v>tr</v>
      </c>
      <c r="B11974">
        <f>IFERROR(__xludf.DUMMYFUNCTION("""COMPUTED_VALUE"""),2633584.0)</f>
        <v>2633584</v>
      </c>
      <c r="C11974" t="str">
        <f>IFERROR(__xludf.DUMMYFUNCTION("""COMPUTED_VALUE"""),"SAP FIORI: Yeni Başlayanlar İçin SAP Fiori Kursu")</f>
        <v>SAP FIORI: Yeni Başlayanlar İçin SAP Fiori Kursu</v>
      </c>
    </row>
    <row r="11975">
      <c r="A11975" s="140" t="str">
        <f>IFERROR(__xludf.DUMMYFUNCTION("""COMPUTED_VALUE"""),"en")</f>
        <v>en</v>
      </c>
      <c r="B11975">
        <f>IFERROR(__xludf.DUMMYFUNCTION("""COMPUTED_VALUE"""),1059314.0)</f>
        <v>1059314</v>
      </c>
      <c r="C11975" t="str">
        <f>IFERROR(__xludf.DUMMYFUNCTION("""COMPUTED_VALUE"""),"Data Visualization with Python for Beginners")</f>
        <v>Data Visualization with Python for Beginners</v>
      </c>
    </row>
    <row r="11976">
      <c r="A11976" s="140" t="str">
        <f>IFERROR(__xludf.DUMMYFUNCTION("""COMPUTED_VALUE"""),"en")</f>
        <v>en</v>
      </c>
      <c r="B11976">
        <f>IFERROR(__xludf.DUMMYFUNCTION("""COMPUTED_VALUE"""),2444132.0)</f>
        <v>2444132</v>
      </c>
      <c r="C11976" t="str">
        <f>IFERROR(__xludf.DUMMYFUNCTION("""COMPUTED_VALUE"""),"Digital Marketing 101")</f>
        <v>Digital Marketing 101</v>
      </c>
    </row>
    <row r="11977">
      <c r="A11977" s="140" t="str">
        <f>IFERROR(__xludf.DUMMYFUNCTION("""COMPUTED_VALUE"""),"en")</f>
        <v>en</v>
      </c>
      <c r="B11977">
        <f>IFERROR(__xludf.DUMMYFUNCTION("""COMPUTED_VALUE"""),446736.0)</f>
        <v>446736</v>
      </c>
      <c r="C11977" t="str">
        <f>IFERROR(__xludf.DUMMYFUNCTION("""COMPUTED_VALUE"""),"Amazon s3 Mastery - THE How-To' Guides For Amazon S3")</f>
        <v>Amazon s3 Mastery - THE How-To' Guides For Amazon S3</v>
      </c>
    </row>
    <row r="11978">
      <c r="A11978" s="140" t="str">
        <f>IFERROR(__xludf.DUMMYFUNCTION("""COMPUTED_VALUE"""),"en")</f>
        <v>en</v>
      </c>
      <c r="B11978">
        <f>IFERROR(__xludf.DUMMYFUNCTION("""COMPUTED_VALUE"""),2654140.0)</f>
        <v>2654140</v>
      </c>
      <c r="C11978" t="str">
        <f>IFERROR(__xludf.DUMMYFUNCTION("""COMPUTED_VALUE"""),"Complete Web Application Hacking &amp; Penetration Testing")</f>
        <v>Complete Web Application Hacking &amp; Penetration Testing</v>
      </c>
    </row>
    <row r="11979">
      <c r="A11979" s="140" t="str">
        <f>IFERROR(__xludf.DUMMYFUNCTION("""COMPUTED_VALUE"""),"en")</f>
        <v>en</v>
      </c>
      <c r="B11979">
        <f>IFERROR(__xludf.DUMMYFUNCTION("""COMPUTED_VALUE"""),918688.0)</f>
        <v>918688</v>
      </c>
      <c r="C11979" t="str">
        <f>IFERROR(__xludf.DUMMYFUNCTION("""COMPUTED_VALUE"""),"How I Make Consistent Returns Trading Options")</f>
        <v>How I Make Consistent Returns Trading Options</v>
      </c>
    </row>
    <row r="11980">
      <c r="A11980" s="140" t="str">
        <f>IFERROR(__xludf.DUMMYFUNCTION("""COMPUTED_VALUE"""),"es")</f>
        <v>es</v>
      </c>
      <c r="B11980">
        <f>IFERROR(__xludf.DUMMYFUNCTION("""COMPUTED_VALUE"""),1426848.0)</f>
        <v>1426848</v>
      </c>
      <c r="C11980" t="str">
        <f>IFERROR(__xludf.DUMMYFUNCTION("""COMPUTED_VALUE"""),"Adobe InDesign CC: Curso Completo desde Cero")</f>
        <v>Adobe InDesign CC: Curso Completo desde Cero</v>
      </c>
    </row>
    <row r="11981">
      <c r="A11981" s="140" t="str">
        <f>IFERROR(__xludf.DUMMYFUNCTION("""COMPUTED_VALUE"""),"en")</f>
        <v>en</v>
      </c>
      <c r="B11981">
        <f>IFERROR(__xludf.DUMMYFUNCTION("""COMPUTED_VALUE"""),2369182.0)</f>
        <v>2369182</v>
      </c>
      <c r="C11981" t="str">
        <f>IFERROR(__xludf.DUMMYFUNCTION("""COMPUTED_VALUE"""),"AWS Solutions Architect Associate 2021 with Practice Test")</f>
        <v>AWS Solutions Architect Associate 2021 with Practice Test</v>
      </c>
    </row>
    <row r="11982">
      <c r="A11982" s="140" t="str">
        <f>IFERROR(__xludf.DUMMYFUNCTION("""COMPUTED_VALUE"""),"en")</f>
        <v>en</v>
      </c>
      <c r="B11982">
        <f>IFERROR(__xludf.DUMMYFUNCTION("""COMPUTED_VALUE"""),762616.0)</f>
        <v>762616</v>
      </c>
      <c r="C11982" t="str">
        <f>IFERROR(__xludf.DUMMYFUNCTION("""COMPUTED_VALUE"""),"The Complete SQL Bootcamp 2022: Go from Zero to Hero")</f>
        <v>The Complete SQL Bootcamp 2022: Go from Zero to Hero</v>
      </c>
    </row>
    <row r="11983">
      <c r="A11983" s="140" t="str">
        <f>IFERROR(__xludf.DUMMYFUNCTION("""COMPUTED_VALUE"""),"en")</f>
        <v>en</v>
      </c>
      <c r="B11983">
        <f>IFERROR(__xludf.DUMMYFUNCTION("""COMPUTED_VALUE"""),1389360.0)</f>
        <v>1389360</v>
      </c>
      <c r="C11983" t="str">
        <f>IFERROR(__xludf.DUMMYFUNCTION("""COMPUTED_VALUE"""),"Complete Guide to Conflict Management in the Workplace")</f>
        <v>Complete Guide to Conflict Management in the Workplace</v>
      </c>
    </row>
    <row r="11984">
      <c r="A11984" s="140" t="str">
        <f>IFERROR(__xludf.DUMMYFUNCTION("""COMPUTED_VALUE"""),"de")</f>
        <v>de</v>
      </c>
      <c r="B11984">
        <f>IFERROR(__xludf.DUMMYFUNCTION("""COMPUTED_VALUE"""),632368.0)</f>
        <v>632368</v>
      </c>
      <c r="C11984" t="str">
        <f>IFERROR(__xludf.DUMMYFUNCTION("""COMPUTED_VALUE"""),"Monatlich Geld anlegen für später!")</f>
        <v>Monatlich Geld anlegen für später!</v>
      </c>
    </row>
    <row r="11985">
      <c r="A11985" s="140" t="str">
        <f>IFERROR(__xludf.DUMMYFUNCTION("""COMPUTED_VALUE"""),"es")</f>
        <v>es</v>
      </c>
      <c r="B11985">
        <f>IFERROR(__xludf.DUMMYFUNCTION("""COMPUTED_VALUE"""),1401432.0)</f>
        <v>1401432</v>
      </c>
      <c r="C11985" t="str">
        <f>IFERROR(__xludf.DUMMYFUNCTION("""COMPUTED_VALUE"""),"Gestión de Proyectos con Estándares  PMI y la Guía PMBOK 6")</f>
        <v>Gestión de Proyectos con Estándares  PMI y la Guía PMBOK 6</v>
      </c>
    </row>
    <row r="11986">
      <c r="A11986" s="140" t="str">
        <f>IFERROR(__xludf.DUMMYFUNCTION("""COMPUTED_VALUE"""),"fr")</f>
        <v>fr</v>
      </c>
      <c r="B11986">
        <f>IFERROR(__xludf.DUMMYFUNCTION("""COMPUTED_VALUE"""),1068574.0)</f>
        <v>1068574</v>
      </c>
      <c r="C11986" t="str">
        <f>IFERROR(__xludf.DUMMYFUNCTION("""COMPUTED_VALUE"""),"Les Bases de Sketchup : Guide de survie pour les débutants.")</f>
        <v>Les Bases de Sketchup : Guide de survie pour les débutants.</v>
      </c>
    </row>
    <row r="11987">
      <c r="A11987" s="140" t="str">
        <f>IFERROR(__xludf.DUMMYFUNCTION("""COMPUTED_VALUE"""),"es")</f>
        <v>es</v>
      </c>
      <c r="B11987">
        <f>IFERROR(__xludf.DUMMYFUNCTION("""COMPUTED_VALUE"""),2621516.0)</f>
        <v>2621516</v>
      </c>
      <c r="C11987" t="str">
        <f>IFERROR(__xludf.DUMMYFUNCTION("""COMPUTED_VALUE"""),"Procesamiento del Lenguaje Natural con Python (NLP) [2021]")</f>
        <v>Procesamiento del Lenguaje Natural con Python (NLP) [2021]</v>
      </c>
    </row>
    <row r="11988">
      <c r="A11988" s="140" t="str">
        <f>IFERROR(__xludf.DUMMYFUNCTION("""COMPUTED_VALUE"""),"en")</f>
        <v>en</v>
      </c>
      <c r="B11988">
        <f>IFERROR(__xludf.DUMMYFUNCTION("""COMPUTED_VALUE"""),1548958.0)</f>
        <v>1548958</v>
      </c>
      <c r="C11988" t="str">
        <f>IFERROR(__xludf.DUMMYFUNCTION("""COMPUTED_VALUE"""),"Dart - Beginners Course")</f>
        <v>Dart - Beginners Course</v>
      </c>
    </row>
    <row r="11989">
      <c r="A11989" s="140" t="str">
        <f>IFERROR(__xludf.DUMMYFUNCTION("""COMPUTED_VALUE"""),"en")</f>
        <v>en</v>
      </c>
      <c r="B11989">
        <f>IFERROR(__xludf.DUMMYFUNCTION("""COMPUTED_VALUE"""),2264002.0)</f>
        <v>2264002</v>
      </c>
      <c r="C11989" t="str">
        <f>IFERROR(__xludf.DUMMYFUNCTION("""COMPUTED_VALUE"""),"Survival Analysis in R")</f>
        <v>Survival Analysis in R</v>
      </c>
    </row>
    <row r="11990">
      <c r="A11990" s="140" t="str">
        <f>IFERROR(__xludf.DUMMYFUNCTION("""COMPUTED_VALUE"""),"pt")</f>
        <v>pt</v>
      </c>
      <c r="B11990">
        <f>IFERROR(__xludf.DUMMYFUNCTION("""COMPUTED_VALUE"""),2100120.0)</f>
        <v>2100120</v>
      </c>
      <c r="C11990" t="str">
        <f>IFERROR(__xludf.DUMMYFUNCTION("""COMPUTED_VALUE"""),"Curso de Estatística Inferencial - Do Básico ao Avançado")</f>
        <v>Curso de Estatística Inferencial - Do Básico ao Avançado</v>
      </c>
    </row>
    <row r="11991">
      <c r="A11991" s="140" t="str">
        <f>IFERROR(__xludf.DUMMYFUNCTION("""COMPUTED_VALUE"""),"pt")</f>
        <v>pt</v>
      </c>
      <c r="B11991">
        <f>IFERROR(__xludf.DUMMYFUNCTION("""COMPUTED_VALUE"""),1617388.0)</f>
        <v>1617388</v>
      </c>
      <c r="C11991" t="str">
        <f>IFERROR(__xludf.DUMMYFUNCTION("""COMPUTED_VALUE"""),"Algoritmos Genéticos em Java")</f>
        <v>Algoritmos Genéticos em Java</v>
      </c>
    </row>
    <row r="11992">
      <c r="A11992" s="140" t="str">
        <f>IFERROR(__xludf.DUMMYFUNCTION("""COMPUTED_VALUE"""),"en")</f>
        <v>en</v>
      </c>
      <c r="B11992">
        <f>IFERROR(__xludf.DUMMYFUNCTION("""COMPUTED_VALUE"""),1198640.0)</f>
        <v>1198640</v>
      </c>
      <c r="C11992" t="str">
        <f>IFERROR(__xludf.DUMMYFUNCTION("""COMPUTED_VALUE"""),"Python OOP : Four Pillars of OOP in Python 3 for Beginners")</f>
        <v>Python OOP : Four Pillars of OOP in Python 3 for Beginners</v>
      </c>
    </row>
    <row r="11993">
      <c r="A11993" s="140" t="str">
        <f>IFERROR(__xludf.DUMMYFUNCTION("""COMPUTED_VALUE"""),"fr")</f>
        <v>fr</v>
      </c>
      <c r="B11993">
        <f>IFERROR(__xludf.DUMMYFUNCTION("""COMPUTED_VALUE"""),2724032.0)</f>
        <v>2724032</v>
      </c>
      <c r="C11993" t="str">
        <f>IFERROR(__xludf.DUMMYFUNCTION("""COMPUTED_VALUE"""),"Résoudre des algorithmes en JavaScript - Seconde édition")</f>
        <v>Résoudre des algorithmes en JavaScript - Seconde édition</v>
      </c>
    </row>
    <row r="11994">
      <c r="A11994" s="140" t="str">
        <f>IFERROR(__xludf.DUMMYFUNCTION("""COMPUTED_VALUE"""),"en")</f>
        <v>en</v>
      </c>
      <c r="B11994">
        <f>IFERROR(__xludf.DUMMYFUNCTION("""COMPUTED_VALUE"""),1432192.0)</f>
        <v>1432192</v>
      </c>
      <c r="C11994" t="str">
        <f>IFERROR(__xludf.DUMMYFUNCTION("""COMPUTED_VALUE"""),"Learn PHP 7 and Laravel Master Course")</f>
        <v>Learn PHP 7 and Laravel Master Course</v>
      </c>
    </row>
    <row r="11995">
      <c r="A11995" s="140" t="str">
        <f>IFERROR(__xludf.DUMMYFUNCTION("""COMPUTED_VALUE"""),"en")</f>
        <v>en</v>
      </c>
      <c r="B11995">
        <f>IFERROR(__xludf.DUMMYFUNCTION("""COMPUTED_VALUE"""),398456.0)</f>
        <v>398456</v>
      </c>
      <c r="C11995" t="str">
        <f>IFERROR(__xludf.DUMMYFUNCTION("""COMPUTED_VALUE"""),"Bootstrap 3 Introduction : Create RESPONSIVE Websites Fast")</f>
        <v>Bootstrap 3 Introduction : Create RESPONSIVE Websites Fast</v>
      </c>
    </row>
    <row r="11996">
      <c r="A11996" s="140" t="str">
        <f>IFERROR(__xludf.DUMMYFUNCTION("""COMPUTED_VALUE"""),"en")</f>
        <v>en</v>
      </c>
      <c r="B11996">
        <f>IFERROR(__xludf.DUMMYFUNCTION("""COMPUTED_VALUE"""),1392824.0)</f>
        <v>1392824</v>
      </c>
      <c r="C11996" t="str">
        <f>IFERROR(__xludf.DUMMYFUNCTION("""COMPUTED_VALUE"""),"Inclusive Leadership: Working with Equality and Diversity")</f>
        <v>Inclusive Leadership: Working with Equality and Diversity</v>
      </c>
    </row>
    <row r="11997">
      <c r="A11997" s="140" t="str">
        <f>IFERROR(__xludf.DUMMYFUNCTION("""COMPUTED_VALUE"""),"pt")</f>
        <v>pt</v>
      </c>
      <c r="B11997">
        <f>IFERROR(__xludf.DUMMYFUNCTION("""COMPUTED_VALUE"""),2699692.0)</f>
        <v>2699692</v>
      </c>
      <c r="C11997" t="str">
        <f>IFERROR(__xludf.DUMMYFUNCTION("""COMPUTED_VALUE"""),"Domine NoSQL com Redis, com Prática em Python e R")</f>
        <v>Domine NoSQL com Redis, com Prática em Python e R</v>
      </c>
    </row>
    <row r="11998">
      <c r="A11998" s="140" t="str">
        <f>IFERROR(__xludf.DUMMYFUNCTION("""COMPUTED_VALUE"""),"en")</f>
        <v>en</v>
      </c>
      <c r="B11998">
        <f>IFERROR(__xludf.DUMMYFUNCTION("""COMPUTED_VALUE"""),1946104.0)</f>
        <v>1946104</v>
      </c>
      <c r="C11998" t="str">
        <f>IFERROR(__xludf.DUMMYFUNCTION("""COMPUTED_VALUE"""),"Unreal Engine Blueprint Game Developer")</f>
        <v>Unreal Engine Blueprint Game Developer</v>
      </c>
    </row>
    <row r="11999">
      <c r="A11999" s="140" t="str">
        <f>IFERROR(__xludf.DUMMYFUNCTION("""COMPUTED_VALUE"""),"en")</f>
        <v>en</v>
      </c>
      <c r="B11999">
        <f>IFERROR(__xludf.DUMMYFUNCTION("""COMPUTED_VALUE"""),2572906.0)</f>
        <v>2572906</v>
      </c>
      <c r="C11999" t="str">
        <f>IFERROR(__xludf.DUMMYFUNCTION("""COMPUTED_VALUE"""),"Salesforce Lightning Flow Builder : Getting Started")</f>
        <v>Salesforce Lightning Flow Builder : Getting Started</v>
      </c>
    </row>
    <row r="12000">
      <c r="A12000" s="140" t="str">
        <f>IFERROR(__xludf.DUMMYFUNCTION("""COMPUTED_VALUE"""),"en")</f>
        <v>en</v>
      </c>
      <c r="B12000">
        <f>IFERROR(__xludf.DUMMYFUNCTION("""COMPUTED_VALUE"""),1646794.0)</f>
        <v>1646794</v>
      </c>
      <c r="C12000" t="str">
        <f>IFERROR(__xludf.DUMMYFUNCTION("""COMPUTED_VALUE"""),"The Complete MATLAB Mastery - From a Beginner to an Expert")</f>
        <v>The Complete MATLAB Mastery - From a Beginner to an Expert</v>
      </c>
    </row>
    <row r="12001">
      <c r="A12001" s="140" t="str">
        <f>IFERROR(__xludf.DUMMYFUNCTION("""COMPUTED_VALUE"""),"en")</f>
        <v>en</v>
      </c>
      <c r="B12001">
        <f>IFERROR(__xludf.DUMMYFUNCTION("""COMPUTED_VALUE"""),1205918.0)</f>
        <v>1205918</v>
      </c>
      <c r="C12001" t="str">
        <f>IFERROR(__xludf.DUMMYFUNCTION("""COMPUTED_VALUE"""),"Introduction to SOLIDWORKS")</f>
        <v>Introduction to SOLIDWORKS</v>
      </c>
    </row>
    <row r="12002">
      <c r="A12002" s="140" t="str">
        <f>IFERROR(__xludf.DUMMYFUNCTION("""COMPUTED_VALUE"""),"de")</f>
        <v>de</v>
      </c>
      <c r="B12002">
        <f>IFERROR(__xludf.DUMMYFUNCTION("""COMPUTED_VALUE"""),647106.0)</f>
        <v>647106</v>
      </c>
      <c r="C12002" t="str">
        <f>IFERROR(__xludf.DUMMYFUNCTION("""COMPUTED_VALUE"""),"Gesang professionell aufnehmen")</f>
        <v>Gesang professionell aufnehmen</v>
      </c>
    </row>
    <row r="12003">
      <c r="A12003" s="140" t="str">
        <f>IFERROR(__xludf.DUMMYFUNCTION("""COMPUTED_VALUE"""),"en")</f>
        <v>en</v>
      </c>
      <c r="B12003">
        <f>IFERROR(__xludf.DUMMYFUNCTION("""COMPUTED_VALUE"""),1547642.0)</f>
        <v>1547642</v>
      </c>
      <c r="C12003" t="str">
        <f>IFERROR(__xludf.DUMMYFUNCTION("""COMPUTED_VALUE"""),"Optimization with Metaheuristics in Python")</f>
        <v>Optimization with Metaheuristics in Python</v>
      </c>
    </row>
    <row r="12004">
      <c r="A12004" s="140" t="str">
        <f>IFERROR(__xludf.DUMMYFUNCTION("""COMPUTED_VALUE"""),"en")</f>
        <v>en</v>
      </c>
      <c r="B12004">
        <f>IFERROR(__xludf.DUMMYFUNCTION("""COMPUTED_VALUE"""),508010.0)</f>
        <v>508010</v>
      </c>
      <c r="C12004" t="str">
        <f>IFERROR(__xludf.DUMMYFUNCTION("""COMPUTED_VALUE"""),"Effective use of Excel 2013 in real life")</f>
        <v>Effective use of Excel 2013 in real life</v>
      </c>
    </row>
    <row r="12005">
      <c r="A12005" s="140" t="str">
        <f>IFERROR(__xludf.DUMMYFUNCTION("""COMPUTED_VALUE"""),"en")</f>
        <v>en</v>
      </c>
      <c r="B12005">
        <f>IFERROR(__xludf.DUMMYFUNCTION("""COMPUTED_VALUE"""),2595644.0)</f>
        <v>2595644</v>
      </c>
      <c r="C12005" t="str">
        <f>IFERROR(__xludf.DUMMYFUNCTION("""COMPUTED_VALUE"""),"Become a SpeedDemon 2: Productivity Tricks to Have More Time")</f>
        <v>Become a SpeedDemon 2: Productivity Tricks to Have More Time</v>
      </c>
    </row>
    <row r="12006">
      <c r="A12006" s="140" t="str">
        <f>IFERROR(__xludf.DUMMYFUNCTION("""COMPUTED_VALUE"""),"pt")</f>
        <v>pt</v>
      </c>
      <c r="B12006">
        <f>IFERROR(__xludf.DUMMYFUNCTION("""COMPUTED_VALUE"""),3960714.0)</f>
        <v>3960714</v>
      </c>
      <c r="C12006" t="str">
        <f>IFERROR(__xludf.DUMMYFUNCTION("""COMPUTED_VALUE"""),"Tech Recruiting - começando rápido")</f>
        <v>Tech Recruiting - começando rápido</v>
      </c>
    </row>
    <row r="12007">
      <c r="A12007" s="140" t="str">
        <f>IFERROR(__xludf.DUMMYFUNCTION("""COMPUTED_VALUE"""),"pt")</f>
        <v>pt</v>
      </c>
      <c r="B12007">
        <f>IFERROR(__xludf.DUMMYFUNCTION("""COMPUTED_VALUE"""),1995622.0)</f>
        <v>1995622</v>
      </c>
      <c r="C12007" t="str">
        <f>IFERROR(__xludf.DUMMYFUNCTION("""COMPUTED_VALUE"""),"Power BI Completo - Do Básico ao Avançado")</f>
        <v>Power BI Completo - Do Básico ao Avançado</v>
      </c>
    </row>
    <row r="12008">
      <c r="A12008" s="140" t="str">
        <f>IFERROR(__xludf.DUMMYFUNCTION("""COMPUTED_VALUE"""),"de")</f>
        <v>de</v>
      </c>
      <c r="B12008">
        <f>IFERROR(__xludf.DUMMYFUNCTION("""COMPUTED_VALUE"""),1690182.0)</f>
        <v>1690182</v>
      </c>
      <c r="C12008" t="str">
        <f>IFERROR(__xludf.DUMMYFUNCTION("""COMPUTED_VALUE"""),"Hacken von Webseiten und Web Anwendungen")</f>
        <v>Hacken von Webseiten und Web Anwendungen</v>
      </c>
    </row>
    <row r="12009">
      <c r="A12009" s="140" t="str">
        <f>IFERROR(__xludf.DUMMYFUNCTION("""COMPUTED_VALUE"""),"en")</f>
        <v>en</v>
      </c>
      <c r="B12009">
        <f>IFERROR(__xludf.DUMMYFUNCTION("""COMPUTED_VALUE"""),2868774.0)</f>
        <v>2868774</v>
      </c>
      <c r="C12009" t="str">
        <f>IFERROR(__xludf.DUMMYFUNCTION("""COMPUTED_VALUE"""),"The Complete Apache Kafka Practical Guide")</f>
        <v>The Complete Apache Kafka Practical Guide</v>
      </c>
    </row>
    <row r="12010">
      <c r="A12010" s="140" t="str">
        <f>IFERROR(__xludf.DUMMYFUNCTION("""COMPUTED_VALUE"""),"es")</f>
        <v>es</v>
      </c>
      <c r="B12010">
        <f>IFERROR(__xludf.DUMMYFUNCTION("""COMPUTED_VALUE"""),2632594.0)</f>
        <v>2632594</v>
      </c>
      <c r="C12010" t="str">
        <f>IFERROR(__xludf.DUMMYFUNCTION("""COMPUTED_VALUE"""),"Google Ads para Principiantes (Adwords)")</f>
        <v>Google Ads para Principiantes (Adwords)</v>
      </c>
    </row>
    <row r="12011">
      <c r="A12011" s="140" t="str">
        <f>IFERROR(__xludf.DUMMYFUNCTION("""COMPUTED_VALUE"""),"de")</f>
        <v>de</v>
      </c>
      <c r="B12011">
        <f>IFERROR(__xludf.DUMMYFUNCTION("""COMPUTED_VALUE"""),2212196.0)</f>
        <v>2212196</v>
      </c>
      <c r="C12011" t="str">
        <f>IFERROR(__xludf.DUMMYFUNCTION("""COMPUTED_VALUE"""),"Mit  Aktiensparplänen selbstständig Vermögen aufbauen")</f>
        <v>Mit  Aktiensparplänen selbstständig Vermögen aufbauen</v>
      </c>
    </row>
    <row r="12012">
      <c r="A12012" s="140" t="str">
        <f>IFERROR(__xludf.DUMMYFUNCTION("""COMPUTED_VALUE"""),"en")</f>
        <v>en</v>
      </c>
      <c r="B12012">
        <f>IFERROR(__xludf.DUMMYFUNCTION("""COMPUTED_VALUE"""),3486282.0)</f>
        <v>3486282</v>
      </c>
      <c r="C12012" t="str">
        <f>IFERROR(__xludf.DUMMYFUNCTION("""COMPUTED_VALUE"""),"5G RF Planning")</f>
        <v>5G RF Planning</v>
      </c>
    </row>
    <row r="12013">
      <c r="A12013" s="140" t="str">
        <f>IFERROR(__xludf.DUMMYFUNCTION("""COMPUTED_VALUE"""),"pt")</f>
        <v>pt</v>
      </c>
      <c r="B12013">
        <f>IFERROR(__xludf.DUMMYFUNCTION("""COMPUTED_VALUE"""),3229655.0)</f>
        <v>3229655</v>
      </c>
      <c r="C12013" t="str">
        <f>IFERROR(__xludf.DUMMYFUNCTION("""COMPUTED_VALUE"""),"Design Instrucional na Prática")</f>
        <v>Design Instrucional na Prática</v>
      </c>
    </row>
    <row r="12014">
      <c r="A12014" s="140" t="str">
        <f>IFERROR(__xludf.DUMMYFUNCTION("""COMPUTED_VALUE"""),"es")</f>
        <v>es</v>
      </c>
      <c r="B12014">
        <f>IFERROR(__xludf.DUMMYFUNCTION("""COMPUTED_VALUE"""),2100802.0)</f>
        <v>2100802</v>
      </c>
      <c r="C12014" t="str">
        <f>IFERROR(__xludf.DUMMYFUNCTION("""COMPUTED_VALUE"""),"Experto en Bootstrap 4 en 7 días (Crea un sitio web real)")</f>
        <v>Experto en Bootstrap 4 en 7 días (Crea un sitio web real)</v>
      </c>
    </row>
    <row r="12015">
      <c r="A12015" s="140" t="str">
        <f>IFERROR(__xludf.DUMMYFUNCTION("""COMPUTED_VALUE"""),"en")</f>
        <v>en</v>
      </c>
      <c r="B12015">
        <f>IFERROR(__xludf.DUMMYFUNCTION("""COMPUTED_VALUE"""),2258750.0)</f>
        <v>2258750</v>
      </c>
      <c r="C12015" t="str">
        <f>IFERROR(__xludf.DUMMYFUNCTION("""COMPUTED_VALUE"""),"Learn Cinema 4D - Create Abstract 3D Design Elements")</f>
        <v>Learn Cinema 4D - Create Abstract 3D Design Elements</v>
      </c>
    </row>
    <row r="12016">
      <c r="A12016" s="140" t="str">
        <f>IFERROR(__xludf.DUMMYFUNCTION("""COMPUTED_VALUE"""),"de")</f>
        <v>de</v>
      </c>
      <c r="B12016">
        <f>IFERROR(__xludf.DUMMYFUNCTION("""COMPUTED_VALUE"""),1634452.0)</f>
        <v>1634452</v>
      </c>
      <c r="C12016" t="str">
        <f>IFERROR(__xludf.DUMMYFUNCTION("""COMPUTED_VALUE"""),"Gewohnheiten meistern leicht gemacht: Die Methode der Profis")</f>
        <v>Gewohnheiten meistern leicht gemacht: Die Methode der Profis</v>
      </c>
    </row>
    <row r="12017">
      <c r="A12017" s="140" t="str">
        <f>IFERROR(__xludf.DUMMYFUNCTION("""COMPUTED_VALUE"""),"en")</f>
        <v>en</v>
      </c>
      <c r="B12017">
        <f>IFERROR(__xludf.DUMMYFUNCTION("""COMPUTED_VALUE"""),679486.0)</f>
        <v>679486</v>
      </c>
      <c r="C12017" t="str">
        <f>IFERROR(__xludf.DUMMYFUNCTION("""COMPUTED_VALUE"""),"From 0 to 1: Data Structures &amp; Algorithms in Java")</f>
        <v>From 0 to 1: Data Structures &amp; Algorithms in Java</v>
      </c>
    </row>
    <row r="12018">
      <c r="A12018" s="140" t="str">
        <f>IFERROR(__xludf.DUMMYFUNCTION("""COMPUTED_VALUE"""),"en")</f>
        <v>en</v>
      </c>
      <c r="B12018">
        <f>IFERROR(__xludf.DUMMYFUNCTION("""COMPUTED_VALUE"""),1409030.0)</f>
        <v>1409030</v>
      </c>
      <c r="C12018" t="str">
        <f>IFERROR(__xludf.DUMMYFUNCTION("""COMPUTED_VALUE"""),"Learn Figma - UI/UX Design Essential Training")</f>
        <v>Learn Figma - UI/UX Design Essential Training</v>
      </c>
    </row>
    <row r="12019">
      <c r="A12019" s="140" t="str">
        <f>IFERROR(__xludf.DUMMYFUNCTION("""COMPUTED_VALUE"""),"en")</f>
        <v>en</v>
      </c>
      <c r="B12019">
        <f>IFERROR(__xludf.DUMMYFUNCTION("""COMPUTED_VALUE"""),642714.0)</f>
        <v>642714</v>
      </c>
      <c r="C12019" t="str">
        <f>IFERROR(__xludf.DUMMYFUNCTION("""COMPUTED_VALUE"""),"Introduction to Oil and Gas Drilling")</f>
        <v>Introduction to Oil and Gas Drilling</v>
      </c>
    </row>
    <row r="12020">
      <c r="A12020" s="140" t="str">
        <f>IFERROR(__xludf.DUMMYFUNCTION("""COMPUTED_VALUE"""),"pt")</f>
        <v>pt</v>
      </c>
      <c r="B12020">
        <f>IFERROR(__xludf.DUMMYFUNCTION("""COMPUTED_VALUE"""),3193142.0)</f>
        <v>3193142</v>
      </c>
      <c r="C12020" t="str">
        <f>IFERROR(__xludf.DUMMYFUNCTION("""COMPUTED_VALUE"""),"Curso Completo de Email Marketing com MailChimp")</f>
        <v>Curso Completo de Email Marketing com MailChimp</v>
      </c>
    </row>
    <row r="12021">
      <c r="A12021" s="140" t="str">
        <f>IFERROR(__xludf.DUMMYFUNCTION("""COMPUTED_VALUE"""),"en")</f>
        <v>en</v>
      </c>
      <c r="B12021">
        <f>IFERROR(__xludf.DUMMYFUNCTION("""COMPUTED_VALUE"""),1933996.0)</f>
        <v>1933996</v>
      </c>
      <c r="C12021" t="str">
        <f>IFERROR(__xludf.DUMMYFUNCTION("""COMPUTED_VALUE"""),"Google Tag Manager (GTM) Advanced Applications")</f>
        <v>Google Tag Manager (GTM) Advanced Applications</v>
      </c>
    </row>
    <row r="12022">
      <c r="A12022" s="140" t="str">
        <f>IFERROR(__xludf.DUMMYFUNCTION("""COMPUTED_VALUE"""),"en")</f>
        <v>en</v>
      </c>
      <c r="B12022">
        <f>IFERROR(__xludf.DUMMYFUNCTION("""COMPUTED_VALUE"""),1439004.0)</f>
        <v>1439004</v>
      </c>
      <c r="C12022" t="str">
        <f>IFERROR(__xludf.DUMMYFUNCTION("""COMPUTED_VALUE"""),"SQL Server Essentials in an hour: The SELECT statement")</f>
        <v>SQL Server Essentials in an hour: The SELECT statement</v>
      </c>
    </row>
    <row r="12023">
      <c r="A12023" s="140" t="str">
        <f>IFERROR(__xludf.DUMMYFUNCTION("""COMPUTED_VALUE"""),"tr")</f>
        <v>tr</v>
      </c>
      <c r="B12023">
        <f>IFERROR(__xludf.DUMMYFUNCTION("""COMPUTED_VALUE"""),2896386.0)</f>
        <v>2896386</v>
      </c>
      <c r="C12023" t="str">
        <f>IFERROR(__xludf.DUMMYFUNCTION("""COMPUTED_VALUE"""),"Türkler için İspanyolca 3 - Beceriler (Tamamlayıcı Kurs)")</f>
        <v>Türkler için İspanyolca 3 - Beceriler (Tamamlayıcı Kurs)</v>
      </c>
    </row>
    <row r="12024">
      <c r="A12024" s="140" t="str">
        <f>IFERROR(__xludf.DUMMYFUNCTION("""COMPUTED_VALUE"""),"tr")</f>
        <v>tr</v>
      </c>
      <c r="B12024">
        <f>IFERROR(__xludf.DUMMYFUNCTION("""COMPUTED_VALUE"""),2508382.0)</f>
        <v>2508382</v>
      </c>
      <c r="C12024" t="str">
        <f>IFERROR(__xludf.DUMMYFUNCTION("""COMPUTED_VALUE"""),"55+ Saatlik Komple FRONTEND EĞİTİMİ | WEB TASARIM | 14+PROJE")</f>
        <v>55+ Saatlik Komple FRONTEND EĞİTİMİ | WEB TASARIM | 14+PROJE</v>
      </c>
    </row>
    <row r="12025">
      <c r="A12025" s="140" t="str">
        <f>IFERROR(__xludf.DUMMYFUNCTION("""COMPUTED_VALUE"""),"en")</f>
        <v>en</v>
      </c>
      <c r="B12025">
        <f>IFERROR(__xludf.DUMMYFUNCTION("""COMPUTED_VALUE"""),1141696.0)</f>
        <v>1141696</v>
      </c>
      <c r="C12025" t="str">
        <f>IFERROR(__xludf.DUMMYFUNCTION("""COMPUTED_VALUE"""),"Apache Kafka Series - Kafka Connect Hands-on Learning")</f>
        <v>Apache Kafka Series - Kafka Connect Hands-on Learning</v>
      </c>
    </row>
    <row r="12026">
      <c r="A12026" s="140" t="str">
        <f>IFERROR(__xludf.DUMMYFUNCTION("""COMPUTED_VALUE"""),"pt")</f>
        <v>pt</v>
      </c>
      <c r="B12026">
        <f>IFERROR(__xludf.DUMMYFUNCTION("""COMPUTED_VALUE"""),2499074.0)</f>
        <v>2499074</v>
      </c>
      <c r="C12026" t="str">
        <f>IFERROR(__xludf.DUMMYFUNCTION("""COMPUTED_VALUE"""),"Fundamentos Do Bitcoin &amp; Blockchain")</f>
        <v>Fundamentos Do Bitcoin &amp; Blockchain</v>
      </c>
    </row>
    <row r="12027">
      <c r="A12027" s="140" t="str">
        <f>IFERROR(__xludf.DUMMYFUNCTION("""COMPUTED_VALUE"""),"en")</f>
        <v>en</v>
      </c>
      <c r="B12027">
        <f>IFERROR(__xludf.DUMMYFUNCTION("""COMPUTED_VALUE"""),593108.0)</f>
        <v>593108</v>
      </c>
      <c r="C12027" t="str">
        <f>IFERROR(__xludf.DUMMYFUNCTION("""COMPUTED_VALUE"""),"VMware vSphere 6.0 Part 1 - Virtualization, ESXi and VMs")</f>
        <v>VMware vSphere 6.0 Part 1 - Virtualization, ESXi and VMs</v>
      </c>
    </row>
    <row r="12028">
      <c r="A12028" s="140" t="str">
        <f>IFERROR(__xludf.DUMMYFUNCTION("""COMPUTED_VALUE"""),"pt")</f>
        <v>pt</v>
      </c>
      <c r="B12028">
        <f>IFERROR(__xludf.DUMMYFUNCTION("""COMPUTED_VALUE"""),904032.0)</f>
        <v>904032</v>
      </c>
      <c r="C12028" t="str">
        <f>IFERROR(__xludf.DUMMYFUNCTION("""COMPUTED_VALUE"""),"Gestão Emocional")</f>
        <v>Gestão Emocional</v>
      </c>
    </row>
    <row r="12029">
      <c r="A12029" s="140" t="str">
        <f>IFERROR(__xludf.DUMMYFUNCTION("""COMPUTED_VALUE"""),"de")</f>
        <v>de</v>
      </c>
      <c r="B12029">
        <f>IFERROR(__xludf.DUMMYFUNCTION("""COMPUTED_VALUE"""),833356.0)</f>
        <v>833356</v>
      </c>
      <c r="C12029" t="str">
        <f>IFERROR(__xludf.DUMMYFUNCTION("""COMPUTED_VALUE"""),"SAP ABAP für Anfänger 2: komplexe Datenarten und Debugging")</f>
        <v>SAP ABAP für Anfänger 2: komplexe Datenarten und Debugging</v>
      </c>
    </row>
    <row r="12030">
      <c r="A12030" s="140" t="str">
        <f>IFERROR(__xludf.DUMMYFUNCTION("""COMPUTED_VALUE"""),"en")</f>
        <v>en</v>
      </c>
      <c r="B12030">
        <f>IFERROR(__xludf.DUMMYFUNCTION("""COMPUTED_VALUE"""),1034284.0)</f>
        <v>1034284</v>
      </c>
      <c r="C12030" t="str">
        <f>IFERROR(__xludf.DUMMYFUNCTION("""COMPUTED_VALUE"""),"Practice Python with 100 Python Exercises")</f>
        <v>Practice Python with 100 Python Exercises</v>
      </c>
    </row>
    <row r="12031">
      <c r="A12031" s="140" t="str">
        <f>IFERROR(__xludf.DUMMYFUNCTION("""COMPUTED_VALUE"""),"tr")</f>
        <v>tr</v>
      </c>
      <c r="B12031">
        <f>IFERROR(__xludf.DUMMYFUNCTION("""COMPUTED_VALUE"""),2852802.0)</f>
        <v>2852802</v>
      </c>
      <c r="C12031" t="str">
        <f>IFERROR(__xludf.DUMMYFUNCTION("""COMPUTED_VALUE"""),"Zaman Yönetimi")</f>
        <v>Zaman Yönetimi</v>
      </c>
    </row>
    <row r="12032">
      <c r="A12032" s="140" t="str">
        <f>IFERROR(__xludf.DUMMYFUNCTION("""COMPUTED_VALUE"""),"es")</f>
        <v>es</v>
      </c>
      <c r="B12032">
        <f>IFERROR(__xludf.DUMMYFUNCTION("""COMPUTED_VALUE"""),2151290.0)</f>
        <v>2151290</v>
      </c>
      <c r="C12032" t="str">
        <f>IFERROR(__xludf.DUMMYFUNCTION("""COMPUTED_VALUE"""),"react-native sin fronteras")</f>
        <v>react-native sin fronteras</v>
      </c>
    </row>
    <row r="12033">
      <c r="A12033" s="140" t="str">
        <f>IFERROR(__xludf.DUMMYFUNCTION("""COMPUTED_VALUE"""),"en")</f>
        <v>en</v>
      </c>
      <c r="B12033">
        <f>IFERROR(__xludf.DUMMYFUNCTION("""COMPUTED_VALUE"""),482754.0)</f>
        <v>482754</v>
      </c>
      <c r="C12033" t="str">
        <f>IFERROR(__xludf.DUMMYFUNCTION("""COMPUTED_VALUE"""),"Python From Scratch &amp; Selenium WebDriver From Scratch 2021")</f>
        <v>Python From Scratch &amp; Selenium WebDriver From Scratch 2021</v>
      </c>
    </row>
    <row r="12034">
      <c r="A12034" s="140" t="str">
        <f>IFERROR(__xludf.DUMMYFUNCTION("""COMPUTED_VALUE"""),"fr")</f>
        <v>fr</v>
      </c>
      <c r="B12034">
        <f>IFERROR(__xludf.DUMMYFUNCTION("""COMPUTED_VALUE"""),2551675.0)</f>
        <v>2551675</v>
      </c>
      <c r="C12034" t="str">
        <f>IFERROR(__xludf.DUMMYFUNCTION("""COMPUTED_VALUE"""),"Augmentez le ROI de vos actions avec le Marketing Analytique")</f>
        <v>Augmentez le ROI de vos actions avec le Marketing Analytique</v>
      </c>
    </row>
    <row r="12035">
      <c r="A12035" s="140" t="str">
        <f>IFERROR(__xludf.DUMMYFUNCTION("""COMPUTED_VALUE"""),"en")</f>
        <v>en</v>
      </c>
      <c r="B12035">
        <f>IFERROR(__xludf.DUMMYFUNCTION("""COMPUTED_VALUE"""),1788270.0)</f>
        <v>1788270</v>
      </c>
      <c r="C12035" t="str">
        <f>IFERROR(__xludf.DUMMYFUNCTION("""COMPUTED_VALUE"""),"300+ Phrasal Verbs |Spoken English Vocabulary 4 Conversation")</f>
        <v>300+ Phrasal Verbs |Spoken English Vocabulary 4 Conversation</v>
      </c>
    </row>
    <row r="12036">
      <c r="A12036" s="140" t="str">
        <f>IFERROR(__xludf.DUMMYFUNCTION("""COMPUTED_VALUE"""),"es")</f>
        <v>es</v>
      </c>
      <c r="B12036">
        <f>IFERROR(__xludf.DUMMYFUNCTION("""COMPUTED_VALUE"""),1534484.0)</f>
        <v>1534484</v>
      </c>
      <c r="C12036" t="str">
        <f>IFERROR(__xludf.DUMMYFUNCTION("""COMPUTED_VALUE"""),"Liderazgo y Gestión de equipos | Certificación 2021")</f>
        <v>Liderazgo y Gestión de equipos | Certificación 2021</v>
      </c>
    </row>
    <row r="12037">
      <c r="A12037" s="140" t="str">
        <f>IFERROR(__xludf.DUMMYFUNCTION("""COMPUTED_VALUE"""),"en")</f>
        <v>en</v>
      </c>
      <c r="B12037">
        <f>IFERROR(__xludf.DUMMYFUNCTION("""COMPUTED_VALUE"""),576688.0)</f>
        <v>576688</v>
      </c>
      <c r="C12037" t="str">
        <f>IFERROR(__xludf.DUMMYFUNCTION("""COMPUTED_VALUE"""),"Introduction to Medical Imaging")</f>
        <v>Introduction to Medical Imaging</v>
      </c>
    </row>
    <row r="12038">
      <c r="A12038" s="140" t="str">
        <f>IFERROR(__xludf.DUMMYFUNCTION("""COMPUTED_VALUE"""),"de")</f>
        <v>de</v>
      </c>
      <c r="B12038">
        <f>IFERROR(__xludf.DUMMYFUNCTION("""COMPUTED_VALUE"""),1065502.0)</f>
        <v>1065502</v>
      </c>
      <c r="C12038" t="str">
        <f>IFERROR(__xludf.DUMMYFUNCTION("""COMPUTED_VALUE"""),"Dein perfektes Mitarbeitergespräch - Praxistipps &amp; Leitfäden")</f>
        <v>Dein perfektes Mitarbeitergespräch - Praxistipps &amp; Leitfäden</v>
      </c>
    </row>
    <row r="12039">
      <c r="A12039" s="140" t="str">
        <f>IFERROR(__xludf.DUMMYFUNCTION("""COMPUTED_VALUE"""),"en")</f>
        <v>en</v>
      </c>
      <c r="B12039">
        <f>IFERROR(__xludf.DUMMYFUNCTION("""COMPUTED_VALUE"""),634546.0)</f>
        <v>634546</v>
      </c>
      <c r="C12039" t="str">
        <f>IFERROR(__xludf.DUMMYFUNCTION("""COMPUTED_VALUE"""),"Protractor: End to End testing framework for AngularJS Apps")</f>
        <v>Protractor: End to End testing framework for AngularJS Apps</v>
      </c>
    </row>
    <row r="12040">
      <c r="A12040" s="140" t="str">
        <f>IFERROR(__xludf.DUMMYFUNCTION("""COMPUTED_VALUE"""),"en")</f>
        <v>en</v>
      </c>
      <c r="B12040">
        <f>IFERROR(__xludf.DUMMYFUNCTION("""COMPUTED_VALUE"""),1363096.0)</f>
        <v>1363096</v>
      </c>
      <c r="C12040" t="str">
        <f>IFERROR(__xludf.DUMMYFUNCTION("""COMPUTED_VALUE"""),"Mastering Group Policy: Windows Server 2019 and Server 2016")</f>
        <v>Mastering Group Policy: Windows Server 2019 and Server 2016</v>
      </c>
    </row>
    <row r="12041">
      <c r="A12041" s="140" t="str">
        <f>IFERROR(__xludf.DUMMYFUNCTION("""COMPUTED_VALUE"""),"en")</f>
        <v>en</v>
      </c>
      <c r="B12041">
        <f>IFERROR(__xludf.DUMMYFUNCTION("""COMPUTED_VALUE"""),630716.0)</f>
        <v>630716</v>
      </c>
      <c r="C12041" t="str">
        <f>IFERROR(__xludf.DUMMYFUNCTION("""COMPUTED_VALUE"""),"Project Based Salesforce Admin &amp; Adv Admin Hands-On Training")</f>
        <v>Project Based Salesforce Admin &amp; Adv Admin Hands-On Training</v>
      </c>
    </row>
    <row r="12042">
      <c r="A12042" s="140" t="str">
        <f>IFERROR(__xludf.DUMMYFUNCTION("""COMPUTED_VALUE"""),"en")</f>
        <v>en</v>
      </c>
      <c r="B12042">
        <f>IFERROR(__xludf.DUMMYFUNCTION("""COMPUTED_VALUE"""),815236.0)</f>
        <v>815236</v>
      </c>
      <c r="C12042" t="str">
        <f>IFERROR(__xludf.DUMMYFUNCTION("""COMPUTED_VALUE"""),"SPSS Masterclass: Learn SPSS From Scratch to Advanced")</f>
        <v>SPSS Masterclass: Learn SPSS From Scratch to Advanced</v>
      </c>
    </row>
    <row r="12043">
      <c r="A12043" s="140" t="str">
        <f>IFERROR(__xludf.DUMMYFUNCTION("""COMPUTED_VALUE"""),"en")</f>
        <v>en</v>
      </c>
      <c r="B12043">
        <f>IFERROR(__xludf.DUMMYFUNCTION("""COMPUTED_VALUE"""),1602180.0)</f>
        <v>1602180</v>
      </c>
      <c r="C12043" t="str">
        <f>IFERROR(__xludf.DUMMYFUNCTION("""COMPUTED_VALUE"""),"Machine Learning Optimization Using Genetic Algorithm")</f>
        <v>Machine Learning Optimization Using Genetic Algorithm</v>
      </c>
    </row>
    <row r="12044">
      <c r="A12044" s="140" t="str">
        <f>IFERROR(__xludf.DUMMYFUNCTION("""COMPUTED_VALUE"""),"ja")</f>
        <v>ja</v>
      </c>
      <c r="B12044">
        <f>IFERROR(__xludf.DUMMYFUNCTION("""COMPUTED_VALUE"""),1961628.0)</f>
        <v>1961628</v>
      </c>
      <c r="C12044" t="str">
        <f>IFERROR(__xludf.DUMMYFUNCTION("""COMPUTED_VALUE"""),"Git入門： ノンプログラマーのための Git")</f>
        <v>Git入門： ノンプログラマーのための Git</v>
      </c>
    </row>
    <row r="12045">
      <c r="A12045" s="140" t="str">
        <f>IFERROR(__xludf.DUMMYFUNCTION("""COMPUTED_VALUE"""),"en")</f>
        <v>en</v>
      </c>
      <c r="B12045">
        <f>IFERROR(__xludf.DUMMYFUNCTION("""COMPUTED_VALUE"""),827712.0)</f>
        <v>827712</v>
      </c>
      <c r="C12045" t="str">
        <f>IFERROR(__xludf.DUMMYFUNCTION("""COMPUTED_VALUE"""),"Google Cloud Productivity - Drive and Google's Office Suite")</f>
        <v>Google Cloud Productivity - Drive and Google's Office Suite</v>
      </c>
    </row>
    <row r="12046">
      <c r="A12046" s="140" t="str">
        <f>IFERROR(__xludf.DUMMYFUNCTION("""COMPUTED_VALUE"""),"ja")</f>
        <v>ja</v>
      </c>
      <c r="B12046">
        <f>IFERROR(__xludf.DUMMYFUNCTION("""COMPUTED_VALUE"""),4225254.0)</f>
        <v>4225254</v>
      </c>
      <c r="C12046" t="str">
        <f>IFERROR(__xludf.DUMMYFUNCTION("""COMPUTED_VALUE"""),"シリコンバレー現役エンジニアが教える NeoVim(VIM) + Tmux + Zsh 入門")</f>
        <v>シリコンバレー現役エンジニアが教える NeoVim(VIM) + Tmux + Zsh 入門</v>
      </c>
    </row>
    <row r="12047">
      <c r="A12047" s="140" t="str">
        <f>IFERROR(__xludf.DUMMYFUNCTION("""COMPUTED_VALUE"""),"ja")</f>
        <v>ja</v>
      </c>
      <c r="B12047">
        <f>IFERROR(__xludf.DUMMYFUNCTION("""COMPUTED_VALUE"""),2147682.0)</f>
        <v>2147682</v>
      </c>
      <c r="C12047" t="str">
        <f>IFERROR(__xludf.DUMMYFUNCTION("""COMPUTED_VALUE"""),"【初心者向け】Active Directory概要")</f>
        <v>【初心者向け】Active Directory概要</v>
      </c>
    </row>
    <row r="12048">
      <c r="A12048" s="140" t="str">
        <f>IFERROR(__xludf.DUMMYFUNCTION("""COMPUTED_VALUE"""),"en")</f>
        <v>en</v>
      </c>
      <c r="B12048">
        <f>IFERROR(__xludf.DUMMYFUNCTION("""COMPUTED_VALUE"""),3115248.0)</f>
        <v>3115248</v>
      </c>
      <c r="C12048" t="str">
        <f>IFERROR(__xludf.DUMMYFUNCTION("""COMPUTED_VALUE"""),"Data Engineering, Serverless ETL &amp; BI on Amazon Cloud")</f>
        <v>Data Engineering, Serverless ETL &amp; BI on Amazon Cloud</v>
      </c>
    </row>
    <row r="12049">
      <c r="A12049" s="140" t="str">
        <f>IFERROR(__xludf.DUMMYFUNCTION("""COMPUTED_VALUE"""),"en")</f>
        <v>en</v>
      </c>
      <c r="B12049">
        <f>IFERROR(__xludf.DUMMYFUNCTION("""COMPUTED_VALUE"""),3291418.0)</f>
        <v>3291418</v>
      </c>
      <c r="C12049" t="str">
        <f>IFERROR(__xludf.DUMMYFUNCTION("""COMPUTED_VALUE"""),"Modern Artificial Intelligence Masterclass: Build 6 Projects")</f>
        <v>Modern Artificial Intelligence Masterclass: Build 6 Projects</v>
      </c>
    </row>
    <row r="12050">
      <c r="A12050" s="140" t="str">
        <f>IFERROR(__xludf.DUMMYFUNCTION("""COMPUTED_VALUE"""),"en")</f>
        <v>en</v>
      </c>
      <c r="B12050">
        <f>IFERROR(__xludf.DUMMYFUNCTION("""COMPUTED_VALUE"""),1556312.0)</f>
        <v>1556312</v>
      </c>
      <c r="C12050" t="str">
        <f>IFERROR(__xludf.DUMMYFUNCTION("""COMPUTED_VALUE"""),"Go Bootcamp: Master Golang with 1000+ Exercises and Projects")</f>
        <v>Go Bootcamp: Master Golang with 1000+ Exercises and Projects</v>
      </c>
    </row>
    <row r="12051">
      <c r="A12051" s="140" t="str">
        <f>IFERROR(__xludf.DUMMYFUNCTION("""COMPUTED_VALUE"""),"es")</f>
        <v>es</v>
      </c>
      <c r="B12051">
        <f>IFERROR(__xludf.DUMMYFUNCTION("""COMPUTED_VALUE"""),1072520.0)</f>
        <v>1072520</v>
      </c>
      <c r="C12051" t="str">
        <f>IFERROR(__xludf.DUMMYFUNCTION("""COMPUTED_VALUE"""),"Blender 2.9 EXPERTO en Modelado 3D desde CERO hasta Avanzado")</f>
        <v>Blender 2.9 EXPERTO en Modelado 3D desde CERO hasta Avanzado</v>
      </c>
    </row>
    <row r="12052">
      <c r="A12052" s="140" t="str">
        <f>IFERROR(__xludf.DUMMYFUNCTION("""COMPUTED_VALUE"""),"en")</f>
        <v>en</v>
      </c>
      <c r="B12052">
        <f>IFERROR(__xludf.DUMMYFUNCTION("""COMPUTED_VALUE"""),113146.0)</f>
        <v>113146</v>
      </c>
      <c r="C12052" t="str">
        <f>IFERROR(__xludf.DUMMYFUNCTION("""COMPUTED_VALUE"""),"Sculpt and Create Tileable Textures in 3d with ZBrush")</f>
        <v>Sculpt and Create Tileable Textures in 3d with ZBrush</v>
      </c>
    </row>
    <row r="12053">
      <c r="A12053" s="140" t="str">
        <f>IFERROR(__xludf.DUMMYFUNCTION("""COMPUTED_VALUE"""),"ja")</f>
        <v>ja</v>
      </c>
      <c r="B12053">
        <f>IFERROR(__xludf.DUMMYFUNCTION("""COMPUTED_VALUE"""),3218921.0)</f>
        <v>3218921</v>
      </c>
      <c r="C12053" t="str">
        <f>IFERROR(__xludf.DUMMYFUNCTION("""COMPUTED_VALUE"""),"【PyTorch+Colab】PyTorchで実装するディープラーニング -CNN、RNN、人工知能Webアプリの構築-")</f>
        <v>【PyTorch+Colab】PyTorchで実装するディープラーニング -CNN、RNN、人工知能Webアプリの構築-</v>
      </c>
    </row>
    <row r="12054">
      <c r="A12054" s="140" t="str">
        <f>IFERROR(__xludf.DUMMYFUNCTION("""COMPUTED_VALUE"""),"es")</f>
        <v>es</v>
      </c>
      <c r="B12054">
        <f>IFERROR(__xludf.DUMMYFUNCTION("""COMPUTED_VALUE"""),3820862.0)</f>
        <v>3820862</v>
      </c>
      <c r="C12054" t="str">
        <f>IFERROR(__xludf.DUMMYFUNCTION("""COMPUTED_VALUE"""),"React Native: Crea tu E-Commerce móvil para iOS y Android")</f>
        <v>React Native: Crea tu E-Commerce móvil para iOS y Android</v>
      </c>
    </row>
    <row r="12055">
      <c r="A12055" s="140" t="str">
        <f>IFERROR(__xludf.DUMMYFUNCTION("""COMPUTED_VALUE"""),"en")</f>
        <v>en</v>
      </c>
      <c r="B12055">
        <f>IFERROR(__xludf.DUMMYFUNCTION("""COMPUTED_VALUE"""),1219332.0)</f>
        <v>1219332</v>
      </c>
      <c r="C12055" t="str">
        <f>IFERROR(__xludf.DUMMYFUNCTION("""COMPUTED_VALUE"""),"Artificial Intelligence A-Z™: Learn How To Build An AI")</f>
        <v>Artificial Intelligence A-Z™: Learn How To Build An AI</v>
      </c>
    </row>
    <row r="12056">
      <c r="A12056" s="140" t="str">
        <f>IFERROR(__xludf.DUMMYFUNCTION("""COMPUTED_VALUE"""),"en")</f>
        <v>en</v>
      </c>
      <c r="B12056">
        <f>IFERROR(__xludf.DUMMYFUNCTION("""COMPUTED_VALUE"""),4231438.0)</f>
        <v>4231438</v>
      </c>
      <c r="C12056" t="str">
        <f>IFERROR(__xludf.DUMMYFUNCTION("""COMPUTED_VALUE"""),"AI for Business - AI Applications for Business Success")</f>
        <v>AI for Business - AI Applications for Business Success</v>
      </c>
    </row>
    <row r="12057">
      <c r="A12057" s="140" t="str">
        <f>IFERROR(__xludf.DUMMYFUNCTION("""COMPUTED_VALUE"""),"es")</f>
        <v>es</v>
      </c>
      <c r="B12057">
        <f>IFERROR(__xludf.DUMMYFUNCTION("""COMPUTED_VALUE"""),2252416.0)</f>
        <v>2252416</v>
      </c>
      <c r="C12057" t="str">
        <f>IFERROR(__xludf.DUMMYFUNCTION("""COMPUTED_VALUE"""),"Sistema de Inventario de Activos con Visual Basic .NET y SQL")</f>
        <v>Sistema de Inventario de Activos con Visual Basic .NET y SQL</v>
      </c>
    </row>
    <row r="12058">
      <c r="A12058" s="140" t="str">
        <f>IFERROR(__xludf.DUMMYFUNCTION("""COMPUTED_VALUE"""),"en")</f>
        <v>en</v>
      </c>
      <c r="B12058">
        <f>IFERROR(__xludf.DUMMYFUNCTION("""COMPUTED_VALUE"""),2725016.0)</f>
        <v>2725016</v>
      </c>
      <c r="C12058" t="str">
        <f>IFERROR(__xludf.DUMMYFUNCTION("""COMPUTED_VALUE"""),"Complete ASP.NET Core and Entity Framework Development")</f>
        <v>Complete ASP.NET Core and Entity Framework Development</v>
      </c>
    </row>
    <row r="12059">
      <c r="A12059" s="140" t="str">
        <f>IFERROR(__xludf.DUMMYFUNCTION("""COMPUTED_VALUE"""),"es")</f>
        <v>es</v>
      </c>
      <c r="B12059">
        <f>IFERROR(__xludf.DUMMYFUNCTION("""COMPUTED_VALUE"""),2638698.0)</f>
        <v>2638698</v>
      </c>
      <c r="C12059" t="str">
        <f>IFERROR(__xludf.DUMMYFUNCTION("""COMPUTED_VALUE"""),"Microsoft PowerApps")</f>
        <v>Microsoft PowerApps</v>
      </c>
    </row>
    <row r="12060">
      <c r="A12060" s="140" t="str">
        <f>IFERROR(__xludf.DUMMYFUNCTION("""COMPUTED_VALUE"""),"en")</f>
        <v>en</v>
      </c>
      <c r="B12060">
        <f>IFERROR(__xludf.DUMMYFUNCTION("""COMPUTED_VALUE"""),1557782.0)</f>
        <v>1557782</v>
      </c>
      <c r="C12060" t="str">
        <f>IFERROR(__xludf.DUMMYFUNCTION("""COMPUTED_VALUE"""),"The Ultimate LINQ with C# Masterclass - Basics to Advanced")</f>
        <v>The Ultimate LINQ with C# Masterclass - Basics to Advanced</v>
      </c>
    </row>
    <row r="12061">
      <c r="A12061" s="140" t="str">
        <f>IFERROR(__xludf.DUMMYFUNCTION("""COMPUTED_VALUE"""),"ja")</f>
        <v>ja</v>
      </c>
      <c r="B12061">
        <f>IFERROR(__xludf.DUMMYFUNCTION("""COMPUTED_VALUE"""),2590434.0)</f>
        <v>2590434</v>
      </c>
      <c r="C12061" t="str">
        <f>IFERROR(__xludf.DUMMYFUNCTION("""COMPUTED_VALUE"""),"AWS 認定ソリューションアーキテクト プロフェッショナル模擬試験問題集（全5回分375問）")</f>
        <v>AWS 認定ソリューションアーキテクト プロフェッショナル模擬試験問題集（全5回分375問）</v>
      </c>
    </row>
    <row r="12062">
      <c r="A12062" s="140" t="str">
        <f>IFERROR(__xludf.DUMMYFUNCTION("""COMPUTED_VALUE"""),"en")</f>
        <v>en</v>
      </c>
      <c r="B12062">
        <f>IFERROR(__xludf.DUMMYFUNCTION("""COMPUTED_VALUE"""),2874152.0)</f>
        <v>2874152</v>
      </c>
      <c r="C12062" t="str">
        <f>IFERROR(__xludf.DUMMYFUNCTION("""COMPUTED_VALUE"""),"Rocking Kubernetes with Amazon EKS, Fargate, And DevOps")</f>
        <v>Rocking Kubernetes with Amazon EKS, Fargate, And DevOps</v>
      </c>
    </row>
    <row r="12063">
      <c r="A12063" s="140" t="str">
        <f>IFERROR(__xludf.DUMMYFUNCTION("""COMPUTED_VALUE"""),"es")</f>
        <v>es</v>
      </c>
      <c r="B12063">
        <f>IFERROR(__xludf.DUMMYFUNCTION("""COMPUTED_VALUE"""),2794616.0)</f>
        <v>2794616</v>
      </c>
      <c r="C12063" t="str">
        <f>IFERROR(__xludf.DUMMYFUNCTION("""COMPUTED_VALUE"""),"OWASP TOP 10 Mobile - Riesgos de las aplicación móviles")</f>
        <v>OWASP TOP 10 Mobile - Riesgos de las aplicación móviles</v>
      </c>
    </row>
    <row r="12064">
      <c r="A12064" s="140" t="str">
        <f>IFERROR(__xludf.DUMMYFUNCTION("""COMPUTED_VALUE"""),"en")</f>
        <v>en</v>
      </c>
      <c r="B12064">
        <f>IFERROR(__xludf.DUMMYFUNCTION("""COMPUTED_VALUE"""),1413580.0)</f>
        <v>1413580</v>
      </c>
      <c r="C12064" t="str">
        <f>IFERROR(__xludf.DUMMYFUNCTION("""COMPUTED_VALUE"""),"Data Science:Data Mining &amp; Natural Language Processing in R")</f>
        <v>Data Science:Data Mining &amp; Natural Language Processing in R</v>
      </c>
    </row>
    <row r="12065">
      <c r="A12065" s="140" t="str">
        <f>IFERROR(__xludf.DUMMYFUNCTION("""COMPUTED_VALUE"""),"en")</f>
        <v>en</v>
      </c>
      <c r="B12065">
        <f>IFERROR(__xludf.DUMMYFUNCTION("""COMPUTED_VALUE"""),2192886.0)</f>
        <v>2192886</v>
      </c>
      <c r="C12065" t="str">
        <f>IFERROR(__xludf.DUMMYFUNCTION("""COMPUTED_VALUE"""),"Asp.Net Core : The Complete Guide To Build RESTful Api's")</f>
        <v>Asp.Net Core : The Complete Guide To Build RESTful Api's</v>
      </c>
    </row>
    <row r="12066">
      <c r="A12066" s="140" t="str">
        <f>IFERROR(__xludf.DUMMYFUNCTION("""COMPUTED_VALUE"""),"ar")</f>
        <v>ar</v>
      </c>
      <c r="B12066">
        <f>IFERROR(__xludf.DUMMYFUNCTION("""COMPUTED_VALUE"""),2950068.0)</f>
        <v>2950068</v>
      </c>
      <c r="C12066" t="str">
        <f>IFERROR(__xludf.DUMMYFUNCTION("""COMPUTED_VALUE"""),"تصميم الألعاب و البرمجة للمبتدئين")</f>
        <v>تصميم الألعاب و البرمجة للمبتدئين</v>
      </c>
    </row>
    <row r="12067">
      <c r="A12067" s="140" t="str">
        <f>IFERROR(__xludf.DUMMYFUNCTION("""COMPUTED_VALUE"""),"en")</f>
        <v>en</v>
      </c>
      <c r="B12067">
        <f>IFERROR(__xludf.DUMMYFUNCTION("""COMPUTED_VALUE"""),1516152.0)</f>
        <v>1516152</v>
      </c>
      <c r="C12067" t="str">
        <f>IFERROR(__xludf.DUMMYFUNCTION("""COMPUTED_VALUE"""),"English Speaking Course. Speak English Slang &amp; Idioms. ESL.")</f>
        <v>English Speaking Course. Speak English Slang &amp; Idioms. ESL.</v>
      </c>
    </row>
    <row r="12068">
      <c r="A12068" s="140" t="str">
        <f>IFERROR(__xludf.DUMMYFUNCTION("""COMPUTED_VALUE"""),"es")</f>
        <v>es</v>
      </c>
      <c r="B12068">
        <f>IFERROR(__xludf.DUMMYFUNCTION("""COMPUTED_VALUE"""),3148216.0)</f>
        <v>3148216</v>
      </c>
      <c r="C12068" t="str">
        <f>IFERROR(__xludf.DUMMYFUNCTION("""COMPUTED_VALUE"""),"Máster en Typescript: Desde Cero a Nivel Profesional")</f>
        <v>Máster en Typescript: Desde Cero a Nivel Profesional</v>
      </c>
    </row>
    <row r="12069">
      <c r="A12069" s="140" t="str">
        <f>IFERROR(__xludf.DUMMYFUNCTION("""COMPUTED_VALUE"""),"en")</f>
        <v>en</v>
      </c>
      <c r="B12069">
        <f>IFERROR(__xludf.DUMMYFUNCTION("""COMPUTED_VALUE"""),164400.0)</f>
        <v>164400</v>
      </c>
      <c r="C12069" t="str">
        <f>IFERROR(__xludf.DUMMYFUNCTION("""COMPUTED_VALUE"""),"Mastering BGP in Depth on Cisco Routers")</f>
        <v>Mastering BGP in Depth on Cisco Routers</v>
      </c>
    </row>
    <row r="12070">
      <c r="A12070" s="140" t="str">
        <f>IFERROR(__xludf.DUMMYFUNCTION("""COMPUTED_VALUE"""),"en")</f>
        <v>en</v>
      </c>
      <c r="B12070">
        <f>IFERROR(__xludf.DUMMYFUNCTION("""COMPUTED_VALUE"""),29942.0)</f>
        <v>29942</v>
      </c>
      <c r="C12070" t="str">
        <f>IFERROR(__xludf.DUMMYFUNCTION("""COMPUTED_VALUE"""),"Learn Adobe Dreamweaver CS6 - For Absolute Beginners")</f>
        <v>Learn Adobe Dreamweaver CS6 - For Absolute Beginners</v>
      </c>
    </row>
    <row r="12071">
      <c r="A12071" s="140" t="str">
        <f>IFERROR(__xludf.DUMMYFUNCTION("""COMPUTED_VALUE"""),"en")</f>
        <v>en</v>
      </c>
      <c r="B12071">
        <f>IFERROR(__xludf.DUMMYFUNCTION("""COMPUTED_VALUE"""),2030286.0)</f>
        <v>2030286</v>
      </c>
      <c r="C12071" t="str">
        <f>IFERROR(__xludf.DUMMYFUNCTION("""COMPUTED_VALUE"""),"Design Mobile Apps: UI, UX &amp; Prototyping in Adobe XD &amp; PS")</f>
        <v>Design Mobile Apps: UI, UX &amp; Prototyping in Adobe XD &amp; PS</v>
      </c>
    </row>
    <row r="12072">
      <c r="A12072" s="140" t="str">
        <f>IFERROR(__xludf.DUMMYFUNCTION("""COMPUTED_VALUE"""),"ko")</f>
        <v>ko</v>
      </c>
      <c r="B12072">
        <f>IFERROR(__xludf.DUMMYFUNCTION("""COMPUTED_VALUE"""),1167316.0)</f>
        <v>1167316</v>
      </c>
      <c r="C12072" t="str">
        <f>IFERROR(__xludf.DUMMYFUNCTION("""COMPUTED_VALUE"""),"오토데스크 인벤터 2017 마스터 베이직")</f>
        <v>오토데스크 인벤터 2017 마스터 베이직</v>
      </c>
    </row>
    <row r="12073">
      <c r="A12073" s="140" t="str">
        <f>IFERROR(__xludf.DUMMYFUNCTION("""COMPUTED_VALUE"""),"en")</f>
        <v>en</v>
      </c>
      <c r="B12073">
        <f>IFERROR(__xludf.DUMMYFUNCTION("""COMPUTED_VALUE"""),1963420.0)</f>
        <v>1963420</v>
      </c>
      <c r="C12073" t="str">
        <f>IFERROR(__xludf.DUMMYFUNCTION("""COMPUTED_VALUE"""),"Mastering Regular Expressions in JavaScript")</f>
        <v>Mastering Regular Expressions in JavaScript</v>
      </c>
    </row>
    <row r="12074">
      <c r="A12074" s="140" t="str">
        <f>IFERROR(__xludf.DUMMYFUNCTION("""COMPUTED_VALUE"""),"en")</f>
        <v>en</v>
      </c>
      <c r="B12074">
        <f>IFERROR(__xludf.DUMMYFUNCTION("""COMPUTED_VALUE"""),1312124.0)</f>
        <v>1312124</v>
      </c>
      <c r="C12074" t="str">
        <f>IFERROR(__xludf.DUMMYFUNCTION("""COMPUTED_VALUE"""),"Marketing Psychology – The Art of Ethical Persuasion")</f>
        <v>Marketing Psychology – The Art of Ethical Persuasion</v>
      </c>
    </row>
    <row r="12075">
      <c r="A12075" s="140" t="str">
        <f>IFERROR(__xludf.DUMMYFUNCTION("""COMPUTED_VALUE"""),"pt")</f>
        <v>pt</v>
      </c>
      <c r="B12075">
        <f>IFERROR(__xludf.DUMMYFUNCTION("""COMPUTED_VALUE"""),2184938.0)</f>
        <v>2184938</v>
      </c>
      <c r="C12075" t="str">
        <f>IFERROR(__xludf.DUMMYFUNCTION("""COMPUTED_VALUE"""),"Curso de Power BI + Dax + Projetos na prática.")</f>
        <v>Curso de Power BI + Dax + Projetos na prática.</v>
      </c>
    </row>
    <row r="12076">
      <c r="A12076" s="140" t="str">
        <f>IFERROR(__xludf.DUMMYFUNCTION("""COMPUTED_VALUE"""),"pt")</f>
        <v>pt</v>
      </c>
      <c r="B12076">
        <f>IFERROR(__xludf.DUMMYFUNCTION("""COMPUTED_VALUE"""),3978202.0)</f>
        <v>3978202</v>
      </c>
      <c r="C12076" t="str">
        <f>IFERROR(__xludf.DUMMYFUNCTION("""COMPUTED_VALUE"""),"DevOps Ninja: Multicloud+Multicluster K8S+Rancher+Traefik")</f>
        <v>DevOps Ninja: Multicloud+Multicluster K8S+Rancher+Traefik</v>
      </c>
    </row>
    <row r="12077">
      <c r="A12077" s="140" t="str">
        <f>IFERROR(__xludf.DUMMYFUNCTION("""COMPUTED_VALUE"""),"en")</f>
        <v>en</v>
      </c>
      <c r="B12077">
        <f>IFERROR(__xludf.DUMMYFUNCTION("""COMPUTED_VALUE"""),746014.0)</f>
        <v>746014</v>
      </c>
      <c r="C12077" t="str">
        <f>IFERROR(__xludf.DUMMYFUNCTION("""COMPUTED_VALUE"""),"The Complete Sass &amp; SCSS Course: From Beginner to Advanced")</f>
        <v>The Complete Sass &amp; SCSS Course: From Beginner to Advanced</v>
      </c>
    </row>
    <row r="12078">
      <c r="A12078" s="140" t="str">
        <f>IFERROR(__xludf.DUMMYFUNCTION("""COMPUTED_VALUE"""),"en")</f>
        <v>en</v>
      </c>
      <c r="B12078">
        <f>IFERROR(__xludf.DUMMYFUNCTION("""COMPUTED_VALUE"""),739854.0)</f>
        <v>739854</v>
      </c>
      <c r="C12078" t="str">
        <f>IFERROR(__xludf.DUMMYFUNCTION("""COMPUTED_VALUE"""),"Cisco OSPF Practical Labs 2022- Basic to Advanced")</f>
        <v>Cisco OSPF Practical Labs 2022- Basic to Advanced</v>
      </c>
    </row>
    <row r="12079">
      <c r="A12079" s="140" t="str">
        <f>IFERROR(__xludf.DUMMYFUNCTION("""COMPUTED_VALUE"""),"es")</f>
        <v>es</v>
      </c>
      <c r="B12079">
        <f>IFERROR(__xludf.DUMMYFUNCTION("""COMPUTED_VALUE"""),2148064.0)</f>
        <v>2148064</v>
      </c>
      <c r="C12079" t="str">
        <f>IFERROR(__xludf.DUMMYFUNCTION("""COMPUTED_VALUE"""),"Design Thinking | De Cero a MAESTRO [2021]")</f>
        <v>Design Thinking | De Cero a MAESTRO [2021]</v>
      </c>
    </row>
    <row r="12080">
      <c r="A12080" s="140" t="str">
        <f>IFERROR(__xludf.DUMMYFUNCTION("""COMPUTED_VALUE"""),"en")</f>
        <v>en</v>
      </c>
      <c r="B12080">
        <f>IFERROR(__xludf.DUMMYFUNCTION("""COMPUTED_VALUE"""),1777838.0)</f>
        <v>1777838</v>
      </c>
      <c r="C12080" t="str">
        <f>IFERROR(__xludf.DUMMYFUNCTION("""COMPUTED_VALUE"""),"Autodesk Revit - beginner to an intermediate level")</f>
        <v>Autodesk Revit - beginner to an intermediate level</v>
      </c>
    </row>
    <row r="12081">
      <c r="A12081" s="140" t="str">
        <f>IFERROR(__xludf.DUMMYFUNCTION("""COMPUTED_VALUE"""),"en")</f>
        <v>en</v>
      </c>
      <c r="B12081">
        <f>IFERROR(__xludf.DUMMYFUNCTION("""COMPUTED_VALUE"""),927360.0)</f>
        <v>927360</v>
      </c>
      <c r="C12081" t="str">
        <f>IFERROR(__xludf.DUMMYFUNCTION("""COMPUTED_VALUE"""),"After Effects CC Masterclass: Complete After Effects Course")</f>
        <v>After Effects CC Masterclass: Complete After Effects Course</v>
      </c>
    </row>
    <row r="12082">
      <c r="A12082" s="140" t="str">
        <f>IFERROR(__xludf.DUMMYFUNCTION("""COMPUTED_VALUE"""),"en")</f>
        <v>en</v>
      </c>
      <c r="B12082">
        <f>IFERROR(__xludf.DUMMYFUNCTION("""COMPUTED_VALUE"""),2597160.0)</f>
        <v>2597160</v>
      </c>
      <c r="C12082" t="str">
        <f>IFERROR(__xludf.DUMMYFUNCTION("""COMPUTED_VALUE"""),"Practice Exams | AWS Certified Solutions Architect Associate")</f>
        <v>Practice Exams | AWS Certified Solutions Architect Associate</v>
      </c>
    </row>
    <row r="12083">
      <c r="A12083" s="140" t="str">
        <f>IFERROR(__xludf.DUMMYFUNCTION("""COMPUTED_VALUE"""),"en")</f>
        <v>en</v>
      </c>
      <c r="B12083">
        <f>IFERROR(__xludf.DUMMYFUNCTION("""COMPUTED_VALUE"""),863812.0)</f>
        <v>863812</v>
      </c>
      <c r="C12083" t="str">
        <f>IFERROR(__xludf.DUMMYFUNCTION("""COMPUTED_VALUE"""),"Spring Framework DevOps on AWS")</f>
        <v>Spring Framework DevOps on AWS</v>
      </c>
    </row>
    <row r="12084">
      <c r="A12084" s="140" t="str">
        <f>IFERROR(__xludf.DUMMYFUNCTION("""COMPUTED_VALUE"""),"en")</f>
        <v>en</v>
      </c>
      <c r="B12084">
        <f>IFERROR(__xludf.DUMMYFUNCTION("""COMPUTED_VALUE"""),1164278.0)</f>
        <v>1164278</v>
      </c>
      <c r="C12084" t="str">
        <f>IFERROR(__xludf.DUMMYFUNCTION("""COMPUTED_VALUE"""),"UI &amp; Web Design using Adobe Illustrator CC")</f>
        <v>UI &amp; Web Design using Adobe Illustrator CC</v>
      </c>
    </row>
    <row r="12085">
      <c r="A12085" s="140" t="str">
        <f>IFERROR(__xludf.DUMMYFUNCTION("""COMPUTED_VALUE"""),"pt")</f>
        <v>pt</v>
      </c>
      <c r="B12085">
        <f>IFERROR(__xludf.DUMMYFUNCTION("""COMPUTED_VALUE"""),2011692.0)</f>
        <v>2011692</v>
      </c>
      <c r="C12085" t="str">
        <f>IFERROR(__xludf.DUMMYFUNCTION("""COMPUTED_VALUE"""),"Amazon DynamoDB para Iniciantes - Aprenda Banco NoSQL da AWS")</f>
        <v>Amazon DynamoDB para Iniciantes - Aprenda Banco NoSQL da AWS</v>
      </c>
    </row>
    <row r="12086">
      <c r="A12086" s="140" t="str">
        <f>IFERROR(__xludf.DUMMYFUNCTION("""COMPUTED_VALUE"""),"de")</f>
        <v>de</v>
      </c>
      <c r="B12086">
        <f>IFERROR(__xludf.DUMMYFUNCTION("""COMPUTED_VALUE"""),1454816.0)</f>
        <v>1454816</v>
      </c>
      <c r="C12086" t="str">
        <f>IFERROR(__xludf.DUMMYFUNCTION("""COMPUTED_VALUE"""),"Google AdWords (Google Ads) Praxiskurs für Selbstständige")</f>
        <v>Google AdWords (Google Ads) Praxiskurs für Selbstständige</v>
      </c>
    </row>
    <row r="12087">
      <c r="A12087" s="140" t="str">
        <f>IFERROR(__xludf.DUMMYFUNCTION("""COMPUTED_VALUE"""),"en")</f>
        <v>en</v>
      </c>
      <c r="B12087">
        <f>IFERROR(__xludf.DUMMYFUNCTION("""COMPUTED_VALUE"""),1141368.0)</f>
        <v>1141368</v>
      </c>
      <c r="C12087" t="str">
        <f>IFERROR(__xludf.DUMMYFUNCTION("""COMPUTED_VALUE"""),"Mindfulness Practitioner Diploma (Level I, II, III &amp; Master)")</f>
        <v>Mindfulness Practitioner Diploma (Level I, II, III &amp; Master)</v>
      </c>
    </row>
    <row r="12088">
      <c r="A12088" s="140" t="str">
        <f>IFERROR(__xludf.DUMMYFUNCTION("""COMPUTED_VALUE"""),"tr")</f>
        <v>tr</v>
      </c>
      <c r="B12088">
        <f>IFERROR(__xludf.DUMMYFUNCTION("""COMPUTED_VALUE"""),3124104.0)</f>
        <v>3124104</v>
      </c>
      <c r="C12088" t="str">
        <f>IFERROR(__xludf.DUMMYFUNCTION("""COMPUTED_VALUE"""),"Sıfırdan İleri Seviye Ruby Programlama Dili")</f>
        <v>Sıfırdan İleri Seviye Ruby Programlama Dili</v>
      </c>
    </row>
    <row r="12089">
      <c r="A12089" s="140" t="str">
        <f>IFERROR(__xludf.DUMMYFUNCTION("""COMPUTED_VALUE"""),"fr")</f>
        <v>fr</v>
      </c>
      <c r="B12089">
        <f>IFERROR(__xludf.DUMMYFUNCTION("""COMPUTED_VALUE"""),1484660.0)</f>
        <v>1484660</v>
      </c>
      <c r="C12089" t="str">
        <f>IFERROR(__xludf.DUMMYFUNCTION("""COMPUTED_VALUE"""),"Les bases de Python par la pratique")</f>
        <v>Les bases de Python par la pratique</v>
      </c>
    </row>
    <row r="12090">
      <c r="A12090" s="140" t="str">
        <f>IFERROR(__xludf.DUMMYFUNCTION("""COMPUTED_VALUE"""),"pt")</f>
        <v>pt</v>
      </c>
      <c r="B12090">
        <f>IFERROR(__xludf.DUMMYFUNCTION("""COMPUTED_VALUE"""),1676888.0)</f>
        <v>1676888</v>
      </c>
      <c r="C12090" t="str">
        <f>IFERROR(__xludf.DUMMYFUNCTION("""COMPUTED_VALUE"""),"Desenvolvimento de Aplicações Ms Project | VBA | Excel")</f>
        <v>Desenvolvimento de Aplicações Ms Project | VBA | Excel</v>
      </c>
    </row>
    <row r="12091">
      <c r="A12091" s="140" t="str">
        <f>IFERROR(__xludf.DUMMYFUNCTION("""COMPUTED_VALUE"""),"en")</f>
        <v>en</v>
      </c>
      <c r="B12091">
        <f>IFERROR(__xludf.DUMMYFUNCTION("""COMPUTED_VALUE"""),128300.0)</f>
        <v>128300</v>
      </c>
      <c r="C12091" t="str">
        <f>IFERROR(__xludf.DUMMYFUNCTION("""COMPUTED_VALUE"""),"Become a Calculus 3 Master")</f>
        <v>Become a Calculus 3 Master</v>
      </c>
    </row>
    <row r="12092">
      <c r="A12092" s="140" t="str">
        <f>IFERROR(__xludf.DUMMYFUNCTION("""COMPUTED_VALUE"""),"en")</f>
        <v>en</v>
      </c>
      <c r="B12092">
        <f>IFERROR(__xludf.DUMMYFUNCTION("""COMPUTED_VALUE"""),1531082.0)</f>
        <v>1531082</v>
      </c>
      <c r="C12092" t="str">
        <f>IFERROR(__xludf.DUMMYFUNCTION("""COMPUTED_VALUE"""),"How to Prepare Your U.S. Federal Tax Returns Online")</f>
        <v>How to Prepare Your U.S. Federal Tax Returns Online</v>
      </c>
    </row>
    <row r="12093">
      <c r="A12093" s="140" t="str">
        <f>IFERROR(__xludf.DUMMYFUNCTION("""COMPUTED_VALUE"""),"pt")</f>
        <v>pt</v>
      </c>
      <c r="B12093">
        <f>IFERROR(__xludf.DUMMYFUNCTION("""COMPUTED_VALUE"""),2035962.0)</f>
        <v>2035962</v>
      </c>
      <c r="C12093" t="str">
        <f>IFERROR(__xludf.DUMMYFUNCTION("""COMPUTED_VALUE"""),"Álgebra Linear com Python")</f>
        <v>Álgebra Linear com Python</v>
      </c>
    </row>
    <row r="12094">
      <c r="A12094" s="140" t="str">
        <f>IFERROR(__xludf.DUMMYFUNCTION("""COMPUTED_VALUE"""),"en")</f>
        <v>en</v>
      </c>
      <c r="B12094">
        <f>IFERROR(__xludf.DUMMYFUNCTION("""COMPUTED_VALUE"""),1653446.0)</f>
        <v>1653446</v>
      </c>
      <c r="C12094" t="str">
        <f>IFERROR(__xludf.DUMMYFUNCTION("""COMPUTED_VALUE"""),"2021 New Google Ads (AdWords) Course - From Beginner to PRO")</f>
        <v>2021 New Google Ads (AdWords) Course - From Beginner to PRO</v>
      </c>
    </row>
    <row r="12095">
      <c r="A12095" s="140" t="str">
        <f>IFERROR(__xludf.DUMMYFUNCTION("""COMPUTED_VALUE"""),"es")</f>
        <v>es</v>
      </c>
      <c r="B12095">
        <f>IFERROR(__xludf.DUMMYFUNCTION("""COMPUTED_VALUE"""),2972612.0)</f>
        <v>2972612</v>
      </c>
      <c r="C12095" t="str">
        <f>IFERROR(__xludf.DUMMYFUNCTION("""COMPUTED_VALUE"""),"Mapas Mentales: usos prácticos")</f>
        <v>Mapas Mentales: usos prácticos</v>
      </c>
    </row>
    <row r="12096">
      <c r="A12096" s="140" t="str">
        <f>IFERROR(__xludf.DUMMYFUNCTION("""COMPUTED_VALUE"""),"ja")</f>
        <v>ja</v>
      </c>
      <c r="B12096">
        <f>IFERROR(__xludf.DUMMYFUNCTION("""COMPUTED_VALUE"""),1851456.0)</f>
        <v>1851456</v>
      </c>
      <c r="C12096" t="str">
        <f>IFERROR(__xludf.DUMMYFUNCTION("""COMPUTED_VALUE"""),"Raspberry Pi とTensorFlow ではじめるAI・IoTアプリ開発入門")</f>
        <v>Raspberry Pi とTensorFlow ではじめるAI・IoTアプリ開発入門</v>
      </c>
    </row>
    <row r="12097">
      <c r="A12097" s="140" t="str">
        <f>IFERROR(__xludf.DUMMYFUNCTION("""COMPUTED_VALUE"""),"es")</f>
        <v>es</v>
      </c>
      <c r="B12097">
        <f>IFERROR(__xludf.DUMMYFUNCTION("""COMPUTED_VALUE"""),2022398.0)</f>
        <v>2022398</v>
      </c>
      <c r="C12097" t="str">
        <f>IFERROR(__xludf.DUMMYFUNCTION("""COMPUTED_VALUE"""),"Aprende a escribir los 20 tipos de textos básicos fácilmente")</f>
        <v>Aprende a escribir los 20 tipos de textos básicos fácilmente</v>
      </c>
    </row>
    <row r="12098">
      <c r="A12098" s="140" t="str">
        <f>IFERROR(__xludf.DUMMYFUNCTION("""COMPUTED_VALUE"""),"en")</f>
        <v>en</v>
      </c>
      <c r="B12098">
        <f>IFERROR(__xludf.DUMMYFUNCTION("""COMPUTED_VALUE"""),1837118.0)</f>
        <v>1837118</v>
      </c>
      <c r="C12098" t="str">
        <f>IFERROR(__xludf.DUMMYFUNCTION("""COMPUTED_VALUE"""),"Microsoft MTA Operating System Fundamental 98-349: Test Prep")</f>
        <v>Microsoft MTA Operating System Fundamental 98-349: Test Prep</v>
      </c>
    </row>
    <row r="12099">
      <c r="A12099" s="140" t="str">
        <f>IFERROR(__xludf.DUMMYFUNCTION("""COMPUTED_VALUE"""),"en")</f>
        <v>en</v>
      </c>
      <c r="B12099">
        <f>IFERROR(__xludf.DUMMYFUNCTION("""COMPUTED_VALUE"""),1491476.0)</f>
        <v>1491476</v>
      </c>
      <c r="C12099" t="str">
        <f>IFERROR(__xludf.DUMMYFUNCTION("""COMPUTED_VALUE"""),"The Complete Instagram Marketing Masterclass")</f>
        <v>The Complete Instagram Marketing Masterclass</v>
      </c>
    </row>
    <row r="12100">
      <c r="A12100" s="140" t="str">
        <f>IFERROR(__xludf.DUMMYFUNCTION("""COMPUTED_VALUE"""),"en")</f>
        <v>en</v>
      </c>
      <c r="B12100">
        <f>IFERROR(__xludf.DUMMYFUNCTION("""COMPUTED_VALUE"""),3269612.0)</f>
        <v>3269612</v>
      </c>
      <c r="C12100" t="str">
        <f>IFERROR(__xludf.DUMMYFUNCTION("""COMPUTED_VALUE"""),"Learn Programme Management: Six Practical Lessons")</f>
        <v>Learn Programme Management: Six Practical Lessons</v>
      </c>
    </row>
    <row r="12101">
      <c r="A12101" s="140" t="str">
        <f>IFERROR(__xludf.DUMMYFUNCTION("""COMPUTED_VALUE"""),"ar")</f>
        <v>ar</v>
      </c>
      <c r="B12101">
        <f>IFERROR(__xludf.DUMMYFUNCTION("""COMPUTED_VALUE"""),1961620.0)</f>
        <v>1961620</v>
      </c>
      <c r="C12101" t="str">
        <f>IFERROR(__xludf.DUMMYFUNCTION("""COMPUTED_VALUE"""),"اعمال الصاج ومبادئ اسطمبات الصاج")</f>
        <v>اعمال الصاج ومبادئ اسطمبات الصاج</v>
      </c>
    </row>
    <row r="12102">
      <c r="A12102" s="140" t="str">
        <f>IFERROR(__xludf.DUMMYFUNCTION("""COMPUTED_VALUE"""),"en")</f>
        <v>en</v>
      </c>
      <c r="B12102">
        <f>IFERROR(__xludf.DUMMYFUNCTION("""COMPUTED_VALUE"""),1511848.0)</f>
        <v>1511848</v>
      </c>
      <c r="C12102" t="str">
        <f>IFERROR(__xludf.DUMMYFUNCTION("""COMPUTED_VALUE"""),"Scala Advanced, Part 1 - The Scala Type System")</f>
        <v>Scala Advanced, Part 1 - The Scala Type System</v>
      </c>
    </row>
    <row r="12103">
      <c r="A12103" s="140" t="str">
        <f>IFERROR(__xludf.DUMMYFUNCTION("""COMPUTED_VALUE"""),"en")</f>
        <v>en</v>
      </c>
      <c r="B12103">
        <f>IFERROR(__xludf.DUMMYFUNCTION("""COMPUTED_VALUE"""),1404594.0)</f>
        <v>1404594</v>
      </c>
      <c r="C12103" t="str">
        <f>IFERROR(__xludf.DUMMYFUNCTION("""COMPUTED_VALUE"""),"Learn To Code by Making Video Games - No Experience Needed!")</f>
        <v>Learn To Code by Making Video Games - No Experience Needed!</v>
      </c>
    </row>
    <row r="12104">
      <c r="A12104" s="140" t="str">
        <f>IFERROR(__xludf.DUMMYFUNCTION("""COMPUTED_VALUE"""),"es")</f>
        <v>es</v>
      </c>
      <c r="B12104">
        <f>IFERROR(__xludf.DUMMYFUNCTION("""COMPUTED_VALUE"""),1505418.0)</f>
        <v>1505418</v>
      </c>
      <c r="C12104" t="str">
        <f>IFERROR(__xludf.DUMMYFUNCTION("""COMPUTED_VALUE"""),"Curso de SolidWorks desde Cero y Completo")</f>
        <v>Curso de SolidWorks desde Cero y Completo</v>
      </c>
    </row>
    <row r="12105">
      <c r="A12105" s="140" t="str">
        <f>IFERROR(__xludf.DUMMYFUNCTION("""COMPUTED_VALUE"""),"en")</f>
        <v>en</v>
      </c>
      <c r="B12105">
        <f>IFERROR(__xludf.DUMMYFUNCTION("""COMPUTED_VALUE"""),3344214.0)</f>
        <v>3344214</v>
      </c>
      <c r="C12105" t="str">
        <f>IFERROR(__xludf.DUMMYFUNCTION("""COMPUTED_VALUE"""),"ServiceNow Certified System Administrator(CSA) Practice Test")</f>
        <v>ServiceNow Certified System Administrator(CSA) Practice Test</v>
      </c>
    </row>
    <row r="12106">
      <c r="A12106" s="140" t="str">
        <f>IFERROR(__xludf.DUMMYFUNCTION("""COMPUTED_VALUE"""),"ja")</f>
        <v>ja</v>
      </c>
      <c r="B12106">
        <f>IFERROR(__xludf.DUMMYFUNCTION("""COMPUTED_VALUE"""),2348438.0)</f>
        <v>2348438</v>
      </c>
      <c r="C12106" t="str">
        <f>IFERROR(__xludf.DUMMYFUNCTION("""COMPUTED_VALUE"""),"【グローバル・ビジネスケースから学ぶ】マーケティング戦略入門（日本語字幕版）")</f>
        <v>【グローバル・ビジネスケースから学ぶ】マーケティング戦略入門（日本語字幕版）</v>
      </c>
    </row>
    <row r="12107">
      <c r="A12107" s="140" t="str">
        <f>IFERROR(__xludf.DUMMYFUNCTION("""COMPUTED_VALUE"""),"en")</f>
        <v>en</v>
      </c>
      <c r="B12107">
        <f>IFERROR(__xludf.DUMMYFUNCTION("""COMPUTED_VALUE"""),3590312.0)</f>
        <v>3590312</v>
      </c>
      <c r="C12107" t="str">
        <f>IFERROR(__xludf.DUMMYFUNCTION("""COMPUTED_VALUE"""),"Complete Beginner's Guide to Anatomy and Figure Drawing pt 2")</f>
        <v>Complete Beginner's Guide to Anatomy and Figure Drawing pt 2</v>
      </c>
    </row>
    <row r="12108">
      <c r="A12108" s="140" t="str">
        <f>IFERROR(__xludf.DUMMYFUNCTION("""COMPUTED_VALUE"""),"es")</f>
        <v>es</v>
      </c>
      <c r="B12108">
        <f>IFERROR(__xludf.DUMMYFUNCTION("""COMPUTED_VALUE"""),797188.0)</f>
        <v>797188</v>
      </c>
      <c r="C12108" t="str">
        <f>IFERROR(__xludf.DUMMYFUNCTION("""COMPUTED_VALUE"""),"Aprende Programación C# con Visual Studio 2017 DESDE CERO")</f>
        <v>Aprende Programación C# con Visual Studio 2017 DESDE CERO</v>
      </c>
    </row>
    <row r="12109">
      <c r="A12109" s="140" t="str">
        <f>IFERROR(__xludf.DUMMYFUNCTION("""COMPUTED_VALUE"""),"en")</f>
        <v>en</v>
      </c>
      <c r="B12109">
        <f>IFERROR(__xludf.DUMMYFUNCTION("""COMPUTED_VALUE"""),756494.0)</f>
        <v>756494</v>
      </c>
      <c r="C12109" t="str">
        <f>IFERROR(__xludf.DUMMYFUNCTION("""COMPUTED_VALUE"""),"Eat Real Food: How to Eat a Whole Food, Plant-Based Diet")</f>
        <v>Eat Real Food: How to Eat a Whole Food, Plant-Based Diet</v>
      </c>
    </row>
    <row r="12110">
      <c r="A12110" s="140" t="str">
        <f>IFERROR(__xludf.DUMMYFUNCTION("""COMPUTED_VALUE"""),"en")</f>
        <v>en</v>
      </c>
      <c r="B12110">
        <f>IFERROR(__xludf.DUMMYFUNCTION("""COMPUTED_VALUE"""),2625274.0)</f>
        <v>2625274</v>
      </c>
      <c r="C12110" t="str">
        <f>IFERROR(__xludf.DUMMYFUNCTION("""COMPUTED_VALUE"""),"Learn Spring 5, Boot 2, JPA, Thymeleaf, AOP, Web MVC, REST")</f>
        <v>Learn Spring 5, Boot 2, JPA, Thymeleaf, AOP, Web MVC, REST</v>
      </c>
    </row>
    <row r="12111">
      <c r="A12111" s="140" t="str">
        <f>IFERROR(__xludf.DUMMYFUNCTION("""COMPUTED_VALUE"""),"en")</f>
        <v>en</v>
      </c>
      <c r="B12111">
        <f>IFERROR(__xludf.DUMMYFUNCTION("""COMPUTED_VALUE"""),1623512.0)</f>
        <v>1623512</v>
      </c>
      <c r="C12111" t="str">
        <f>IFERROR(__xludf.DUMMYFUNCTION("""COMPUTED_VALUE"""),"Complete MongoDB Administration Guide")</f>
        <v>Complete MongoDB Administration Guide</v>
      </c>
    </row>
    <row r="12112">
      <c r="A12112" s="140" t="str">
        <f>IFERROR(__xludf.DUMMYFUNCTION("""COMPUTED_VALUE"""),"en")</f>
        <v>en</v>
      </c>
      <c r="B12112">
        <f>IFERROR(__xludf.DUMMYFUNCTION("""COMPUTED_VALUE"""),1368384.0)</f>
        <v>1368384</v>
      </c>
      <c r="C12112" t="str">
        <f>IFERROR(__xludf.DUMMYFUNCTION("""COMPUTED_VALUE"""),"Learn SQL Using PostgreSQL: From Zero to Hero")</f>
        <v>Learn SQL Using PostgreSQL: From Zero to Hero</v>
      </c>
    </row>
    <row r="12113">
      <c r="A12113" s="140" t="str">
        <f>IFERROR(__xludf.DUMMYFUNCTION("""COMPUTED_VALUE"""),"es")</f>
        <v>es</v>
      </c>
      <c r="B12113">
        <f>IFERROR(__xludf.DUMMYFUNCTION("""COMPUTED_VALUE"""),2641122.0)</f>
        <v>2641122</v>
      </c>
      <c r="C12113" t="str">
        <f>IFERROR(__xludf.DUMMYFUNCTION("""COMPUTED_VALUE"""),"Curso Master de Canva | Diseña como un profesional con Canva")</f>
        <v>Curso Master de Canva | Diseña como un profesional con Canva</v>
      </c>
    </row>
    <row r="12114">
      <c r="A12114" s="140" t="str">
        <f>IFERROR(__xludf.DUMMYFUNCTION("""COMPUTED_VALUE"""),"pt")</f>
        <v>pt</v>
      </c>
      <c r="B12114">
        <f>IFERROR(__xludf.DUMMYFUNCTION("""COMPUTED_VALUE"""),1723362.0)</f>
        <v>1723362</v>
      </c>
      <c r="C12114" t="str">
        <f>IFERROR(__xludf.DUMMYFUNCTION("""COMPUTED_VALUE"""),"Como Vender Mais Com Ofertas Poderosas e Persuasivas + Copy")</f>
        <v>Como Vender Mais Com Ofertas Poderosas e Persuasivas + Copy</v>
      </c>
    </row>
    <row r="12115">
      <c r="A12115" s="140" t="str">
        <f>IFERROR(__xludf.DUMMYFUNCTION("""COMPUTED_VALUE"""),"pt")</f>
        <v>pt</v>
      </c>
      <c r="B12115">
        <f>IFERROR(__xludf.DUMMYFUNCTION("""COMPUTED_VALUE"""),2621430.0)</f>
        <v>2621430</v>
      </c>
      <c r="C12115" t="str">
        <f>IFERROR(__xludf.DUMMYFUNCTION("""COMPUTED_VALUE"""),"Aprenda a Meditar")</f>
        <v>Aprenda a Meditar</v>
      </c>
    </row>
    <row r="12116">
      <c r="A12116" s="140" t="str">
        <f>IFERROR(__xludf.DUMMYFUNCTION("""COMPUTED_VALUE"""),"tr")</f>
        <v>tr</v>
      </c>
      <c r="B12116">
        <f>IFERROR(__xludf.DUMMYFUNCTION("""COMPUTED_VALUE"""),1867120.0)</f>
        <v>1867120</v>
      </c>
      <c r="C12116" t="str">
        <f>IFERROR(__xludf.DUMMYFUNCTION("""COMPUTED_VALUE"""),"Deep Learning ve Python: A'dan Z'ye Derin Öğrenme (5)")</f>
        <v>Deep Learning ve Python: A'dan Z'ye Derin Öğrenme (5)</v>
      </c>
    </row>
    <row r="12117">
      <c r="A12117" s="140" t="str">
        <f>IFERROR(__xludf.DUMMYFUNCTION("""COMPUTED_VALUE"""),"zh")</f>
        <v>zh</v>
      </c>
      <c r="B12117">
        <f>IFERROR(__xludf.DUMMYFUNCTION("""COMPUTED_VALUE"""),2469420.0)</f>
        <v>2469420</v>
      </c>
      <c r="C12117" t="str">
        <f>IFERROR(__xludf.DUMMYFUNCTION("""COMPUTED_VALUE"""),"Tableau高级分析: LOD表达式与TC表计算")</f>
        <v>Tableau高级分析: LOD表达式与TC表计算</v>
      </c>
    </row>
    <row r="12118">
      <c r="A12118" s="140" t="str">
        <f>IFERROR(__xludf.DUMMYFUNCTION("""COMPUTED_VALUE"""),"pt")</f>
        <v>pt</v>
      </c>
      <c r="B12118">
        <f>IFERROR(__xludf.DUMMYFUNCTION("""COMPUTED_VALUE"""),3695986.0)</f>
        <v>3695986</v>
      </c>
      <c r="C12118" t="str">
        <f>IFERROR(__xludf.DUMMYFUNCTION("""COMPUTED_VALUE"""),"Curso de PHP 8 - A Linguagem")</f>
        <v>Curso de PHP 8 - A Linguagem</v>
      </c>
    </row>
    <row r="12119">
      <c r="A12119" s="140" t="str">
        <f>IFERROR(__xludf.DUMMYFUNCTION("""COMPUTED_VALUE"""),"pt")</f>
        <v>pt</v>
      </c>
      <c r="B12119">
        <f>IFERROR(__xludf.DUMMYFUNCTION("""COMPUTED_VALUE"""),3126206.0)</f>
        <v>3126206</v>
      </c>
      <c r="C12119" t="str">
        <f>IFERROR(__xludf.DUMMYFUNCTION("""COMPUTED_VALUE"""),"OKR - Curso preparatório para o exame de certificação OKRCP")</f>
        <v>OKR - Curso preparatório para o exame de certificação OKRCP</v>
      </c>
    </row>
    <row r="12120">
      <c r="A12120" s="140" t="str">
        <f>IFERROR(__xludf.DUMMYFUNCTION("""COMPUTED_VALUE"""),"en")</f>
        <v>en</v>
      </c>
      <c r="B12120">
        <f>IFERROR(__xludf.DUMMYFUNCTION("""COMPUTED_VALUE"""),1230878.0)</f>
        <v>1230878</v>
      </c>
      <c r="C12120" t="str">
        <f>IFERROR(__xludf.DUMMYFUNCTION("""COMPUTED_VALUE"""),"Essential Lean Manufacturing for Management Consultants")</f>
        <v>Essential Lean Manufacturing for Management Consultants</v>
      </c>
    </row>
    <row r="12121">
      <c r="A12121" s="140" t="str">
        <f>IFERROR(__xludf.DUMMYFUNCTION("""COMPUTED_VALUE"""),"en")</f>
        <v>en</v>
      </c>
      <c r="B12121">
        <f>IFERROR(__xludf.DUMMYFUNCTION("""COMPUTED_VALUE"""),361272.0)</f>
        <v>361272</v>
      </c>
      <c r="C12121" t="str">
        <f>IFERROR(__xludf.DUMMYFUNCTION("""COMPUTED_VALUE"""),"The Science of Leadership")</f>
        <v>The Science of Leadership</v>
      </c>
    </row>
    <row r="12122">
      <c r="A12122" s="140" t="str">
        <f>IFERROR(__xludf.DUMMYFUNCTION("""COMPUTED_VALUE"""),"en")</f>
        <v>en</v>
      </c>
      <c r="B12122">
        <f>IFERROR(__xludf.DUMMYFUNCTION("""COMPUTED_VALUE"""),1426968.0)</f>
        <v>1426968</v>
      </c>
      <c r="C12122" t="str">
        <f>IFERROR(__xludf.DUMMYFUNCTION("""COMPUTED_VALUE"""),"Onboarding New Employees: Increase retention and performance")</f>
        <v>Onboarding New Employees: Increase retention and performance</v>
      </c>
    </row>
    <row r="12123">
      <c r="A12123" s="140" t="str">
        <f>IFERROR(__xludf.DUMMYFUNCTION("""COMPUTED_VALUE"""),"pt")</f>
        <v>pt</v>
      </c>
      <c r="B12123">
        <f>IFERROR(__xludf.DUMMYFUNCTION("""COMPUTED_VALUE"""),3772918.0)</f>
        <v>3772918</v>
      </c>
      <c r="C12123" t="str">
        <f>IFERROR(__xludf.DUMMYFUNCTION("""COMPUTED_VALUE"""),"Domine Google Data Studio: o Curso Completo (2021)")</f>
        <v>Domine Google Data Studio: o Curso Completo (2021)</v>
      </c>
    </row>
    <row r="12124">
      <c r="A12124" s="140" t="str">
        <f>IFERROR(__xludf.DUMMYFUNCTION("""COMPUTED_VALUE"""),"en")</f>
        <v>en</v>
      </c>
      <c r="B12124">
        <f>IFERROR(__xludf.DUMMYFUNCTION("""COMPUTED_VALUE"""),2603300.0)</f>
        <v>2603300</v>
      </c>
      <c r="C12124" t="str">
        <f>IFERROR(__xludf.DUMMYFUNCTION("""COMPUTED_VALUE"""),"Facebook Clone with Laravel, TDD, Vue &amp; Tailwind CSS")</f>
        <v>Facebook Clone with Laravel, TDD, Vue &amp; Tailwind CSS</v>
      </c>
    </row>
    <row r="12125">
      <c r="A12125" s="140" t="str">
        <f>IFERROR(__xludf.DUMMYFUNCTION("""COMPUTED_VALUE"""),"pt")</f>
        <v>pt</v>
      </c>
      <c r="B12125">
        <f>IFERROR(__xludf.DUMMYFUNCTION("""COMPUTED_VALUE"""),2580086.0)</f>
        <v>2580086</v>
      </c>
      <c r="C12125" t="str">
        <f>IFERROR(__xludf.DUMMYFUNCTION("""COMPUTED_VALUE"""),"Certificação AWS Certified Cloud Practitioner : Exame 2021")</f>
        <v>Certificação AWS Certified Cloud Practitioner : Exame 2021</v>
      </c>
    </row>
    <row r="12126">
      <c r="A12126" s="140" t="str">
        <f>IFERROR(__xludf.DUMMYFUNCTION("""COMPUTED_VALUE"""),"es")</f>
        <v>es</v>
      </c>
      <c r="B12126">
        <f>IFERROR(__xludf.DUMMYFUNCTION("""COMPUTED_VALUE"""),2280368.0)</f>
        <v>2280368</v>
      </c>
      <c r="C12126" t="str">
        <f>IFERROR(__xludf.DUMMYFUNCTION("""COMPUTED_VALUE"""),"Fundamentos Básicos de Business Intelligence con TABLEAU")</f>
        <v>Fundamentos Básicos de Business Intelligence con TABLEAU</v>
      </c>
    </row>
    <row r="12127">
      <c r="A12127" s="140" t="str">
        <f>IFERROR(__xludf.DUMMYFUNCTION("""COMPUTED_VALUE"""),"en")</f>
        <v>en</v>
      </c>
      <c r="B12127">
        <f>IFERROR(__xludf.DUMMYFUNCTION("""COMPUTED_VALUE"""),1430746.0)</f>
        <v>1430746</v>
      </c>
      <c r="C12127" t="str">
        <f>IFERROR(__xludf.DUMMYFUNCTION("""COMPUTED_VALUE"""),"The Complete Web Developer in 2022: Zero to Mastery")</f>
        <v>The Complete Web Developer in 2022: Zero to Mastery</v>
      </c>
    </row>
    <row r="12128">
      <c r="A12128" s="140" t="str">
        <f>IFERROR(__xludf.DUMMYFUNCTION("""COMPUTED_VALUE"""),"en")</f>
        <v>en</v>
      </c>
      <c r="B12128">
        <f>IFERROR(__xludf.DUMMYFUNCTION("""COMPUTED_VALUE"""),206028.0)</f>
        <v>206028</v>
      </c>
      <c r="C12128" t="str">
        <f>IFERROR(__xludf.DUMMYFUNCTION("""COMPUTED_VALUE"""),"Mastering the Adobe Media Encoder CC")</f>
        <v>Mastering the Adobe Media Encoder CC</v>
      </c>
    </row>
    <row r="12129">
      <c r="A12129" s="140" t="str">
        <f>IFERROR(__xludf.DUMMYFUNCTION("""COMPUTED_VALUE"""),"en")</f>
        <v>en</v>
      </c>
      <c r="B12129">
        <f>IFERROR(__xludf.DUMMYFUNCTION("""COMPUTED_VALUE"""),1670116.0)</f>
        <v>1670116</v>
      </c>
      <c r="C12129" t="str">
        <f>IFERROR(__xludf.DUMMYFUNCTION("""COMPUTED_VALUE"""),"AWS Certified Cloud Practitioner: 6 Full Practice Exams 2021")</f>
        <v>AWS Certified Cloud Practitioner: 6 Full Practice Exams 2021</v>
      </c>
    </row>
    <row r="12130">
      <c r="A12130" s="140" t="str">
        <f>IFERROR(__xludf.DUMMYFUNCTION("""COMPUTED_VALUE"""),"en")</f>
        <v>en</v>
      </c>
      <c r="B12130">
        <f>IFERROR(__xludf.DUMMYFUNCTION("""COMPUTED_VALUE"""),1984720.0)</f>
        <v>1984720</v>
      </c>
      <c r="C12130" t="str">
        <f>IFERROR(__xludf.DUMMYFUNCTION("""COMPUTED_VALUE"""),"Apache Spark for Java Developers")</f>
        <v>Apache Spark for Java Developers</v>
      </c>
    </row>
    <row r="12131">
      <c r="A12131" s="140" t="str">
        <f>IFERROR(__xludf.DUMMYFUNCTION("""COMPUTED_VALUE"""),"en")</f>
        <v>en</v>
      </c>
      <c r="B12131">
        <f>IFERROR(__xludf.DUMMYFUNCTION("""COMPUTED_VALUE"""),1074788.0)</f>
        <v>1074788</v>
      </c>
      <c r="C12131" t="str">
        <f>IFERROR(__xludf.DUMMYFUNCTION("""COMPUTED_VALUE"""),"Best Wordpress Plugins")</f>
        <v>Best Wordpress Plugins</v>
      </c>
    </row>
    <row r="12132">
      <c r="A12132" s="140" t="str">
        <f>IFERROR(__xludf.DUMMYFUNCTION("""COMPUTED_VALUE"""),"en")</f>
        <v>en</v>
      </c>
      <c r="B12132">
        <f>IFERROR(__xludf.DUMMYFUNCTION("""COMPUTED_VALUE"""),2343996.0)</f>
        <v>2343996</v>
      </c>
      <c r="C12132" t="str">
        <f>IFERROR(__xludf.DUMMYFUNCTION("""COMPUTED_VALUE"""),"Apache Kafka Series - KSQL on ksqlDB for Stream Processing !")</f>
        <v>Apache Kafka Series - KSQL on ksqlDB for Stream Processing !</v>
      </c>
    </row>
    <row r="12133">
      <c r="A12133" s="140" t="str">
        <f>IFERROR(__xludf.DUMMYFUNCTION("""COMPUTED_VALUE"""),"es")</f>
        <v>es</v>
      </c>
      <c r="B12133">
        <f>IFERROR(__xludf.DUMMYFUNCTION("""COMPUTED_VALUE"""),1346592.0)</f>
        <v>1346592</v>
      </c>
      <c r="C12133" t="str">
        <f>IFERROR(__xludf.DUMMYFUNCTION("""COMPUTED_VALUE"""),"Introducción a la Programación")</f>
        <v>Introducción a la Programación</v>
      </c>
    </row>
    <row r="12134">
      <c r="A12134" s="140" t="str">
        <f>IFERROR(__xludf.DUMMYFUNCTION("""COMPUTED_VALUE"""),"en")</f>
        <v>en</v>
      </c>
      <c r="B12134">
        <f>IFERROR(__xludf.DUMMYFUNCTION("""COMPUTED_VALUE"""),2627908.0)</f>
        <v>2627908</v>
      </c>
      <c r="C12134" t="str">
        <f>IFERROR(__xludf.DUMMYFUNCTION("""COMPUTED_VALUE"""),"HubSpot CRM Essentials")</f>
        <v>HubSpot CRM Essentials</v>
      </c>
    </row>
    <row r="12135">
      <c r="A12135" s="140" t="str">
        <f>IFERROR(__xludf.DUMMYFUNCTION("""COMPUTED_VALUE"""),"pt")</f>
        <v>pt</v>
      </c>
      <c r="B12135">
        <f>IFERROR(__xludf.DUMMYFUNCTION("""COMPUTED_VALUE"""),3367608.0)</f>
        <v>3367608</v>
      </c>
      <c r="C12135" t="str">
        <f>IFERROR(__xludf.DUMMYFUNCTION("""COMPUTED_VALUE"""),"Terminal Linux com Ubuntu")</f>
        <v>Terminal Linux com Ubuntu</v>
      </c>
    </row>
    <row r="12136">
      <c r="A12136" s="140" t="str">
        <f>IFERROR(__xludf.DUMMYFUNCTION("""COMPUTED_VALUE"""),"ja")</f>
        <v>ja</v>
      </c>
      <c r="B12136">
        <f>IFERROR(__xludf.DUMMYFUNCTION("""COMPUTED_VALUE"""),2651948.0)</f>
        <v>2651948</v>
      </c>
      <c r="C12136" t="str">
        <f>IFERROR(__xludf.DUMMYFUNCTION("""COMPUTED_VALUE"""),"動画でわかる！ITパスポート＋基本情報技術者試験合格への道のり【データベース編】")</f>
        <v>動画でわかる！ITパスポート＋基本情報技術者試験合格への道のり【データベース編】</v>
      </c>
    </row>
    <row r="12137">
      <c r="A12137" s="140" t="str">
        <f>IFERROR(__xludf.DUMMYFUNCTION("""COMPUTED_VALUE"""),"en")</f>
        <v>en</v>
      </c>
      <c r="B12137">
        <f>IFERROR(__xludf.DUMMYFUNCTION("""COMPUTED_VALUE"""),1648730.0)</f>
        <v>1648730</v>
      </c>
      <c r="C12137" t="str">
        <f>IFERROR(__xludf.DUMMYFUNCTION("""COMPUTED_VALUE"""),"10 Facebook Marketing Strategies That Make Me 6-Figures")</f>
        <v>10 Facebook Marketing Strategies That Make Me 6-Figures</v>
      </c>
    </row>
    <row r="12138">
      <c r="A12138" s="140" t="str">
        <f>IFERROR(__xludf.DUMMYFUNCTION("""COMPUTED_VALUE"""),"en")</f>
        <v>en</v>
      </c>
      <c r="B12138">
        <f>IFERROR(__xludf.DUMMYFUNCTION("""COMPUTED_VALUE"""),2929044.0)</f>
        <v>2929044</v>
      </c>
      <c r="C12138" t="str">
        <f>IFERROR(__xludf.DUMMYFUNCTION("""COMPUTED_VALUE"""),"SAP MDG Workflows ( BRF+ Rule Based / Static ) with Hands-On")</f>
        <v>SAP MDG Workflows ( BRF+ Rule Based / Static ) with Hands-On</v>
      </c>
    </row>
    <row r="12139">
      <c r="A12139" s="140" t="str">
        <f>IFERROR(__xludf.DUMMYFUNCTION("""COMPUTED_VALUE"""),"en")</f>
        <v>en</v>
      </c>
      <c r="B12139">
        <f>IFERROR(__xludf.DUMMYFUNCTION("""COMPUTED_VALUE"""),3391838.0)</f>
        <v>3391838</v>
      </c>
      <c r="C12139" t="str">
        <f>IFERROR(__xludf.DUMMYFUNCTION("""COMPUTED_VALUE"""),"Oracle Cloud Infrastructure Foundations Practice Tests 2021")</f>
        <v>Oracle Cloud Infrastructure Foundations Practice Tests 2021</v>
      </c>
    </row>
    <row r="12140">
      <c r="A12140" s="140" t="str">
        <f>IFERROR(__xludf.DUMMYFUNCTION("""COMPUTED_VALUE"""),"en")</f>
        <v>en</v>
      </c>
      <c r="B12140">
        <f>IFERROR(__xludf.DUMMYFUNCTION("""COMPUTED_VALUE"""),2755798.0)</f>
        <v>2755798</v>
      </c>
      <c r="C12140" t="str">
        <f>IFERROR(__xludf.DUMMYFUNCTION("""COMPUTED_VALUE"""),"Google BigQuery for Marketers and Agencies - 2021")</f>
        <v>Google BigQuery for Marketers and Agencies - 2021</v>
      </c>
    </row>
    <row r="12141">
      <c r="A12141" s="140" t="str">
        <f>IFERROR(__xludf.DUMMYFUNCTION("""COMPUTED_VALUE"""),"de")</f>
        <v>de</v>
      </c>
      <c r="B12141">
        <f>IFERROR(__xludf.DUMMYFUNCTION("""COMPUTED_VALUE"""),2293259.0)</f>
        <v>2293259</v>
      </c>
      <c r="C12141" t="str">
        <f>IFERROR(__xludf.DUMMYFUNCTION("""COMPUTED_VALUE"""),"Einführung in Power Pivot")</f>
        <v>Einführung in Power Pivot</v>
      </c>
    </row>
    <row r="12142">
      <c r="A12142" s="140" t="str">
        <f>IFERROR(__xludf.DUMMYFUNCTION("""COMPUTED_VALUE"""),"pt")</f>
        <v>pt</v>
      </c>
      <c r="B12142">
        <f>IFERROR(__xludf.DUMMYFUNCTION("""COMPUTED_VALUE"""),2608448.0)</f>
        <v>2608448</v>
      </c>
      <c r="C12142" t="str">
        <f>IFERROR(__xludf.DUMMYFUNCTION("""COMPUTED_VALUE"""),"Certificação AWS Solutions Architect 2021 - Associate")</f>
        <v>Certificação AWS Solutions Architect 2021 - Associate</v>
      </c>
    </row>
    <row r="12143">
      <c r="A12143" s="140" t="str">
        <f>IFERROR(__xludf.DUMMYFUNCTION("""COMPUTED_VALUE"""),"es")</f>
        <v>es</v>
      </c>
      <c r="B12143">
        <f>IFERROR(__xludf.DUMMYFUNCTION("""COMPUTED_VALUE"""),3709018.0)</f>
        <v>3709018</v>
      </c>
      <c r="C12143" t="str">
        <f>IFERROR(__xludf.DUMMYFUNCTION("""COMPUTED_VALUE"""),"Creatividad e Innovación en el mundo de los Negocios [2021]")</f>
        <v>Creatividad e Innovación en el mundo de los Negocios [2021]</v>
      </c>
    </row>
    <row r="12144">
      <c r="A12144" s="140" t="str">
        <f>IFERROR(__xludf.DUMMYFUNCTION("""COMPUTED_VALUE"""),"fr")</f>
        <v>fr</v>
      </c>
      <c r="B12144">
        <f>IFERROR(__xludf.DUMMYFUNCTION("""COMPUTED_VALUE"""),3949968.0)</f>
        <v>3949968</v>
      </c>
      <c r="C12144" t="str">
        <f>IFERROR(__xludf.DUMMYFUNCTION("""COMPUTED_VALUE"""),"Le tournage d'une vidéo de A à Z - Comment tourner une vidéo")</f>
        <v>Le tournage d'une vidéo de A à Z - Comment tourner une vidéo</v>
      </c>
    </row>
    <row r="12145">
      <c r="A12145" s="140" t="str">
        <f>IFERROR(__xludf.DUMMYFUNCTION("""COMPUTED_VALUE"""),"en")</f>
        <v>en</v>
      </c>
      <c r="B12145">
        <f>IFERROR(__xludf.DUMMYFUNCTION("""COMPUTED_VALUE"""),1691638.0)</f>
        <v>1691638</v>
      </c>
      <c r="C12145" t="str">
        <f>IFERROR(__xludf.DUMMYFUNCTION("""COMPUTED_VALUE"""),"Unity C# Scripting : Complete C# For Unity Game Development")</f>
        <v>Unity C# Scripting : Complete C# For Unity Game Development</v>
      </c>
    </row>
    <row r="12146">
      <c r="A12146" s="140" t="str">
        <f>IFERROR(__xludf.DUMMYFUNCTION("""COMPUTED_VALUE"""),"de")</f>
        <v>de</v>
      </c>
      <c r="B12146">
        <f>IFERROR(__xludf.DUMMYFUNCTION("""COMPUTED_VALUE"""),1862412.0)</f>
        <v>1862412</v>
      </c>
      <c r="C12146" t="str">
        <f>IFERROR(__xludf.DUMMYFUNCTION("""COMPUTED_VALUE"""),"Storytelling: Mit guten Geschichten begeistern!")</f>
        <v>Storytelling: Mit guten Geschichten begeistern!</v>
      </c>
    </row>
    <row r="12147">
      <c r="A12147" s="140" t="str">
        <f>IFERROR(__xludf.DUMMYFUNCTION("""COMPUTED_VALUE"""),"en")</f>
        <v>en</v>
      </c>
      <c r="B12147">
        <f>IFERROR(__xludf.DUMMYFUNCTION("""COMPUTED_VALUE"""),677348.0)</f>
        <v>677348</v>
      </c>
      <c r="C12147" t="str">
        <f>IFERROR(__xludf.DUMMYFUNCTION("""COMPUTED_VALUE"""),"Supply Chain Fundamentals:  Understanding the Basics")</f>
        <v>Supply Chain Fundamentals:  Understanding the Basics</v>
      </c>
    </row>
    <row r="12148">
      <c r="A12148" s="140" t="str">
        <f>IFERROR(__xludf.DUMMYFUNCTION("""COMPUTED_VALUE"""),"en")</f>
        <v>en</v>
      </c>
      <c r="B12148">
        <f>IFERROR(__xludf.DUMMYFUNCTION("""COMPUTED_VALUE"""),1154754.0)</f>
        <v>1154754</v>
      </c>
      <c r="C12148" t="str">
        <f>IFERROR(__xludf.DUMMYFUNCTION("""COMPUTED_VALUE"""),"Financial Modeling for Startups &amp; Small Businesses")</f>
        <v>Financial Modeling for Startups &amp; Small Businesses</v>
      </c>
    </row>
    <row r="12149">
      <c r="A12149" s="140" t="str">
        <f>IFERROR(__xludf.DUMMYFUNCTION("""COMPUTED_VALUE"""),"de")</f>
        <v>de</v>
      </c>
      <c r="B12149">
        <f>IFERROR(__xludf.DUMMYFUNCTION("""COMPUTED_VALUE"""),3479192.0)</f>
        <v>3479192</v>
      </c>
      <c r="C12149" t="str">
        <f>IFERROR(__xludf.DUMMYFUNCTION("""COMPUTED_VALUE"""),"SPS programmieren - Siemens TIA Portal + Step7 Classic")</f>
        <v>SPS programmieren - Siemens TIA Portal + Step7 Classic</v>
      </c>
    </row>
    <row r="12150">
      <c r="A12150" s="140" t="str">
        <f>IFERROR(__xludf.DUMMYFUNCTION("""COMPUTED_VALUE"""),"en")</f>
        <v>en</v>
      </c>
      <c r="B12150">
        <f>IFERROR(__xludf.DUMMYFUNCTION("""COMPUTED_VALUE"""),84085.0)</f>
        <v>84085</v>
      </c>
      <c r="C12150" t="str">
        <f>IFERROR(__xludf.DUMMYFUNCTION("""COMPUTED_VALUE"""),"Statistics / Data Analysis in SPSS: Inferential Statistics")</f>
        <v>Statistics / Data Analysis in SPSS: Inferential Statistics</v>
      </c>
    </row>
    <row r="12151">
      <c r="A12151" s="140" t="str">
        <f>IFERROR(__xludf.DUMMYFUNCTION("""COMPUTED_VALUE"""),"en")</f>
        <v>en</v>
      </c>
      <c r="B12151">
        <f>IFERROR(__xludf.DUMMYFUNCTION("""COMPUTED_VALUE"""),1419490.0)</f>
        <v>1419490</v>
      </c>
      <c r="C12151" t="str">
        <f>IFERROR(__xludf.DUMMYFUNCTION("""COMPUTED_VALUE"""),"The Complete Xamarin Developer Course:  iOS And Android!")</f>
        <v>The Complete Xamarin Developer Course:  iOS And Android!</v>
      </c>
    </row>
    <row r="12152">
      <c r="A12152" s="140" t="str">
        <f>IFERROR(__xludf.DUMMYFUNCTION("""COMPUTED_VALUE"""),"en")</f>
        <v>en</v>
      </c>
      <c r="B12152">
        <f>IFERROR(__xludf.DUMMYFUNCTION("""COMPUTED_VALUE"""),2017248.0)</f>
        <v>2017248</v>
      </c>
      <c r="C12152" t="str">
        <f>IFERROR(__xludf.DUMMYFUNCTION("""COMPUTED_VALUE"""),"Practice ISTQB Agile Practice Exams &amp; Detailed Explanation")</f>
        <v>Practice ISTQB Agile Practice Exams &amp; Detailed Explanation</v>
      </c>
    </row>
    <row r="12153">
      <c r="A12153" s="140" t="str">
        <f>IFERROR(__xludf.DUMMYFUNCTION("""COMPUTED_VALUE"""),"en")</f>
        <v>en</v>
      </c>
      <c r="B12153">
        <f>IFERROR(__xludf.DUMMYFUNCTION("""COMPUTED_VALUE"""),1954786.0)</f>
        <v>1954786</v>
      </c>
      <c r="C12153" t="str">
        <f>IFERROR(__xludf.DUMMYFUNCTION("""COMPUTED_VALUE"""),"Linux Security &amp; Hardening, The Practical Approach")</f>
        <v>Linux Security &amp; Hardening, The Practical Approach</v>
      </c>
    </row>
    <row r="12154">
      <c r="A12154" s="140" t="str">
        <f>IFERROR(__xludf.DUMMYFUNCTION("""COMPUTED_VALUE"""),"en")</f>
        <v>en</v>
      </c>
      <c r="B12154">
        <f>IFERROR(__xludf.DUMMYFUNCTION("""COMPUTED_VALUE"""),2053547.0)</f>
        <v>2053547</v>
      </c>
      <c r="C12154" t="str">
        <f>IFERROR(__xludf.DUMMYFUNCTION("""COMPUTED_VALUE"""),"Petroleum Refining - Complete Guide to Products &amp; Processes")</f>
        <v>Petroleum Refining - Complete Guide to Products &amp; Processes</v>
      </c>
    </row>
    <row r="12155">
      <c r="A12155" s="140" t="str">
        <f>IFERROR(__xludf.DUMMYFUNCTION("""COMPUTED_VALUE"""),"en")</f>
        <v>en</v>
      </c>
      <c r="B12155">
        <f>IFERROR(__xludf.DUMMYFUNCTION("""COMPUTED_VALUE"""),1318112.0)</f>
        <v>1318112</v>
      </c>
      <c r="C12155" t="str">
        <f>IFERROR(__xludf.DUMMYFUNCTION("""COMPUTED_VALUE"""),"Complete 2022 Data Science &amp; Machine Learning Bootcamp")</f>
        <v>Complete 2022 Data Science &amp; Machine Learning Bootcamp</v>
      </c>
    </row>
    <row r="12156">
      <c r="A12156" s="140" t="str">
        <f>IFERROR(__xludf.DUMMYFUNCTION("""COMPUTED_VALUE"""),"ja")</f>
        <v>ja</v>
      </c>
      <c r="B12156">
        <f>IFERROR(__xludf.DUMMYFUNCTION("""COMPUTED_VALUE"""),3354850.0)</f>
        <v>3354850</v>
      </c>
      <c r="C12156" t="str">
        <f>IFERROR(__xludf.DUMMYFUNCTION("""COMPUTED_VALUE"""),"新CCNA（200-301）完全未経験からの合格講座（上）")</f>
        <v>新CCNA（200-301）完全未経験からの合格講座（上）</v>
      </c>
    </row>
    <row r="12157">
      <c r="A12157" s="140" t="str">
        <f>IFERROR(__xludf.DUMMYFUNCTION("""COMPUTED_VALUE"""),"es")</f>
        <v>es</v>
      </c>
      <c r="B12157">
        <f>IFERROR(__xludf.DUMMYFUNCTION("""COMPUTED_VALUE"""),2664884.0)</f>
        <v>2664884</v>
      </c>
      <c r="C12157" t="str">
        <f>IFERROR(__xludf.DUMMYFUNCTION("""COMPUTED_VALUE"""),"Deep Learning de A a Z:redes neuronales en Python desde cero")</f>
        <v>Deep Learning de A a Z:redes neuronales en Python desde cero</v>
      </c>
    </row>
    <row r="12158">
      <c r="A12158" s="140" t="str">
        <f>IFERROR(__xludf.DUMMYFUNCTION("""COMPUTED_VALUE"""),"es")</f>
        <v>es</v>
      </c>
      <c r="B12158">
        <f>IFERROR(__xludf.DUMMYFUNCTION("""COMPUTED_VALUE"""),4182668.0)</f>
        <v>4182668</v>
      </c>
      <c r="C12158" t="str">
        <f>IFERROR(__xludf.DUMMYFUNCTION("""COMPUTED_VALUE"""),"Comunicación Avanzada / Conversaciones Difíciles")</f>
        <v>Comunicación Avanzada / Conversaciones Difíciles</v>
      </c>
    </row>
    <row r="12159">
      <c r="A12159" s="140" t="str">
        <f>IFERROR(__xludf.DUMMYFUNCTION("""COMPUTED_VALUE"""),"en")</f>
        <v>en</v>
      </c>
      <c r="B12159">
        <f>IFERROR(__xludf.DUMMYFUNCTION("""COMPUTED_VALUE"""),1362070.0)</f>
        <v>1362070</v>
      </c>
      <c r="C12159" t="str">
        <f>IFERROR(__xludf.DUMMYFUNCTION("""COMPUTED_VALUE"""),"React - The Complete Guide (incl Hooks, React Router, Redux)")</f>
        <v>React - The Complete Guide (incl Hooks, React Router, Redux)</v>
      </c>
    </row>
    <row r="12160">
      <c r="A12160" s="140" t="str">
        <f>IFERROR(__xludf.DUMMYFUNCTION("""COMPUTED_VALUE"""),"en")</f>
        <v>en</v>
      </c>
      <c r="B12160">
        <f>IFERROR(__xludf.DUMMYFUNCTION("""COMPUTED_VALUE"""),4011906.0)</f>
        <v>4011906</v>
      </c>
      <c r="C12160" t="str">
        <f>IFERROR(__xludf.DUMMYFUNCTION("""COMPUTED_VALUE"""),"FastAPI Full Stack Web Development (API + Webapp)")</f>
        <v>FastAPI Full Stack Web Development (API + Webapp)</v>
      </c>
    </row>
    <row r="12161">
      <c r="A12161" s="140" t="str">
        <f>IFERROR(__xludf.DUMMYFUNCTION("""COMPUTED_VALUE"""),"en")</f>
        <v>en</v>
      </c>
      <c r="B12161">
        <f>IFERROR(__xludf.DUMMYFUNCTION("""COMPUTED_VALUE"""),239640.0)</f>
        <v>239640</v>
      </c>
      <c r="C12161" t="str">
        <f>IFERROR(__xludf.DUMMYFUNCTION("""COMPUTED_VALUE"""),"First Aid")</f>
        <v>First Aid</v>
      </c>
    </row>
    <row r="12162">
      <c r="A12162" s="140" t="str">
        <f>IFERROR(__xludf.DUMMYFUNCTION("""COMPUTED_VALUE"""),"en")</f>
        <v>en</v>
      </c>
      <c r="B12162">
        <f>IFERROR(__xludf.DUMMYFUNCTION("""COMPUTED_VALUE"""),1471632.0)</f>
        <v>1471632</v>
      </c>
      <c r="C12162" t="str">
        <f>IFERROR(__xludf.DUMMYFUNCTION("""COMPUTED_VALUE"""),"Master Drools - Turn Complex Logic into Simple to Read Rules")</f>
        <v>Master Drools - Turn Complex Logic into Simple to Read Rules</v>
      </c>
    </row>
    <row r="12163">
      <c r="A12163" s="140" t="str">
        <f>IFERROR(__xludf.DUMMYFUNCTION("""COMPUTED_VALUE"""),"fr")</f>
        <v>fr</v>
      </c>
      <c r="B12163">
        <f>IFERROR(__xludf.DUMMYFUNCTION("""COMPUTED_VALUE"""),3360918.0)</f>
        <v>3360918</v>
      </c>
      <c r="C12163" t="str">
        <f>IFERROR(__xludf.DUMMYFUNCTION("""COMPUTED_VALUE"""),"UNITY &amp; BOLT : Créer des jeux SANS CODER (visual scripting)")</f>
        <v>UNITY &amp; BOLT : Créer des jeux SANS CODER (visual scripting)</v>
      </c>
    </row>
    <row r="12164">
      <c r="A12164" s="140" t="str">
        <f>IFERROR(__xludf.DUMMYFUNCTION("""COMPUTED_VALUE"""),"en")</f>
        <v>en</v>
      </c>
      <c r="B12164">
        <f>IFERROR(__xludf.DUMMYFUNCTION("""COMPUTED_VALUE"""),2683796.0)</f>
        <v>2683796</v>
      </c>
      <c r="C12164" t="str">
        <f>IFERROR(__xludf.DUMMYFUNCTION("""COMPUTED_VALUE"""),"HashiCorp Certified: Vault Associate - Practice Exam - 2021")</f>
        <v>HashiCorp Certified: Vault Associate - Practice Exam - 2021</v>
      </c>
    </row>
    <row r="12165">
      <c r="A12165" s="140" t="str">
        <f>IFERROR(__xludf.DUMMYFUNCTION("""COMPUTED_VALUE"""),"pt")</f>
        <v>pt</v>
      </c>
      <c r="B12165">
        <f>IFERROR(__xludf.DUMMYFUNCTION("""COMPUTED_VALUE"""),1158058.0)</f>
        <v>1158058</v>
      </c>
      <c r="C12165" t="str">
        <f>IFERROR(__xludf.DUMMYFUNCTION("""COMPUTED_VALUE"""),"HTML5 para quem não sabe nada de HTML5")</f>
        <v>HTML5 para quem não sabe nada de HTML5</v>
      </c>
    </row>
    <row r="12166">
      <c r="A12166" s="140" t="str">
        <f>IFERROR(__xludf.DUMMYFUNCTION("""COMPUTED_VALUE"""),"en")</f>
        <v>en</v>
      </c>
      <c r="B12166">
        <f>IFERROR(__xludf.DUMMYFUNCTION("""COMPUTED_VALUE"""),1790358.0)</f>
        <v>1790358</v>
      </c>
      <c r="C12166" t="str">
        <f>IFERROR(__xludf.DUMMYFUNCTION("""COMPUTED_VALUE"""),"Digital Marketing Automation: Save Time and Get More Done")</f>
        <v>Digital Marketing Automation: Save Time and Get More Done</v>
      </c>
    </row>
    <row r="12167">
      <c r="A12167" s="140" t="str">
        <f>IFERROR(__xludf.DUMMYFUNCTION("""COMPUTED_VALUE"""),"de")</f>
        <v>de</v>
      </c>
      <c r="B12167">
        <f>IFERROR(__xludf.DUMMYFUNCTION("""COMPUTED_VALUE"""),1209860.0)</f>
        <v>1209860</v>
      </c>
      <c r="C12167" t="str">
        <f>IFERROR(__xludf.DUMMYFUNCTION("""COMPUTED_VALUE"""),"JPA - Java Persistence API mit Hibernate und der Oracle DB")</f>
        <v>JPA - Java Persistence API mit Hibernate und der Oracle DB</v>
      </c>
    </row>
    <row r="12168">
      <c r="A12168" s="140" t="str">
        <f>IFERROR(__xludf.DUMMYFUNCTION("""COMPUTED_VALUE"""),"ar")</f>
        <v>ar</v>
      </c>
      <c r="B12168">
        <f>IFERROR(__xludf.DUMMYFUNCTION("""COMPUTED_VALUE"""),1330676.0)</f>
        <v>1330676</v>
      </c>
      <c r="C12168" t="str">
        <f>IFERROR(__xludf.DUMMYFUNCTION("""COMPUTED_VALUE"""),"Project Time &amp; Budget Control using EVM tool")</f>
        <v>Project Time &amp; Budget Control using EVM tool</v>
      </c>
    </row>
    <row r="12169">
      <c r="A12169" s="140" t="str">
        <f>IFERROR(__xludf.DUMMYFUNCTION("""COMPUTED_VALUE"""),"en")</f>
        <v>en</v>
      </c>
      <c r="B12169">
        <f>IFERROR(__xludf.DUMMYFUNCTION("""COMPUTED_VALUE"""),1260576.0)</f>
        <v>1260576</v>
      </c>
      <c r="C12169" t="str">
        <f>IFERROR(__xludf.DUMMYFUNCTION("""COMPUTED_VALUE"""),"PMP Certification:35+ PDU Formal PMP Exam Prep _New PMP 2021")</f>
        <v>PMP Certification:35+ PDU Formal PMP Exam Prep _New PMP 2021</v>
      </c>
    </row>
    <row r="12170">
      <c r="A12170" s="140" t="str">
        <f>IFERROR(__xludf.DUMMYFUNCTION("""COMPUTED_VALUE"""),"en")</f>
        <v>en</v>
      </c>
      <c r="B12170">
        <f>IFERROR(__xludf.DUMMYFUNCTION("""COMPUTED_VALUE"""),2472180.0)</f>
        <v>2472180</v>
      </c>
      <c r="C12170" t="str">
        <f>IFERROR(__xludf.DUMMYFUNCTION("""COMPUTED_VALUE"""),"Complete guide to building an app with .Net Core and React")</f>
        <v>Complete guide to building an app with .Net Core and React</v>
      </c>
    </row>
    <row r="12171">
      <c r="A12171" s="140" t="str">
        <f>IFERROR(__xludf.DUMMYFUNCTION("""COMPUTED_VALUE"""),"en")</f>
        <v>en</v>
      </c>
      <c r="B12171">
        <f>IFERROR(__xludf.DUMMYFUNCTION("""COMPUTED_VALUE"""),638292.0)</f>
        <v>638292</v>
      </c>
      <c r="C12171" t="str">
        <f>IFERROR(__xludf.DUMMYFUNCTION("""COMPUTED_VALUE"""),"Master Microsoft Project 2016 - 6 PDUs")</f>
        <v>Master Microsoft Project 2016 - 6 PDUs</v>
      </c>
    </row>
    <row r="12172">
      <c r="A12172" s="140" t="str">
        <f>IFERROR(__xludf.DUMMYFUNCTION("""COMPUTED_VALUE"""),"tr")</f>
        <v>tr</v>
      </c>
      <c r="B12172">
        <f>IFERROR(__xludf.DUMMYFUNCTION("""COMPUTED_VALUE"""),3698660.0)</f>
        <v>3698660</v>
      </c>
      <c r="C12172" t="str">
        <f>IFERROR(__xludf.DUMMYFUNCTION("""COMPUTED_VALUE"""),"Kapsamlı Web App Geliştirme Kursu (NODEJS-REACT-FIREBASE)")</f>
        <v>Kapsamlı Web App Geliştirme Kursu (NODEJS-REACT-FIREBASE)</v>
      </c>
    </row>
    <row r="12173">
      <c r="A12173" s="140" t="str">
        <f>IFERROR(__xludf.DUMMYFUNCTION("""COMPUTED_VALUE"""),"en")</f>
        <v>en</v>
      </c>
      <c r="B12173">
        <f>IFERROR(__xludf.DUMMYFUNCTION("""COMPUTED_VALUE"""),1151036.0)</f>
        <v>1151036</v>
      </c>
      <c r="C12173" t="str">
        <f>IFERROR(__xludf.DUMMYFUNCTION("""COMPUTED_VALUE"""),"Blockchain and Bitcoin Fundamentals")</f>
        <v>Blockchain and Bitcoin Fundamentals</v>
      </c>
    </row>
    <row r="12174">
      <c r="A12174" s="140" t="str">
        <f>IFERROR(__xludf.DUMMYFUNCTION("""COMPUTED_VALUE"""),"de")</f>
        <v>de</v>
      </c>
      <c r="B12174">
        <f>IFERROR(__xludf.DUMMYFUNCTION("""COMPUTED_VALUE"""),1229198.0)</f>
        <v>1229198</v>
      </c>
      <c r="C12174" t="str">
        <f>IFERROR(__xludf.DUMMYFUNCTION("""COMPUTED_VALUE"""),"YouTube SEO Expert - Auf Nr. 1 der Suchergebnisse!")</f>
        <v>YouTube SEO Expert - Auf Nr. 1 der Suchergebnisse!</v>
      </c>
    </row>
    <row r="12175">
      <c r="A12175" s="140" t="str">
        <f>IFERROR(__xludf.DUMMYFUNCTION("""COMPUTED_VALUE"""),"ja")</f>
        <v>ja</v>
      </c>
      <c r="B12175">
        <f>IFERROR(__xludf.DUMMYFUNCTION("""COMPUTED_VALUE"""),2638766.0)</f>
        <v>2638766</v>
      </c>
      <c r="C12175" t="str">
        <f>IFERROR(__xludf.DUMMYFUNCTION("""COMPUTED_VALUE"""),"初心者でも安心！大手マスコミ各社で翻訳・通訳を行うプロが教える『はじめての韓国語基礎講座』")</f>
        <v>初心者でも安心！大手マスコミ各社で翻訳・通訳を行うプロが教える『はじめての韓国語基礎講座』</v>
      </c>
    </row>
    <row r="12176">
      <c r="A12176" s="140" t="str">
        <f>IFERROR(__xludf.DUMMYFUNCTION("""COMPUTED_VALUE"""),"fr")</f>
        <v>fr</v>
      </c>
      <c r="B12176">
        <f>IFERROR(__xludf.DUMMYFUNCTION("""COMPUTED_VALUE"""),3057822.0)</f>
        <v>3057822</v>
      </c>
      <c r="C12176" t="str">
        <f>IFERROR(__xludf.DUMMYFUNCTION("""COMPUTED_VALUE"""),"Créer une application web avec Django")</f>
        <v>Créer une application web avec Django</v>
      </c>
    </row>
    <row r="12177">
      <c r="A12177" s="140" t="str">
        <f>IFERROR(__xludf.DUMMYFUNCTION("""COMPUTED_VALUE"""),"en")</f>
        <v>en</v>
      </c>
      <c r="B12177">
        <f>IFERROR(__xludf.DUMMYFUNCTION("""COMPUTED_VALUE"""),548076.0)</f>
        <v>548076</v>
      </c>
      <c r="C12177" t="str">
        <f>IFERROR(__xludf.DUMMYFUNCTION("""COMPUTED_VALUE"""),"Java Message Service - JMS Fundamentals")</f>
        <v>Java Message Service - JMS Fundamentals</v>
      </c>
    </row>
    <row r="12178">
      <c r="A12178" s="140" t="str">
        <f>IFERROR(__xludf.DUMMYFUNCTION("""COMPUTED_VALUE"""),"en")</f>
        <v>en</v>
      </c>
      <c r="B12178">
        <f>IFERROR(__xludf.DUMMYFUNCTION("""COMPUTED_VALUE"""),2412964.0)</f>
        <v>2412964</v>
      </c>
      <c r="C12178" t="str">
        <f>IFERROR(__xludf.DUMMYFUNCTION("""COMPUTED_VALUE"""),"AWS Certified Cloud Practitioner Training Bootcamp 2021")</f>
        <v>AWS Certified Cloud Practitioner Training Bootcamp 2021</v>
      </c>
    </row>
    <row r="12179">
      <c r="A12179" s="140" t="str">
        <f>IFERROR(__xludf.DUMMYFUNCTION("""COMPUTED_VALUE"""),"es")</f>
        <v>es</v>
      </c>
      <c r="B12179">
        <f>IFERROR(__xludf.DUMMYFUNCTION("""COMPUTED_VALUE"""),1243744.0)</f>
        <v>1243744</v>
      </c>
      <c r="C12179" t="str">
        <f>IFERROR(__xludf.DUMMYFUNCTION("""COMPUTED_VALUE"""),"Curso online de meditación. Aprendé a meditar")</f>
        <v>Curso online de meditación. Aprendé a meditar</v>
      </c>
    </row>
    <row r="12180">
      <c r="A12180" s="140" t="str">
        <f>IFERROR(__xludf.DUMMYFUNCTION("""COMPUTED_VALUE"""),"ja")</f>
        <v>ja</v>
      </c>
      <c r="B12180">
        <f>IFERROR(__xludf.DUMMYFUNCTION("""COMPUTED_VALUE"""),2307940.0)</f>
        <v>2307940</v>
      </c>
      <c r="C12180" t="str">
        <f>IFERROR(__xludf.DUMMYFUNCTION("""COMPUTED_VALUE"""),"はじめての働き方改革")</f>
        <v>はじめての働き方改革</v>
      </c>
    </row>
    <row r="12181">
      <c r="A12181" s="140" t="str">
        <f>IFERROR(__xludf.DUMMYFUNCTION("""COMPUTED_VALUE"""),"en")</f>
        <v>en</v>
      </c>
      <c r="B12181">
        <f>IFERROR(__xludf.DUMMYFUNCTION("""COMPUTED_VALUE"""),1795952.0)</f>
        <v>1795952</v>
      </c>
      <c r="C12181" t="str">
        <f>IFERROR(__xludf.DUMMYFUNCTION("""COMPUTED_VALUE"""),"The Complete Neural Networks Bootcamp: Theory, Applications")</f>
        <v>The Complete Neural Networks Bootcamp: Theory, Applications</v>
      </c>
    </row>
    <row r="12182">
      <c r="A12182" s="140" t="str">
        <f>IFERROR(__xludf.DUMMYFUNCTION("""COMPUTED_VALUE"""),"en")</f>
        <v>en</v>
      </c>
      <c r="B12182">
        <f>IFERROR(__xludf.DUMMYFUNCTION("""COMPUTED_VALUE"""),1661622.0)</f>
        <v>1661622</v>
      </c>
      <c r="C12182" t="str">
        <f>IFERROR(__xludf.DUMMYFUNCTION("""COMPUTED_VALUE"""),"Introduction to Precision Agriculture")</f>
        <v>Introduction to Precision Agriculture</v>
      </c>
    </row>
    <row r="12183">
      <c r="A12183" s="140" t="str">
        <f>IFERROR(__xludf.DUMMYFUNCTION("""COMPUTED_VALUE"""),"de")</f>
        <v>de</v>
      </c>
      <c r="B12183">
        <f>IFERROR(__xludf.DUMMYFUNCTION("""COMPUTED_VALUE"""),2609072.0)</f>
        <v>2609072</v>
      </c>
      <c r="C12183" t="str">
        <f>IFERROR(__xludf.DUMMYFUNCTION("""COMPUTED_VALUE"""),"Just cook it – online kochen lernen!")</f>
        <v>Just cook it – online kochen lernen!</v>
      </c>
    </row>
    <row r="12184">
      <c r="A12184" s="140" t="str">
        <f>IFERROR(__xludf.DUMMYFUNCTION("""COMPUTED_VALUE"""),"en")</f>
        <v>en</v>
      </c>
      <c r="B12184">
        <f>IFERROR(__xludf.DUMMYFUNCTION("""COMPUTED_VALUE"""),672290.0)</f>
        <v>672290</v>
      </c>
      <c r="C12184" t="str">
        <f>IFERROR(__xludf.DUMMYFUNCTION("""COMPUTED_VALUE"""),"Brilliant Customer Service: How to Impress your Customers!")</f>
        <v>Brilliant Customer Service: How to Impress your Customers!</v>
      </c>
    </row>
    <row r="12185">
      <c r="A12185" s="140" t="str">
        <f>IFERROR(__xludf.DUMMYFUNCTION("""COMPUTED_VALUE"""),"en")</f>
        <v>en</v>
      </c>
      <c r="B12185">
        <f>IFERROR(__xludf.DUMMYFUNCTION("""COMPUTED_VALUE"""),1648248.0)</f>
        <v>1648248</v>
      </c>
      <c r="C12185" t="str">
        <f>IFERROR(__xludf.DUMMYFUNCTION("""COMPUTED_VALUE"""),"Understand the CCSK Cloud Security Certification (INTRODUCT)")</f>
        <v>Understand the CCSK Cloud Security Certification (INTRODUCT)</v>
      </c>
    </row>
    <row r="12186">
      <c r="A12186" s="140" t="str">
        <f>IFERROR(__xludf.DUMMYFUNCTION("""COMPUTED_VALUE"""),"en")</f>
        <v>en</v>
      </c>
      <c r="B12186">
        <f>IFERROR(__xludf.DUMMYFUNCTION("""COMPUTED_VALUE"""),2456254.0)</f>
        <v>2456254</v>
      </c>
      <c r="C12186" t="str">
        <f>IFERROR(__xludf.DUMMYFUNCTION("""COMPUTED_VALUE"""),"Geometric Dimensioning &amp; Tolerancing : Advanced concepts")</f>
        <v>Geometric Dimensioning &amp; Tolerancing : Advanced concepts</v>
      </c>
    </row>
    <row r="12187">
      <c r="A12187" s="140" t="str">
        <f>IFERROR(__xludf.DUMMYFUNCTION("""COMPUTED_VALUE"""),"en")</f>
        <v>en</v>
      </c>
      <c r="B12187">
        <f>IFERROR(__xludf.DUMMYFUNCTION("""COMPUTED_VALUE"""),1574570.0)</f>
        <v>1574570</v>
      </c>
      <c r="C12187" t="str">
        <f>IFERROR(__xludf.DUMMYFUNCTION("""COMPUTED_VALUE"""),"Modern Marketing with Seth Godin")</f>
        <v>Modern Marketing with Seth Godin</v>
      </c>
    </row>
    <row r="12188">
      <c r="A12188" s="140" t="str">
        <f>IFERROR(__xludf.DUMMYFUNCTION("""COMPUTED_VALUE"""),"en")</f>
        <v>en</v>
      </c>
      <c r="B12188">
        <f>IFERROR(__xludf.DUMMYFUNCTION("""COMPUTED_VALUE"""),2871944.0)</f>
        <v>2871944</v>
      </c>
      <c r="C12188" t="str">
        <f>IFERROR(__xludf.DUMMYFUNCTION("""COMPUTED_VALUE"""),"Hands-on Penetration Testing Labs 4.0")</f>
        <v>Hands-on Penetration Testing Labs 4.0</v>
      </c>
    </row>
    <row r="12189">
      <c r="A12189" s="140" t="str">
        <f>IFERROR(__xludf.DUMMYFUNCTION("""COMPUTED_VALUE"""),"en")</f>
        <v>en</v>
      </c>
      <c r="B12189">
        <f>IFERROR(__xludf.DUMMYFUNCTION("""COMPUTED_VALUE"""),2048189.0)</f>
        <v>2048189</v>
      </c>
      <c r="C12189" t="str">
        <f>IFERROR(__xludf.DUMMYFUNCTION("""COMPUTED_VALUE"""),"Master Class : TCP/IP Mechanics from Scratch to Expert")</f>
        <v>Master Class : TCP/IP Mechanics from Scratch to Expert</v>
      </c>
    </row>
    <row r="12190">
      <c r="A12190" s="140" t="str">
        <f>IFERROR(__xludf.DUMMYFUNCTION("""COMPUTED_VALUE"""),"en")</f>
        <v>en</v>
      </c>
      <c r="B12190">
        <f>IFERROR(__xludf.DUMMYFUNCTION("""COMPUTED_VALUE"""),3058372.0)</f>
        <v>3058372</v>
      </c>
      <c r="C12190" t="str">
        <f>IFERROR(__xludf.DUMMYFUNCTION("""COMPUTED_VALUE"""),"Azure Active Directory: An Introduction to Azure AD")</f>
        <v>Azure Active Directory: An Introduction to Azure AD</v>
      </c>
    </row>
    <row r="12191">
      <c r="A12191" s="140" t="str">
        <f>IFERROR(__xludf.DUMMYFUNCTION("""COMPUTED_VALUE"""),"fr")</f>
        <v>fr</v>
      </c>
      <c r="B12191">
        <f>IFERROR(__xludf.DUMMYFUNCTION("""COMPUTED_VALUE"""),2251930.0)</f>
        <v>2251930</v>
      </c>
      <c r="C12191" t="str">
        <f>IFERROR(__xludf.DUMMYFUNCTION("""COMPUTED_VALUE"""),"Animations CSS - Le guide par la pratique")</f>
        <v>Animations CSS - Le guide par la pratique</v>
      </c>
    </row>
    <row r="12192">
      <c r="A12192" s="140" t="str">
        <f>IFERROR(__xludf.DUMMYFUNCTION("""COMPUTED_VALUE"""),"ko")</f>
        <v>ko</v>
      </c>
      <c r="B12192">
        <f>IFERROR(__xludf.DUMMYFUNCTION("""COMPUTED_VALUE"""),4289576.0)</f>
        <v>4289576</v>
      </c>
      <c r="C12192" t="str">
        <f>IFERROR(__xludf.DUMMYFUNCTION("""COMPUTED_VALUE"""),"【글로벌 Best강의】 No Code! 코딩없이 인공지능 구현하기 (한글자막)")</f>
        <v>【글로벌 Best강의】 No Code! 코딩없이 인공지능 구현하기 (한글자막)</v>
      </c>
    </row>
    <row r="12193">
      <c r="A12193" s="140" t="str">
        <f>IFERROR(__xludf.DUMMYFUNCTION("""COMPUTED_VALUE"""),"en")</f>
        <v>en</v>
      </c>
      <c r="B12193">
        <f>IFERROR(__xludf.DUMMYFUNCTION("""COMPUTED_VALUE"""),957902.0)</f>
        <v>957902</v>
      </c>
      <c r="C12193" t="str">
        <f>IFERROR(__xludf.DUMMYFUNCTION("""COMPUTED_VALUE"""),"Java Interview Guide : 200+ Interview Questions and Answers")</f>
        <v>Java Interview Guide : 200+ Interview Questions and Answers</v>
      </c>
    </row>
    <row r="12194">
      <c r="A12194" s="140" t="str">
        <f>IFERROR(__xludf.DUMMYFUNCTION("""COMPUTED_VALUE"""),"en")</f>
        <v>en</v>
      </c>
      <c r="B12194">
        <f>IFERROR(__xludf.DUMMYFUNCTION("""COMPUTED_VALUE"""),2473210.0)</f>
        <v>2473210</v>
      </c>
      <c r="C12194" t="str">
        <f>IFERROR(__xludf.DUMMYFUNCTION("""COMPUTED_VALUE"""),"What do we mean by climate breakdown?")</f>
        <v>What do we mean by climate breakdown?</v>
      </c>
    </row>
    <row r="12195">
      <c r="A12195" s="140" t="str">
        <f>IFERROR(__xludf.DUMMYFUNCTION("""COMPUTED_VALUE"""),"es")</f>
        <v>es</v>
      </c>
      <c r="B12195">
        <f>IFERROR(__xludf.DUMMYFUNCTION("""COMPUTED_VALUE"""),1889102.0)</f>
        <v>1889102</v>
      </c>
      <c r="C12195" t="str">
        <f>IFERROR(__xludf.DUMMYFUNCTION("""COMPUTED_VALUE"""),"Escribir Mejores Correos")</f>
        <v>Escribir Mejores Correos</v>
      </c>
    </row>
    <row r="12196">
      <c r="A12196" s="140" t="str">
        <f>IFERROR(__xludf.DUMMYFUNCTION("""COMPUTED_VALUE"""),"en")</f>
        <v>en</v>
      </c>
      <c r="B12196">
        <f>IFERROR(__xludf.DUMMYFUNCTION("""COMPUTED_VALUE"""),1279276.0)</f>
        <v>1279276</v>
      </c>
      <c r="C12196" t="str">
        <f>IFERROR(__xludf.DUMMYFUNCTION("""COMPUTED_VALUE"""),"Cisco CCNA Lab Options")</f>
        <v>Cisco CCNA Lab Options</v>
      </c>
    </row>
    <row r="12197">
      <c r="A12197" s="140" t="str">
        <f>IFERROR(__xludf.DUMMYFUNCTION("""COMPUTED_VALUE"""),"en")</f>
        <v>en</v>
      </c>
      <c r="B12197">
        <f>IFERROR(__xludf.DUMMYFUNCTION("""COMPUTED_VALUE"""),3966610.0)</f>
        <v>3966610</v>
      </c>
      <c r="C12197" t="str">
        <f>IFERROR(__xludf.DUMMYFUNCTION("""COMPUTED_VALUE"""),"Polish Language, Polish Course - Learn Polish From 0 To Hero")</f>
        <v>Polish Language, Polish Course - Learn Polish From 0 To Hero</v>
      </c>
    </row>
    <row r="12198">
      <c r="A12198" s="140" t="str">
        <f>IFERROR(__xludf.DUMMYFUNCTION("""COMPUTED_VALUE"""),"en")</f>
        <v>en</v>
      </c>
      <c r="B12198">
        <f>IFERROR(__xludf.DUMMYFUNCTION("""COMPUTED_VALUE"""),3930060.0)</f>
        <v>3930060</v>
      </c>
      <c r="C12198" t="str">
        <f>IFERROR(__xludf.DUMMYFUNCTION("""COMPUTED_VALUE"""),"PTE Academic Exam Preparation: Speaking Mastery (Score 79+)")</f>
        <v>PTE Academic Exam Preparation: Speaking Mastery (Score 79+)</v>
      </c>
    </row>
    <row r="12199">
      <c r="A12199" s="140" t="str">
        <f>IFERROR(__xludf.DUMMYFUNCTION("""COMPUTED_VALUE"""),"es")</f>
        <v>es</v>
      </c>
      <c r="B12199">
        <f>IFERROR(__xludf.DUMMYFUNCTION("""COMPUTED_VALUE"""),717814.0)</f>
        <v>717814</v>
      </c>
      <c r="C12199" t="str">
        <f>IFERROR(__xludf.DUMMYFUNCTION("""COMPUTED_VALUE"""),"Educa Tu Voz: Aprende Oratoria, Hablar, Leer y Editar Audios")</f>
        <v>Educa Tu Voz: Aprende Oratoria, Hablar, Leer y Editar Audios</v>
      </c>
    </row>
    <row r="12200">
      <c r="A12200" s="140" t="str">
        <f>IFERROR(__xludf.DUMMYFUNCTION("""COMPUTED_VALUE"""),"ja")</f>
        <v>ja</v>
      </c>
      <c r="B12200">
        <f>IFERROR(__xludf.DUMMYFUNCTION("""COMPUTED_VALUE"""),1448808.0)</f>
        <v>1448808</v>
      </c>
      <c r="C12200" t="str">
        <f>IFERROR(__xludf.DUMMYFUNCTION("""COMPUTED_VALUE"""),"VR動画編集入門：Premiere Pro/AfterEffectsの360VR編集指南書")</f>
        <v>VR動画編集入門：Premiere Pro/AfterEffectsの360VR編集指南書</v>
      </c>
    </row>
    <row r="12201">
      <c r="A12201" s="140" t="str">
        <f>IFERROR(__xludf.DUMMYFUNCTION("""COMPUTED_VALUE"""),"en")</f>
        <v>en</v>
      </c>
      <c r="B12201">
        <f>IFERROR(__xludf.DUMMYFUNCTION("""COMPUTED_VALUE"""),332928.0)</f>
        <v>332928</v>
      </c>
      <c r="C12201" t="str">
        <f>IFERROR(__xludf.DUMMYFUNCTION("""COMPUTED_VALUE"""),"Successful HR in Business")</f>
        <v>Successful HR in Business</v>
      </c>
    </row>
    <row r="12202">
      <c r="A12202" s="140" t="str">
        <f>IFERROR(__xludf.DUMMYFUNCTION("""COMPUTED_VALUE"""),"en")</f>
        <v>en</v>
      </c>
      <c r="B12202">
        <f>IFERROR(__xludf.DUMMYFUNCTION("""COMPUTED_VALUE"""),1434700.0)</f>
        <v>1434700</v>
      </c>
      <c r="C12202" t="str">
        <f>IFERROR(__xludf.DUMMYFUNCTION("""COMPUTED_VALUE"""),"[2022] Recruiting: Talent Acquisition &amp; Hiring (Version 3)")</f>
        <v>[2022] Recruiting: Talent Acquisition &amp; Hiring (Version 3)</v>
      </c>
    </row>
    <row r="12203">
      <c r="A12203" s="140" t="str">
        <f>IFERROR(__xludf.DUMMYFUNCTION("""COMPUTED_VALUE"""),"en")</f>
        <v>en</v>
      </c>
      <c r="B12203">
        <f>IFERROR(__xludf.DUMMYFUNCTION("""COMPUTED_VALUE"""),1522136.0)</f>
        <v>1522136</v>
      </c>
      <c r="C12203" t="str">
        <f>IFERROR(__xludf.DUMMYFUNCTION("""COMPUTED_VALUE"""),"Scala Advanced, Part 2 - Best Practices, Async, Serializing")</f>
        <v>Scala Advanced, Part 2 - Best Practices, Async, Serializing</v>
      </c>
    </row>
    <row r="12204">
      <c r="A12204" s="140" t="str">
        <f>IFERROR(__xludf.DUMMYFUNCTION("""COMPUTED_VALUE"""),"en")</f>
        <v>en</v>
      </c>
      <c r="B12204">
        <f>IFERROR(__xludf.DUMMYFUNCTION("""COMPUTED_VALUE"""),2238492.0)</f>
        <v>2238492</v>
      </c>
      <c r="C12204" t="str">
        <f>IFERROR(__xludf.DUMMYFUNCTION("""COMPUTED_VALUE"""),"Creating Graphical Interfaces for Powershell Scripts")</f>
        <v>Creating Graphical Interfaces for Powershell Scripts</v>
      </c>
    </row>
    <row r="12205">
      <c r="A12205" s="140" t="str">
        <f>IFERROR(__xludf.DUMMYFUNCTION("""COMPUTED_VALUE"""),"en")</f>
        <v>en</v>
      </c>
      <c r="B12205">
        <f>IFERROR(__xludf.DUMMYFUNCTION("""COMPUTED_VALUE"""),543210.0)</f>
        <v>543210</v>
      </c>
      <c r="C12205" t="str">
        <f>IFERROR(__xludf.DUMMYFUNCTION("""COMPUTED_VALUE"""),"Learn Social Psychology - The Self &amp; Self-Esteem")</f>
        <v>Learn Social Psychology - The Self &amp; Self-Esteem</v>
      </c>
    </row>
    <row r="12206">
      <c r="A12206" s="140" t="str">
        <f>IFERROR(__xludf.DUMMYFUNCTION("""COMPUTED_VALUE"""),"en")</f>
        <v>en</v>
      </c>
      <c r="B12206">
        <f>IFERROR(__xludf.DUMMYFUNCTION("""COMPUTED_VALUE"""),356030.0)</f>
        <v>356030</v>
      </c>
      <c r="C12206" t="str">
        <f>IFERROR(__xludf.DUMMYFUNCTION("""COMPUTED_VALUE"""),"C# Advanced Topics: Prepare for Technical Interviews")</f>
        <v>C# Advanced Topics: Prepare for Technical Interviews</v>
      </c>
    </row>
    <row r="12207">
      <c r="A12207" s="140" t="str">
        <f>IFERROR(__xludf.DUMMYFUNCTION("""COMPUTED_VALUE"""),"es")</f>
        <v>es</v>
      </c>
      <c r="B12207">
        <f>IFERROR(__xludf.DUMMYFUNCTION("""COMPUTED_VALUE"""),798076.0)</f>
        <v>798076</v>
      </c>
      <c r="C12207" t="str">
        <f>IFERROR(__xludf.DUMMYFUNCTION("""COMPUTED_VALUE"""),"Introducción a Spring Web MVC 5.0 con Spring Boot")</f>
        <v>Introducción a Spring Web MVC 5.0 con Spring Boot</v>
      </c>
    </row>
    <row r="12208">
      <c r="A12208" s="140" t="str">
        <f>IFERROR(__xludf.DUMMYFUNCTION("""COMPUTED_VALUE"""),"fr")</f>
        <v>fr</v>
      </c>
      <c r="B12208">
        <f>IFERROR(__xludf.DUMMYFUNCTION("""COMPUTED_VALUE"""),1433002.0)</f>
        <v>1433002</v>
      </c>
      <c r="C12208" t="str">
        <f>IFERROR(__xludf.DUMMYFUNCTION("""COMPUTED_VALUE"""),"Le C++ moderne par le développement de jeux")</f>
        <v>Le C++ moderne par le développement de jeux</v>
      </c>
    </row>
    <row r="12209">
      <c r="A12209" s="140" t="str">
        <f>IFERROR(__xludf.DUMMYFUNCTION("""COMPUTED_VALUE"""),"en")</f>
        <v>en</v>
      </c>
      <c r="B12209">
        <f>IFERROR(__xludf.DUMMYFUNCTION("""COMPUTED_VALUE"""),359100.0)</f>
        <v>359100</v>
      </c>
      <c r="C12209" t="str">
        <f>IFERROR(__xludf.DUMMYFUNCTION("""COMPUTED_VALUE"""),"CCNA 2020 - CCNA 200-301 exam - a complete guide - Cisco")</f>
        <v>CCNA 2020 - CCNA 200-301 exam - a complete guide - Cisco</v>
      </c>
    </row>
    <row r="12210">
      <c r="A12210" s="140" t="str">
        <f>IFERROR(__xludf.DUMMYFUNCTION("""COMPUTED_VALUE"""),"ko")</f>
        <v>ko</v>
      </c>
      <c r="B12210">
        <f>IFERROR(__xludf.DUMMYFUNCTION("""COMPUTED_VALUE"""),4314536.0)</f>
        <v>4314536</v>
      </c>
      <c r="C12210" t="str">
        <f>IFERROR(__xludf.DUMMYFUNCTION("""COMPUTED_VALUE"""),"[듀오링고 긴급처방] 점수가 급한 당신을 위한 쪽집게 강의+비법 자료")</f>
        <v>[듀오링고 긴급처방] 점수가 급한 당신을 위한 쪽집게 강의+비법 자료</v>
      </c>
    </row>
    <row r="12211">
      <c r="A12211" s="140" t="str">
        <f>IFERROR(__xludf.DUMMYFUNCTION("""COMPUTED_VALUE"""),"es")</f>
        <v>es</v>
      </c>
      <c r="B12211">
        <f>IFERROR(__xludf.DUMMYFUNCTION("""COMPUTED_VALUE"""),444494.0)</f>
        <v>444494</v>
      </c>
      <c r="C12211" t="str">
        <f>IFERROR(__xludf.DUMMYFUNCTION("""COMPUTED_VALUE"""),"Inglés Básico: Todo lo esencial para hispanohablantes")</f>
        <v>Inglés Básico: Todo lo esencial para hispanohablantes</v>
      </c>
    </row>
    <row r="12212">
      <c r="A12212" s="140" t="str">
        <f>IFERROR(__xludf.DUMMYFUNCTION("""COMPUTED_VALUE"""),"en")</f>
        <v>en</v>
      </c>
      <c r="B12212">
        <f>IFERROR(__xludf.DUMMYFUNCTION("""COMPUTED_VALUE"""),3949360.0)</f>
        <v>3949360</v>
      </c>
      <c r="C12212" t="str">
        <f>IFERROR(__xludf.DUMMYFUNCTION("""COMPUTED_VALUE"""),"The Ultimate Guide to Employee Onboarding")</f>
        <v>The Ultimate Guide to Employee Onboarding</v>
      </c>
    </row>
    <row r="12213">
      <c r="A12213" s="140" t="str">
        <f>IFERROR(__xludf.DUMMYFUNCTION("""COMPUTED_VALUE"""),"en")</f>
        <v>en</v>
      </c>
      <c r="B12213">
        <f>IFERROR(__xludf.DUMMYFUNCTION("""COMPUTED_VALUE"""),3331876.0)</f>
        <v>3331876</v>
      </c>
      <c r="C12213" t="str">
        <f>IFERROR(__xludf.DUMMYFUNCTION("""COMPUTED_VALUE"""),"Serverless Python Application on Google Cloud")</f>
        <v>Serverless Python Application on Google Cloud</v>
      </c>
    </row>
    <row r="12214">
      <c r="A12214" s="140" t="str">
        <f>IFERROR(__xludf.DUMMYFUNCTION("""COMPUTED_VALUE"""),"fr")</f>
        <v>fr</v>
      </c>
      <c r="B12214">
        <f>IFERROR(__xludf.DUMMYFUNCTION("""COMPUTED_VALUE"""),2783532.0)</f>
        <v>2783532</v>
      </c>
      <c r="C12214" t="str">
        <f>IFERROR(__xludf.DUMMYFUNCTION("""COMPUTED_VALUE"""),"Communiquer efficacement grâce à la PNL")</f>
        <v>Communiquer efficacement grâce à la PNL</v>
      </c>
    </row>
    <row r="12215">
      <c r="A12215" s="140" t="str">
        <f>IFERROR(__xludf.DUMMYFUNCTION("""COMPUTED_VALUE"""),"en")</f>
        <v>en</v>
      </c>
      <c r="B12215">
        <f>IFERROR(__xludf.DUMMYFUNCTION("""COMPUTED_VALUE"""),4367980.0)</f>
        <v>4367980</v>
      </c>
      <c r="C12215" t="str">
        <f>IFERROR(__xludf.DUMMYFUNCTION("""COMPUTED_VALUE"""),"Finance &amp; Accounting Masterclass: Invest+Forecast+Value+More")</f>
        <v>Finance &amp; Accounting Masterclass: Invest+Forecast+Value+More</v>
      </c>
    </row>
    <row r="12216">
      <c r="A12216" s="140" t="str">
        <f>IFERROR(__xludf.DUMMYFUNCTION("""COMPUTED_VALUE"""),"en")</f>
        <v>en</v>
      </c>
      <c r="B12216">
        <f>IFERROR(__xludf.DUMMYFUNCTION("""COMPUTED_VALUE"""),1680998.0)</f>
        <v>1680998</v>
      </c>
      <c r="C12216" t="str">
        <f>IFERROR(__xludf.DUMMYFUNCTION("""COMPUTED_VALUE"""),"MTA 98-366 Network Fundamentals Class &amp; Practice Exam Bundle")</f>
        <v>MTA 98-366 Network Fundamentals Class &amp; Practice Exam Bundle</v>
      </c>
    </row>
    <row r="12217">
      <c r="A12217" s="140" t="str">
        <f>IFERROR(__xludf.DUMMYFUNCTION("""COMPUTED_VALUE"""),"en")</f>
        <v>en</v>
      </c>
      <c r="B12217">
        <f>IFERROR(__xludf.DUMMYFUNCTION("""COMPUTED_VALUE"""),775932.0)</f>
        <v>775932</v>
      </c>
      <c r="C12217" t="str">
        <f>IFERROR(__xludf.DUMMYFUNCTION("""COMPUTED_VALUE"""),"Life Mastery - Happiness, Health &amp; Success")</f>
        <v>Life Mastery - Happiness, Health &amp; Success</v>
      </c>
    </row>
    <row r="12218">
      <c r="A12218" s="140" t="str">
        <f>IFERROR(__xludf.DUMMYFUNCTION("""COMPUTED_VALUE"""),"en")</f>
        <v>en</v>
      </c>
      <c r="B12218">
        <f>IFERROR(__xludf.DUMMYFUNCTION("""COMPUTED_VALUE"""),3329188.0)</f>
        <v>3329188</v>
      </c>
      <c r="C12218" t="str">
        <f>IFERROR(__xludf.DUMMYFUNCTION("""COMPUTED_VALUE"""),"Git Mindset: Underlying Architecture of Git in Simple Terms")</f>
        <v>Git Mindset: Underlying Architecture of Git in Simple Terms</v>
      </c>
    </row>
    <row r="12219">
      <c r="A12219" s="140" t="str">
        <f>IFERROR(__xludf.DUMMYFUNCTION("""COMPUTED_VALUE"""),"en")</f>
        <v>en</v>
      </c>
      <c r="B12219">
        <f>IFERROR(__xludf.DUMMYFUNCTION("""COMPUTED_VALUE"""),3237889.0)</f>
        <v>3237889</v>
      </c>
      <c r="C12219" t="str">
        <f>IFERROR(__xludf.DUMMYFUNCTION("""COMPUTED_VALUE"""),"C# 8.0 - OOP - Ultimate Guide - Beginner to Advanced")</f>
        <v>C# 8.0 - OOP - Ultimate Guide - Beginner to Advanced</v>
      </c>
    </row>
    <row r="12220">
      <c r="A12220" s="140" t="str">
        <f>IFERROR(__xludf.DUMMYFUNCTION("""COMPUTED_VALUE"""),"en")</f>
        <v>en</v>
      </c>
      <c r="B12220">
        <f>IFERROR(__xludf.DUMMYFUNCTION("""COMPUTED_VALUE"""),2784922.0)</f>
        <v>2784922</v>
      </c>
      <c r="C12220" t="str">
        <f>IFERROR(__xludf.DUMMYFUNCTION("""COMPUTED_VALUE"""),"Hill Climbing and Simulated Annealing AI Algorithms")</f>
        <v>Hill Climbing and Simulated Annealing AI Algorithms</v>
      </c>
    </row>
    <row r="12221">
      <c r="A12221" s="140" t="str">
        <f>IFERROR(__xludf.DUMMYFUNCTION("""COMPUTED_VALUE"""),"en")</f>
        <v>en</v>
      </c>
      <c r="B12221">
        <f>IFERROR(__xludf.DUMMYFUNCTION("""COMPUTED_VALUE"""),2341092.0)</f>
        <v>2341092</v>
      </c>
      <c r="C12221" t="str">
        <f>IFERROR(__xludf.DUMMYFUNCTION("""COMPUTED_VALUE"""),"Leadership Lessons and Building high performing teams")</f>
        <v>Leadership Lessons and Building high performing teams</v>
      </c>
    </row>
    <row r="12222">
      <c r="A12222" s="140" t="str">
        <f>IFERROR(__xludf.DUMMYFUNCTION("""COMPUTED_VALUE"""),"fr")</f>
        <v>fr</v>
      </c>
      <c r="B12222">
        <f>IFERROR(__xludf.DUMMYFUNCTION("""COMPUTED_VALUE"""),1184692.0)</f>
        <v>1184692</v>
      </c>
      <c r="C12222" t="str">
        <f>IFERROR(__xludf.DUMMYFUNCTION("""COMPUTED_VALUE"""),"Apprendre et Maîtriser Excel  de A à Z")</f>
        <v>Apprendre et Maîtriser Excel  de A à Z</v>
      </c>
    </row>
    <row r="12223">
      <c r="A12223" s="140" t="str">
        <f>IFERROR(__xludf.DUMMYFUNCTION("""COMPUTED_VALUE"""),"ja")</f>
        <v>ja</v>
      </c>
      <c r="B12223">
        <f>IFERROR(__xludf.DUMMYFUNCTION("""COMPUTED_VALUE"""),1239980.0)</f>
        <v>1239980</v>
      </c>
      <c r="C12223" t="str">
        <f>IFERROR(__xludf.DUMMYFUNCTION("""COMPUTED_VALUE"""),"【IT初心者でもわかる！Google スプレッドシート入門編】基本機能を活用したワンランク上の使い方、情報処理をマスター")</f>
        <v>【IT初心者でもわかる！Google スプレッドシート入門編】基本機能を活用したワンランク上の使い方、情報処理をマスター</v>
      </c>
    </row>
    <row r="12224">
      <c r="A12224" s="140" t="str">
        <f>IFERROR(__xludf.DUMMYFUNCTION("""COMPUTED_VALUE"""),"en")</f>
        <v>en</v>
      </c>
      <c r="B12224">
        <f>IFERROR(__xludf.DUMMYFUNCTION("""COMPUTED_VALUE"""),1608944.0)</f>
        <v>1608944</v>
      </c>
      <c r="C12224" t="str">
        <f>IFERROR(__xludf.DUMMYFUNCTION("""COMPUTED_VALUE"""),"Laravel with Vue.js - Fullstack Web Development (2020)")</f>
        <v>Laravel with Vue.js - Fullstack Web Development (2020)</v>
      </c>
    </row>
    <row r="12225">
      <c r="A12225" s="140" t="str">
        <f>IFERROR(__xludf.DUMMYFUNCTION("""COMPUTED_VALUE"""),"es")</f>
        <v>es</v>
      </c>
      <c r="B12225">
        <f>IFERROR(__xludf.DUMMYFUNCTION("""COMPUTED_VALUE"""),1319220.0)</f>
        <v>1319220</v>
      </c>
      <c r="C12225" t="str">
        <f>IFERROR(__xludf.DUMMYFUNCTION("""COMPUTED_VALUE"""),"Intensive Spanish Listening")</f>
        <v>Intensive Spanish Listening</v>
      </c>
    </row>
    <row r="12226">
      <c r="A12226" s="140" t="str">
        <f>IFERROR(__xludf.DUMMYFUNCTION("""COMPUTED_VALUE"""),"en")</f>
        <v>en</v>
      </c>
      <c r="B12226">
        <f>IFERROR(__xludf.DUMMYFUNCTION("""COMPUTED_VALUE"""),1253772.0)</f>
        <v>1253772</v>
      </c>
      <c r="C12226" t="str">
        <f>IFERROR(__xludf.DUMMYFUNCTION("""COMPUTED_VALUE"""),"Learn Meditation with Certification to Guide Others")</f>
        <v>Learn Meditation with Certification to Guide Others</v>
      </c>
    </row>
    <row r="12227">
      <c r="A12227" s="140" t="str">
        <f>IFERROR(__xludf.DUMMYFUNCTION("""COMPUTED_VALUE"""),"en")</f>
        <v>en</v>
      </c>
      <c r="B12227">
        <f>IFERROR(__xludf.DUMMYFUNCTION("""COMPUTED_VALUE"""),3974720.0)</f>
        <v>3974720</v>
      </c>
      <c r="C12227" t="str">
        <f>IFERROR(__xludf.DUMMYFUNCTION("""COMPUTED_VALUE"""),"Learn To Create An Online Multiplayer Game In Unity")</f>
        <v>Learn To Create An Online Multiplayer Game In Unity</v>
      </c>
    </row>
    <row r="12228">
      <c r="A12228" s="140" t="str">
        <f>IFERROR(__xludf.DUMMYFUNCTION("""COMPUTED_VALUE"""),"en")</f>
        <v>en</v>
      </c>
      <c r="B12228">
        <f>IFERROR(__xludf.DUMMYFUNCTION("""COMPUTED_VALUE"""),468172.0)</f>
        <v>468172</v>
      </c>
      <c r="C12228" t="str">
        <f>IFERROR(__xludf.DUMMYFUNCTION("""COMPUTED_VALUE"""),"Complete Introduction to Microsoft Power BI [2021 Edition]")</f>
        <v>Complete Introduction to Microsoft Power BI [2021 Edition]</v>
      </c>
    </row>
    <row r="12229">
      <c r="A12229" s="140" t="str">
        <f>IFERROR(__xludf.DUMMYFUNCTION("""COMPUTED_VALUE"""),"de")</f>
        <v>de</v>
      </c>
      <c r="B12229">
        <f>IFERROR(__xludf.DUMMYFUNCTION("""COMPUTED_VALUE"""),2330938.0)</f>
        <v>2330938</v>
      </c>
      <c r="C12229" t="str">
        <f>IFERROR(__xludf.DUMMYFUNCTION("""COMPUTED_VALUE"""),"User Experience &amp; User Interface Design von A-Z mit Adobe XD")</f>
        <v>User Experience &amp; User Interface Design von A-Z mit Adobe XD</v>
      </c>
    </row>
    <row r="12230">
      <c r="A12230" s="140" t="str">
        <f>IFERROR(__xludf.DUMMYFUNCTION("""COMPUTED_VALUE"""),"ar")</f>
        <v>ar</v>
      </c>
      <c r="B12230">
        <f>IFERROR(__xludf.DUMMYFUNCTION("""COMPUTED_VALUE"""),3344718.0)</f>
        <v>3344718</v>
      </c>
      <c r="C12230" t="str">
        <f>IFERROR(__xludf.DUMMYFUNCTION("""COMPUTED_VALUE"""),"Competency Development Specialist أخصائي تطوير الكفاءات")</f>
        <v>Competency Development Specialist أخصائي تطوير الكفاءات</v>
      </c>
    </row>
    <row r="12231">
      <c r="A12231" s="140" t="str">
        <f>IFERROR(__xludf.DUMMYFUNCTION("""COMPUTED_VALUE"""),"pt")</f>
        <v>pt</v>
      </c>
      <c r="B12231">
        <f>IFERROR(__xludf.DUMMYFUNCTION("""COMPUTED_VALUE"""),2359682.0)</f>
        <v>2359682</v>
      </c>
      <c r="C12231" t="str">
        <f>IFERROR(__xludf.DUMMYFUNCTION("""COMPUTED_VALUE"""),"TABLEAU 2018: Treinamento de Tableau para Data Scientists")</f>
        <v>TABLEAU 2018: Treinamento de Tableau para Data Scientists</v>
      </c>
    </row>
    <row r="12232">
      <c r="A12232" s="140" t="str">
        <f>IFERROR(__xludf.DUMMYFUNCTION("""COMPUTED_VALUE"""),"en")</f>
        <v>en</v>
      </c>
      <c r="B12232">
        <f>IFERROR(__xludf.DUMMYFUNCTION("""COMPUTED_VALUE"""),2927502.0)</f>
        <v>2927502</v>
      </c>
      <c r="C12232" t="str">
        <f>IFERROR(__xludf.DUMMYFUNCTION("""COMPUTED_VALUE"""),"JBOSS EAP Basics-Administration,configuration &amp; development")</f>
        <v>JBOSS EAP Basics-Administration,configuration &amp; development</v>
      </c>
    </row>
    <row r="12233">
      <c r="A12233" s="140" t="str">
        <f>IFERROR(__xludf.DUMMYFUNCTION("""COMPUTED_VALUE"""),"tr")</f>
        <v>tr</v>
      </c>
      <c r="B12233">
        <f>IFERROR(__xludf.DUMMYFUNCTION("""COMPUTED_VALUE"""),2775682.0)</f>
        <v>2775682</v>
      </c>
      <c r="C12233" t="str">
        <f>IFERROR(__xludf.DUMMYFUNCTION("""COMPUTED_VALUE"""),"Power Query|Power Pivot|Power BI|DAX|Veri Analizi")</f>
        <v>Power Query|Power Pivot|Power BI|DAX|Veri Analizi</v>
      </c>
    </row>
    <row r="12234">
      <c r="A12234" s="140" t="str">
        <f>IFERROR(__xludf.DUMMYFUNCTION("""COMPUTED_VALUE"""),"ko")</f>
        <v>ko</v>
      </c>
      <c r="B12234">
        <f>IFERROR(__xludf.DUMMYFUNCTION("""COMPUTED_VALUE"""),4294148.0)</f>
        <v>4294148</v>
      </c>
      <c r="C12234" t="str">
        <f>IFERROR(__xludf.DUMMYFUNCTION("""COMPUTED_VALUE"""),"【글로벌 Best강의】 머신러닝 완벽가이드 : Python 및 R 실습으로 완전 정복 (한글 자막)")</f>
        <v>【글로벌 Best강의】 머신러닝 완벽가이드 : Python 및 R 실습으로 완전 정복 (한글 자막)</v>
      </c>
    </row>
    <row r="12235">
      <c r="A12235" s="140" t="str">
        <f>IFERROR(__xludf.DUMMYFUNCTION("""COMPUTED_VALUE"""),"en")</f>
        <v>en</v>
      </c>
      <c r="B12235">
        <f>IFERROR(__xludf.DUMMYFUNCTION("""COMPUTED_VALUE"""),3380208.0)</f>
        <v>3380208</v>
      </c>
      <c r="C12235" t="str">
        <f>IFERROR(__xludf.DUMMYFUNCTION("""COMPUTED_VALUE"""),"Smart Tips: Innovation")</f>
        <v>Smart Tips: Innovation</v>
      </c>
    </row>
    <row r="12236">
      <c r="A12236" s="140" t="str">
        <f>IFERROR(__xludf.DUMMYFUNCTION("""COMPUTED_VALUE"""),"es")</f>
        <v>es</v>
      </c>
      <c r="B12236">
        <f>IFERROR(__xludf.DUMMYFUNCTION("""COMPUTED_VALUE"""),781696.0)</f>
        <v>781696</v>
      </c>
      <c r="C12236" t="str">
        <f>IFERROR(__xludf.DUMMYFUNCTION("""COMPUTED_VALUE"""),"Curso Java SE, Java EE con MySQL - De básico hasta avanzado")</f>
        <v>Curso Java SE, Java EE con MySQL - De básico hasta avanzado</v>
      </c>
    </row>
    <row r="12237">
      <c r="A12237" s="140" t="str">
        <f>IFERROR(__xludf.DUMMYFUNCTION("""COMPUTED_VALUE"""),"tr")</f>
        <v>tr</v>
      </c>
      <c r="B12237">
        <f>IFERROR(__xludf.DUMMYFUNCTION("""COMPUTED_VALUE"""),1782398.0)</f>
        <v>1782398</v>
      </c>
      <c r="C12237" t="str">
        <f>IFERROR(__xludf.DUMMYFUNCTION("""COMPUTED_VALUE"""),"Sıfırdan İleri Seviye Uygulamalı Muhasebe Dersleri")</f>
        <v>Sıfırdan İleri Seviye Uygulamalı Muhasebe Dersleri</v>
      </c>
    </row>
    <row r="12238">
      <c r="A12238" s="140" t="str">
        <f>IFERROR(__xludf.DUMMYFUNCTION("""COMPUTED_VALUE"""),"de")</f>
        <v>de</v>
      </c>
      <c r="B12238">
        <f>IFERROR(__xludf.DUMMYFUNCTION("""COMPUTED_VALUE"""),2957750.0)</f>
        <v>2957750</v>
      </c>
      <c r="C12238" t="str">
        <f>IFERROR(__xludf.DUMMYFUNCTION("""COMPUTED_VALUE"""),"Mit ""Stimme"" mehr Charisma (Business Coaching Program)")</f>
        <v>Mit "Stimme" mehr Charisma (Business Coaching Program)</v>
      </c>
    </row>
    <row r="12239">
      <c r="A12239" s="140" t="str">
        <f>IFERROR(__xludf.DUMMYFUNCTION("""COMPUTED_VALUE"""),"en")</f>
        <v>en</v>
      </c>
      <c r="B12239">
        <f>IFERROR(__xludf.DUMMYFUNCTION("""COMPUTED_VALUE"""),1535678.0)</f>
        <v>1535678</v>
      </c>
      <c r="C12239" t="str">
        <f>IFERROR(__xludf.DUMMYFUNCTION("""COMPUTED_VALUE"""),"Java Programming for Complete Beginners")</f>
        <v>Java Programming for Complete Beginners</v>
      </c>
    </row>
    <row r="12240">
      <c r="A12240" s="140" t="str">
        <f>IFERROR(__xludf.DUMMYFUNCTION("""COMPUTED_VALUE"""),"en")</f>
        <v>en</v>
      </c>
      <c r="B12240">
        <f>IFERROR(__xludf.DUMMYFUNCTION("""COMPUTED_VALUE"""),3335208.0)</f>
        <v>3335208</v>
      </c>
      <c r="C12240" t="str">
        <f>IFERROR(__xludf.DUMMYFUNCTION("""COMPUTED_VALUE"""),"Salesforce Experience (aka Community) Cloud  Complete Guide")</f>
        <v>Salesforce Experience (aka Community) Cloud  Complete Guide</v>
      </c>
    </row>
    <row r="12241">
      <c r="A12241" s="140" t="str">
        <f>IFERROR(__xludf.DUMMYFUNCTION("""COMPUTED_VALUE"""),"pt")</f>
        <v>pt</v>
      </c>
      <c r="B12241">
        <f>IFERROR(__xludf.DUMMYFUNCTION("""COMPUTED_VALUE"""),2294365.0)</f>
        <v>2294365</v>
      </c>
      <c r="C12241" t="str">
        <f>IFERROR(__xludf.DUMMYFUNCTION("""COMPUTED_VALUE"""),"Curso de ZBrush - Introdução ao ZModeler")</f>
        <v>Curso de ZBrush - Introdução ao ZModeler</v>
      </c>
    </row>
    <row r="12242">
      <c r="A12242" s="140" t="str">
        <f>IFERROR(__xludf.DUMMYFUNCTION("""COMPUTED_VALUE"""),"pt")</f>
        <v>pt</v>
      </c>
      <c r="B12242">
        <f>IFERROR(__xludf.DUMMYFUNCTION("""COMPUTED_VALUE"""),2385448.0)</f>
        <v>2385448</v>
      </c>
      <c r="C12242" t="str">
        <f>IFERROR(__xludf.DUMMYFUNCTION("""COMPUTED_VALUE"""),"Gestão de Compras e Negociação Estratégica")</f>
        <v>Gestão de Compras e Negociação Estratégica</v>
      </c>
    </row>
    <row r="12243">
      <c r="A12243" s="140" t="str">
        <f>IFERROR(__xludf.DUMMYFUNCTION("""COMPUTED_VALUE"""),"en")</f>
        <v>en</v>
      </c>
      <c r="B12243">
        <f>IFERROR(__xludf.DUMMYFUNCTION("""COMPUTED_VALUE"""),1196460.0)</f>
        <v>1196460</v>
      </c>
      <c r="C12243" t="str">
        <f>IFERROR(__xludf.DUMMYFUNCTION("""COMPUTED_VALUE"""),"Advanced Android - Architecture with Dagger 2 and more")</f>
        <v>Advanced Android - Architecture with Dagger 2 and more</v>
      </c>
    </row>
    <row r="12244">
      <c r="A12244" s="140" t="str">
        <f>IFERROR(__xludf.DUMMYFUNCTION("""COMPUTED_VALUE"""),"es")</f>
        <v>es</v>
      </c>
      <c r="B12244">
        <f>IFERROR(__xludf.DUMMYFUNCTION("""COMPUTED_VALUE"""),501140.0)</f>
        <v>501140</v>
      </c>
      <c r="C12244" t="str">
        <f>IFERROR(__xludf.DUMMYFUNCTION("""COMPUTED_VALUE"""),"Illustrator CC para novatos: ¡desde cero hasta experto!")</f>
        <v>Illustrator CC para novatos: ¡desde cero hasta experto!</v>
      </c>
    </row>
    <row r="12245">
      <c r="A12245" s="140" t="str">
        <f>IFERROR(__xludf.DUMMYFUNCTION("""COMPUTED_VALUE"""),"en")</f>
        <v>en</v>
      </c>
      <c r="B12245">
        <f>IFERROR(__xludf.DUMMYFUNCTION("""COMPUTED_VALUE"""),1673154.0)</f>
        <v>1673154</v>
      </c>
      <c r="C12245" t="str">
        <f>IFERROR(__xludf.DUMMYFUNCTION("""COMPUTED_VALUE"""),"CISSP Certification: CISSP Domain 3 &amp; 4 Boot Camp UPDATED 22")</f>
        <v>CISSP Certification: CISSP Domain 3 &amp; 4 Boot Camp UPDATED 22</v>
      </c>
    </row>
    <row r="12246">
      <c r="A12246" s="140" t="str">
        <f>IFERROR(__xludf.DUMMYFUNCTION("""COMPUTED_VALUE"""),"en")</f>
        <v>en</v>
      </c>
      <c r="B12246">
        <f>IFERROR(__xludf.DUMMYFUNCTION("""COMPUTED_VALUE"""),3762806.0)</f>
        <v>3762806</v>
      </c>
      <c r="C12246" t="str">
        <f>IFERROR(__xludf.DUMMYFUNCTION("""COMPUTED_VALUE"""),"AWS Certified Security Specialty Latest 2021 Practice Tests")</f>
        <v>AWS Certified Security Specialty Latest 2021 Practice Tests</v>
      </c>
    </row>
    <row r="12247">
      <c r="A12247" s="140" t="str">
        <f>IFERROR(__xludf.DUMMYFUNCTION("""COMPUTED_VALUE"""),"en")</f>
        <v>en</v>
      </c>
      <c r="B12247">
        <f>IFERROR(__xludf.DUMMYFUNCTION("""COMPUTED_VALUE"""),1406996.0)</f>
        <v>1406996</v>
      </c>
      <c r="C12247" t="str">
        <f>IFERROR(__xludf.DUMMYFUNCTION("""COMPUTED_VALUE"""),"LIVE Streaming Masterclass: Start Live Streaming like a Pro")</f>
        <v>LIVE Streaming Masterclass: Start Live Streaming like a Pro</v>
      </c>
    </row>
    <row r="12248">
      <c r="A12248" s="140" t="str">
        <f>IFERROR(__xludf.DUMMYFUNCTION("""COMPUTED_VALUE"""),"ja")</f>
        <v>ja</v>
      </c>
      <c r="B12248">
        <f>IFERROR(__xludf.DUMMYFUNCTION("""COMPUTED_VALUE"""),2718146.0)</f>
        <v>2718146</v>
      </c>
      <c r="C12248" t="str">
        <f>IFERROR(__xludf.DUMMYFUNCTION("""COMPUTED_VALUE"""),"【 生産性を高める 】Windows / エクセル / パワーポイント / ワードのショートカット講座")</f>
        <v>【 生産性を高める 】Windows / エクセル / パワーポイント / ワードのショートカット講座</v>
      </c>
    </row>
    <row r="12249">
      <c r="A12249" s="140" t="str">
        <f>IFERROR(__xludf.DUMMYFUNCTION("""COMPUTED_VALUE"""),"ja")</f>
        <v>ja</v>
      </c>
      <c r="B12249">
        <f>IFERROR(__xludf.DUMMYFUNCTION("""COMPUTED_VALUE"""),1622006.0)</f>
        <v>1622006</v>
      </c>
      <c r="C12249" t="str">
        <f>IFERROR(__xludf.DUMMYFUNCTION("""COMPUTED_VALUE"""),"【世界で4万人が受講】JavaScriptエンジニアのためのES6完全ガイド")</f>
        <v>【世界で4万人が受講】JavaScriptエンジニアのためのES6完全ガイド</v>
      </c>
    </row>
    <row r="12250">
      <c r="A12250" s="140" t="str">
        <f>IFERROR(__xludf.DUMMYFUNCTION("""COMPUTED_VALUE"""),"en")</f>
        <v>en</v>
      </c>
      <c r="B12250">
        <f>IFERROR(__xludf.DUMMYFUNCTION("""COMPUTED_VALUE"""),397354.0)</f>
        <v>397354</v>
      </c>
      <c r="C12250" t="str">
        <f>IFERROR(__xludf.DUMMYFUNCTION("""COMPUTED_VALUE"""),"Grant Writing for Nonprofits and Freelance Writers")</f>
        <v>Grant Writing for Nonprofits and Freelance Writers</v>
      </c>
    </row>
    <row r="12251">
      <c r="A12251" s="140" t="str">
        <f>IFERROR(__xludf.DUMMYFUNCTION("""COMPUTED_VALUE"""),"es")</f>
        <v>es</v>
      </c>
      <c r="B12251">
        <f>IFERROR(__xludf.DUMMYFUNCTION("""COMPUTED_VALUE"""),2704300.0)</f>
        <v>2704300</v>
      </c>
      <c r="C12251" t="str">
        <f>IFERROR(__xludf.DUMMYFUNCTION("""COMPUTED_VALUE"""),"Microservicios con Spring Cloud y Angular full stack")</f>
        <v>Microservicios con Spring Cloud y Angular full stack</v>
      </c>
    </row>
    <row r="12252">
      <c r="A12252" s="140" t="str">
        <f>IFERROR(__xludf.DUMMYFUNCTION("""COMPUTED_VALUE"""),"en")</f>
        <v>en</v>
      </c>
      <c r="B12252">
        <f>IFERROR(__xludf.DUMMYFUNCTION("""COMPUTED_VALUE"""),184136.0)</f>
        <v>184136</v>
      </c>
      <c r="C12252" t="str">
        <f>IFERROR(__xludf.DUMMYFUNCTION("""COMPUTED_VALUE"""),"The Clarity, Purpose and Personal Productivity Masterclass")</f>
        <v>The Clarity, Purpose and Personal Productivity Masterclass</v>
      </c>
    </row>
    <row r="12253">
      <c r="A12253" s="140" t="str">
        <f>IFERROR(__xludf.DUMMYFUNCTION("""COMPUTED_VALUE"""),"en")</f>
        <v>en</v>
      </c>
      <c r="B12253">
        <f>IFERROR(__xludf.DUMMYFUNCTION("""COMPUTED_VALUE"""),1237402.0)</f>
        <v>1237402</v>
      </c>
      <c r="C12253" t="str">
        <f>IFERROR(__xludf.DUMMYFUNCTION("""COMPUTED_VALUE"""),"HP-UFT 12.0 Automation")</f>
        <v>HP-UFT 12.0 Automation</v>
      </c>
    </row>
    <row r="12254">
      <c r="A12254" s="140" t="str">
        <f>IFERROR(__xludf.DUMMYFUNCTION("""COMPUTED_VALUE"""),"en")</f>
        <v>en</v>
      </c>
      <c r="B12254">
        <f>IFERROR(__xludf.DUMMYFUNCTION("""COMPUTED_VALUE"""),565318.0)</f>
        <v>565318</v>
      </c>
      <c r="C12254" t="str">
        <f>IFERROR(__xludf.DUMMYFUNCTION("""COMPUTED_VALUE"""),"Fast Track Retail Buying and Merchandising")</f>
        <v>Fast Track Retail Buying and Merchandising</v>
      </c>
    </row>
    <row r="12255">
      <c r="A12255" s="140" t="str">
        <f>IFERROR(__xludf.DUMMYFUNCTION("""COMPUTED_VALUE"""),"en")</f>
        <v>en</v>
      </c>
      <c r="B12255">
        <f>IFERROR(__xludf.DUMMYFUNCTION("""COMPUTED_VALUE"""),636822.0)</f>
        <v>636822</v>
      </c>
      <c r="C12255" t="str">
        <f>IFERROR(__xludf.DUMMYFUNCTION("""COMPUTED_VALUE"""),"Microsoft Excel - Data Visualization, Excel Charts &amp; Graphs")</f>
        <v>Microsoft Excel - Data Visualization, Excel Charts &amp; Graphs</v>
      </c>
    </row>
    <row r="12256">
      <c r="A12256" s="140" t="str">
        <f>IFERROR(__xludf.DUMMYFUNCTION("""COMPUTED_VALUE"""),"pt")</f>
        <v>pt</v>
      </c>
      <c r="B12256">
        <f>IFERROR(__xludf.DUMMYFUNCTION("""COMPUTED_VALUE"""),1345218.0)</f>
        <v>1345218</v>
      </c>
      <c r="C12256" t="str">
        <f>IFERROR(__xludf.DUMMYFUNCTION("""COMPUTED_VALUE"""),"Estatística e Probabilidade")</f>
        <v>Estatística e Probabilidade</v>
      </c>
    </row>
    <row r="12257">
      <c r="A12257" s="140" t="str">
        <f>IFERROR(__xludf.DUMMYFUNCTION("""COMPUTED_VALUE"""),"en")</f>
        <v>en</v>
      </c>
      <c r="B12257">
        <f>IFERROR(__xludf.DUMMYFUNCTION("""COMPUTED_VALUE"""),835820.0)</f>
        <v>835820</v>
      </c>
      <c r="C12257" t="str">
        <f>IFERROR(__xludf.DUMMYFUNCTION("""COMPUTED_VALUE"""),"Master Excel Pivot Tables - Excel 365 and Excel 2019")</f>
        <v>Master Excel Pivot Tables - Excel 365 and Excel 2019</v>
      </c>
    </row>
    <row r="12258">
      <c r="A12258" s="140" t="str">
        <f>IFERROR(__xludf.DUMMYFUNCTION("""COMPUTED_VALUE"""),"en")</f>
        <v>en</v>
      </c>
      <c r="B12258">
        <f>IFERROR(__xludf.DUMMYFUNCTION("""COMPUTED_VALUE"""),1651206.0)</f>
        <v>1651206</v>
      </c>
      <c r="C12258" t="str">
        <f>IFERROR(__xludf.DUMMYFUNCTION("""COMPUTED_VALUE"""),"Effective Legal Office Administration")</f>
        <v>Effective Legal Office Administration</v>
      </c>
    </row>
    <row r="12259">
      <c r="A12259" s="140" t="str">
        <f>IFERROR(__xludf.DUMMYFUNCTION("""COMPUTED_VALUE"""),"de")</f>
        <v>de</v>
      </c>
      <c r="B12259">
        <f>IFERROR(__xludf.DUMMYFUNCTION("""COMPUTED_VALUE"""),1243400.0)</f>
        <v>1243400</v>
      </c>
      <c r="C12259" t="str">
        <f>IFERROR(__xludf.DUMMYFUNCTION("""COMPUTED_VALUE"""),"Grundlagen des Innovationsmanagements")</f>
        <v>Grundlagen des Innovationsmanagements</v>
      </c>
    </row>
    <row r="12260">
      <c r="A12260" s="140" t="str">
        <f>IFERROR(__xludf.DUMMYFUNCTION("""COMPUTED_VALUE"""),"ar")</f>
        <v>ar</v>
      </c>
      <c r="B12260">
        <f>IFERROR(__xludf.DUMMYFUNCTION("""COMPUTED_VALUE"""),2003228.0)</f>
        <v>2003228</v>
      </c>
      <c r="C12260" t="str">
        <f>IFERROR(__xludf.DUMMYFUNCTION("""COMPUTED_VALUE"""),"Scrum Master Professional Cert,2021 Exam Questions بالعربي")</f>
        <v>Scrum Master Professional Cert,2021 Exam Questions بالعربي</v>
      </c>
    </row>
    <row r="12261">
      <c r="A12261" s="140" t="str">
        <f>IFERROR(__xludf.DUMMYFUNCTION("""COMPUTED_VALUE"""),"en")</f>
        <v>en</v>
      </c>
      <c r="B12261">
        <f>IFERROR(__xludf.DUMMYFUNCTION("""COMPUTED_VALUE"""),941998.0)</f>
        <v>941998</v>
      </c>
      <c r="C12261" t="str">
        <f>IFERROR(__xludf.DUMMYFUNCTION("""COMPUTED_VALUE"""),"Master Electron: Desktop Apps with HTML, JavaScript &amp; CSS")</f>
        <v>Master Electron: Desktop Apps with HTML, JavaScript &amp; CSS</v>
      </c>
    </row>
    <row r="12262">
      <c r="A12262" s="140" t="str">
        <f>IFERROR(__xludf.DUMMYFUNCTION("""COMPUTED_VALUE"""),"pt")</f>
        <v>pt</v>
      </c>
      <c r="B12262">
        <f>IFERROR(__xludf.DUMMYFUNCTION("""COMPUTED_VALUE"""),831716.0)</f>
        <v>831716</v>
      </c>
      <c r="C12262" t="str">
        <f>IFERROR(__xludf.DUMMYFUNCTION("""COMPUTED_VALUE"""),"Gramática Experts - completo e passo a passo")</f>
        <v>Gramática Experts - completo e passo a passo</v>
      </c>
    </row>
    <row r="12263">
      <c r="A12263" s="140" t="str">
        <f>IFERROR(__xludf.DUMMYFUNCTION("""COMPUTED_VALUE"""),"es")</f>
        <v>es</v>
      </c>
      <c r="B12263">
        <f>IFERROR(__xludf.DUMMYFUNCTION("""COMPUTED_VALUE"""),946204.0)</f>
        <v>946204</v>
      </c>
      <c r="C12263" t="str">
        <f>IFERROR(__xludf.DUMMYFUNCTION("""COMPUTED_VALUE"""),"Crea tu propio Pokemon Go para iOS")</f>
        <v>Crea tu propio Pokemon Go para iOS</v>
      </c>
    </row>
    <row r="12264">
      <c r="A12264" s="140" t="str">
        <f>IFERROR(__xludf.DUMMYFUNCTION("""COMPUTED_VALUE"""),"en")</f>
        <v>en</v>
      </c>
      <c r="B12264">
        <f>IFERROR(__xludf.DUMMYFUNCTION("""COMPUTED_VALUE"""),2757066.0)</f>
        <v>2757066</v>
      </c>
      <c r="C12264" t="str">
        <f>IFERROR(__xludf.DUMMYFUNCTION("""COMPUTED_VALUE"""),"Learn Rust by Building Real Applications")</f>
        <v>Learn Rust by Building Real Applications</v>
      </c>
    </row>
    <row r="12265">
      <c r="A12265" s="140" t="str">
        <f>IFERROR(__xludf.DUMMYFUNCTION("""COMPUTED_VALUE"""),"en")</f>
        <v>en</v>
      </c>
      <c r="B12265">
        <f>IFERROR(__xludf.DUMMYFUNCTION("""COMPUTED_VALUE"""),2939272.0)</f>
        <v>2939272</v>
      </c>
      <c r="C12265" t="str">
        <f>IFERROR(__xludf.DUMMYFUNCTION("""COMPUTED_VALUE"""),"Ultimate ServiceNow GRC Course")</f>
        <v>Ultimate ServiceNow GRC Course</v>
      </c>
    </row>
    <row r="12266">
      <c r="A12266" s="140" t="str">
        <f>IFERROR(__xludf.DUMMYFUNCTION("""COMPUTED_VALUE"""),"de")</f>
        <v>de</v>
      </c>
      <c r="B12266">
        <f>IFERROR(__xludf.DUMMYFUNCTION("""COMPUTED_VALUE"""),3538960.0)</f>
        <v>3538960</v>
      </c>
      <c r="C12266" t="str">
        <f>IFERROR(__xludf.DUMMYFUNCTION("""COMPUTED_VALUE"""),"Apple Final Cut Pro X - Videos schneiden lernen in FCPX")</f>
        <v>Apple Final Cut Pro X - Videos schneiden lernen in FCPX</v>
      </c>
    </row>
    <row r="12267">
      <c r="A12267" s="140" t="str">
        <f>IFERROR(__xludf.DUMMYFUNCTION("""COMPUTED_VALUE"""),"en")</f>
        <v>en</v>
      </c>
      <c r="B12267">
        <f>IFERROR(__xludf.DUMMYFUNCTION("""COMPUTED_VALUE"""),1208638.0)</f>
        <v>1208638</v>
      </c>
      <c r="C12267" t="str">
        <f>IFERROR(__xludf.DUMMYFUNCTION("""COMPUTED_VALUE"""),"React JS, Angular &amp; Vue JS - Quickstart &amp; Comparison")</f>
        <v>React JS, Angular &amp; Vue JS - Quickstart &amp; Comparison</v>
      </c>
    </row>
    <row r="12268">
      <c r="A12268" s="140" t="str">
        <f>IFERROR(__xludf.DUMMYFUNCTION("""COMPUTED_VALUE"""),"de")</f>
        <v>de</v>
      </c>
      <c r="B12268">
        <f>IFERROR(__xludf.DUMMYFUNCTION("""COMPUTED_VALUE"""),1354304.0)</f>
        <v>1354304</v>
      </c>
      <c r="C12268" t="str">
        <f>IFERROR(__xludf.DUMMYFUNCTION("""COMPUTED_VALUE"""),"Startup Your Life – finde Deine Bestimmung in Arbeit &amp; Leben")</f>
        <v>Startup Your Life – finde Deine Bestimmung in Arbeit &amp; Leben</v>
      </c>
    </row>
    <row r="12269">
      <c r="A12269" s="140" t="str">
        <f>IFERROR(__xludf.DUMMYFUNCTION("""COMPUTED_VALUE"""),"en")</f>
        <v>en</v>
      </c>
      <c r="B12269">
        <f>IFERROR(__xludf.DUMMYFUNCTION("""COMPUTED_VALUE"""),1796722.0)</f>
        <v>1796722</v>
      </c>
      <c r="C12269" t="str">
        <f>IFERROR(__xludf.DUMMYFUNCTION("""COMPUTED_VALUE"""),"RDS PostgreSQL and DynamoDB CRUD: AWS with Python and Boto3")</f>
        <v>RDS PostgreSQL and DynamoDB CRUD: AWS with Python and Boto3</v>
      </c>
    </row>
    <row r="12270">
      <c r="A12270" s="140" t="str">
        <f>IFERROR(__xludf.DUMMYFUNCTION("""COMPUTED_VALUE"""),"ja")</f>
        <v>ja</v>
      </c>
      <c r="B12270">
        <f>IFERROR(__xludf.DUMMYFUNCTION("""COMPUTED_VALUE"""),3742898.0)</f>
        <v>3742898</v>
      </c>
      <c r="C12270" t="str">
        <f>IFERROR(__xludf.DUMMYFUNCTION("""COMPUTED_VALUE"""),"【超入門編】Blenderで作る3Dアニメーションマスター講座！ PCさえあれば無料でできる!")</f>
        <v>【超入門編】Blenderで作る3Dアニメーションマスター講座！ PCさえあれば無料でできる!</v>
      </c>
    </row>
    <row r="12271">
      <c r="A12271" s="140" t="str">
        <f>IFERROR(__xludf.DUMMYFUNCTION("""COMPUTED_VALUE"""),"en")</f>
        <v>en</v>
      </c>
      <c r="B12271">
        <f>IFERROR(__xludf.DUMMYFUNCTION("""COMPUTED_VALUE"""),2687810.0)</f>
        <v>2687810</v>
      </c>
      <c r="C12271" t="str">
        <f>IFERROR(__xludf.DUMMYFUNCTION("""COMPUTED_VALUE"""),"Data Entry Course for Beginners")</f>
        <v>Data Entry Course for Beginners</v>
      </c>
    </row>
    <row r="12272">
      <c r="A12272" s="140" t="str">
        <f>IFERROR(__xludf.DUMMYFUNCTION("""COMPUTED_VALUE"""),"en")</f>
        <v>en</v>
      </c>
      <c r="B12272">
        <f>IFERROR(__xludf.DUMMYFUNCTION("""COMPUTED_VALUE"""),660130.0)</f>
        <v>660130</v>
      </c>
      <c r="C12272" t="str">
        <f>IFERROR(__xludf.DUMMYFUNCTION("""COMPUTED_VALUE"""),"The Complete REIT Investing Course (Updated 2021)")</f>
        <v>The Complete REIT Investing Course (Updated 2021)</v>
      </c>
    </row>
    <row r="12273">
      <c r="A12273" s="140" t="str">
        <f>IFERROR(__xludf.DUMMYFUNCTION("""COMPUTED_VALUE"""),"ja")</f>
        <v>ja</v>
      </c>
      <c r="B12273">
        <f>IFERROR(__xludf.DUMMYFUNCTION("""COMPUTED_VALUE"""),1393880.0)</f>
        <v>1393880</v>
      </c>
      <c r="C12273" t="str">
        <f>IFERROR(__xludf.DUMMYFUNCTION("""COMPUTED_VALUE"""),"初心者必見！Pythonでニューラルネット・深層学習を完全攻略")</f>
        <v>初心者必見！Pythonでニューラルネット・深層学習を完全攻略</v>
      </c>
    </row>
    <row r="12274">
      <c r="A12274" s="140" t="str">
        <f>IFERROR(__xludf.DUMMYFUNCTION("""COMPUTED_VALUE"""),"en")</f>
        <v>en</v>
      </c>
      <c r="B12274">
        <f>IFERROR(__xludf.DUMMYFUNCTION("""COMPUTED_VALUE"""),2395182.0)</f>
        <v>2395182</v>
      </c>
      <c r="C12274" t="str">
        <f>IFERROR(__xludf.DUMMYFUNCTION("""COMPUTED_VALUE"""),"Operating Systems Final Part (4) : File Systems &amp; Threads")</f>
        <v>Operating Systems Final Part (4) : File Systems &amp; Threads</v>
      </c>
    </row>
    <row r="12275">
      <c r="A12275" s="140" t="str">
        <f>IFERROR(__xludf.DUMMYFUNCTION("""COMPUTED_VALUE"""),"fr")</f>
        <v>fr</v>
      </c>
      <c r="B12275">
        <f>IFERROR(__xludf.DUMMYFUNCTION("""COMPUTED_VALUE"""),3623368.0)</f>
        <v>3623368</v>
      </c>
      <c r="C12275" t="str">
        <f>IFERROR(__xludf.DUMMYFUNCTION("""COMPUTED_VALUE"""),"Le Cours Complet de Flutter: Zéro à Héros avec Flutter Dart")</f>
        <v>Le Cours Complet de Flutter: Zéro à Héros avec Flutter Dart</v>
      </c>
    </row>
    <row r="12276">
      <c r="A12276" s="140" t="str">
        <f>IFERROR(__xludf.DUMMYFUNCTION("""COMPUTED_VALUE"""),"ja")</f>
        <v>ja</v>
      </c>
      <c r="B12276">
        <f>IFERROR(__xludf.DUMMYFUNCTION("""COMPUTED_VALUE"""),2675508.0)</f>
        <v>2675508</v>
      </c>
      <c r="C12276" t="str">
        <f>IFERROR(__xludf.DUMMYFUNCTION("""COMPUTED_VALUE"""),"PHPからLaravelまで サーバーサイドをとことんやってみよう【初心者から脱初心者へ】【わかりやすさ最重視】")</f>
        <v>PHPからLaravelまで サーバーサイドをとことんやってみよう【初心者から脱初心者へ】【わかりやすさ最重視】</v>
      </c>
    </row>
    <row r="12277">
      <c r="A12277" s="140" t="str">
        <f>IFERROR(__xludf.DUMMYFUNCTION("""COMPUTED_VALUE"""),"en")</f>
        <v>en</v>
      </c>
      <c r="B12277">
        <f>IFERROR(__xludf.DUMMYFUNCTION("""COMPUTED_VALUE"""),3579349.0)</f>
        <v>3579349</v>
      </c>
      <c r="C12277" t="str">
        <f>IFERROR(__xludf.DUMMYFUNCTION("""COMPUTED_VALUE"""),"Python Automation Testing With Pytest")</f>
        <v>Python Automation Testing With Pytest</v>
      </c>
    </row>
    <row r="12278">
      <c r="A12278" s="140" t="str">
        <f>IFERROR(__xludf.DUMMYFUNCTION("""COMPUTED_VALUE"""),"en")</f>
        <v>en</v>
      </c>
      <c r="B12278">
        <f>IFERROR(__xludf.DUMMYFUNCTION("""COMPUTED_VALUE"""),3074134.0)</f>
        <v>3074134</v>
      </c>
      <c r="C12278" t="str">
        <f>IFERROR(__xludf.DUMMYFUNCTION("""COMPUTED_VALUE"""),"Adobe Premiere Pro CC – Essentials Training Course")</f>
        <v>Adobe Premiere Pro CC – Essentials Training Course</v>
      </c>
    </row>
    <row r="12279">
      <c r="A12279" s="140" t="str">
        <f>IFERROR(__xludf.DUMMYFUNCTION("""COMPUTED_VALUE"""),"fr")</f>
        <v>fr</v>
      </c>
      <c r="B12279">
        <f>IFERROR(__xludf.DUMMYFUNCTION("""COMPUTED_VALUE"""),2465682.0)</f>
        <v>2465682</v>
      </c>
      <c r="C12279" t="str">
        <f>IFERROR(__xludf.DUMMYFUNCTION("""COMPUTED_VALUE"""),"Comment réussir à vendre? De zéro à Pro!")</f>
        <v>Comment réussir à vendre? De zéro à Pro!</v>
      </c>
    </row>
    <row r="12280">
      <c r="A12280" s="140" t="str">
        <f>IFERROR(__xludf.DUMMYFUNCTION("""COMPUTED_VALUE"""),"tr")</f>
        <v>tr</v>
      </c>
      <c r="B12280">
        <f>IFERROR(__xludf.DUMMYFUNCTION("""COMPUTED_VALUE"""),2038990.0)</f>
        <v>2038990</v>
      </c>
      <c r="C12280" t="str">
        <f>IFERROR(__xludf.DUMMYFUNCTION("""COMPUTED_VALUE"""),"Bootstrap 4.1 ile Modern Responsive Uygulamalar İnşa Edin")</f>
        <v>Bootstrap 4.1 ile Modern Responsive Uygulamalar İnşa Edin</v>
      </c>
    </row>
    <row r="12281">
      <c r="A12281" s="140" t="str">
        <f>IFERROR(__xludf.DUMMYFUNCTION("""COMPUTED_VALUE"""),"en")</f>
        <v>en</v>
      </c>
      <c r="B12281">
        <f>IFERROR(__xludf.DUMMYFUNCTION("""COMPUTED_VALUE"""),905850.0)</f>
        <v>905850</v>
      </c>
      <c r="C12281" t="str">
        <f>IFERROR(__xludf.DUMMYFUNCTION("""COMPUTED_VALUE"""),"The Complete front end web developer Bootcamp - 14 projects")</f>
        <v>The Complete front end web developer Bootcamp - 14 projects</v>
      </c>
    </row>
    <row r="12282">
      <c r="A12282" s="140" t="str">
        <f>IFERROR(__xludf.DUMMYFUNCTION("""COMPUTED_VALUE"""),"en")</f>
        <v>en</v>
      </c>
      <c r="B12282">
        <f>IFERROR(__xludf.DUMMYFUNCTION("""COMPUTED_VALUE"""),4074510.0)</f>
        <v>4074510</v>
      </c>
      <c r="C12282" t="str">
        <f>IFERROR(__xludf.DUMMYFUNCTION("""COMPUTED_VALUE"""),"After Effects CC: 3D Motion Graphics in After Effects")</f>
        <v>After Effects CC: 3D Motion Graphics in After Effects</v>
      </c>
    </row>
    <row r="12283">
      <c r="A12283" s="140" t="str">
        <f>IFERROR(__xludf.DUMMYFUNCTION("""COMPUTED_VALUE"""),"en")</f>
        <v>en</v>
      </c>
      <c r="B12283">
        <f>IFERROR(__xludf.DUMMYFUNCTION("""COMPUTED_VALUE"""),869812.0)</f>
        <v>869812</v>
      </c>
      <c r="C12283" t="str">
        <f>IFERROR(__xludf.DUMMYFUNCTION("""COMPUTED_VALUE"""),"The Ultimate Digital Painting Course - Beginner to Advanced")</f>
        <v>The Ultimate Digital Painting Course - Beginner to Advanced</v>
      </c>
    </row>
    <row r="12284">
      <c r="A12284" s="140" t="str">
        <f>IFERROR(__xludf.DUMMYFUNCTION("""COMPUTED_VALUE"""),"ja")</f>
        <v>ja</v>
      </c>
      <c r="B12284">
        <f>IFERROR(__xludf.DUMMYFUNCTION("""COMPUTED_VALUE"""),2330352.0)</f>
        <v>2330352</v>
      </c>
      <c r="C12284" t="str">
        <f>IFERROR(__xludf.DUMMYFUNCTION("""COMPUTED_VALUE"""),"C#でドメイン駆動開発パート１【C#でドメイン駆動開発とテスト駆動開発を使って保守性の高いプログラミングをする方法】")</f>
        <v>C#でドメイン駆動開発パート１【C#でドメイン駆動開発とテスト駆動開発を使って保守性の高いプログラミングをする方法】</v>
      </c>
    </row>
    <row r="12285">
      <c r="A12285" s="140" t="str">
        <f>IFERROR(__xludf.DUMMYFUNCTION("""COMPUTED_VALUE"""),"pt")</f>
        <v>pt</v>
      </c>
      <c r="B12285">
        <f>IFERROR(__xludf.DUMMYFUNCTION("""COMPUTED_VALUE"""),2092134.0)</f>
        <v>2092134</v>
      </c>
      <c r="C12285" t="str">
        <f>IFERROR(__xludf.DUMMYFUNCTION("""COMPUTED_VALUE"""),"REST APIs com Python e Flask")</f>
        <v>REST APIs com Python e Flask</v>
      </c>
    </row>
    <row r="12286">
      <c r="A12286" s="140" t="str">
        <f>IFERROR(__xludf.DUMMYFUNCTION("""COMPUTED_VALUE"""),"en")</f>
        <v>en</v>
      </c>
      <c r="B12286">
        <f>IFERROR(__xludf.DUMMYFUNCTION("""COMPUTED_VALUE"""),1961856.0)</f>
        <v>1961856</v>
      </c>
      <c r="C12286" t="str">
        <f>IFERROR(__xludf.DUMMYFUNCTION("""COMPUTED_VALUE"""),"Lumen Microservices: Create Services and APIs with Lumen")</f>
        <v>Lumen Microservices: Create Services and APIs with Lumen</v>
      </c>
    </row>
    <row r="12287">
      <c r="A12287" s="140" t="str">
        <f>IFERROR(__xludf.DUMMYFUNCTION("""COMPUTED_VALUE"""),"tr")</f>
        <v>tr</v>
      </c>
      <c r="B12287">
        <f>IFERROR(__xludf.DUMMYFUNCTION("""COMPUTED_VALUE"""),2522426.0)</f>
        <v>2522426</v>
      </c>
      <c r="C12287" t="str">
        <f>IFERROR(__xludf.DUMMYFUNCTION("""COMPUTED_VALUE"""),"IELTS WRITING")</f>
        <v>IELTS WRITING</v>
      </c>
    </row>
    <row r="12288">
      <c r="A12288" s="140" t="str">
        <f>IFERROR(__xludf.DUMMYFUNCTION("""COMPUTED_VALUE"""),"tr")</f>
        <v>tr</v>
      </c>
      <c r="B12288">
        <f>IFERROR(__xludf.DUMMYFUNCTION("""COMPUTED_VALUE"""),2940698.0)</f>
        <v>2940698</v>
      </c>
      <c r="C12288" t="str">
        <f>IFERROR(__xludf.DUMMYFUNCTION("""COMPUTED_VALUE"""),"Asp.Net Core + Redis/In-Memory")</f>
        <v>Asp.Net Core + Redis/In-Memory</v>
      </c>
    </row>
    <row r="12289">
      <c r="A12289" s="140" t="str">
        <f>IFERROR(__xludf.DUMMYFUNCTION("""COMPUTED_VALUE"""),"en")</f>
        <v>en</v>
      </c>
      <c r="B12289">
        <f>IFERROR(__xludf.DUMMYFUNCTION("""COMPUTED_VALUE"""),1148292.0)</f>
        <v>1148292</v>
      </c>
      <c r="C12289" t="str">
        <f>IFERROR(__xludf.DUMMYFUNCTION("""COMPUTED_VALUE"""),"Objected Oriented Programming With C# and Visual Studio 2017")</f>
        <v>Objected Oriented Programming With C# and Visual Studio 2017</v>
      </c>
    </row>
    <row r="12290">
      <c r="A12290" s="140" t="str">
        <f>IFERROR(__xludf.DUMMYFUNCTION("""COMPUTED_VALUE"""),"en")</f>
        <v>en</v>
      </c>
      <c r="B12290">
        <f>IFERROR(__xludf.DUMMYFUNCTION("""COMPUTED_VALUE"""),53670.0)</f>
        <v>53670</v>
      </c>
      <c r="C12290" t="str">
        <f>IFERROR(__xludf.DUMMYFUNCTION("""COMPUTED_VALUE"""),"Selenium WebDriver Training with Java &amp; Many Live Frameworks")</f>
        <v>Selenium WebDriver Training with Java &amp; Many Live Frameworks</v>
      </c>
    </row>
    <row r="12291">
      <c r="A12291" s="140" t="str">
        <f>IFERROR(__xludf.DUMMYFUNCTION("""COMPUTED_VALUE"""),"en")</f>
        <v>en</v>
      </c>
      <c r="B12291">
        <f>IFERROR(__xludf.DUMMYFUNCTION("""COMPUTED_VALUE"""),2545917.0)</f>
        <v>2545917</v>
      </c>
      <c r="C12291" t="str">
        <f>IFERROR(__xludf.DUMMYFUNCTION("""COMPUTED_VALUE"""),"Android Firebase Masterclass - Master Google Firebase")</f>
        <v>Android Firebase Masterclass - Master Google Firebase</v>
      </c>
    </row>
    <row r="12292">
      <c r="A12292" s="140" t="str">
        <f>IFERROR(__xludf.DUMMYFUNCTION("""COMPUTED_VALUE"""),"en")</f>
        <v>en</v>
      </c>
      <c r="B12292">
        <f>IFERROR(__xludf.DUMMYFUNCTION("""COMPUTED_VALUE"""),403314.0)</f>
        <v>403314</v>
      </c>
      <c r="C12292" t="str">
        <f>IFERROR(__xludf.DUMMYFUNCTION("""COMPUTED_VALUE"""),"Facebook Ads &amp; Facebook Marketing MASTERY 2022 | Coursenvy ®")</f>
        <v>Facebook Ads &amp; Facebook Marketing MASTERY 2022 | Coursenvy ®</v>
      </c>
    </row>
    <row r="12293">
      <c r="A12293" s="140" t="str">
        <f>IFERROR(__xludf.DUMMYFUNCTION("""COMPUTED_VALUE"""),"en")</f>
        <v>en</v>
      </c>
      <c r="B12293">
        <f>IFERROR(__xludf.DUMMYFUNCTION("""COMPUTED_VALUE"""),3788696.0)</f>
        <v>3788696</v>
      </c>
      <c r="C12293" t="str">
        <f>IFERROR(__xludf.DUMMYFUNCTION("""COMPUTED_VALUE"""),"Java Reactive Programming [ From Scratch ]")</f>
        <v>Java Reactive Programming [ From Scratch ]</v>
      </c>
    </row>
    <row r="12294">
      <c r="A12294" s="140" t="str">
        <f>IFERROR(__xludf.DUMMYFUNCTION("""COMPUTED_VALUE"""),"es")</f>
        <v>es</v>
      </c>
      <c r="B12294">
        <f>IFERROR(__xludf.DUMMYFUNCTION("""COMPUTED_VALUE"""),2700942.0)</f>
        <v>2700942</v>
      </c>
      <c r="C12294" t="str">
        <f>IFERROR(__xludf.DUMMYFUNCTION("""COMPUTED_VALUE"""),"Máster en API RESTful con PHP 8, Laravel 8, CodeIgniter 4")</f>
        <v>Máster en API RESTful con PHP 8, Laravel 8, CodeIgniter 4</v>
      </c>
    </row>
    <row r="12295">
      <c r="A12295" s="140" t="str">
        <f>IFERROR(__xludf.DUMMYFUNCTION("""COMPUTED_VALUE"""),"en")</f>
        <v>en</v>
      </c>
      <c r="B12295">
        <f>IFERROR(__xludf.DUMMYFUNCTION("""COMPUTED_VALUE"""),1668516.0)</f>
        <v>1668516</v>
      </c>
      <c r="C12295" t="str">
        <f>IFERROR(__xludf.DUMMYFUNCTION("""COMPUTED_VALUE"""),"Networking Concepts with Socket Programming - Academic Level")</f>
        <v>Networking Concepts with Socket Programming - Academic Level</v>
      </c>
    </row>
    <row r="12296">
      <c r="A12296" s="140" t="str">
        <f>IFERROR(__xludf.DUMMYFUNCTION("""COMPUTED_VALUE"""),"en")</f>
        <v>en</v>
      </c>
      <c r="B12296">
        <f>IFERROR(__xludf.DUMMYFUNCTION("""COMPUTED_VALUE"""),807904.0)</f>
        <v>807904</v>
      </c>
      <c r="C12296" t="str">
        <f>IFERROR(__xludf.DUMMYFUNCTION("""COMPUTED_VALUE"""),"Deep Learning: Convolutional Neural Networks in Python")</f>
        <v>Deep Learning: Convolutional Neural Networks in Python</v>
      </c>
    </row>
    <row r="12297">
      <c r="A12297" s="140" t="str">
        <f>IFERROR(__xludf.DUMMYFUNCTION("""COMPUTED_VALUE"""),"pt")</f>
        <v>pt</v>
      </c>
      <c r="B12297">
        <f>IFERROR(__xludf.DUMMYFUNCTION("""COMPUTED_VALUE"""),2371246.0)</f>
        <v>2371246</v>
      </c>
      <c r="C12297" t="str">
        <f>IFERROR(__xludf.DUMMYFUNCTION("""COMPUTED_VALUE"""),"Formação Engenheiro de Dados: Domine Big Data!")</f>
        <v>Formação Engenheiro de Dados: Domine Big Data!</v>
      </c>
    </row>
    <row r="12298">
      <c r="A12298" s="140" t="str">
        <f>IFERROR(__xludf.DUMMYFUNCTION("""COMPUTED_VALUE"""),"pt")</f>
        <v>pt</v>
      </c>
      <c r="B12298">
        <f>IFERROR(__xludf.DUMMYFUNCTION("""COMPUTED_VALUE"""),2224184.0)</f>
        <v>2224184</v>
      </c>
      <c r="C12298" t="str">
        <f>IFERROR(__xludf.DUMMYFUNCTION("""COMPUTED_VALUE"""),"TensorFlow, Deep Learning e Python: Construa um Chatbot")</f>
        <v>TensorFlow, Deep Learning e Python: Construa um Chatbot</v>
      </c>
    </row>
    <row r="12299">
      <c r="A12299" s="140" t="str">
        <f>IFERROR(__xludf.DUMMYFUNCTION("""COMPUTED_VALUE"""),"en")</f>
        <v>en</v>
      </c>
      <c r="B12299">
        <f>IFERROR(__xludf.DUMMYFUNCTION("""COMPUTED_VALUE"""),2355222.0)</f>
        <v>2355222</v>
      </c>
      <c r="C12299" t="str">
        <f>IFERROR(__xludf.DUMMYFUNCTION("""COMPUTED_VALUE"""),"Oracle E-Business Suite (R12.1.3) Technical RICEW")</f>
        <v>Oracle E-Business Suite (R12.1.3) Technical RICEW</v>
      </c>
    </row>
    <row r="12300">
      <c r="A12300" s="140" t="str">
        <f>IFERROR(__xludf.DUMMYFUNCTION("""COMPUTED_VALUE"""),"en")</f>
        <v>en</v>
      </c>
      <c r="B12300">
        <f>IFERROR(__xludf.DUMMYFUNCTION("""COMPUTED_VALUE"""),1248900.0)</f>
        <v>1248900</v>
      </c>
      <c r="C12300" t="str">
        <f>IFERROR(__xludf.DUMMYFUNCTION("""COMPUTED_VALUE"""),"Marketing Campaign Strategy from A to Z")</f>
        <v>Marketing Campaign Strategy from A to Z</v>
      </c>
    </row>
    <row r="12301">
      <c r="A12301" s="140" t="str">
        <f>IFERROR(__xludf.DUMMYFUNCTION("""COMPUTED_VALUE"""),"en")</f>
        <v>en</v>
      </c>
      <c r="B12301">
        <f>IFERROR(__xludf.DUMMYFUNCTION("""COMPUTED_VALUE"""),3848374.0)</f>
        <v>3848374</v>
      </c>
      <c r="C12301" t="str">
        <f>IFERROR(__xludf.DUMMYFUNCTION("""COMPUTED_VALUE"""),"Data Engineering Essentials Hands-on - SQL, Python and Spark")</f>
        <v>Data Engineering Essentials Hands-on - SQL, Python and Spark</v>
      </c>
    </row>
    <row r="12302">
      <c r="A12302" s="140" t="str">
        <f>IFERROR(__xludf.DUMMYFUNCTION("""COMPUTED_VALUE"""),"de")</f>
        <v>de</v>
      </c>
      <c r="B12302">
        <f>IFERROR(__xludf.DUMMYFUNCTION("""COMPUTED_VALUE"""),1108054.0)</f>
        <v>1108054</v>
      </c>
      <c r="C12302" t="str">
        <f>IFERROR(__xludf.DUMMYFUNCTION("""COMPUTED_VALUE"""),"Grundlagen und Projektbearbeitung mit AutoCAD")</f>
        <v>Grundlagen und Projektbearbeitung mit AutoCAD</v>
      </c>
    </row>
    <row r="12303">
      <c r="A12303" s="140" t="str">
        <f>IFERROR(__xludf.DUMMYFUNCTION("""COMPUTED_VALUE"""),"en")</f>
        <v>en</v>
      </c>
      <c r="B12303">
        <f>IFERROR(__xludf.DUMMYFUNCTION("""COMPUTED_VALUE"""),741386.0)</f>
        <v>741386</v>
      </c>
      <c r="C12303" t="str">
        <f>IFERROR(__xludf.DUMMYFUNCTION("""COMPUTED_VALUE"""),"Learn Photography: A Simple System for Photography Starters")</f>
        <v>Learn Photography: A Simple System for Photography Starters</v>
      </c>
    </row>
    <row r="12304">
      <c r="A12304" s="140" t="str">
        <f>IFERROR(__xludf.DUMMYFUNCTION("""COMPUTED_VALUE"""),"es")</f>
        <v>es</v>
      </c>
      <c r="B12304">
        <f>IFERROR(__xludf.DUMMYFUNCTION("""COMPUTED_VALUE"""),1111518.0)</f>
        <v>1111518</v>
      </c>
      <c r="C12304" t="str">
        <f>IFERROR(__xludf.DUMMYFUNCTION("""COMPUTED_VALUE"""),"Curso Completo de WordPress + Divi, ¡Desde 0 Hasta Experto!")</f>
        <v>Curso Completo de WordPress + Divi, ¡Desde 0 Hasta Experto!</v>
      </c>
    </row>
    <row r="12305">
      <c r="A12305" s="140" t="str">
        <f>IFERROR(__xludf.DUMMYFUNCTION("""COMPUTED_VALUE"""),"en")</f>
        <v>en</v>
      </c>
      <c r="B12305">
        <f>IFERROR(__xludf.DUMMYFUNCTION("""COMPUTED_VALUE"""),2626524.0)</f>
        <v>2626524</v>
      </c>
      <c r="C12305" t="str">
        <f>IFERROR(__xludf.DUMMYFUNCTION("""COMPUTED_VALUE"""),"Exam Prep: CFA® Level 1 Bootcamp 2021 Curriculum (Part 1/2)")</f>
        <v>Exam Prep: CFA® Level 1 Bootcamp 2021 Curriculum (Part 1/2)</v>
      </c>
    </row>
    <row r="12306">
      <c r="A12306" s="140" t="str">
        <f>IFERROR(__xludf.DUMMYFUNCTION("""COMPUTED_VALUE"""),"en")</f>
        <v>en</v>
      </c>
      <c r="B12306">
        <f>IFERROR(__xludf.DUMMYFUNCTION("""COMPUTED_VALUE"""),3898710.0)</f>
        <v>3898710</v>
      </c>
      <c r="C12306" t="str">
        <f>IFERROR(__xludf.DUMMYFUNCTION("""COMPUTED_VALUE"""),"Palo Alto Firewall Management Using Panorama")</f>
        <v>Palo Alto Firewall Management Using Panorama</v>
      </c>
    </row>
    <row r="12307">
      <c r="A12307" s="140" t="str">
        <f>IFERROR(__xludf.DUMMYFUNCTION("""COMPUTED_VALUE"""),"pt")</f>
        <v>pt</v>
      </c>
      <c r="B12307">
        <f>IFERROR(__xludf.DUMMYFUNCTION("""COMPUTED_VALUE"""),1357688.0)</f>
        <v>1357688</v>
      </c>
      <c r="C12307" t="str">
        <f>IFERROR(__xludf.DUMMYFUNCTION("""COMPUTED_VALUE"""),"Curso Completo de Linguagem C e C++ - Iniciante Ao Avançado")</f>
        <v>Curso Completo de Linguagem C e C++ - Iniciante Ao Avançado</v>
      </c>
    </row>
    <row r="12308">
      <c r="A12308" s="140" t="str">
        <f>IFERROR(__xludf.DUMMYFUNCTION("""COMPUTED_VALUE"""),"es")</f>
        <v>es</v>
      </c>
      <c r="B12308">
        <f>IFERROR(__xludf.DUMMYFUNCTION("""COMPUTED_VALUE"""),1276488.0)</f>
        <v>1276488</v>
      </c>
      <c r="C12308" t="str">
        <f>IFERROR(__xludf.DUMMYFUNCTION("""COMPUTED_VALUE"""),"Curso completo de Swift 5, el lenguaje para apps de Apple")</f>
        <v>Curso completo de Swift 5, el lenguaje para apps de Apple</v>
      </c>
    </row>
    <row r="12309">
      <c r="A12309" s="140" t="str">
        <f>IFERROR(__xludf.DUMMYFUNCTION("""COMPUTED_VALUE"""),"es")</f>
        <v>es</v>
      </c>
      <c r="B12309">
        <f>IFERROR(__xludf.DUMMYFUNCTION("""COMPUTED_VALUE"""),1895620.0)</f>
        <v>1895620</v>
      </c>
      <c r="C12309" t="str">
        <f>IFERROR(__xludf.DUMMYFUNCTION("""COMPUTED_VALUE"""),"Forense Informático - Quien, Cómo y cuando")</f>
        <v>Forense Informático - Quien, Cómo y cuando</v>
      </c>
    </row>
    <row r="12310">
      <c r="A12310" s="140" t="str">
        <f>IFERROR(__xludf.DUMMYFUNCTION("""COMPUTED_VALUE"""),"ja")</f>
        <v>ja</v>
      </c>
      <c r="B12310">
        <f>IFERROR(__xludf.DUMMYFUNCTION("""COMPUTED_VALUE"""),3903044.0)</f>
        <v>3903044</v>
      </c>
      <c r="C12310" t="str">
        <f>IFERROR(__xludf.DUMMYFUNCTION("""COMPUTED_VALUE"""),"【初心者向け】たった１通で取材を獲得する！プレスリリースのライティング実践講座")</f>
        <v>【初心者向け】たった１通で取材を獲得する！プレスリリースのライティング実践講座</v>
      </c>
    </row>
    <row r="12311">
      <c r="A12311" s="140" t="str">
        <f>IFERROR(__xludf.DUMMYFUNCTION("""COMPUTED_VALUE"""),"en")</f>
        <v>en</v>
      </c>
      <c r="B12311">
        <f>IFERROR(__xludf.DUMMYFUNCTION("""COMPUTED_VALUE"""),1759114.0)</f>
        <v>1759114</v>
      </c>
      <c r="C12311" t="str">
        <f>IFERROR(__xludf.DUMMYFUNCTION("""COMPUTED_VALUE"""),"PMP Certification Exam Prep Course 35 PDU Contact Hours/PDU")</f>
        <v>PMP Certification Exam Prep Course 35 PDU Contact Hours/PDU</v>
      </c>
    </row>
    <row r="12312">
      <c r="A12312" s="140" t="str">
        <f>IFERROR(__xludf.DUMMYFUNCTION("""COMPUTED_VALUE"""),"en")</f>
        <v>en</v>
      </c>
      <c r="B12312">
        <f>IFERROR(__xludf.DUMMYFUNCTION("""COMPUTED_VALUE"""),2402126.0)</f>
        <v>2402126</v>
      </c>
      <c r="C12312" t="str">
        <f>IFERROR(__xludf.DUMMYFUNCTION("""COMPUTED_VALUE"""),"(ISC)² Certified Cloud Security Professional (CCSP) Practice")</f>
        <v>(ISC)² Certified Cloud Security Professional (CCSP) Practice</v>
      </c>
    </row>
    <row r="12313">
      <c r="A12313" s="140" t="str">
        <f>IFERROR(__xludf.DUMMYFUNCTION("""COMPUTED_VALUE"""),"en")</f>
        <v>en</v>
      </c>
      <c r="B12313">
        <f>IFERROR(__xludf.DUMMYFUNCTION("""COMPUTED_VALUE"""),1359326.0)</f>
        <v>1359326</v>
      </c>
      <c r="C12313" t="str">
        <f>IFERROR(__xludf.DUMMYFUNCTION("""COMPUTED_VALUE"""),"SAP SD - Order to Cash Simplified for Beginners")</f>
        <v>SAP SD - Order to Cash Simplified for Beginners</v>
      </c>
    </row>
    <row r="12314">
      <c r="A12314" s="140" t="str">
        <f>IFERROR(__xludf.DUMMYFUNCTION("""COMPUTED_VALUE"""),"fr")</f>
        <v>fr</v>
      </c>
      <c r="B12314">
        <f>IFERROR(__xludf.DUMMYFUNCTION("""COMPUTED_VALUE"""),3573703.0)</f>
        <v>3573703</v>
      </c>
      <c r="C12314" t="str">
        <f>IFERROR(__xludf.DUMMYFUNCTION("""COMPUTED_VALUE"""),"Hacking Éthique : Ingénierie Sociale")</f>
        <v>Hacking Éthique : Ingénierie Sociale</v>
      </c>
    </row>
    <row r="12315">
      <c r="A12315" s="140" t="str">
        <f>IFERROR(__xludf.DUMMYFUNCTION("""COMPUTED_VALUE"""),"en")</f>
        <v>en</v>
      </c>
      <c r="B12315">
        <f>IFERROR(__xludf.DUMMYFUNCTION("""COMPUTED_VALUE"""),4145672.0)</f>
        <v>4145672</v>
      </c>
      <c r="C12315" t="str">
        <f>IFERROR(__xludf.DUMMYFUNCTION("""COMPUTED_VALUE"""),"The Complete Spanish Method. Intermediate. Course 4.")</f>
        <v>The Complete Spanish Method. Intermediate. Course 4.</v>
      </c>
    </row>
    <row r="12316">
      <c r="A12316" s="140" t="str">
        <f>IFERROR(__xludf.DUMMYFUNCTION("""COMPUTED_VALUE"""),"ja")</f>
        <v>ja</v>
      </c>
      <c r="B12316">
        <f>IFERROR(__xludf.DUMMYFUNCTION("""COMPUTED_VALUE"""),3985782.0)</f>
        <v>3985782</v>
      </c>
      <c r="C12316" t="str">
        <f>IFERROR(__xludf.DUMMYFUNCTION("""COMPUTED_VALUE"""),"＜UB確認テスト＞手を動かして学ぶITプロジェクトの資料作成！システム開発のドキュメンテーション技術と成果物テンプレー")</f>
        <v>＜UB確認テスト＞手を動かして学ぶITプロジェクトの資料作成！システム開発のドキュメンテーション技術と成果物テンプレー</v>
      </c>
    </row>
    <row r="12317">
      <c r="A12317" s="140" t="str">
        <f>IFERROR(__xludf.DUMMYFUNCTION("""COMPUTED_VALUE"""),"es")</f>
        <v>es</v>
      </c>
      <c r="B12317">
        <f>IFERROR(__xludf.DUMMYFUNCTION("""COMPUTED_VALUE"""),4152394.0)</f>
        <v>4152394</v>
      </c>
      <c r="C12317" t="str">
        <f>IFERROR(__xludf.DUMMYFUNCTION("""COMPUTED_VALUE"""),"Cypress: Master en automatización Test QA  (En Español)")</f>
        <v>Cypress: Master en automatización Test QA  (En Español)</v>
      </c>
    </row>
    <row r="12318">
      <c r="A12318" s="140" t="str">
        <f>IFERROR(__xludf.DUMMYFUNCTION("""COMPUTED_VALUE"""),"en")</f>
        <v>en</v>
      </c>
      <c r="B12318">
        <f>IFERROR(__xludf.DUMMYFUNCTION("""COMPUTED_VALUE"""),1159654.0)</f>
        <v>1159654</v>
      </c>
      <c r="C12318" t="str">
        <f>IFERROR(__xludf.DUMMYFUNCTION("""COMPUTED_VALUE"""),"How To Become An Outstanding Solution Architect")</f>
        <v>How To Become An Outstanding Solution Architect</v>
      </c>
    </row>
    <row r="12319">
      <c r="A12319" s="140" t="str">
        <f>IFERROR(__xludf.DUMMYFUNCTION("""COMPUTED_VALUE"""),"fr")</f>
        <v>fr</v>
      </c>
      <c r="B12319">
        <f>IFERROR(__xludf.DUMMYFUNCTION("""COMPUTED_VALUE"""),1894410.0)</f>
        <v>1894410</v>
      </c>
      <c r="C12319" t="str">
        <f>IFERROR(__xludf.DUMMYFUNCTION("""COMPUTED_VALUE"""),"Apprendre ASP.NET Core 6 pour le développement WEB")</f>
        <v>Apprendre ASP.NET Core 6 pour le développement WEB</v>
      </c>
    </row>
    <row r="12320">
      <c r="A12320" s="140" t="str">
        <f>IFERROR(__xludf.DUMMYFUNCTION("""COMPUTED_VALUE"""),"en")</f>
        <v>en</v>
      </c>
      <c r="B12320">
        <f>IFERROR(__xludf.DUMMYFUNCTION("""COMPUTED_VALUE"""),1710310.0)</f>
        <v>1710310</v>
      </c>
      <c r="C12320" t="str">
        <f>IFERROR(__xludf.DUMMYFUNCTION("""COMPUTED_VALUE"""),"The Complete RxJava 3 For Android Development Masterclass")</f>
        <v>The Complete RxJava 3 For Android Development Masterclass</v>
      </c>
    </row>
    <row r="12321">
      <c r="A12321" s="140" t="str">
        <f>IFERROR(__xludf.DUMMYFUNCTION("""COMPUTED_VALUE"""),"ja")</f>
        <v>ja</v>
      </c>
      <c r="B12321">
        <f>IFERROR(__xludf.DUMMYFUNCTION("""COMPUTED_VALUE"""),2301224.0)</f>
        <v>2301224</v>
      </c>
      <c r="C12321" t="str">
        <f>IFERROR(__xludf.DUMMYFUNCTION("""COMPUTED_VALUE"""),"はじめてのブロックチェーン")</f>
        <v>はじめてのブロックチェーン</v>
      </c>
    </row>
    <row r="12322">
      <c r="A12322" s="140" t="str">
        <f>IFERROR(__xludf.DUMMYFUNCTION("""COMPUTED_VALUE"""),"en")</f>
        <v>en</v>
      </c>
      <c r="B12322">
        <f>IFERROR(__xludf.DUMMYFUNCTION("""COMPUTED_VALUE"""),1586880.0)</f>
        <v>1586880</v>
      </c>
      <c r="C12322" t="str">
        <f>IFERROR(__xludf.DUMMYFUNCTION("""COMPUTED_VALUE"""),"CEO-level Presentation Skills - Slide Writing for Consulting")</f>
        <v>CEO-level Presentation Skills - Slide Writing for Consulting</v>
      </c>
    </row>
    <row r="12323">
      <c r="A12323" s="140" t="str">
        <f>IFERROR(__xludf.DUMMYFUNCTION("""COMPUTED_VALUE"""),"es")</f>
        <v>es</v>
      </c>
      <c r="B12323">
        <f>IFERROR(__xludf.DUMMYFUNCTION("""COMPUTED_VALUE"""),1618144.0)</f>
        <v>1618144</v>
      </c>
      <c r="C12323" t="str">
        <f>IFERROR(__xludf.DUMMYFUNCTION("""COMPUTED_VALUE"""),"YouTube's Journey - Tu Guía Completa hacia YouTube")</f>
        <v>YouTube's Journey - Tu Guía Completa hacia YouTube</v>
      </c>
    </row>
    <row r="12324">
      <c r="A12324" s="140" t="str">
        <f>IFERROR(__xludf.DUMMYFUNCTION("""COMPUTED_VALUE"""),"en")</f>
        <v>en</v>
      </c>
      <c r="B12324">
        <f>IFERROR(__xludf.DUMMYFUNCTION("""COMPUTED_VALUE"""),983506.0)</f>
        <v>983506</v>
      </c>
      <c r="C12324" t="str">
        <f>IFERROR(__xludf.DUMMYFUNCTION("""COMPUTED_VALUE"""),"How to Write a Winning Marketing Plan")</f>
        <v>How to Write a Winning Marketing Plan</v>
      </c>
    </row>
    <row r="12325">
      <c r="A12325" s="140" t="str">
        <f>IFERROR(__xludf.DUMMYFUNCTION("""COMPUTED_VALUE"""),"en")</f>
        <v>en</v>
      </c>
      <c r="B12325">
        <f>IFERROR(__xludf.DUMMYFUNCTION("""COMPUTED_VALUE"""),939962.0)</f>
        <v>939962</v>
      </c>
      <c r="C12325" t="str">
        <f>IFERROR(__xludf.DUMMYFUNCTION("""COMPUTED_VALUE"""),"Learn SVG Animation - With HTML, CSS &amp; Javascript")</f>
        <v>Learn SVG Animation - With HTML, CSS &amp; Javascript</v>
      </c>
    </row>
    <row r="12326">
      <c r="A12326" s="140" t="str">
        <f>IFERROR(__xludf.DUMMYFUNCTION("""COMPUTED_VALUE"""),"es")</f>
        <v>es</v>
      </c>
      <c r="B12326">
        <f>IFERROR(__xludf.DUMMYFUNCTION("""COMPUTED_VALUE"""),809326.0)</f>
        <v>809326</v>
      </c>
      <c r="C12326" t="str">
        <f>IFERROR(__xludf.DUMMYFUNCTION("""COMPUTED_VALUE"""),"Instalación y Configuración de Windows Server 2012 R2.")</f>
        <v>Instalación y Configuración de Windows Server 2012 R2.</v>
      </c>
    </row>
    <row r="12327">
      <c r="A12327" s="140" t="str">
        <f>IFERROR(__xludf.DUMMYFUNCTION("""COMPUTED_VALUE"""),"es")</f>
        <v>es</v>
      </c>
      <c r="B12327">
        <f>IFERROR(__xludf.DUMMYFUNCTION("""COMPUTED_VALUE"""),2047747.0)</f>
        <v>2047747</v>
      </c>
      <c r="C12327" t="str">
        <f>IFERROR(__xludf.DUMMYFUNCTION("""COMPUTED_VALUE"""),"Curso Completo Power BI Desktop - Última versión de Power BI")</f>
        <v>Curso Completo Power BI Desktop - Última versión de Power BI</v>
      </c>
    </row>
    <row r="12328">
      <c r="A12328" s="140" t="str">
        <f>IFERROR(__xludf.DUMMYFUNCTION("""COMPUTED_VALUE"""),"en")</f>
        <v>en</v>
      </c>
      <c r="B12328">
        <f>IFERROR(__xludf.DUMMYFUNCTION("""COMPUTED_VALUE"""),2462670.0)</f>
        <v>2462670</v>
      </c>
      <c r="C12328" t="str">
        <f>IFERROR(__xludf.DUMMYFUNCTION("""COMPUTED_VALUE"""),"The Frontend Developer Career Blueprint - The shortcuts")</f>
        <v>The Frontend Developer Career Blueprint - The shortcuts</v>
      </c>
    </row>
    <row r="12329">
      <c r="A12329" s="140" t="str">
        <f>IFERROR(__xludf.DUMMYFUNCTION("""COMPUTED_VALUE"""),"en")</f>
        <v>en</v>
      </c>
      <c r="B12329">
        <f>IFERROR(__xludf.DUMMYFUNCTION("""COMPUTED_VALUE"""),848714.0)</f>
        <v>848714</v>
      </c>
      <c r="C12329" t="str">
        <f>IFERROR(__xludf.DUMMYFUNCTION("""COMPUTED_VALUE"""),"Coding for Writers: Basic Programming")</f>
        <v>Coding for Writers: Basic Programming</v>
      </c>
    </row>
    <row r="12330">
      <c r="A12330" s="140" t="str">
        <f>IFERROR(__xludf.DUMMYFUNCTION("""COMPUTED_VALUE"""),"en")</f>
        <v>en</v>
      </c>
      <c r="B12330">
        <f>IFERROR(__xludf.DUMMYFUNCTION("""COMPUTED_VALUE"""),50226.0)</f>
        <v>50226</v>
      </c>
      <c r="C12330" t="str">
        <f>IFERROR(__xludf.DUMMYFUNCTION("""COMPUTED_VALUE"""),"Creating a Web App for iPad")</f>
        <v>Creating a Web App for iPad</v>
      </c>
    </row>
    <row r="12331">
      <c r="A12331" s="140" t="str">
        <f>IFERROR(__xludf.DUMMYFUNCTION("""COMPUTED_VALUE"""),"en")</f>
        <v>en</v>
      </c>
      <c r="B12331">
        <f>IFERROR(__xludf.DUMMYFUNCTION("""COMPUTED_VALUE"""),1859442.0)</f>
        <v>1859442</v>
      </c>
      <c r="C12331" t="str">
        <f>IFERROR(__xludf.DUMMYFUNCTION("""COMPUTED_VALUE"""),"Become An Expert At Configuring Microsoft Dynamics 365")</f>
        <v>Become An Expert At Configuring Microsoft Dynamics 365</v>
      </c>
    </row>
    <row r="12332">
      <c r="A12332" s="140" t="str">
        <f>IFERROR(__xludf.DUMMYFUNCTION("""COMPUTED_VALUE"""),"en")</f>
        <v>en</v>
      </c>
      <c r="B12332">
        <f>IFERROR(__xludf.DUMMYFUNCTION("""COMPUTED_VALUE"""),58207.0)</f>
        <v>58207</v>
      </c>
      <c r="C12332" t="str">
        <f>IFERROR(__xludf.DUMMYFUNCTION("""COMPUTED_VALUE"""),"User Experience Design Fundamentals")</f>
        <v>User Experience Design Fundamentals</v>
      </c>
    </row>
    <row r="12333">
      <c r="A12333" s="140" t="str">
        <f>IFERROR(__xludf.DUMMYFUNCTION("""COMPUTED_VALUE"""),"zh")</f>
        <v>zh</v>
      </c>
      <c r="B12333">
        <f>IFERROR(__xludf.DUMMYFUNCTION("""COMPUTED_VALUE"""),1345128.0)</f>
        <v>1345128</v>
      </c>
      <c r="C12333" t="str">
        <f>IFERROR(__xludf.DUMMYFUNCTION("""COMPUTED_VALUE"""),"(简体中文)C++编程FFMpeg实时美颜直播推流实战-基于ffmpeg，qt5，opencv视频课程")</f>
        <v>(简体中文)C++编程FFMpeg实时美颜直播推流实战-基于ffmpeg，qt5，opencv视频课程</v>
      </c>
    </row>
    <row r="12334">
      <c r="A12334" s="140" t="str">
        <f>IFERROR(__xludf.DUMMYFUNCTION("""COMPUTED_VALUE"""),"en")</f>
        <v>en</v>
      </c>
      <c r="B12334">
        <f>IFERROR(__xludf.DUMMYFUNCTION("""COMPUTED_VALUE"""),3727266.0)</f>
        <v>3727266</v>
      </c>
      <c r="C12334" t="str">
        <f>IFERROR(__xludf.DUMMYFUNCTION("""COMPUTED_VALUE"""),"Certified Performance Management Professional (CPMP)")</f>
        <v>Certified Performance Management Professional (CPMP)</v>
      </c>
    </row>
    <row r="12335">
      <c r="A12335" s="140" t="str">
        <f>IFERROR(__xludf.DUMMYFUNCTION("""COMPUTED_VALUE"""),"en")</f>
        <v>en</v>
      </c>
      <c r="B12335">
        <f>IFERROR(__xludf.DUMMYFUNCTION("""COMPUTED_VALUE"""),2102548.0)</f>
        <v>2102548</v>
      </c>
      <c r="C12335" t="str">
        <f>IFERROR(__xludf.DUMMYFUNCTION("""COMPUTED_VALUE"""),"AZ-304 AZ-305 Azure Architect Design Exam Prep 2021")</f>
        <v>AZ-304 AZ-305 Azure Architect Design Exam Prep 2021</v>
      </c>
    </row>
    <row r="12336">
      <c r="A12336" s="140" t="str">
        <f>IFERROR(__xludf.DUMMYFUNCTION("""COMPUTED_VALUE"""),"en")</f>
        <v>en</v>
      </c>
      <c r="B12336">
        <f>IFERROR(__xludf.DUMMYFUNCTION("""COMPUTED_VALUE"""),30487.0)</f>
        <v>30487</v>
      </c>
      <c r="C12336" t="str">
        <f>IFERROR(__xludf.DUMMYFUNCTION("""COMPUTED_VALUE"""),"Learn VHDL Design using Xilinx Zynq-7000 ARM/FPGA SoC")</f>
        <v>Learn VHDL Design using Xilinx Zynq-7000 ARM/FPGA SoC</v>
      </c>
    </row>
    <row r="12337">
      <c r="A12337" s="140" t="str">
        <f>IFERROR(__xludf.DUMMYFUNCTION("""COMPUTED_VALUE"""),"en")</f>
        <v>en</v>
      </c>
      <c r="B12337">
        <f>IFERROR(__xludf.DUMMYFUNCTION("""COMPUTED_VALUE"""),4119872.0)</f>
        <v>4119872</v>
      </c>
      <c r="C12337" t="str">
        <f>IFERROR(__xludf.DUMMYFUNCTION("""COMPUTED_VALUE"""),"CKS : Certified Kubernetes Security Specialist Practice 2021")</f>
        <v>CKS : Certified Kubernetes Security Specialist Practice 2021</v>
      </c>
    </row>
    <row r="12338">
      <c r="A12338" s="140" t="str">
        <f>IFERROR(__xludf.DUMMYFUNCTION("""COMPUTED_VALUE"""),"en")</f>
        <v>en</v>
      </c>
      <c r="B12338">
        <f>IFERROR(__xludf.DUMMYFUNCTION("""COMPUTED_VALUE"""),73210.0)</f>
        <v>73210</v>
      </c>
      <c r="C12338" t="str">
        <f>IFERROR(__xludf.DUMMYFUNCTION("""COMPUTED_VALUE"""),"Computer Organization and How to Organize Computer Files")</f>
        <v>Computer Organization and How to Organize Computer Files</v>
      </c>
    </row>
    <row r="12339">
      <c r="A12339" s="140" t="str">
        <f>IFERROR(__xludf.DUMMYFUNCTION("""COMPUTED_VALUE"""),"en")</f>
        <v>en</v>
      </c>
      <c r="B12339">
        <f>IFERROR(__xludf.DUMMYFUNCTION("""COMPUTED_VALUE"""),793796.0)</f>
        <v>793796</v>
      </c>
      <c r="C12339" t="str">
        <f>IFERROR(__xludf.DUMMYFUNCTION("""COMPUTED_VALUE"""),"Microsoft Excel - Excel from Beginner to Advanced")</f>
        <v>Microsoft Excel - Excel from Beginner to Advanced</v>
      </c>
    </row>
    <row r="12340">
      <c r="A12340" s="140" t="str">
        <f>IFERROR(__xludf.DUMMYFUNCTION("""COMPUTED_VALUE"""),"en")</f>
        <v>en</v>
      </c>
      <c r="B12340">
        <f>IFERROR(__xludf.DUMMYFUNCTION("""COMPUTED_VALUE"""),3350964.0)</f>
        <v>3350964</v>
      </c>
      <c r="C12340" t="str">
        <f>IFERROR(__xludf.DUMMYFUNCTION("""COMPUTED_VALUE"""),"Learn about Apigee API Management Platform")</f>
        <v>Learn about Apigee API Management Platform</v>
      </c>
    </row>
    <row r="12341">
      <c r="A12341" s="140" t="str">
        <f>IFERROR(__xludf.DUMMYFUNCTION("""COMPUTED_VALUE"""),"en")</f>
        <v>en</v>
      </c>
      <c r="B12341">
        <f>IFERROR(__xludf.DUMMYFUNCTION("""COMPUTED_VALUE"""),2953690.0)</f>
        <v>2953690</v>
      </c>
      <c r="C12341" t="str">
        <f>IFERROR(__xludf.DUMMYFUNCTION("""COMPUTED_VALUE"""),"The Business, Innovation and Entrepreneurship Masterclass")</f>
        <v>The Business, Innovation and Entrepreneurship Masterclass</v>
      </c>
    </row>
    <row r="12342">
      <c r="A12342" s="140" t="str">
        <f>IFERROR(__xludf.DUMMYFUNCTION("""COMPUTED_VALUE"""),"fr")</f>
        <v>fr</v>
      </c>
      <c r="B12342">
        <f>IFERROR(__xludf.DUMMYFUNCTION("""COMPUTED_VALUE"""),3120622.0)</f>
        <v>3120622</v>
      </c>
      <c r="C12342" t="str">
        <f>IFERROR(__xludf.DUMMYFUNCTION("""COMPUTED_VALUE"""),"Filmer en vidéo : Améliorez la qualité de vos images")</f>
        <v>Filmer en vidéo : Améliorez la qualité de vos images</v>
      </c>
    </row>
    <row r="12343">
      <c r="A12343" s="140" t="str">
        <f>IFERROR(__xludf.DUMMYFUNCTION("""COMPUTED_VALUE"""),"pt")</f>
        <v>pt</v>
      </c>
      <c r="B12343">
        <f>IFERROR(__xludf.DUMMYFUNCTION("""COMPUTED_VALUE"""),3485164.0)</f>
        <v>3485164</v>
      </c>
      <c r="C12343" t="str">
        <f>IFERROR(__xludf.DUMMYFUNCTION("""COMPUTED_VALUE"""),"Aplicativos com Microsoft Power Apps: aprenda desenvolvendo")</f>
        <v>Aplicativos com Microsoft Power Apps: aprenda desenvolvendo</v>
      </c>
    </row>
    <row r="12344">
      <c r="A12344" s="140" t="str">
        <f>IFERROR(__xludf.DUMMYFUNCTION("""COMPUTED_VALUE"""),"tr")</f>
        <v>tr</v>
      </c>
      <c r="B12344">
        <f>IFERROR(__xludf.DUMMYFUNCTION("""COMPUTED_VALUE"""),2295407.0)</f>
        <v>2295407</v>
      </c>
      <c r="C12344" t="str">
        <f>IFERROR(__xludf.DUMMYFUNCTION("""COMPUTED_VALUE"""),"SEO Eğitimi 2022 - 0'dan İleri Seviyeye Uzmanından SEO Kursu")</f>
        <v>SEO Eğitimi 2022 - 0'dan İleri Seviyeye Uzmanından SEO Kursu</v>
      </c>
    </row>
    <row r="12345">
      <c r="A12345" s="140" t="str">
        <f>IFERROR(__xludf.DUMMYFUNCTION("""COMPUTED_VALUE"""),"ja")</f>
        <v>ja</v>
      </c>
      <c r="B12345">
        <f>IFERROR(__xludf.DUMMYFUNCTION("""COMPUTED_VALUE"""),1681432.0)</f>
        <v>1681432</v>
      </c>
      <c r="C12345" t="str">
        <f>IFERROR(__xludf.DUMMYFUNCTION("""COMPUTED_VALUE"""),"プレゼン本に書いてないPowerPoint資料作成術「あのグラフ…実際パワポでどうやって作るの？」 8ステップ速習コース")</f>
        <v>プレゼン本に書いてないPowerPoint資料作成術「あのグラフ…実際パワポでどうやって作るの？」 8ステップ速習コース</v>
      </c>
    </row>
    <row r="12346">
      <c r="A12346" s="140" t="str">
        <f>IFERROR(__xludf.DUMMYFUNCTION("""COMPUTED_VALUE"""),"en")</f>
        <v>en</v>
      </c>
      <c r="B12346">
        <f>IFERROR(__xludf.DUMMYFUNCTION("""COMPUTED_VALUE"""),1834396.0)</f>
        <v>1834396</v>
      </c>
      <c r="C12346" t="str">
        <f>IFERROR(__xludf.DUMMYFUNCTION("""COMPUTED_VALUE"""),"Galera Cluster and MariaDB MySQL Replication")</f>
        <v>Galera Cluster and MariaDB MySQL Replication</v>
      </c>
    </row>
    <row r="12347">
      <c r="A12347" s="140" t="str">
        <f>IFERROR(__xludf.DUMMYFUNCTION("""COMPUTED_VALUE"""),"en")</f>
        <v>en</v>
      </c>
      <c r="B12347">
        <f>IFERROR(__xludf.DUMMYFUNCTION("""COMPUTED_VALUE"""),675248.0)</f>
        <v>675248</v>
      </c>
      <c r="C12347" t="str">
        <f>IFERROR(__xludf.DUMMYFUNCTION("""COMPUTED_VALUE"""),"WebServices/API Testing by SoapUI-Groovy|Real-time API|23+hr")</f>
        <v>WebServices/API Testing by SoapUI-Groovy|Real-time API|23+hr</v>
      </c>
    </row>
    <row r="12348">
      <c r="A12348" s="140" t="str">
        <f>IFERROR(__xludf.DUMMYFUNCTION("""COMPUTED_VALUE"""),"es")</f>
        <v>es</v>
      </c>
      <c r="B12348">
        <f>IFERROR(__xludf.DUMMYFUNCTION("""COMPUTED_VALUE"""),3951744.0)</f>
        <v>3951744</v>
      </c>
      <c r="C12348" t="str">
        <f>IFERROR(__xludf.DUMMYFUNCTION("""COMPUTED_VALUE"""),"Bootcamp de Redacción Publicitaria (Copywriting Course)")</f>
        <v>Bootcamp de Redacción Publicitaria (Copywriting Course)</v>
      </c>
    </row>
    <row r="12349">
      <c r="A12349" s="140" t="str">
        <f>IFERROR(__xludf.DUMMYFUNCTION("""COMPUTED_VALUE"""),"fr")</f>
        <v>fr</v>
      </c>
      <c r="B12349">
        <f>IFERROR(__xludf.DUMMYFUNCTION("""COMPUTED_VALUE"""),1544922.0)</f>
        <v>1544922</v>
      </c>
      <c r="C12349" t="str">
        <f>IFERROR(__xludf.DUMMYFUNCTION("""COMPUTED_VALUE"""),"Devenir Web Designer - Le cours complet")</f>
        <v>Devenir Web Designer - Le cours complet</v>
      </c>
    </row>
    <row r="12350">
      <c r="A12350" s="140" t="str">
        <f>IFERROR(__xludf.DUMMYFUNCTION("""COMPUTED_VALUE"""),"es")</f>
        <v>es</v>
      </c>
      <c r="B12350">
        <f>IFERROR(__xludf.DUMMYFUNCTION("""COMPUTED_VALUE"""),171812.0)</f>
        <v>171812</v>
      </c>
      <c r="C12350" t="str">
        <f>IFERROR(__xludf.DUMMYFUNCTION("""COMPUTED_VALUE"""),"Iniciación al idioma Chino: Curso Básico de Chino Mandarín.")</f>
        <v>Iniciación al idioma Chino: Curso Básico de Chino Mandarín.</v>
      </c>
    </row>
    <row r="12351">
      <c r="A12351" s="140" t="str">
        <f>IFERROR(__xludf.DUMMYFUNCTION("""COMPUTED_VALUE"""),"tr")</f>
        <v>tr</v>
      </c>
      <c r="B12351">
        <f>IFERROR(__xludf.DUMMYFUNCTION("""COMPUTED_VALUE"""),1207662.0)</f>
        <v>1207662</v>
      </c>
      <c r="C12351" t="str">
        <f>IFERROR(__xludf.DUMMYFUNCTION("""COMPUTED_VALUE"""),"Android Mobil Uygulama Kursu: Kotlin &amp; Java")</f>
        <v>Android Mobil Uygulama Kursu: Kotlin &amp; Java</v>
      </c>
    </row>
    <row r="12352">
      <c r="A12352" s="140" t="str">
        <f>IFERROR(__xludf.DUMMYFUNCTION("""COMPUTED_VALUE"""),"en")</f>
        <v>en</v>
      </c>
      <c r="B12352">
        <f>IFERROR(__xludf.DUMMYFUNCTION("""COMPUTED_VALUE"""),2985544.0)</f>
        <v>2985544</v>
      </c>
      <c r="C12352" t="str">
        <f>IFERROR(__xludf.DUMMYFUNCTION("""COMPUTED_VALUE"""),"ISO 45001 - Occupational Health &amp; Safety management system")</f>
        <v>ISO 45001 - Occupational Health &amp; Safety management system</v>
      </c>
    </row>
    <row r="12353">
      <c r="A12353" s="140" t="str">
        <f>IFERROR(__xludf.DUMMYFUNCTION("""COMPUTED_VALUE"""),"tr")</f>
        <v>tr</v>
      </c>
      <c r="B12353">
        <f>IFERROR(__xludf.DUMMYFUNCTION("""COMPUTED_VALUE"""),2658844.0)</f>
        <v>2658844</v>
      </c>
      <c r="C12353" t="str">
        <f>IFERROR(__xludf.DUMMYFUNCTION("""COMPUTED_VALUE"""),"Python ile Algoritmalar (Bol Teori, Bol Kod)")</f>
        <v>Python ile Algoritmalar (Bol Teori, Bol Kod)</v>
      </c>
    </row>
    <row r="12354">
      <c r="A12354" s="140" t="str">
        <f>IFERROR(__xludf.DUMMYFUNCTION("""COMPUTED_VALUE"""),"en")</f>
        <v>en</v>
      </c>
      <c r="B12354">
        <f>IFERROR(__xludf.DUMMYFUNCTION("""COMPUTED_VALUE"""),915986.0)</f>
        <v>915986</v>
      </c>
      <c r="C12354" t="str">
        <f>IFERROR(__xludf.DUMMYFUNCTION("""COMPUTED_VALUE"""),"Wordpress Security - How To Stop Hackers")</f>
        <v>Wordpress Security - How To Stop Hackers</v>
      </c>
    </row>
    <row r="12355">
      <c r="A12355" s="140" t="str">
        <f>IFERROR(__xludf.DUMMYFUNCTION("""COMPUTED_VALUE"""),"pt")</f>
        <v>pt</v>
      </c>
      <c r="B12355">
        <f>IFERROR(__xludf.DUMMYFUNCTION("""COMPUTED_VALUE"""),3178182.0)</f>
        <v>3178182</v>
      </c>
      <c r="C12355" t="str">
        <f>IFERROR(__xludf.DUMMYFUNCTION("""COMPUTED_VALUE"""),"Desenvolvimento Web Avançado 2021 com PHP, Laravel e Vue.JS")</f>
        <v>Desenvolvimento Web Avançado 2021 com PHP, Laravel e Vue.JS</v>
      </c>
    </row>
    <row r="12356">
      <c r="A12356" s="140" t="str">
        <f>IFERROR(__xludf.DUMMYFUNCTION("""COMPUTED_VALUE"""),"en")</f>
        <v>en</v>
      </c>
      <c r="B12356">
        <f>IFERROR(__xludf.DUMMYFUNCTION("""COMPUTED_VALUE"""),2788408.0)</f>
        <v>2788408</v>
      </c>
      <c r="C12356" t="str">
        <f>IFERROR(__xludf.DUMMYFUNCTION("""COMPUTED_VALUE"""),"Insightful Customer Interviews for Product Managers")</f>
        <v>Insightful Customer Interviews for Product Managers</v>
      </c>
    </row>
    <row r="12357">
      <c r="A12357" s="140" t="str">
        <f>IFERROR(__xludf.DUMMYFUNCTION("""COMPUTED_VALUE"""),"fr")</f>
        <v>fr</v>
      </c>
      <c r="B12357">
        <f>IFERROR(__xludf.DUMMYFUNCTION("""COMPUTED_VALUE"""),2312210.0)</f>
        <v>2312210</v>
      </c>
      <c r="C12357" t="str">
        <f>IFERROR(__xludf.DUMMYFUNCTION("""COMPUTED_VALUE"""),"Google Data Studio : la formation express")</f>
        <v>Google Data Studio : la formation express</v>
      </c>
    </row>
    <row r="12358">
      <c r="A12358" s="140" t="str">
        <f>IFERROR(__xludf.DUMMYFUNCTION("""COMPUTED_VALUE"""),"en")</f>
        <v>en</v>
      </c>
      <c r="B12358">
        <f>IFERROR(__xludf.DUMMYFUNCTION("""COMPUTED_VALUE"""),208456.0)</f>
        <v>208456</v>
      </c>
      <c r="C12358" t="str">
        <f>IFERROR(__xludf.DUMMYFUNCTION("""COMPUTED_VALUE"""),"Press Coverage, Publicity &amp; Public Relations For Branding")</f>
        <v>Press Coverage, Publicity &amp; Public Relations For Branding</v>
      </c>
    </row>
    <row r="12359">
      <c r="A12359" s="140" t="str">
        <f>IFERROR(__xludf.DUMMYFUNCTION("""COMPUTED_VALUE"""),"es")</f>
        <v>es</v>
      </c>
      <c r="B12359">
        <f>IFERROR(__xludf.DUMMYFUNCTION("""COMPUTED_VALUE"""),2257566.0)</f>
        <v>2257566</v>
      </c>
      <c r="C12359" t="str">
        <f>IFERROR(__xludf.DUMMYFUNCTION("""COMPUTED_VALUE"""),"Sistema Asistencia Moderno en C#-Sql con Huella Dactilar")</f>
        <v>Sistema Asistencia Moderno en C#-Sql con Huella Dactilar</v>
      </c>
    </row>
    <row r="12360">
      <c r="A12360" s="140" t="str">
        <f>IFERROR(__xludf.DUMMYFUNCTION("""COMPUTED_VALUE"""),"en")</f>
        <v>en</v>
      </c>
      <c r="B12360">
        <f>IFERROR(__xludf.DUMMYFUNCTION("""COMPUTED_VALUE"""),1655614.0)</f>
        <v>1655614</v>
      </c>
      <c r="C12360" t="str">
        <f>IFERROR(__xludf.DUMMYFUNCTION("""COMPUTED_VALUE"""),"Build an app with React, Redux and Firestore from scratch")</f>
        <v>Build an app with React, Redux and Firestore from scratch</v>
      </c>
    </row>
    <row r="12361">
      <c r="A12361" s="140" t="str">
        <f>IFERROR(__xludf.DUMMYFUNCTION("""COMPUTED_VALUE"""),"ja")</f>
        <v>ja</v>
      </c>
      <c r="B12361">
        <f>IFERROR(__xludf.DUMMYFUNCTION("""COMPUTED_VALUE"""),4017424.0)</f>
        <v>4017424</v>
      </c>
      <c r="C12361" t="str">
        <f>IFERROR(__xludf.DUMMYFUNCTION("""COMPUTED_VALUE"""),"＜UB確認テスト＞元Appleエバンジェリスト、ガイ・カワサキの起業家塾（日本語字幕）")</f>
        <v>＜UB確認テスト＞元Appleエバンジェリスト、ガイ・カワサキの起業家塾（日本語字幕）</v>
      </c>
    </row>
    <row r="12362">
      <c r="A12362" s="140" t="str">
        <f>IFERROR(__xludf.DUMMYFUNCTION("""COMPUTED_VALUE"""),"en")</f>
        <v>en</v>
      </c>
      <c r="B12362">
        <f>IFERROR(__xludf.DUMMYFUNCTION("""COMPUTED_VALUE"""),2451980.0)</f>
        <v>2451980</v>
      </c>
      <c r="C12362" t="str">
        <f>IFERROR(__xludf.DUMMYFUNCTION("""COMPUTED_VALUE"""),"Laravel API Development &amp; Vue JS SPA from Scratch")</f>
        <v>Laravel API Development &amp; Vue JS SPA from Scratch</v>
      </c>
    </row>
    <row r="12363">
      <c r="A12363" s="140" t="str">
        <f>IFERROR(__xludf.DUMMYFUNCTION("""COMPUTED_VALUE"""),"fr")</f>
        <v>fr</v>
      </c>
      <c r="B12363">
        <f>IFERROR(__xludf.DUMMYFUNCTION("""COMPUTED_VALUE"""),1828522.0)</f>
        <v>1828522</v>
      </c>
      <c r="C12363" t="str">
        <f>IFERROR(__xludf.DUMMYFUNCTION("""COMPUTED_VALUE"""),"Unreal Engine: Création D'un Projet Architectural Interactif")</f>
        <v>Unreal Engine: Création D'un Projet Architectural Interactif</v>
      </c>
    </row>
    <row r="12364">
      <c r="A12364" s="140" t="str">
        <f>IFERROR(__xludf.DUMMYFUNCTION("""COMPUTED_VALUE"""),"es")</f>
        <v>es</v>
      </c>
      <c r="B12364">
        <f>IFERROR(__xludf.DUMMYFUNCTION("""COMPUTED_VALUE"""),2383174.0)</f>
        <v>2383174</v>
      </c>
      <c r="C12364" t="str">
        <f>IFERROR(__xludf.DUMMYFUNCTION("""COMPUTED_VALUE"""),"Introducción a React Native con React Navigation y Axios")</f>
        <v>Introducción a React Native con React Navigation y Axios</v>
      </c>
    </row>
    <row r="12365">
      <c r="A12365" s="140" t="str">
        <f>IFERROR(__xludf.DUMMYFUNCTION("""COMPUTED_VALUE"""),"en")</f>
        <v>en</v>
      </c>
      <c r="B12365">
        <f>IFERROR(__xludf.DUMMYFUNCTION("""COMPUTED_VALUE"""),3044772.0)</f>
        <v>3044772</v>
      </c>
      <c r="C12365" t="str">
        <f>IFERROR(__xludf.DUMMYFUNCTION("""COMPUTED_VALUE"""),"Complete Google Workspace (G Suite), Beginner - Advanced")</f>
        <v>Complete Google Workspace (G Suite), Beginner - Advanced</v>
      </c>
    </row>
    <row r="12366">
      <c r="A12366" s="140" t="str">
        <f>IFERROR(__xludf.DUMMYFUNCTION("""COMPUTED_VALUE"""),"ja")</f>
        <v>ja</v>
      </c>
      <c r="B12366">
        <f>IFERROR(__xludf.DUMMYFUNCTION("""COMPUTED_VALUE"""),1506696.0)</f>
        <v>1506696</v>
      </c>
      <c r="C12366" t="str">
        <f>IFERROR(__xludf.DUMMYFUNCTION("""COMPUTED_VALUE"""),"Excel VBA[第2弾](脱・入門編)請求書を1クリックで出力するマクロを作成！文系・非IT職もできるプログラミング")</f>
        <v>Excel VBA[第2弾](脱・入門編)請求書を1クリックで出力するマクロを作成！文系・非IT職もできるプログラミング</v>
      </c>
    </row>
    <row r="12367">
      <c r="A12367" s="140" t="str">
        <f>IFERROR(__xludf.DUMMYFUNCTION("""COMPUTED_VALUE"""),"pt")</f>
        <v>pt</v>
      </c>
      <c r="B12367">
        <f>IFERROR(__xludf.DUMMYFUNCTION("""COMPUTED_VALUE"""),1230694.0)</f>
        <v>1230694</v>
      </c>
      <c r="C12367" t="str">
        <f>IFERROR(__xludf.DUMMYFUNCTION("""COMPUTED_VALUE"""),"Microsoft Excel - Do Zero ao Avançado | Divertido e Completo")</f>
        <v>Microsoft Excel - Do Zero ao Avançado | Divertido e Completo</v>
      </c>
    </row>
    <row r="12368">
      <c r="A12368" s="140" t="str">
        <f>IFERROR(__xludf.DUMMYFUNCTION("""COMPUTED_VALUE"""),"es")</f>
        <v>es</v>
      </c>
      <c r="B12368">
        <f>IFERROR(__xludf.DUMMYFUNCTION("""COMPUTED_VALUE"""),3372986.0)</f>
        <v>3372986</v>
      </c>
      <c r="C12368" t="str">
        <f>IFERROR(__xludf.DUMMYFUNCTION("""COMPUTED_VALUE"""),"Flutter Avanzado: Lleva tu conocimiento al siguiente nivel")</f>
        <v>Flutter Avanzado: Lleva tu conocimiento al siguiente nivel</v>
      </c>
    </row>
    <row r="12369">
      <c r="A12369" s="140" t="str">
        <f>IFERROR(__xludf.DUMMYFUNCTION("""COMPUTED_VALUE"""),"en")</f>
        <v>en</v>
      </c>
      <c r="B12369">
        <f>IFERROR(__xludf.DUMMYFUNCTION("""COMPUTED_VALUE"""),776744.0)</f>
        <v>776744</v>
      </c>
      <c r="C12369" t="str">
        <f>IFERROR(__xludf.DUMMYFUNCTION("""COMPUTED_VALUE"""),"Hands-on Linux: Self-Hosted WordPress for Linux Beginners")</f>
        <v>Hands-on Linux: Self-Hosted WordPress for Linux Beginners</v>
      </c>
    </row>
    <row r="12370">
      <c r="A12370" s="140" t="str">
        <f>IFERROR(__xludf.DUMMYFUNCTION("""COMPUTED_VALUE"""),"pt")</f>
        <v>pt</v>
      </c>
      <c r="B12370">
        <f>IFERROR(__xludf.DUMMYFUNCTION("""COMPUTED_VALUE"""),1835990.0)</f>
        <v>1835990</v>
      </c>
      <c r="C12370" t="str">
        <f>IFERROR(__xludf.DUMMYFUNCTION("""COMPUTED_VALUE"""),"DevOps potencializa implantação de qualidade e agilidade")</f>
        <v>DevOps potencializa implantação de qualidade e agilidade</v>
      </c>
    </row>
    <row r="12371">
      <c r="A12371" s="140" t="str">
        <f>IFERROR(__xludf.DUMMYFUNCTION("""COMPUTED_VALUE"""),"en")</f>
        <v>en</v>
      </c>
      <c r="B12371">
        <f>IFERROR(__xludf.DUMMYFUNCTION("""COMPUTED_VALUE"""),2715290.0)</f>
        <v>2715290</v>
      </c>
      <c r="C12371" t="str">
        <f>IFERROR(__xludf.DUMMYFUNCTION("""COMPUTED_VALUE"""),"JSON Web Token (JWT) with Spring Security And Angular")</f>
        <v>JSON Web Token (JWT) with Spring Security And Angular</v>
      </c>
    </row>
    <row r="12372">
      <c r="A12372" s="140" t="str">
        <f>IFERROR(__xludf.DUMMYFUNCTION("""COMPUTED_VALUE"""),"pt")</f>
        <v>pt</v>
      </c>
      <c r="B12372">
        <f>IFERROR(__xludf.DUMMYFUNCTION("""COMPUTED_VALUE"""),1170368.0)</f>
        <v>1170368</v>
      </c>
      <c r="C12372" t="str">
        <f>IFERROR(__xludf.DUMMYFUNCTION("""COMPUTED_VALUE"""),"Curso Desenvolvedor Web")</f>
        <v>Curso Desenvolvedor Web</v>
      </c>
    </row>
    <row r="12373">
      <c r="A12373" s="140" t="str">
        <f>IFERROR(__xludf.DUMMYFUNCTION("""COMPUTED_VALUE"""),"ja")</f>
        <v>ja</v>
      </c>
      <c r="B12373">
        <f>IFERROR(__xludf.DUMMYFUNCTION("""COMPUTED_VALUE"""),1989996.0)</f>
        <v>1989996</v>
      </c>
      <c r="C12373" t="str">
        <f>IFERROR(__xludf.DUMMYFUNCTION("""COMPUTED_VALUE"""),"【4時間で分かる】エクセルで学ぶ企業価値評価（ファイナンス）基礎コース")</f>
        <v>【4時間で分かる】エクセルで学ぶ企業価値評価（ファイナンス）基礎コース</v>
      </c>
    </row>
    <row r="12374">
      <c r="A12374" s="140" t="str">
        <f>IFERROR(__xludf.DUMMYFUNCTION("""COMPUTED_VALUE"""),"tr")</f>
        <v>tr</v>
      </c>
      <c r="B12374">
        <f>IFERROR(__xludf.DUMMYFUNCTION("""COMPUTED_VALUE"""),3797526.0)</f>
        <v>3797526</v>
      </c>
      <c r="C12374" t="str">
        <f>IFERROR(__xludf.DUMMYFUNCTION("""COMPUTED_VALUE"""),"Temel Python : 46 saat, 210 Soru, 5 Proje, 5 Ödev, 2 Sınav")</f>
        <v>Temel Python : 46 saat, 210 Soru, 5 Proje, 5 Ödev, 2 Sınav</v>
      </c>
    </row>
    <row r="12375">
      <c r="A12375" s="140" t="str">
        <f>IFERROR(__xludf.DUMMYFUNCTION("""COMPUTED_VALUE"""),"en")</f>
        <v>en</v>
      </c>
      <c r="B12375">
        <f>IFERROR(__xludf.DUMMYFUNCTION("""COMPUTED_VALUE"""),437398.0)</f>
        <v>437398</v>
      </c>
      <c r="C12375" t="str">
        <f>IFERROR(__xludf.DUMMYFUNCTION("""COMPUTED_VALUE"""),"Build Responsive Real-World Websites with HTML and CSS")</f>
        <v>Build Responsive Real-World Websites with HTML and CSS</v>
      </c>
    </row>
    <row r="12376">
      <c r="A12376" s="140" t="str">
        <f>IFERROR(__xludf.DUMMYFUNCTION("""COMPUTED_VALUE"""),"en")</f>
        <v>en</v>
      </c>
      <c r="B12376">
        <f>IFERROR(__xludf.DUMMYFUNCTION("""COMPUTED_VALUE"""),3387028.0)</f>
        <v>3387028</v>
      </c>
      <c r="C12376" t="str">
        <f>IFERROR(__xludf.DUMMYFUNCTION("""COMPUTED_VALUE"""),"Financial Mathematics - Theory of Interest &amp; Cashflow Models")</f>
        <v>Financial Mathematics - Theory of Interest &amp; Cashflow Models</v>
      </c>
    </row>
    <row r="12377">
      <c r="A12377" s="140" t="str">
        <f>IFERROR(__xludf.DUMMYFUNCTION("""COMPUTED_VALUE"""),"es")</f>
        <v>es</v>
      </c>
      <c r="B12377">
        <f>IFERROR(__xludf.DUMMYFUNCTION("""COMPUTED_VALUE"""),749300.0)</f>
        <v>749300</v>
      </c>
      <c r="C12377" t="str">
        <f>IFERROR(__xludf.DUMMYFUNCTION("""COMPUTED_VALUE"""),"Decidir y Priorizar: Para lograr tus metas")</f>
        <v>Decidir y Priorizar: Para lograr tus metas</v>
      </c>
    </row>
    <row r="12378">
      <c r="A12378" s="140" t="str">
        <f>IFERROR(__xludf.DUMMYFUNCTION("""COMPUTED_VALUE"""),"pt")</f>
        <v>pt</v>
      </c>
      <c r="B12378">
        <f>IFERROR(__xludf.DUMMYFUNCTION("""COMPUTED_VALUE"""),3438598.0)</f>
        <v>3438598</v>
      </c>
      <c r="C12378" t="str">
        <f>IFERROR(__xludf.DUMMYFUNCTION("""COMPUTED_VALUE"""),"Aprenda a elaborar um Plano de Negócios Na Prática")</f>
        <v>Aprenda a elaborar um Plano de Negócios Na Prática</v>
      </c>
    </row>
    <row r="12379">
      <c r="A12379" s="140" t="str">
        <f>IFERROR(__xludf.DUMMYFUNCTION("""COMPUTED_VALUE"""),"ar")</f>
        <v>ar</v>
      </c>
      <c r="B12379">
        <f>IFERROR(__xludf.DUMMYFUNCTION("""COMPUTED_VALUE"""),3050394.0)</f>
        <v>3050394</v>
      </c>
      <c r="C12379" t="str">
        <f>IFERROR(__xludf.DUMMYFUNCTION("""COMPUTED_VALUE"""),"PMP فهم الدليل المعرفي لإدارة المشاريع الإصدار السادس")</f>
        <v>PMP فهم الدليل المعرفي لإدارة المشاريع الإصدار السادس</v>
      </c>
    </row>
    <row r="12380">
      <c r="A12380" s="140" t="str">
        <f>IFERROR(__xludf.DUMMYFUNCTION("""COMPUTED_VALUE"""),"fr")</f>
        <v>fr</v>
      </c>
      <c r="B12380">
        <f>IFERROR(__xludf.DUMMYFUNCTION("""COMPUTED_VALUE"""),3704710.0)</f>
        <v>3704710</v>
      </c>
      <c r="C12380" t="str">
        <f>IFERROR(__xludf.DUMMYFUNCTION("""COMPUTED_VALUE"""),"L'investissement en bourse, par où commencer ?")</f>
        <v>L'investissement en bourse, par où commencer ?</v>
      </c>
    </row>
    <row r="12381">
      <c r="A12381" s="140" t="str">
        <f>IFERROR(__xludf.DUMMYFUNCTION("""COMPUTED_VALUE"""),"fr")</f>
        <v>fr</v>
      </c>
      <c r="B12381">
        <f>IFERROR(__xludf.DUMMYFUNCTION("""COMPUTED_VALUE"""),2113424.0)</f>
        <v>2113424</v>
      </c>
      <c r="C12381" t="str">
        <f>IFERROR(__xludf.DUMMYFUNCTION("""COMPUTED_VALUE"""),"10 Techniques efficaces pour prendre de meilleures décisions")</f>
        <v>10 Techniques efficaces pour prendre de meilleures décisions</v>
      </c>
    </row>
    <row r="12382">
      <c r="A12382" s="140" t="str">
        <f>IFERROR(__xludf.DUMMYFUNCTION("""COMPUTED_VALUE"""),"tr")</f>
        <v>tr</v>
      </c>
      <c r="B12382">
        <f>IFERROR(__xludf.DUMMYFUNCTION("""COMPUTED_VALUE"""),3541472.0)</f>
        <v>3541472</v>
      </c>
      <c r="C12382" t="str">
        <f>IFERROR(__xludf.DUMMYFUNCTION("""COMPUTED_VALUE"""),"Sıfırdan HTML5 ve CSS3 Kursu")</f>
        <v>Sıfırdan HTML5 ve CSS3 Kursu</v>
      </c>
    </row>
    <row r="12383">
      <c r="A12383" s="140" t="str">
        <f>IFERROR(__xludf.DUMMYFUNCTION("""COMPUTED_VALUE"""),"fr")</f>
        <v>fr</v>
      </c>
      <c r="B12383">
        <f>IFERROR(__xludf.DUMMYFUNCTION("""COMPUTED_VALUE"""),3200636.0)</f>
        <v>3200636</v>
      </c>
      <c r="C12383" t="str">
        <f>IFERROR(__xludf.DUMMYFUNCTION("""COMPUTED_VALUE"""),"Formation complète développeur Front-End")</f>
        <v>Formation complète développeur Front-End</v>
      </c>
    </row>
    <row r="12384">
      <c r="A12384" s="140" t="str">
        <f>IFERROR(__xludf.DUMMYFUNCTION("""COMPUTED_VALUE"""),"en")</f>
        <v>en</v>
      </c>
      <c r="B12384">
        <f>IFERROR(__xludf.DUMMYFUNCTION("""COMPUTED_VALUE"""),812588.0)</f>
        <v>812588</v>
      </c>
      <c r="C12384" t="str">
        <f>IFERROR(__xludf.DUMMYFUNCTION("""COMPUTED_VALUE"""),"The Complete jQuery Course: From Beginner To Advanced!")</f>
        <v>The Complete jQuery Course: From Beginner To Advanced!</v>
      </c>
    </row>
    <row r="12385">
      <c r="A12385" s="140" t="str">
        <f>IFERROR(__xludf.DUMMYFUNCTION("""COMPUTED_VALUE"""),"es")</f>
        <v>es</v>
      </c>
      <c r="B12385">
        <f>IFERROR(__xludf.DUMMYFUNCTION("""COMPUTED_VALUE"""),1352002.0)</f>
        <v>1352002</v>
      </c>
      <c r="C12385" t="str">
        <f>IFERROR(__xludf.DUMMYFUNCTION("""COMPUTED_VALUE"""),"Keynote: Curso para novatos desde CERO")</f>
        <v>Keynote: Curso para novatos desde CERO</v>
      </c>
    </row>
    <row r="12386">
      <c r="A12386" s="140" t="str">
        <f>IFERROR(__xludf.DUMMYFUNCTION("""COMPUTED_VALUE"""),"en")</f>
        <v>en</v>
      </c>
      <c r="B12386">
        <f>IFERROR(__xludf.DUMMYFUNCTION("""COMPUTED_VALUE"""),355212.0)</f>
        <v>355212</v>
      </c>
      <c r="C12386" t="str">
        <f>IFERROR(__xludf.DUMMYFUNCTION("""COMPUTED_VALUE"""),"Wordpress for Beginners - Master Wordpress Quickly")</f>
        <v>Wordpress for Beginners - Master Wordpress Quickly</v>
      </c>
    </row>
    <row r="12387">
      <c r="A12387" s="140" t="str">
        <f>IFERROR(__xludf.DUMMYFUNCTION("""COMPUTED_VALUE"""),"en")</f>
        <v>en</v>
      </c>
      <c r="B12387">
        <f>IFERROR(__xludf.DUMMYFUNCTION("""COMPUTED_VALUE"""),934032.0)</f>
        <v>934032</v>
      </c>
      <c r="C12387" t="str">
        <f>IFERROR(__xludf.DUMMYFUNCTION("""COMPUTED_VALUE"""),"YouTube SEO: How to Rank #1 on YouTube")</f>
        <v>YouTube SEO: How to Rank #1 on YouTube</v>
      </c>
    </row>
    <row r="12388">
      <c r="A12388" s="140" t="str">
        <f>IFERROR(__xludf.DUMMYFUNCTION("""COMPUTED_VALUE"""),"en")</f>
        <v>en</v>
      </c>
      <c r="B12388">
        <f>IFERROR(__xludf.DUMMYFUNCTION("""COMPUTED_VALUE"""),1946820.0)</f>
        <v>1946820</v>
      </c>
      <c r="C12388" t="str">
        <f>IFERROR(__xludf.DUMMYFUNCTION("""COMPUTED_VALUE"""),"Introduction to Criminology: Explaining Crime")</f>
        <v>Introduction to Criminology: Explaining Crime</v>
      </c>
    </row>
    <row r="12389">
      <c r="A12389" s="140" t="str">
        <f>IFERROR(__xludf.DUMMYFUNCTION("""COMPUTED_VALUE"""),"en")</f>
        <v>en</v>
      </c>
      <c r="B12389">
        <f>IFERROR(__xludf.DUMMYFUNCTION("""COMPUTED_VALUE"""),3666718.0)</f>
        <v>3666718</v>
      </c>
      <c r="C12389" t="str">
        <f>IFERROR(__xludf.DUMMYFUNCTION("""COMPUTED_VALUE"""),"Applied SQL For Data Analytics / Data Science With BigQuery")</f>
        <v>Applied SQL For Data Analytics / Data Science With BigQuery</v>
      </c>
    </row>
    <row r="12390">
      <c r="A12390" s="140" t="str">
        <f>IFERROR(__xludf.DUMMYFUNCTION("""COMPUTED_VALUE"""),"en")</f>
        <v>en</v>
      </c>
      <c r="B12390">
        <f>IFERROR(__xludf.DUMMYFUNCTION("""COMPUTED_VALUE"""),4008228.0)</f>
        <v>4008228</v>
      </c>
      <c r="C12390" t="str">
        <f>IFERROR(__xludf.DUMMYFUNCTION("""COMPUTED_VALUE"""),"GCP for Beginners - Become a Google Cloud Digital Leader")</f>
        <v>GCP for Beginners - Become a Google Cloud Digital Leader</v>
      </c>
    </row>
    <row r="12391">
      <c r="A12391" s="140" t="str">
        <f>IFERROR(__xludf.DUMMYFUNCTION("""COMPUTED_VALUE"""),"en")</f>
        <v>en</v>
      </c>
      <c r="B12391">
        <f>IFERROR(__xludf.DUMMYFUNCTION("""COMPUTED_VALUE"""),34268.0)</f>
        <v>34268</v>
      </c>
      <c r="C12391" t="str">
        <f>IFERROR(__xludf.DUMMYFUNCTION("""COMPUTED_VALUE"""),"QMS Auditor / Lead Auditor Course")</f>
        <v>QMS Auditor / Lead Auditor Course</v>
      </c>
    </row>
    <row r="12392">
      <c r="A12392" s="140" t="str">
        <f>IFERROR(__xludf.DUMMYFUNCTION("""COMPUTED_VALUE"""),"ja")</f>
        <v>ja</v>
      </c>
      <c r="B12392">
        <f>IFERROR(__xludf.DUMMYFUNCTION("""COMPUTED_VALUE"""),3898402.0)</f>
        <v>3898402</v>
      </c>
      <c r="C12392" t="str">
        <f>IFERROR(__xludf.DUMMYFUNCTION("""COMPUTED_VALUE"""),"＜UB確認テスト＞【 キーワード速習！ 】実践MBAアカウンティング＆ファイナンス講座マスターコース")</f>
        <v>＜UB確認テスト＞【 キーワード速習！ 】実践MBAアカウンティング＆ファイナンス講座マスターコース</v>
      </c>
    </row>
    <row r="12393">
      <c r="A12393" s="140" t="str">
        <f>IFERROR(__xludf.DUMMYFUNCTION("""COMPUTED_VALUE"""),"en")</f>
        <v>en</v>
      </c>
      <c r="B12393">
        <f>IFERROR(__xludf.DUMMYFUNCTION("""COMPUTED_VALUE"""),3463716.0)</f>
        <v>3463716</v>
      </c>
      <c r="C12393" t="str">
        <f>IFERROR(__xludf.DUMMYFUNCTION("""COMPUTED_VALUE"""),"Complete Vue.js 3  (Inc. Composition API, Vue Router, Vuex)")</f>
        <v>Complete Vue.js 3  (Inc. Composition API, Vue Router, Vuex)</v>
      </c>
    </row>
    <row r="12394">
      <c r="A12394" s="140" t="str">
        <f>IFERROR(__xludf.DUMMYFUNCTION("""COMPUTED_VALUE"""),"en")</f>
        <v>en</v>
      </c>
      <c r="B12394">
        <f>IFERROR(__xludf.DUMMYFUNCTION("""COMPUTED_VALUE"""),1692098.0)</f>
        <v>1692098</v>
      </c>
      <c r="C12394" t="str">
        <f>IFERROR(__xludf.DUMMYFUNCTION("""COMPUTED_VALUE"""),"CFA® Level 1 (2021/2022) - Complete Derivatives")</f>
        <v>CFA® Level 1 (2021/2022) - Complete Derivatives</v>
      </c>
    </row>
    <row r="12395">
      <c r="A12395" s="140" t="str">
        <f>IFERROR(__xludf.DUMMYFUNCTION("""COMPUTED_VALUE"""),"ko")</f>
        <v>ko</v>
      </c>
      <c r="B12395">
        <f>IFERROR(__xludf.DUMMYFUNCTION("""COMPUTED_VALUE"""),4327426.0)</f>
        <v>4327426</v>
      </c>
      <c r="C12395" t="str">
        <f>IFERROR(__xludf.DUMMYFUNCTION("""COMPUTED_VALUE"""),"[주식을 위한 재무분석] 기업의 의도를 꿰뚫어보는 재무분석 (Valuation, M&amp;A, 구조조정)")</f>
        <v>[주식을 위한 재무분석] 기업의 의도를 꿰뚫어보는 재무분석 (Valuation, M&amp;A, 구조조정)</v>
      </c>
    </row>
    <row r="12396">
      <c r="A12396" s="140" t="str">
        <f>IFERROR(__xludf.DUMMYFUNCTION("""COMPUTED_VALUE"""),"fr")</f>
        <v>fr</v>
      </c>
      <c r="B12396">
        <f>IFERROR(__xludf.DUMMYFUNCTION("""COMPUTED_VALUE"""),4024128.0)</f>
        <v>4024128</v>
      </c>
      <c r="C12396" t="str">
        <f>IFERROR(__xludf.DUMMYFUNCTION("""COMPUTED_VALUE"""),"ELECTRON JS : Créez des apps desktop multi-plateformes")</f>
        <v>ELECTRON JS : Créez des apps desktop multi-plateformes</v>
      </c>
    </row>
    <row r="12397">
      <c r="A12397" s="140" t="str">
        <f>IFERROR(__xludf.DUMMYFUNCTION("""COMPUTED_VALUE"""),"es")</f>
        <v>es</v>
      </c>
      <c r="B12397">
        <f>IFERROR(__xludf.DUMMYFUNCTION("""COMPUTED_VALUE"""),2805657.0)</f>
        <v>2805657</v>
      </c>
      <c r="C12397" t="str">
        <f>IFERROR(__xludf.DUMMYFUNCTION("""COMPUTED_VALUE"""),"Administración de IBM DataPower Gateway versión 7.6")</f>
        <v>Administración de IBM DataPower Gateway versión 7.6</v>
      </c>
    </row>
    <row r="12398">
      <c r="A12398" s="140" t="str">
        <f>IFERROR(__xludf.DUMMYFUNCTION("""COMPUTED_VALUE"""),"en")</f>
        <v>en</v>
      </c>
      <c r="B12398">
        <f>IFERROR(__xludf.DUMMYFUNCTION("""COMPUTED_VALUE"""),2563796.0)</f>
        <v>2563796</v>
      </c>
      <c r="C12398" t="str">
        <f>IFERROR(__xludf.DUMMYFUNCTION("""COMPUTED_VALUE"""),"Docker Essentials for Python Developers")</f>
        <v>Docker Essentials for Python Developers</v>
      </c>
    </row>
    <row r="12399">
      <c r="A12399" s="140" t="str">
        <f>IFERROR(__xludf.DUMMYFUNCTION("""COMPUTED_VALUE"""),"en")</f>
        <v>en</v>
      </c>
      <c r="B12399">
        <f>IFERROR(__xludf.DUMMYFUNCTION("""COMPUTED_VALUE"""),1586110.0)</f>
        <v>1586110</v>
      </c>
      <c r="C12399" t="str">
        <f>IFERROR(__xludf.DUMMYFUNCTION("""COMPUTED_VALUE"""),"Persuasion Machine: Master Persuasion Psychology &amp; Influence")</f>
        <v>Persuasion Machine: Master Persuasion Psychology &amp; Influence</v>
      </c>
    </row>
    <row r="12400">
      <c r="A12400" s="140" t="str">
        <f>IFERROR(__xludf.DUMMYFUNCTION("""COMPUTED_VALUE"""),"en")</f>
        <v>en</v>
      </c>
      <c r="B12400">
        <f>IFERROR(__xludf.DUMMYFUNCTION("""COMPUTED_VALUE"""),1067632.0)</f>
        <v>1067632</v>
      </c>
      <c r="C12400" t="str">
        <f>IFERROR(__xludf.DUMMYFUNCTION("""COMPUTED_VALUE"""),"How to Create Video Tutorials and Perform on Camera")</f>
        <v>How to Create Video Tutorials and Perform on Camera</v>
      </c>
    </row>
    <row r="12401">
      <c r="A12401" s="140" t="str">
        <f>IFERROR(__xludf.DUMMYFUNCTION("""COMPUTED_VALUE"""),"en")</f>
        <v>en</v>
      </c>
      <c r="B12401">
        <f>IFERROR(__xludf.DUMMYFUNCTION("""COMPUTED_VALUE"""),3026130.0)</f>
        <v>3026130</v>
      </c>
      <c r="C12401" t="str">
        <f>IFERROR(__xludf.DUMMYFUNCTION("""COMPUTED_VALUE"""),"Learn Cucumber BDD From Scratch+ Automation Framework Design")</f>
        <v>Learn Cucumber BDD From Scratch+ Automation Framework Design</v>
      </c>
    </row>
    <row r="12402">
      <c r="A12402" s="140" t="str">
        <f>IFERROR(__xludf.DUMMYFUNCTION("""COMPUTED_VALUE"""),"en")</f>
        <v>en</v>
      </c>
      <c r="B12402">
        <f>IFERROR(__xludf.DUMMYFUNCTION("""COMPUTED_VALUE"""),553636.0)</f>
        <v>553636</v>
      </c>
      <c r="C12402" t="str">
        <f>IFERROR(__xludf.DUMMYFUNCTION("""COMPUTED_VALUE"""),"70-461 Session 5: Querying Microsoft SQL Server (write SQL)")</f>
        <v>70-461 Session 5: Querying Microsoft SQL Server (write SQL)</v>
      </c>
    </row>
    <row r="12403">
      <c r="A12403" s="140" t="str">
        <f>IFERROR(__xludf.DUMMYFUNCTION("""COMPUTED_VALUE"""),"en")</f>
        <v>en</v>
      </c>
      <c r="B12403">
        <f>IFERROR(__xludf.DUMMYFUNCTION("""COMPUTED_VALUE"""),2942646.0)</f>
        <v>2942646</v>
      </c>
      <c r="C12403" t="str">
        <f>IFERROR(__xludf.DUMMYFUNCTION("""COMPUTED_VALUE"""),"Python Regular Expressions Complete Masterclass")</f>
        <v>Python Regular Expressions Complete Masterclass</v>
      </c>
    </row>
    <row r="12404">
      <c r="A12404" s="140" t="str">
        <f>IFERROR(__xludf.DUMMYFUNCTION("""COMPUTED_VALUE"""),"pt")</f>
        <v>pt</v>
      </c>
      <c r="B12404">
        <f>IFERROR(__xludf.DUMMYFUNCTION("""COMPUTED_VALUE"""),1853944.0)</f>
        <v>1853944</v>
      </c>
      <c r="C12404" t="str">
        <f>IFERROR(__xludf.DUMMYFUNCTION("""COMPUTED_VALUE"""),"Google Ads e Facebook Ads - Marketing Digital Iniciantes")</f>
        <v>Google Ads e Facebook Ads - Marketing Digital Iniciantes</v>
      </c>
    </row>
    <row r="12405">
      <c r="A12405" s="140" t="str">
        <f>IFERROR(__xludf.DUMMYFUNCTION("""COMPUTED_VALUE"""),"en")</f>
        <v>en</v>
      </c>
      <c r="B12405">
        <f>IFERROR(__xludf.DUMMYFUNCTION("""COMPUTED_VALUE"""),328386.0)</f>
        <v>328386</v>
      </c>
      <c r="C12405" t="str">
        <f>IFERROR(__xludf.DUMMYFUNCTION("""COMPUTED_VALUE"""),"Google Analytics Certification - Become Analytics Certified!")</f>
        <v>Google Analytics Certification - Become Analytics Certified!</v>
      </c>
    </row>
    <row r="12406">
      <c r="A12406" s="140" t="str">
        <f>IFERROR(__xludf.DUMMYFUNCTION("""COMPUTED_VALUE"""),"en")</f>
        <v>en</v>
      </c>
      <c r="B12406">
        <f>IFERROR(__xludf.DUMMYFUNCTION("""COMPUTED_VALUE"""),2362256.0)</f>
        <v>2362256</v>
      </c>
      <c r="C12406" t="str">
        <f>IFERROR(__xludf.DUMMYFUNCTION("""COMPUTED_VALUE"""),"Hacking REST APIs - A beginner's guide")</f>
        <v>Hacking REST APIs - A beginner's guide</v>
      </c>
    </row>
    <row r="12407">
      <c r="A12407" s="140" t="str">
        <f>IFERROR(__xludf.DUMMYFUNCTION("""COMPUTED_VALUE"""),"ja")</f>
        <v>ja</v>
      </c>
      <c r="B12407">
        <f>IFERROR(__xludf.DUMMYFUNCTION("""COMPUTED_VALUE"""),2297008.0)</f>
        <v>2297008</v>
      </c>
      <c r="C12407" t="str">
        <f>IFERROR(__xludf.DUMMYFUNCTION("""COMPUTED_VALUE"""),"Unity超簡単！3Dアクションゲームが作れる6つのテクニック")</f>
        <v>Unity超簡単！3Dアクションゲームが作れる6つのテクニック</v>
      </c>
    </row>
    <row r="12408">
      <c r="A12408" s="140" t="str">
        <f>IFERROR(__xludf.DUMMYFUNCTION("""COMPUTED_VALUE"""),"tr")</f>
        <v>tr</v>
      </c>
      <c r="B12408">
        <f>IFERROR(__xludf.DUMMYFUNCTION("""COMPUTED_VALUE"""),3934228.0)</f>
        <v>3934228</v>
      </c>
      <c r="C12408" t="str">
        <f>IFERROR(__xludf.DUMMYFUNCTION("""COMPUTED_VALUE"""),".Net 5.0 İle Microservices")</f>
        <v>.Net 5.0 İle Microservices</v>
      </c>
    </row>
    <row r="12409">
      <c r="A12409" s="140" t="str">
        <f>IFERROR(__xludf.DUMMYFUNCTION("""COMPUTED_VALUE"""),"en")</f>
        <v>en</v>
      </c>
      <c r="B12409">
        <f>IFERROR(__xludf.DUMMYFUNCTION("""COMPUTED_VALUE"""),550332.0)</f>
        <v>550332</v>
      </c>
      <c r="C12409" t="str">
        <f>IFERROR(__xludf.DUMMYFUNCTION("""COMPUTED_VALUE"""),"Getting Started with Solidworks")</f>
        <v>Getting Started with Solidworks</v>
      </c>
    </row>
    <row r="12410">
      <c r="A12410" s="140" t="str">
        <f>IFERROR(__xludf.DUMMYFUNCTION("""COMPUTED_VALUE"""),"en")</f>
        <v>en</v>
      </c>
      <c r="B12410">
        <f>IFERROR(__xludf.DUMMYFUNCTION("""COMPUTED_VALUE"""),360214.0)</f>
        <v>360214</v>
      </c>
      <c r="C12410" t="str">
        <f>IFERROR(__xludf.DUMMYFUNCTION("""COMPUTED_VALUE"""),"Photoshop CC Retouching and Effects Masterclass")</f>
        <v>Photoshop CC Retouching and Effects Masterclass</v>
      </c>
    </row>
    <row r="12411">
      <c r="A12411" s="140" t="str">
        <f>IFERROR(__xludf.DUMMYFUNCTION("""COMPUTED_VALUE"""),"tr")</f>
        <v>tr</v>
      </c>
      <c r="B12411">
        <f>IFERROR(__xludf.DUMMYFUNCTION("""COMPUTED_VALUE"""),1482344.0)</f>
        <v>1482344</v>
      </c>
      <c r="C12411" t="str">
        <f>IFERROR(__xludf.DUMMYFUNCTION("""COMPUTED_VALUE"""),"Stresle Baş Etme Teknikleri Kursu")</f>
        <v>Stresle Baş Etme Teknikleri Kursu</v>
      </c>
    </row>
    <row r="12412">
      <c r="A12412" s="140" t="str">
        <f>IFERROR(__xludf.DUMMYFUNCTION("""COMPUTED_VALUE"""),"pt")</f>
        <v>pt</v>
      </c>
      <c r="B12412">
        <f>IFERROR(__xludf.DUMMYFUNCTION("""COMPUTED_VALUE"""),3279278.0)</f>
        <v>3279278</v>
      </c>
      <c r="C12412" t="str">
        <f>IFERROR(__xludf.DUMMYFUNCTION("""COMPUTED_VALUE"""),"Desenvolvimento Web Full Stack com Python e Django")</f>
        <v>Desenvolvimento Web Full Stack com Python e Django</v>
      </c>
    </row>
    <row r="12413">
      <c r="A12413" s="140" t="str">
        <f>IFERROR(__xludf.DUMMYFUNCTION("""COMPUTED_VALUE"""),"en")</f>
        <v>en</v>
      </c>
      <c r="B12413">
        <f>IFERROR(__xludf.DUMMYFUNCTION("""COMPUTED_VALUE"""),414930.0)</f>
        <v>414930</v>
      </c>
      <c r="C12413" t="str">
        <f>IFERROR(__xludf.DUMMYFUNCTION("""COMPUTED_VALUE"""),"The Public Speaker's Guide to Storytelling")</f>
        <v>The Public Speaker's Guide to Storytelling</v>
      </c>
    </row>
    <row r="12414">
      <c r="A12414" s="140" t="str">
        <f>IFERROR(__xludf.DUMMYFUNCTION("""COMPUTED_VALUE"""),"es")</f>
        <v>es</v>
      </c>
      <c r="B12414">
        <f>IFERROR(__xludf.DUMMYFUNCTION("""COMPUTED_VALUE"""),816466.0)</f>
        <v>816466</v>
      </c>
      <c r="C12414" t="str">
        <f>IFERROR(__xludf.DUMMYFUNCTION("""COMPUTED_VALUE"""),"Microsoft Excel: Curso para la Certificación Oficial 77-420")</f>
        <v>Microsoft Excel: Curso para la Certificación Oficial 77-420</v>
      </c>
    </row>
    <row r="12415">
      <c r="A12415" s="140" t="str">
        <f>IFERROR(__xludf.DUMMYFUNCTION("""COMPUTED_VALUE"""),"en")</f>
        <v>en</v>
      </c>
      <c r="B12415">
        <f>IFERROR(__xludf.DUMMYFUNCTION("""COMPUTED_VALUE"""),2543803.0)</f>
        <v>2543803</v>
      </c>
      <c r="C12415" t="str">
        <f>IFERROR(__xludf.DUMMYFUNCTION("""COMPUTED_VALUE"""),"The Complete Punctuation Course: English Writing - Grammar")</f>
        <v>The Complete Punctuation Course: English Writing - Grammar</v>
      </c>
    </row>
    <row r="12416">
      <c r="A12416" s="140" t="str">
        <f>IFERROR(__xludf.DUMMYFUNCTION("""COMPUTED_VALUE"""),"fr")</f>
        <v>fr</v>
      </c>
      <c r="B12416">
        <f>IFERROR(__xludf.DUMMYFUNCTION("""COMPUTED_VALUE"""),2740396.0)</f>
        <v>2740396</v>
      </c>
      <c r="C12416" t="str">
        <f>IFERROR(__xludf.DUMMYFUNCTION("""COMPUTED_VALUE"""),"Microsoft Office 2019 de A à Z")</f>
        <v>Microsoft Office 2019 de A à Z</v>
      </c>
    </row>
    <row r="12417">
      <c r="A12417" s="140" t="str">
        <f>IFERROR(__xludf.DUMMYFUNCTION("""COMPUTED_VALUE"""),"pt")</f>
        <v>pt</v>
      </c>
      <c r="B12417">
        <f>IFERROR(__xludf.DUMMYFUNCTION("""COMPUTED_VALUE"""),3291220.0)</f>
        <v>3291220</v>
      </c>
      <c r="C12417" t="str">
        <f>IFERROR(__xludf.DUMMYFUNCTION("""COMPUTED_VALUE"""),"Quant Expert - Estratégias Quantitativas")</f>
        <v>Quant Expert - Estratégias Quantitativas</v>
      </c>
    </row>
    <row r="12418">
      <c r="A12418" s="140" t="str">
        <f>IFERROR(__xludf.DUMMYFUNCTION("""COMPUTED_VALUE"""),"en")</f>
        <v>en</v>
      </c>
      <c r="B12418">
        <f>IFERROR(__xludf.DUMMYFUNCTION("""COMPUTED_VALUE"""),266590.0)</f>
        <v>266590</v>
      </c>
      <c r="C12418" t="str">
        <f>IFERROR(__xludf.DUMMYFUNCTION("""COMPUTED_VALUE"""),"[2022] Career Hacking: World's Bestselling Job Search Course")</f>
        <v>[2022] Career Hacking: World's Bestselling Job Search Course</v>
      </c>
    </row>
    <row r="12419">
      <c r="A12419" s="140" t="str">
        <f>IFERROR(__xludf.DUMMYFUNCTION("""COMPUTED_VALUE"""),"es")</f>
        <v>es</v>
      </c>
      <c r="B12419">
        <f>IFERROR(__xludf.DUMMYFUNCTION("""COMPUTED_VALUE"""),942960.0)</f>
        <v>942960</v>
      </c>
      <c r="C12419" t="str">
        <f>IFERROR(__xludf.DUMMYFUNCTION("""COMPUTED_VALUE"""),"Desarrollar una red social con PHP, Symfony3, jQuery y AJAX")</f>
        <v>Desarrollar una red social con PHP, Symfony3, jQuery y AJAX</v>
      </c>
    </row>
    <row r="12420">
      <c r="A12420" s="140" t="str">
        <f>IFERROR(__xludf.DUMMYFUNCTION("""COMPUTED_VALUE"""),"en")</f>
        <v>en</v>
      </c>
      <c r="B12420">
        <f>IFERROR(__xludf.DUMMYFUNCTION("""COMPUTED_VALUE"""),2170852.0)</f>
        <v>2170852</v>
      </c>
      <c r="C12420" t="str">
        <f>IFERROR(__xludf.DUMMYFUNCTION("""COMPUTED_VALUE"""),"Master the art of Dynamic Programming")</f>
        <v>Master the art of Dynamic Programming</v>
      </c>
    </row>
    <row r="12421">
      <c r="A12421" s="140" t="str">
        <f>IFERROR(__xludf.DUMMYFUNCTION("""COMPUTED_VALUE"""),"pt")</f>
        <v>pt</v>
      </c>
      <c r="B12421">
        <f>IFERROR(__xludf.DUMMYFUNCTION("""COMPUTED_VALUE"""),2219146.0)</f>
        <v>2219146</v>
      </c>
      <c r="C12421" t="str">
        <f>IFERROR(__xludf.DUMMYFUNCTION("""COMPUTED_VALUE"""),"Inglês Extremo - Curso Completo do Zero à Fluência")</f>
        <v>Inglês Extremo - Curso Completo do Zero à Fluência</v>
      </c>
    </row>
    <row r="12422">
      <c r="A12422" s="140" t="str">
        <f>IFERROR(__xludf.DUMMYFUNCTION("""COMPUTED_VALUE"""),"en")</f>
        <v>en</v>
      </c>
      <c r="B12422">
        <f>IFERROR(__xludf.DUMMYFUNCTION("""COMPUTED_VALUE"""),221696.0)</f>
        <v>221696</v>
      </c>
      <c r="C12422" t="str">
        <f>IFERROR(__xludf.DUMMYFUNCTION("""COMPUTED_VALUE"""),"Git Going Fast: One Hour Git Crash Course")</f>
        <v>Git Going Fast: One Hour Git Crash Course</v>
      </c>
    </row>
    <row r="12423">
      <c r="A12423" s="140" t="str">
        <f>IFERROR(__xludf.DUMMYFUNCTION("""COMPUTED_VALUE"""),"fr")</f>
        <v>fr</v>
      </c>
      <c r="B12423">
        <f>IFERROR(__xludf.DUMMYFUNCTION("""COMPUTED_VALUE"""),2674024.0)</f>
        <v>2674024</v>
      </c>
      <c r="C12423" t="str">
        <f>IFERROR(__xludf.DUMMYFUNCTION("""COMPUTED_VALUE"""),"Apprenez linux par la pratique")</f>
        <v>Apprenez linux par la pratique</v>
      </c>
    </row>
    <row r="12424">
      <c r="A12424" s="140" t="str">
        <f>IFERROR(__xludf.DUMMYFUNCTION("""COMPUTED_VALUE"""),"en")</f>
        <v>en</v>
      </c>
      <c r="B12424">
        <f>IFERROR(__xludf.DUMMYFUNCTION("""COMPUTED_VALUE"""),1814490.0)</f>
        <v>1814490</v>
      </c>
      <c r="C12424" t="str">
        <f>IFERROR(__xludf.DUMMYFUNCTION("""COMPUTED_VALUE"""),"Developing with S3: AWS with Python and Boto3 Series")</f>
        <v>Developing with S3: AWS with Python and Boto3 Series</v>
      </c>
    </row>
    <row r="12425">
      <c r="A12425" s="140" t="str">
        <f>IFERROR(__xludf.DUMMYFUNCTION("""COMPUTED_VALUE"""),"en")</f>
        <v>en</v>
      </c>
      <c r="B12425">
        <f>IFERROR(__xludf.DUMMYFUNCTION("""COMPUTED_VALUE"""),856992.0)</f>
        <v>856992</v>
      </c>
      <c r="C12425" t="str">
        <f>IFERROR(__xludf.DUMMYFUNCTION("""COMPUTED_VALUE"""),"PMI-ACP Agile Certified Exam Prep - 21 PDUs")</f>
        <v>PMI-ACP Agile Certified Exam Prep - 21 PDUs</v>
      </c>
    </row>
    <row r="12426">
      <c r="A12426" s="140" t="str">
        <f>IFERROR(__xludf.DUMMYFUNCTION("""COMPUTED_VALUE"""),"en")</f>
        <v>en</v>
      </c>
      <c r="B12426">
        <f>IFERROR(__xludf.DUMMYFUNCTION("""COMPUTED_VALUE"""),1478856.0)</f>
        <v>1478856</v>
      </c>
      <c r="C12426" t="str">
        <f>IFERROR(__xludf.DUMMYFUNCTION("""COMPUTED_VALUE"""),"HTML &amp; CSS Tutorial and Projects Course")</f>
        <v>HTML &amp; CSS Tutorial and Projects Course</v>
      </c>
    </row>
    <row r="12427">
      <c r="A12427" s="140" t="str">
        <f>IFERROR(__xludf.DUMMYFUNCTION("""COMPUTED_VALUE"""),"en")</f>
        <v>en</v>
      </c>
      <c r="B12427">
        <f>IFERROR(__xludf.DUMMYFUNCTION("""COMPUTED_VALUE"""),1128568.0)</f>
        <v>1128568</v>
      </c>
      <c r="C12427" t="str">
        <f>IFERROR(__xludf.DUMMYFUNCTION("""COMPUTED_VALUE"""),"Dividend Investing Specialized Topic: REITs MasterClass")</f>
        <v>Dividend Investing Specialized Topic: REITs MasterClass</v>
      </c>
    </row>
    <row r="12428">
      <c r="A12428" s="140" t="str">
        <f>IFERROR(__xludf.DUMMYFUNCTION("""COMPUTED_VALUE"""),"en")</f>
        <v>en</v>
      </c>
      <c r="B12428">
        <f>IFERROR(__xludf.DUMMYFUNCTION("""COMPUTED_VALUE"""),1239906.0)</f>
        <v>1239906</v>
      </c>
      <c r="C12428" t="str">
        <f>IFERROR(__xludf.DUMMYFUNCTION("""COMPUTED_VALUE"""),"OKR Goal Setting 101 - Achieve more goals than ever! Faster!")</f>
        <v>OKR Goal Setting 101 - Achieve more goals than ever! Faster!</v>
      </c>
    </row>
    <row r="12429">
      <c r="A12429" s="140" t="str">
        <f>IFERROR(__xludf.DUMMYFUNCTION("""COMPUTED_VALUE"""),"tr")</f>
        <v>tr</v>
      </c>
      <c r="B12429">
        <f>IFERROR(__xludf.DUMMYFUNCTION("""COMPUTED_VALUE"""),2114740.0)</f>
        <v>2114740</v>
      </c>
      <c r="C12429" t="str">
        <f>IFERROR(__xludf.DUMMYFUNCTION("""COMPUTED_VALUE"""),"Tea Talks ile Sıfırdan İngilizce - Pratik İngilizce Kursu")</f>
        <v>Tea Talks ile Sıfırdan İngilizce - Pratik İngilizce Kursu</v>
      </c>
    </row>
    <row r="12430">
      <c r="A12430" s="140" t="str">
        <f>IFERROR(__xludf.DUMMYFUNCTION("""COMPUTED_VALUE"""),"en")</f>
        <v>en</v>
      </c>
      <c r="B12430">
        <f>IFERROR(__xludf.DUMMYFUNCTION("""COMPUTED_VALUE"""),1206482.0)</f>
        <v>1206482</v>
      </c>
      <c r="C12430" t="str">
        <f>IFERROR(__xludf.DUMMYFUNCTION("""COMPUTED_VALUE"""),"CCNA NAT configuration and troubleshooting: Cisco CCNA Exam")</f>
        <v>CCNA NAT configuration and troubleshooting: Cisco CCNA Exam</v>
      </c>
    </row>
    <row r="12431">
      <c r="A12431" s="140" t="str">
        <f>IFERROR(__xludf.DUMMYFUNCTION("""COMPUTED_VALUE"""),"en")</f>
        <v>en</v>
      </c>
      <c r="B12431">
        <f>IFERROR(__xludf.DUMMYFUNCTION("""COMPUTED_VALUE"""),2980608.0)</f>
        <v>2980608</v>
      </c>
      <c r="C12431" t="str">
        <f>IFERROR(__xludf.DUMMYFUNCTION("""COMPUTED_VALUE"""),"Spring Professional Certification Exam Tutorial - Module 07")</f>
        <v>Spring Professional Certification Exam Tutorial - Module 07</v>
      </c>
    </row>
    <row r="12432">
      <c r="A12432" s="140" t="str">
        <f>IFERROR(__xludf.DUMMYFUNCTION("""COMPUTED_VALUE"""),"en")</f>
        <v>en</v>
      </c>
      <c r="B12432">
        <f>IFERROR(__xludf.DUMMYFUNCTION("""COMPUTED_VALUE"""),2983526.0)</f>
        <v>2983526</v>
      </c>
      <c r="C12432" t="str">
        <f>IFERROR(__xludf.DUMMYFUNCTION("""COMPUTED_VALUE"""),"Design Patterns in C# Made Simple")</f>
        <v>Design Patterns in C# Made Simple</v>
      </c>
    </row>
    <row r="12433">
      <c r="A12433" s="140" t="str">
        <f>IFERROR(__xludf.DUMMYFUNCTION("""COMPUTED_VALUE"""),"en")</f>
        <v>en</v>
      </c>
      <c r="B12433">
        <f>IFERROR(__xludf.DUMMYFUNCTION("""COMPUTED_VALUE"""),2447700.0)</f>
        <v>2447700</v>
      </c>
      <c r="C12433" t="str">
        <f>IFERROR(__xludf.DUMMYFUNCTION("""COMPUTED_VALUE"""),"Machine Learning in JavaScript with TensorFlow.js")</f>
        <v>Machine Learning in JavaScript with TensorFlow.js</v>
      </c>
    </row>
    <row r="12434">
      <c r="A12434" s="140" t="str">
        <f>IFERROR(__xludf.DUMMYFUNCTION("""COMPUTED_VALUE"""),"ja")</f>
        <v>ja</v>
      </c>
      <c r="B12434">
        <f>IFERROR(__xludf.DUMMYFUNCTION("""COMPUTED_VALUE"""),2248020.0)</f>
        <v>2248020</v>
      </c>
      <c r="C12434" t="str">
        <f>IFERROR(__xludf.DUMMYFUNCTION("""COMPUTED_VALUE"""),"１時間でサクッと学ぶ！会計職ではない人のための「現場で役立つ」会計知識")</f>
        <v>１時間でサクッと学ぶ！会計職ではない人のための「現場で役立つ」会計知識</v>
      </c>
    </row>
    <row r="12435">
      <c r="A12435" s="140" t="str">
        <f>IFERROR(__xludf.DUMMYFUNCTION("""COMPUTED_VALUE"""),"de")</f>
        <v>de</v>
      </c>
      <c r="B12435">
        <f>IFERROR(__xludf.DUMMYFUNCTION("""COMPUTED_VALUE"""),1356816.0)</f>
        <v>1356816</v>
      </c>
      <c r="C12435" t="str">
        <f>IFERROR(__xludf.DUMMYFUNCTION("""COMPUTED_VALUE"""),"Der große Arduino-Lehrgang: Vom Anfänger zum Profi")</f>
        <v>Der große Arduino-Lehrgang: Vom Anfänger zum Profi</v>
      </c>
    </row>
    <row r="12436">
      <c r="A12436" s="140" t="str">
        <f>IFERROR(__xludf.DUMMYFUNCTION("""COMPUTED_VALUE"""),"en")</f>
        <v>en</v>
      </c>
      <c r="B12436">
        <f>IFERROR(__xludf.DUMMYFUNCTION("""COMPUTED_VALUE"""),1534200.0)</f>
        <v>1534200</v>
      </c>
      <c r="C12436" t="str">
        <f>IFERROR(__xludf.DUMMYFUNCTION("""COMPUTED_VALUE"""),"70-764 Administering a SQL Database Infrastructure")</f>
        <v>70-764 Administering a SQL Database Infrastructure</v>
      </c>
    </row>
    <row r="12437">
      <c r="A12437" s="140" t="str">
        <f>IFERROR(__xludf.DUMMYFUNCTION("""COMPUTED_VALUE"""),"en")</f>
        <v>en</v>
      </c>
      <c r="B12437">
        <f>IFERROR(__xludf.DUMMYFUNCTION("""COMPUTED_VALUE"""),2829896.0)</f>
        <v>2829896</v>
      </c>
      <c r="C12437" t="str">
        <f>IFERROR(__xludf.DUMMYFUNCTION("""COMPUTED_VALUE"""),"MongoDB with Java Spring Boot &amp; Spring Framework")</f>
        <v>MongoDB with Java Spring Boot &amp; Spring Framework</v>
      </c>
    </row>
    <row r="12438">
      <c r="A12438" s="140" t="str">
        <f>IFERROR(__xludf.DUMMYFUNCTION("""COMPUTED_VALUE"""),"en")</f>
        <v>en</v>
      </c>
      <c r="B12438">
        <f>IFERROR(__xludf.DUMMYFUNCTION("""COMPUTED_VALUE"""),3339080.0)</f>
        <v>3339080</v>
      </c>
      <c r="C12438" t="str">
        <f>IFERROR(__xludf.DUMMYFUNCTION("""COMPUTED_VALUE"""),"Mastering LookML: Looker's Modeling Language")</f>
        <v>Mastering LookML: Looker's Modeling Language</v>
      </c>
    </row>
    <row r="12439">
      <c r="A12439" s="140" t="str">
        <f>IFERROR(__xludf.DUMMYFUNCTION("""COMPUTED_VALUE"""),"en")</f>
        <v>en</v>
      </c>
      <c r="B12439">
        <f>IFERROR(__xludf.DUMMYFUNCTION("""COMPUTED_VALUE"""),727210.0)</f>
        <v>727210</v>
      </c>
      <c r="C12439" t="str">
        <f>IFERROR(__xludf.DUMMYFUNCTION("""COMPUTED_VALUE"""),"Mastering the Basics of SQL Server Query Optimization")</f>
        <v>Mastering the Basics of SQL Server Query Optimization</v>
      </c>
    </row>
    <row r="12440">
      <c r="A12440" s="140" t="str">
        <f>IFERROR(__xludf.DUMMYFUNCTION("""COMPUTED_VALUE"""),"en")</f>
        <v>en</v>
      </c>
      <c r="B12440">
        <f>IFERROR(__xludf.DUMMYFUNCTION("""COMPUTED_VALUE"""),521574.0)</f>
        <v>521574</v>
      </c>
      <c r="C12440" t="str">
        <f>IFERROR(__xludf.DUMMYFUNCTION("""COMPUTED_VALUE"""),"Complete SEO Training With Top SEO Expert Peter Kent!")</f>
        <v>Complete SEO Training With Top SEO Expert Peter Kent!</v>
      </c>
    </row>
    <row r="12441">
      <c r="A12441" s="140" t="str">
        <f>IFERROR(__xludf.DUMMYFUNCTION("""COMPUTED_VALUE"""),"zh")</f>
        <v>zh</v>
      </c>
      <c r="B12441">
        <f>IFERROR(__xludf.DUMMYFUNCTION("""COMPUTED_VALUE"""),2499280.0)</f>
        <v>2499280</v>
      </c>
      <c r="C12441" t="str">
        <f>IFERROR(__xludf.DUMMYFUNCTION("""COMPUTED_VALUE"""),"Spring Security权限认证开发教程")</f>
        <v>Spring Security权限认证开发教程</v>
      </c>
    </row>
    <row r="12442">
      <c r="A12442" s="140" t="str">
        <f>IFERROR(__xludf.DUMMYFUNCTION("""COMPUTED_VALUE"""),"pt")</f>
        <v>pt</v>
      </c>
      <c r="B12442">
        <f>IFERROR(__xludf.DUMMYFUNCTION("""COMPUTED_VALUE"""),2819249.0)</f>
        <v>2819249</v>
      </c>
      <c r="C12442" t="str">
        <f>IFERROR(__xludf.DUMMYFUNCTION("""COMPUTED_VALUE"""),"Programação Completo para Iniciantes")</f>
        <v>Programação Completo para Iniciantes</v>
      </c>
    </row>
    <row r="12443">
      <c r="A12443" s="140" t="str">
        <f>IFERROR(__xludf.DUMMYFUNCTION("""COMPUTED_VALUE"""),"en")</f>
        <v>en</v>
      </c>
      <c r="B12443">
        <f>IFERROR(__xludf.DUMMYFUNCTION("""COMPUTED_VALUE"""),1085052.0)</f>
        <v>1085052</v>
      </c>
      <c r="C12443" t="str">
        <f>IFERROR(__xludf.DUMMYFUNCTION("""COMPUTED_VALUE"""),"Cisco Advanced Routing Master Class - CCNP Enterprise")</f>
        <v>Cisco Advanced Routing Master Class - CCNP Enterprise</v>
      </c>
    </row>
    <row r="12444">
      <c r="A12444" s="140" t="str">
        <f>IFERROR(__xludf.DUMMYFUNCTION("""COMPUTED_VALUE"""),"en")</f>
        <v>en</v>
      </c>
      <c r="B12444">
        <f>IFERROR(__xludf.DUMMYFUNCTION("""COMPUTED_VALUE"""),1430944.0)</f>
        <v>1430944</v>
      </c>
      <c r="C12444" t="str">
        <f>IFERROR(__xludf.DUMMYFUNCTION("""COMPUTED_VALUE"""),"Excel 2016 for Mac 3: Pivot Tables Intro &amp; Masterclass")</f>
        <v>Excel 2016 for Mac 3: Pivot Tables Intro &amp; Masterclass</v>
      </c>
    </row>
    <row r="12445">
      <c r="A12445" s="140" t="str">
        <f>IFERROR(__xludf.DUMMYFUNCTION("""COMPUTED_VALUE"""),"en")</f>
        <v>en</v>
      </c>
      <c r="B12445">
        <f>IFERROR(__xludf.DUMMYFUNCTION("""COMPUTED_VALUE"""),2602616.0)</f>
        <v>2602616</v>
      </c>
      <c r="C12445" t="str">
        <f>IFERROR(__xludf.DUMMYFUNCTION("""COMPUTED_VALUE"""),"Certified Kubernetes Application Developer 2021")</f>
        <v>Certified Kubernetes Application Developer 2021</v>
      </c>
    </row>
    <row r="12446">
      <c r="A12446" s="140" t="str">
        <f>IFERROR(__xludf.DUMMYFUNCTION("""COMPUTED_VALUE"""),"en")</f>
        <v>en</v>
      </c>
      <c r="B12446">
        <f>IFERROR(__xludf.DUMMYFUNCTION("""COMPUTED_VALUE"""),1741850.0)</f>
        <v>1741850</v>
      </c>
      <c r="C12446" t="str">
        <f>IFERROR(__xludf.DUMMYFUNCTION("""COMPUTED_VALUE"""),"HMI Programming &amp; Design - FactoryTalk View ME SCADA PLC")</f>
        <v>HMI Programming &amp; Design - FactoryTalk View ME SCADA PLC</v>
      </c>
    </row>
    <row r="12447">
      <c r="A12447" s="140" t="str">
        <f>IFERROR(__xludf.DUMMYFUNCTION("""COMPUTED_VALUE"""),"es")</f>
        <v>es</v>
      </c>
      <c r="B12447">
        <f>IFERROR(__xludf.DUMMYFUNCTION("""COMPUTED_VALUE"""),3654148.0)</f>
        <v>3654148</v>
      </c>
      <c r="C12447" t="str">
        <f>IFERROR(__xludf.DUMMYFUNCTION("""COMPUTED_VALUE"""),"Algoritmos y Estructuras de Datos")</f>
        <v>Algoritmos y Estructuras de Datos</v>
      </c>
    </row>
    <row r="12448">
      <c r="A12448" s="140" t="str">
        <f>IFERROR(__xludf.DUMMYFUNCTION("""COMPUTED_VALUE"""),"en")</f>
        <v>en</v>
      </c>
      <c r="B12448">
        <f>IFERROR(__xludf.DUMMYFUNCTION("""COMPUTED_VALUE"""),482996.0)</f>
        <v>482996</v>
      </c>
      <c r="C12448" t="str">
        <f>IFERROR(__xludf.DUMMYFUNCTION("""COMPUTED_VALUE"""),"Design thinking for entrepreneurs &amp; startups (part 1)")</f>
        <v>Design thinking for entrepreneurs &amp; startups (part 1)</v>
      </c>
    </row>
    <row r="12449">
      <c r="A12449" s="140" t="str">
        <f>IFERROR(__xludf.DUMMYFUNCTION("""COMPUTED_VALUE"""),"en")</f>
        <v>en</v>
      </c>
      <c r="B12449">
        <f>IFERROR(__xludf.DUMMYFUNCTION("""COMPUTED_VALUE"""),319664.0)</f>
        <v>319664</v>
      </c>
      <c r="C12449" t="str">
        <f>IFERROR(__xludf.DUMMYFUNCTION("""COMPUTED_VALUE"""),"Rock The Review: Get Promoted as VIP Talent")</f>
        <v>Rock The Review: Get Promoted as VIP Talent</v>
      </c>
    </row>
    <row r="12450">
      <c r="A12450" s="140" t="str">
        <f>IFERROR(__xludf.DUMMYFUNCTION("""COMPUTED_VALUE"""),"en")</f>
        <v>en</v>
      </c>
      <c r="B12450">
        <f>IFERROR(__xludf.DUMMYFUNCTION("""COMPUTED_VALUE"""),3479920.0)</f>
        <v>3479920</v>
      </c>
      <c r="C12450" t="str">
        <f>IFERROR(__xludf.DUMMYFUNCTION("""COMPUTED_VALUE"""),"Snowflake Certification - Architect")</f>
        <v>Snowflake Certification - Architect</v>
      </c>
    </row>
    <row r="12451">
      <c r="A12451" s="140" t="str">
        <f>IFERROR(__xludf.DUMMYFUNCTION("""COMPUTED_VALUE"""),"en")</f>
        <v>en</v>
      </c>
      <c r="B12451">
        <f>IFERROR(__xludf.DUMMYFUNCTION("""COMPUTED_VALUE"""),1439004.0)</f>
        <v>1439004</v>
      </c>
      <c r="C12451" t="str">
        <f>IFERROR(__xludf.DUMMYFUNCTION("""COMPUTED_VALUE"""),"SQL Server Essentials in an hour: The SELECT statement")</f>
        <v>SQL Server Essentials in an hour: The SELECT statement</v>
      </c>
    </row>
    <row r="12452">
      <c r="A12452" s="140" t="str">
        <f>IFERROR(__xludf.DUMMYFUNCTION("""COMPUTED_VALUE"""),"ja")</f>
        <v>ja</v>
      </c>
      <c r="B12452">
        <f>IFERROR(__xludf.DUMMYFUNCTION("""COMPUTED_VALUE"""),2254996.0)</f>
        <v>2254996</v>
      </c>
      <c r="C12452" t="str">
        <f>IFERROR(__xludf.DUMMYFUNCTION("""COMPUTED_VALUE"""),"自己紹介で学ぶ！プレゼン構築の考え方〜「何を話せばいいかわからない・・」からの卒業！〜")</f>
        <v>自己紹介で学ぶ！プレゼン構築の考え方〜「何を話せばいいかわからない・・」からの卒業！〜</v>
      </c>
    </row>
    <row r="12453">
      <c r="A12453" s="140" t="str">
        <f>IFERROR(__xludf.DUMMYFUNCTION("""COMPUTED_VALUE"""),"en")</f>
        <v>en</v>
      </c>
      <c r="B12453">
        <f>IFERROR(__xludf.DUMMYFUNCTION("""COMPUTED_VALUE"""),538664.0)</f>
        <v>538664</v>
      </c>
      <c r="C12453" t="str">
        <f>IFERROR(__xludf.DUMMYFUNCTION("""COMPUTED_VALUE"""),"Master Outsourcing | Get the best price &amp; save time")</f>
        <v>Master Outsourcing | Get the best price &amp; save time</v>
      </c>
    </row>
    <row r="12454">
      <c r="A12454" s="140" t="str">
        <f>IFERROR(__xludf.DUMMYFUNCTION("""COMPUTED_VALUE"""),"en")</f>
        <v>en</v>
      </c>
      <c r="B12454">
        <f>IFERROR(__xludf.DUMMYFUNCTION("""COMPUTED_VALUE"""),179500.0)</f>
        <v>179500</v>
      </c>
      <c r="C12454" t="str">
        <f>IFERROR(__xludf.DUMMYFUNCTION("""COMPUTED_VALUE"""),"Interest Rate Swaps")</f>
        <v>Interest Rate Swaps</v>
      </c>
    </row>
    <row r="12455">
      <c r="A12455" s="140" t="str">
        <f>IFERROR(__xludf.DUMMYFUNCTION("""COMPUTED_VALUE"""),"en")</f>
        <v>en</v>
      </c>
      <c r="B12455">
        <f>IFERROR(__xludf.DUMMYFUNCTION("""COMPUTED_VALUE"""),3184048.0)</f>
        <v>3184048</v>
      </c>
      <c r="C12455" t="str">
        <f>IFERROR(__xludf.DUMMYFUNCTION("""COMPUTED_VALUE"""),"IT &amp; Technical Support Guide to Helpdesk, Desktop &amp; Servers")</f>
        <v>IT &amp; Technical Support Guide to Helpdesk, Desktop &amp; Servers</v>
      </c>
    </row>
    <row r="12456">
      <c r="A12456" s="140" t="str">
        <f>IFERROR(__xludf.DUMMYFUNCTION("""COMPUTED_VALUE"""),"pt")</f>
        <v>pt</v>
      </c>
      <c r="B12456">
        <f>IFERROR(__xludf.DUMMYFUNCTION("""COMPUTED_VALUE"""),2818863.0)</f>
        <v>2818863</v>
      </c>
      <c r="C12456" t="str">
        <f>IFERROR(__xludf.DUMMYFUNCTION("""COMPUTED_VALUE"""),"Data Lakes: Big Data com Arquitetura Lambda")</f>
        <v>Data Lakes: Big Data com Arquitetura Lambda</v>
      </c>
    </row>
    <row r="12457">
      <c r="A12457" s="140" t="str">
        <f>IFERROR(__xludf.DUMMYFUNCTION("""COMPUTED_VALUE"""),"en")</f>
        <v>en</v>
      </c>
      <c r="B12457">
        <f>IFERROR(__xludf.DUMMYFUNCTION("""COMPUTED_VALUE"""),1006314.0)</f>
        <v>1006314</v>
      </c>
      <c r="C12457" t="str">
        <f>IFERROR(__xludf.DUMMYFUNCTION("""COMPUTED_VALUE"""),"Financial Modeling for Business Analysts and Consultants")</f>
        <v>Financial Modeling for Business Analysts and Consultants</v>
      </c>
    </row>
    <row r="12458">
      <c r="A12458" s="140" t="str">
        <f>IFERROR(__xludf.DUMMYFUNCTION("""COMPUTED_VALUE"""),"en")</f>
        <v>en</v>
      </c>
      <c r="B12458">
        <f>IFERROR(__xludf.DUMMYFUNCTION("""COMPUTED_VALUE"""),2410886.0)</f>
        <v>2410886</v>
      </c>
      <c r="C12458" t="str">
        <f>IFERROR(__xludf.DUMMYFUNCTION("""COMPUTED_VALUE"""),"Hands-on Penetration Testing Labs 3.0")</f>
        <v>Hands-on Penetration Testing Labs 3.0</v>
      </c>
    </row>
    <row r="12459">
      <c r="A12459" s="140" t="str">
        <f>IFERROR(__xludf.DUMMYFUNCTION("""COMPUTED_VALUE"""),"pt")</f>
        <v>pt</v>
      </c>
      <c r="B12459">
        <f>IFERROR(__xludf.DUMMYFUNCTION("""COMPUTED_VALUE"""),1684832.0)</f>
        <v>1684832</v>
      </c>
      <c r="C12459" t="str">
        <f>IFERROR(__xludf.DUMMYFUNCTION("""COMPUTED_VALUE"""),"Curso Completo de Marketing Digital - 23 Cursos em 1")</f>
        <v>Curso Completo de Marketing Digital - 23 Cursos em 1</v>
      </c>
    </row>
    <row r="12460">
      <c r="A12460" s="140" t="str">
        <f>IFERROR(__xludf.DUMMYFUNCTION("""COMPUTED_VALUE"""),"en")</f>
        <v>en</v>
      </c>
      <c r="B12460">
        <f>IFERROR(__xludf.DUMMYFUNCTION("""COMPUTED_VALUE"""),4110754.0)</f>
        <v>4110754</v>
      </c>
      <c r="C12460" t="str">
        <f>IFERROR(__xludf.DUMMYFUNCTION("""COMPUTED_VALUE"""),"HARD CISSP practice questions #4: All CISSP domains - 125Q")</f>
        <v>HARD CISSP practice questions #4: All CISSP domains - 125Q</v>
      </c>
    </row>
    <row r="12461">
      <c r="A12461" s="140" t="str">
        <f>IFERROR(__xludf.DUMMYFUNCTION("""COMPUTED_VALUE"""),"fr")</f>
        <v>fr</v>
      </c>
      <c r="B12461">
        <f>IFERROR(__xludf.DUMMYFUNCTION("""COMPUTED_VALUE"""),2824279.0)</f>
        <v>2824279</v>
      </c>
      <c r="C12461" t="str">
        <f>IFERROR(__xludf.DUMMYFUNCTION("""COMPUTED_VALUE"""),"Comment créer 60 articles par mois pour son site / blog")</f>
        <v>Comment créer 60 articles par mois pour son site / blog</v>
      </c>
    </row>
    <row r="12462">
      <c r="A12462" s="140" t="str">
        <f>IFERROR(__xludf.DUMMYFUNCTION("""COMPUTED_VALUE"""),"en")</f>
        <v>en</v>
      </c>
      <c r="B12462">
        <f>IFERROR(__xludf.DUMMYFUNCTION("""COMPUTED_VALUE"""),1673442.0)</f>
        <v>1673442</v>
      </c>
      <c r="C12462" t="str">
        <f>IFERROR(__xludf.DUMMYFUNCTION("""COMPUTED_VALUE"""),"Master MATLAB through Guided Problem Solving")</f>
        <v>Master MATLAB through Guided Problem Solving</v>
      </c>
    </row>
    <row r="12463">
      <c r="A12463" s="140" t="str">
        <f>IFERROR(__xludf.DUMMYFUNCTION("""COMPUTED_VALUE"""),"en")</f>
        <v>en</v>
      </c>
      <c r="B12463">
        <f>IFERROR(__xludf.DUMMYFUNCTION("""COMPUTED_VALUE"""),474102.0)</f>
        <v>474102</v>
      </c>
      <c r="C12463" t="str">
        <f>IFERROR(__xludf.DUMMYFUNCTION("""COMPUTED_VALUE"""),"Tables and Formulas with Excel")</f>
        <v>Tables and Formulas with Excel</v>
      </c>
    </row>
    <row r="12464">
      <c r="A12464" s="140" t="str">
        <f>IFERROR(__xludf.DUMMYFUNCTION("""COMPUTED_VALUE"""),"en")</f>
        <v>en</v>
      </c>
      <c r="B12464">
        <f>IFERROR(__xludf.DUMMYFUNCTION("""COMPUTED_VALUE"""),3214111.0)</f>
        <v>3214111</v>
      </c>
      <c r="C12464" t="str">
        <f>IFERROR(__xludf.DUMMYFUNCTION("""COMPUTED_VALUE"""),"VFX Color Grading and Re-Lighting in Nuke - NK404")</f>
        <v>VFX Color Grading and Re-Lighting in Nuke - NK404</v>
      </c>
    </row>
    <row r="12465">
      <c r="A12465" s="140" t="str">
        <f>IFERROR(__xludf.DUMMYFUNCTION("""COMPUTED_VALUE"""),"en")</f>
        <v>en</v>
      </c>
      <c r="B12465">
        <f>IFERROR(__xludf.DUMMYFUNCTION("""COMPUTED_VALUE"""),874754.0)</f>
        <v>874754</v>
      </c>
      <c r="C12465" t="str">
        <f>IFERROR(__xludf.DUMMYFUNCTION("""COMPUTED_VALUE"""),"Flipped Learning for Businesses")</f>
        <v>Flipped Learning for Businesses</v>
      </c>
    </row>
    <row r="12466">
      <c r="A12466" s="140" t="str">
        <f>IFERROR(__xludf.DUMMYFUNCTION("""COMPUTED_VALUE"""),"en")</f>
        <v>en</v>
      </c>
      <c r="B12466">
        <f>IFERROR(__xludf.DUMMYFUNCTION("""COMPUTED_VALUE"""),2840400.0)</f>
        <v>2840400</v>
      </c>
      <c r="C12466" t="str">
        <f>IFERROR(__xludf.DUMMYFUNCTION("""COMPUTED_VALUE"""),"Executive Briefing: Robotic Process Automation (RPA)")</f>
        <v>Executive Briefing: Robotic Process Automation (RPA)</v>
      </c>
    </row>
    <row r="12467">
      <c r="A12467" s="140" t="str">
        <f>IFERROR(__xludf.DUMMYFUNCTION("""COMPUTED_VALUE"""),"en")</f>
        <v>en</v>
      </c>
      <c r="B12467">
        <f>IFERROR(__xludf.DUMMYFUNCTION("""COMPUTED_VALUE"""),2339512.0)</f>
        <v>2339512</v>
      </c>
      <c r="C12467" t="str">
        <f>IFERROR(__xludf.DUMMYFUNCTION("""COMPUTED_VALUE"""),"Implementing a Cisco ASA Firewall 9.X - All - in - One")</f>
        <v>Implementing a Cisco ASA Firewall 9.X - All - in - One</v>
      </c>
    </row>
    <row r="12468">
      <c r="A12468" s="140" t="str">
        <f>IFERROR(__xludf.DUMMYFUNCTION("""COMPUTED_VALUE"""),"en")</f>
        <v>en</v>
      </c>
      <c r="B12468">
        <f>IFERROR(__xludf.DUMMYFUNCTION("""COMPUTED_VALUE"""),2327156.0)</f>
        <v>2327156</v>
      </c>
      <c r="C12468" t="str">
        <f>IFERROR(__xludf.DUMMYFUNCTION("""COMPUTED_VALUE"""),"The Complete Foundation FOREX Trading Course")</f>
        <v>The Complete Foundation FOREX Trading Course</v>
      </c>
    </row>
    <row r="12469">
      <c r="A12469" s="140" t="str">
        <f>IFERROR(__xludf.DUMMYFUNCTION("""COMPUTED_VALUE"""),"en")</f>
        <v>en</v>
      </c>
      <c r="B12469">
        <f>IFERROR(__xludf.DUMMYFUNCTION("""COMPUTED_VALUE"""),2384022.0)</f>
        <v>2384022</v>
      </c>
      <c r="C12469" t="str">
        <f>IFERROR(__xludf.DUMMYFUNCTION("""COMPUTED_VALUE"""),"The DISC Personality Model for Better Communication")</f>
        <v>The DISC Personality Model for Better Communication</v>
      </c>
    </row>
    <row r="12470">
      <c r="A12470" s="140" t="str">
        <f>IFERROR(__xludf.DUMMYFUNCTION("""COMPUTED_VALUE"""),"en")</f>
        <v>en</v>
      </c>
      <c r="B12470">
        <f>IFERROR(__xludf.DUMMYFUNCTION("""COMPUTED_VALUE"""),642102.0)</f>
        <v>642102</v>
      </c>
      <c r="C12470" t="str">
        <f>IFERROR(__xludf.DUMMYFUNCTION("""COMPUTED_VALUE"""),"Learn How To Code: Google's Go (golang) Programming Language")</f>
        <v>Learn How To Code: Google's Go (golang) Programming Language</v>
      </c>
    </row>
    <row r="12471">
      <c r="A12471" s="140" t="str">
        <f>IFERROR(__xludf.DUMMYFUNCTION("""COMPUTED_VALUE"""),"en")</f>
        <v>en</v>
      </c>
      <c r="B12471">
        <f>IFERROR(__xludf.DUMMYFUNCTION("""COMPUTED_VALUE"""),1671274.0)</f>
        <v>1671274</v>
      </c>
      <c r="C12471" t="str">
        <f>IFERROR(__xludf.DUMMYFUNCTION("""COMPUTED_VALUE"""),"Handling Objections &amp; How To Be A Master Closer")</f>
        <v>Handling Objections &amp; How To Be A Master Closer</v>
      </c>
    </row>
    <row r="12472">
      <c r="A12472" s="140" t="str">
        <f>IFERROR(__xludf.DUMMYFUNCTION("""COMPUTED_VALUE"""),"en")</f>
        <v>en</v>
      </c>
      <c r="B12472">
        <f>IFERROR(__xludf.DUMMYFUNCTION("""COMPUTED_VALUE"""),3200210.0)</f>
        <v>3200210</v>
      </c>
      <c r="C12472" t="str">
        <f>IFERROR(__xludf.DUMMYFUNCTION("""COMPUTED_VALUE"""),"Flight Mechanics - From Theory to Certification of Aircraft")</f>
        <v>Flight Mechanics - From Theory to Certification of Aircraft</v>
      </c>
    </row>
    <row r="12473">
      <c r="A12473" s="140" t="str">
        <f>IFERROR(__xludf.DUMMYFUNCTION("""COMPUTED_VALUE"""),"pt")</f>
        <v>pt</v>
      </c>
      <c r="B12473">
        <f>IFERROR(__xludf.DUMMYFUNCTION("""COMPUTED_VALUE"""),2102378.0)</f>
        <v>2102378</v>
      </c>
      <c r="C12473" t="str">
        <f>IFERROR(__xludf.DUMMYFUNCTION("""COMPUTED_VALUE"""),"Bancos de Dados SQL e NoSQL do básico ao avançado")</f>
        <v>Bancos de Dados SQL e NoSQL do básico ao avançado</v>
      </c>
    </row>
    <row r="12474">
      <c r="A12474" s="140" t="str">
        <f>IFERROR(__xludf.DUMMYFUNCTION("""COMPUTED_VALUE"""),"en")</f>
        <v>en</v>
      </c>
      <c r="B12474">
        <f>IFERROR(__xludf.DUMMYFUNCTION("""COMPUTED_VALUE"""),2798890.0)</f>
        <v>2798890</v>
      </c>
      <c r="C12474" t="str">
        <f>IFERROR(__xludf.DUMMYFUNCTION("""COMPUTED_VALUE"""),"Renewable Energy and Sustainable Development")</f>
        <v>Renewable Energy and Sustainable Development</v>
      </c>
    </row>
    <row r="12475">
      <c r="A12475" s="140" t="str">
        <f>IFERROR(__xludf.DUMMYFUNCTION("""COMPUTED_VALUE"""),"es")</f>
        <v>es</v>
      </c>
      <c r="B12475">
        <f>IFERROR(__xludf.DUMMYFUNCTION("""COMPUTED_VALUE"""),1682886.0)</f>
        <v>1682886</v>
      </c>
      <c r="C12475" t="str">
        <f>IFERROR(__xludf.DUMMYFUNCTION("""COMPUTED_VALUE"""),"Realtime Messenger usando Laravel, Vue, Bootstrap 4 y Pusher")</f>
        <v>Realtime Messenger usando Laravel, Vue, Bootstrap 4 y Pusher</v>
      </c>
    </row>
    <row r="12476">
      <c r="A12476" s="140" t="str">
        <f>IFERROR(__xludf.DUMMYFUNCTION("""COMPUTED_VALUE"""),"es")</f>
        <v>es</v>
      </c>
      <c r="B12476">
        <f>IFERROR(__xludf.DUMMYFUNCTION("""COMPUTED_VALUE"""),2634182.0)</f>
        <v>2634182</v>
      </c>
      <c r="C12476" t="str">
        <f>IFERROR(__xludf.DUMMYFUNCTION("""COMPUTED_VALUE"""),"Realidad Aumentada (Augmented Reality AR) en Unity y Vuforia")</f>
        <v>Realidad Aumentada (Augmented Reality AR) en Unity y Vuforia</v>
      </c>
    </row>
    <row r="12477">
      <c r="A12477" s="140" t="str">
        <f>IFERROR(__xludf.DUMMYFUNCTION("""COMPUTED_VALUE"""),"en")</f>
        <v>en</v>
      </c>
      <c r="B12477">
        <f>IFERROR(__xludf.DUMMYFUNCTION("""COMPUTED_VALUE"""),1102570.0)</f>
        <v>1102570</v>
      </c>
      <c r="C12477" t="str">
        <f>IFERROR(__xludf.DUMMYFUNCTION("""COMPUTED_VALUE"""),"Salesforce Certified Platform Developer I")</f>
        <v>Salesforce Certified Platform Developer I</v>
      </c>
    </row>
    <row r="12478">
      <c r="A12478" s="140" t="str">
        <f>IFERROR(__xludf.DUMMYFUNCTION("""COMPUTED_VALUE"""),"en")</f>
        <v>en</v>
      </c>
      <c r="B12478">
        <f>IFERROR(__xludf.DUMMYFUNCTION("""COMPUTED_VALUE"""),3478798.0)</f>
        <v>3478798</v>
      </c>
      <c r="C12478" t="str">
        <f>IFERROR(__xludf.DUMMYFUNCTION("""COMPUTED_VALUE"""),"Scala Programming In-Depth")</f>
        <v>Scala Programming In-Depth</v>
      </c>
    </row>
    <row r="12479">
      <c r="A12479" s="140" t="str">
        <f>IFERROR(__xludf.DUMMYFUNCTION("""COMPUTED_VALUE"""),"en")</f>
        <v>en</v>
      </c>
      <c r="B12479">
        <f>IFERROR(__xludf.DUMMYFUNCTION("""COMPUTED_VALUE"""),2266110.0)</f>
        <v>2266110</v>
      </c>
      <c r="C12479" t="str">
        <f>IFERROR(__xludf.DUMMYFUNCTION("""COMPUTED_VALUE"""),"Mule 4 Indepth")</f>
        <v>Mule 4 Indepth</v>
      </c>
    </row>
    <row r="12480">
      <c r="A12480" s="140" t="str">
        <f>IFERROR(__xludf.DUMMYFUNCTION("""COMPUTED_VALUE"""),"en")</f>
        <v>en</v>
      </c>
      <c r="B12480">
        <f>IFERROR(__xludf.DUMMYFUNCTION("""COMPUTED_VALUE"""),1349000.0)</f>
        <v>1349000</v>
      </c>
      <c r="C12480" t="str">
        <f>IFERROR(__xludf.DUMMYFUNCTION("""COMPUTED_VALUE"""),"Public Speaking and Presenting at Work")</f>
        <v>Public Speaking and Presenting at Work</v>
      </c>
    </row>
    <row r="12481">
      <c r="A12481" s="140" t="str">
        <f>IFERROR(__xludf.DUMMYFUNCTION("""COMPUTED_VALUE"""),"ja")</f>
        <v>ja</v>
      </c>
      <c r="B12481">
        <f>IFERROR(__xludf.DUMMYFUNCTION("""COMPUTED_VALUE"""),728628.0)</f>
        <v>728628</v>
      </c>
      <c r="C12481" t="str">
        <f>IFERROR(__xludf.DUMMYFUNCTION("""COMPUTED_VALUE"""),"MOS試験Excel対策オンライン講座【2013スペシャリスト】エクセル兄さんのスピードMOS対策・合格コース")</f>
        <v>MOS試験Excel対策オンライン講座【2013スペシャリスト】エクセル兄さんのスピードMOS対策・合格コース</v>
      </c>
    </row>
    <row r="12482">
      <c r="A12482" s="140" t="str">
        <f>IFERROR(__xludf.DUMMYFUNCTION("""COMPUTED_VALUE"""),"en")</f>
        <v>en</v>
      </c>
      <c r="B12482">
        <f>IFERROR(__xludf.DUMMYFUNCTION("""COMPUTED_VALUE"""),1140896.0)</f>
        <v>1140896</v>
      </c>
      <c r="C12482" t="str">
        <f>IFERROR(__xludf.DUMMYFUNCTION("""COMPUTED_VALUE"""),"Debugging Salesforce for Admin's &amp; Developers")</f>
        <v>Debugging Salesforce for Admin's &amp; Developers</v>
      </c>
    </row>
    <row r="12483">
      <c r="A12483" s="140" t="str">
        <f>IFERROR(__xludf.DUMMYFUNCTION("""COMPUTED_VALUE"""),"en")</f>
        <v>en</v>
      </c>
      <c r="B12483">
        <f>IFERROR(__xludf.DUMMYFUNCTION("""COMPUTED_VALUE"""),3765452.0)</f>
        <v>3765452</v>
      </c>
      <c r="C12483" t="str">
        <f>IFERROR(__xludf.DUMMYFUNCTION("""COMPUTED_VALUE"""),"Google Cloud (GCP) Professional Cloud Architect (New '21)")</f>
        <v>Google Cloud (GCP) Professional Cloud Architect (New '21)</v>
      </c>
    </row>
    <row r="12484">
      <c r="A12484" s="140" t="str">
        <f>IFERROR(__xludf.DUMMYFUNCTION("""COMPUTED_VALUE"""),"en")</f>
        <v>en</v>
      </c>
      <c r="B12484">
        <f>IFERROR(__xludf.DUMMYFUNCTION("""COMPUTED_VALUE"""),1597956.0)</f>
        <v>1597956</v>
      </c>
      <c r="C12484" t="str">
        <f>IFERROR(__xludf.DUMMYFUNCTION("""COMPUTED_VALUE"""),"Build A Culture of Freedom &amp; Responsibility by Patty McCord")</f>
        <v>Build A Culture of Freedom &amp; Responsibility by Patty McCord</v>
      </c>
    </row>
    <row r="12485">
      <c r="A12485" s="140" t="str">
        <f>IFERROR(__xludf.DUMMYFUNCTION("""COMPUTED_VALUE"""),"es")</f>
        <v>es</v>
      </c>
      <c r="B12485">
        <f>IFERROR(__xludf.DUMMYFUNCTION("""COMPUTED_VALUE"""),107840.0)</f>
        <v>107840</v>
      </c>
      <c r="C12485" t="str">
        <f>IFERROR(__xludf.DUMMYFUNCTION("""COMPUTED_VALUE"""),"Introducción al PowerPoint 2013")</f>
        <v>Introducción al PowerPoint 2013</v>
      </c>
    </row>
    <row r="12486">
      <c r="A12486" s="140" t="str">
        <f>IFERROR(__xludf.DUMMYFUNCTION("""COMPUTED_VALUE"""),"en")</f>
        <v>en</v>
      </c>
      <c r="B12486">
        <f>IFERROR(__xludf.DUMMYFUNCTION("""COMPUTED_VALUE"""),1565596.0)</f>
        <v>1565596</v>
      </c>
      <c r="C12486" t="str">
        <f>IFERROR(__xludf.DUMMYFUNCTION("""COMPUTED_VALUE"""),"Electrical Control &amp; Protection Part 3")</f>
        <v>Electrical Control &amp; Protection Part 3</v>
      </c>
    </row>
    <row r="12487">
      <c r="A12487" s="140" t="str">
        <f>IFERROR(__xludf.DUMMYFUNCTION("""COMPUTED_VALUE"""),"fr")</f>
        <v>fr</v>
      </c>
      <c r="B12487">
        <f>IFERROR(__xludf.DUMMYFUNCTION("""COMPUTED_VALUE"""),1893282.0)</f>
        <v>1893282</v>
      </c>
      <c r="C12487" t="str">
        <f>IFERROR(__xludf.DUMMYFUNCTION("""COMPUTED_VALUE"""),"Cours de néerlandais en néerlandais 1: apprends en ligne")</f>
        <v>Cours de néerlandais en néerlandais 1: apprends en ligne</v>
      </c>
    </row>
    <row r="12488">
      <c r="A12488" s="140" t="str">
        <f>IFERROR(__xludf.DUMMYFUNCTION("""COMPUTED_VALUE"""),"es")</f>
        <v>es</v>
      </c>
      <c r="B12488">
        <f>IFERROR(__xludf.DUMMYFUNCTION("""COMPUTED_VALUE"""),1215044.0)</f>
        <v>1215044</v>
      </c>
      <c r="C12488" t="str">
        <f>IFERROR(__xludf.DUMMYFUNCTION("""COMPUTED_VALUE"""),"Curso de Go - Como programar y crear APIs RESTful con Golang")</f>
        <v>Curso de Go - Como programar y crear APIs RESTful con Golang</v>
      </c>
    </row>
    <row r="12489">
      <c r="A12489" s="140" t="str">
        <f>IFERROR(__xludf.DUMMYFUNCTION("""COMPUTED_VALUE"""),"de")</f>
        <v>de</v>
      </c>
      <c r="B12489">
        <f>IFERROR(__xludf.DUMMYFUNCTION("""COMPUTED_VALUE"""),1637926.0)</f>
        <v>1637926</v>
      </c>
      <c r="C12489" t="str">
        <f>IFERROR(__xludf.DUMMYFUNCTION("""COMPUTED_VALUE"""),"Python für Finanzanalysen und algorithmisches Trading")</f>
        <v>Python für Finanzanalysen und algorithmisches Trading</v>
      </c>
    </row>
    <row r="12490">
      <c r="A12490" s="140" t="str">
        <f>IFERROR(__xludf.DUMMYFUNCTION("""COMPUTED_VALUE"""),"tr")</f>
        <v>tr</v>
      </c>
      <c r="B12490">
        <f>IFERROR(__xludf.DUMMYFUNCTION("""COMPUTED_VALUE"""),2985094.0)</f>
        <v>2985094</v>
      </c>
      <c r="C12490" t="str">
        <f>IFERROR(__xludf.DUMMYFUNCTION("""COMPUTED_VALUE"""),"İngilizce-Kalıcı Kelime Öğrenme Kursu (5000+Kelime 50+ Saat)")</f>
        <v>İngilizce-Kalıcı Kelime Öğrenme Kursu (5000+Kelime 50+ Saat)</v>
      </c>
    </row>
    <row r="12491">
      <c r="A12491" s="140" t="str">
        <f>IFERROR(__xludf.DUMMYFUNCTION("""COMPUTED_VALUE"""),"en")</f>
        <v>en</v>
      </c>
      <c r="B12491">
        <f>IFERROR(__xludf.DUMMYFUNCTION("""COMPUTED_VALUE"""),1352468.0)</f>
        <v>1352468</v>
      </c>
      <c r="C12491" t="str">
        <f>IFERROR(__xludf.DUMMYFUNCTION("""COMPUTED_VALUE"""),"Master Microservices with Spring Boot and Spring Cloud")</f>
        <v>Master Microservices with Spring Boot and Spring Cloud</v>
      </c>
    </row>
    <row r="12492">
      <c r="A12492" s="140" t="str">
        <f>IFERROR(__xludf.DUMMYFUNCTION("""COMPUTED_VALUE"""),"es")</f>
        <v>es</v>
      </c>
      <c r="B12492">
        <f>IFERROR(__xludf.DUMMYFUNCTION("""COMPUTED_VALUE"""),2306018.0)</f>
        <v>2306018</v>
      </c>
      <c r="C12492" t="str">
        <f>IFERROR(__xludf.DUMMYFUNCTION("""COMPUTED_VALUE"""),"Node.js - Bootcamp Desarrollo Web inc. MVC y REST APIs")</f>
        <v>Node.js - Bootcamp Desarrollo Web inc. MVC y REST APIs</v>
      </c>
    </row>
    <row r="12493">
      <c r="A12493" s="140" t="str">
        <f>IFERROR(__xludf.DUMMYFUNCTION("""COMPUTED_VALUE"""),"de")</f>
        <v>de</v>
      </c>
      <c r="B12493">
        <f>IFERROR(__xludf.DUMMYFUNCTION("""COMPUTED_VALUE"""),1527024.0)</f>
        <v>1527024</v>
      </c>
      <c r="C12493" t="str">
        <f>IFERROR(__xludf.DUMMYFUNCTION("""COMPUTED_VALUE"""),"Der Animation-Kurs für Unity 2018: Animieren mit Mecanim")</f>
        <v>Der Animation-Kurs für Unity 2018: Animieren mit Mecanim</v>
      </c>
    </row>
    <row r="12494">
      <c r="A12494" s="140" t="str">
        <f>IFERROR(__xludf.DUMMYFUNCTION("""COMPUTED_VALUE"""),"pt")</f>
        <v>pt</v>
      </c>
      <c r="B12494">
        <f>IFERROR(__xludf.DUMMYFUNCTION("""COMPUTED_VALUE"""),1116546.0)</f>
        <v>1116546</v>
      </c>
      <c r="C12494" t="str">
        <f>IFERROR(__xludf.DUMMYFUNCTION("""COMPUTED_VALUE"""),"Dominando TypeScript")</f>
        <v>Dominando TypeScript</v>
      </c>
    </row>
    <row r="12495">
      <c r="A12495" s="140" t="str">
        <f>IFERROR(__xludf.DUMMYFUNCTION("""COMPUTED_VALUE"""),"ja")</f>
        <v>ja</v>
      </c>
      <c r="B12495">
        <f>IFERROR(__xludf.DUMMYFUNCTION("""COMPUTED_VALUE"""),3789852.0)</f>
        <v>3789852</v>
      </c>
      <c r="C12495" t="str">
        <f>IFERROR(__xludf.DUMMYFUNCTION("""COMPUTED_VALUE"""),"デジタルトランスフォーメーション入門講座（文系の方にもよくわかる）")</f>
        <v>デジタルトランスフォーメーション入門講座（文系の方にもよくわかる）</v>
      </c>
    </row>
    <row r="12496">
      <c r="A12496" s="140" t="str">
        <f>IFERROR(__xludf.DUMMYFUNCTION("""COMPUTED_VALUE"""),"de")</f>
        <v>de</v>
      </c>
      <c r="B12496">
        <f>IFERROR(__xludf.DUMMYFUNCTION("""COMPUTED_VALUE"""),2523686.0)</f>
        <v>2523686</v>
      </c>
      <c r="C12496" t="str">
        <f>IFERROR(__xludf.DUMMYFUNCTION("""COMPUTED_VALUE"""),"Stress-Management &amp; Innere Stabilität durch Heil-Meditation")</f>
        <v>Stress-Management &amp; Innere Stabilität durch Heil-Meditation</v>
      </c>
    </row>
    <row r="12497">
      <c r="A12497" s="140" t="str">
        <f>IFERROR(__xludf.DUMMYFUNCTION("""COMPUTED_VALUE"""),"en")</f>
        <v>en</v>
      </c>
      <c r="B12497">
        <f>IFERROR(__xludf.DUMMYFUNCTION("""COMPUTED_VALUE"""),2880294.0)</f>
        <v>2880294</v>
      </c>
      <c r="C12497" t="str">
        <f>IFERROR(__xludf.DUMMYFUNCTION("""COMPUTED_VALUE"""),"Mental Health for Coping with Stress &amp; Anxiety (Coronavirus)")</f>
        <v>Mental Health for Coping with Stress &amp; Anxiety (Coronavirus)</v>
      </c>
    </row>
    <row r="12498">
      <c r="A12498" s="140" t="str">
        <f>IFERROR(__xludf.DUMMYFUNCTION("""COMPUTED_VALUE"""),"pt")</f>
        <v>pt</v>
      </c>
      <c r="B12498">
        <f>IFERROR(__xludf.DUMMYFUNCTION("""COMPUTED_VALUE"""),2411816.0)</f>
        <v>2411816</v>
      </c>
      <c r="C12498" t="str">
        <f>IFERROR(__xludf.DUMMYFUNCTION("""COMPUTED_VALUE"""),"Curso de Python 3 do Básico Ao Avançado (com projetos reais)")</f>
        <v>Curso de Python 3 do Básico Ao Avançado (com projetos reais)</v>
      </c>
    </row>
    <row r="12499">
      <c r="A12499" s="140" t="str">
        <f>IFERROR(__xludf.DUMMYFUNCTION("""COMPUTED_VALUE"""),"ja")</f>
        <v>ja</v>
      </c>
      <c r="B12499">
        <f>IFERROR(__xludf.DUMMYFUNCTION("""COMPUTED_VALUE"""),2029252.0)</f>
        <v>2029252</v>
      </c>
      <c r="C12499" t="str">
        <f>IFERROR(__xludf.DUMMYFUNCTION("""COMPUTED_VALUE"""),"【iroha】理屈は抜き！パソコンが苦手な超初心者さん向け WordPressブログの作り方")</f>
        <v>【iroha】理屈は抜き！パソコンが苦手な超初心者さん向け WordPressブログの作り方</v>
      </c>
    </row>
    <row r="12500">
      <c r="A12500" s="140" t="str">
        <f>IFERROR(__xludf.DUMMYFUNCTION("""COMPUTED_VALUE"""),"ja")</f>
        <v>ja</v>
      </c>
      <c r="B12500">
        <f>IFERROR(__xludf.DUMMYFUNCTION("""COMPUTED_VALUE"""),1777164.0)</f>
        <v>1777164</v>
      </c>
      <c r="C12500" t="str">
        <f>IFERROR(__xludf.DUMMYFUNCTION("""COMPUTED_VALUE"""),"医師が教えるR言語での医療データ分析入門-発展編(グラフ)：フローチャート、複雑なグラフ等を生成してみよう！")</f>
        <v>医師が教えるR言語での医療データ分析入門-発展編(グラフ)：フローチャート、複雑なグラフ等を生成してみよう！</v>
      </c>
    </row>
    <row r="12501">
      <c r="A12501" s="140" t="str">
        <f>IFERROR(__xludf.DUMMYFUNCTION("""COMPUTED_VALUE"""),"pt")</f>
        <v>pt</v>
      </c>
      <c r="B12501">
        <f>IFERROR(__xludf.DUMMYFUNCTION("""COMPUTED_VALUE"""),3839806.0)</f>
        <v>3839806</v>
      </c>
      <c r="C12501" t="str">
        <f>IFERROR(__xludf.DUMMYFUNCTION("""COMPUTED_VALUE"""),"[ATUALIZADO 2021] Microsoft Azure AZ-900 - Simulados / Mocks")</f>
        <v>[ATUALIZADO 2021] Microsoft Azure AZ-900 - Simulados / Mocks</v>
      </c>
    </row>
    <row r="12502">
      <c r="A12502" s="140" t="str">
        <f>IFERROR(__xludf.DUMMYFUNCTION("""COMPUTED_VALUE"""),"en")</f>
        <v>en</v>
      </c>
      <c r="B12502">
        <f>IFERROR(__xludf.DUMMYFUNCTION("""COMPUTED_VALUE"""),2580126.0)</f>
        <v>2580126</v>
      </c>
      <c r="C12502" t="str">
        <f>IFERROR(__xludf.DUMMYFUNCTION("""COMPUTED_VALUE"""),"TOTAL: CompTIA IT Fundamentals ITF+ (FCO-U61) Practice Tests")</f>
        <v>TOTAL: CompTIA IT Fundamentals ITF+ (FCO-U61) Practice Tests</v>
      </c>
    </row>
    <row r="12503">
      <c r="A12503" s="140" t="str">
        <f>IFERROR(__xludf.DUMMYFUNCTION("""COMPUTED_VALUE"""),"en")</f>
        <v>en</v>
      </c>
      <c r="B12503">
        <f>IFERROR(__xludf.DUMMYFUNCTION("""COMPUTED_VALUE"""),1461260.0)</f>
        <v>1461260</v>
      </c>
      <c r="C12503" t="str">
        <f>IFERROR(__xludf.DUMMYFUNCTION("""COMPUTED_VALUE"""),"The complete SOLAR ENERGY course. Beginner to advanced level")</f>
        <v>The complete SOLAR ENERGY course. Beginner to advanced level</v>
      </c>
    </row>
    <row r="12504">
      <c r="A12504" s="140" t="str">
        <f>IFERROR(__xludf.DUMMYFUNCTION("""COMPUTED_VALUE"""),"ja")</f>
        <v>ja</v>
      </c>
      <c r="B12504">
        <f>IFERROR(__xludf.DUMMYFUNCTION("""COMPUTED_VALUE"""),4185070.0)</f>
        <v>4185070</v>
      </c>
      <c r="C12504" t="str">
        <f>IFERROR(__xludf.DUMMYFUNCTION("""COMPUTED_VALUE"""),"「営業の一流、二流、三流」の著者が教える、法人営業の決定版「提案力レベルアップ大全」")</f>
        <v>「営業の一流、二流、三流」の著者が教える、法人営業の決定版「提案力レベルアップ大全」</v>
      </c>
    </row>
    <row r="12505">
      <c r="A12505" s="140" t="str">
        <f>IFERROR(__xludf.DUMMYFUNCTION("""COMPUTED_VALUE"""),"en")</f>
        <v>en</v>
      </c>
      <c r="B12505">
        <f>IFERROR(__xludf.DUMMYFUNCTION("""COMPUTED_VALUE"""),1122334.0)</f>
        <v>1122334</v>
      </c>
      <c r="C12505" t="str">
        <f>IFERROR(__xludf.DUMMYFUNCTION("""COMPUTED_VALUE"""),"A Practical Introduction to Cloud Computing")</f>
        <v>A Practical Introduction to Cloud Computing</v>
      </c>
    </row>
    <row r="12506">
      <c r="A12506" s="140" t="str">
        <f>IFERROR(__xludf.DUMMYFUNCTION("""COMPUTED_VALUE"""),"en")</f>
        <v>en</v>
      </c>
      <c r="B12506">
        <f>IFERROR(__xludf.DUMMYFUNCTION("""COMPUTED_VALUE"""),1152164.0)</f>
        <v>1152164</v>
      </c>
      <c r="C12506" t="str">
        <f>IFERROR(__xludf.DUMMYFUNCTION("""COMPUTED_VALUE"""),"Server Administration Fundamentals 2017 (Server+ SK0-004)")</f>
        <v>Server Administration Fundamentals 2017 (Server+ SK0-004)</v>
      </c>
    </row>
    <row r="12507">
      <c r="A12507" s="140" t="str">
        <f>IFERROR(__xludf.DUMMYFUNCTION("""COMPUTED_VALUE"""),"en")</f>
        <v>en</v>
      </c>
      <c r="B12507">
        <f>IFERROR(__xludf.DUMMYFUNCTION("""COMPUTED_VALUE"""),2551847.0)</f>
        <v>2551847</v>
      </c>
      <c r="C12507" t="str">
        <f>IFERROR(__xludf.DUMMYFUNCTION("""COMPUTED_VALUE"""),"iOS 12 Swift 4.2 - The Complete iOS App Development Bootcamp")</f>
        <v>iOS 12 Swift 4.2 - The Complete iOS App Development Bootcamp</v>
      </c>
    </row>
    <row r="12508">
      <c r="A12508" s="140" t="str">
        <f>IFERROR(__xludf.DUMMYFUNCTION("""COMPUTED_VALUE"""),"en")</f>
        <v>en</v>
      </c>
      <c r="B12508">
        <f>IFERROR(__xludf.DUMMYFUNCTION("""COMPUTED_VALUE"""),70720.0)</f>
        <v>70720</v>
      </c>
      <c r="C12508" t="str">
        <f>IFERROR(__xludf.DUMMYFUNCTION("""COMPUTED_VALUE"""),"7 Steps To Excel Success - Excel Skills And Power Tips")</f>
        <v>7 Steps To Excel Success - Excel Skills And Power Tips</v>
      </c>
    </row>
    <row r="12509">
      <c r="A12509" s="140" t="str">
        <f>IFERROR(__xludf.DUMMYFUNCTION("""COMPUTED_VALUE"""),"en")</f>
        <v>en</v>
      </c>
      <c r="B12509">
        <f>IFERROR(__xludf.DUMMYFUNCTION("""COMPUTED_VALUE"""),565612.0)</f>
        <v>565612</v>
      </c>
      <c r="C12509" t="str">
        <f>IFERROR(__xludf.DUMMYFUNCTION("""COMPUTED_VALUE"""),"Salesforce Admin certification course")</f>
        <v>Salesforce Admin certification course</v>
      </c>
    </row>
    <row r="12510">
      <c r="A12510" s="140" t="str">
        <f>IFERROR(__xludf.DUMMYFUNCTION("""COMPUTED_VALUE"""),"en")</f>
        <v>en</v>
      </c>
      <c r="B12510">
        <f>IFERROR(__xludf.DUMMYFUNCTION("""COMPUTED_VALUE"""),964914.0)</f>
        <v>964914</v>
      </c>
      <c r="C12510" t="str">
        <f>IFERROR(__xludf.DUMMYFUNCTION("""COMPUTED_VALUE"""),"Spring Framework In Easy Steps")</f>
        <v>Spring Framework In Easy Steps</v>
      </c>
    </row>
    <row r="12511">
      <c r="A12511" s="140" t="str">
        <f>IFERROR(__xludf.DUMMYFUNCTION("""COMPUTED_VALUE"""),"es")</f>
        <v>es</v>
      </c>
      <c r="B12511">
        <f>IFERROR(__xludf.DUMMYFUNCTION("""COMPUTED_VALUE"""),2401256.0)</f>
        <v>2401256</v>
      </c>
      <c r="C12511" t="str">
        <f>IFERROR(__xludf.DUMMYFUNCTION("""COMPUTED_VALUE"""),"Sistema de ventas Profesional en C# y SQLserver - Ada369 1.0")</f>
        <v>Sistema de ventas Profesional en C# y SQLserver - Ada369 1.0</v>
      </c>
    </row>
    <row r="12512">
      <c r="A12512" s="140" t="str">
        <f>IFERROR(__xludf.DUMMYFUNCTION("""COMPUTED_VALUE"""),"en")</f>
        <v>en</v>
      </c>
      <c r="B12512">
        <f>IFERROR(__xludf.DUMMYFUNCTION("""COMPUTED_VALUE"""),1476730.0)</f>
        <v>1476730</v>
      </c>
      <c r="C12512" t="str">
        <f>IFERROR(__xludf.DUMMYFUNCTION("""COMPUTED_VALUE"""),"Lean Leadership Skills, Lean Culture &amp; Lean Management")</f>
        <v>Lean Leadership Skills, Lean Culture &amp; Lean Management</v>
      </c>
    </row>
    <row r="12513">
      <c r="A12513" s="140" t="str">
        <f>IFERROR(__xludf.DUMMYFUNCTION("""COMPUTED_VALUE"""),"en")</f>
        <v>en</v>
      </c>
      <c r="B12513">
        <f>IFERROR(__xludf.DUMMYFUNCTION("""COMPUTED_VALUE"""),4365890.0)</f>
        <v>4365890</v>
      </c>
      <c r="C12513" t="str">
        <f>IFERROR(__xludf.DUMMYFUNCTION("""COMPUTED_VALUE"""),"Business Analysis Foundations")</f>
        <v>Business Analysis Foundations</v>
      </c>
    </row>
    <row r="12514">
      <c r="A12514" s="140" t="str">
        <f>IFERROR(__xludf.DUMMYFUNCTION("""COMPUTED_VALUE"""),"en")</f>
        <v>en</v>
      </c>
      <c r="B12514">
        <f>IFERROR(__xludf.DUMMYFUNCTION("""COMPUTED_VALUE"""),999228.0)</f>
        <v>999228</v>
      </c>
      <c r="C12514" t="str">
        <f>IFERROR(__xludf.DUMMYFUNCTION("""COMPUTED_VALUE"""),"Series 7: Fundamentals of Options")</f>
        <v>Series 7: Fundamentals of Options</v>
      </c>
    </row>
    <row r="12515">
      <c r="A12515" s="140" t="str">
        <f>IFERROR(__xludf.DUMMYFUNCTION("""COMPUTED_VALUE"""),"fr")</f>
        <v>fr</v>
      </c>
      <c r="B12515">
        <f>IFERROR(__xludf.DUMMYFUNCTION("""COMPUTED_VALUE"""),602310.0)</f>
        <v>602310</v>
      </c>
      <c r="C12515" t="str">
        <f>IFERROR(__xludf.DUMMYFUNCTION("""COMPUTED_VALUE"""),"HTML et CSS - Le Cours Complet")</f>
        <v>HTML et CSS - Le Cours Complet</v>
      </c>
    </row>
    <row r="12516">
      <c r="A12516" s="140" t="str">
        <f>IFERROR(__xludf.DUMMYFUNCTION("""COMPUTED_VALUE"""),"tr")</f>
        <v>tr</v>
      </c>
      <c r="B12516">
        <f>IFERROR(__xludf.DUMMYFUNCTION("""COMPUTED_VALUE"""),3560279.0)</f>
        <v>3560279</v>
      </c>
      <c r="C12516" t="str">
        <f>IFERROR(__xludf.DUMMYFUNCTION("""COMPUTED_VALUE"""),"Yatırım: Borsa'da Temel ve Teknik Analiz")</f>
        <v>Yatırım: Borsa'da Temel ve Teknik Analiz</v>
      </c>
    </row>
    <row r="12517">
      <c r="A12517" s="140" t="str">
        <f>IFERROR(__xludf.DUMMYFUNCTION("""COMPUTED_VALUE"""),"ja")</f>
        <v>ja</v>
      </c>
      <c r="B12517">
        <f>IFERROR(__xludf.DUMMYFUNCTION("""COMPUTED_VALUE"""),2860644.0)</f>
        <v>2860644</v>
      </c>
      <c r="C12517" t="str">
        <f>IFERROR(__xludf.DUMMYFUNCTION("""COMPUTED_VALUE"""),"心を揺さぶるプレゼン企画とトークのコツ！選ばれる「コンセプト」の作り方【デザイン思考Vol.2】")</f>
        <v>心を揺さぶるプレゼン企画とトークのコツ！選ばれる「コンセプト」の作り方【デザイン思考Vol.2】</v>
      </c>
    </row>
    <row r="12518">
      <c r="A12518" s="140" t="str">
        <f>IFERROR(__xludf.DUMMYFUNCTION("""COMPUTED_VALUE"""),"en")</f>
        <v>en</v>
      </c>
      <c r="B12518">
        <f>IFERROR(__xludf.DUMMYFUNCTION("""COMPUTED_VALUE"""),1930340.0)</f>
        <v>1930340</v>
      </c>
      <c r="C12518" t="str">
        <f>IFERROR(__xludf.DUMMYFUNCTION("""COMPUTED_VALUE"""),"Becoming a Cloud Expert - Microsoft Azure IaaS - Level 1")</f>
        <v>Becoming a Cloud Expert - Microsoft Azure IaaS - Level 1</v>
      </c>
    </row>
    <row r="12519">
      <c r="A12519" s="140" t="str">
        <f>IFERROR(__xludf.DUMMYFUNCTION("""COMPUTED_VALUE"""),"tr")</f>
        <v>tr</v>
      </c>
      <c r="B12519">
        <f>IFERROR(__xludf.DUMMYFUNCTION("""COMPUTED_VALUE"""),2628476.0)</f>
        <v>2628476</v>
      </c>
      <c r="C12519" t="str">
        <f>IFERROR(__xludf.DUMMYFUNCTION("""COMPUTED_VALUE"""),"mBot ile Robotik Kodlama Temel Eğitimi")</f>
        <v>mBot ile Robotik Kodlama Temel Eğitimi</v>
      </c>
    </row>
    <row r="12520">
      <c r="A12520" s="140" t="str">
        <f>IFERROR(__xludf.DUMMYFUNCTION("""COMPUTED_VALUE"""),"en")</f>
        <v>en</v>
      </c>
      <c r="B12520">
        <f>IFERROR(__xludf.DUMMYFUNCTION("""COMPUTED_VALUE"""),1637244.0)</f>
        <v>1637244</v>
      </c>
      <c r="C12520" t="str">
        <f>IFERROR(__xludf.DUMMYFUNCTION("""COMPUTED_VALUE"""),"Hello! Python Programming for Kids and Beginners")</f>
        <v>Hello! Python Programming for Kids and Beginners</v>
      </c>
    </row>
    <row r="12521">
      <c r="A12521" s="140" t="str">
        <f>IFERROR(__xludf.DUMMYFUNCTION("""COMPUTED_VALUE"""),"en")</f>
        <v>en</v>
      </c>
      <c r="B12521">
        <f>IFERROR(__xludf.DUMMYFUNCTION("""COMPUTED_VALUE"""),2330038.0)</f>
        <v>2330038</v>
      </c>
      <c r="C12521" t="str">
        <f>IFERROR(__xludf.DUMMYFUNCTION("""COMPUTED_VALUE"""),"Apple macOS and iOS System Administration")</f>
        <v>Apple macOS and iOS System Administration</v>
      </c>
    </row>
    <row r="12522">
      <c r="A12522" s="140" t="str">
        <f>IFERROR(__xludf.DUMMYFUNCTION("""COMPUTED_VALUE"""),"ar")</f>
        <v>ar</v>
      </c>
      <c r="B12522">
        <f>IFERROR(__xludf.DUMMYFUNCTION("""COMPUTED_VALUE"""),2717880.0)</f>
        <v>2717880</v>
      </c>
      <c r="C12522" t="str">
        <f>IFERROR(__xludf.DUMMYFUNCTION("""COMPUTED_VALUE"""),"PMP Preparation Course 35 PDUs PMBOK 6th Edition")</f>
        <v>PMP Preparation Course 35 PDUs PMBOK 6th Edition</v>
      </c>
    </row>
    <row r="12523">
      <c r="A12523" s="140" t="str">
        <f>IFERROR(__xludf.DUMMYFUNCTION("""COMPUTED_VALUE"""),"en")</f>
        <v>en</v>
      </c>
      <c r="B12523">
        <f>IFERROR(__xludf.DUMMYFUNCTION("""COMPUTED_VALUE"""),1198532.0)</f>
        <v>1198532</v>
      </c>
      <c r="C12523" t="str">
        <f>IFERROR(__xludf.DUMMYFUNCTION("""COMPUTED_VALUE"""),"Part 2: AWS Certified Solutions Architect SAA C02")</f>
        <v>Part 2: AWS Certified Solutions Architect SAA C02</v>
      </c>
    </row>
    <row r="12524">
      <c r="A12524" s="140" t="str">
        <f>IFERROR(__xludf.DUMMYFUNCTION("""COMPUTED_VALUE"""),"en")</f>
        <v>en</v>
      </c>
      <c r="B12524">
        <f>IFERROR(__xludf.DUMMYFUNCTION("""COMPUTED_VALUE"""),2449964.0)</f>
        <v>2449964</v>
      </c>
      <c r="C12524" t="str">
        <f>IFERROR(__xludf.DUMMYFUNCTION("""COMPUTED_VALUE"""),"The Complete Guide To The Myers-Briggs Type Indicator (MBTI)")</f>
        <v>The Complete Guide To The Myers-Briggs Type Indicator (MBTI)</v>
      </c>
    </row>
    <row r="12525">
      <c r="A12525" s="140" t="str">
        <f>IFERROR(__xludf.DUMMYFUNCTION("""COMPUTED_VALUE"""),"en")</f>
        <v>en</v>
      </c>
      <c r="B12525">
        <f>IFERROR(__xludf.DUMMYFUNCTION("""COMPUTED_VALUE"""),903744.0)</f>
        <v>903744</v>
      </c>
      <c r="C12525" t="str">
        <f>IFERROR(__xludf.DUMMYFUNCTION("""COMPUTED_VALUE"""),"Python for Data Science and Machine Learning Bootcamp")</f>
        <v>Python for Data Science and Machine Learning Bootcamp</v>
      </c>
    </row>
    <row r="12526">
      <c r="A12526" s="140" t="str">
        <f>IFERROR(__xludf.DUMMYFUNCTION("""COMPUTED_VALUE"""),"en")</f>
        <v>en</v>
      </c>
      <c r="B12526">
        <f>IFERROR(__xludf.DUMMYFUNCTION("""COMPUTED_VALUE"""),687726.0)</f>
        <v>687726</v>
      </c>
      <c r="C12526" t="str">
        <f>IFERROR(__xludf.DUMMYFUNCTION("""COMPUTED_VALUE"""),"Six Sigma Statistics Using Minitab 17")</f>
        <v>Six Sigma Statistics Using Minitab 17</v>
      </c>
    </row>
    <row r="12527">
      <c r="A12527" s="140" t="str">
        <f>IFERROR(__xludf.DUMMYFUNCTION("""COMPUTED_VALUE"""),"en")</f>
        <v>en</v>
      </c>
      <c r="B12527">
        <f>IFERROR(__xludf.DUMMYFUNCTION("""COMPUTED_VALUE"""),522094.0)</f>
        <v>522094</v>
      </c>
      <c r="C12527" t="str">
        <f>IFERROR(__xludf.DUMMYFUNCTION("""COMPUTED_VALUE"""),"Agile PM 401 - Advanced Agile Project Management")</f>
        <v>Agile PM 401 - Advanced Agile Project Management</v>
      </c>
    </row>
    <row r="12528">
      <c r="A12528" s="140" t="str">
        <f>IFERROR(__xludf.DUMMYFUNCTION("""COMPUTED_VALUE"""),"pt")</f>
        <v>pt</v>
      </c>
      <c r="B12528">
        <f>IFERROR(__xludf.DUMMYFUNCTION("""COMPUTED_VALUE"""),2397624.0)</f>
        <v>2397624</v>
      </c>
      <c r="C12528" t="str">
        <f>IFERROR(__xludf.DUMMYFUNCTION("""COMPUTED_VALUE"""),"Curso Completo Office Word 2019 - Básico ao Avançado")</f>
        <v>Curso Completo Office Word 2019 - Básico ao Avançado</v>
      </c>
    </row>
    <row r="12529">
      <c r="A12529" s="140" t="str">
        <f>IFERROR(__xludf.DUMMYFUNCTION("""COMPUTED_VALUE"""),"pt")</f>
        <v>pt</v>
      </c>
      <c r="B12529">
        <f>IFERROR(__xludf.DUMMYFUNCTION("""COMPUTED_VALUE"""),2244980.0)</f>
        <v>2244980</v>
      </c>
      <c r="C12529" t="str">
        <f>IFERROR(__xludf.DUMMYFUNCTION("""COMPUTED_VALUE"""),"SysAdmin Linux para o mercado de trabalho")</f>
        <v>SysAdmin Linux para o mercado de trabalho</v>
      </c>
    </row>
    <row r="12530">
      <c r="A12530" s="140" t="str">
        <f>IFERROR(__xludf.DUMMYFUNCTION("""COMPUTED_VALUE"""),"en")</f>
        <v>en</v>
      </c>
      <c r="B12530">
        <f>IFERROR(__xludf.DUMMYFUNCTION("""COMPUTED_VALUE"""),1317218.0)</f>
        <v>1317218</v>
      </c>
      <c r="C12530" t="str">
        <f>IFERROR(__xludf.DUMMYFUNCTION("""COMPUTED_VALUE"""),"Personal Finance: Financial Security Thinking &amp; Principles")</f>
        <v>Personal Finance: Financial Security Thinking &amp; Principles</v>
      </c>
    </row>
    <row r="12531">
      <c r="A12531" s="140" t="str">
        <f>IFERROR(__xludf.DUMMYFUNCTION("""COMPUTED_VALUE"""),"en")</f>
        <v>en</v>
      </c>
      <c r="B12531">
        <f>IFERROR(__xludf.DUMMYFUNCTION("""COMPUTED_VALUE"""),2687518.0)</f>
        <v>2687518</v>
      </c>
      <c r="C12531" t="str">
        <f>IFERROR(__xludf.DUMMYFUNCTION("""COMPUTED_VALUE"""),"Investment Analysis with Natural Language Processing (NLP)")</f>
        <v>Investment Analysis with Natural Language Processing (NLP)</v>
      </c>
    </row>
    <row r="12532">
      <c r="A12532" s="140" t="str">
        <f>IFERROR(__xludf.DUMMYFUNCTION("""COMPUTED_VALUE"""),"es")</f>
        <v>es</v>
      </c>
      <c r="B12532">
        <f>IFERROR(__xludf.DUMMYFUNCTION("""COMPUTED_VALUE"""),3825512.0)</f>
        <v>3825512</v>
      </c>
      <c r="C12532" t="str">
        <f>IFERROR(__xludf.DUMMYFUNCTION("""COMPUTED_VALUE"""),"Aprende Terraform con AWS desde cero (2021) v1.0 compatible")</f>
        <v>Aprende Terraform con AWS desde cero (2021) v1.0 compatible</v>
      </c>
    </row>
    <row r="12533">
      <c r="A12533" s="140" t="str">
        <f>IFERROR(__xludf.DUMMYFUNCTION("""COMPUTED_VALUE"""),"ja")</f>
        <v>ja</v>
      </c>
      <c r="B12533">
        <f>IFERROR(__xludf.DUMMYFUNCTION("""COMPUTED_VALUE"""),4303943.0)</f>
        <v>4303943</v>
      </c>
      <c r="C12533" t="str">
        <f>IFERROR(__xludf.DUMMYFUNCTION("""COMPUTED_VALUE"""),"【TOEIC®L&amp;Rテスト600点対策】PART5ポイント攻略で効率スコアアップ！基礎文法問題マスター講座")</f>
        <v>【TOEIC®L&amp;Rテスト600点対策】PART5ポイント攻略で効率スコアアップ！基礎文法問題マスター講座</v>
      </c>
    </row>
    <row r="12534">
      <c r="A12534" s="140" t="str">
        <f>IFERROR(__xludf.DUMMYFUNCTION("""COMPUTED_VALUE"""),"fr")</f>
        <v>fr</v>
      </c>
      <c r="B12534">
        <f>IFERROR(__xludf.DUMMYFUNCTION("""COMPUTED_VALUE"""),2244124.0)</f>
        <v>2244124</v>
      </c>
      <c r="C12534" t="str">
        <f>IFERROR(__xludf.DUMMYFUNCTION("""COMPUTED_VALUE"""),"Gestion de projet Agile - La méthode SCRUM")</f>
        <v>Gestion de projet Agile - La méthode SCRUM</v>
      </c>
    </row>
    <row r="12535">
      <c r="A12535" s="140" t="str">
        <f>IFERROR(__xludf.DUMMYFUNCTION("""COMPUTED_VALUE"""),"en")</f>
        <v>en</v>
      </c>
      <c r="B12535">
        <f>IFERROR(__xludf.DUMMYFUNCTION("""COMPUTED_VALUE"""),1393734.0)</f>
        <v>1393734</v>
      </c>
      <c r="C12535" t="str">
        <f>IFERROR(__xludf.DUMMYFUNCTION("""COMPUTED_VALUE"""),"Learn complete Java  -  Core Java &amp; JSP &amp; Servlets")</f>
        <v>Learn complete Java  -  Core Java &amp; JSP &amp; Servlets</v>
      </c>
    </row>
    <row r="12536">
      <c r="A12536" s="140" t="str">
        <f>IFERROR(__xludf.DUMMYFUNCTION("""COMPUTED_VALUE"""),"en")</f>
        <v>en</v>
      </c>
      <c r="B12536">
        <f>IFERROR(__xludf.DUMMYFUNCTION("""COMPUTED_VALUE"""),3253820.0)</f>
        <v>3253820</v>
      </c>
      <c r="C12536" t="str">
        <f>IFERROR(__xludf.DUMMYFUNCTION("""COMPUTED_VALUE"""),"Rise Of The Machines: Impact Of Automation On A Human World")</f>
        <v>Rise Of The Machines: Impact Of Automation On A Human World</v>
      </c>
    </row>
    <row r="12537">
      <c r="A12537" s="140" t="str">
        <f>IFERROR(__xludf.DUMMYFUNCTION("""COMPUTED_VALUE"""),"en")</f>
        <v>en</v>
      </c>
      <c r="B12537">
        <f>IFERROR(__xludf.DUMMYFUNCTION("""COMPUTED_VALUE"""),708134.0)</f>
        <v>708134</v>
      </c>
      <c r="C12537" t="str">
        <f>IFERROR(__xludf.DUMMYFUNCTION("""COMPUTED_VALUE"""),"ISO 9001:2015 QMS Implementation and Auditing Practices")</f>
        <v>ISO 9001:2015 QMS Implementation and Auditing Practices</v>
      </c>
    </row>
    <row r="12538">
      <c r="A12538" s="140" t="str">
        <f>IFERROR(__xludf.DUMMYFUNCTION("""COMPUTED_VALUE"""),"en")</f>
        <v>en</v>
      </c>
      <c r="B12538">
        <f>IFERROR(__xludf.DUMMYFUNCTION("""COMPUTED_VALUE"""),971154.0)</f>
        <v>971154</v>
      </c>
      <c r="C12538" t="str">
        <f>IFERROR(__xludf.DUMMYFUNCTION("""COMPUTED_VALUE"""),"Introduction to Machine Learning for Data Science")</f>
        <v>Introduction to Machine Learning for Data Science</v>
      </c>
    </row>
    <row r="12539">
      <c r="A12539" s="140" t="str">
        <f>IFERROR(__xludf.DUMMYFUNCTION("""COMPUTED_VALUE"""),"en")</f>
        <v>en</v>
      </c>
      <c r="B12539">
        <f>IFERROR(__xludf.DUMMYFUNCTION("""COMPUTED_VALUE"""),3412184.0)</f>
        <v>3412184</v>
      </c>
      <c r="C12539" t="str">
        <f>IFERROR(__xludf.DUMMYFUNCTION("""COMPUTED_VALUE"""),"Supercharged Web Scraping with Asyncio and Python")</f>
        <v>Supercharged Web Scraping with Asyncio and Python</v>
      </c>
    </row>
    <row r="12540">
      <c r="A12540" s="140" t="str">
        <f>IFERROR(__xludf.DUMMYFUNCTION("""COMPUTED_VALUE"""),"en")</f>
        <v>en</v>
      </c>
      <c r="B12540">
        <f>IFERROR(__xludf.DUMMYFUNCTION("""COMPUTED_VALUE"""),732464.0)</f>
        <v>732464</v>
      </c>
      <c r="C12540" t="str">
        <f>IFERROR(__xludf.DUMMYFUNCTION("""COMPUTED_VALUE"""),"Spring MVC For Beginners - Build Java Web App in 25 Steps")</f>
        <v>Spring MVC For Beginners - Build Java Web App in 25 Steps</v>
      </c>
    </row>
    <row r="12541">
      <c r="A12541" s="140" t="str">
        <f>IFERROR(__xludf.DUMMYFUNCTION("""COMPUTED_VALUE"""),"de")</f>
        <v>de</v>
      </c>
      <c r="B12541">
        <f>IFERROR(__xludf.DUMMYFUNCTION("""COMPUTED_VALUE"""),1670818.0)</f>
        <v>1670818</v>
      </c>
      <c r="C12541" t="str">
        <f>IFERROR(__xludf.DUMMYFUNCTION("""COMPUTED_VALUE"""),"Einführung in die japanische Sprache und Kultur")</f>
        <v>Einführung in die japanische Sprache und Kultur</v>
      </c>
    </row>
    <row r="12542">
      <c r="A12542" s="140" t="str">
        <f>IFERROR(__xludf.DUMMYFUNCTION("""COMPUTED_VALUE"""),"en")</f>
        <v>en</v>
      </c>
      <c r="B12542">
        <f>IFERROR(__xludf.DUMMYFUNCTION("""COMPUTED_VALUE"""),1940584.0)</f>
        <v>1940584</v>
      </c>
      <c r="C12542" t="str">
        <f>IFERROR(__xludf.DUMMYFUNCTION("""COMPUTED_VALUE"""),"Automating Enterprise Infrastructure - Terraform and Packer")</f>
        <v>Automating Enterprise Infrastructure - Terraform and Packer</v>
      </c>
    </row>
    <row r="12543">
      <c r="A12543" s="140" t="str">
        <f>IFERROR(__xludf.DUMMYFUNCTION("""COMPUTED_VALUE"""),"en")</f>
        <v>en</v>
      </c>
      <c r="B12543">
        <f>IFERROR(__xludf.DUMMYFUNCTION("""COMPUTED_VALUE"""),1331639.0)</f>
        <v>1331639</v>
      </c>
      <c r="C12543" t="str">
        <f>IFERROR(__xludf.DUMMYFUNCTION("""COMPUTED_VALUE"""),"Mastering the Seven Quality Tools (with Microsoft Excel)")</f>
        <v>Mastering the Seven Quality Tools (with Microsoft Excel)</v>
      </c>
    </row>
    <row r="12544">
      <c r="A12544" s="140" t="str">
        <f>IFERROR(__xludf.DUMMYFUNCTION("""COMPUTED_VALUE"""),"tr")</f>
        <v>tr</v>
      </c>
      <c r="B12544">
        <f>IFERROR(__xludf.DUMMYFUNCTION("""COMPUTED_VALUE"""),1375375.0)</f>
        <v>1375375</v>
      </c>
      <c r="C12544" t="str">
        <f>IFERROR(__xludf.DUMMYFUNCTION("""COMPUTED_VALUE"""),"Bootstrap 4 ile Sıfırdan Harika Web Projeleri Oluşturun")</f>
        <v>Bootstrap 4 ile Sıfırdan Harika Web Projeleri Oluşturun</v>
      </c>
    </row>
    <row r="12545">
      <c r="A12545" s="140" t="str">
        <f>IFERROR(__xludf.DUMMYFUNCTION("""COMPUTED_VALUE"""),"es")</f>
        <v>es</v>
      </c>
      <c r="B12545">
        <f>IFERROR(__xludf.DUMMYFUNCTION("""COMPUTED_VALUE"""),1917906.0)</f>
        <v>1917906</v>
      </c>
      <c r="C12545" t="str">
        <f>IFERROR(__xludf.DUMMYFUNCTION("""COMPUTED_VALUE"""),"LPIC-1 Administrador de Linux. Examen 101-500 y 102-500")</f>
        <v>LPIC-1 Administrador de Linux. Examen 101-500 y 102-500</v>
      </c>
    </row>
    <row r="12546">
      <c r="A12546" s="140" t="str">
        <f>IFERROR(__xludf.DUMMYFUNCTION("""COMPUTED_VALUE"""),"es")</f>
        <v>es</v>
      </c>
      <c r="B12546">
        <f>IFERROR(__xludf.DUMMYFUNCTION("""COMPUTED_VALUE"""),1149390.0)</f>
        <v>1149390</v>
      </c>
      <c r="C12546" t="str">
        <f>IFERROR(__xludf.DUMMYFUNCTION("""COMPUTED_VALUE"""),"Desarrollo de sistemas web en PHP 7 POO, MySQL, Jquery Ajax")</f>
        <v>Desarrollo de sistemas web en PHP 7 POO, MySQL, Jquery Ajax</v>
      </c>
    </row>
    <row r="12547">
      <c r="A12547" s="140" t="str">
        <f>IFERROR(__xludf.DUMMYFUNCTION("""COMPUTED_VALUE"""),"en")</f>
        <v>en</v>
      </c>
      <c r="B12547">
        <f>IFERROR(__xludf.DUMMYFUNCTION("""COMPUTED_VALUE"""),1562668.0)</f>
        <v>1562668</v>
      </c>
      <c r="C12547" t="str">
        <f>IFERROR(__xludf.DUMMYFUNCTION("""COMPUTED_VALUE"""),"Apache Kafka Series - Kafka Security | SSL SASL Kerberos ACL")</f>
        <v>Apache Kafka Series - Kafka Security | SSL SASL Kerberos ACL</v>
      </c>
    </row>
    <row r="12548">
      <c r="A12548" s="140" t="str">
        <f>IFERROR(__xludf.DUMMYFUNCTION("""COMPUTED_VALUE"""),"tr")</f>
        <v>tr</v>
      </c>
      <c r="B12548">
        <f>IFERROR(__xludf.DUMMYFUNCTION("""COMPUTED_VALUE"""),2998422.0)</f>
        <v>2998422</v>
      </c>
      <c r="C12548" t="str">
        <f>IFERROR(__xludf.DUMMYFUNCTION("""COMPUTED_VALUE"""),"Bulut Bilişim Güvenliği ve Kriptografik Uygulamalar Eğitimi")</f>
        <v>Bulut Bilişim Güvenliği ve Kriptografik Uygulamalar Eğitimi</v>
      </c>
    </row>
    <row r="12549">
      <c r="A12549" s="140" t="str">
        <f>IFERROR(__xludf.DUMMYFUNCTION("""COMPUTED_VALUE"""),"en")</f>
        <v>en</v>
      </c>
      <c r="B12549">
        <f>IFERROR(__xludf.DUMMYFUNCTION("""COMPUTED_VALUE"""),1021410.0)</f>
        <v>1021410</v>
      </c>
      <c r="C12549" t="str">
        <f>IFERROR(__xludf.DUMMYFUNCTION("""COMPUTED_VALUE"""),"Find Happiness In A Profound Gentle Way With Hygge")</f>
        <v>Find Happiness In A Profound Gentle Way With Hygge</v>
      </c>
    </row>
    <row r="12550">
      <c r="A12550" s="140" t="str">
        <f>IFERROR(__xludf.DUMMYFUNCTION("""COMPUTED_VALUE"""),"ko")</f>
        <v>ko</v>
      </c>
      <c r="B12550">
        <f>IFERROR(__xludf.DUMMYFUNCTION("""COMPUTED_VALUE"""),4260074.0)</f>
        <v>4260074</v>
      </c>
      <c r="C12550" t="str">
        <f>IFERROR(__xludf.DUMMYFUNCTION("""COMPUTED_VALUE"""),"AI 완전정복을 위한 딥러닝 튜토리얼 part 2")</f>
        <v>AI 완전정복을 위한 딥러닝 튜토리얼 part 2</v>
      </c>
    </row>
    <row r="12551">
      <c r="A12551" s="140" t="str">
        <f>IFERROR(__xludf.DUMMYFUNCTION("""COMPUTED_VALUE"""),"en")</f>
        <v>en</v>
      </c>
      <c r="B12551">
        <f>IFERROR(__xludf.DUMMYFUNCTION("""COMPUTED_VALUE"""),950152.0)</f>
        <v>950152</v>
      </c>
      <c r="C12551" t="str">
        <f>IFERROR(__xludf.DUMMYFUNCTION("""COMPUTED_VALUE"""),"Learn Java Unit Testing with Junit &amp; Mockito in 30 Steps")</f>
        <v>Learn Java Unit Testing with Junit &amp; Mockito in 30 Steps</v>
      </c>
    </row>
    <row r="12552">
      <c r="A12552" s="140" t="str">
        <f>IFERROR(__xludf.DUMMYFUNCTION("""COMPUTED_VALUE"""),"es")</f>
        <v>es</v>
      </c>
      <c r="B12552">
        <f>IFERROR(__xludf.DUMMYFUNCTION("""COMPUTED_VALUE"""),445380.0)</f>
        <v>445380</v>
      </c>
      <c r="C12552" t="str">
        <f>IFERROR(__xludf.DUMMYFUNCTION("""COMPUTED_VALUE"""),"Aprende Programación en Python")</f>
        <v>Aprende Programación en Python</v>
      </c>
    </row>
    <row r="12553">
      <c r="A12553" s="140" t="str">
        <f>IFERROR(__xludf.DUMMYFUNCTION("""COMPUTED_VALUE"""),"ja")</f>
        <v>ja</v>
      </c>
      <c r="B12553">
        <f>IFERROR(__xludf.DUMMYFUNCTION("""COMPUTED_VALUE"""),3551788.0)</f>
        <v>3551788</v>
      </c>
      <c r="C12553" t="str">
        <f>IFERROR(__xludf.DUMMYFUNCTION("""COMPUTED_VALUE"""),"最新版：Python + Django3 Djangoを基礎から応用まで、アプリケーション開発マスターpython付き")</f>
        <v>最新版：Python + Django3 Djangoを基礎から応用まで、アプリケーション開発マスターpython付き</v>
      </c>
    </row>
    <row r="12554">
      <c r="A12554" s="140" t="str">
        <f>IFERROR(__xludf.DUMMYFUNCTION("""COMPUTED_VALUE"""),"en")</f>
        <v>en</v>
      </c>
      <c r="B12554">
        <f>IFERROR(__xludf.DUMMYFUNCTION("""COMPUTED_VALUE"""),3545942.0)</f>
        <v>3545942</v>
      </c>
      <c r="C12554" t="str">
        <f>IFERROR(__xludf.DUMMYFUNCTION("""COMPUTED_VALUE"""),"Autodesk Inventor 2021 / 2022 - Essential training")</f>
        <v>Autodesk Inventor 2021 / 2022 - Essential training</v>
      </c>
    </row>
    <row r="12555">
      <c r="A12555" s="140" t="str">
        <f>IFERROR(__xludf.DUMMYFUNCTION("""COMPUTED_VALUE"""),"pt")</f>
        <v>pt</v>
      </c>
      <c r="B12555">
        <f>IFERROR(__xludf.DUMMYFUNCTION("""COMPUTED_VALUE"""),1205024.0)</f>
        <v>1205024</v>
      </c>
      <c r="C12555" t="str">
        <f>IFERROR(__xludf.DUMMYFUNCTION("""COMPUTED_VALUE"""),"Data Science de A a Z - Extraçao e Exibição dos Dados")</f>
        <v>Data Science de A a Z - Extraçao e Exibição dos Dados</v>
      </c>
    </row>
    <row r="12556">
      <c r="A12556" s="140" t="str">
        <f>IFERROR(__xludf.DUMMYFUNCTION("""COMPUTED_VALUE"""),"en")</f>
        <v>en</v>
      </c>
      <c r="B12556">
        <f>IFERROR(__xludf.DUMMYFUNCTION("""COMPUTED_VALUE"""),739512.0)</f>
        <v>739512</v>
      </c>
      <c r="C12556" t="str">
        <f>IFERROR(__xludf.DUMMYFUNCTION("""COMPUTED_VALUE"""),"Comprehensive Ruby Programming")</f>
        <v>Comprehensive Ruby Programming</v>
      </c>
    </row>
    <row r="12557">
      <c r="A12557" s="140" t="str">
        <f>IFERROR(__xludf.DUMMYFUNCTION("""COMPUTED_VALUE"""),"en")</f>
        <v>en</v>
      </c>
      <c r="B12557">
        <f>IFERROR(__xludf.DUMMYFUNCTION("""COMPUTED_VALUE"""),3270418.0)</f>
        <v>3270418</v>
      </c>
      <c r="C12557" t="str">
        <f>IFERROR(__xludf.DUMMYFUNCTION("""COMPUTED_VALUE"""),"How To Make Better, Faster Decisions At Work")</f>
        <v>How To Make Better, Faster Decisions At Work</v>
      </c>
    </row>
    <row r="12558">
      <c r="A12558" s="140" t="str">
        <f>IFERROR(__xludf.DUMMYFUNCTION("""COMPUTED_VALUE"""),"en")</f>
        <v>en</v>
      </c>
      <c r="B12558">
        <f>IFERROR(__xludf.DUMMYFUNCTION("""COMPUTED_VALUE"""),1273530.0)</f>
        <v>1273530</v>
      </c>
      <c r="C12558" t="str">
        <f>IFERROR(__xludf.DUMMYFUNCTION("""COMPUTED_VALUE"""),"Xamarin iOS App in C# &amp; Firebase")</f>
        <v>Xamarin iOS App in C# &amp; Firebase</v>
      </c>
    </row>
    <row r="12559">
      <c r="A12559" s="140" t="str">
        <f>IFERROR(__xludf.DUMMYFUNCTION("""COMPUTED_VALUE"""),"ko")</f>
        <v>ko</v>
      </c>
      <c r="B12559">
        <f>IFERROR(__xludf.DUMMYFUNCTION("""COMPUTED_VALUE"""),1498304.0)</f>
        <v>1498304</v>
      </c>
      <c r="C12559" t="str">
        <f>IFERROR(__xludf.DUMMYFUNCTION("""COMPUTED_VALUE"""),"부트스트랩 4와 함께하는 웹 디자인 마스터 코스 (Bootstrap 4 Web Design Tutorial)")</f>
        <v>부트스트랩 4와 함께하는 웹 디자인 마스터 코스 (Bootstrap 4 Web Design Tutorial)</v>
      </c>
    </row>
    <row r="12560">
      <c r="A12560" s="140" t="str">
        <f>IFERROR(__xludf.DUMMYFUNCTION("""COMPUTED_VALUE"""),"en")</f>
        <v>en</v>
      </c>
      <c r="B12560">
        <f>IFERROR(__xludf.DUMMYFUNCTION("""COMPUTED_VALUE"""),125808.0)</f>
        <v>125808</v>
      </c>
      <c r="C12560" t="str">
        <f>IFERROR(__xludf.DUMMYFUNCTION("""COMPUTED_VALUE"""),"World-Class HR: 21st Century Talent Management")</f>
        <v>World-Class HR: 21st Century Talent Management</v>
      </c>
    </row>
    <row r="12561">
      <c r="A12561" s="140" t="str">
        <f>IFERROR(__xludf.DUMMYFUNCTION("""COMPUTED_VALUE"""),"en")</f>
        <v>en</v>
      </c>
      <c r="B12561">
        <f>IFERROR(__xludf.DUMMYFUNCTION("""COMPUTED_VALUE"""),493454.0)</f>
        <v>493454</v>
      </c>
      <c r="C12561" t="str">
        <f>IFERROR(__xludf.DUMMYFUNCTION("""COMPUTED_VALUE"""),"Learn TDD in 24 hours")</f>
        <v>Learn TDD in 24 hours</v>
      </c>
    </row>
    <row r="12562">
      <c r="A12562" s="140" t="str">
        <f>IFERROR(__xludf.DUMMYFUNCTION("""COMPUTED_VALUE"""),"en")</f>
        <v>en</v>
      </c>
      <c r="B12562">
        <f>IFERROR(__xludf.DUMMYFUNCTION("""COMPUTED_VALUE"""),2028010.0)</f>
        <v>2028010</v>
      </c>
      <c r="C12562" t="str">
        <f>IFERROR(__xludf.DUMMYFUNCTION("""COMPUTED_VALUE"""),"PMP Certification Exam Prep : 500 Practice Questions")</f>
        <v>PMP Certification Exam Prep : 500 Practice Questions</v>
      </c>
    </row>
    <row r="12563">
      <c r="A12563" s="140" t="str">
        <f>IFERROR(__xludf.DUMMYFUNCTION("""COMPUTED_VALUE"""),"en")</f>
        <v>en</v>
      </c>
      <c r="B12563">
        <f>IFERROR(__xludf.DUMMYFUNCTION("""COMPUTED_VALUE"""),426984.0)</f>
        <v>426984</v>
      </c>
      <c r="C12563" t="str">
        <f>IFERROR(__xludf.DUMMYFUNCTION("""COMPUTED_VALUE"""),"Speak German like a Native: A Practical Conversation Course")</f>
        <v>Speak German like a Native: A Practical Conversation Course</v>
      </c>
    </row>
    <row r="12564">
      <c r="A12564" s="140" t="str">
        <f>IFERROR(__xludf.DUMMYFUNCTION("""COMPUTED_VALUE"""),"ja")</f>
        <v>ja</v>
      </c>
      <c r="B12564">
        <f>IFERROR(__xludf.DUMMYFUNCTION("""COMPUTED_VALUE"""),3985778.0)</f>
        <v>3985778</v>
      </c>
      <c r="C12564" t="str">
        <f>IFERROR(__xludf.DUMMYFUNCTION("""COMPUTED_VALUE"""),"＜UB確認テスト＞手を動かして学ぶプロダクトデザイン入門！デザイン思考・プロトタイピング・アジャイルの考え方と実践")</f>
        <v>＜UB確認テスト＞手を動かして学ぶプロダクトデザイン入門！デザイン思考・プロトタイピング・アジャイルの考え方と実践</v>
      </c>
    </row>
    <row r="12565">
      <c r="A12565" s="140" t="str">
        <f>IFERROR(__xludf.DUMMYFUNCTION("""COMPUTED_VALUE"""),"es")</f>
        <v>es</v>
      </c>
      <c r="B12565">
        <f>IFERROR(__xludf.DUMMYFUNCTION("""COMPUTED_VALUE"""),1698124.0)</f>
        <v>1698124</v>
      </c>
      <c r="C12565" t="str">
        <f>IFERROR(__xludf.DUMMYFUNCTION("""COMPUTED_VALUE"""),"Máster en Oratoria: Convence y Enamora al Hablar en Público.")</f>
        <v>Máster en Oratoria: Convence y Enamora al Hablar en Público.</v>
      </c>
    </row>
    <row r="12566">
      <c r="A12566" s="140" t="str">
        <f>IFERROR(__xludf.DUMMYFUNCTION("""COMPUTED_VALUE"""),"fr")</f>
        <v>fr</v>
      </c>
      <c r="B12566">
        <f>IFERROR(__xludf.DUMMYFUNCTION("""COMPUTED_VALUE"""),3183150.0)</f>
        <v>3183150</v>
      </c>
      <c r="C12566" t="str">
        <f>IFERROR(__xludf.DUMMYFUNCTION("""COMPUTED_VALUE"""),"Formation complète du modèle MVC en PHP procédural")</f>
        <v>Formation complète du modèle MVC en PHP procédural</v>
      </c>
    </row>
    <row r="12567">
      <c r="A12567" s="140" t="str">
        <f>IFERROR(__xludf.DUMMYFUNCTION("""COMPUTED_VALUE"""),"en")</f>
        <v>en</v>
      </c>
      <c r="B12567">
        <f>IFERROR(__xludf.DUMMYFUNCTION("""COMPUTED_VALUE"""),3611296.0)</f>
        <v>3611296</v>
      </c>
      <c r="C12567" t="str">
        <f>IFERROR(__xludf.DUMMYFUNCTION("""COMPUTED_VALUE"""),"Clean Code")</f>
        <v>Clean Code</v>
      </c>
    </row>
    <row r="12568">
      <c r="A12568" s="140" t="str">
        <f>IFERROR(__xludf.DUMMYFUNCTION("""COMPUTED_VALUE"""),"pt")</f>
        <v>pt</v>
      </c>
      <c r="B12568">
        <f>IFERROR(__xludf.DUMMYFUNCTION("""COMPUTED_VALUE"""),2141332.0)</f>
        <v>2141332</v>
      </c>
      <c r="C12568" t="str">
        <f>IFERROR(__xludf.DUMMYFUNCTION("""COMPUTED_VALUE"""),"Curso Básico de Manga Desenho de Personagens")</f>
        <v>Curso Básico de Manga Desenho de Personagens</v>
      </c>
    </row>
    <row r="12569">
      <c r="A12569" s="140" t="str">
        <f>IFERROR(__xludf.DUMMYFUNCTION("""COMPUTED_VALUE"""),"en")</f>
        <v>en</v>
      </c>
      <c r="B12569">
        <f>IFERROR(__xludf.DUMMYFUNCTION("""COMPUTED_VALUE"""),3632406.0)</f>
        <v>3632406</v>
      </c>
      <c r="C12569" t="str">
        <f>IFERROR(__xludf.DUMMYFUNCTION("""COMPUTED_VALUE"""),"Complete Greek Course: Learn Greek for Beginners")</f>
        <v>Complete Greek Course: Learn Greek for Beginners</v>
      </c>
    </row>
    <row r="12570">
      <c r="A12570" s="140" t="str">
        <f>IFERROR(__xludf.DUMMYFUNCTION("""COMPUTED_VALUE"""),"tr")</f>
        <v>tr</v>
      </c>
      <c r="B12570">
        <f>IFERROR(__xludf.DUMMYFUNCTION("""COMPUTED_VALUE"""),2898670.0)</f>
        <v>2898670</v>
      </c>
      <c r="C12570" t="str">
        <f>IFERROR(__xludf.DUMMYFUNCTION("""COMPUTED_VALUE"""),"Python ile Makine Öğrenmesi &amp; Yapay Zeka Projeleri (5.2)")</f>
        <v>Python ile Makine Öğrenmesi &amp; Yapay Zeka Projeleri (5.2)</v>
      </c>
    </row>
    <row r="12571">
      <c r="A12571" s="140" t="str">
        <f>IFERROR(__xludf.DUMMYFUNCTION("""COMPUTED_VALUE"""),"ar")</f>
        <v>ar</v>
      </c>
      <c r="B12571">
        <f>IFERROR(__xludf.DUMMYFUNCTION("""COMPUTED_VALUE"""),3449422.0)</f>
        <v>3449422</v>
      </c>
      <c r="C12571" t="str">
        <f>IFERROR(__xludf.DUMMYFUNCTION("""COMPUTED_VALUE"""),"Arabic AutoCAD Pro Course (2D Professional)")</f>
        <v>Arabic AutoCAD Pro Course (2D Professional)</v>
      </c>
    </row>
    <row r="12572">
      <c r="A12572" s="140" t="str">
        <f>IFERROR(__xludf.DUMMYFUNCTION("""COMPUTED_VALUE"""),"ar")</f>
        <v>ar</v>
      </c>
      <c r="B12572">
        <f>IFERROR(__xludf.DUMMYFUNCTION("""COMPUTED_VALUE"""),3574179.0)</f>
        <v>3574179</v>
      </c>
      <c r="C12572" t="str">
        <f>IFERROR(__xludf.DUMMYFUNCTION("""COMPUTED_VALUE"""),"Sales Management أساسيات إدارة المبيعات")</f>
        <v>Sales Management أساسيات إدارة المبيعات</v>
      </c>
    </row>
    <row r="12573">
      <c r="A12573" s="140" t="str">
        <f>IFERROR(__xludf.DUMMYFUNCTION("""COMPUTED_VALUE"""),"en")</f>
        <v>en</v>
      </c>
      <c r="B12573">
        <f>IFERROR(__xludf.DUMMYFUNCTION("""COMPUTED_VALUE"""),86390.0)</f>
        <v>86390</v>
      </c>
      <c r="C12573" t="str">
        <f>IFERROR(__xludf.DUMMYFUNCTION("""COMPUTED_VALUE"""),"Learn SAP ABAP Objects - Online Training Course")</f>
        <v>Learn SAP ABAP Objects - Online Training Course</v>
      </c>
    </row>
    <row r="12574">
      <c r="A12574" s="140" t="str">
        <f>IFERROR(__xludf.DUMMYFUNCTION("""COMPUTED_VALUE"""),"en")</f>
        <v>en</v>
      </c>
      <c r="B12574">
        <f>IFERROR(__xludf.DUMMYFUNCTION("""COMPUTED_VALUE"""),1564910.0)</f>
        <v>1564910</v>
      </c>
      <c r="C12574" t="str">
        <f>IFERROR(__xludf.DUMMYFUNCTION("""COMPUTED_VALUE"""),"Financial Accounting-Adjusting Entries &amp; Financial Statement")</f>
        <v>Financial Accounting-Adjusting Entries &amp; Financial Statement</v>
      </c>
    </row>
    <row r="12575">
      <c r="A12575" s="140" t="str">
        <f>IFERROR(__xludf.DUMMYFUNCTION("""COMPUTED_VALUE"""),"en")</f>
        <v>en</v>
      </c>
      <c r="B12575">
        <f>IFERROR(__xludf.DUMMYFUNCTION("""COMPUTED_VALUE"""),1358508.0)</f>
        <v>1358508</v>
      </c>
      <c r="C12575" t="str">
        <f>IFERROR(__xludf.DUMMYFUNCTION("""COMPUTED_VALUE"""),"Recruiter Training - Hire Top Employees in under 30 days")</f>
        <v>Recruiter Training - Hire Top Employees in under 30 days</v>
      </c>
    </row>
    <row r="12576">
      <c r="A12576" s="140" t="str">
        <f>IFERROR(__xludf.DUMMYFUNCTION("""COMPUTED_VALUE"""),"en")</f>
        <v>en</v>
      </c>
      <c r="B12576">
        <f>IFERROR(__xludf.DUMMYFUNCTION("""COMPUTED_VALUE"""),428492.0)</f>
        <v>428492</v>
      </c>
      <c r="C12576" t="str">
        <f>IFERROR(__xludf.DUMMYFUNCTION("""COMPUTED_VALUE"""),"Teaching with Google Classroom")</f>
        <v>Teaching with Google Classroom</v>
      </c>
    </row>
    <row r="12577">
      <c r="A12577" s="140" t="str">
        <f>IFERROR(__xludf.DUMMYFUNCTION("""COMPUTED_VALUE"""),"de")</f>
        <v>de</v>
      </c>
      <c r="B12577">
        <f>IFERROR(__xludf.DUMMYFUNCTION("""COMPUTED_VALUE"""),735284.0)</f>
        <v>735284</v>
      </c>
      <c r="C12577" t="str">
        <f>IFERROR(__xludf.DUMMYFUNCTION("""COMPUTED_VALUE"""),"Erstelle Android Apps, die geliebt werden!")</f>
        <v>Erstelle Android Apps, die geliebt werden!</v>
      </c>
    </row>
    <row r="12578">
      <c r="A12578" s="140" t="str">
        <f>IFERROR(__xludf.DUMMYFUNCTION("""COMPUTED_VALUE"""),"fr")</f>
        <v>fr</v>
      </c>
      <c r="B12578">
        <f>IFERROR(__xludf.DUMMYFUNCTION("""COMPUTED_VALUE"""),3813620.0)</f>
        <v>3813620</v>
      </c>
      <c r="C12578" t="str">
        <f>IFERROR(__xludf.DUMMYFUNCTION("""COMPUTED_VALUE"""),"Formation complète de Microsoft PowerApps")</f>
        <v>Formation complète de Microsoft PowerApps</v>
      </c>
    </row>
    <row r="12579">
      <c r="A12579" s="140" t="str">
        <f>IFERROR(__xludf.DUMMYFUNCTION("""COMPUTED_VALUE"""),"tr")</f>
        <v>tr</v>
      </c>
      <c r="B12579">
        <f>IFERROR(__xludf.DUMMYFUNCTION("""COMPUTED_VALUE"""),1592678.0)</f>
        <v>1592678</v>
      </c>
      <c r="C12579" t="str">
        <f>IFERROR(__xludf.DUMMYFUNCTION("""COMPUTED_VALUE"""),"Opencart ile Sıfırdan En Üst Seviyeye Kodlamasız E-Ticaret")</f>
        <v>Opencart ile Sıfırdan En Üst Seviyeye Kodlamasız E-Ticaret</v>
      </c>
    </row>
    <row r="12580">
      <c r="A12580" s="140" t="str">
        <f>IFERROR(__xludf.DUMMYFUNCTION("""COMPUTED_VALUE"""),"en")</f>
        <v>en</v>
      </c>
      <c r="B12580">
        <f>IFERROR(__xludf.DUMMYFUNCTION("""COMPUTED_VALUE"""),2412820.0)</f>
        <v>2412820</v>
      </c>
      <c r="C12580" t="str">
        <f>IFERROR(__xludf.DUMMYFUNCTION("""COMPUTED_VALUE"""),"CFA® Level 1 (2021/2022) - Complete Portfolio Management")</f>
        <v>CFA® Level 1 (2021/2022) - Complete Portfolio Management</v>
      </c>
    </row>
    <row r="12581">
      <c r="A12581" s="140" t="str">
        <f>IFERROR(__xludf.DUMMYFUNCTION("""COMPUTED_VALUE"""),"en")</f>
        <v>en</v>
      </c>
      <c r="B12581">
        <f>IFERROR(__xludf.DUMMYFUNCTION("""COMPUTED_VALUE"""),1365482.0)</f>
        <v>1365482</v>
      </c>
      <c r="C12581" t="str">
        <f>IFERROR(__xludf.DUMMYFUNCTION("""COMPUTED_VALUE"""),"Learn MATLAB and Simulink Programming")</f>
        <v>Learn MATLAB and Simulink Programming</v>
      </c>
    </row>
    <row r="12582">
      <c r="A12582" s="140" t="str">
        <f>IFERROR(__xludf.DUMMYFUNCTION("""COMPUTED_VALUE"""),"tr")</f>
        <v>tr</v>
      </c>
      <c r="B12582">
        <f>IFERROR(__xludf.DUMMYFUNCTION("""COMPUTED_VALUE"""),1644298.0)</f>
        <v>1644298</v>
      </c>
      <c r="C12582" t="str">
        <f>IFERROR(__xludf.DUMMYFUNCTION("""COMPUTED_VALUE"""),"YDS YÖKDİL YKSDİL Dilbilgisi (Tüm Konular)")</f>
        <v>YDS YÖKDİL YKSDİL Dilbilgisi (Tüm Konular)</v>
      </c>
    </row>
    <row r="12583">
      <c r="A12583" s="140" t="str">
        <f>IFERROR(__xludf.DUMMYFUNCTION("""COMPUTED_VALUE"""),"ja")</f>
        <v>ja</v>
      </c>
      <c r="B12583">
        <f>IFERROR(__xludf.DUMMYFUNCTION("""COMPUTED_VALUE"""),3566491.0)</f>
        <v>3566491</v>
      </c>
      <c r="C12583" t="str">
        <f>IFERROR(__xludf.DUMMYFUNCTION("""COMPUTED_VALUE"""),"ReactとFirebase とWebRTCで P2P ビデオ会議システムを開発しよう！")</f>
        <v>ReactとFirebase とWebRTCで P2P ビデオ会議システムを開発しよう！</v>
      </c>
    </row>
    <row r="12584">
      <c r="A12584" s="140" t="str">
        <f>IFERROR(__xludf.DUMMYFUNCTION("""COMPUTED_VALUE"""),"ja")</f>
        <v>ja</v>
      </c>
      <c r="B12584">
        <f>IFERROR(__xludf.DUMMYFUNCTION("""COMPUTED_VALUE"""),1424930.0)</f>
        <v>1424930</v>
      </c>
      <c r="C12584" t="str">
        <f>IFERROR(__xludf.DUMMYFUNCTION("""COMPUTED_VALUE"""),"Excel VBA[第1弾](超入門)エクセルが自動で仕事する！マクロの魔法　文系・非IT職もできるプログラミング")</f>
        <v>Excel VBA[第1弾](超入門)エクセルが自動で仕事する！マクロの魔法　文系・非IT職もできるプログラミング</v>
      </c>
    </row>
    <row r="12585">
      <c r="A12585" s="140" t="str">
        <f>IFERROR(__xludf.DUMMYFUNCTION("""COMPUTED_VALUE"""),"en")</f>
        <v>en</v>
      </c>
      <c r="B12585">
        <f>IFERROR(__xludf.DUMMYFUNCTION("""COMPUTED_VALUE"""),2939568.0)</f>
        <v>2939568</v>
      </c>
      <c r="C12585" t="str">
        <f>IFERROR(__xludf.DUMMYFUNCTION("""COMPUTED_VALUE"""),"Mule Dataweave 2 in depth")</f>
        <v>Mule Dataweave 2 in depth</v>
      </c>
    </row>
    <row r="12586">
      <c r="A12586" s="140" t="str">
        <f>IFERROR(__xludf.DUMMYFUNCTION("""COMPUTED_VALUE"""),"pt")</f>
        <v>pt</v>
      </c>
      <c r="B12586">
        <f>IFERROR(__xludf.DUMMYFUNCTION("""COMPUTED_VALUE"""),1917186.0)</f>
        <v>1917186</v>
      </c>
      <c r="C12586" t="str">
        <f>IFERROR(__xludf.DUMMYFUNCTION("""COMPUTED_VALUE"""),"After Effects Definitivo em 30 Dias para Motion Designers")</f>
        <v>After Effects Definitivo em 30 Dias para Motion Designers</v>
      </c>
    </row>
    <row r="12587">
      <c r="A12587" s="140" t="str">
        <f>IFERROR(__xludf.DUMMYFUNCTION("""COMPUTED_VALUE"""),"en")</f>
        <v>en</v>
      </c>
      <c r="B12587">
        <f>IFERROR(__xludf.DUMMYFUNCTION("""COMPUTED_VALUE"""),265578.0)</f>
        <v>265578</v>
      </c>
      <c r="C12587" t="str">
        <f>IFERROR(__xludf.DUMMYFUNCTION("""COMPUTED_VALUE"""),"Eliminate waste by implementing 5S")</f>
        <v>Eliminate waste by implementing 5S</v>
      </c>
    </row>
    <row r="12588">
      <c r="A12588" s="140" t="str">
        <f>IFERROR(__xludf.DUMMYFUNCTION("""COMPUTED_VALUE"""),"ja")</f>
        <v>ja</v>
      </c>
      <c r="B12588">
        <f>IFERROR(__xludf.DUMMYFUNCTION("""COMPUTED_VALUE"""),1401310.0)</f>
        <v>1401310</v>
      </c>
      <c r="C12588" t="str">
        <f>IFERROR(__xludf.DUMMYFUNCTION("""COMPUTED_VALUE"""),"ゼロからはじめる Dockerによるアプリケーション実行環境構築")</f>
        <v>ゼロからはじめる Dockerによるアプリケーション実行環境構築</v>
      </c>
    </row>
    <row r="12589">
      <c r="A12589" s="140" t="str">
        <f>IFERROR(__xludf.DUMMYFUNCTION("""COMPUTED_VALUE"""),"en")</f>
        <v>en</v>
      </c>
      <c r="B12589">
        <f>IFERROR(__xludf.DUMMYFUNCTION("""COMPUTED_VALUE"""),2120244.0)</f>
        <v>2120244</v>
      </c>
      <c r="C12589" t="str">
        <f>IFERROR(__xludf.DUMMYFUNCTION("""COMPUTED_VALUE"""),"Mysql on Docker : On-Premise &amp; AWS Cloud")</f>
        <v>Mysql on Docker : On-Premise &amp; AWS Cloud</v>
      </c>
    </row>
    <row r="12590">
      <c r="A12590" s="140" t="str">
        <f>IFERROR(__xludf.DUMMYFUNCTION("""COMPUTED_VALUE"""),"es")</f>
        <v>es</v>
      </c>
      <c r="B12590">
        <f>IFERROR(__xludf.DUMMYFUNCTION("""COMPUTED_VALUE"""),1599206.0)</f>
        <v>1599206</v>
      </c>
      <c r="C12590" t="str">
        <f>IFERROR(__xludf.DUMMYFUNCTION("""COMPUTED_VALUE"""),"EXPERTO en Realidad Aumentada con Unity®2019 y Vuforia")</f>
        <v>EXPERTO en Realidad Aumentada con Unity®2019 y Vuforia</v>
      </c>
    </row>
    <row r="12591">
      <c r="A12591" s="140" t="str">
        <f>IFERROR(__xludf.DUMMYFUNCTION("""COMPUTED_VALUE"""),"en")</f>
        <v>en</v>
      </c>
      <c r="B12591">
        <f>IFERROR(__xludf.DUMMYFUNCTION("""COMPUTED_VALUE"""),3587862.0)</f>
        <v>3587862</v>
      </c>
      <c r="C12591" t="str">
        <f>IFERROR(__xludf.DUMMYFUNCTION("""COMPUTED_VALUE"""),"ITSM Foundation Exam Prep / Practice Tests (updated 2021)")</f>
        <v>ITSM Foundation Exam Prep / Practice Tests (updated 2021)</v>
      </c>
    </row>
    <row r="12592">
      <c r="A12592" s="140" t="str">
        <f>IFERROR(__xludf.DUMMYFUNCTION("""COMPUTED_VALUE"""),"pt")</f>
        <v>pt</v>
      </c>
      <c r="B12592">
        <f>IFERROR(__xludf.DUMMYFUNCTION("""COMPUTED_VALUE"""),2055331.0)</f>
        <v>2055331</v>
      </c>
      <c r="C12592" t="str">
        <f>IFERROR(__xludf.DUMMYFUNCTION("""COMPUTED_VALUE"""),"Caracteres Chineses Mais Usados - Ilustrado e Animado")</f>
        <v>Caracteres Chineses Mais Usados - Ilustrado e Animado</v>
      </c>
    </row>
    <row r="12593">
      <c r="A12593" s="140" t="str">
        <f>IFERROR(__xludf.DUMMYFUNCTION("""COMPUTED_VALUE"""),"es")</f>
        <v>es</v>
      </c>
      <c r="B12593">
        <f>IFERROR(__xludf.DUMMYFUNCTION("""COMPUTED_VALUE"""),3381756.0)</f>
        <v>3381756</v>
      </c>
      <c r="C12593" t="str">
        <f>IFERROR(__xludf.DUMMYFUNCTION("""COMPUTED_VALUE"""),"Inteligencia Financiera: Guía completa Finanzas Personales")</f>
        <v>Inteligencia Financiera: Guía completa Finanzas Personales</v>
      </c>
    </row>
    <row r="12594">
      <c r="A12594" s="140" t="str">
        <f>IFERROR(__xludf.DUMMYFUNCTION("""COMPUTED_VALUE"""),"ja")</f>
        <v>ja</v>
      </c>
      <c r="B12594">
        <f>IFERROR(__xludf.DUMMYFUNCTION("""COMPUTED_VALUE"""),3536536.0)</f>
        <v>3536536</v>
      </c>
      <c r="C12594" t="str">
        <f>IFERROR(__xludf.DUMMYFUNCTION("""COMPUTED_VALUE"""),"人工知能（AI）を搭載したTwitterボットを作ろう【Seq2Seq+Attention+Colab】")</f>
        <v>人工知能（AI）を搭載したTwitterボットを作ろう【Seq2Seq+Attention+Colab】</v>
      </c>
    </row>
    <row r="12595">
      <c r="A12595" s="140" t="str">
        <f>IFERROR(__xludf.DUMMYFUNCTION("""COMPUTED_VALUE"""),"en")</f>
        <v>en</v>
      </c>
      <c r="B12595">
        <f>IFERROR(__xludf.DUMMYFUNCTION("""COMPUTED_VALUE"""),1190362.0)</f>
        <v>1190362</v>
      </c>
      <c r="C12595" t="str">
        <f>IFERROR(__xludf.DUMMYFUNCTION("""COMPUTED_VALUE"""),"Retail for Business Analysts and Management Consultants")</f>
        <v>Retail for Business Analysts and Management Consultants</v>
      </c>
    </row>
    <row r="12596">
      <c r="A12596" s="140" t="str">
        <f>IFERROR(__xludf.DUMMYFUNCTION("""COMPUTED_VALUE"""),"en")</f>
        <v>en</v>
      </c>
      <c r="B12596">
        <f>IFERROR(__xludf.DUMMYFUNCTION("""COMPUTED_VALUE"""),322820.0)</f>
        <v>322820</v>
      </c>
      <c r="C12596" t="str">
        <f>IFERROR(__xludf.DUMMYFUNCTION("""COMPUTED_VALUE"""),"Advance Analytics with Excel - data analysis toolpak/ Solver")</f>
        <v>Advance Analytics with Excel - data analysis toolpak/ Solver</v>
      </c>
    </row>
    <row r="12597">
      <c r="A12597" s="140" t="str">
        <f>IFERROR(__xludf.DUMMYFUNCTION("""COMPUTED_VALUE"""),"en")</f>
        <v>en</v>
      </c>
      <c r="B12597">
        <f>IFERROR(__xludf.DUMMYFUNCTION("""COMPUTED_VALUE"""),2855718.0)</f>
        <v>2855718</v>
      </c>
      <c r="C12597" t="str">
        <f>IFERROR(__xludf.DUMMYFUNCTION("""COMPUTED_VALUE"""),"Project Management Office (PMO) for Management Consultants")</f>
        <v>Project Management Office (PMO) for Management Consultants</v>
      </c>
    </row>
    <row r="12598">
      <c r="A12598" s="140" t="str">
        <f>IFERROR(__xludf.DUMMYFUNCTION("""COMPUTED_VALUE"""),"en")</f>
        <v>en</v>
      </c>
      <c r="B12598">
        <f>IFERROR(__xludf.DUMMYFUNCTION("""COMPUTED_VALUE"""),1399954.0)</f>
        <v>1399954</v>
      </c>
      <c r="C12598" t="str">
        <f>IFERROR(__xludf.DUMMYFUNCTION("""COMPUTED_VALUE"""),"Certified Lean Six Sigma Green Belt, BKO Accredited Training")</f>
        <v>Certified Lean Six Sigma Green Belt, BKO Accredited Training</v>
      </c>
    </row>
    <row r="12599">
      <c r="A12599" s="140" t="str">
        <f>IFERROR(__xludf.DUMMYFUNCTION("""COMPUTED_VALUE"""),"ja")</f>
        <v>ja</v>
      </c>
      <c r="B12599">
        <f>IFERROR(__xludf.DUMMYFUNCTION("""COMPUTED_VALUE"""),3345950.0)</f>
        <v>3345950</v>
      </c>
      <c r="C12599" t="str">
        <f>IFERROR(__xludf.DUMMYFUNCTION("""COMPUTED_VALUE"""),"米シリコンバレーエンジニア監修！AWS EKS KubernetesハンズオンBest Practices (2022)")</f>
        <v>米シリコンバレーエンジニア監修！AWS EKS KubernetesハンズオンBest Practices (2022)</v>
      </c>
    </row>
    <row r="12600">
      <c r="A12600" s="140" t="str">
        <f>IFERROR(__xludf.DUMMYFUNCTION("""COMPUTED_VALUE"""),"es")</f>
        <v>es</v>
      </c>
      <c r="B12600">
        <f>IFERROR(__xludf.DUMMYFUNCTION("""COMPUTED_VALUE"""),2071231.0)</f>
        <v>2071231</v>
      </c>
      <c r="C12600" t="str">
        <f>IFERROR(__xludf.DUMMYFUNCTION("""COMPUTED_VALUE"""),"Máster Excel - Desde Cero a Profesional en 12 Horas")</f>
        <v>Máster Excel - Desde Cero a Profesional en 12 Horas</v>
      </c>
    </row>
    <row r="12601">
      <c r="A12601" s="140" t="str">
        <f>IFERROR(__xludf.DUMMYFUNCTION("""COMPUTED_VALUE"""),"ja")</f>
        <v>ja</v>
      </c>
      <c r="B12601">
        <f>IFERROR(__xludf.DUMMYFUNCTION("""COMPUTED_VALUE"""),2653794.0)</f>
        <v>2653794</v>
      </c>
      <c r="C12601" t="str">
        <f>IFERROR(__xludf.DUMMYFUNCTION("""COMPUTED_VALUE"""),"コーチングでメンバーが動き出す！リーダーシップ実践講座")</f>
        <v>コーチングでメンバーが動き出す！リーダーシップ実践講座</v>
      </c>
    </row>
    <row r="12602">
      <c r="A12602" s="140" t="str">
        <f>IFERROR(__xludf.DUMMYFUNCTION("""COMPUTED_VALUE"""),"es")</f>
        <v>es</v>
      </c>
      <c r="B12602">
        <f>IFERROR(__xludf.DUMMYFUNCTION("""COMPUTED_VALUE"""),3984982.0)</f>
        <v>3984982</v>
      </c>
      <c r="C12602" t="str">
        <f>IFERROR(__xludf.DUMMYFUNCTION("""COMPUTED_VALUE"""),"Certificación Microsoft Azure Fundamentals Exam AZ-900. 2021")</f>
        <v>Certificación Microsoft Azure Fundamentals Exam AZ-900. 2021</v>
      </c>
    </row>
    <row r="12603">
      <c r="A12603" s="140" t="str">
        <f>IFERROR(__xludf.DUMMYFUNCTION("""COMPUTED_VALUE"""),"en")</f>
        <v>en</v>
      </c>
      <c r="B12603">
        <f>IFERROR(__xludf.DUMMYFUNCTION("""COMPUTED_VALUE"""),2591908.0)</f>
        <v>2591908</v>
      </c>
      <c r="C12603" t="str">
        <f>IFERROR(__xludf.DUMMYFUNCTION("""COMPUTED_VALUE"""),"Azure DevOps Fundamentals for Beginners")</f>
        <v>Azure DevOps Fundamentals for Beginners</v>
      </c>
    </row>
    <row r="12604">
      <c r="A12604" s="140" t="str">
        <f>IFERROR(__xludf.DUMMYFUNCTION("""COMPUTED_VALUE"""),"de")</f>
        <v>de</v>
      </c>
      <c r="B12604">
        <f>IFERROR(__xludf.DUMMYFUNCTION("""COMPUTED_VALUE"""),2526504.0)</f>
        <v>2526504</v>
      </c>
      <c r="C12604" t="str">
        <f>IFERROR(__xludf.DUMMYFUNCTION("""COMPUTED_VALUE"""),"Präsentieren mit den Techniken der Speaker")</f>
        <v>Präsentieren mit den Techniken der Speaker</v>
      </c>
    </row>
    <row r="12605">
      <c r="A12605" s="140" t="str">
        <f>IFERROR(__xludf.DUMMYFUNCTION("""COMPUTED_VALUE"""),"en")</f>
        <v>en</v>
      </c>
      <c r="B12605">
        <f>IFERROR(__xludf.DUMMYFUNCTION("""COMPUTED_VALUE"""),3959654.0)</f>
        <v>3959654</v>
      </c>
      <c r="C12605" t="str">
        <f>IFERROR(__xludf.DUMMYFUNCTION("""COMPUTED_VALUE"""),"Medical Device Regulation (MDR): Intro for Device Designers")</f>
        <v>Medical Device Regulation (MDR): Intro for Device Designers</v>
      </c>
    </row>
    <row r="12606">
      <c r="A12606" s="140" t="str">
        <f>IFERROR(__xludf.DUMMYFUNCTION("""COMPUTED_VALUE"""),"en")</f>
        <v>en</v>
      </c>
      <c r="B12606">
        <f>IFERROR(__xludf.DUMMYFUNCTION("""COMPUTED_VALUE"""),2727486.0)</f>
        <v>2727486</v>
      </c>
      <c r="C12606" t="str">
        <f>IFERROR(__xludf.DUMMYFUNCTION("""COMPUTED_VALUE"""),"DevSecOps Exam (DevOps Security)")</f>
        <v>DevSecOps Exam (DevOps Security)</v>
      </c>
    </row>
    <row r="12607">
      <c r="A12607" s="140" t="str">
        <f>IFERROR(__xludf.DUMMYFUNCTION("""COMPUTED_VALUE"""),"ja")</f>
        <v>ja</v>
      </c>
      <c r="B12607">
        <f>IFERROR(__xludf.DUMMYFUNCTION("""COMPUTED_VALUE"""),2123138.0)</f>
        <v>2123138</v>
      </c>
      <c r="C12607" t="str">
        <f>IFERROR(__xludf.DUMMYFUNCTION("""COMPUTED_VALUE"""),"Tableauを使いこなしたい分析者のための『ゼロからの Tableau Prep 入門』")</f>
        <v>Tableauを使いこなしたい分析者のための『ゼロからの Tableau Prep 入門』</v>
      </c>
    </row>
    <row r="12608">
      <c r="A12608" s="140" t="str">
        <f>IFERROR(__xludf.DUMMYFUNCTION("""COMPUTED_VALUE"""),"en")</f>
        <v>en</v>
      </c>
      <c r="B12608">
        <f>IFERROR(__xludf.DUMMYFUNCTION("""COMPUTED_VALUE"""),2607612.0)</f>
        <v>2607612</v>
      </c>
      <c r="C12608" t="str">
        <f>IFERROR(__xludf.DUMMYFUNCTION("""COMPUTED_VALUE"""),"Complete Kotlin development masterclass")</f>
        <v>Complete Kotlin development masterclass</v>
      </c>
    </row>
    <row r="12609">
      <c r="A12609" s="140" t="str">
        <f>IFERROR(__xludf.DUMMYFUNCTION("""COMPUTED_VALUE"""),"tr")</f>
        <v>tr</v>
      </c>
      <c r="B12609">
        <f>IFERROR(__xludf.DUMMYFUNCTION("""COMPUTED_VALUE"""),1821108.0)</f>
        <v>1821108</v>
      </c>
      <c r="C12609" t="str">
        <f>IFERROR(__xludf.DUMMYFUNCTION("""COMPUTED_VALUE"""),"Sıfırdan İleri Seviye Vue.JS Eğitimi ve Uygulama Geliştirme")</f>
        <v>Sıfırdan İleri Seviye Vue.JS Eğitimi ve Uygulama Geliştirme</v>
      </c>
    </row>
    <row r="12610">
      <c r="A12610" s="140" t="str">
        <f>IFERROR(__xludf.DUMMYFUNCTION("""COMPUTED_VALUE"""),"es")</f>
        <v>es</v>
      </c>
      <c r="B12610">
        <f>IFERROR(__xludf.DUMMYFUNCTION("""COMPUTED_VALUE"""),1170732.0)</f>
        <v>1170732</v>
      </c>
      <c r="C12610" t="str">
        <f>IFERROR(__xludf.DUMMYFUNCTION("""COMPUTED_VALUE"""),"Creación de reportes con JasperReport y JasperStudio")</f>
        <v>Creación de reportes con JasperReport y JasperStudio</v>
      </c>
    </row>
    <row r="12611">
      <c r="A12611" s="140" t="str">
        <f>IFERROR(__xludf.DUMMYFUNCTION("""COMPUTED_VALUE"""),"en")</f>
        <v>en</v>
      </c>
      <c r="B12611">
        <f>IFERROR(__xludf.DUMMYFUNCTION("""COMPUTED_VALUE"""),3771370.0)</f>
        <v>3771370</v>
      </c>
      <c r="C12611" t="str">
        <f>IFERROR(__xludf.DUMMYFUNCTION("""COMPUTED_VALUE"""),"2021 Master Class: Machine Learning Using Google Cloud")</f>
        <v>2021 Master Class: Machine Learning Using Google Cloud</v>
      </c>
    </row>
    <row r="12612">
      <c r="A12612" s="140" t="str">
        <f>IFERROR(__xludf.DUMMYFUNCTION("""COMPUTED_VALUE"""),"en")</f>
        <v>en</v>
      </c>
      <c r="B12612">
        <f>IFERROR(__xludf.DUMMYFUNCTION("""COMPUTED_VALUE"""),3958562.0)</f>
        <v>3958562</v>
      </c>
      <c r="C12612" t="str">
        <f>IFERROR(__xludf.DUMMYFUNCTION("""COMPUTED_VALUE"""),"Microservices Observability, Resilience, Monitoring on .Net")</f>
        <v>Microservices Observability, Resilience, Monitoring on .Net</v>
      </c>
    </row>
    <row r="12613">
      <c r="A12613" s="140" t="str">
        <f>IFERROR(__xludf.DUMMYFUNCTION("""COMPUTED_VALUE"""),"zh")</f>
        <v>zh</v>
      </c>
      <c r="B12613">
        <f>IFERROR(__xludf.DUMMYFUNCTION("""COMPUTED_VALUE"""),2068465.0)</f>
        <v>2068465</v>
      </c>
      <c r="C12613" t="str">
        <f>IFERROR(__xludf.DUMMYFUNCTION("""COMPUTED_VALUE"""),"Azure管理员认证考试AZ-103 之 管理 Azure 订阅和资源")</f>
        <v>Azure管理员认证考试AZ-103 之 管理 Azure 订阅和资源</v>
      </c>
    </row>
    <row r="12614">
      <c r="A12614" s="140" t="str">
        <f>IFERROR(__xludf.DUMMYFUNCTION("""COMPUTED_VALUE"""),"pt")</f>
        <v>pt</v>
      </c>
      <c r="B12614">
        <f>IFERROR(__xludf.DUMMYFUNCTION("""COMPUTED_VALUE"""),1076168.0)</f>
        <v>1076168</v>
      </c>
      <c r="C12614" t="str">
        <f>IFERROR(__xludf.DUMMYFUNCTION("""COMPUTED_VALUE"""),"Curso React + Redux: Fundamentos e 2 Apps do Absoluto ZERO!")</f>
        <v>Curso React + Redux: Fundamentos e 2 Apps do Absoluto ZERO!</v>
      </c>
    </row>
    <row r="12615">
      <c r="A12615" s="140" t="str">
        <f>IFERROR(__xludf.DUMMYFUNCTION("""COMPUTED_VALUE"""),"en")</f>
        <v>en</v>
      </c>
      <c r="B12615">
        <f>IFERROR(__xludf.DUMMYFUNCTION("""COMPUTED_VALUE"""),1629512.0)</f>
        <v>1629512</v>
      </c>
      <c r="C12615" t="str">
        <f>IFERROR(__xludf.DUMMYFUNCTION("""COMPUTED_VALUE"""),"Ultimate Solar Energy Course Bundle From Zero To Hero")</f>
        <v>Ultimate Solar Energy Course Bundle From Zero To Hero</v>
      </c>
    </row>
    <row r="12616">
      <c r="A12616" s="140" t="str">
        <f>IFERROR(__xludf.DUMMYFUNCTION("""COMPUTED_VALUE"""),"en")</f>
        <v>en</v>
      </c>
      <c r="B12616">
        <f>IFERROR(__xludf.DUMMYFUNCTION("""COMPUTED_VALUE"""),636184.0)</f>
        <v>636184</v>
      </c>
      <c r="C12616" t="str">
        <f>IFERROR(__xludf.DUMMYFUNCTION("""COMPUTED_VALUE"""),"Administering Windows Server 2012 (70-411)")</f>
        <v>Administering Windows Server 2012 (70-411)</v>
      </c>
    </row>
    <row r="12617">
      <c r="A12617" s="140" t="str">
        <f>IFERROR(__xludf.DUMMYFUNCTION("""COMPUTED_VALUE"""),"en")</f>
        <v>en</v>
      </c>
      <c r="B12617">
        <f>IFERROR(__xludf.DUMMYFUNCTION("""COMPUTED_VALUE"""),3797264.0)</f>
        <v>3797264</v>
      </c>
      <c r="C12617" t="str">
        <f>IFERROR(__xludf.DUMMYFUNCTION("""COMPUTED_VALUE"""),"Criteria Cognitive Aptitude Test (CCAT) Practice Bundle 2021")</f>
        <v>Criteria Cognitive Aptitude Test (CCAT) Practice Bundle 2021</v>
      </c>
    </row>
    <row r="12618">
      <c r="A12618" s="140" t="str">
        <f>IFERROR(__xludf.DUMMYFUNCTION("""COMPUTED_VALUE"""),"en")</f>
        <v>en</v>
      </c>
      <c r="B12618">
        <f>IFERROR(__xludf.DUMMYFUNCTION("""COMPUTED_VALUE"""),1912858.0)</f>
        <v>1912858</v>
      </c>
      <c r="C12618" t="str">
        <f>IFERROR(__xludf.DUMMYFUNCTION("""COMPUTED_VALUE"""),"ROS for Beginners II: Localization, Navigation and SLAM")</f>
        <v>ROS for Beginners II: Localization, Navigation and SLAM</v>
      </c>
    </row>
    <row r="12619">
      <c r="A12619" s="140" t="str">
        <f>IFERROR(__xludf.DUMMYFUNCTION("""COMPUTED_VALUE"""),"en")</f>
        <v>en</v>
      </c>
      <c r="B12619">
        <f>IFERROR(__xludf.DUMMYFUNCTION("""COMPUTED_VALUE"""),1091448.0)</f>
        <v>1091448</v>
      </c>
      <c r="C12619" t="str">
        <f>IFERROR(__xludf.DUMMYFUNCTION("""COMPUTED_VALUE"""),"Microsoft Access VBA, Design and Advanced Methods Workshop 2")</f>
        <v>Microsoft Access VBA, Design and Advanced Methods Workshop 2</v>
      </c>
    </row>
    <row r="12620">
      <c r="A12620" s="140" t="str">
        <f>IFERROR(__xludf.DUMMYFUNCTION("""COMPUTED_VALUE"""),"en")</f>
        <v>en</v>
      </c>
      <c r="B12620">
        <f>IFERROR(__xludf.DUMMYFUNCTION("""COMPUTED_VALUE"""),3127820.0)</f>
        <v>3127820</v>
      </c>
      <c r="C12620" t="str">
        <f>IFERROR(__xludf.DUMMYFUNCTION("""COMPUTED_VALUE"""),"CCOAK Confluent Certified Operator for Apache Kafka PRACTICE")</f>
        <v>CCOAK Confluent Certified Operator for Apache Kafka PRACTICE</v>
      </c>
    </row>
    <row r="12621">
      <c r="A12621" s="140" t="str">
        <f>IFERROR(__xludf.DUMMYFUNCTION("""COMPUTED_VALUE"""),"en")</f>
        <v>en</v>
      </c>
      <c r="B12621">
        <f>IFERROR(__xludf.DUMMYFUNCTION("""COMPUTED_VALUE"""),1115816.0)</f>
        <v>1115816</v>
      </c>
      <c r="C12621" t="str">
        <f>IFERROR(__xludf.DUMMYFUNCTION("""COMPUTED_VALUE"""),"Business English Idioms")</f>
        <v>Business English Idioms</v>
      </c>
    </row>
    <row r="12622">
      <c r="A12622" s="140" t="str">
        <f>IFERROR(__xludf.DUMMYFUNCTION("""COMPUTED_VALUE"""),"en")</f>
        <v>en</v>
      </c>
      <c r="B12622">
        <f>IFERROR(__xludf.DUMMYFUNCTION("""COMPUTED_VALUE"""),34897.0)</f>
        <v>34897</v>
      </c>
      <c r="C12622" t="str">
        <f>IFERROR(__xludf.DUMMYFUNCTION("""COMPUTED_VALUE"""),"API in C#: The Best Practices of Design and Implementation")</f>
        <v>API in C#: The Best Practices of Design and Implementation</v>
      </c>
    </row>
    <row r="12623">
      <c r="A12623" s="140" t="str">
        <f>IFERROR(__xludf.DUMMYFUNCTION("""COMPUTED_VALUE"""),"en")</f>
        <v>en</v>
      </c>
      <c r="B12623">
        <f>IFERROR(__xludf.DUMMYFUNCTION("""COMPUTED_VALUE"""),2448476.0)</f>
        <v>2448476</v>
      </c>
      <c r="C12623" t="str">
        <f>IFERROR(__xludf.DUMMYFUNCTION("""COMPUTED_VALUE"""),"Ethics and Integrity, all about Deception and Dishonesty !")</f>
        <v>Ethics and Integrity, all about Deception and Dishonesty !</v>
      </c>
    </row>
    <row r="12624">
      <c r="A12624" s="140" t="str">
        <f>IFERROR(__xludf.DUMMYFUNCTION("""COMPUTED_VALUE"""),"ar")</f>
        <v>ar</v>
      </c>
      <c r="B12624">
        <f>IFERROR(__xludf.DUMMYFUNCTION("""COMPUTED_VALUE"""),2920846.0)</f>
        <v>2920846</v>
      </c>
      <c r="C12624" t="str">
        <f>IFERROR(__xludf.DUMMYFUNCTION("""COMPUTED_VALUE"""),"(Updated 2021) سيكولوجية الإعلان")</f>
        <v>(Updated 2021) سيكولوجية الإعلان</v>
      </c>
    </row>
    <row r="12625">
      <c r="A12625" s="140" t="str">
        <f>IFERROR(__xludf.DUMMYFUNCTION("""COMPUTED_VALUE"""),"es")</f>
        <v>es</v>
      </c>
      <c r="B12625">
        <f>IFERROR(__xludf.DUMMYFUNCTION("""COMPUTED_VALUE"""),1505418.0)</f>
        <v>1505418</v>
      </c>
      <c r="C12625" t="str">
        <f>IFERROR(__xludf.DUMMYFUNCTION("""COMPUTED_VALUE"""),"Curso de SolidWorks desde Cero y Completo")</f>
        <v>Curso de SolidWorks desde Cero y Completo</v>
      </c>
    </row>
    <row r="12626">
      <c r="A12626" s="140" t="str">
        <f>IFERROR(__xludf.DUMMYFUNCTION("""COMPUTED_VALUE"""),"en")</f>
        <v>en</v>
      </c>
      <c r="B12626">
        <f>IFERROR(__xludf.DUMMYFUNCTION("""COMPUTED_VALUE"""),4148622.0)</f>
        <v>4148622</v>
      </c>
      <c r="C12626" t="str">
        <f>IFERROR(__xludf.DUMMYFUNCTION("""COMPUTED_VALUE"""),"The Ultimate Advanced Training For Agile Product Owners")</f>
        <v>The Ultimate Advanced Training For Agile Product Owners</v>
      </c>
    </row>
    <row r="12627">
      <c r="A12627" s="140" t="str">
        <f>IFERROR(__xludf.DUMMYFUNCTION("""COMPUTED_VALUE"""),"en")</f>
        <v>en</v>
      </c>
      <c r="B12627">
        <f>IFERROR(__xludf.DUMMYFUNCTION("""COMPUTED_VALUE"""),1505920.0)</f>
        <v>1505920</v>
      </c>
      <c r="C12627" t="str">
        <f>IFERROR(__xludf.DUMMYFUNCTION("""COMPUTED_VALUE"""),"Prediction Maps &amp; Validation using Logistic Regression &amp; ROC")</f>
        <v>Prediction Maps &amp; Validation using Logistic Regression &amp; ROC</v>
      </c>
    </row>
    <row r="12628">
      <c r="A12628" s="140" t="str">
        <f>IFERROR(__xludf.DUMMYFUNCTION("""COMPUTED_VALUE"""),"en")</f>
        <v>en</v>
      </c>
      <c r="B12628">
        <f>IFERROR(__xludf.DUMMYFUNCTION("""COMPUTED_VALUE"""),1134390.0)</f>
        <v>1134390</v>
      </c>
      <c r="C12628" t="str">
        <f>IFERROR(__xludf.DUMMYFUNCTION("""COMPUTED_VALUE"""),"Complete React JS web developer with ES6 - Build 10 projects")</f>
        <v>Complete React JS web developer with ES6 - Build 10 projects</v>
      </c>
    </row>
    <row r="12629">
      <c r="A12629" s="140" t="str">
        <f>IFERROR(__xludf.DUMMYFUNCTION("""COMPUTED_VALUE"""),"fr")</f>
        <v>fr</v>
      </c>
      <c r="B12629">
        <f>IFERROR(__xludf.DUMMYFUNCTION("""COMPUTED_VALUE"""),2382747.0)</f>
        <v>2382747</v>
      </c>
      <c r="C12629" t="str">
        <f>IFERROR(__xludf.DUMMYFUNCTION("""COMPUTED_VALUE"""),"Devenez Investisseur Immobilier")</f>
        <v>Devenez Investisseur Immobilier</v>
      </c>
    </row>
    <row r="12630">
      <c r="A12630" s="140" t="str">
        <f>IFERROR(__xludf.DUMMYFUNCTION("""COMPUTED_VALUE"""),"es")</f>
        <v>es</v>
      </c>
      <c r="B12630">
        <f>IFERROR(__xludf.DUMMYFUNCTION("""COMPUTED_VALUE"""),1572996.0)</f>
        <v>1572996</v>
      </c>
      <c r="C12630" t="str">
        <f>IFERROR(__xludf.DUMMYFUNCTION("""COMPUTED_VALUE"""),"Curso inicial en Criptomonedas y trading: Bitcoin ETH TRX")</f>
        <v>Curso inicial en Criptomonedas y trading: Bitcoin ETH TRX</v>
      </c>
    </row>
    <row r="12631">
      <c r="A12631" s="140" t="str">
        <f>IFERROR(__xludf.DUMMYFUNCTION("""COMPUTED_VALUE"""),"en")</f>
        <v>en</v>
      </c>
      <c r="B12631">
        <f>IFERROR(__xludf.DUMMYFUNCTION("""COMPUTED_VALUE"""),1670116.0)</f>
        <v>1670116</v>
      </c>
      <c r="C12631" t="str">
        <f>IFERROR(__xludf.DUMMYFUNCTION("""COMPUTED_VALUE"""),"AWS Certified Cloud Practitioner: 6 Full Practice Exams 2021")</f>
        <v>AWS Certified Cloud Practitioner: 6 Full Practice Exams 2021</v>
      </c>
    </row>
    <row r="12632">
      <c r="A12632" s="140" t="str">
        <f>IFERROR(__xludf.DUMMYFUNCTION("""COMPUTED_VALUE"""),"es")</f>
        <v>es</v>
      </c>
      <c r="B12632">
        <f>IFERROR(__xludf.DUMMYFUNCTION("""COMPUTED_VALUE"""),1281114.0)</f>
        <v>1281114</v>
      </c>
      <c r="C12632" t="str">
        <f>IFERROR(__xludf.DUMMYFUNCTION("""COMPUTED_VALUE"""),"Oracle Weblogic desde Cero")</f>
        <v>Oracle Weblogic desde Cero</v>
      </c>
    </row>
    <row r="12633">
      <c r="A12633" s="140" t="str">
        <f>IFERROR(__xludf.DUMMYFUNCTION("""COMPUTED_VALUE"""),"en")</f>
        <v>en</v>
      </c>
      <c r="B12633">
        <f>IFERROR(__xludf.DUMMYFUNCTION("""COMPUTED_VALUE"""),3810768.0)</f>
        <v>3810768</v>
      </c>
      <c r="C12633" t="str">
        <f>IFERROR(__xludf.DUMMYFUNCTION("""COMPUTED_VALUE"""),"NEW SAFe 5 Agilist (Leading SAFe) Practice Exams (235 Q's)")</f>
        <v>NEW SAFe 5 Agilist (Leading SAFe) Practice Exams (235 Q's)</v>
      </c>
    </row>
    <row r="12634">
      <c r="A12634" s="140" t="str">
        <f>IFERROR(__xludf.DUMMYFUNCTION("""COMPUTED_VALUE"""),"es")</f>
        <v>es</v>
      </c>
      <c r="B12634">
        <f>IFERROR(__xludf.DUMMYFUNCTION("""COMPUTED_VALUE"""),607038.0)</f>
        <v>607038</v>
      </c>
      <c r="C12634" t="str">
        <f>IFERROR(__xludf.DUMMYFUNCTION("""COMPUTED_VALUE"""),"Fundamentos de Programación - Aprende a programar desde cero")</f>
        <v>Fundamentos de Programación - Aprende a programar desde cero</v>
      </c>
    </row>
    <row r="12635">
      <c r="A12635" s="140" t="str">
        <f>IFERROR(__xludf.DUMMYFUNCTION("""COMPUTED_VALUE"""),"es")</f>
        <v>es</v>
      </c>
      <c r="B12635">
        <f>IFERROR(__xludf.DUMMYFUNCTION("""COMPUTED_VALUE"""),3891072.0)</f>
        <v>3891072</v>
      </c>
      <c r="C12635" t="str">
        <f>IFERROR(__xludf.DUMMYFUNCTION("""COMPUTED_VALUE"""),"Obtén tu Cert. MO-200 de Microsoft: ""Especialista en Excel""")</f>
        <v>Obtén tu Cert. MO-200 de Microsoft: "Especialista en Excel"</v>
      </c>
    </row>
    <row r="12636">
      <c r="A12636" s="140" t="str">
        <f>IFERROR(__xludf.DUMMYFUNCTION("""COMPUTED_VALUE"""),"en")</f>
        <v>en</v>
      </c>
      <c r="B12636">
        <f>IFERROR(__xludf.DUMMYFUNCTION("""COMPUTED_VALUE"""),694100.0)</f>
        <v>694100</v>
      </c>
      <c r="C12636" t="str">
        <f>IFERROR(__xludf.DUMMYFUNCTION("""COMPUTED_VALUE"""),"Nginx 2021- Beginner to Advanced")</f>
        <v>Nginx 2021- Beginner to Advanced</v>
      </c>
    </row>
    <row r="12637">
      <c r="A12637" s="140" t="str">
        <f>IFERROR(__xludf.DUMMYFUNCTION("""COMPUTED_VALUE"""),"en")</f>
        <v>en</v>
      </c>
      <c r="B12637">
        <f>IFERROR(__xludf.DUMMYFUNCTION("""COMPUTED_VALUE"""),979222.0)</f>
        <v>979222</v>
      </c>
      <c r="C12637" t="str">
        <f>IFERROR(__xludf.DUMMYFUNCTION("""COMPUTED_VALUE"""),"3 Minute Portuguese - Course 1 | Lessons for beginners")</f>
        <v>3 Minute Portuguese - Course 1 | Lessons for beginners</v>
      </c>
    </row>
    <row r="12638">
      <c r="A12638" s="140" t="str">
        <f>IFERROR(__xludf.DUMMYFUNCTION("""COMPUTED_VALUE"""),"pt")</f>
        <v>pt</v>
      </c>
      <c r="B12638">
        <f>IFERROR(__xludf.DUMMYFUNCTION("""COMPUTED_VALUE"""),2814311.0)</f>
        <v>2814311</v>
      </c>
      <c r="C12638" t="str">
        <f>IFERROR(__xludf.DUMMYFUNCTION("""COMPUTED_VALUE"""),"Andragogia no Treinamento e Aprendizagem de Adultos Efetiva")</f>
        <v>Andragogia no Treinamento e Aprendizagem de Adultos Efetiva</v>
      </c>
    </row>
    <row r="12639">
      <c r="A12639" s="140" t="str">
        <f>IFERROR(__xludf.DUMMYFUNCTION("""COMPUTED_VALUE"""),"en")</f>
        <v>en</v>
      </c>
      <c r="B12639">
        <f>IFERROR(__xludf.DUMMYFUNCTION("""COMPUTED_VALUE"""),1625530.0)</f>
        <v>1625530</v>
      </c>
      <c r="C12639" t="str">
        <f>IFERROR(__xludf.DUMMYFUNCTION("""COMPUTED_VALUE"""),"AWS DynamoDB - The Complete Guide (Build 18+ Hands On Demos)")</f>
        <v>AWS DynamoDB - The Complete Guide (Build 18+ Hands On Demos)</v>
      </c>
    </row>
    <row r="12640">
      <c r="A12640" s="140" t="str">
        <f>IFERROR(__xludf.DUMMYFUNCTION("""COMPUTED_VALUE"""),"pt")</f>
        <v>pt</v>
      </c>
      <c r="B12640">
        <f>IFERROR(__xludf.DUMMYFUNCTION("""COMPUTED_VALUE"""),2100828.0)</f>
        <v>2100828</v>
      </c>
      <c r="C12640" t="str">
        <f>IFERROR(__xludf.DUMMYFUNCTION("""COMPUTED_VALUE"""),"LPI Linux Essentials: Preparatório para a Certificação")</f>
        <v>LPI Linux Essentials: Preparatório para a Certificação</v>
      </c>
    </row>
    <row r="12641">
      <c r="A12641" s="140" t="str">
        <f>IFERROR(__xludf.DUMMYFUNCTION("""COMPUTED_VALUE"""),"es")</f>
        <v>es</v>
      </c>
      <c r="B12641">
        <f>IFERROR(__xludf.DUMMYFUNCTION("""COMPUTED_VALUE"""),2689158.0)</f>
        <v>2689158</v>
      </c>
      <c r="C12641" t="str">
        <f>IFERROR(__xludf.DUMMYFUNCTION("""COMPUTED_VALUE"""),"R : ¡Data Science y Análisis de Datos con Ejercicios Reales!")</f>
        <v>R : ¡Data Science y Análisis de Datos con Ejercicios Reales!</v>
      </c>
    </row>
    <row r="12642">
      <c r="A12642" s="140" t="str">
        <f>IFERROR(__xludf.DUMMYFUNCTION("""COMPUTED_VALUE"""),"en")</f>
        <v>en</v>
      </c>
      <c r="B12642">
        <f>IFERROR(__xludf.DUMMYFUNCTION("""COMPUTED_VALUE"""),3275818.0)</f>
        <v>3275818</v>
      </c>
      <c r="C12642" t="str">
        <f>IFERROR(__xludf.DUMMYFUNCTION("""COMPUTED_VALUE"""),"Practical Solution Architecture")</f>
        <v>Practical Solution Architecture</v>
      </c>
    </row>
    <row r="12643">
      <c r="A12643" s="140" t="str">
        <f>IFERROR(__xludf.DUMMYFUNCTION("""COMPUTED_VALUE"""),"en")</f>
        <v>en</v>
      </c>
      <c r="B12643">
        <f>IFERROR(__xludf.DUMMYFUNCTION("""COMPUTED_VALUE"""),1320934.0)</f>
        <v>1320934</v>
      </c>
      <c r="C12643" t="str">
        <f>IFERROR(__xludf.DUMMYFUNCTION("""COMPUTED_VALUE"""),"TestNG - All in One (Crash Course), Interview question &amp; MCQ")</f>
        <v>TestNG - All in One (Crash Course), Interview question &amp; MCQ</v>
      </c>
    </row>
    <row r="12644">
      <c r="A12644" s="140" t="str">
        <f>IFERROR(__xludf.DUMMYFUNCTION("""COMPUTED_VALUE"""),"en")</f>
        <v>en</v>
      </c>
      <c r="B12644">
        <f>IFERROR(__xludf.DUMMYFUNCTION("""COMPUTED_VALUE"""),3290712.0)</f>
        <v>3290712</v>
      </c>
      <c r="C12644" t="str">
        <f>IFERROR(__xludf.DUMMYFUNCTION("""COMPUTED_VALUE"""),"Learn Path Loss 5")</f>
        <v>Learn Path Loss 5</v>
      </c>
    </row>
    <row r="12645">
      <c r="A12645" s="140" t="str">
        <f>IFERROR(__xludf.DUMMYFUNCTION("""COMPUTED_VALUE"""),"es")</f>
        <v>es</v>
      </c>
      <c r="B12645">
        <f>IFERROR(__xludf.DUMMYFUNCTION("""COMPUTED_VALUE"""),1546314.0)</f>
        <v>1546314</v>
      </c>
      <c r="C12645" t="str">
        <f>IFERROR(__xludf.DUMMYFUNCTION("""COMPUTED_VALUE"""),"Creación de Interfaces con FIGMA")</f>
        <v>Creación de Interfaces con FIGMA</v>
      </c>
    </row>
    <row r="12646">
      <c r="A12646" s="140" t="str">
        <f>IFERROR(__xludf.DUMMYFUNCTION("""COMPUTED_VALUE"""),"en")</f>
        <v>en</v>
      </c>
      <c r="B12646">
        <f>IFERROR(__xludf.DUMMYFUNCTION("""COMPUTED_VALUE"""),2528554.0)</f>
        <v>2528554</v>
      </c>
      <c r="C12646" t="str">
        <f>IFERROR(__xludf.DUMMYFUNCTION("""COMPUTED_VALUE"""),"CCIE Security v5 by Khawar Butt")</f>
        <v>CCIE Security v5 by Khawar Butt</v>
      </c>
    </row>
    <row r="12647">
      <c r="A12647" s="140" t="str">
        <f>IFERROR(__xludf.DUMMYFUNCTION("""COMPUTED_VALUE"""),"es")</f>
        <v>es</v>
      </c>
      <c r="B12647">
        <f>IFERROR(__xludf.DUMMYFUNCTION("""COMPUTED_VALUE"""),3891720.0)</f>
        <v>3891720</v>
      </c>
      <c r="C12647" t="str">
        <f>IFERROR(__xludf.DUMMYFUNCTION("""COMPUTED_VALUE"""),"Crea una APP como UBER para IOS y Android con Flutter")</f>
        <v>Crea una APP como UBER para IOS y Android con Flutter</v>
      </c>
    </row>
    <row r="12648">
      <c r="A12648" s="140" t="str">
        <f>IFERROR(__xludf.DUMMYFUNCTION("""COMPUTED_VALUE"""),"en")</f>
        <v>en</v>
      </c>
      <c r="B12648">
        <f>IFERROR(__xludf.DUMMYFUNCTION("""COMPUTED_VALUE"""),440764.0)</f>
        <v>440764</v>
      </c>
      <c r="C12648" t="str">
        <f>IFERROR(__xludf.DUMMYFUNCTION("""COMPUTED_VALUE"""),"Applied Petroleum Reservoir Engineering")</f>
        <v>Applied Petroleum Reservoir Engineering</v>
      </c>
    </row>
    <row r="12649">
      <c r="A12649" s="140" t="str">
        <f>IFERROR(__xludf.DUMMYFUNCTION("""COMPUTED_VALUE"""),"en")</f>
        <v>en</v>
      </c>
      <c r="B12649">
        <f>IFERROR(__xludf.DUMMYFUNCTION("""COMPUTED_VALUE"""),1596138.0)</f>
        <v>1596138</v>
      </c>
      <c r="C12649" t="str">
        <f>IFERROR(__xludf.DUMMYFUNCTION("""COMPUTED_VALUE"""),"TOTAL: CompTIA Security+ Certification (SY0-501)")</f>
        <v>TOTAL: CompTIA Security+ Certification (SY0-501)</v>
      </c>
    </row>
    <row r="12650">
      <c r="A12650" s="140" t="str">
        <f>IFERROR(__xludf.DUMMYFUNCTION("""COMPUTED_VALUE"""),"en")</f>
        <v>en</v>
      </c>
      <c r="B12650">
        <f>IFERROR(__xludf.DUMMYFUNCTION("""COMPUTED_VALUE"""),570674.0)</f>
        <v>570674</v>
      </c>
      <c r="C12650" t="str">
        <f>IFERROR(__xludf.DUMMYFUNCTION("""COMPUTED_VALUE"""),"Core java for Automation Testers- Coding made Easy")</f>
        <v>Core java for Automation Testers- Coding made Easy</v>
      </c>
    </row>
    <row r="12651">
      <c r="A12651" s="140" t="str">
        <f>IFERROR(__xludf.DUMMYFUNCTION("""COMPUTED_VALUE"""),"es")</f>
        <v>es</v>
      </c>
      <c r="B12651">
        <f>IFERROR(__xludf.DUMMYFUNCTION("""COMPUTED_VALUE"""),2369118.0)</f>
        <v>2369118</v>
      </c>
      <c r="C12651" t="str">
        <f>IFERROR(__xludf.DUMMYFUNCTION("""COMPUTED_VALUE"""),"Curso Excel y Power BI – Análisis y Visualización de Datos")</f>
        <v>Curso Excel y Power BI – Análisis y Visualización de Datos</v>
      </c>
    </row>
    <row r="12652">
      <c r="A12652" s="140" t="str">
        <f>IFERROR(__xludf.DUMMYFUNCTION("""COMPUTED_VALUE"""),"es")</f>
        <v>es</v>
      </c>
      <c r="B12652">
        <f>IFERROR(__xludf.DUMMYFUNCTION("""COMPUTED_VALUE"""),1726688.0)</f>
        <v>1726688</v>
      </c>
      <c r="C12652" t="str">
        <f>IFERROR(__xludf.DUMMYFUNCTION("""COMPUTED_VALUE"""),"Hacking Ético Profesional - Ingreso al Sistema")</f>
        <v>Hacking Ético Profesional - Ingreso al Sistema</v>
      </c>
    </row>
    <row r="12653">
      <c r="A12653" s="140" t="str">
        <f>IFERROR(__xludf.DUMMYFUNCTION("""COMPUTED_VALUE"""),"ja")</f>
        <v>ja</v>
      </c>
      <c r="B12653">
        <f>IFERROR(__xludf.DUMMYFUNCTION("""COMPUTED_VALUE"""),2590434.0)</f>
        <v>2590434</v>
      </c>
      <c r="C12653" t="str">
        <f>IFERROR(__xludf.DUMMYFUNCTION("""COMPUTED_VALUE"""),"AWS 認定ソリューションアーキテクト プロフェッショナル模擬試験問題集（全5回分375問）")</f>
        <v>AWS 認定ソリューションアーキテクト プロフェッショナル模擬試験問題集（全5回分375問）</v>
      </c>
    </row>
    <row r="12654">
      <c r="A12654" s="140" t="str">
        <f>IFERROR(__xludf.DUMMYFUNCTION("""COMPUTED_VALUE"""),"fr")</f>
        <v>fr</v>
      </c>
      <c r="B12654">
        <f>IFERROR(__xludf.DUMMYFUNCTION("""COMPUTED_VALUE"""),1342580.0)</f>
        <v>1342580</v>
      </c>
      <c r="C12654" t="str">
        <f>IFERROR(__xludf.DUMMYFUNCTION("""COMPUTED_VALUE"""),"SQL pour la Data Science de A à Z (analyse de data réelles)")</f>
        <v>SQL pour la Data Science de A à Z (analyse de data réelles)</v>
      </c>
    </row>
    <row r="12655">
      <c r="A12655" s="140" t="str">
        <f>IFERROR(__xludf.DUMMYFUNCTION("""COMPUTED_VALUE"""),"en")</f>
        <v>en</v>
      </c>
      <c r="B12655">
        <f>IFERROR(__xludf.DUMMYFUNCTION("""COMPUTED_VALUE"""),1009424.0)</f>
        <v>1009424</v>
      </c>
      <c r="C12655" t="str">
        <f>IFERROR(__xludf.DUMMYFUNCTION("""COMPUTED_VALUE"""),"A/B Testing and Experimentation for Beginners")</f>
        <v>A/B Testing and Experimentation for Beginners</v>
      </c>
    </row>
    <row r="12656">
      <c r="A12656" s="140" t="str">
        <f>IFERROR(__xludf.DUMMYFUNCTION("""COMPUTED_VALUE"""),"en")</f>
        <v>en</v>
      </c>
      <c r="B12656">
        <f>IFERROR(__xludf.DUMMYFUNCTION("""COMPUTED_VALUE"""),1528508.0)</f>
        <v>1528508</v>
      </c>
      <c r="C12656" t="str">
        <f>IFERROR(__xludf.DUMMYFUNCTION("""COMPUTED_VALUE"""),"Game Character Course - ZBrush to Substance Painter and more")</f>
        <v>Game Character Course - ZBrush to Substance Painter and more</v>
      </c>
    </row>
    <row r="12657">
      <c r="A12657" s="140" t="str">
        <f>IFERROR(__xludf.DUMMYFUNCTION("""COMPUTED_VALUE"""),"en")</f>
        <v>en</v>
      </c>
      <c r="B12657">
        <f>IFERROR(__xludf.DUMMYFUNCTION("""COMPUTED_VALUE"""),35795.0)</f>
        <v>35795</v>
      </c>
      <c r="C12657" t="str">
        <f>IFERROR(__xludf.DUMMYFUNCTION("""COMPUTED_VALUE"""),"Microsoft Windows 8")</f>
        <v>Microsoft Windows 8</v>
      </c>
    </row>
    <row r="12658">
      <c r="A12658" s="140" t="str">
        <f>IFERROR(__xludf.DUMMYFUNCTION("""COMPUTED_VALUE"""),"pt")</f>
        <v>pt</v>
      </c>
      <c r="B12658">
        <f>IFERROR(__xludf.DUMMYFUNCTION("""COMPUTED_VALUE"""),1753902.0)</f>
        <v>1753902</v>
      </c>
      <c r="C12658" t="str">
        <f>IFERROR(__xludf.DUMMYFUNCTION("""COMPUTED_VALUE"""),"Análise de Requisitos de Software com Histórias de Usuários")</f>
        <v>Análise de Requisitos de Software com Histórias de Usuários</v>
      </c>
    </row>
    <row r="12659">
      <c r="A12659" s="140" t="str">
        <f>IFERROR(__xludf.DUMMYFUNCTION("""COMPUTED_VALUE"""),"en")</f>
        <v>en</v>
      </c>
      <c r="B12659">
        <f>IFERROR(__xludf.DUMMYFUNCTION("""COMPUTED_VALUE"""),3449946.0)</f>
        <v>3449946</v>
      </c>
      <c r="C12659" t="str">
        <f>IFERROR(__xludf.DUMMYFUNCTION("""COMPUTED_VALUE"""),"Cinematography Masterclass: The Complete Videography Guide")</f>
        <v>Cinematography Masterclass: The Complete Videography Guide</v>
      </c>
    </row>
    <row r="12660">
      <c r="A12660" s="140" t="str">
        <f>IFERROR(__xludf.DUMMYFUNCTION("""COMPUTED_VALUE"""),"en")</f>
        <v>en</v>
      </c>
      <c r="B12660">
        <f>IFERROR(__xludf.DUMMYFUNCTION("""COMPUTED_VALUE"""),2887450.0)</f>
        <v>2887450</v>
      </c>
      <c r="C12660" t="str">
        <f>IFERROR(__xludf.DUMMYFUNCTION("""COMPUTED_VALUE"""),"Complete IBM Cognos Analytics 11.2 Cloud Training Course")</f>
        <v>Complete IBM Cognos Analytics 11.2 Cloud Training Course</v>
      </c>
    </row>
    <row r="12661">
      <c r="A12661" s="140" t="str">
        <f>IFERROR(__xludf.DUMMYFUNCTION("""COMPUTED_VALUE"""),"ja")</f>
        <v>ja</v>
      </c>
      <c r="B12661">
        <f>IFERROR(__xludf.DUMMYFUNCTION("""COMPUTED_VALUE"""),425618.0)</f>
        <v>425618</v>
      </c>
      <c r="C12661" t="str">
        <f>IFERROR(__xludf.DUMMYFUNCTION("""COMPUTED_VALUE"""),"元Appleエバンジェリスト、ガイ・カワサキの起業家塾（日本語字幕）")</f>
        <v>元Appleエバンジェリスト、ガイ・カワサキの起業家塾（日本語字幕）</v>
      </c>
    </row>
    <row r="12662">
      <c r="A12662" s="140" t="str">
        <f>IFERROR(__xludf.DUMMYFUNCTION("""COMPUTED_VALUE"""),"en")</f>
        <v>en</v>
      </c>
      <c r="B12662">
        <f>IFERROR(__xludf.DUMMYFUNCTION("""COMPUTED_VALUE"""),989516.0)</f>
        <v>989516</v>
      </c>
      <c r="C12662" t="str">
        <f>IFERROR(__xludf.DUMMYFUNCTION("""COMPUTED_VALUE"""),"Clear and Simple VMware NSX 6.2 and vSphere Virtual Networks")</f>
        <v>Clear and Simple VMware NSX 6.2 and vSphere Virtual Networks</v>
      </c>
    </row>
    <row r="12663">
      <c r="A12663" s="140" t="str">
        <f>IFERROR(__xludf.DUMMYFUNCTION("""COMPUTED_VALUE"""),"pt")</f>
        <v>pt</v>
      </c>
      <c r="B12663">
        <f>IFERROR(__xludf.DUMMYFUNCTION("""COMPUTED_VALUE"""),2169464.0)</f>
        <v>2169464</v>
      </c>
      <c r="C12663" t="str">
        <f>IFERROR(__xludf.DUMMYFUNCTION("""COMPUTED_VALUE"""),"Comunicação Não-Violenta: como se relacionar com empatia")</f>
        <v>Comunicação Não-Violenta: como se relacionar com empatia</v>
      </c>
    </row>
    <row r="12664">
      <c r="A12664" s="140" t="str">
        <f>IFERROR(__xludf.DUMMYFUNCTION("""COMPUTED_VALUE"""),"en")</f>
        <v>en</v>
      </c>
      <c r="B12664">
        <f>IFERROR(__xludf.DUMMYFUNCTION("""COMPUTED_VALUE"""),617118.0)</f>
        <v>617118</v>
      </c>
      <c r="C12664" t="str">
        <f>IFERROR(__xludf.DUMMYFUNCTION("""COMPUTED_VALUE"""),"Effective Business English for Logistics")</f>
        <v>Effective Business English for Logistics</v>
      </c>
    </row>
    <row r="12665">
      <c r="A12665" s="140" t="str">
        <f>IFERROR(__xludf.DUMMYFUNCTION("""COMPUTED_VALUE"""),"en")</f>
        <v>en</v>
      </c>
      <c r="B12665">
        <f>IFERROR(__xludf.DUMMYFUNCTION("""COMPUTED_VALUE"""),329346.0)</f>
        <v>329346</v>
      </c>
      <c r="C12665" t="str">
        <f>IFERROR(__xludf.DUMMYFUNCTION("""COMPUTED_VALUE"""),"YOGA FOR INSOMNIA: 7 DAYS TO SLEEP LIKE A DREAM!")</f>
        <v>YOGA FOR INSOMNIA: 7 DAYS TO SLEEP LIKE A DREAM!</v>
      </c>
    </row>
    <row r="12666">
      <c r="A12666" s="140" t="str">
        <f>IFERROR(__xludf.DUMMYFUNCTION("""COMPUTED_VALUE"""),"en")</f>
        <v>en</v>
      </c>
      <c r="B12666">
        <f>IFERROR(__xludf.DUMMYFUNCTION("""COMPUTED_VALUE"""),2562342.0)</f>
        <v>2562342</v>
      </c>
      <c r="C12666" t="str">
        <f>IFERROR(__xludf.DUMMYFUNCTION("""COMPUTED_VALUE"""),"Diversity, Equity, and Inclusion: A Beginner’s Guide")</f>
        <v>Diversity, Equity, and Inclusion: A Beginner’s Guide</v>
      </c>
    </row>
    <row r="12667">
      <c r="A12667" s="140" t="str">
        <f>IFERROR(__xludf.DUMMYFUNCTION("""COMPUTED_VALUE"""),"es")</f>
        <v>es</v>
      </c>
      <c r="B12667">
        <f>IFERROR(__xludf.DUMMYFUNCTION("""COMPUTED_VALUE"""),1610702.0)</f>
        <v>1610702</v>
      </c>
      <c r="C12667" t="str">
        <f>IFERROR(__xludf.DUMMYFUNCTION("""COMPUTED_VALUE"""),"SQLite, Unity® 3D, C# y Bases de datos para Videojuegos")</f>
        <v>SQLite, Unity® 3D, C# y Bases de datos para Videojuegos</v>
      </c>
    </row>
    <row r="12668">
      <c r="A12668" s="140" t="str">
        <f>IFERROR(__xludf.DUMMYFUNCTION("""COMPUTED_VALUE"""),"en")</f>
        <v>en</v>
      </c>
      <c r="B12668">
        <f>IFERROR(__xludf.DUMMYFUNCTION("""COMPUTED_VALUE"""),648826.0)</f>
        <v>648826</v>
      </c>
      <c r="C12668" t="str">
        <f>IFERROR(__xludf.DUMMYFUNCTION("""COMPUTED_VALUE"""),"The Complete Financial Analyst Course 2021")</f>
        <v>The Complete Financial Analyst Course 2021</v>
      </c>
    </row>
    <row r="12669">
      <c r="A12669" s="140" t="str">
        <f>IFERROR(__xludf.DUMMYFUNCTION("""COMPUTED_VALUE"""),"en")</f>
        <v>en</v>
      </c>
      <c r="B12669">
        <f>IFERROR(__xludf.DUMMYFUNCTION("""COMPUTED_VALUE"""),638936.0)</f>
        <v>638936</v>
      </c>
      <c r="C12669" t="str">
        <f>IFERROR(__xludf.DUMMYFUNCTION("""COMPUTED_VALUE"""),"Oracle 11g Certified Professional Exam Prep II")</f>
        <v>Oracle 11g Certified Professional Exam Prep II</v>
      </c>
    </row>
    <row r="12670">
      <c r="A12670" s="140" t="str">
        <f>IFERROR(__xludf.DUMMYFUNCTION("""COMPUTED_VALUE"""),"en")</f>
        <v>en</v>
      </c>
      <c r="B12670">
        <f>IFERROR(__xludf.DUMMYFUNCTION("""COMPUTED_VALUE"""),1075642.0)</f>
        <v>1075642</v>
      </c>
      <c r="C12670" t="str">
        <f>IFERROR(__xludf.DUMMYFUNCTION("""COMPUTED_VALUE"""),"Apache Kafka Series - Learn Apache Kafka for Beginners v2")</f>
        <v>Apache Kafka Series - Learn Apache Kafka for Beginners v2</v>
      </c>
    </row>
    <row r="12671">
      <c r="A12671" s="140" t="str">
        <f>IFERROR(__xludf.DUMMYFUNCTION("""COMPUTED_VALUE"""),"en")</f>
        <v>en</v>
      </c>
      <c r="B12671">
        <f>IFERROR(__xludf.DUMMYFUNCTION("""COMPUTED_VALUE"""),875194.0)</f>
        <v>875194</v>
      </c>
      <c r="C12671" t="str">
        <f>IFERROR(__xludf.DUMMYFUNCTION("""COMPUTED_VALUE"""),"Build Incredible Chatbots")</f>
        <v>Build Incredible Chatbots</v>
      </c>
    </row>
    <row r="12672">
      <c r="A12672" s="140" t="str">
        <f>IFERROR(__xludf.DUMMYFUNCTION("""COMPUTED_VALUE"""),"en")</f>
        <v>en</v>
      </c>
      <c r="B12672">
        <f>IFERROR(__xludf.DUMMYFUNCTION("""COMPUTED_VALUE"""),3231181.0)</f>
        <v>3231181</v>
      </c>
      <c r="C12672" t="str">
        <f>IFERROR(__xludf.DUMMYFUNCTION("""COMPUTED_VALUE"""),"SAP HANA Administration")</f>
        <v>SAP HANA Administration</v>
      </c>
    </row>
    <row r="12673">
      <c r="A12673" s="140" t="str">
        <f>IFERROR(__xludf.DUMMYFUNCTION("""COMPUTED_VALUE"""),"pt")</f>
        <v>pt</v>
      </c>
      <c r="B12673">
        <f>IFERROR(__xludf.DUMMYFUNCTION("""COMPUTED_VALUE"""),3328380.0)</f>
        <v>3328380</v>
      </c>
      <c r="C12673" t="str">
        <f>IFERROR(__xludf.DUMMYFUNCTION("""COMPUTED_VALUE"""),"Microsoft Teams")</f>
        <v>Microsoft Teams</v>
      </c>
    </row>
    <row r="12674">
      <c r="A12674" s="140" t="str">
        <f>IFERROR(__xludf.DUMMYFUNCTION("""COMPUTED_VALUE"""),"es")</f>
        <v>es</v>
      </c>
      <c r="B12674">
        <f>IFERROR(__xludf.DUMMYFUNCTION("""COMPUTED_VALUE"""),3790052.0)</f>
        <v>3790052</v>
      </c>
      <c r="C12674" t="str">
        <f>IFERROR(__xludf.DUMMYFUNCTION("""COMPUTED_VALUE"""),"ISO 9001:2015  Principios y fundamentos")</f>
        <v>ISO 9001:2015  Principios y fundamentos</v>
      </c>
    </row>
    <row r="12675">
      <c r="A12675" s="140" t="str">
        <f>IFERROR(__xludf.DUMMYFUNCTION("""COMPUTED_VALUE"""),"es")</f>
        <v>es</v>
      </c>
      <c r="B12675">
        <f>IFERROR(__xludf.DUMMYFUNCTION("""COMPUTED_VALUE"""),807730.0)</f>
        <v>807730</v>
      </c>
      <c r="C12675" t="str">
        <f>IFERROR(__xludf.DUMMYFUNCTION("""COMPUTED_VALUE"""),"Auditorias Internas de ISO 9001:2015")</f>
        <v>Auditorias Internas de ISO 9001:2015</v>
      </c>
    </row>
    <row r="12676">
      <c r="A12676" s="140" t="str">
        <f>IFERROR(__xludf.DUMMYFUNCTION("""COMPUTED_VALUE"""),"en")</f>
        <v>en</v>
      </c>
      <c r="B12676">
        <f>IFERROR(__xludf.DUMMYFUNCTION("""COMPUTED_VALUE"""),2302970.0)</f>
        <v>2302970</v>
      </c>
      <c r="C12676" t="str">
        <f>IFERROR(__xludf.DUMMYFUNCTION("""COMPUTED_VALUE"""),"Build a WhatsApp Chat App clone for Android")</f>
        <v>Build a WhatsApp Chat App clone for Android</v>
      </c>
    </row>
    <row r="12677">
      <c r="A12677" s="140" t="str">
        <f>IFERROR(__xludf.DUMMYFUNCTION("""COMPUTED_VALUE"""),"zh")</f>
        <v>zh</v>
      </c>
      <c r="B12677">
        <f>IFERROR(__xludf.DUMMYFUNCTION("""COMPUTED_VALUE"""),2609544.0)</f>
        <v>2609544</v>
      </c>
      <c r="C12677" t="str">
        <f>IFERROR(__xludf.DUMMYFUNCTION("""COMPUTED_VALUE"""),"TensorFlow 2.0: 关于全新TensorFlow的完整指南")</f>
        <v>TensorFlow 2.0: 关于全新TensorFlow的完整指南</v>
      </c>
    </row>
    <row r="12678">
      <c r="A12678" s="140" t="str">
        <f>IFERROR(__xludf.DUMMYFUNCTION("""COMPUTED_VALUE"""),"en")</f>
        <v>en</v>
      </c>
      <c r="B12678">
        <f>IFERROR(__xludf.DUMMYFUNCTION("""COMPUTED_VALUE"""),2827516.0)</f>
        <v>2827516</v>
      </c>
      <c r="C12678" t="str">
        <f>IFERROR(__xludf.DUMMYFUNCTION("""COMPUTED_VALUE"""),"Level 4 Diploma - Commercial Negotiation (L4M5)")</f>
        <v>Level 4 Diploma - Commercial Negotiation (L4M5)</v>
      </c>
    </row>
    <row r="12679">
      <c r="A12679" s="140" t="str">
        <f>IFERROR(__xludf.DUMMYFUNCTION("""COMPUTED_VALUE"""),"en")</f>
        <v>en</v>
      </c>
      <c r="B12679">
        <f>IFERROR(__xludf.DUMMYFUNCTION("""COMPUTED_VALUE"""),1108858.0)</f>
        <v>1108858</v>
      </c>
      <c r="C12679" t="str">
        <f>IFERROR(__xludf.DUMMYFUNCTION("""COMPUTED_VALUE"""),"AWS Essentials")</f>
        <v>AWS Essentials</v>
      </c>
    </row>
    <row r="12680">
      <c r="A12680" s="140" t="str">
        <f>IFERROR(__xludf.DUMMYFUNCTION("""COMPUTED_VALUE"""),"en")</f>
        <v>en</v>
      </c>
      <c r="B12680">
        <f>IFERROR(__xludf.DUMMYFUNCTION("""COMPUTED_VALUE"""),850426.0)</f>
        <v>850426</v>
      </c>
      <c r="C12680" t="str">
        <f>IFERROR(__xludf.DUMMYFUNCTION("""COMPUTED_VALUE"""),"Photoshop 2022 MasterClass")</f>
        <v>Photoshop 2022 MasterClass</v>
      </c>
    </row>
    <row r="12681">
      <c r="A12681" s="140" t="str">
        <f>IFERROR(__xludf.DUMMYFUNCTION("""COMPUTED_VALUE"""),"en")</f>
        <v>en</v>
      </c>
      <c r="B12681">
        <f>IFERROR(__xludf.DUMMYFUNCTION("""COMPUTED_VALUE"""),1270870.0)</f>
        <v>1270870</v>
      </c>
      <c r="C12681" t="str">
        <f>IFERROR(__xludf.DUMMYFUNCTION("""COMPUTED_VALUE"""),"Digital Marketing Masterclass - 23 Marketing Courses in 1")</f>
        <v>Digital Marketing Masterclass - 23 Marketing Courses in 1</v>
      </c>
    </row>
    <row r="12682">
      <c r="A12682" s="140" t="str">
        <f>IFERROR(__xludf.DUMMYFUNCTION("""COMPUTED_VALUE"""),"en")</f>
        <v>en</v>
      </c>
      <c r="B12682">
        <f>IFERROR(__xludf.DUMMYFUNCTION("""COMPUTED_VALUE"""),433188.0)</f>
        <v>433188</v>
      </c>
      <c r="C12682" t="str">
        <f>IFERROR(__xludf.DUMMYFUNCTION("""COMPUTED_VALUE"""),"Store Design:  How to Design Successful Retail Stores")</f>
        <v>Store Design:  How to Design Successful Retail Stores</v>
      </c>
    </row>
    <row r="12683">
      <c r="A12683" s="140" t="str">
        <f>IFERROR(__xludf.DUMMYFUNCTION("""COMPUTED_VALUE"""),"en")</f>
        <v>en</v>
      </c>
      <c r="B12683">
        <f>IFERROR(__xludf.DUMMYFUNCTION("""COMPUTED_VALUE"""),2362902.0)</f>
        <v>2362902</v>
      </c>
      <c r="C12683" t="str">
        <f>IFERROR(__xludf.DUMMYFUNCTION("""COMPUTED_VALUE"""),"Mastering thick client application penetration testing")</f>
        <v>Mastering thick client application penetration testing</v>
      </c>
    </row>
    <row r="12684">
      <c r="A12684" s="140" t="str">
        <f>IFERROR(__xludf.DUMMYFUNCTION("""COMPUTED_VALUE"""),"en")</f>
        <v>en</v>
      </c>
      <c r="B12684">
        <f>IFERROR(__xludf.DUMMYFUNCTION("""COMPUTED_VALUE"""),1212726.0)</f>
        <v>1212726</v>
      </c>
      <c r="C12684" t="str">
        <f>IFERROR(__xludf.DUMMYFUNCTION("""COMPUTED_VALUE"""),"Amazon Rekognition Development: A Complete Guide")</f>
        <v>Amazon Rekognition Development: A Complete Guide</v>
      </c>
    </row>
    <row r="12685">
      <c r="A12685" s="140" t="str">
        <f>IFERROR(__xludf.DUMMYFUNCTION("""COMPUTED_VALUE"""),"en")</f>
        <v>en</v>
      </c>
      <c r="B12685">
        <f>IFERROR(__xludf.DUMMYFUNCTION("""COMPUTED_VALUE"""),1626712.0)</f>
        <v>1626712</v>
      </c>
      <c r="C12685" t="str">
        <f>IFERROR(__xludf.DUMMYFUNCTION("""COMPUTED_VALUE"""),"Canva Master Course | Use Canva to Grow your Business")</f>
        <v>Canva Master Course | Use Canva to Grow your Business</v>
      </c>
    </row>
    <row r="12686">
      <c r="A12686" s="140" t="str">
        <f>IFERROR(__xludf.DUMMYFUNCTION("""COMPUTED_VALUE"""),"en")</f>
        <v>en</v>
      </c>
      <c r="B12686">
        <f>IFERROR(__xludf.DUMMYFUNCTION("""COMPUTED_VALUE"""),1141702.0)</f>
        <v>1141702</v>
      </c>
      <c r="C12686" t="str">
        <f>IFERROR(__xludf.DUMMYFUNCTION("""COMPUTED_VALUE"""),"Apache Kafka Series - Kafka Cluster Setup &amp; Administration")</f>
        <v>Apache Kafka Series - Kafka Cluster Setup &amp; Administration</v>
      </c>
    </row>
    <row r="12687">
      <c r="A12687" s="140" t="str">
        <f>IFERROR(__xludf.DUMMYFUNCTION("""COMPUTED_VALUE"""),"en")</f>
        <v>en</v>
      </c>
      <c r="B12687">
        <f>IFERROR(__xludf.DUMMYFUNCTION("""COMPUTED_VALUE"""),115440.0)</f>
        <v>115440</v>
      </c>
      <c r="C12687" t="str">
        <f>IFERROR(__xludf.DUMMYFUNCTION("""COMPUTED_VALUE"""),"Strategic Innovation")</f>
        <v>Strategic Innovation</v>
      </c>
    </row>
    <row r="12688">
      <c r="A12688" s="140" t="str">
        <f>IFERROR(__xludf.DUMMYFUNCTION("""COMPUTED_VALUE"""),"en")</f>
        <v>en</v>
      </c>
      <c r="B12688">
        <f>IFERROR(__xludf.DUMMYFUNCTION("""COMPUTED_VALUE"""),2424236.0)</f>
        <v>2424236</v>
      </c>
      <c r="C12688" t="str">
        <f>IFERROR(__xludf.DUMMYFUNCTION("""COMPUTED_VALUE"""),"Four Steps to Future Procurement: become Procurement expert!")</f>
        <v>Four Steps to Future Procurement: become Procurement expert!</v>
      </c>
    </row>
    <row r="12689">
      <c r="A12689" s="140" t="str">
        <f>IFERROR(__xludf.DUMMYFUNCTION("""COMPUTED_VALUE"""),"en")</f>
        <v>en</v>
      </c>
      <c r="B12689">
        <f>IFERROR(__xludf.DUMMYFUNCTION("""COMPUTED_VALUE"""),599738.0)</f>
        <v>599738</v>
      </c>
      <c r="C12689" t="str">
        <f>IFERROR(__xludf.DUMMYFUNCTION("""COMPUTED_VALUE"""),"Supply Chain: Demand Planning (Sales Forecasting and S&amp;OP)")</f>
        <v>Supply Chain: Demand Planning (Sales Forecasting and S&amp;OP)</v>
      </c>
    </row>
    <row r="12690">
      <c r="A12690" s="140" t="str">
        <f>IFERROR(__xludf.DUMMYFUNCTION("""COMPUTED_VALUE"""),"en")</f>
        <v>en</v>
      </c>
      <c r="B12690">
        <f>IFERROR(__xludf.DUMMYFUNCTION("""COMPUTED_VALUE"""),1782082.0)</f>
        <v>1782082</v>
      </c>
      <c r="C12690" t="str">
        <f>IFERROR(__xludf.DUMMYFUNCTION("""COMPUTED_VALUE"""),"Amazon EKS Starter: Docker on AWS EKS with Kubernetes")</f>
        <v>Amazon EKS Starter: Docker on AWS EKS with Kubernetes</v>
      </c>
    </row>
    <row r="12691">
      <c r="A12691" s="140" t="str">
        <f>IFERROR(__xludf.DUMMYFUNCTION("""COMPUTED_VALUE"""),"en")</f>
        <v>en</v>
      </c>
      <c r="B12691">
        <f>IFERROR(__xludf.DUMMYFUNCTION("""COMPUTED_VALUE"""),876544.0)</f>
        <v>876544</v>
      </c>
      <c r="C12691" t="str">
        <f>IFERROR(__xludf.DUMMYFUNCTION("""COMPUTED_VALUE"""),".NET 5 Web API &amp; Entity Framework Crash Course")</f>
        <v>.NET 5 Web API &amp; Entity Framework Crash Course</v>
      </c>
    </row>
    <row r="12692">
      <c r="A12692" s="140" t="str">
        <f>IFERROR(__xludf.DUMMYFUNCTION("""COMPUTED_VALUE"""),"ja")</f>
        <v>ja</v>
      </c>
      <c r="B12692">
        <f>IFERROR(__xludf.DUMMYFUNCTION("""COMPUTED_VALUE"""),1134722.0)</f>
        <v>1134722</v>
      </c>
      <c r="C12692" t="str">
        <f>IFERROR(__xludf.DUMMYFUNCTION("""COMPUTED_VALUE"""),"現役シリコンバレーエンジニアが教えるPython 3 入門 + 応用 +アメリカのシリコンバレー流コードスタイル")</f>
        <v>現役シリコンバレーエンジニアが教えるPython 3 入門 + 応用 +アメリカのシリコンバレー流コードスタイル</v>
      </c>
    </row>
    <row r="12693">
      <c r="A12693" s="140" t="str">
        <f>IFERROR(__xludf.DUMMYFUNCTION("""COMPUTED_VALUE"""),"en")</f>
        <v>en</v>
      </c>
      <c r="B12693">
        <f>IFERROR(__xludf.DUMMYFUNCTION("""COMPUTED_VALUE"""),666956.0)</f>
        <v>666956</v>
      </c>
      <c r="C12693" t="str">
        <f>IFERROR(__xludf.DUMMYFUNCTION("""COMPUTED_VALUE"""),"Influence People with Persuasion Psychology")</f>
        <v>Influence People with Persuasion Psychology</v>
      </c>
    </row>
    <row r="12694">
      <c r="A12694" s="140" t="str">
        <f>IFERROR(__xludf.DUMMYFUNCTION("""COMPUTED_VALUE"""),"en")</f>
        <v>en</v>
      </c>
      <c r="B12694">
        <f>IFERROR(__xludf.DUMMYFUNCTION("""COMPUTED_VALUE"""),3087734.0)</f>
        <v>3087734</v>
      </c>
      <c r="C12694" t="str">
        <f>IFERROR(__xludf.DUMMYFUNCTION("""COMPUTED_VALUE"""),"Modern Desktop Certification Exam MD-100: Windows 10")</f>
        <v>Modern Desktop Certification Exam MD-100: Windows 10</v>
      </c>
    </row>
    <row r="12695">
      <c r="A12695" s="140" t="str">
        <f>IFERROR(__xludf.DUMMYFUNCTION("""COMPUTED_VALUE"""),"es")</f>
        <v>es</v>
      </c>
      <c r="B12695">
        <f>IFERROR(__xludf.DUMMYFUNCTION("""COMPUTED_VALUE"""),1266524.0)</f>
        <v>1266524</v>
      </c>
      <c r="C12695" t="str">
        <f>IFERROR(__xludf.DUMMYFUNCTION("""COMPUTED_VALUE"""),"Curso práctico para aprovechar el tiempo con el método CLAM")</f>
        <v>Curso práctico para aprovechar el tiempo con el método CLAM</v>
      </c>
    </row>
    <row r="12696">
      <c r="A12696" s="140" t="str">
        <f>IFERROR(__xludf.DUMMYFUNCTION("""COMPUTED_VALUE"""),"de")</f>
        <v>de</v>
      </c>
      <c r="B12696">
        <f>IFERROR(__xludf.DUMMYFUNCTION("""COMPUTED_VALUE"""),1555630.0)</f>
        <v>1555630</v>
      </c>
      <c r="C12696" t="str">
        <f>IFERROR(__xludf.DUMMYFUNCTION("""COMPUTED_VALUE"""),"Effizientes Reporting und Forschen durch R Markdown")</f>
        <v>Effizientes Reporting und Forschen durch R Markdown</v>
      </c>
    </row>
    <row r="12697">
      <c r="A12697" s="140" t="str">
        <f>IFERROR(__xludf.DUMMYFUNCTION("""COMPUTED_VALUE"""),"en")</f>
        <v>en</v>
      </c>
      <c r="B12697">
        <f>IFERROR(__xludf.DUMMYFUNCTION("""COMPUTED_VALUE"""),383250.0)</f>
        <v>383250</v>
      </c>
      <c r="C12697" t="str">
        <f>IFERROR(__xludf.DUMMYFUNCTION("""COMPUTED_VALUE"""),"Introduction to Security Awareness Campaigns")</f>
        <v>Introduction to Security Awareness Campaigns</v>
      </c>
    </row>
    <row r="12698">
      <c r="A12698" s="140" t="str">
        <f>IFERROR(__xludf.DUMMYFUNCTION("""COMPUTED_VALUE"""),"en")</f>
        <v>en</v>
      </c>
      <c r="B12698">
        <f>IFERROR(__xludf.DUMMYFUNCTION("""COMPUTED_VALUE"""),2266510.0)</f>
        <v>2266510</v>
      </c>
      <c r="C12698" t="str">
        <f>IFERROR(__xludf.DUMMYFUNCTION("""COMPUTED_VALUE"""),"Project Management: Getting Started and Beyond")</f>
        <v>Project Management: Getting Started and Beyond</v>
      </c>
    </row>
    <row r="12699">
      <c r="A12699" s="140" t="str">
        <f>IFERROR(__xludf.DUMMYFUNCTION("""COMPUTED_VALUE"""),"de")</f>
        <v>de</v>
      </c>
      <c r="B12699">
        <f>IFERROR(__xludf.DUMMYFUNCTION("""COMPUTED_VALUE"""),3601386.0)</f>
        <v>3601386</v>
      </c>
      <c r="C12699" t="str">
        <f>IFERROR(__xludf.DUMMYFUNCTION("""COMPUTED_VALUE"""),"Symfony 5 - Der umfassende Grundkurs für Einsteiger")</f>
        <v>Symfony 5 - Der umfassende Grundkurs für Einsteiger</v>
      </c>
    </row>
    <row r="12700">
      <c r="A12700" s="140" t="str">
        <f>IFERROR(__xludf.DUMMYFUNCTION("""COMPUTED_VALUE"""),"en")</f>
        <v>en</v>
      </c>
      <c r="B12700">
        <f>IFERROR(__xludf.DUMMYFUNCTION("""COMPUTED_VALUE"""),649056.0)</f>
        <v>649056</v>
      </c>
      <c r="C12700" t="str">
        <f>IFERROR(__xludf.DUMMYFUNCTION("""COMPUTED_VALUE"""),"(NEW) The Complete Growth Hacking &amp; Conversion Course")</f>
        <v>(NEW) The Complete Growth Hacking &amp; Conversion Course</v>
      </c>
    </row>
    <row r="12701">
      <c r="A12701" s="140" t="str">
        <f>IFERROR(__xludf.DUMMYFUNCTION("""COMPUTED_VALUE"""),"ja")</f>
        <v>ja</v>
      </c>
      <c r="B12701">
        <f>IFERROR(__xludf.DUMMYFUNCTION("""COMPUTED_VALUE"""),2550455.0)</f>
        <v>2550455</v>
      </c>
      <c r="C12701" t="str">
        <f>IFERROR(__xludf.DUMMYFUNCTION("""COMPUTED_VALUE"""),"【これだけでOK！】あらゆるビジネスに役立つ！はじめての実践マーケティング講座")</f>
        <v>【これだけでOK！】あらゆるビジネスに役立つ！はじめての実践マーケティング講座</v>
      </c>
    </row>
    <row r="12702">
      <c r="A12702" s="140" t="str">
        <f>IFERROR(__xludf.DUMMYFUNCTION("""COMPUTED_VALUE"""),"en")</f>
        <v>en</v>
      </c>
      <c r="B12702">
        <f>IFERROR(__xludf.DUMMYFUNCTION("""COMPUTED_VALUE"""),1419144.0)</f>
        <v>1419144</v>
      </c>
      <c r="C12702" t="str">
        <f>IFERROR(__xludf.DUMMYFUNCTION("""COMPUTED_VALUE"""),"VMware vSphere Fundamentals")</f>
        <v>VMware vSphere Fundamentals</v>
      </c>
    </row>
    <row r="12703">
      <c r="A12703" s="140" t="str">
        <f>IFERROR(__xludf.DUMMYFUNCTION("""COMPUTED_VALUE"""),"en")</f>
        <v>en</v>
      </c>
      <c r="B12703">
        <f>IFERROR(__xludf.DUMMYFUNCTION("""COMPUTED_VALUE"""),2072360.0)</f>
        <v>2072360</v>
      </c>
      <c r="C12703" t="str">
        <f>IFERROR(__xludf.DUMMYFUNCTION("""COMPUTED_VALUE"""),"Algorithmic Trading: Backtest, Optimize &amp; Automate in Python")</f>
        <v>Algorithmic Trading: Backtest, Optimize &amp; Automate in Python</v>
      </c>
    </row>
    <row r="12704">
      <c r="A12704" s="140" t="str">
        <f>IFERROR(__xludf.DUMMYFUNCTION("""COMPUTED_VALUE"""),"en")</f>
        <v>en</v>
      </c>
      <c r="B12704">
        <f>IFERROR(__xludf.DUMMYFUNCTION("""COMPUTED_VALUE"""),3382642.0)</f>
        <v>3382642</v>
      </c>
      <c r="C12704" t="str">
        <f>IFERROR(__xludf.DUMMYFUNCTION("""COMPUTED_VALUE"""),"Taking the Work Out of Networking")</f>
        <v>Taking the Work Out of Networking</v>
      </c>
    </row>
    <row r="12705">
      <c r="A12705" s="140" t="str">
        <f>IFERROR(__xludf.DUMMYFUNCTION("""COMPUTED_VALUE"""),"en")</f>
        <v>en</v>
      </c>
      <c r="B12705">
        <f>IFERROR(__xludf.DUMMYFUNCTION("""COMPUTED_VALUE"""),2733100.0)</f>
        <v>2733100</v>
      </c>
      <c r="C12705" t="str">
        <f>IFERROR(__xludf.DUMMYFUNCTION("""COMPUTED_VALUE"""),"F5 BIG IP Administration")</f>
        <v>F5 BIG IP Administration</v>
      </c>
    </row>
    <row r="12706">
      <c r="A12706" s="140" t="str">
        <f>IFERROR(__xludf.DUMMYFUNCTION("""COMPUTED_VALUE"""),"en")</f>
        <v>en</v>
      </c>
      <c r="B12706">
        <f>IFERROR(__xludf.DUMMYFUNCTION("""COMPUTED_VALUE"""),727108.0)</f>
        <v>727108</v>
      </c>
      <c r="C12706" t="str">
        <f>IFERROR(__xludf.DUMMYFUNCTION("""COMPUTED_VALUE"""),"VMware vSphere 6.0 Part 3 - Storage, Resources, VM Migration")</f>
        <v>VMware vSphere 6.0 Part 3 - Storage, Resources, VM Migration</v>
      </c>
    </row>
    <row r="12707">
      <c r="A12707" s="140" t="str">
        <f>IFERROR(__xludf.DUMMYFUNCTION("""COMPUTED_VALUE"""),"en")</f>
        <v>en</v>
      </c>
      <c r="B12707">
        <f>IFERROR(__xludf.DUMMYFUNCTION("""COMPUTED_VALUE"""),964656.0)</f>
        <v>964656</v>
      </c>
      <c r="C12707" t="str">
        <f>IFERROR(__xludf.DUMMYFUNCTION("""COMPUTED_VALUE"""),"AWS Concepts")</f>
        <v>AWS Concepts</v>
      </c>
    </row>
    <row r="12708">
      <c r="A12708" s="140" t="str">
        <f>IFERROR(__xludf.DUMMYFUNCTION("""COMPUTED_VALUE"""),"tr")</f>
        <v>tr</v>
      </c>
      <c r="B12708">
        <f>IFERROR(__xludf.DUMMYFUNCTION("""COMPUTED_VALUE"""),1575076.0)</f>
        <v>1575076</v>
      </c>
      <c r="C12708" t="str">
        <f>IFERROR(__xludf.DUMMYFUNCTION("""COMPUTED_VALUE"""),"Indesign CC 2022 : A'dan Z'ye Kolay Öğrenme! (Güncellenmiş)")</f>
        <v>Indesign CC 2022 : A'dan Z'ye Kolay Öğrenme! (Güncellenmiş)</v>
      </c>
    </row>
    <row r="12709">
      <c r="A12709" s="140" t="str">
        <f>IFERROR(__xludf.DUMMYFUNCTION("""COMPUTED_VALUE"""),"en")</f>
        <v>en</v>
      </c>
      <c r="B12709">
        <f>IFERROR(__xludf.DUMMYFUNCTION("""COMPUTED_VALUE"""),2974358.0)</f>
        <v>2974358</v>
      </c>
      <c r="C12709" t="str">
        <f>IFERROR(__xludf.DUMMYFUNCTION("""COMPUTED_VALUE"""),"Academic Essay Writing for English Language Learners")</f>
        <v>Academic Essay Writing for English Language Learners</v>
      </c>
    </row>
    <row r="12710">
      <c r="A12710" s="140" t="str">
        <f>IFERROR(__xludf.DUMMYFUNCTION("""COMPUTED_VALUE"""),"en")</f>
        <v>en</v>
      </c>
      <c r="B12710">
        <f>IFERROR(__xludf.DUMMYFUNCTION("""COMPUTED_VALUE"""),2004522.0)</f>
        <v>2004522</v>
      </c>
      <c r="C12710" t="str">
        <f>IFERROR(__xludf.DUMMYFUNCTION("""COMPUTED_VALUE"""),"Docker Certified Associate (DCA) Practice Test - Set of 4")</f>
        <v>Docker Certified Associate (DCA) Practice Test - Set of 4</v>
      </c>
    </row>
    <row r="12711">
      <c r="A12711" s="140" t="str">
        <f>IFERROR(__xludf.DUMMYFUNCTION("""COMPUTED_VALUE"""),"en")</f>
        <v>en</v>
      </c>
      <c r="B12711">
        <f>IFERROR(__xludf.DUMMYFUNCTION("""COMPUTED_VALUE"""),2217244.0)</f>
        <v>2217244</v>
      </c>
      <c r="C12711" t="str">
        <f>IFERROR(__xludf.DUMMYFUNCTION("""COMPUTED_VALUE"""),"Electrical Control &amp; Protection Part 4")</f>
        <v>Electrical Control &amp; Protection Part 4</v>
      </c>
    </row>
    <row r="12712">
      <c r="A12712" s="140" t="str">
        <f>IFERROR(__xludf.DUMMYFUNCTION("""COMPUTED_VALUE"""),"en")</f>
        <v>en</v>
      </c>
      <c r="B12712">
        <f>IFERROR(__xludf.DUMMYFUNCTION("""COMPUTED_VALUE"""),487670.0)</f>
        <v>487670</v>
      </c>
      <c r="C12712" t="str">
        <f>IFERROR(__xludf.DUMMYFUNCTION("""COMPUTED_VALUE"""),"Delegation Mastery: Increase Productivity &amp; Hit Your Goals!")</f>
        <v>Delegation Mastery: Increase Productivity &amp; Hit Your Goals!</v>
      </c>
    </row>
    <row r="12713">
      <c r="A12713" s="140" t="str">
        <f>IFERROR(__xludf.DUMMYFUNCTION("""COMPUTED_VALUE"""),"tr")</f>
        <v>tr</v>
      </c>
      <c r="B12713">
        <f>IFERROR(__xludf.DUMMYFUNCTION("""COMPUTED_VALUE"""),2886300.0)</f>
        <v>2886300</v>
      </c>
      <c r="C12713" t="str">
        <f>IFERROR(__xludf.DUMMYFUNCTION("""COMPUTED_VALUE"""),"Procreate: iPad ile Dijital Çizim, Tasarım ve Animasyon")</f>
        <v>Procreate: iPad ile Dijital Çizim, Tasarım ve Animasyon</v>
      </c>
    </row>
    <row r="12714">
      <c r="A12714" s="140" t="str">
        <f>IFERROR(__xludf.DUMMYFUNCTION("""COMPUTED_VALUE"""),"es")</f>
        <v>es</v>
      </c>
      <c r="B12714">
        <f>IFERROR(__xludf.DUMMYFUNCTION("""COMPUTED_VALUE"""),1159626.0)</f>
        <v>1159626</v>
      </c>
      <c r="C12714" t="str">
        <f>IFERROR(__xludf.DUMMYFUNCTION("""COMPUTED_VALUE"""),"Inglés Básico para Principiantes: Una sólida base, hablando.")</f>
        <v>Inglés Básico para Principiantes: Una sólida base, hablando.</v>
      </c>
    </row>
    <row r="12715">
      <c r="A12715" s="140" t="str">
        <f>IFERROR(__xludf.DUMMYFUNCTION("""COMPUTED_VALUE"""),"pt")</f>
        <v>pt</v>
      </c>
      <c r="B12715">
        <f>IFERROR(__xludf.DUMMYFUNCTION("""COMPUTED_VALUE"""),2585714.0)</f>
        <v>2585714</v>
      </c>
      <c r="C12715" t="str">
        <f>IFERROR(__xludf.DUMMYFUNCTION("""COMPUTED_VALUE"""),"Microservice, RESTAPI, CI/CD, Deploy, LoadBalancer e Monitor")</f>
        <v>Microservice, RESTAPI, CI/CD, Deploy, LoadBalancer e Monitor</v>
      </c>
    </row>
    <row r="12716">
      <c r="A12716" s="140" t="str">
        <f>IFERROR(__xludf.DUMMYFUNCTION("""COMPUTED_VALUE"""),"pt")</f>
        <v>pt</v>
      </c>
      <c r="B12716">
        <f>IFERROR(__xludf.DUMMYFUNCTION("""COMPUTED_VALUE"""),2710728.0)</f>
        <v>2710728</v>
      </c>
      <c r="C12716" t="str">
        <f>IFERROR(__xludf.DUMMYFUNCTION("""COMPUTED_VALUE"""),"Aprenda Flutter e Desenvolva Apps Para Android e IOS 2021")</f>
        <v>Aprenda Flutter e Desenvolva Apps Para Android e IOS 2021</v>
      </c>
    </row>
    <row r="12717">
      <c r="A12717" s="140" t="str">
        <f>IFERROR(__xludf.DUMMYFUNCTION("""COMPUTED_VALUE"""),"en")</f>
        <v>en</v>
      </c>
      <c r="B12717">
        <f>IFERROR(__xludf.DUMMYFUNCTION("""COMPUTED_VALUE"""),3198572.0)</f>
        <v>3198572</v>
      </c>
      <c r="C12717" t="str">
        <f>IFERROR(__xludf.DUMMYFUNCTION("""COMPUTED_VALUE"""),"Digital Transformation and Industry 4.0 Masterclass")</f>
        <v>Digital Transformation and Industry 4.0 Masterclass</v>
      </c>
    </row>
    <row r="12718">
      <c r="A12718" s="140" t="str">
        <f>IFERROR(__xludf.DUMMYFUNCTION("""COMPUTED_VALUE"""),"en")</f>
        <v>en</v>
      </c>
      <c r="B12718">
        <f>IFERROR(__xludf.DUMMYFUNCTION("""COMPUTED_VALUE"""),1502458.0)</f>
        <v>1502458</v>
      </c>
      <c r="C12718" t="str">
        <f>IFERROR(__xludf.DUMMYFUNCTION("""COMPUTED_VALUE"""),"Agile PM 102 - What Is The Future of  Agile Project Mgmt?")</f>
        <v>Agile PM 102 - What Is The Future of  Agile Project Mgmt?</v>
      </c>
    </row>
    <row r="12719">
      <c r="A12719" s="140" t="str">
        <f>IFERROR(__xludf.DUMMYFUNCTION("""COMPUTED_VALUE"""),"pt")</f>
        <v>pt</v>
      </c>
      <c r="B12719">
        <f>IFERROR(__xludf.DUMMYFUNCTION("""COMPUTED_VALUE"""),2321158.0)</f>
        <v>2321158</v>
      </c>
      <c r="C12719" t="str">
        <f>IFERROR(__xludf.DUMMYFUNCTION("""COMPUTED_VALUE"""),"Hacking do zero para iniciantes c/ Kali, Nmap e Metasploit")</f>
        <v>Hacking do zero para iniciantes c/ Kali, Nmap e Metasploit</v>
      </c>
    </row>
    <row r="12720">
      <c r="A12720" s="140" t="str">
        <f>IFERROR(__xludf.DUMMYFUNCTION("""COMPUTED_VALUE"""),"es")</f>
        <v>es</v>
      </c>
      <c r="B12720">
        <f>IFERROR(__xludf.DUMMYFUNCTION("""COMPUTED_VALUE"""),2940650.0)</f>
        <v>2940650</v>
      </c>
      <c r="C12720" t="str">
        <f>IFERROR(__xludf.DUMMYFUNCTION("""COMPUTED_VALUE"""),"Excel 365: Analítica de datos usando Tablas dinámicas")</f>
        <v>Excel 365: Analítica de datos usando Tablas dinámicas</v>
      </c>
    </row>
    <row r="12721">
      <c r="A12721" s="140" t="str">
        <f>IFERROR(__xludf.DUMMYFUNCTION("""COMPUTED_VALUE"""),"en")</f>
        <v>en</v>
      </c>
      <c r="B12721">
        <f>IFERROR(__xludf.DUMMYFUNCTION("""COMPUTED_VALUE"""),4155812.0)</f>
        <v>4155812</v>
      </c>
      <c r="C12721" t="str">
        <f>IFERROR(__xludf.DUMMYFUNCTION("""COMPUTED_VALUE"""),"HubSpot for Marketers 2021 - Intensive course")</f>
        <v>HubSpot for Marketers 2021 - Intensive course</v>
      </c>
    </row>
    <row r="12722">
      <c r="A12722" s="140" t="str">
        <f>IFERROR(__xludf.DUMMYFUNCTION("""COMPUTED_VALUE"""),"fr")</f>
        <v>fr</v>
      </c>
      <c r="B12722">
        <f>IFERROR(__xludf.DUMMYFUNCTION("""COMPUTED_VALUE"""),859184.0)</f>
        <v>859184</v>
      </c>
      <c r="C12722" t="str">
        <f>IFERROR(__xludf.DUMMYFUNCTION("""COMPUTED_VALUE"""),"Les Data Sciences de A à Z")</f>
        <v>Les Data Sciences de A à Z</v>
      </c>
    </row>
    <row r="12723">
      <c r="A12723" s="140" t="str">
        <f>IFERROR(__xludf.DUMMYFUNCTION("""COMPUTED_VALUE"""),"es")</f>
        <v>es</v>
      </c>
      <c r="B12723">
        <f>IFERROR(__xludf.DUMMYFUNCTION("""COMPUTED_VALUE"""),2783902.0)</f>
        <v>2783902</v>
      </c>
      <c r="C12723" t="str">
        <f>IFERROR(__xludf.DUMMYFUNCTION("""COMPUTED_VALUE"""),"Machine Learning con Python. Aprendizaje Automático Avanzado")</f>
        <v>Machine Learning con Python. Aprendizaje Automático Avanzado</v>
      </c>
    </row>
    <row r="12724">
      <c r="A12724" s="140" t="str">
        <f>IFERROR(__xludf.DUMMYFUNCTION("""COMPUTED_VALUE"""),"es")</f>
        <v>es</v>
      </c>
      <c r="B12724">
        <f>IFERROR(__xludf.DUMMYFUNCTION("""COMPUTED_VALUE"""),2397342.0)</f>
        <v>2397342</v>
      </c>
      <c r="C12724" t="str">
        <f>IFERROR(__xludf.DUMMYFUNCTION("""COMPUTED_VALUE"""),"Diseño de apps para iOS 13 con Swift UI desde cero")</f>
        <v>Diseño de apps para iOS 13 con Swift UI desde cero</v>
      </c>
    </row>
    <row r="12725">
      <c r="A12725" s="140" t="str">
        <f>IFERROR(__xludf.DUMMYFUNCTION("""COMPUTED_VALUE"""),"en")</f>
        <v>en</v>
      </c>
      <c r="B12725">
        <f>IFERROR(__xludf.DUMMYFUNCTION("""COMPUTED_VALUE"""),3709974.0)</f>
        <v>3709974</v>
      </c>
      <c r="C12725" t="str">
        <f>IFERROR(__xludf.DUMMYFUNCTION("""COMPUTED_VALUE"""),"CompTIA A+ (220-1002) Practice Exams (Over 500 questions!)")</f>
        <v>CompTIA A+ (220-1002) Practice Exams (Over 500 questions!)</v>
      </c>
    </row>
    <row r="12726">
      <c r="A12726" s="140" t="str">
        <f>IFERROR(__xludf.DUMMYFUNCTION("""COMPUTED_VALUE"""),"en")</f>
        <v>en</v>
      </c>
      <c r="B12726">
        <f>IFERROR(__xludf.DUMMYFUNCTION("""COMPUTED_VALUE"""),3585544.0)</f>
        <v>3585544</v>
      </c>
      <c r="C12726" t="str">
        <f>IFERROR(__xludf.DUMMYFUNCTION("""COMPUTED_VALUE"""),"INDIAN SNACKS &amp; APPETIZERS- Restaurant style cooking course")</f>
        <v>INDIAN SNACKS &amp; APPETIZERS- Restaurant style cooking course</v>
      </c>
    </row>
    <row r="12727">
      <c r="A12727" s="140" t="str">
        <f>IFERROR(__xludf.DUMMYFUNCTION("""COMPUTED_VALUE"""),"es")</f>
        <v>es</v>
      </c>
      <c r="B12727">
        <f>IFERROR(__xludf.DUMMYFUNCTION("""COMPUTED_VALUE"""),948232.0)</f>
        <v>948232</v>
      </c>
      <c r="C12727" t="str">
        <f>IFERROR(__xludf.DUMMYFUNCTION("""COMPUTED_VALUE"""),"Cognotécnicas: Herramientas para pensar más y mejor")</f>
        <v>Cognotécnicas: Herramientas para pensar más y mejor</v>
      </c>
    </row>
    <row r="12728">
      <c r="A12728" s="140" t="str">
        <f>IFERROR(__xludf.DUMMYFUNCTION("""COMPUTED_VALUE"""),"pt")</f>
        <v>pt</v>
      </c>
      <c r="B12728">
        <f>IFERROR(__xludf.DUMMYFUNCTION("""COMPUTED_VALUE"""),2214802.0)</f>
        <v>2214802</v>
      </c>
      <c r="C12728" t="str">
        <f>IFERROR(__xludf.DUMMYFUNCTION("""COMPUTED_VALUE"""),"HTML5 Completo")</f>
        <v>HTML5 Completo</v>
      </c>
    </row>
    <row r="12729">
      <c r="A12729" s="140" t="str">
        <f>IFERROR(__xludf.DUMMYFUNCTION("""COMPUTED_VALUE"""),"de")</f>
        <v>de</v>
      </c>
      <c r="B12729">
        <f>IFERROR(__xludf.DUMMYFUNCTION("""COMPUTED_VALUE"""),1473804.0)</f>
        <v>1473804</v>
      </c>
      <c r="C12729" t="str">
        <f>IFERROR(__xludf.DUMMYFUNCTION("""COMPUTED_VALUE"""),"Adobe After Effects CC Masterclass — Vom Anfänger zum Profi")</f>
        <v>Adobe After Effects CC Masterclass — Vom Anfänger zum Profi</v>
      </c>
    </row>
    <row r="12730">
      <c r="A12730" s="140" t="str">
        <f>IFERROR(__xludf.DUMMYFUNCTION("""COMPUTED_VALUE"""),"en")</f>
        <v>en</v>
      </c>
      <c r="B12730">
        <f>IFERROR(__xludf.DUMMYFUNCTION("""COMPUTED_VALUE"""),1337648.0)</f>
        <v>1337648</v>
      </c>
      <c r="C12730" t="str">
        <f>IFERROR(__xludf.DUMMYFUNCTION("""COMPUTED_VALUE"""),"GNS3 Fundamentals (Official Course) Part 2")</f>
        <v>GNS3 Fundamentals (Official Course) Part 2</v>
      </c>
    </row>
    <row r="12731">
      <c r="A12731" s="140" t="str">
        <f>IFERROR(__xludf.DUMMYFUNCTION("""COMPUTED_VALUE"""),"fr")</f>
        <v>fr</v>
      </c>
      <c r="B12731">
        <f>IFERROR(__xludf.DUMMYFUNCTION("""COMPUTED_VALUE"""),898940.0)</f>
        <v>898940</v>
      </c>
      <c r="C12731" t="str">
        <f>IFERROR(__xludf.DUMMYFUNCTION("""COMPUTED_VALUE"""),"Cours d’anglais facile, pour apprendre l’anglais facilement!")</f>
        <v>Cours d’anglais facile, pour apprendre l’anglais facilement!</v>
      </c>
    </row>
    <row r="12732">
      <c r="A12732" s="140" t="str">
        <f>IFERROR(__xludf.DUMMYFUNCTION("""COMPUTED_VALUE"""),"en")</f>
        <v>en</v>
      </c>
      <c r="B12732">
        <f>IFERROR(__xludf.DUMMYFUNCTION("""COMPUTED_VALUE"""),684824.0)</f>
        <v>684824</v>
      </c>
      <c r="C12732" t="str">
        <f>IFERROR(__xludf.DUMMYFUNCTION("""COMPUTED_VALUE"""),"Spring Framework Master Class - Java Spring the Modern Way")</f>
        <v>Spring Framework Master Class - Java Spring the Modern Way</v>
      </c>
    </row>
    <row r="12733">
      <c r="A12733" s="140" t="str">
        <f>IFERROR(__xludf.DUMMYFUNCTION("""COMPUTED_VALUE"""),"en")</f>
        <v>en</v>
      </c>
      <c r="B12733">
        <f>IFERROR(__xludf.DUMMYFUNCTION("""COMPUTED_VALUE"""),934526.0)</f>
        <v>934526</v>
      </c>
      <c r="C12733" t="str">
        <f>IFERROR(__xludf.DUMMYFUNCTION("""COMPUTED_VALUE"""),"Developing Emotional Intelligence in Teams")</f>
        <v>Developing Emotional Intelligence in Teams</v>
      </c>
    </row>
    <row r="12734">
      <c r="A12734" s="140" t="str">
        <f>IFERROR(__xludf.DUMMYFUNCTION("""COMPUTED_VALUE"""),"en")</f>
        <v>en</v>
      </c>
      <c r="B12734">
        <f>IFERROR(__xludf.DUMMYFUNCTION("""COMPUTED_VALUE"""),3338118.0)</f>
        <v>3338118</v>
      </c>
      <c r="C12734" t="str">
        <f>IFERROR(__xludf.DUMMYFUNCTION("""COMPUTED_VALUE"""),"Laravel 8 - Advance Course Build School Management System")</f>
        <v>Laravel 8 - Advance Course Build School Management System</v>
      </c>
    </row>
    <row r="12735">
      <c r="A12735" s="140" t="str">
        <f>IFERROR(__xludf.DUMMYFUNCTION("""COMPUTED_VALUE"""),"en")</f>
        <v>en</v>
      </c>
      <c r="B12735">
        <f>IFERROR(__xludf.DUMMYFUNCTION("""COMPUTED_VALUE"""),2168068.0)</f>
        <v>2168068</v>
      </c>
      <c r="C12735" t="str">
        <f>IFERROR(__xludf.DUMMYFUNCTION("""COMPUTED_VALUE"""),"SQL Server 2019: What’s New - New and Enhanced Features")</f>
        <v>SQL Server 2019: What’s New - New and Enhanced Features</v>
      </c>
    </row>
    <row r="12736">
      <c r="A12736" s="140" t="str">
        <f>IFERROR(__xludf.DUMMYFUNCTION("""COMPUTED_VALUE"""),"es")</f>
        <v>es</v>
      </c>
      <c r="B12736">
        <f>IFERROR(__xludf.DUMMYFUNCTION("""COMPUTED_VALUE"""),84676.0)</f>
        <v>84676</v>
      </c>
      <c r="C12736" t="str">
        <f>IFERROR(__xludf.DUMMYFUNCTION("""COMPUTED_VALUE"""),"Aprende Java Enterprise Edition (JavaEE) paso a paso")</f>
        <v>Aprende Java Enterprise Edition (JavaEE) paso a paso</v>
      </c>
    </row>
    <row r="12737">
      <c r="A12737" s="140" t="str">
        <f>IFERROR(__xludf.DUMMYFUNCTION("""COMPUTED_VALUE"""),"tr")</f>
        <v>tr</v>
      </c>
      <c r="B12737">
        <f>IFERROR(__xludf.DUMMYFUNCTION("""COMPUTED_VALUE"""),3751340.0)</f>
        <v>3751340</v>
      </c>
      <c r="C12737" t="str">
        <f>IFERROR(__xludf.DUMMYFUNCTION("""COMPUTED_VALUE"""),"Yatırım Fonları ve Portföy Yönetimi")</f>
        <v>Yatırım Fonları ve Portföy Yönetimi</v>
      </c>
    </row>
    <row r="12738">
      <c r="A12738" s="140" t="str">
        <f>IFERROR(__xludf.DUMMYFUNCTION("""COMPUTED_VALUE"""),"en")</f>
        <v>en</v>
      </c>
      <c r="B12738">
        <f>IFERROR(__xludf.DUMMYFUNCTION("""COMPUTED_VALUE"""),751094.0)</f>
        <v>751094</v>
      </c>
      <c r="C12738" t="str">
        <f>IFERROR(__xludf.DUMMYFUNCTION("""COMPUTED_VALUE"""),"The Complete Networking Fundamentals Course. Your CCNA start")</f>
        <v>The Complete Networking Fundamentals Course. Your CCNA start</v>
      </c>
    </row>
    <row r="12739">
      <c r="A12739" s="140" t="str">
        <f>IFERROR(__xludf.DUMMYFUNCTION("""COMPUTED_VALUE"""),"tr")</f>
        <v>tr</v>
      </c>
      <c r="B12739">
        <f>IFERROR(__xludf.DUMMYFUNCTION("""COMPUTED_VALUE"""),1508994.0)</f>
        <v>1508994</v>
      </c>
      <c r="C12739" t="str">
        <f>IFERROR(__xludf.DUMMYFUNCTION("""COMPUTED_VALUE"""),"C# ile DevExpress'de SQL Tabanlı Ticari Otomasyon Geliştirin")</f>
        <v>C# ile DevExpress'de SQL Tabanlı Ticari Otomasyon Geliştirin</v>
      </c>
    </row>
    <row r="12740">
      <c r="A12740" s="140" t="str">
        <f>IFERROR(__xludf.DUMMYFUNCTION("""COMPUTED_VALUE"""),"en")</f>
        <v>en</v>
      </c>
      <c r="B12740">
        <f>IFERROR(__xludf.DUMMYFUNCTION("""COMPUTED_VALUE"""),3075068.0)</f>
        <v>3075068</v>
      </c>
      <c r="C12740" t="str">
        <f>IFERROR(__xludf.DUMMYFUNCTION("""COMPUTED_VALUE"""),"Advanced Excel for HR Managers | Automation &amp; Analytics")</f>
        <v>Advanced Excel for HR Managers | Automation &amp; Analytics</v>
      </c>
    </row>
    <row r="12741">
      <c r="A12741" s="140" t="str">
        <f>IFERROR(__xludf.DUMMYFUNCTION("""COMPUTED_VALUE"""),"en")</f>
        <v>en</v>
      </c>
      <c r="B12741">
        <f>IFERROR(__xludf.DUMMYFUNCTION("""COMPUTED_VALUE"""),1349660.0)</f>
        <v>1349660</v>
      </c>
      <c r="C12741" t="str">
        <f>IFERROR(__xludf.DUMMYFUNCTION("""COMPUTED_VALUE"""),"Linux Shell Scripting: A Project-Based Approach to Learning")</f>
        <v>Linux Shell Scripting: A Project-Based Approach to Learning</v>
      </c>
    </row>
    <row r="12742">
      <c r="A12742" s="140" t="str">
        <f>IFERROR(__xludf.DUMMYFUNCTION("""COMPUTED_VALUE"""),"en")</f>
        <v>en</v>
      </c>
      <c r="B12742">
        <f>IFERROR(__xludf.DUMMYFUNCTION("""COMPUTED_VALUE"""),3014868.0)</f>
        <v>3014868</v>
      </c>
      <c r="C12742" t="str">
        <f>IFERROR(__xludf.DUMMYFUNCTION("""COMPUTED_VALUE"""),"Pass MB-210 - Microsoft Dynamics 365 Sales On Your First Try")</f>
        <v>Pass MB-210 - Microsoft Dynamics 365 Sales On Your First Try</v>
      </c>
    </row>
    <row r="12743">
      <c r="A12743" s="140" t="str">
        <f>IFERROR(__xludf.DUMMYFUNCTION("""COMPUTED_VALUE"""),"en")</f>
        <v>en</v>
      </c>
      <c r="B12743">
        <f>IFERROR(__xludf.DUMMYFUNCTION("""COMPUTED_VALUE"""),3385752.0)</f>
        <v>3385752</v>
      </c>
      <c r="C12743" t="str">
        <f>IFERROR(__xludf.DUMMYFUNCTION("""COMPUTED_VALUE"""),"How to become a CISO (Chief Information Security Officer)")</f>
        <v>How to become a CISO (Chief Information Security Officer)</v>
      </c>
    </row>
    <row r="12744">
      <c r="A12744" s="140" t="str">
        <f>IFERROR(__xludf.DUMMYFUNCTION("""COMPUTED_VALUE"""),"en")</f>
        <v>en</v>
      </c>
      <c r="B12744">
        <f>IFERROR(__xludf.DUMMYFUNCTION("""COMPUTED_VALUE"""),1373426.0)</f>
        <v>1373426</v>
      </c>
      <c r="C12744" t="str">
        <f>IFERROR(__xludf.DUMMYFUNCTION("""COMPUTED_VALUE"""),"Microsoft Excel 2016 Mac 2: Intermediate to Expert advanced")</f>
        <v>Microsoft Excel 2016 Mac 2: Intermediate to Expert advanced</v>
      </c>
    </row>
    <row r="12745">
      <c r="A12745" s="140" t="str">
        <f>IFERROR(__xludf.DUMMYFUNCTION("""COMPUTED_VALUE"""),"en")</f>
        <v>en</v>
      </c>
      <c r="B12745">
        <f>IFERROR(__xludf.DUMMYFUNCTION("""COMPUTED_VALUE"""),1958316.0)</f>
        <v>1958316</v>
      </c>
      <c r="C12745" t="str">
        <f>IFERROR(__xludf.DUMMYFUNCTION("""COMPUTED_VALUE"""),"Create Animated Explainer Videos with PowerPoint")</f>
        <v>Create Animated Explainer Videos with PowerPoint</v>
      </c>
    </row>
    <row r="12746">
      <c r="A12746" s="140" t="str">
        <f>IFERROR(__xludf.DUMMYFUNCTION("""COMPUTED_VALUE"""),"en")</f>
        <v>en</v>
      </c>
      <c r="B12746">
        <f>IFERROR(__xludf.DUMMYFUNCTION("""COMPUTED_VALUE"""),3671038.0)</f>
        <v>3671038</v>
      </c>
      <c r="C12746" t="str">
        <f>IFERROR(__xludf.DUMMYFUNCTION("""COMPUTED_VALUE"""),"Process Improvement")</f>
        <v>Process Improvement</v>
      </c>
    </row>
    <row r="12747">
      <c r="A12747" s="140" t="str">
        <f>IFERROR(__xludf.DUMMYFUNCTION("""COMPUTED_VALUE"""),"en")</f>
        <v>en</v>
      </c>
      <c r="B12747">
        <f>IFERROR(__xludf.DUMMYFUNCTION("""COMPUTED_VALUE"""),669510.0)</f>
        <v>669510</v>
      </c>
      <c r="C12747" t="str">
        <f>IFERROR(__xludf.DUMMYFUNCTION("""COMPUTED_VALUE"""),"Copywriting Headline Masterclass")</f>
        <v>Copywriting Headline Masterclass</v>
      </c>
    </row>
    <row r="12748">
      <c r="A12748" s="140" t="str">
        <f>IFERROR(__xludf.DUMMYFUNCTION("""COMPUTED_VALUE"""),"es")</f>
        <v>es</v>
      </c>
      <c r="B12748">
        <f>IFERROR(__xludf.DUMMYFUNCTION("""COMPUTED_VALUE"""),1362744.0)</f>
        <v>1362744</v>
      </c>
      <c r="C12748" t="str">
        <f>IFERROR(__xludf.DUMMYFUNCTION("""COMPUTED_VALUE"""),"Curso de Servidores Linux en CENTOS para principiantes")</f>
        <v>Curso de Servidores Linux en CENTOS para principiantes</v>
      </c>
    </row>
    <row r="12749">
      <c r="A12749" s="140" t="str">
        <f>IFERROR(__xludf.DUMMYFUNCTION("""COMPUTED_VALUE"""),"en")</f>
        <v>en</v>
      </c>
      <c r="B12749">
        <f>IFERROR(__xludf.DUMMYFUNCTION("""COMPUTED_VALUE"""),4127354.0)</f>
        <v>4127354</v>
      </c>
      <c r="C12749" t="str">
        <f>IFERROR(__xludf.DUMMYFUNCTION("""COMPUTED_VALUE"""),"HubSpot CRM &amp; Email intensive course - 2021 Edition")</f>
        <v>HubSpot CRM &amp; Email intensive course - 2021 Edition</v>
      </c>
    </row>
    <row r="12750">
      <c r="A12750" s="140" t="str">
        <f>IFERROR(__xludf.DUMMYFUNCTION("""COMPUTED_VALUE"""),"es")</f>
        <v>es</v>
      </c>
      <c r="B12750">
        <f>IFERROR(__xludf.DUMMYFUNCTION("""COMPUTED_VALUE"""),675750.0)</f>
        <v>675750</v>
      </c>
      <c r="C12750" t="str">
        <f>IFERROR(__xludf.DUMMYFUNCTION("""COMPUTED_VALUE"""),"Cómo superar tu timidez y expresarte sin miedo")</f>
        <v>Cómo superar tu timidez y expresarte sin miedo</v>
      </c>
    </row>
    <row r="12751">
      <c r="A12751" s="140" t="str">
        <f>IFERROR(__xludf.DUMMYFUNCTION("""COMPUTED_VALUE"""),"pt")</f>
        <v>pt</v>
      </c>
      <c r="B12751">
        <f>IFERROR(__xludf.DUMMYFUNCTION("""COMPUTED_VALUE"""),60173.0)</f>
        <v>60173</v>
      </c>
      <c r="C12751" t="str">
        <f>IFERROR(__xludf.DUMMYFUNCTION("""COMPUTED_VALUE"""),"CRIATIVIDADE E INOVAÇÃO NOS NEGÓCIOS ★★★★★")</f>
        <v>CRIATIVIDADE E INOVAÇÃO NOS NEGÓCIOS ★★★★★</v>
      </c>
    </row>
    <row r="12752">
      <c r="A12752" s="140" t="str">
        <f>IFERROR(__xludf.DUMMYFUNCTION("""COMPUTED_VALUE"""),"de")</f>
        <v>de</v>
      </c>
      <c r="B12752">
        <f>IFERROR(__xludf.DUMMYFUNCTION("""COMPUTED_VALUE"""),2539402.0)</f>
        <v>2539402</v>
      </c>
      <c r="C12752" t="str">
        <f>IFERROR(__xludf.DUMMYFUNCTION("""COMPUTED_VALUE"""),"Schnelleinstieg in die Python Programmierung für Anfänger")</f>
        <v>Schnelleinstieg in die Python Programmierung für Anfänger</v>
      </c>
    </row>
    <row r="12753">
      <c r="A12753" s="140" t="str">
        <f>IFERROR(__xludf.DUMMYFUNCTION("""COMPUTED_VALUE"""),"en")</f>
        <v>en</v>
      </c>
      <c r="B12753">
        <f>IFERROR(__xludf.DUMMYFUNCTION("""COMPUTED_VALUE"""),3029372.0)</f>
        <v>3029372</v>
      </c>
      <c r="C12753" t="str">
        <f>IFERROR(__xludf.DUMMYFUNCTION("""COMPUTED_VALUE"""),"Leadership: Becoming an Effective and Dynamic Leader")</f>
        <v>Leadership: Becoming an Effective and Dynamic Leader</v>
      </c>
    </row>
    <row r="12754">
      <c r="A12754" s="140" t="str">
        <f>IFERROR(__xludf.DUMMYFUNCTION("""COMPUTED_VALUE"""),"es")</f>
        <v>es</v>
      </c>
      <c r="B12754">
        <f>IFERROR(__xludf.DUMMYFUNCTION("""COMPUTED_VALUE"""),3518028.0)</f>
        <v>3518028</v>
      </c>
      <c r="C12754" t="str">
        <f>IFERROR(__xludf.DUMMYFUNCTION("""COMPUTED_VALUE"""),"Crea Dashboards con Google Data Studio y Google Analytics")</f>
        <v>Crea Dashboards con Google Data Studio y Google Analytics</v>
      </c>
    </row>
    <row r="12755">
      <c r="A12755" s="140" t="str">
        <f>IFERROR(__xludf.DUMMYFUNCTION("""COMPUTED_VALUE"""),"en")</f>
        <v>en</v>
      </c>
      <c r="B12755">
        <f>IFERROR(__xludf.DUMMYFUNCTION("""COMPUTED_VALUE"""),1289968.0)</f>
        <v>1289968</v>
      </c>
      <c r="C12755" t="str">
        <f>IFERROR(__xludf.DUMMYFUNCTION("""COMPUTED_VALUE"""),"Nutrition Masterclass: Build Your Perfect Diet &amp; Meal Plan")</f>
        <v>Nutrition Masterclass: Build Your Perfect Diet &amp; Meal Plan</v>
      </c>
    </row>
    <row r="12756">
      <c r="A12756" s="140" t="str">
        <f>IFERROR(__xludf.DUMMYFUNCTION("""COMPUTED_VALUE"""),"de")</f>
        <v>de</v>
      </c>
      <c r="B12756">
        <f>IFERROR(__xludf.DUMMYFUNCTION("""COMPUTED_VALUE"""),3388964.0)</f>
        <v>3388964</v>
      </c>
      <c r="C12756" t="str">
        <f>IFERROR(__xludf.DUMMYFUNCTION("""COMPUTED_VALUE"""),"Requirements Engineering")</f>
        <v>Requirements Engineering</v>
      </c>
    </row>
    <row r="12757">
      <c r="A12757" s="140" t="str">
        <f>IFERROR(__xludf.DUMMYFUNCTION("""COMPUTED_VALUE"""),"pt")</f>
        <v>pt</v>
      </c>
      <c r="B12757">
        <f>IFERROR(__xludf.DUMMYFUNCTION("""COMPUTED_VALUE"""),3794160.0)</f>
        <v>3794160</v>
      </c>
      <c r="C12757" t="str">
        <f>IFERROR(__xludf.DUMMYFUNCTION("""COMPUTED_VALUE"""),"HIPER-EFICIÊNCIA &amp; Gestão de Tempo")</f>
        <v>HIPER-EFICIÊNCIA &amp; Gestão de Tempo</v>
      </c>
    </row>
    <row r="12758">
      <c r="A12758" s="140" t="str">
        <f>IFERROR(__xludf.DUMMYFUNCTION("""COMPUTED_VALUE"""),"en")</f>
        <v>en</v>
      </c>
      <c r="B12758">
        <f>IFERROR(__xludf.DUMMYFUNCTION("""COMPUTED_VALUE"""),1052118.0)</f>
        <v>1052118</v>
      </c>
      <c r="C12758" t="str">
        <f>IFERROR(__xludf.DUMMYFUNCTION("""COMPUTED_VALUE"""),"Dissecting Ruby on Rails 5 - Become a Professional Developer")</f>
        <v>Dissecting Ruby on Rails 5 - Become a Professional Developer</v>
      </c>
    </row>
    <row r="12759">
      <c r="A12759" s="140" t="str">
        <f>IFERROR(__xludf.DUMMYFUNCTION("""COMPUTED_VALUE"""),"es")</f>
        <v>es</v>
      </c>
      <c r="B12759">
        <f>IFERROR(__xludf.DUMMYFUNCTION("""COMPUTED_VALUE"""),3472134.0)</f>
        <v>3472134</v>
      </c>
      <c r="C12759" t="str">
        <f>IFERROR(__xludf.DUMMYFUNCTION("""COMPUTED_VALUE"""),"Programación C# con Visual Studio Code 2021 de 0 a EXPERTO")</f>
        <v>Programación C# con Visual Studio Code 2021 de 0 a EXPERTO</v>
      </c>
    </row>
    <row r="12760">
      <c r="A12760" s="140" t="str">
        <f>IFERROR(__xludf.DUMMYFUNCTION("""COMPUTED_VALUE"""),"pt")</f>
        <v>pt</v>
      </c>
      <c r="B12760">
        <f>IFERROR(__xludf.DUMMYFUNCTION("""COMPUTED_VALUE"""),1277136.0)</f>
        <v>1277136</v>
      </c>
      <c r="C12760" t="str">
        <f>IFERROR(__xludf.DUMMYFUNCTION("""COMPUTED_VALUE"""),"SAP BASIS Netweaver - Administração de Sistemas SAP Dominado")</f>
        <v>SAP BASIS Netweaver - Administração de Sistemas SAP Dominado</v>
      </c>
    </row>
    <row r="12761">
      <c r="A12761" s="140" t="str">
        <f>IFERROR(__xludf.DUMMYFUNCTION("""COMPUTED_VALUE"""),"en")</f>
        <v>en</v>
      </c>
      <c r="B12761">
        <f>IFERROR(__xludf.DUMMYFUNCTION("""COMPUTED_VALUE"""),1910718.0)</f>
        <v>1910718</v>
      </c>
      <c r="C12761" t="str">
        <f>IFERROR(__xludf.DUMMYFUNCTION("""COMPUTED_VALUE"""),"xAPI Fundamentals - Getting Started with xAPI (aka TinCan)")</f>
        <v>xAPI Fundamentals - Getting Started with xAPI (aka TinCan)</v>
      </c>
    </row>
    <row r="12762">
      <c r="A12762" s="140" t="str">
        <f>IFERROR(__xludf.DUMMYFUNCTION("""COMPUTED_VALUE"""),"fr")</f>
        <v>fr</v>
      </c>
      <c r="B12762">
        <f>IFERROR(__xludf.DUMMYFUNCTION("""COMPUTED_VALUE"""),3655448.0)</f>
        <v>3655448</v>
      </c>
      <c r="C12762" t="str">
        <f>IFERROR(__xludf.DUMMYFUNCTION("""COMPUTED_VALUE"""),"Créer des FORMATIONS, live &amp; visio SUPER FACILEMENT avec OBS")</f>
        <v>Créer des FORMATIONS, live &amp; visio SUPER FACILEMENT avec OBS</v>
      </c>
    </row>
    <row r="12763">
      <c r="A12763" s="140" t="str">
        <f>IFERROR(__xludf.DUMMYFUNCTION("""COMPUTED_VALUE"""),"en")</f>
        <v>en</v>
      </c>
      <c r="B12763">
        <f>IFERROR(__xludf.DUMMYFUNCTION("""COMPUTED_VALUE"""),1346462.0)</f>
        <v>1346462</v>
      </c>
      <c r="C12763" t="str">
        <f>IFERROR(__xludf.DUMMYFUNCTION("""COMPUTED_VALUE"""),"60-Minute Kotlin Quick Start for Java Developers")</f>
        <v>60-Minute Kotlin Quick Start for Java Developers</v>
      </c>
    </row>
    <row r="12764">
      <c r="A12764" s="140" t="str">
        <f>IFERROR(__xludf.DUMMYFUNCTION("""COMPUTED_VALUE"""),"es")</f>
        <v>es</v>
      </c>
      <c r="B12764">
        <f>IFERROR(__xludf.DUMMYFUNCTION("""COMPUTED_VALUE"""),2235816.0)</f>
        <v>2235816</v>
      </c>
      <c r="C12764" t="str">
        <f>IFERROR(__xludf.DUMMYFUNCTION("""COMPUTED_VALUE"""),"Excel Masterclass 3 - Experto (VBA + Programación + Macros)")</f>
        <v>Excel Masterclass 3 - Experto (VBA + Programación + Macros)</v>
      </c>
    </row>
    <row r="12765">
      <c r="A12765" s="140" t="str">
        <f>IFERROR(__xludf.DUMMYFUNCTION("""COMPUTED_VALUE"""),"es")</f>
        <v>es</v>
      </c>
      <c r="B12765">
        <f>IFERROR(__xludf.DUMMYFUNCTION("""COMPUTED_VALUE"""),2587102.0)</f>
        <v>2587102</v>
      </c>
      <c r="C12765" t="str">
        <f>IFERROR(__xludf.DUMMYFUNCTION("""COMPUTED_VALUE"""),"Microsoft Power BI - Curso de Power BI Desktop")</f>
        <v>Microsoft Power BI - Curso de Power BI Desktop</v>
      </c>
    </row>
    <row r="12766">
      <c r="A12766" s="140" t="str">
        <f>IFERROR(__xludf.DUMMYFUNCTION("""COMPUTED_VALUE"""),"ko")</f>
        <v>ko</v>
      </c>
      <c r="B12766">
        <f>IFERROR(__xludf.DUMMYFUNCTION("""COMPUTED_VALUE"""),4210936.0)</f>
        <v>4210936</v>
      </c>
      <c r="C12766" t="str">
        <f>IFERROR(__xludf.DUMMYFUNCTION("""COMPUTED_VALUE"""),"Photoshop + Illustrator CC 2021 한 번에 마스터")</f>
        <v>Photoshop + Illustrator CC 2021 한 번에 마스터</v>
      </c>
    </row>
    <row r="12767">
      <c r="A12767" s="140" t="str">
        <f>IFERROR(__xludf.DUMMYFUNCTION("""COMPUTED_VALUE"""),"en")</f>
        <v>en</v>
      </c>
      <c r="B12767">
        <f>IFERROR(__xludf.DUMMYFUNCTION("""COMPUTED_VALUE"""),1217894.0)</f>
        <v>1217894</v>
      </c>
      <c r="C12767" t="str">
        <f>IFERROR(__xludf.DUMMYFUNCTION("""COMPUTED_VALUE"""),"Spring Framework 5: Beginner to Guru")</f>
        <v>Spring Framework 5: Beginner to Guru</v>
      </c>
    </row>
    <row r="12768">
      <c r="A12768" s="140" t="str">
        <f>IFERROR(__xludf.DUMMYFUNCTION("""COMPUTED_VALUE"""),"de")</f>
        <v>de</v>
      </c>
      <c r="B12768">
        <f>IFERROR(__xludf.DUMMYFUNCTION("""COMPUTED_VALUE"""),3844082.0)</f>
        <v>3844082</v>
      </c>
      <c r="C12768" t="str">
        <f>IFERROR(__xludf.DUMMYFUNCTION("""COMPUTED_VALUE"""),"Design Thinking Methodenkoffer | 50+ Methoden, 25+ Templates")</f>
        <v>Design Thinking Methodenkoffer | 50+ Methoden, 25+ Templates</v>
      </c>
    </row>
    <row r="12769">
      <c r="A12769" s="140" t="str">
        <f>IFERROR(__xludf.DUMMYFUNCTION("""COMPUTED_VALUE"""),"en")</f>
        <v>en</v>
      </c>
      <c r="B12769">
        <f>IFERROR(__xludf.DUMMYFUNCTION("""COMPUTED_VALUE"""),1610712.0)</f>
        <v>1610712</v>
      </c>
      <c r="C12769" t="str">
        <f>IFERROR(__xludf.DUMMYFUNCTION("""COMPUTED_VALUE"""),"Certified Information Systems Security Officer (CISSO)")</f>
        <v>Certified Information Systems Security Officer (CISSO)</v>
      </c>
    </row>
    <row r="12770">
      <c r="A12770" s="140" t="str">
        <f>IFERROR(__xludf.DUMMYFUNCTION("""COMPUTED_VALUE"""),"en")</f>
        <v>en</v>
      </c>
      <c r="B12770">
        <f>IFERROR(__xludf.DUMMYFUNCTION("""COMPUTED_VALUE"""),1759114.0)</f>
        <v>1759114</v>
      </c>
      <c r="C12770" t="str">
        <f>IFERROR(__xludf.DUMMYFUNCTION("""COMPUTED_VALUE"""),"PMP Certification Exam Prep Course 35 PDU Contact Hours/PDU")</f>
        <v>PMP Certification Exam Prep Course 35 PDU Contact Hours/PDU</v>
      </c>
    </row>
    <row r="12771">
      <c r="A12771" s="140" t="str">
        <f>IFERROR(__xludf.DUMMYFUNCTION("""COMPUTED_VALUE"""),"ko")</f>
        <v>ko</v>
      </c>
      <c r="B12771">
        <f>IFERROR(__xludf.DUMMYFUNCTION("""COMPUTED_VALUE"""),4232702.0)</f>
        <v>4232702</v>
      </c>
      <c r="C12771" t="str">
        <f>IFERROR(__xludf.DUMMYFUNCTION("""COMPUTED_VALUE"""),"스마트한 업무와 일상 정리의 시작 Notion")</f>
        <v>스마트한 업무와 일상 정리의 시작 Notion</v>
      </c>
    </row>
    <row r="12772">
      <c r="A12772" s="140" t="str">
        <f>IFERROR(__xludf.DUMMYFUNCTION("""COMPUTED_VALUE"""),"en")</f>
        <v>en</v>
      </c>
      <c r="B12772">
        <f>IFERROR(__xludf.DUMMYFUNCTION("""COMPUTED_VALUE"""),1347812.0)</f>
        <v>1347812</v>
      </c>
      <c r="C12772" t="str">
        <f>IFERROR(__xludf.DUMMYFUNCTION("""COMPUTED_VALUE"""),"GIMP 2.10 Made Easy for Beginners.  Learn GIMP from a pro!")</f>
        <v>GIMP 2.10 Made Easy for Beginners.  Learn GIMP from a pro!</v>
      </c>
    </row>
    <row r="12773">
      <c r="A12773" s="140" t="str">
        <f>IFERROR(__xludf.DUMMYFUNCTION("""COMPUTED_VALUE"""),"pt")</f>
        <v>pt</v>
      </c>
      <c r="B12773">
        <f>IFERROR(__xludf.DUMMYFUNCTION("""COMPUTED_VALUE"""),2453556.0)</f>
        <v>2453556</v>
      </c>
      <c r="C12773" t="str">
        <f>IFERROR(__xludf.DUMMYFUNCTION("""COMPUTED_VALUE"""),"Docker para Amazon AWS Implante Apps Java e .NET + Travis CI")</f>
        <v>Docker para Amazon AWS Implante Apps Java e .NET + Travis CI</v>
      </c>
    </row>
    <row r="12774">
      <c r="A12774" s="140" t="str">
        <f>IFERROR(__xludf.DUMMYFUNCTION("""COMPUTED_VALUE"""),"es")</f>
        <v>es</v>
      </c>
      <c r="B12774">
        <f>IFERROR(__xludf.DUMMYFUNCTION("""COMPUTED_VALUE"""),1318360.0)</f>
        <v>1318360</v>
      </c>
      <c r="C12774" t="str">
        <f>IFERROR(__xludf.DUMMYFUNCTION("""COMPUTED_VALUE"""),"Curso de diseño narrativo y guión de videojuegos")</f>
        <v>Curso de diseño narrativo y guión de videojuegos</v>
      </c>
    </row>
    <row r="12775">
      <c r="A12775" s="140" t="str">
        <f>IFERROR(__xludf.DUMMYFUNCTION("""COMPUTED_VALUE"""),"en")</f>
        <v>en</v>
      </c>
      <c r="B12775">
        <f>IFERROR(__xludf.DUMMYFUNCTION("""COMPUTED_VALUE"""),4114580.0)</f>
        <v>4114580</v>
      </c>
      <c r="C12775" t="str">
        <f>IFERROR(__xludf.DUMMYFUNCTION("""COMPUTED_VALUE"""),"AZ-303: Azure Architect Technologies Exam Practice Test 2021")</f>
        <v>AZ-303: Azure Architect Technologies Exam Practice Test 2021</v>
      </c>
    </row>
    <row r="12776">
      <c r="A12776" s="140" t="str">
        <f>IFERROR(__xludf.DUMMYFUNCTION("""COMPUTED_VALUE"""),"es")</f>
        <v>es</v>
      </c>
      <c r="B12776">
        <f>IFERROR(__xludf.DUMMYFUNCTION("""COMPUTED_VALUE"""),807580.0)</f>
        <v>807580</v>
      </c>
      <c r="C12776" t="str">
        <f>IFERROR(__xludf.DUMMYFUNCTION("""COMPUTED_VALUE"""),"60+ Herramientas de desarrollo y diseño web")</f>
        <v>60+ Herramientas de desarrollo y diseño web</v>
      </c>
    </row>
    <row r="12777">
      <c r="A12777" s="140" t="str">
        <f>IFERROR(__xludf.DUMMYFUNCTION("""COMPUTED_VALUE"""),"en")</f>
        <v>en</v>
      </c>
      <c r="B12777">
        <f>IFERROR(__xludf.DUMMYFUNCTION("""COMPUTED_VALUE"""),385922.0)</f>
        <v>385922</v>
      </c>
      <c r="C12777" t="str">
        <f>IFERROR(__xludf.DUMMYFUNCTION("""COMPUTED_VALUE"""),"Automation Architect - Selenium WebDriver - 9 Live Projects")</f>
        <v>Automation Architect - Selenium WebDriver - 9 Live Projects</v>
      </c>
    </row>
    <row r="12778">
      <c r="A12778" s="140" t="str">
        <f>IFERROR(__xludf.DUMMYFUNCTION("""COMPUTED_VALUE"""),"ja")</f>
        <v>ja</v>
      </c>
      <c r="B12778">
        <f>IFERROR(__xludf.DUMMYFUNCTION("""COMPUTED_VALUE"""),1282316.0)</f>
        <v>1282316</v>
      </c>
      <c r="C12778" t="str">
        <f>IFERROR(__xludf.DUMMYFUNCTION("""COMPUTED_VALUE"""),"After Effects cc : はじめてのVisualEffects！プロが教えるVFX動画制作")</f>
        <v>After Effects cc : はじめてのVisualEffects！プロが教えるVFX動画制作</v>
      </c>
    </row>
    <row r="12779">
      <c r="A12779" s="140" t="str">
        <f>IFERROR(__xludf.DUMMYFUNCTION("""COMPUTED_VALUE"""),"en")</f>
        <v>en</v>
      </c>
      <c r="B12779">
        <f>IFERROR(__xludf.DUMMYFUNCTION("""COMPUTED_VALUE"""),1334868.0)</f>
        <v>1334868</v>
      </c>
      <c r="C12779" t="str">
        <f>IFERROR(__xludf.DUMMYFUNCTION("""COMPUTED_VALUE"""),"Unreal Engine 4 Mastery: Create Multiplayer Games with C++")</f>
        <v>Unreal Engine 4 Mastery: Create Multiplayer Games with C++</v>
      </c>
    </row>
    <row r="12780">
      <c r="A12780" s="140" t="str">
        <f>IFERROR(__xludf.DUMMYFUNCTION("""COMPUTED_VALUE"""),"en")</f>
        <v>en</v>
      </c>
      <c r="B12780">
        <f>IFERROR(__xludf.DUMMYFUNCTION("""COMPUTED_VALUE"""),3618082.0)</f>
        <v>3618082</v>
      </c>
      <c r="C12780" t="str">
        <f>IFERROR(__xludf.DUMMYFUNCTION("""COMPUTED_VALUE"""),"Palo Alto Firewall PCNSE New V9 &amp; V10 Training")</f>
        <v>Palo Alto Firewall PCNSE New V9 &amp; V10 Training</v>
      </c>
    </row>
    <row r="12781">
      <c r="A12781" s="140" t="str">
        <f>IFERROR(__xludf.DUMMYFUNCTION("""COMPUTED_VALUE"""),"en")</f>
        <v>en</v>
      </c>
      <c r="B12781">
        <f>IFERROR(__xludf.DUMMYFUNCTION("""COMPUTED_VALUE"""),447246.0)</f>
        <v>447246</v>
      </c>
      <c r="C12781" t="str">
        <f>IFERROR(__xludf.DUMMYFUNCTION("""COMPUTED_VALUE"""),"CCIE Routing &amp; Switching Version 5.0 - IP Multicasting")</f>
        <v>CCIE Routing &amp; Switching Version 5.0 - IP Multicasting</v>
      </c>
    </row>
    <row r="12782">
      <c r="A12782" s="140" t="str">
        <f>IFERROR(__xludf.DUMMYFUNCTION("""COMPUTED_VALUE"""),"en")</f>
        <v>en</v>
      </c>
      <c r="B12782">
        <f>IFERROR(__xludf.DUMMYFUNCTION("""COMPUTED_VALUE"""),1919594.0)</f>
        <v>1919594</v>
      </c>
      <c r="C12782" t="str">
        <f>IFERROR(__xludf.DUMMYFUNCTION("""COMPUTED_VALUE"""),"Amazon (AWS) QuickSight, Glue, Athena and S3 Fundamentals")</f>
        <v>Amazon (AWS) QuickSight, Glue, Athena and S3 Fundamentals</v>
      </c>
    </row>
    <row r="12783">
      <c r="A12783" s="140" t="str">
        <f>IFERROR(__xludf.DUMMYFUNCTION("""COMPUTED_VALUE"""),"en")</f>
        <v>en</v>
      </c>
      <c r="B12783">
        <f>IFERROR(__xludf.DUMMYFUNCTION("""COMPUTED_VALUE"""),1685664.0)</f>
        <v>1685664</v>
      </c>
      <c r="C12783" t="str">
        <f>IFERROR(__xludf.DUMMYFUNCTION("""COMPUTED_VALUE"""),"gRPC [Java] Master Class: Build Modern API &amp; Micro services")</f>
        <v>gRPC [Java] Master Class: Build Modern API &amp; Micro services</v>
      </c>
    </row>
    <row r="12784">
      <c r="A12784" s="140" t="str">
        <f>IFERROR(__xludf.DUMMYFUNCTION("""COMPUTED_VALUE"""),"en")</f>
        <v>en</v>
      </c>
      <c r="B12784">
        <f>IFERROR(__xludf.DUMMYFUNCTION("""COMPUTED_VALUE"""),22169.0)</f>
        <v>22169</v>
      </c>
      <c r="C12784" t="str">
        <f>IFERROR(__xludf.DUMMYFUNCTION("""COMPUTED_VALUE"""),"Java Multithreading")</f>
        <v>Java Multithreading</v>
      </c>
    </row>
    <row r="12785">
      <c r="A12785" s="140" t="str">
        <f>IFERROR(__xludf.DUMMYFUNCTION("""COMPUTED_VALUE"""),"en")</f>
        <v>en</v>
      </c>
      <c r="B12785">
        <f>IFERROR(__xludf.DUMMYFUNCTION("""COMPUTED_VALUE"""),4064176.0)</f>
        <v>4064176</v>
      </c>
      <c r="C12785" t="str">
        <f>IFERROR(__xludf.DUMMYFUNCTION("""COMPUTED_VALUE"""),"SQL for Tech and Data Science Interviews")</f>
        <v>SQL for Tech and Data Science Interviews</v>
      </c>
    </row>
    <row r="12786">
      <c r="A12786" s="140" t="str">
        <f>IFERROR(__xludf.DUMMYFUNCTION("""COMPUTED_VALUE"""),"en")</f>
        <v>en</v>
      </c>
      <c r="B12786">
        <f>IFERROR(__xludf.DUMMYFUNCTION("""COMPUTED_VALUE"""),4075028.0)</f>
        <v>4075028</v>
      </c>
      <c r="C12786" t="str">
        <f>IFERROR(__xludf.DUMMYFUNCTION("""COMPUTED_VALUE"""),"Create A Culture Of Learning In Your Workplace")</f>
        <v>Create A Culture Of Learning In Your Workplace</v>
      </c>
    </row>
    <row r="12787">
      <c r="A12787" s="140" t="str">
        <f>IFERROR(__xludf.DUMMYFUNCTION("""COMPUTED_VALUE"""),"en")</f>
        <v>en</v>
      </c>
      <c r="B12787">
        <f>IFERROR(__xludf.DUMMYFUNCTION("""COMPUTED_VALUE"""),826410.0)</f>
        <v>826410</v>
      </c>
      <c r="C12787" t="str">
        <f>IFERROR(__xludf.DUMMYFUNCTION("""COMPUTED_VALUE"""),"Software Development From A to Z - OOP, UML, Agile, Python")</f>
        <v>Software Development From A to Z - OOP, UML, Agile, Python</v>
      </c>
    </row>
    <row r="12788">
      <c r="A12788" s="140" t="str">
        <f>IFERROR(__xludf.DUMMYFUNCTION("""COMPUTED_VALUE"""),"en")</f>
        <v>en</v>
      </c>
      <c r="B12788">
        <f>IFERROR(__xludf.DUMMYFUNCTION("""COMPUTED_VALUE"""),508288.0)</f>
        <v>508288</v>
      </c>
      <c r="C12788" t="str">
        <f>IFERROR(__xludf.DUMMYFUNCTION("""COMPUTED_VALUE"""),"Basic Governance for Board Members")</f>
        <v>Basic Governance for Board Members</v>
      </c>
    </row>
    <row r="12789">
      <c r="A12789" s="140" t="str">
        <f>IFERROR(__xludf.DUMMYFUNCTION("""COMPUTED_VALUE"""),"en")</f>
        <v>en</v>
      </c>
      <c r="B12789">
        <f>IFERROR(__xludf.DUMMYFUNCTION("""COMPUTED_VALUE"""),2079522.0)</f>
        <v>2079522</v>
      </c>
      <c r="C12789" t="str">
        <f>IFERROR(__xludf.DUMMYFUNCTION("""COMPUTED_VALUE"""),"Interview Training for Hiring Managers and Teams")</f>
        <v>Interview Training for Hiring Managers and Teams</v>
      </c>
    </row>
    <row r="12790">
      <c r="A12790" s="140" t="str">
        <f>IFERROR(__xludf.DUMMYFUNCTION("""COMPUTED_VALUE"""),"en")</f>
        <v>en</v>
      </c>
      <c r="B12790">
        <f>IFERROR(__xludf.DUMMYFUNCTION("""COMPUTED_VALUE"""),3720796.0)</f>
        <v>3720796</v>
      </c>
      <c r="C12790" t="str">
        <f>IFERROR(__xludf.DUMMYFUNCTION("""COMPUTED_VALUE"""),"Criteria Cognitive Aptitude Test(CCAT) Practice Package 2021")</f>
        <v>Criteria Cognitive Aptitude Test(CCAT) Practice Package 2021</v>
      </c>
    </row>
    <row r="12791">
      <c r="A12791" s="140" t="str">
        <f>IFERROR(__xludf.DUMMYFUNCTION("""COMPUTED_VALUE"""),"en")</f>
        <v>en</v>
      </c>
      <c r="B12791">
        <f>IFERROR(__xludf.DUMMYFUNCTION("""COMPUTED_VALUE"""),2898416.0)</f>
        <v>2898416</v>
      </c>
      <c r="C12791" t="str">
        <f>IFERROR(__xludf.DUMMYFUNCTION("""COMPUTED_VALUE"""),"Practical Google BigQuery for those who already know SQL")</f>
        <v>Practical Google BigQuery for those who already know SQL</v>
      </c>
    </row>
    <row r="12792">
      <c r="A12792" s="140" t="str">
        <f>IFERROR(__xludf.DUMMYFUNCTION("""COMPUTED_VALUE"""),"en")</f>
        <v>en</v>
      </c>
      <c r="B12792">
        <f>IFERROR(__xludf.DUMMYFUNCTION("""COMPUTED_VALUE"""),2412206.0)</f>
        <v>2412206</v>
      </c>
      <c r="C12792" t="str">
        <f>IFERROR(__xludf.DUMMYFUNCTION("""COMPUTED_VALUE"""),"Unconscious Bias: Fuel Diversity and Become a Better You")</f>
        <v>Unconscious Bias: Fuel Diversity and Become a Better You</v>
      </c>
    </row>
    <row r="12793">
      <c r="A12793" s="140" t="str">
        <f>IFERROR(__xludf.DUMMYFUNCTION("""COMPUTED_VALUE"""),"en")</f>
        <v>en</v>
      </c>
      <c r="B12793">
        <f>IFERROR(__xludf.DUMMYFUNCTION("""COMPUTED_VALUE"""),1478408.0)</f>
        <v>1478408</v>
      </c>
      <c r="C12793" t="str">
        <f>IFERROR(__xludf.DUMMYFUNCTION("""COMPUTED_VALUE"""),"Beginner: Complete Basics of SAP PO (Process Orchestration)")</f>
        <v>Beginner: Complete Basics of SAP PO (Process Orchestration)</v>
      </c>
    </row>
    <row r="12794">
      <c r="A12794" s="140" t="str">
        <f>IFERROR(__xludf.DUMMYFUNCTION("""COMPUTED_VALUE"""),"en")</f>
        <v>en</v>
      </c>
      <c r="B12794">
        <f>IFERROR(__xludf.DUMMYFUNCTION("""COMPUTED_VALUE"""),3131708.0)</f>
        <v>3131708</v>
      </c>
      <c r="C12794" t="str">
        <f>IFERROR(__xludf.DUMMYFUNCTION("""COMPUTED_VALUE"""),"GD &amp; T and Stack-Up (Basic to Expert level)")</f>
        <v>GD &amp; T and Stack-Up (Basic to Expert level)</v>
      </c>
    </row>
    <row r="12795">
      <c r="A12795" s="140" t="str">
        <f>IFERROR(__xludf.DUMMYFUNCTION("""COMPUTED_VALUE"""),"pt")</f>
        <v>pt</v>
      </c>
      <c r="B12795">
        <f>IFERROR(__xludf.DUMMYFUNCTION("""COMPUTED_VALUE"""),2022588.0)</f>
        <v>2022588</v>
      </c>
      <c r="C12795" t="str">
        <f>IFERROR(__xludf.DUMMYFUNCTION("""COMPUTED_VALUE"""),"Preparatório Microsoft MTA Database Fundamentals (98-364)")</f>
        <v>Preparatório Microsoft MTA Database Fundamentals (98-364)</v>
      </c>
    </row>
    <row r="12796">
      <c r="A12796" s="140" t="str">
        <f>IFERROR(__xludf.DUMMYFUNCTION("""COMPUTED_VALUE"""),"ja")</f>
        <v>ja</v>
      </c>
      <c r="B12796">
        <f>IFERROR(__xludf.DUMMYFUNCTION("""COMPUTED_VALUE"""),1587988.0)</f>
        <v>1587988</v>
      </c>
      <c r="C12796" t="str">
        <f>IFERROR(__xludf.DUMMYFUNCTION("""COMPUTED_VALUE"""),"【TensorFlow・Python 3】GANによる画像生成AI自作入門")</f>
        <v>【TensorFlow・Python 3】GANによる画像生成AI自作入門</v>
      </c>
    </row>
    <row r="12797">
      <c r="A12797" s="140" t="str">
        <f>IFERROR(__xludf.DUMMYFUNCTION("""COMPUTED_VALUE"""),"en")</f>
        <v>en</v>
      </c>
      <c r="B12797">
        <f>IFERROR(__xludf.DUMMYFUNCTION("""COMPUTED_VALUE"""),1218586.0)</f>
        <v>1218586</v>
      </c>
      <c r="C12797" t="str">
        <f>IFERROR(__xludf.DUMMYFUNCTION("""COMPUTED_VALUE"""),"The Advanced Web Developer Bootcamp")</f>
        <v>The Advanced Web Developer Bootcamp</v>
      </c>
    </row>
    <row r="12798">
      <c r="A12798" s="140" t="str">
        <f>IFERROR(__xludf.DUMMYFUNCTION("""COMPUTED_VALUE"""),"pt")</f>
        <v>pt</v>
      </c>
      <c r="B12798">
        <f>IFERROR(__xludf.DUMMYFUNCTION("""COMPUTED_VALUE"""),1775988.0)</f>
        <v>1775988</v>
      </c>
      <c r="C12798" t="str">
        <f>IFERROR(__xludf.DUMMYFUNCTION("""COMPUTED_VALUE"""),"Microsoft Word Super Completo do Básico ao Avançado")</f>
        <v>Microsoft Word Super Completo do Básico ao Avançado</v>
      </c>
    </row>
    <row r="12799">
      <c r="A12799" s="140" t="str">
        <f>IFERROR(__xludf.DUMMYFUNCTION("""COMPUTED_VALUE"""),"en")</f>
        <v>en</v>
      </c>
      <c r="B12799">
        <f>IFERROR(__xludf.DUMMYFUNCTION("""COMPUTED_VALUE"""),2335754.0)</f>
        <v>2335754</v>
      </c>
      <c r="C12799" t="str">
        <f>IFERROR(__xludf.DUMMYFUNCTION("""COMPUTED_VALUE"""),"Process Mapping and Flowcharts Certification (Accredited)")</f>
        <v>Process Mapping and Flowcharts Certification (Accredited)</v>
      </c>
    </row>
    <row r="12800">
      <c r="A12800" s="140" t="str">
        <f>IFERROR(__xludf.DUMMYFUNCTION("""COMPUTED_VALUE"""),"pt")</f>
        <v>pt</v>
      </c>
      <c r="B12800">
        <f>IFERROR(__xludf.DUMMYFUNCTION("""COMPUTED_VALUE"""),1902956.0)</f>
        <v>1902956</v>
      </c>
      <c r="C12800" t="str">
        <f>IFERROR(__xludf.DUMMYFUNCTION("""COMPUTED_VALUE"""),"Invision Studio: do básico às telas responsivas e animações")</f>
        <v>Invision Studio: do básico às telas responsivas e animações</v>
      </c>
    </row>
    <row r="12801">
      <c r="A12801" s="140" t="str">
        <f>IFERROR(__xludf.DUMMYFUNCTION("""COMPUTED_VALUE"""),"es")</f>
        <v>es</v>
      </c>
      <c r="B12801">
        <f>IFERROR(__xludf.DUMMYFUNCTION("""COMPUTED_VALUE"""),1212922.0)</f>
        <v>1212922</v>
      </c>
      <c r="C12801" t="str">
        <f>IFERROR(__xludf.DUMMYFUNCTION("""COMPUTED_VALUE"""),"Crea una tienda virtual con PHP y MySQL con el patrón MVC")</f>
        <v>Crea una tienda virtual con PHP y MySQL con el patrón MVC</v>
      </c>
    </row>
    <row r="12802">
      <c r="A12802" s="140" t="str">
        <f>IFERROR(__xludf.DUMMYFUNCTION("""COMPUTED_VALUE"""),"ja")</f>
        <v>ja</v>
      </c>
      <c r="B12802">
        <f>IFERROR(__xludf.DUMMYFUNCTION("""COMPUTED_VALUE"""),4329198.0)</f>
        <v>4329198</v>
      </c>
      <c r="C12802" t="str">
        <f>IFERROR(__xludf.DUMMYFUNCTION("""COMPUTED_VALUE"""),"＜UB確認テスト＞アドバンスド 箇条書き（ブレットポイント）テクニック")</f>
        <v>＜UB確認テスト＞アドバンスド 箇条書き（ブレットポイント）テクニック</v>
      </c>
    </row>
    <row r="12803">
      <c r="A12803" s="140" t="str">
        <f>IFERROR(__xludf.DUMMYFUNCTION("""COMPUTED_VALUE"""),"en")</f>
        <v>en</v>
      </c>
      <c r="B12803">
        <f>IFERROR(__xludf.DUMMYFUNCTION("""COMPUTED_VALUE"""),2317328.0)</f>
        <v>2317328</v>
      </c>
      <c r="C12803" t="str">
        <f>IFERROR(__xludf.DUMMYFUNCTION("""COMPUTED_VALUE"""),"Augmented Reality in Depth 101")</f>
        <v>Augmented Reality in Depth 101</v>
      </c>
    </row>
    <row r="12804">
      <c r="A12804" s="140" t="str">
        <f>IFERROR(__xludf.DUMMYFUNCTION("""COMPUTED_VALUE"""),"en")</f>
        <v>en</v>
      </c>
      <c r="B12804">
        <f>IFERROR(__xludf.DUMMYFUNCTION("""COMPUTED_VALUE"""),3655144.0)</f>
        <v>3655144</v>
      </c>
      <c r="C12804" t="str">
        <f>IFERROR(__xludf.DUMMYFUNCTION("""COMPUTED_VALUE"""),"Modeling Data Warehouse with Data Vault 2.0")</f>
        <v>Modeling Data Warehouse with Data Vault 2.0</v>
      </c>
    </row>
    <row r="12805">
      <c r="A12805" s="140" t="str">
        <f>IFERROR(__xludf.DUMMYFUNCTION("""COMPUTED_VALUE"""),"pt")</f>
        <v>pt</v>
      </c>
      <c r="B12805">
        <f>IFERROR(__xludf.DUMMYFUNCTION("""COMPUTED_VALUE"""),2108620.0)</f>
        <v>2108620</v>
      </c>
      <c r="C12805" t="str">
        <f>IFERROR(__xludf.DUMMYFUNCTION("""COMPUTED_VALUE"""),"Técnicas Hacker em Redes Wi-Fi (completo)")</f>
        <v>Técnicas Hacker em Redes Wi-Fi (completo)</v>
      </c>
    </row>
    <row r="12806">
      <c r="A12806" s="140" t="str">
        <f>IFERROR(__xludf.DUMMYFUNCTION("""COMPUTED_VALUE"""),"en")</f>
        <v>en</v>
      </c>
      <c r="B12806">
        <f>IFERROR(__xludf.DUMMYFUNCTION("""COMPUTED_VALUE"""),743818.0)</f>
        <v>743818</v>
      </c>
      <c r="C12806" t="str">
        <f>IFERROR(__xludf.DUMMYFUNCTION("""COMPUTED_VALUE"""),"The Pen and Ink Experience")</f>
        <v>The Pen and Ink Experience</v>
      </c>
    </row>
    <row r="12807">
      <c r="A12807" s="140" t="str">
        <f>IFERROR(__xludf.DUMMYFUNCTION("""COMPUTED_VALUE"""),"de")</f>
        <v>de</v>
      </c>
      <c r="B12807">
        <f>IFERROR(__xludf.DUMMYFUNCTION("""COMPUTED_VALUE"""),1284974.0)</f>
        <v>1284974</v>
      </c>
      <c r="C12807" t="str">
        <f>IFERROR(__xludf.DUMMYFUNCTION("""COMPUTED_VALUE"""),"Persönlichkeitsentwicklung: Jeden Tag ein bisschen besser!")</f>
        <v>Persönlichkeitsentwicklung: Jeden Tag ein bisschen besser!</v>
      </c>
    </row>
    <row r="12808">
      <c r="A12808" s="140" t="str">
        <f>IFERROR(__xludf.DUMMYFUNCTION("""COMPUTED_VALUE"""),"en")</f>
        <v>en</v>
      </c>
      <c r="B12808">
        <f>IFERROR(__xludf.DUMMYFUNCTION("""COMPUTED_VALUE"""),1331625.0)</f>
        <v>1331625</v>
      </c>
      <c r="C12808" t="str">
        <f>IFERROR(__xludf.DUMMYFUNCTION("""COMPUTED_VALUE"""),"Master React Native Animations")</f>
        <v>Master React Native Animations</v>
      </c>
    </row>
    <row r="12809">
      <c r="A12809" s="140" t="str">
        <f>IFERROR(__xludf.DUMMYFUNCTION("""COMPUTED_VALUE"""),"ja")</f>
        <v>ja</v>
      </c>
      <c r="B12809">
        <f>IFERROR(__xludf.DUMMYFUNCTION("""COMPUTED_VALUE"""),3937466.0)</f>
        <v>3937466</v>
      </c>
      <c r="C12809" t="str">
        <f>IFERROR(__xludf.DUMMYFUNCTION("""COMPUTED_VALUE"""),"ロゴデザインマスターコース｜Adobe Illustrator（イラストレーター）【完全版】")</f>
        <v>ロゴデザインマスターコース｜Adobe Illustrator（イラストレーター）【完全版】</v>
      </c>
    </row>
    <row r="12810">
      <c r="A12810" s="140" t="str">
        <f>IFERROR(__xludf.DUMMYFUNCTION("""COMPUTED_VALUE"""),"en")</f>
        <v>en</v>
      </c>
      <c r="B12810">
        <f>IFERROR(__xludf.DUMMYFUNCTION("""COMPUTED_VALUE"""),749542.0)</f>
        <v>749542</v>
      </c>
      <c r="C12810" t="str">
        <f>IFERROR(__xludf.DUMMYFUNCTION("""COMPUTED_VALUE"""),"Graphic Design Bootcamp: Photoshop, Illustrator, InDesign")</f>
        <v>Graphic Design Bootcamp: Photoshop, Illustrator, InDesign</v>
      </c>
    </row>
    <row r="12811">
      <c r="A12811" s="140" t="str">
        <f>IFERROR(__xludf.DUMMYFUNCTION("""COMPUTED_VALUE"""),"pt")</f>
        <v>pt</v>
      </c>
      <c r="B12811">
        <f>IFERROR(__xludf.DUMMYFUNCTION("""COMPUTED_VALUE"""),1581466.0)</f>
        <v>1581466</v>
      </c>
      <c r="C12811" t="str">
        <f>IFERROR(__xludf.DUMMYFUNCTION("""COMPUTED_VALUE"""),"Curso de Inglês para Tecnologia da Informação")</f>
        <v>Curso de Inglês para Tecnologia da Informação</v>
      </c>
    </row>
    <row r="12812">
      <c r="A12812" s="140" t="str">
        <f>IFERROR(__xludf.DUMMYFUNCTION("""COMPUTED_VALUE"""),"en")</f>
        <v>en</v>
      </c>
      <c r="B12812">
        <f>IFERROR(__xludf.DUMMYFUNCTION("""COMPUTED_VALUE"""),2631766.0)</f>
        <v>2631766</v>
      </c>
      <c r="C12812" t="str">
        <f>IFERROR(__xludf.DUMMYFUNCTION("""COMPUTED_VALUE"""),"Selenium WebDriver Advanced - Industry Standard Framework")</f>
        <v>Selenium WebDriver Advanced - Industry Standard Framework</v>
      </c>
    </row>
    <row r="12813">
      <c r="A12813" s="140" t="str">
        <f>IFERROR(__xludf.DUMMYFUNCTION("""COMPUTED_VALUE"""),"en")</f>
        <v>en</v>
      </c>
      <c r="B12813">
        <f>IFERROR(__xludf.DUMMYFUNCTION("""COMPUTED_VALUE"""),2342126.0)</f>
        <v>2342126</v>
      </c>
      <c r="C12813" t="str">
        <f>IFERROR(__xludf.DUMMYFUNCTION("""COMPUTED_VALUE"""),"SSL/TLS Fundamentals")</f>
        <v>SSL/TLS Fundamentals</v>
      </c>
    </row>
    <row r="12814">
      <c r="A12814" s="140" t="str">
        <f>IFERROR(__xludf.DUMMYFUNCTION("""COMPUTED_VALUE"""),"es")</f>
        <v>es</v>
      </c>
      <c r="B12814">
        <f>IFERROR(__xludf.DUMMYFUNCTION("""COMPUTED_VALUE"""),3555361.0)</f>
        <v>3555361</v>
      </c>
      <c r="C12814" t="str">
        <f>IFERROR(__xludf.DUMMYFUNCTION("""COMPUTED_VALUE"""),"Econometría con STATA desde Básico hasta Avanzado")</f>
        <v>Econometría con STATA desde Básico hasta Avanzado</v>
      </c>
    </row>
    <row r="12815">
      <c r="A12815" s="140" t="str">
        <f>IFERROR(__xludf.DUMMYFUNCTION("""COMPUTED_VALUE"""),"en")</f>
        <v>en</v>
      </c>
      <c r="B12815">
        <f>IFERROR(__xludf.DUMMYFUNCTION("""COMPUTED_VALUE"""),491274.0)</f>
        <v>491274</v>
      </c>
      <c r="C12815" t="str">
        <f>IFERROR(__xludf.DUMMYFUNCTION("""COMPUTED_VALUE"""),"Respect Gender &amp; Sexual Differences &amp; Assert Yourself")</f>
        <v>Respect Gender &amp; Sexual Differences &amp; Assert Yourself</v>
      </c>
    </row>
    <row r="12816">
      <c r="A12816" s="140" t="str">
        <f>IFERROR(__xludf.DUMMYFUNCTION("""COMPUTED_VALUE"""),"pt")</f>
        <v>pt</v>
      </c>
      <c r="B12816">
        <f>IFERROR(__xludf.DUMMYFUNCTION("""COMPUTED_VALUE"""),1198568.0)</f>
        <v>1198568</v>
      </c>
      <c r="C12816" t="str">
        <f>IFERROR(__xludf.DUMMYFUNCTION("""COMPUTED_VALUE"""),"Crie Apresentações Profissionais Grátis: Canva e DesignBold")</f>
        <v>Crie Apresentações Profissionais Grátis: Canva e DesignBold</v>
      </c>
    </row>
    <row r="12817">
      <c r="A12817" s="140" t="str">
        <f>IFERROR(__xludf.DUMMYFUNCTION("""COMPUTED_VALUE"""),"pt")</f>
        <v>pt</v>
      </c>
      <c r="B12817">
        <f>IFERROR(__xludf.DUMMYFUNCTION("""COMPUTED_VALUE"""),3650758.0)</f>
        <v>3650758</v>
      </c>
      <c r="C12817" t="str">
        <f>IFERROR(__xludf.DUMMYFUNCTION("""COMPUTED_VALUE"""),"Microsoft Word Completo - Do Básico ao Avançado")</f>
        <v>Microsoft Word Completo - Do Básico ao Avançado</v>
      </c>
    </row>
    <row r="12818">
      <c r="A12818" s="140" t="str">
        <f>IFERROR(__xludf.DUMMYFUNCTION("""COMPUTED_VALUE"""),"es")</f>
        <v>es</v>
      </c>
      <c r="B12818">
        <f>IFERROR(__xludf.DUMMYFUNCTION("""COMPUTED_VALUE"""),2801136.0)</f>
        <v>2801136</v>
      </c>
      <c r="C12818" t="str">
        <f>IFERROR(__xludf.DUMMYFUNCTION("""COMPUTED_VALUE"""),"Experto en WIRESHARK")</f>
        <v>Experto en WIRESHARK</v>
      </c>
    </row>
    <row r="12819">
      <c r="A12819" s="140" t="str">
        <f>IFERROR(__xludf.DUMMYFUNCTION("""COMPUTED_VALUE"""),"en")</f>
        <v>en</v>
      </c>
      <c r="B12819">
        <f>IFERROR(__xludf.DUMMYFUNCTION("""COMPUTED_VALUE"""),2473936.0)</f>
        <v>2473936</v>
      </c>
      <c r="C12819" t="str">
        <f>IFERROR(__xludf.DUMMYFUNCTION("""COMPUTED_VALUE"""),"Ultimate IELTS Writing: Learn to Master IELTS Writing Task 2")</f>
        <v>Ultimate IELTS Writing: Learn to Master IELTS Writing Task 2</v>
      </c>
    </row>
    <row r="12820">
      <c r="A12820" s="140" t="str">
        <f>IFERROR(__xludf.DUMMYFUNCTION("""COMPUTED_VALUE"""),"de")</f>
        <v>de</v>
      </c>
      <c r="B12820">
        <f>IFERROR(__xludf.DUMMYFUNCTION("""COMPUTED_VALUE"""),1355300.0)</f>
        <v>1355300</v>
      </c>
      <c r="C12820" t="str">
        <f>IFERROR(__xludf.DUMMYFUNCTION("""COMPUTED_VALUE"""),"Lehrinhalte für Seminare und Vorträge ausarbeiten")</f>
        <v>Lehrinhalte für Seminare und Vorträge ausarbeiten</v>
      </c>
    </row>
    <row r="12821">
      <c r="A12821" s="140" t="str">
        <f>IFERROR(__xludf.DUMMYFUNCTION("""COMPUTED_VALUE"""),"en")</f>
        <v>en</v>
      </c>
      <c r="B12821">
        <f>IFERROR(__xludf.DUMMYFUNCTION("""COMPUTED_VALUE"""),1360446.0)</f>
        <v>1360446</v>
      </c>
      <c r="C12821" t="str">
        <f>IFERROR(__xludf.DUMMYFUNCTION("""COMPUTED_VALUE"""),"AWS Certified Cloud Practitioner 2021")</f>
        <v>AWS Certified Cloud Practitioner 2021</v>
      </c>
    </row>
    <row r="12822">
      <c r="A12822" s="140" t="str">
        <f>IFERROR(__xludf.DUMMYFUNCTION("""COMPUTED_VALUE"""),"pt")</f>
        <v>pt</v>
      </c>
      <c r="B12822">
        <f>IFERROR(__xludf.DUMMYFUNCTION("""COMPUTED_VALUE"""),205994.0)</f>
        <v>205994</v>
      </c>
      <c r="C12822" t="str">
        <f>IFERROR(__xludf.DUMMYFUNCTION("""COMPUTED_VALUE"""),"Aprendendo terminal Linux pondo a mão na massa!")</f>
        <v>Aprendendo terminal Linux pondo a mão na massa!</v>
      </c>
    </row>
    <row r="12823">
      <c r="A12823" s="140" t="str">
        <f>IFERROR(__xludf.DUMMYFUNCTION("""COMPUTED_VALUE"""),"ja")</f>
        <v>ja</v>
      </c>
      <c r="B12823">
        <f>IFERROR(__xludf.DUMMYFUNCTION("""COMPUTED_VALUE"""),4114246.0)</f>
        <v>4114246</v>
      </c>
      <c r="C12823" t="str">
        <f>IFERROR(__xludf.DUMMYFUNCTION("""COMPUTED_VALUE"""),"【はじめてのビジネス英語】社会人1年目のビジネス英会話の基本マスターコース")</f>
        <v>【はじめてのビジネス英語】社会人1年目のビジネス英会話の基本マスターコース</v>
      </c>
    </row>
    <row r="12824">
      <c r="A12824" s="140" t="str">
        <f>IFERROR(__xludf.DUMMYFUNCTION("""COMPUTED_VALUE"""),"zh")</f>
        <v>zh</v>
      </c>
      <c r="B12824">
        <f>IFERROR(__xludf.DUMMYFUNCTION("""COMPUTED_VALUE"""),1776060.0)</f>
        <v>1776060</v>
      </c>
      <c r="C12824" t="str">
        <f>IFERROR(__xludf.DUMMYFUNCTION("""COMPUTED_VALUE"""),"面向Web开发初学者的JavaScript")</f>
        <v>面向Web开发初学者的JavaScript</v>
      </c>
    </row>
    <row r="12825">
      <c r="A12825" s="140" t="str">
        <f>IFERROR(__xludf.DUMMYFUNCTION("""COMPUTED_VALUE"""),"en")</f>
        <v>en</v>
      </c>
      <c r="B12825">
        <f>IFERROR(__xludf.DUMMYFUNCTION("""COMPUTED_VALUE"""),1002314.0)</f>
        <v>1002314</v>
      </c>
      <c r="C12825" t="str">
        <f>IFERROR(__xludf.DUMMYFUNCTION("""COMPUTED_VALUE"""),"Project Management Certified Associate: CAPM Practice Tests")</f>
        <v>Project Management Certified Associate: CAPM Practice Tests</v>
      </c>
    </row>
    <row r="12826">
      <c r="A12826" s="140" t="str">
        <f>IFERROR(__xludf.DUMMYFUNCTION("""COMPUTED_VALUE"""),"es")</f>
        <v>es</v>
      </c>
      <c r="B12826">
        <f>IFERROR(__xludf.DUMMYFUNCTION("""COMPUTED_VALUE"""),3242590.0)</f>
        <v>3242590</v>
      </c>
      <c r="C12826" t="str">
        <f>IFERROR(__xludf.DUMMYFUNCTION("""COMPUTED_VALUE"""),"Spring Framework 5 +  REST de cero a experto")</f>
        <v>Spring Framework 5 +  REST de cero a experto</v>
      </c>
    </row>
    <row r="12827">
      <c r="A12827" s="140" t="str">
        <f>IFERROR(__xludf.DUMMYFUNCTION("""COMPUTED_VALUE"""),"tr")</f>
        <v>tr</v>
      </c>
      <c r="B12827">
        <f>IFERROR(__xludf.DUMMYFUNCTION("""COMPUTED_VALUE"""),3396494.0)</f>
        <v>3396494</v>
      </c>
      <c r="C12827" t="str">
        <f>IFERROR(__xludf.DUMMYFUNCTION("""COMPUTED_VALUE"""),"SAP Fiori : Temel Seviye SAP Fiori Eğitim Seti")</f>
        <v>SAP Fiori : Temel Seviye SAP Fiori Eğitim Seti</v>
      </c>
    </row>
    <row r="12828">
      <c r="A12828" s="140" t="str">
        <f>IFERROR(__xludf.DUMMYFUNCTION("""COMPUTED_VALUE"""),"de")</f>
        <v>de</v>
      </c>
      <c r="B12828">
        <f>IFERROR(__xludf.DUMMYFUNCTION("""COMPUTED_VALUE"""),3589000.0)</f>
        <v>3589000</v>
      </c>
      <c r="C12828" t="str">
        <f>IFERROR(__xludf.DUMMYFUNCTION("""COMPUTED_VALUE"""),"Google ADS Meisterkurs - lerne Google ADS von A - Z")</f>
        <v>Google ADS Meisterkurs - lerne Google ADS von A - Z</v>
      </c>
    </row>
    <row r="12829">
      <c r="A12829" s="140" t="str">
        <f>IFERROR(__xludf.DUMMYFUNCTION("""COMPUTED_VALUE"""),"en")</f>
        <v>en</v>
      </c>
      <c r="B12829">
        <f>IFERROR(__xludf.DUMMYFUNCTION("""COMPUTED_VALUE"""),3826536.0)</f>
        <v>3826536</v>
      </c>
      <c r="C12829" t="str">
        <f>IFERROR(__xludf.DUMMYFUNCTION("""COMPUTED_VALUE"""),"Mindful Resilience for Work-Life Thriving")</f>
        <v>Mindful Resilience for Work-Life Thriving</v>
      </c>
    </row>
    <row r="12830">
      <c r="A12830" s="140" t="str">
        <f>IFERROR(__xludf.DUMMYFUNCTION("""COMPUTED_VALUE"""),"zh")</f>
        <v>zh</v>
      </c>
      <c r="B12830">
        <f>IFERROR(__xludf.DUMMYFUNCTION("""COMPUTED_VALUE"""),1793204.0)</f>
        <v>1793204</v>
      </c>
      <c r="C12830" t="str">
        <f>IFERROR(__xludf.DUMMYFUNCTION("""COMPUTED_VALUE"""),"实用PHP:掌握基本知识，编写动态网站代码")</f>
        <v>实用PHP:掌握基本知识，编写动态网站代码</v>
      </c>
    </row>
    <row r="12831">
      <c r="A12831" s="140" t="str">
        <f>IFERROR(__xludf.DUMMYFUNCTION("""COMPUTED_VALUE"""),"en")</f>
        <v>en</v>
      </c>
      <c r="B12831">
        <f>IFERROR(__xludf.DUMMYFUNCTION("""COMPUTED_VALUE"""),4198410.0)</f>
        <v>4198410</v>
      </c>
      <c r="C12831" t="str">
        <f>IFERROR(__xludf.DUMMYFUNCTION("""COMPUTED_VALUE"""),"Emotional intelligence in practice")</f>
        <v>Emotional intelligence in practice</v>
      </c>
    </row>
    <row r="12832">
      <c r="A12832" s="140" t="str">
        <f>IFERROR(__xludf.DUMMYFUNCTION("""COMPUTED_VALUE"""),"en")</f>
        <v>en</v>
      </c>
      <c r="B12832">
        <f>IFERROR(__xludf.DUMMYFUNCTION("""COMPUTED_VALUE"""),806922.0)</f>
        <v>806922</v>
      </c>
      <c r="C12832" t="str">
        <f>IFERROR(__xludf.DUMMYFUNCTION("""COMPUTED_VALUE"""),"The Complete ASP.NET MVC 5 Course")</f>
        <v>The Complete ASP.NET MVC 5 Course</v>
      </c>
    </row>
    <row r="12833">
      <c r="A12833" s="140" t="str">
        <f>IFERROR(__xludf.DUMMYFUNCTION("""COMPUTED_VALUE"""),"en")</f>
        <v>en</v>
      </c>
      <c r="B12833">
        <f>IFERROR(__xludf.DUMMYFUNCTION("""COMPUTED_VALUE"""),3560499.0)</f>
        <v>3560499</v>
      </c>
      <c r="C12833" t="str">
        <f>IFERROR(__xludf.DUMMYFUNCTION("""COMPUTED_VALUE"""),"Node-Red - Basic Nodes &amp; Uses")</f>
        <v>Node-Red - Basic Nodes &amp; Uses</v>
      </c>
    </row>
    <row r="12834">
      <c r="A12834" s="140" t="str">
        <f>IFERROR(__xludf.DUMMYFUNCTION("""COMPUTED_VALUE"""),"ja")</f>
        <v>ja</v>
      </c>
      <c r="B12834">
        <f>IFERROR(__xludf.DUMMYFUNCTION("""COMPUTED_VALUE"""),2107836.0)</f>
        <v>2107836</v>
      </c>
      <c r="C12834" t="str">
        <f>IFERROR(__xludf.DUMMYFUNCTION("""COMPUTED_VALUE"""),"C++ STLのコンテナ型を動作効率を考えて使いこなす！")</f>
        <v>C++ STLのコンテナ型を動作効率を考えて使いこなす！</v>
      </c>
    </row>
    <row r="12835">
      <c r="A12835" s="140" t="str">
        <f>IFERROR(__xludf.DUMMYFUNCTION("""COMPUTED_VALUE"""),"es")</f>
        <v>es</v>
      </c>
      <c r="B12835">
        <f>IFERROR(__xludf.DUMMYFUNCTION("""COMPUTED_VALUE"""),99934.0)</f>
        <v>99934</v>
      </c>
      <c r="C12835" t="str">
        <f>IFERROR(__xludf.DUMMYFUNCTION("""COMPUTED_VALUE"""),"Cómo presentar, ganarte a tu audiencia y ¡convencer!")</f>
        <v>Cómo presentar, ganarte a tu audiencia y ¡convencer!</v>
      </c>
    </row>
    <row r="12836">
      <c r="A12836" s="140" t="str">
        <f>IFERROR(__xludf.DUMMYFUNCTION("""COMPUTED_VALUE"""),"ja")</f>
        <v>ja</v>
      </c>
      <c r="B12836">
        <f>IFERROR(__xludf.DUMMYFUNCTION("""COMPUTED_VALUE"""),1753920.0)</f>
        <v>1753920</v>
      </c>
      <c r="C12836" t="str">
        <f>IFERROR(__xludf.DUMMYFUNCTION("""COMPUTED_VALUE"""),"感情を動かす！社外プレゼンの資料作成術")</f>
        <v>感情を動かす！社外プレゼンの資料作成術</v>
      </c>
    </row>
    <row r="12837">
      <c r="A12837" s="140" t="str">
        <f>IFERROR(__xludf.DUMMYFUNCTION("""COMPUTED_VALUE"""),"es")</f>
        <v>es</v>
      </c>
      <c r="B12837">
        <f>IFERROR(__xludf.DUMMYFUNCTION("""COMPUTED_VALUE"""),1615700.0)</f>
        <v>1615700</v>
      </c>
      <c r="C12837" t="str">
        <f>IFERROR(__xludf.DUMMYFUNCTION("""COMPUTED_VALUE"""),"Administrador de Sistemas Junior en Windows Server y Linux")</f>
        <v>Administrador de Sistemas Junior en Windows Server y Linux</v>
      </c>
    </row>
    <row r="12838">
      <c r="A12838" s="140" t="str">
        <f>IFERROR(__xludf.DUMMYFUNCTION("""COMPUTED_VALUE"""),"en")</f>
        <v>en</v>
      </c>
      <c r="B12838">
        <f>IFERROR(__xludf.DUMMYFUNCTION("""COMPUTED_VALUE"""),2182660.0)</f>
        <v>2182660</v>
      </c>
      <c r="C12838" t="str">
        <f>IFERROR(__xludf.DUMMYFUNCTION("""COMPUTED_VALUE"""),"English Language Pro | Spoken English Conversation + Culture")</f>
        <v>English Language Pro | Spoken English Conversation + Culture</v>
      </c>
    </row>
    <row r="12839">
      <c r="A12839" s="140" t="str">
        <f>IFERROR(__xludf.DUMMYFUNCTION("""COMPUTED_VALUE"""),"en")</f>
        <v>en</v>
      </c>
      <c r="B12839">
        <f>IFERROR(__xludf.DUMMYFUNCTION("""COMPUTED_VALUE"""),1747782.0)</f>
        <v>1747782</v>
      </c>
      <c r="C12839" t="str">
        <f>IFERROR(__xludf.DUMMYFUNCTION("""COMPUTED_VALUE"""),"Adobe Photoshop CC – Essentials Training Course")</f>
        <v>Adobe Photoshop CC – Essentials Training Course</v>
      </c>
    </row>
    <row r="12840">
      <c r="A12840" s="140" t="str">
        <f>IFERROR(__xludf.DUMMYFUNCTION("""COMPUTED_VALUE"""),"en")</f>
        <v>en</v>
      </c>
      <c r="B12840">
        <f>IFERROR(__xludf.DUMMYFUNCTION("""COMPUTED_VALUE"""),2435670.0)</f>
        <v>2435670</v>
      </c>
      <c r="C12840" t="str">
        <f>IFERROR(__xludf.DUMMYFUNCTION("""COMPUTED_VALUE"""),"The Complete Azure SQL Database Bootcamp:Beginner To Expert")</f>
        <v>The Complete Azure SQL Database Bootcamp:Beginner To Expert</v>
      </c>
    </row>
    <row r="12841">
      <c r="A12841" s="140" t="str">
        <f>IFERROR(__xludf.DUMMYFUNCTION("""COMPUTED_VALUE"""),"tr")</f>
        <v>tr</v>
      </c>
      <c r="B12841">
        <f>IFERROR(__xludf.DUMMYFUNCTION("""COMPUTED_VALUE"""),2229694.0)</f>
        <v>2229694</v>
      </c>
      <c r="C12841" t="str">
        <f>IFERROR(__xludf.DUMMYFUNCTION("""COMPUTED_VALUE"""),"Makro(VBA) İnternet İşlemleri | Veri Çekme/Gönderme")</f>
        <v>Makro(VBA) İnternet İşlemleri | Veri Çekme/Gönderme</v>
      </c>
    </row>
    <row r="12842">
      <c r="A12842" s="140" t="str">
        <f>IFERROR(__xludf.DUMMYFUNCTION("""COMPUTED_VALUE"""),"en")</f>
        <v>en</v>
      </c>
      <c r="B12842">
        <f>IFERROR(__xludf.DUMMYFUNCTION("""COMPUTED_VALUE"""),778206.0)</f>
        <v>778206</v>
      </c>
      <c r="C12842" t="str">
        <f>IFERROR(__xludf.DUMMYFUNCTION("""COMPUTED_VALUE"""),"Fundamental Computing Skills for the Digital Middle Age")</f>
        <v>Fundamental Computing Skills for the Digital Middle Age</v>
      </c>
    </row>
    <row r="12843">
      <c r="A12843" s="140" t="str">
        <f>IFERROR(__xludf.DUMMYFUNCTION("""COMPUTED_VALUE"""),"en")</f>
        <v>en</v>
      </c>
      <c r="B12843">
        <f>IFERROR(__xludf.DUMMYFUNCTION("""COMPUTED_VALUE"""),1162310.0)</f>
        <v>1162310</v>
      </c>
      <c r="C12843" t="str">
        <f>IFERROR(__xludf.DUMMYFUNCTION("""COMPUTED_VALUE"""),"Practice Test AWS Solutions Architect Associate SAA C02")</f>
        <v>Practice Test AWS Solutions Architect Associate SAA C02</v>
      </c>
    </row>
    <row r="12844">
      <c r="A12844" s="140" t="str">
        <f>IFERROR(__xludf.DUMMYFUNCTION("""COMPUTED_VALUE"""),"ja")</f>
        <v>ja</v>
      </c>
      <c r="B12844">
        <f>IFERROR(__xludf.DUMMYFUNCTION("""COMPUTED_VALUE"""),4012706.0)</f>
        <v>4012706</v>
      </c>
      <c r="C12844" t="str">
        <f>IFERROR(__xludf.DUMMYFUNCTION("""COMPUTED_VALUE"""),"＜UB確認テスト＞説得力を高め問題解決に導く！実務直結”データを活かした”戦略的ストーリーメイキング講座")</f>
        <v>＜UB確認テスト＞説得力を高め問題解決に導く！実務直結”データを活かした”戦略的ストーリーメイキング講座</v>
      </c>
    </row>
    <row r="12845">
      <c r="A12845" s="140" t="str">
        <f>IFERROR(__xludf.DUMMYFUNCTION("""COMPUTED_VALUE"""),"ja")</f>
        <v>ja</v>
      </c>
      <c r="B12845">
        <f>IFERROR(__xludf.DUMMYFUNCTION("""COMPUTED_VALUE"""),1949202.0)</f>
        <v>1949202</v>
      </c>
      <c r="C12845" t="str">
        <f>IFERROR(__xludf.DUMMYFUNCTION("""COMPUTED_VALUE"""),"Pythonによる教育データ分析入門：Pythonの基礎から回帰分析・項目分析まで")</f>
        <v>Pythonによる教育データ分析入門：Pythonの基礎から回帰分析・項目分析まで</v>
      </c>
    </row>
    <row r="12846">
      <c r="A12846" s="140" t="str">
        <f>IFERROR(__xludf.DUMMYFUNCTION("""COMPUTED_VALUE"""),"en")</f>
        <v>en</v>
      </c>
      <c r="B12846">
        <f>IFERROR(__xludf.DUMMYFUNCTION("""COMPUTED_VALUE"""),1183250.0)</f>
        <v>1183250</v>
      </c>
      <c r="C12846" t="str">
        <f>IFERROR(__xludf.DUMMYFUNCTION("""COMPUTED_VALUE"""),"Apache Tomcat Server from Beginners to Advanced")</f>
        <v>Apache Tomcat Server from Beginners to Advanced</v>
      </c>
    </row>
    <row r="12847">
      <c r="A12847" s="140" t="str">
        <f>IFERROR(__xludf.DUMMYFUNCTION("""COMPUTED_VALUE"""),"de")</f>
        <v>de</v>
      </c>
      <c r="B12847">
        <f>IFERROR(__xludf.DUMMYFUNCTION("""COMPUTED_VALUE"""),3357868.0)</f>
        <v>3357868</v>
      </c>
      <c r="C12847" t="str">
        <f>IFERROR(__xludf.DUMMYFUNCTION("""COMPUTED_VALUE"""),"Effektive Geschäftsführung und Unternehmer Mindset lernen")</f>
        <v>Effektive Geschäftsführung und Unternehmer Mindset lernen</v>
      </c>
    </row>
    <row r="12848">
      <c r="A12848" s="140" t="str">
        <f>IFERROR(__xludf.DUMMYFUNCTION("""COMPUTED_VALUE"""),"en")</f>
        <v>en</v>
      </c>
      <c r="B12848">
        <f>IFERROR(__xludf.DUMMYFUNCTION("""COMPUTED_VALUE"""),1710336.0)</f>
        <v>1710336</v>
      </c>
      <c r="C12848" t="str">
        <f>IFERROR(__xludf.DUMMYFUNCTION("""COMPUTED_VALUE"""),"Ultimate Google Analytics course + 50 practical examples")</f>
        <v>Ultimate Google Analytics course + 50 practical examples</v>
      </c>
    </row>
    <row r="12849">
      <c r="A12849" s="140" t="str">
        <f>IFERROR(__xludf.DUMMYFUNCTION("""COMPUTED_VALUE"""),"ja")</f>
        <v>ja</v>
      </c>
      <c r="B12849">
        <f>IFERROR(__xludf.DUMMYFUNCTION("""COMPUTED_VALUE"""),2141450.0)</f>
        <v>2141450</v>
      </c>
      <c r="C12849" t="str">
        <f>IFERROR(__xludf.DUMMYFUNCTION("""COMPUTED_VALUE"""),"マインドマップ本質講座 Vol.1【基礎編】〜本質を理解し、書いてみて初めて分かるマインドマップの効果を体感してみよう〜")</f>
        <v>マインドマップ本質講座 Vol.1【基礎編】〜本質を理解し、書いてみて初めて分かるマインドマップの効果を体感してみよう〜</v>
      </c>
    </row>
    <row r="12850">
      <c r="A12850" s="140" t="str">
        <f>IFERROR(__xludf.DUMMYFUNCTION("""COMPUTED_VALUE"""),"en")</f>
        <v>en</v>
      </c>
      <c r="B12850">
        <f>IFERROR(__xludf.DUMMYFUNCTION("""COMPUTED_VALUE"""),3660294.0)</f>
        <v>3660294</v>
      </c>
      <c r="C12850" t="str">
        <f>IFERROR(__xludf.DUMMYFUNCTION("""COMPUTED_VALUE"""),"Deploying Microsoft Office 365 in Okta")</f>
        <v>Deploying Microsoft Office 365 in Okta</v>
      </c>
    </row>
    <row r="12851">
      <c r="A12851" s="140" t="str">
        <f>IFERROR(__xludf.DUMMYFUNCTION("""COMPUTED_VALUE"""),"en")</f>
        <v>en</v>
      </c>
      <c r="B12851">
        <f>IFERROR(__xludf.DUMMYFUNCTION("""COMPUTED_VALUE"""),2196488.0)</f>
        <v>2196488</v>
      </c>
      <c r="C12851" t="str">
        <f>IFERROR(__xludf.DUMMYFUNCTION("""COMPUTED_VALUE"""),"Ultimate AWS Certified Solutions Architect Associate 2021")</f>
        <v>Ultimate AWS Certified Solutions Architect Associate 2021</v>
      </c>
    </row>
    <row r="12852">
      <c r="A12852" s="140" t="str">
        <f>IFERROR(__xludf.DUMMYFUNCTION("""COMPUTED_VALUE"""),"en")</f>
        <v>en</v>
      </c>
      <c r="B12852">
        <f>IFERROR(__xludf.DUMMYFUNCTION("""COMPUTED_VALUE"""),1019912.0)</f>
        <v>1019912</v>
      </c>
      <c r="C12852" t="str">
        <f>IFERROR(__xludf.DUMMYFUNCTION("""COMPUTED_VALUE"""),"WordPress E-commerce: Build 2 Websites &amp; Dropshipping Store")</f>
        <v>WordPress E-commerce: Build 2 Websites &amp; Dropshipping Store</v>
      </c>
    </row>
    <row r="12853">
      <c r="A12853" s="140" t="str">
        <f>IFERROR(__xludf.DUMMYFUNCTION("""COMPUTED_VALUE"""),"es")</f>
        <v>es</v>
      </c>
      <c r="B12853">
        <f>IFERROR(__xludf.DUMMYFUNCTION("""COMPUTED_VALUE"""),3887308.0)</f>
        <v>3887308</v>
      </c>
      <c r="C12853" t="str">
        <f>IFERROR(__xludf.DUMMYFUNCTION("""COMPUTED_VALUE"""),"✅ COMMUNITY MANAGER + MARKETING DIGITAL para PRINCIPIANTES")</f>
        <v>✅ COMMUNITY MANAGER + MARKETING DIGITAL para PRINCIPIANTES</v>
      </c>
    </row>
    <row r="12854">
      <c r="A12854" s="140" t="str">
        <f>IFERROR(__xludf.DUMMYFUNCTION("""COMPUTED_VALUE"""),"pt")</f>
        <v>pt</v>
      </c>
      <c r="B12854">
        <f>IFERROR(__xludf.DUMMYFUNCTION("""COMPUTED_VALUE"""),1949732.0)</f>
        <v>1949732</v>
      </c>
      <c r="C12854" t="str">
        <f>IFERROR(__xludf.DUMMYFUNCTION("""COMPUTED_VALUE"""),"HIPER-MEMÓRIA &amp; Hiper-Aprendizagem")</f>
        <v>HIPER-MEMÓRIA &amp; Hiper-Aprendizagem</v>
      </c>
    </row>
    <row r="12855">
      <c r="A12855" s="140" t="str">
        <f>IFERROR(__xludf.DUMMYFUNCTION("""COMPUTED_VALUE"""),"en")</f>
        <v>en</v>
      </c>
      <c r="B12855">
        <f>IFERROR(__xludf.DUMMYFUNCTION("""COMPUTED_VALUE"""),4015616.0)</f>
        <v>4015616</v>
      </c>
      <c r="C12855" t="str">
        <f>IFERROR(__xludf.DUMMYFUNCTION("""COMPUTED_VALUE"""),"Python Django - The Practical Guide")</f>
        <v>Python Django - The Practical Guide</v>
      </c>
    </row>
    <row r="12856">
      <c r="A12856" s="140" t="str">
        <f>IFERROR(__xludf.DUMMYFUNCTION("""COMPUTED_VALUE"""),"es")</f>
        <v>es</v>
      </c>
      <c r="B12856">
        <f>IFERROR(__xludf.DUMMYFUNCTION("""COMPUTED_VALUE"""),3274370.0)</f>
        <v>3274370</v>
      </c>
      <c r="C12856" t="str">
        <f>IFERROR(__xludf.DUMMYFUNCTION("""COMPUTED_VALUE"""),"Desarrollo Web en PHP, MVC, POO y MySQL - Tienda Virtual")</f>
        <v>Desarrollo Web en PHP, MVC, POO y MySQL - Tienda Virtual</v>
      </c>
    </row>
    <row r="12857">
      <c r="A12857" s="140" t="str">
        <f>IFERROR(__xludf.DUMMYFUNCTION("""COMPUTED_VALUE"""),"ja")</f>
        <v>ja</v>
      </c>
      <c r="B12857">
        <f>IFERROR(__xludf.DUMMYFUNCTION("""COMPUTED_VALUE"""),3256440.0)</f>
        <v>3256440</v>
      </c>
      <c r="C12857" t="str">
        <f>IFERROR(__xludf.DUMMYFUNCTION("""COMPUTED_VALUE"""),"あなたも周りも仕合せになるマネジメントの極意　いろはに")</f>
        <v>あなたも周りも仕合せになるマネジメントの極意　いろはに</v>
      </c>
    </row>
    <row r="12858">
      <c r="A12858" s="140" t="str">
        <f>IFERROR(__xludf.DUMMYFUNCTION("""COMPUTED_VALUE"""),"en")</f>
        <v>en</v>
      </c>
      <c r="B12858">
        <f>IFERROR(__xludf.DUMMYFUNCTION("""COMPUTED_VALUE"""),802790.0)</f>
        <v>802790</v>
      </c>
      <c r="C12858" t="str">
        <f>IFERROR(__xludf.DUMMYFUNCTION("""COMPUTED_VALUE"""),"Selenium WebDriver with Java | Project Implement + Framework")</f>
        <v>Selenium WebDriver with Java | Project Implement + Framework</v>
      </c>
    </row>
    <row r="12859">
      <c r="A12859" s="140" t="str">
        <f>IFERROR(__xludf.DUMMYFUNCTION("""COMPUTED_VALUE"""),"pt")</f>
        <v>pt</v>
      </c>
      <c r="B12859">
        <f>IFERROR(__xludf.DUMMYFUNCTION("""COMPUTED_VALUE"""),1022932.0)</f>
        <v>1022932</v>
      </c>
      <c r="C12859" t="str">
        <f>IFERROR(__xludf.DUMMYFUNCTION("""COMPUTED_VALUE"""),"Como Editar Vídeos - Módulo Básico - SUB Español")</f>
        <v>Como Editar Vídeos - Módulo Básico - SUB Español</v>
      </c>
    </row>
    <row r="12860">
      <c r="A12860" s="140" t="str">
        <f>IFERROR(__xludf.DUMMYFUNCTION("""COMPUTED_VALUE"""),"en")</f>
        <v>en</v>
      </c>
      <c r="B12860">
        <f>IFERROR(__xludf.DUMMYFUNCTION("""COMPUTED_VALUE"""),1988526.0)</f>
        <v>1988526</v>
      </c>
      <c r="C12860" t="str">
        <f>IFERROR(__xludf.DUMMYFUNCTION("""COMPUTED_VALUE"""),"3ds Max + Vray : 3d Visualizer handbook to Interior daylight")</f>
        <v>3ds Max + Vray : 3d Visualizer handbook to Interior daylight</v>
      </c>
    </row>
    <row r="12861">
      <c r="A12861" s="140" t="str">
        <f>IFERROR(__xludf.DUMMYFUNCTION("""COMPUTED_VALUE"""),"es")</f>
        <v>es</v>
      </c>
      <c r="B12861">
        <f>IFERROR(__xludf.DUMMYFUNCTION("""COMPUTED_VALUE"""),1847944.0)</f>
        <v>1847944</v>
      </c>
      <c r="C12861" t="str">
        <f>IFERROR(__xludf.DUMMYFUNCTION("""COMPUTED_VALUE"""),"Desarrolla sistemas Web en ASP Net Core, SQL Server y Vuejs")</f>
        <v>Desarrolla sistemas Web en ASP Net Core, SQL Server y Vuejs</v>
      </c>
    </row>
    <row r="12862">
      <c r="A12862" s="140" t="str">
        <f>IFERROR(__xludf.DUMMYFUNCTION("""COMPUTED_VALUE"""),"en")</f>
        <v>en</v>
      </c>
      <c r="B12862">
        <f>IFERROR(__xludf.DUMMYFUNCTION("""COMPUTED_VALUE"""),4095936.0)</f>
        <v>4095936</v>
      </c>
      <c r="C12862" t="str">
        <f>IFERROR(__xludf.DUMMYFUNCTION("""COMPUTED_VALUE"""),"Blockchain For Finance: Using Blockchain &amp; Smart Contracts")</f>
        <v>Blockchain For Finance: Using Blockchain &amp; Smart Contracts</v>
      </c>
    </row>
    <row r="12863">
      <c r="A12863" s="140" t="str">
        <f>IFERROR(__xludf.DUMMYFUNCTION("""COMPUTED_VALUE"""),"en")</f>
        <v>en</v>
      </c>
      <c r="B12863">
        <f>IFERROR(__xludf.DUMMYFUNCTION("""COMPUTED_VALUE"""),2607568.0)</f>
        <v>2607568</v>
      </c>
      <c r="C12863" t="str">
        <f>IFERROR(__xludf.DUMMYFUNCTION("""COMPUTED_VALUE"""),"Introduction to Google Cloud IoT")</f>
        <v>Introduction to Google Cloud IoT</v>
      </c>
    </row>
    <row r="12864">
      <c r="A12864" s="140" t="str">
        <f>IFERROR(__xludf.DUMMYFUNCTION("""COMPUTED_VALUE"""),"es")</f>
        <v>es</v>
      </c>
      <c r="B12864">
        <f>IFERROR(__xludf.DUMMYFUNCTION("""COMPUTED_VALUE"""),149536.0)</f>
        <v>149536</v>
      </c>
      <c r="C12864" t="str">
        <f>IFERROR(__xludf.DUMMYFUNCTION("""COMPUTED_VALUE"""),"13 pasos para hablar en público (13 PASOS)")</f>
        <v>13 pasos para hablar en público (13 PASOS)</v>
      </c>
    </row>
    <row r="12865">
      <c r="A12865" s="140" t="str">
        <f>IFERROR(__xludf.DUMMYFUNCTION("""COMPUTED_VALUE"""),"en")</f>
        <v>en</v>
      </c>
      <c r="B12865">
        <f>IFERROR(__xludf.DUMMYFUNCTION("""COMPUTED_VALUE"""),160708.0)</f>
        <v>160708</v>
      </c>
      <c r="C12865" t="str">
        <f>IFERROR(__xludf.DUMMYFUNCTION("""COMPUTED_VALUE"""),"Get Started with Business Networking Basics in One Hour")</f>
        <v>Get Started with Business Networking Basics in One Hour</v>
      </c>
    </row>
    <row r="12866">
      <c r="A12866" s="140" t="str">
        <f>IFERROR(__xludf.DUMMYFUNCTION("""COMPUTED_VALUE"""),"en")</f>
        <v>en</v>
      </c>
      <c r="B12866">
        <f>IFERROR(__xludf.DUMMYFUNCTION("""COMPUTED_VALUE"""),4063124.0)</f>
        <v>4063124</v>
      </c>
      <c r="C12866" t="str">
        <f>IFERROR(__xludf.DUMMYFUNCTION("""COMPUTED_VALUE"""),"Ethical Hacking for Beginners")</f>
        <v>Ethical Hacking for Beginners</v>
      </c>
    </row>
    <row r="12867">
      <c r="A12867" s="140" t="str">
        <f>IFERROR(__xludf.DUMMYFUNCTION("""COMPUTED_VALUE"""),"tr")</f>
        <v>tr</v>
      </c>
      <c r="B12867">
        <f>IFERROR(__xludf.DUMMYFUNCTION("""COMPUTED_VALUE"""),2391390.0)</f>
        <v>2391390</v>
      </c>
      <c r="C12867" t="str">
        <f>IFERROR(__xludf.DUMMYFUNCTION("""COMPUTED_VALUE"""),"Herkes İçin SEO: Uygulamalı WordPress SEO Eğitimi")</f>
        <v>Herkes İçin SEO: Uygulamalı WordPress SEO Eğitimi</v>
      </c>
    </row>
    <row r="12868">
      <c r="A12868" s="140" t="str">
        <f>IFERROR(__xludf.DUMMYFUNCTION("""COMPUTED_VALUE"""),"fr")</f>
        <v>fr</v>
      </c>
      <c r="B12868">
        <f>IFERROR(__xludf.DUMMYFUNCTION("""COMPUTED_VALUE"""),2210462.0)</f>
        <v>2210462</v>
      </c>
      <c r="C12868" t="str">
        <f>IFERROR(__xludf.DUMMYFUNCTION("""COMPUTED_VALUE"""),"GarageBand iOS : le guide complet")</f>
        <v>GarageBand iOS : le guide complet</v>
      </c>
    </row>
    <row r="12869">
      <c r="A12869" s="140" t="str">
        <f>IFERROR(__xludf.DUMMYFUNCTION("""COMPUTED_VALUE"""),"en")</f>
        <v>en</v>
      </c>
      <c r="B12869">
        <f>IFERROR(__xludf.DUMMYFUNCTION("""COMPUTED_VALUE"""),2518702.0)</f>
        <v>2518702</v>
      </c>
      <c r="C12869" t="str">
        <f>IFERROR(__xludf.DUMMYFUNCTION("""COMPUTED_VALUE"""),"Windows Server 2019: Active Directory, GPO, R. Server Access")</f>
        <v>Windows Server 2019: Active Directory, GPO, R. Server Access</v>
      </c>
    </row>
    <row r="12870">
      <c r="A12870" s="140" t="str">
        <f>IFERROR(__xludf.DUMMYFUNCTION("""COMPUTED_VALUE"""),"de")</f>
        <v>de</v>
      </c>
      <c r="B12870">
        <f>IFERROR(__xludf.DUMMYFUNCTION("""COMPUTED_VALUE"""),1841008.0)</f>
        <v>1841008</v>
      </c>
      <c r="C12870" t="str">
        <f>IFERROR(__xludf.DUMMYFUNCTION("""COMPUTED_VALUE"""),"Wirkungsfaktor Körpersprache - Zeichen sagen mehr als Worte")</f>
        <v>Wirkungsfaktor Körpersprache - Zeichen sagen mehr als Worte</v>
      </c>
    </row>
    <row r="12871">
      <c r="A12871" s="140" t="str">
        <f>IFERROR(__xludf.DUMMYFUNCTION("""COMPUTED_VALUE"""),"en")</f>
        <v>en</v>
      </c>
      <c r="B12871">
        <f>IFERROR(__xludf.DUMMYFUNCTION("""COMPUTED_VALUE"""),3822566.0)</f>
        <v>3822566</v>
      </c>
      <c r="C12871" t="str">
        <f>IFERROR(__xludf.DUMMYFUNCTION("""COMPUTED_VALUE"""),"Unity C# Mobile Game Development - Make 3 Games From Scratch")</f>
        <v>Unity C# Mobile Game Development - Make 3 Games From Scratch</v>
      </c>
    </row>
    <row r="12872">
      <c r="A12872" s="140" t="str">
        <f>IFERROR(__xludf.DUMMYFUNCTION("""COMPUTED_VALUE"""),"en")</f>
        <v>en</v>
      </c>
      <c r="B12872">
        <f>IFERROR(__xludf.DUMMYFUNCTION("""COMPUTED_VALUE"""),3440158.0)</f>
        <v>3440158</v>
      </c>
      <c r="C12872" t="str">
        <f>IFERROR(__xludf.DUMMYFUNCTION("""COMPUTED_VALUE"""),"Android Material UI Design Masterclass with Adobe Xd")</f>
        <v>Android Material UI Design Masterclass with Adobe Xd</v>
      </c>
    </row>
    <row r="12873">
      <c r="A12873" s="140" t="str">
        <f>IFERROR(__xludf.DUMMYFUNCTION("""COMPUTED_VALUE"""),"es")</f>
        <v>es</v>
      </c>
      <c r="B12873">
        <f>IFERROR(__xludf.DUMMYFUNCTION("""COMPUTED_VALUE"""),1323024.0)</f>
        <v>1323024</v>
      </c>
      <c r="C12873" t="str">
        <f>IFERROR(__xludf.DUMMYFUNCTION("""COMPUTED_VALUE"""),"BEM CSS + ITCSS = Metodología BEMIT - Diseño web avanzado")</f>
        <v>BEM CSS + ITCSS = Metodología BEMIT - Diseño web avanzado</v>
      </c>
    </row>
    <row r="12874">
      <c r="A12874" s="140" t="str">
        <f>IFERROR(__xludf.DUMMYFUNCTION("""COMPUTED_VALUE"""),"en")</f>
        <v>en</v>
      </c>
      <c r="B12874">
        <f>IFERROR(__xludf.DUMMYFUNCTION("""COMPUTED_VALUE"""),2399596.0)</f>
        <v>2399596</v>
      </c>
      <c r="C12874" t="str">
        <f>IFERROR(__xludf.DUMMYFUNCTION("""COMPUTED_VALUE"""),"Oracle 19c Database - An Introduction")</f>
        <v>Oracle 19c Database - An Introduction</v>
      </c>
    </row>
    <row r="12875">
      <c r="A12875" s="140" t="str">
        <f>IFERROR(__xludf.DUMMYFUNCTION("""COMPUTED_VALUE"""),"es")</f>
        <v>es</v>
      </c>
      <c r="B12875">
        <f>IFERROR(__xludf.DUMMYFUNCTION("""COMPUTED_VALUE"""),1152746.0)</f>
        <v>1152746</v>
      </c>
      <c r="C12875" t="str">
        <f>IFERROR(__xludf.DUMMYFUNCTION("""COMPUTED_VALUE"""),"Curso completo de Windows 10 (desde cero)")</f>
        <v>Curso completo de Windows 10 (desde cero)</v>
      </c>
    </row>
    <row r="12876">
      <c r="A12876" s="140" t="str">
        <f>IFERROR(__xludf.DUMMYFUNCTION("""COMPUTED_VALUE"""),"pt")</f>
        <v>pt</v>
      </c>
      <c r="B12876">
        <f>IFERROR(__xludf.DUMMYFUNCTION("""COMPUTED_VALUE"""),1701700.0)</f>
        <v>1701700</v>
      </c>
      <c r="C12876" t="str">
        <f>IFERROR(__xludf.DUMMYFUNCTION("""COMPUTED_VALUE"""),"Iptables - O Firewall do Linux")</f>
        <v>Iptables - O Firewall do Linux</v>
      </c>
    </row>
    <row r="12877">
      <c r="A12877" s="140" t="str">
        <f>IFERROR(__xludf.DUMMYFUNCTION("""COMPUTED_VALUE"""),"pt")</f>
        <v>pt</v>
      </c>
      <c r="B12877">
        <f>IFERROR(__xludf.DUMMYFUNCTION("""COMPUTED_VALUE"""),1021104.0)</f>
        <v>1021104</v>
      </c>
      <c r="C12877" t="str">
        <f>IFERROR(__xludf.DUMMYFUNCTION("""COMPUTED_VALUE"""),"Investimentos: Aprenda a Investir seu Dinheiro + 3 Bônus")</f>
        <v>Investimentos: Aprenda a Investir seu Dinheiro + 3 Bônus</v>
      </c>
    </row>
    <row r="12878">
      <c r="A12878" s="140" t="str">
        <f>IFERROR(__xludf.DUMMYFUNCTION("""COMPUTED_VALUE"""),"pt")</f>
        <v>pt</v>
      </c>
      <c r="B12878">
        <f>IFERROR(__xludf.DUMMYFUNCTION("""COMPUTED_VALUE"""),1905860.0)</f>
        <v>1905860</v>
      </c>
      <c r="C12878" t="str">
        <f>IFERROR(__xludf.DUMMYFUNCTION("""COMPUTED_VALUE"""),"Curso 3ds Max: Maquetes 3D, do Básico ao Avançado com Arnold")</f>
        <v>Curso 3ds Max: Maquetes 3D, do Básico ao Avançado com Arnold</v>
      </c>
    </row>
    <row r="12879">
      <c r="A12879" s="140" t="str">
        <f>IFERROR(__xludf.DUMMYFUNCTION("""COMPUTED_VALUE"""),"es")</f>
        <v>es</v>
      </c>
      <c r="B12879">
        <f>IFERROR(__xludf.DUMMYFUNCTION("""COMPUTED_VALUE"""),3422344.0)</f>
        <v>3422344</v>
      </c>
      <c r="C12879" t="str">
        <f>IFERROR(__xludf.DUMMYFUNCTION("""COMPUTED_VALUE"""),"ASP.NET Core 3 Enfoque SPA con VueJS")</f>
        <v>ASP.NET Core 3 Enfoque SPA con VueJS</v>
      </c>
    </row>
    <row r="12880">
      <c r="A12880" s="140" t="str">
        <f>IFERROR(__xludf.DUMMYFUNCTION("""COMPUTED_VALUE"""),"en")</f>
        <v>en</v>
      </c>
      <c r="B12880">
        <f>IFERROR(__xludf.DUMMYFUNCTION("""COMPUTED_VALUE"""),1347812.0)</f>
        <v>1347812</v>
      </c>
      <c r="C12880" t="str">
        <f>IFERROR(__xludf.DUMMYFUNCTION("""COMPUTED_VALUE"""),"GIMP 2.10 Made Easy for Beginners.  Learn GIMP from a pro!")</f>
        <v>GIMP 2.10 Made Easy for Beginners.  Learn GIMP from a pro!</v>
      </c>
    </row>
    <row r="12881">
      <c r="A12881" s="140" t="str">
        <f>IFERROR(__xludf.DUMMYFUNCTION("""COMPUTED_VALUE"""),"en")</f>
        <v>en</v>
      </c>
      <c r="B12881">
        <f>IFERROR(__xludf.DUMMYFUNCTION("""COMPUTED_VALUE"""),79120.0)</f>
        <v>79120</v>
      </c>
      <c r="C12881" t="str">
        <f>IFERROR(__xludf.DUMMYFUNCTION("""COMPUTED_VALUE"""),"LaTeX for Professional Publications")</f>
        <v>LaTeX for Professional Publications</v>
      </c>
    </row>
    <row r="12882">
      <c r="A12882" s="140" t="str">
        <f>IFERROR(__xludf.DUMMYFUNCTION("""COMPUTED_VALUE"""),"en")</f>
        <v>en</v>
      </c>
      <c r="B12882">
        <f>IFERROR(__xludf.DUMMYFUNCTION("""COMPUTED_VALUE"""),3475640.0)</f>
        <v>3475640</v>
      </c>
      <c r="C12882" t="str">
        <f>IFERROR(__xludf.DUMMYFUNCTION("""COMPUTED_VALUE"""),"Critical Thinking Strategies For Better Decisions")</f>
        <v>Critical Thinking Strategies For Better Decisions</v>
      </c>
    </row>
    <row r="12883">
      <c r="A12883" s="140" t="str">
        <f>IFERROR(__xludf.DUMMYFUNCTION("""COMPUTED_VALUE"""),"en")</f>
        <v>en</v>
      </c>
      <c r="B12883">
        <f>IFERROR(__xludf.DUMMYFUNCTION("""COMPUTED_VALUE"""),2855848.0)</f>
        <v>2855848</v>
      </c>
      <c r="C12883" t="str">
        <f>IFERROR(__xludf.DUMMYFUNCTION("""COMPUTED_VALUE"""),"Agile BM 201 Mastering Agile Business Management")</f>
        <v>Agile BM 201 Mastering Agile Business Management</v>
      </c>
    </row>
    <row r="12884">
      <c r="A12884" s="140" t="str">
        <f>IFERROR(__xludf.DUMMYFUNCTION("""COMPUTED_VALUE"""),"ja")</f>
        <v>ja</v>
      </c>
      <c r="B12884">
        <f>IFERROR(__xludf.DUMMYFUNCTION("""COMPUTED_VALUE"""),3339148.0)</f>
        <v>3339148</v>
      </c>
      <c r="C12884" t="str">
        <f>IFERROR(__xludf.DUMMYFUNCTION("""COMPUTED_VALUE"""),"【世界で30万人が受講】After Effects CC マスタークラス: After Effects完全版")</f>
        <v>【世界で30万人が受講】After Effects CC マスタークラス: After Effects完全版</v>
      </c>
    </row>
    <row r="12885">
      <c r="A12885" s="140" t="str">
        <f>IFERROR(__xludf.DUMMYFUNCTION("""COMPUTED_VALUE"""),"en")</f>
        <v>en</v>
      </c>
      <c r="B12885">
        <f>IFERROR(__xludf.DUMMYFUNCTION("""COMPUTED_VALUE"""),417118.0)</f>
        <v>417118</v>
      </c>
      <c r="C12885" t="str">
        <f>IFERROR(__xludf.DUMMYFUNCTION("""COMPUTED_VALUE"""),"Eclipse Debugging Techniques And Tricks")</f>
        <v>Eclipse Debugging Techniques And Tricks</v>
      </c>
    </row>
    <row r="12886">
      <c r="A12886" s="140" t="str">
        <f>IFERROR(__xludf.DUMMYFUNCTION("""COMPUTED_VALUE"""),"ja")</f>
        <v>ja</v>
      </c>
      <c r="B12886">
        <f>IFERROR(__xludf.DUMMYFUNCTION("""COMPUTED_VALUE"""),1334522.0)</f>
        <v>1334522</v>
      </c>
      <c r="C12886" t="str">
        <f>IFERROR(__xludf.DUMMYFUNCTION("""COMPUTED_VALUE"""),"[HTML/CSS/JavaScript] フロントエンドエンジニアになりたい人の Webプログラミング入門")</f>
        <v>[HTML/CSS/JavaScript] フロントエンドエンジニアになりたい人の Webプログラミング入門</v>
      </c>
    </row>
    <row r="12887">
      <c r="A12887" s="140" t="str">
        <f>IFERROR(__xludf.DUMMYFUNCTION("""COMPUTED_VALUE"""),"en")</f>
        <v>en</v>
      </c>
      <c r="B12887">
        <f>IFERROR(__xludf.DUMMYFUNCTION("""COMPUTED_VALUE"""),4045716.0)</f>
        <v>4045716</v>
      </c>
      <c r="C12887" t="str">
        <f>IFERROR(__xludf.DUMMYFUNCTION("""COMPUTED_VALUE"""),"SAFe Scaled Agile Cert. in 1st Attempt - Practice Mock Tests")</f>
        <v>SAFe Scaled Agile Cert. in 1st Attempt - Practice Mock Tests</v>
      </c>
    </row>
    <row r="12888">
      <c r="A12888" s="140" t="str">
        <f>IFERROR(__xludf.DUMMYFUNCTION("""COMPUTED_VALUE"""),"pt")</f>
        <v>pt</v>
      </c>
      <c r="B12888">
        <f>IFERROR(__xludf.DUMMYFUNCTION("""COMPUTED_VALUE"""),2843230.0)</f>
        <v>2843230</v>
      </c>
      <c r="C12888" t="str">
        <f>IFERROR(__xludf.DUMMYFUNCTION("""COMPUTED_VALUE"""),"Linux Completo para Usuário Comum ou Desenvolvedor")</f>
        <v>Linux Completo para Usuário Comum ou Desenvolvedor</v>
      </c>
    </row>
    <row r="12889">
      <c r="A12889" s="140" t="str">
        <f>IFERROR(__xludf.DUMMYFUNCTION("""COMPUTED_VALUE"""),"en")</f>
        <v>en</v>
      </c>
      <c r="B12889">
        <f>IFERROR(__xludf.DUMMYFUNCTION("""COMPUTED_VALUE"""),1223634.0)</f>
        <v>1223634</v>
      </c>
      <c r="C12889" t="str">
        <f>IFERROR(__xludf.DUMMYFUNCTION("""COMPUTED_VALUE"""),"Wix Master Course: Make A Website with Wix (FULL 4 HOURS)")</f>
        <v>Wix Master Course: Make A Website with Wix (FULL 4 HOURS)</v>
      </c>
    </row>
    <row r="12890">
      <c r="A12890" s="140" t="str">
        <f>IFERROR(__xludf.DUMMYFUNCTION("""COMPUTED_VALUE"""),"en")</f>
        <v>en</v>
      </c>
      <c r="B12890">
        <f>IFERROR(__xludf.DUMMYFUNCTION("""COMPUTED_VALUE"""),2336976.0)</f>
        <v>2336976</v>
      </c>
      <c r="C12890" t="str">
        <f>IFERROR(__xludf.DUMMYFUNCTION("""COMPUTED_VALUE"""),"Akka Serialization with Scala | Rock the JVM")</f>
        <v>Akka Serialization with Scala | Rock the JVM</v>
      </c>
    </row>
    <row r="12891">
      <c r="A12891" s="140" t="str">
        <f>IFERROR(__xludf.DUMMYFUNCTION("""COMPUTED_VALUE"""),"ko")</f>
        <v>ko</v>
      </c>
      <c r="B12891">
        <f>IFERROR(__xludf.DUMMYFUNCTION("""COMPUTED_VALUE"""),4283636.0)</f>
        <v>4283636</v>
      </c>
      <c r="C12891" t="str">
        <f>IFERROR(__xludf.DUMMYFUNCTION("""COMPUTED_VALUE"""),"영어 초보탈출 50일 챌린지 (1단계)")</f>
        <v>영어 초보탈출 50일 챌린지 (1단계)</v>
      </c>
    </row>
    <row r="12892">
      <c r="A12892" s="140" t="str">
        <f>IFERROR(__xludf.DUMMYFUNCTION("""COMPUTED_VALUE"""),"en")</f>
        <v>en</v>
      </c>
      <c r="B12892">
        <f>IFERROR(__xludf.DUMMYFUNCTION("""COMPUTED_VALUE"""),1140232.0)</f>
        <v>1140232</v>
      </c>
      <c r="C12892" t="str">
        <f>IFERROR(__xludf.DUMMYFUNCTION("""COMPUTED_VALUE"""),"Devtools Pro: Beginner to Expert w/ Chrome Developer Tools")</f>
        <v>Devtools Pro: Beginner to Expert w/ Chrome Developer Tools</v>
      </c>
    </row>
    <row r="12893">
      <c r="A12893" s="140" t="str">
        <f>IFERROR(__xludf.DUMMYFUNCTION("""COMPUTED_VALUE"""),"en")</f>
        <v>en</v>
      </c>
      <c r="B12893">
        <f>IFERROR(__xludf.DUMMYFUNCTION("""COMPUTED_VALUE"""),859614.0)</f>
        <v>859614</v>
      </c>
      <c r="C12893" t="str">
        <f>IFERROR(__xludf.DUMMYFUNCTION("""COMPUTED_VALUE"""),"ConvertKit 101: Lead Magnets and Landing Pages")</f>
        <v>ConvertKit 101: Lead Magnets and Landing Pages</v>
      </c>
    </row>
    <row r="12894">
      <c r="A12894" s="140" t="str">
        <f>IFERROR(__xludf.DUMMYFUNCTION("""COMPUTED_VALUE"""),"ko")</f>
        <v>ko</v>
      </c>
      <c r="B12894">
        <f>IFERROR(__xludf.DUMMYFUNCTION("""COMPUTED_VALUE"""),4276420.0)</f>
        <v>4276420</v>
      </c>
      <c r="C12894" t="str">
        <f>IFERROR(__xludf.DUMMYFUNCTION("""COMPUTED_VALUE"""),"방송에선 다 풀지 못한 영어 멘토링")</f>
        <v>방송에선 다 풀지 못한 영어 멘토링</v>
      </c>
    </row>
    <row r="12895">
      <c r="A12895" s="140" t="str">
        <f>IFERROR(__xludf.DUMMYFUNCTION("""COMPUTED_VALUE"""),"pt")</f>
        <v>pt</v>
      </c>
      <c r="B12895">
        <f>IFERROR(__xludf.DUMMYFUNCTION("""COMPUTED_VALUE"""),1523892.0)</f>
        <v>1523892</v>
      </c>
      <c r="C12895" t="str">
        <f>IFERROR(__xludf.DUMMYFUNCTION("""COMPUTED_VALUE"""),"ANÁLISE DE DADOS COM TABELA DINÂMICA - DO ZERO AO MASTER")</f>
        <v>ANÁLISE DE DADOS COM TABELA DINÂMICA - DO ZERO AO MASTER</v>
      </c>
    </row>
    <row r="12896">
      <c r="A12896" s="140" t="str">
        <f>IFERROR(__xludf.DUMMYFUNCTION("""COMPUTED_VALUE"""),"pt")</f>
        <v>pt</v>
      </c>
      <c r="B12896">
        <f>IFERROR(__xludf.DUMMYFUNCTION("""COMPUTED_VALUE"""),1756044.0)</f>
        <v>1756044</v>
      </c>
      <c r="C12896" t="str">
        <f>IFERROR(__xludf.DUMMYFUNCTION("""COMPUTED_VALUE"""),"Aprenda Machine Learning com R + Azure ML Studio + Power BI")</f>
        <v>Aprenda Machine Learning com R + Azure ML Studio + Power BI</v>
      </c>
    </row>
    <row r="12897">
      <c r="A12897" s="140" t="str">
        <f>IFERROR(__xludf.DUMMYFUNCTION("""COMPUTED_VALUE"""),"en")</f>
        <v>en</v>
      </c>
      <c r="B12897">
        <f>IFERROR(__xludf.DUMMYFUNCTION("""COMPUTED_VALUE"""),1333400.0)</f>
        <v>1333400</v>
      </c>
      <c r="C12897" t="str">
        <f>IFERROR(__xludf.DUMMYFUNCTION("""COMPUTED_VALUE"""),"Intro to Branding")</f>
        <v>Intro to Branding</v>
      </c>
    </row>
    <row r="12898">
      <c r="A12898" s="140" t="str">
        <f>IFERROR(__xludf.DUMMYFUNCTION("""COMPUTED_VALUE"""),"en")</f>
        <v>en</v>
      </c>
      <c r="B12898">
        <f>IFERROR(__xludf.DUMMYFUNCTION("""COMPUTED_VALUE"""),2916422.0)</f>
        <v>2916422</v>
      </c>
      <c r="C12898" t="str">
        <f>IFERROR(__xludf.DUMMYFUNCTION("""COMPUTED_VALUE"""),"Data Science/MachineLearning Project Deployment Mastery 2022")</f>
        <v>Data Science/MachineLearning Project Deployment Mastery 2022</v>
      </c>
    </row>
    <row r="12899">
      <c r="A12899" s="140" t="str">
        <f>IFERROR(__xludf.DUMMYFUNCTION("""COMPUTED_VALUE"""),"en")</f>
        <v>en</v>
      </c>
      <c r="B12899">
        <f>IFERROR(__xludf.DUMMYFUNCTION("""COMPUTED_VALUE"""),1784614.0)</f>
        <v>1784614</v>
      </c>
      <c r="C12899" t="str">
        <f>IFERROR(__xludf.DUMMYFUNCTION("""COMPUTED_VALUE"""),"3ds Max + Vray: Advanced Architectural Exteriors")</f>
        <v>3ds Max + Vray: Advanced Architectural Exteriors</v>
      </c>
    </row>
    <row r="12900">
      <c r="A12900" s="140" t="str">
        <f>IFERROR(__xludf.DUMMYFUNCTION("""COMPUTED_VALUE"""),"fr")</f>
        <v>fr</v>
      </c>
      <c r="B12900">
        <f>IFERROR(__xludf.DUMMYFUNCTION("""COMPUTED_VALUE"""),2167962.0)</f>
        <v>2167962</v>
      </c>
      <c r="C12900" t="str">
        <f>IFERROR(__xludf.DUMMYFUNCTION("""COMPUTED_VALUE"""),"Blender 2.8 pour débutant - Création d'un sabre pour Unity")</f>
        <v>Blender 2.8 pour débutant - Création d'un sabre pour Unity</v>
      </c>
    </row>
    <row r="12901">
      <c r="A12901" s="140" t="str">
        <f>IFERROR(__xludf.DUMMYFUNCTION("""COMPUTED_VALUE"""),"en")</f>
        <v>en</v>
      </c>
      <c r="B12901">
        <f>IFERROR(__xludf.DUMMYFUNCTION("""COMPUTED_VALUE"""),1554318.0)</f>
        <v>1554318</v>
      </c>
      <c r="C12901" t="str">
        <f>IFERROR(__xludf.DUMMYFUNCTION("""COMPUTED_VALUE"""),"Materialize CSS From Scratch With 5 Projects")</f>
        <v>Materialize CSS From Scratch With 5 Projects</v>
      </c>
    </row>
    <row r="12902">
      <c r="A12902" s="140" t="str">
        <f>IFERROR(__xludf.DUMMYFUNCTION("""COMPUTED_VALUE"""),"tr")</f>
        <v>tr</v>
      </c>
      <c r="B12902">
        <f>IFERROR(__xludf.DUMMYFUNCTION("""COMPUTED_VALUE"""),3640788.0)</f>
        <v>3640788</v>
      </c>
      <c r="C12902" t="str">
        <f>IFERROR(__xludf.DUMMYFUNCTION("""COMPUTED_VALUE"""),"Sıfırdan Microsoft Excel Eğitimi")</f>
        <v>Sıfırdan Microsoft Excel Eğitimi</v>
      </c>
    </row>
    <row r="12903">
      <c r="A12903" s="140" t="str">
        <f>IFERROR(__xludf.DUMMYFUNCTION("""COMPUTED_VALUE"""),"en")</f>
        <v>en</v>
      </c>
      <c r="B12903">
        <f>IFERROR(__xludf.DUMMYFUNCTION("""COMPUTED_VALUE"""),3709704.0)</f>
        <v>3709704</v>
      </c>
      <c r="C12903" t="str">
        <f>IFERROR(__xludf.DUMMYFUNCTION("""COMPUTED_VALUE"""),"Infrastructure as Code, Master AWS Cloud Development Kit CDK")</f>
        <v>Infrastructure as Code, Master AWS Cloud Development Kit CDK</v>
      </c>
    </row>
    <row r="12904">
      <c r="A12904" s="140" t="str">
        <f>IFERROR(__xludf.DUMMYFUNCTION("""COMPUTED_VALUE"""),"en")</f>
        <v>en</v>
      </c>
      <c r="B12904">
        <f>IFERROR(__xludf.DUMMYFUNCTION("""COMPUTED_VALUE"""),2726392.0)</f>
        <v>2726392</v>
      </c>
      <c r="C12904" t="str">
        <f>IFERROR(__xludf.DUMMYFUNCTION("""COMPUTED_VALUE"""),"Mastering Salesforce DX and Visual Studio Code")</f>
        <v>Mastering Salesforce DX and Visual Studio Code</v>
      </c>
    </row>
    <row r="12905">
      <c r="A12905" s="140" t="str">
        <f>IFERROR(__xludf.DUMMYFUNCTION("""COMPUTED_VALUE"""),"en")</f>
        <v>en</v>
      </c>
      <c r="B12905">
        <f>IFERROR(__xludf.DUMMYFUNCTION("""COMPUTED_VALUE"""),1004134.0)</f>
        <v>1004134</v>
      </c>
      <c r="C12905" t="str">
        <f>IFERROR(__xludf.DUMMYFUNCTION("""COMPUTED_VALUE"""),"React JS + Angular + Rails 5 Bootcamp")</f>
        <v>React JS + Angular + Rails 5 Bootcamp</v>
      </c>
    </row>
    <row r="12906">
      <c r="A12906" s="140" t="str">
        <f>IFERROR(__xludf.DUMMYFUNCTION("""COMPUTED_VALUE"""),"en")</f>
        <v>en</v>
      </c>
      <c r="B12906">
        <f>IFERROR(__xludf.DUMMYFUNCTION("""COMPUTED_VALUE"""),1297994.0)</f>
        <v>1297994</v>
      </c>
      <c r="C12906" t="str">
        <f>IFERROR(__xludf.DUMMYFUNCTION("""COMPUTED_VALUE"""),"Design Patterns in Swift")</f>
        <v>Design Patterns in Swift</v>
      </c>
    </row>
    <row r="12907">
      <c r="A12907" s="140" t="str">
        <f>IFERROR(__xludf.DUMMYFUNCTION("""COMPUTED_VALUE"""),"en")</f>
        <v>en</v>
      </c>
      <c r="B12907">
        <f>IFERROR(__xludf.DUMMYFUNCTION("""COMPUTED_VALUE"""),1136678.0)</f>
        <v>1136678</v>
      </c>
      <c r="C12907" t="str">
        <f>IFERROR(__xludf.DUMMYFUNCTION("""COMPUTED_VALUE"""),"How to Work with Interior Design Styles Like a Pro")</f>
        <v>How to Work with Interior Design Styles Like a Pro</v>
      </c>
    </row>
    <row r="12908">
      <c r="A12908" s="140" t="str">
        <f>IFERROR(__xludf.DUMMYFUNCTION("""COMPUTED_VALUE"""),"en")</f>
        <v>en</v>
      </c>
      <c r="B12908">
        <f>IFERROR(__xludf.DUMMYFUNCTION("""COMPUTED_VALUE"""),491352.0)</f>
        <v>491352</v>
      </c>
      <c r="C12908" t="str">
        <f>IFERROR(__xludf.DUMMYFUNCTION("""COMPUTED_VALUE"""),"Java Masterclass - Beginner to Expert Guide: Java &amp; JavaFX")</f>
        <v>Java Masterclass - Beginner to Expert Guide: Java &amp; JavaFX</v>
      </c>
    </row>
    <row r="12909">
      <c r="A12909" s="140" t="str">
        <f>IFERROR(__xludf.DUMMYFUNCTION("""COMPUTED_VALUE"""),"en")</f>
        <v>en</v>
      </c>
      <c r="B12909">
        <f>IFERROR(__xludf.DUMMYFUNCTION("""COMPUTED_VALUE"""),2177726.0)</f>
        <v>2177726</v>
      </c>
      <c r="C12909" t="str">
        <f>IFERROR(__xludf.DUMMYFUNCTION("""COMPUTED_VALUE"""),"Apache NiFi Complete Master Course - HDP - Automation ETL")</f>
        <v>Apache NiFi Complete Master Course - HDP - Automation ETL</v>
      </c>
    </row>
    <row r="12910">
      <c r="A12910" s="140" t="str">
        <f>IFERROR(__xludf.DUMMYFUNCTION("""COMPUTED_VALUE"""),"de")</f>
        <v>de</v>
      </c>
      <c r="B12910">
        <f>IFERROR(__xludf.DUMMYFUNCTION("""COMPUTED_VALUE"""),1740282.0)</f>
        <v>1740282</v>
      </c>
      <c r="C12910" t="str">
        <f>IFERROR(__xludf.DUMMYFUNCTION("""COMPUTED_VALUE"""),"Microsoft Excel für Präsentationen, Pivot Tabellen &amp; Druck")</f>
        <v>Microsoft Excel für Präsentationen, Pivot Tabellen &amp; Druck</v>
      </c>
    </row>
    <row r="12911">
      <c r="A12911" s="140" t="str">
        <f>IFERROR(__xludf.DUMMYFUNCTION("""COMPUTED_VALUE"""),"en")</f>
        <v>en</v>
      </c>
      <c r="B12911">
        <f>IFERROR(__xludf.DUMMYFUNCTION("""COMPUTED_VALUE"""),437378.0)</f>
        <v>437378</v>
      </c>
      <c r="C12911" t="str">
        <f>IFERROR(__xludf.DUMMYFUNCTION("""COMPUTED_VALUE"""),"CCIE Routing &amp; Switching Version 5.0 - VPN")</f>
        <v>CCIE Routing &amp; Switching Version 5.0 - VPN</v>
      </c>
    </row>
    <row r="12912">
      <c r="A12912" s="140" t="str">
        <f>IFERROR(__xludf.DUMMYFUNCTION("""COMPUTED_VALUE"""),"en")</f>
        <v>en</v>
      </c>
      <c r="B12912">
        <f>IFERROR(__xludf.DUMMYFUNCTION("""COMPUTED_VALUE"""),1319066.0)</f>
        <v>1319066</v>
      </c>
      <c r="C12912" t="str">
        <f>IFERROR(__xludf.DUMMYFUNCTION("""COMPUTED_VALUE"""),"Unreal C++ Multiplayer Master: Intermediate Game Development")</f>
        <v>Unreal C++ Multiplayer Master: Intermediate Game Development</v>
      </c>
    </row>
    <row r="12913">
      <c r="A12913" s="140" t="str">
        <f>IFERROR(__xludf.DUMMYFUNCTION("""COMPUTED_VALUE"""),"en")</f>
        <v>en</v>
      </c>
      <c r="B12913">
        <f>IFERROR(__xludf.DUMMYFUNCTION("""COMPUTED_VALUE"""),1025822.0)</f>
        <v>1025822</v>
      </c>
      <c r="C12913" t="str">
        <f>IFERROR(__xludf.DUMMYFUNCTION("""COMPUTED_VALUE"""),"Business Analysis Modeling Skills &amp; Techniques")</f>
        <v>Business Analysis Modeling Skills &amp; Techniques</v>
      </c>
    </row>
    <row r="12914">
      <c r="A12914" s="140" t="str">
        <f>IFERROR(__xludf.DUMMYFUNCTION("""COMPUTED_VALUE"""),"en")</f>
        <v>en</v>
      </c>
      <c r="B12914">
        <f>IFERROR(__xludf.DUMMYFUNCTION("""COMPUTED_VALUE"""),3158442.0)</f>
        <v>3158442</v>
      </c>
      <c r="C12914" t="str">
        <f>IFERROR(__xludf.DUMMYFUNCTION("""COMPUTED_VALUE"""),"Logistics of Warehouse Operations in Supply Chain Management")</f>
        <v>Logistics of Warehouse Operations in Supply Chain Management</v>
      </c>
    </row>
    <row r="12915">
      <c r="A12915" s="140" t="str">
        <f>IFERROR(__xludf.DUMMYFUNCTION("""COMPUTED_VALUE"""),"en")</f>
        <v>en</v>
      </c>
      <c r="B12915">
        <f>IFERROR(__xludf.DUMMYFUNCTION("""COMPUTED_VALUE"""),2983406.0)</f>
        <v>2983406</v>
      </c>
      <c r="C12915" t="str">
        <f>IFERROR(__xludf.DUMMYFUNCTION("""COMPUTED_VALUE"""),"AWS Certified Cloud Practitioner - Essentials Course-2021")</f>
        <v>AWS Certified Cloud Practitioner - Essentials Course-2021</v>
      </c>
    </row>
    <row r="12916">
      <c r="A12916" s="140" t="str">
        <f>IFERROR(__xludf.DUMMYFUNCTION("""COMPUTED_VALUE"""),"es")</f>
        <v>es</v>
      </c>
      <c r="B12916">
        <f>IFERROR(__xludf.DUMMYFUNCTION("""COMPUTED_VALUE"""),2382491.0)</f>
        <v>2382491</v>
      </c>
      <c r="C12916" t="str">
        <f>IFERROR(__xludf.DUMMYFUNCTION("""COMPUTED_VALUE"""),"Hacking con Metasploit desde cero")</f>
        <v>Hacking con Metasploit desde cero</v>
      </c>
    </row>
    <row r="12917">
      <c r="A12917" s="140" t="str">
        <f>IFERROR(__xludf.DUMMYFUNCTION("""COMPUTED_VALUE"""),"en")</f>
        <v>en</v>
      </c>
      <c r="B12917">
        <f>IFERROR(__xludf.DUMMYFUNCTION("""COMPUTED_VALUE"""),2397370.0)</f>
        <v>2397370</v>
      </c>
      <c r="C12917" t="str">
        <f>IFERROR(__xludf.DUMMYFUNCTION("""COMPUTED_VALUE"""),"MINDFULNESS MEDITATION with Jack Kornfield")</f>
        <v>MINDFULNESS MEDITATION with Jack Kornfield</v>
      </c>
    </row>
    <row r="12918">
      <c r="A12918" s="140" t="str">
        <f>IFERROR(__xludf.DUMMYFUNCTION("""COMPUTED_VALUE"""),"ja")</f>
        <v>ja</v>
      </c>
      <c r="B12918">
        <f>IFERROR(__xludf.DUMMYFUNCTION("""COMPUTED_VALUE"""),2331992.0)</f>
        <v>2331992</v>
      </c>
      <c r="C12918" t="str">
        <f>IFERROR(__xludf.DUMMYFUNCTION("""COMPUTED_VALUE"""),"Docker + Kubernetes で構築する Webアプリケーション 実践講座")</f>
        <v>Docker + Kubernetes で構築する Webアプリケーション 実践講座</v>
      </c>
    </row>
    <row r="12919">
      <c r="A12919" s="140" t="str">
        <f>IFERROR(__xludf.DUMMYFUNCTION("""COMPUTED_VALUE"""),"ja")</f>
        <v>ja</v>
      </c>
      <c r="B12919">
        <f>IFERROR(__xludf.DUMMYFUNCTION("""COMPUTED_VALUE"""),4030628.0)</f>
        <v>4030628</v>
      </c>
      <c r="C12919" t="str">
        <f>IFERROR(__xludf.DUMMYFUNCTION("""COMPUTED_VALUE"""),"ミニアニメで解説！やさしいDX・IT用語入門")</f>
        <v>ミニアニメで解説！やさしいDX・IT用語入門</v>
      </c>
    </row>
    <row r="12920">
      <c r="A12920" s="140" t="str">
        <f>IFERROR(__xludf.DUMMYFUNCTION("""COMPUTED_VALUE"""),"es")</f>
        <v>es</v>
      </c>
      <c r="B12920">
        <f>IFERROR(__xludf.DUMMYFUNCTION("""COMPUTED_VALUE"""),3116878.0)</f>
        <v>3116878</v>
      </c>
      <c r="C12920" t="str">
        <f>IFERROR(__xludf.DUMMYFUNCTION("""COMPUTED_VALUE"""),"Google Sheets Intermedio: Domina la alternativa a Excel")</f>
        <v>Google Sheets Intermedio: Domina la alternativa a Excel</v>
      </c>
    </row>
    <row r="12921">
      <c r="A12921" s="140" t="str">
        <f>IFERROR(__xludf.DUMMYFUNCTION("""COMPUTED_VALUE"""),"es")</f>
        <v>es</v>
      </c>
      <c r="B12921">
        <f>IFERROR(__xludf.DUMMYFUNCTION("""COMPUTED_VALUE"""),2423588.0)</f>
        <v>2423588</v>
      </c>
      <c r="C12921" t="str">
        <f>IFERROR(__xludf.DUMMYFUNCTION("""COMPUTED_VALUE"""),"Estadística para Data Science y análisis de negocios 2022")</f>
        <v>Estadística para Data Science y análisis de negocios 2022</v>
      </c>
    </row>
    <row r="12922">
      <c r="A12922" s="140" t="str">
        <f>IFERROR(__xludf.DUMMYFUNCTION("""COMPUTED_VALUE"""),"ja")</f>
        <v>ja</v>
      </c>
      <c r="B12922">
        <f>IFERROR(__xludf.DUMMYFUNCTION("""COMPUTED_VALUE"""),3807504.0)</f>
        <v>3807504</v>
      </c>
      <c r="C12922" t="str">
        <f>IFERROR(__xludf.DUMMYFUNCTION("""COMPUTED_VALUE"""),"みんなのコンピュータサイエンス講座 -PythonとGoogle Colaboratoryで学ぶ計算機科学の基礎-")</f>
        <v>みんなのコンピュータサイエンス講座 -PythonとGoogle Colaboratoryで学ぶ計算機科学の基礎-</v>
      </c>
    </row>
    <row r="12923">
      <c r="A12923" s="140" t="str">
        <f>IFERROR(__xludf.DUMMYFUNCTION("""COMPUTED_VALUE"""),"pt")</f>
        <v>pt</v>
      </c>
      <c r="B12923">
        <f>IFERROR(__xludf.DUMMYFUNCTION("""COMPUTED_VALUE"""),1099900.0)</f>
        <v>1099900</v>
      </c>
      <c r="C12923" t="str">
        <f>IFERROR(__xludf.DUMMYFUNCTION("""COMPUTED_VALUE"""),"Linguagem de programação C# - Avançado")</f>
        <v>Linguagem de programação C# - Avançado</v>
      </c>
    </row>
    <row r="12924">
      <c r="A12924" s="140" t="str">
        <f>IFERROR(__xludf.DUMMYFUNCTION("""COMPUTED_VALUE"""),"en")</f>
        <v>en</v>
      </c>
      <c r="B12924">
        <f>IFERROR(__xludf.DUMMYFUNCTION("""COMPUTED_VALUE"""),1790710.0)</f>
        <v>1790710</v>
      </c>
      <c r="C12924" t="str">
        <f>IFERROR(__xludf.DUMMYFUNCTION("""COMPUTED_VALUE"""),"[2021] Optimized Interview: For Hiring Managers &amp; Recruiters")</f>
        <v>[2021] Optimized Interview: For Hiring Managers &amp; Recruiters</v>
      </c>
    </row>
    <row r="12925">
      <c r="A12925" s="140" t="str">
        <f>IFERROR(__xludf.DUMMYFUNCTION("""COMPUTED_VALUE"""),"en")</f>
        <v>en</v>
      </c>
      <c r="B12925">
        <f>IFERROR(__xludf.DUMMYFUNCTION("""COMPUTED_VALUE"""),647410.0)</f>
        <v>647410</v>
      </c>
      <c r="C12925" t="str">
        <f>IFERROR(__xludf.DUMMYFUNCTION("""COMPUTED_VALUE"""),"Business Process Modeling A-Z™: Learn BPMN 2.0 From Scratch")</f>
        <v>Business Process Modeling A-Z™: Learn BPMN 2.0 From Scratch</v>
      </c>
    </row>
    <row r="12926">
      <c r="A12926" s="140" t="str">
        <f>IFERROR(__xludf.DUMMYFUNCTION("""COMPUTED_VALUE"""),"en")</f>
        <v>en</v>
      </c>
      <c r="B12926">
        <f>IFERROR(__xludf.DUMMYFUNCTION("""COMPUTED_VALUE"""),2890668.0)</f>
        <v>2890668</v>
      </c>
      <c r="C12926" t="str">
        <f>IFERROR(__xludf.DUMMYFUNCTION("""COMPUTED_VALUE"""),"Pass the Exam: CompTIA Project+ PK0-004")</f>
        <v>Pass the Exam: CompTIA Project+ PK0-004</v>
      </c>
    </row>
    <row r="12927">
      <c r="A12927" s="140" t="str">
        <f>IFERROR(__xludf.DUMMYFUNCTION("""COMPUTED_VALUE"""),"de")</f>
        <v>de</v>
      </c>
      <c r="B12927">
        <f>IFERROR(__xludf.DUMMYFUNCTION("""COMPUTED_VALUE"""),1280880.0)</f>
        <v>1280880</v>
      </c>
      <c r="C12927" t="str">
        <f>IFERROR(__xludf.DUMMYFUNCTION("""COMPUTED_VALUE"""),"50 Tipps um deine Fotos professioneller aussehen zu lassen!")</f>
        <v>50 Tipps um deine Fotos professioneller aussehen zu lassen!</v>
      </c>
    </row>
    <row r="12928">
      <c r="A12928" s="140" t="str">
        <f>IFERROR(__xludf.DUMMYFUNCTION("""COMPUTED_VALUE"""),"pt")</f>
        <v>pt</v>
      </c>
      <c r="B12928">
        <f>IFERROR(__xludf.DUMMYFUNCTION("""COMPUTED_VALUE"""),1409018.0)</f>
        <v>1409018</v>
      </c>
      <c r="C12928" t="str">
        <f>IFERROR(__xludf.DUMMYFUNCTION("""COMPUTED_VALUE"""),"Banco de dados Expert:  Linguagem SQL  e Administração.")</f>
        <v>Banco de dados Expert:  Linguagem SQL  e Administração.</v>
      </c>
    </row>
    <row r="12929">
      <c r="A12929" s="140" t="str">
        <f>IFERROR(__xludf.DUMMYFUNCTION("""COMPUTED_VALUE"""),"pt")</f>
        <v>pt</v>
      </c>
      <c r="B12929">
        <f>IFERROR(__xludf.DUMMYFUNCTION("""COMPUTED_VALUE"""),2445530.0)</f>
        <v>2445530</v>
      </c>
      <c r="C12929" t="str">
        <f>IFERROR(__xludf.DUMMYFUNCTION("""COMPUTED_VALUE"""),"Programação Web com Python e Django Framework: Essencial")</f>
        <v>Programação Web com Python e Django Framework: Essencial</v>
      </c>
    </row>
    <row r="12930">
      <c r="A12930" s="140" t="str">
        <f>IFERROR(__xludf.DUMMYFUNCTION("""COMPUTED_VALUE"""),"de")</f>
        <v>de</v>
      </c>
      <c r="B12930">
        <f>IFERROR(__xludf.DUMMYFUNCTION("""COMPUTED_VALUE"""),2662904.0)</f>
        <v>2662904</v>
      </c>
      <c r="C12930" t="str">
        <f>IFERROR(__xludf.DUMMYFUNCTION("""COMPUTED_VALUE"""),"Aktien, Börse und Finanzen Meisterkurs")</f>
        <v>Aktien, Börse und Finanzen Meisterkurs</v>
      </c>
    </row>
    <row r="12931">
      <c r="A12931" s="140" t="str">
        <f>IFERROR(__xludf.DUMMYFUNCTION("""COMPUTED_VALUE"""),"en")</f>
        <v>en</v>
      </c>
      <c r="B12931">
        <f>IFERROR(__xludf.DUMMYFUNCTION("""COMPUTED_VALUE"""),2057325.0)</f>
        <v>2057325</v>
      </c>
      <c r="C12931" t="str">
        <f>IFERROR(__xludf.DUMMYFUNCTION("""COMPUTED_VALUE"""),"Complete Trello Fundamentals - Beginners to Advanced")</f>
        <v>Complete Trello Fundamentals - Beginners to Advanced</v>
      </c>
    </row>
    <row r="12932">
      <c r="A12932" s="140" t="str">
        <f>IFERROR(__xludf.DUMMYFUNCTION("""COMPUTED_VALUE"""),"en")</f>
        <v>en</v>
      </c>
      <c r="B12932">
        <f>IFERROR(__xludf.DUMMYFUNCTION("""COMPUTED_VALUE"""),879532.0)</f>
        <v>879532</v>
      </c>
      <c r="C12932" t="str">
        <f>IFERROR(__xludf.DUMMYFUNCTION("""COMPUTED_VALUE"""),"Adobe Animate CC 2018 - HTML5 Banner Ads")</f>
        <v>Adobe Animate CC 2018 - HTML5 Banner Ads</v>
      </c>
    </row>
    <row r="12933">
      <c r="A12933" s="140" t="str">
        <f>IFERROR(__xludf.DUMMYFUNCTION("""COMPUTED_VALUE"""),"en")</f>
        <v>en</v>
      </c>
      <c r="B12933">
        <f>IFERROR(__xludf.DUMMYFUNCTION("""COMPUTED_VALUE"""),4284250.0)</f>
        <v>4284250</v>
      </c>
      <c r="C12933" t="str">
        <f>IFERROR(__xludf.DUMMYFUNCTION("""COMPUTED_VALUE"""),"YAML Zero to Master")</f>
        <v>YAML Zero to Master</v>
      </c>
    </row>
    <row r="12934">
      <c r="A12934" s="140" t="str">
        <f>IFERROR(__xludf.DUMMYFUNCTION("""COMPUTED_VALUE"""),"pt")</f>
        <v>pt</v>
      </c>
      <c r="B12934">
        <f>IFERROR(__xludf.DUMMYFUNCTION("""COMPUTED_VALUE"""),2638486.0)</f>
        <v>2638486</v>
      </c>
      <c r="C12934" t="str">
        <f>IFERROR(__xludf.DUMMYFUNCTION("""COMPUTED_VALUE"""),"IT Support Management: Central de Serviços de TI")</f>
        <v>IT Support Management: Central de Serviços de TI</v>
      </c>
    </row>
    <row r="12935">
      <c r="A12935" s="140" t="str">
        <f>IFERROR(__xludf.DUMMYFUNCTION("""COMPUTED_VALUE"""),"en")</f>
        <v>en</v>
      </c>
      <c r="B12935">
        <f>IFERROR(__xludf.DUMMYFUNCTION("""COMPUTED_VALUE"""),3315948.0)</f>
        <v>3315948</v>
      </c>
      <c r="C12935" t="str">
        <f>IFERROR(__xludf.DUMMYFUNCTION("""COMPUTED_VALUE"""),"AI-100: Designing and Implementing an Azure AI Solutions")</f>
        <v>AI-100: Designing and Implementing an Azure AI Solutions</v>
      </c>
    </row>
    <row r="12936">
      <c r="A12936" s="140" t="str">
        <f>IFERROR(__xludf.DUMMYFUNCTION("""COMPUTED_VALUE"""),"en")</f>
        <v>en</v>
      </c>
      <c r="B12936">
        <f>IFERROR(__xludf.DUMMYFUNCTION("""COMPUTED_VALUE"""),1453846.0)</f>
        <v>1453846</v>
      </c>
      <c r="C12936" t="str">
        <f>IFERROR(__xludf.DUMMYFUNCTION("""COMPUTED_VALUE"""),"77-727 Microsoft Excel 2016 Core Certification")</f>
        <v>77-727 Microsoft Excel 2016 Core Certification</v>
      </c>
    </row>
    <row r="12937">
      <c r="A12937" s="140" t="str">
        <f>IFERROR(__xludf.DUMMYFUNCTION("""COMPUTED_VALUE"""),"es")</f>
        <v>es</v>
      </c>
      <c r="B12937">
        <f>IFERROR(__xludf.DUMMYFUNCTION("""COMPUTED_VALUE"""),2306140.0)</f>
        <v>2306140</v>
      </c>
      <c r="C12937" t="str">
        <f>IFERROR(__xludf.DUMMYFUNCTION("""COMPUTED_VALUE"""),"Flutter: Tu guía completa de desarrollo para IOS y Android")</f>
        <v>Flutter: Tu guía completa de desarrollo para IOS y Android</v>
      </c>
    </row>
    <row r="12938">
      <c r="A12938" s="140" t="str">
        <f>IFERROR(__xludf.DUMMYFUNCTION("""COMPUTED_VALUE"""),"fr")</f>
        <v>fr</v>
      </c>
      <c r="B12938">
        <f>IFERROR(__xludf.DUMMYFUNCTION("""COMPUTED_VALUE"""),3748772.0)</f>
        <v>3748772</v>
      </c>
      <c r="C12938" t="str">
        <f>IFERROR(__xludf.DUMMYFUNCTION("""COMPUTED_VALUE"""),"Gestion de Projet Agile - Scrum, dernière édition")</f>
        <v>Gestion de Projet Agile - Scrum, dernière édition</v>
      </c>
    </row>
    <row r="12939">
      <c r="A12939" s="140" t="str">
        <f>IFERROR(__xludf.DUMMYFUNCTION("""COMPUTED_VALUE"""),"en")</f>
        <v>en</v>
      </c>
      <c r="B12939">
        <f>IFERROR(__xludf.DUMMYFUNCTION("""COMPUTED_VALUE"""),382786.0)</f>
        <v>382786</v>
      </c>
      <c r="C12939" t="str">
        <f>IFERROR(__xludf.DUMMYFUNCTION("""COMPUTED_VALUE"""),"Sass Workflow")</f>
        <v>Sass Workflow</v>
      </c>
    </row>
    <row r="12940">
      <c r="A12940" s="140" t="str">
        <f>IFERROR(__xludf.DUMMYFUNCTION("""COMPUTED_VALUE"""),"pt")</f>
        <v>pt</v>
      </c>
      <c r="B12940">
        <f>IFERROR(__xludf.DUMMYFUNCTION("""COMPUTED_VALUE"""),2802609.0)</f>
        <v>2802609</v>
      </c>
      <c r="C12940" t="str">
        <f>IFERROR(__xludf.DUMMYFUNCTION("""COMPUTED_VALUE"""),"Git e Github Essencial para o Desenvolvedor")</f>
        <v>Git e Github Essencial para o Desenvolvedor</v>
      </c>
    </row>
    <row r="12941">
      <c r="A12941" s="140" t="str">
        <f>IFERROR(__xludf.DUMMYFUNCTION("""COMPUTED_VALUE"""),"en")</f>
        <v>en</v>
      </c>
      <c r="B12941">
        <f>IFERROR(__xludf.DUMMYFUNCTION("""COMPUTED_VALUE"""),1426946.0)</f>
        <v>1426946</v>
      </c>
      <c r="C12941" t="str">
        <f>IFERROR(__xludf.DUMMYFUNCTION("""COMPUTED_VALUE"""),"How to Master Hiring: Pick the right candidate every time")</f>
        <v>How to Master Hiring: Pick the right candidate every time</v>
      </c>
    </row>
    <row r="12942">
      <c r="A12942" s="140" t="str">
        <f>IFERROR(__xludf.DUMMYFUNCTION("""COMPUTED_VALUE"""),"es")</f>
        <v>es</v>
      </c>
      <c r="B12942">
        <f>IFERROR(__xludf.DUMMYFUNCTION("""COMPUTED_VALUE"""),1553300.0)</f>
        <v>1553300</v>
      </c>
      <c r="C12942" t="str">
        <f>IFERROR(__xludf.DUMMYFUNCTION("""COMPUTED_VALUE"""),"VPS Linux en DigitalOcean: Tu Guía creando Proyectos Reales")</f>
        <v>VPS Linux en DigitalOcean: Tu Guía creando Proyectos Reales</v>
      </c>
    </row>
    <row r="12943">
      <c r="A12943" s="140" t="str">
        <f>IFERROR(__xludf.DUMMYFUNCTION("""COMPUTED_VALUE"""),"en")</f>
        <v>en</v>
      </c>
      <c r="B12943">
        <f>IFERROR(__xludf.DUMMYFUNCTION("""COMPUTED_VALUE"""),1111250.0)</f>
        <v>1111250</v>
      </c>
      <c r="C12943" t="str">
        <f>IFERROR(__xludf.DUMMYFUNCTION("""COMPUTED_VALUE"""),"How to Make a Successful Move Abroad: Easy Transition Guide")</f>
        <v>How to Make a Successful Move Abroad: Easy Transition Guide</v>
      </c>
    </row>
    <row r="12944">
      <c r="A12944" s="140" t="str">
        <f>IFERROR(__xludf.DUMMYFUNCTION("""COMPUTED_VALUE"""),"en")</f>
        <v>en</v>
      </c>
      <c r="B12944">
        <f>IFERROR(__xludf.DUMMYFUNCTION("""COMPUTED_VALUE"""),1166548.0)</f>
        <v>1166548</v>
      </c>
      <c r="C12944" t="str">
        <f>IFERROR(__xludf.DUMMYFUNCTION("""COMPUTED_VALUE"""),"Introduction to Oracle Database Backup and Security")</f>
        <v>Introduction to Oracle Database Backup and Security</v>
      </c>
    </row>
    <row r="12945">
      <c r="A12945" s="140" t="str">
        <f>IFERROR(__xludf.DUMMYFUNCTION("""COMPUTED_VALUE"""),"pt")</f>
        <v>pt</v>
      </c>
      <c r="B12945">
        <f>IFERROR(__xludf.DUMMYFUNCTION("""COMPUTED_VALUE"""),2315252.0)</f>
        <v>2315252</v>
      </c>
      <c r="C12945" t="str">
        <f>IFERROR(__xludf.DUMMYFUNCTION("""COMPUTED_VALUE"""),"Aprendendo Domain Driven Design (DDD) do zero")</f>
        <v>Aprendendo Domain Driven Design (DDD) do zero</v>
      </c>
    </row>
    <row r="12946">
      <c r="A12946" s="140" t="str">
        <f>IFERROR(__xludf.DUMMYFUNCTION("""COMPUTED_VALUE"""),"es")</f>
        <v>es</v>
      </c>
      <c r="B12946">
        <f>IFERROR(__xludf.DUMMYFUNCTION("""COMPUTED_VALUE"""),3716784.0)</f>
        <v>3716784</v>
      </c>
      <c r="C12946" t="str">
        <f>IFERROR(__xludf.DUMMYFUNCTION("""COMPUTED_VALUE"""),"Curso completo de Microsoft Outlook.")</f>
        <v>Curso completo de Microsoft Outlook.</v>
      </c>
    </row>
    <row r="12947">
      <c r="A12947" s="140" t="str">
        <f>IFERROR(__xludf.DUMMYFUNCTION("""COMPUTED_VALUE"""),"en")</f>
        <v>en</v>
      </c>
      <c r="B12947">
        <f>IFERROR(__xludf.DUMMYFUNCTION("""COMPUTED_VALUE"""),363274.0)</f>
        <v>363274</v>
      </c>
      <c r="C12947" t="str">
        <f>IFERROR(__xludf.DUMMYFUNCTION("""COMPUTED_VALUE"""),"Workplace Communication: You Can Speak Up at Meetings!")</f>
        <v>Workplace Communication: You Can Speak Up at Meetings!</v>
      </c>
    </row>
    <row r="12948">
      <c r="A12948" s="140" t="str">
        <f>IFERROR(__xludf.DUMMYFUNCTION("""COMPUTED_VALUE"""),"es")</f>
        <v>es</v>
      </c>
      <c r="B12948">
        <f>IFERROR(__xludf.DUMMYFUNCTION("""COMPUTED_VALUE"""),1693194.0)</f>
        <v>1693194</v>
      </c>
      <c r="C12948" t="str">
        <f>IFERROR(__xludf.DUMMYFUNCTION("""COMPUTED_VALUE"""),"LinkedIn Marketing para Empresas, Ventas B2B y Autónomos")</f>
        <v>LinkedIn Marketing para Empresas, Ventas B2B y Autónomos</v>
      </c>
    </row>
    <row r="12949">
      <c r="A12949" s="140" t="str">
        <f>IFERROR(__xludf.DUMMYFUNCTION("""COMPUTED_VALUE"""),"en")</f>
        <v>en</v>
      </c>
      <c r="B12949">
        <f>IFERROR(__xludf.DUMMYFUNCTION("""COMPUTED_VALUE"""),995334.0)</f>
        <v>995334</v>
      </c>
      <c r="C12949" t="str">
        <f>IFERROR(__xludf.DUMMYFUNCTION("""COMPUTED_VALUE"""),"Arduino  FreeRTOS  From Ground Up™ : Build RealTime Projects")</f>
        <v>Arduino  FreeRTOS  From Ground Up™ : Build RealTime Projects</v>
      </c>
    </row>
    <row r="12950">
      <c r="A12950" s="140" t="str">
        <f>IFERROR(__xludf.DUMMYFUNCTION("""COMPUTED_VALUE"""),"en")</f>
        <v>en</v>
      </c>
      <c r="B12950">
        <f>IFERROR(__xludf.DUMMYFUNCTION("""COMPUTED_VALUE"""),3328722.0)</f>
        <v>3328722</v>
      </c>
      <c r="C12950" t="str">
        <f>IFERROR(__xludf.DUMMYFUNCTION("""COMPUTED_VALUE"""),"Project in DevOps: Jenkins CI/CD for Kubernetes Deployments")</f>
        <v>Project in DevOps: Jenkins CI/CD for Kubernetes Deployments</v>
      </c>
    </row>
    <row r="12951">
      <c r="A12951" s="140" t="str">
        <f>IFERROR(__xludf.DUMMYFUNCTION("""COMPUTED_VALUE"""),"en")</f>
        <v>en</v>
      </c>
      <c r="B12951">
        <f>IFERROR(__xludf.DUMMYFUNCTION("""COMPUTED_VALUE"""),3572821.0)</f>
        <v>3572821</v>
      </c>
      <c r="C12951" t="str">
        <f>IFERROR(__xludf.DUMMYFUNCTION("""COMPUTED_VALUE"""),"SAP Business One B1 Complete Training With Implementation")</f>
        <v>SAP Business One B1 Complete Training With Implementation</v>
      </c>
    </row>
    <row r="12952">
      <c r="A12952" s="140" t="str">
        <f>IFERROR(__xludf.DUMMYFUNCTION("""COMPUTED_VALUE"""),"en")</f>
        <v>en</v>
      </c>
      <c r="B12952">
        <f>IFERROR(__xludf.DUMMYFUNCTION("""COMPUTED_VALUE"""),875974.0)</f>
        <v>875974</v>
      </c>
      <c r="C12952" t="str">
        <f>IFERROR(__xludf.DUMMYFUNCTION("""COMPUTED_VALUE"""),"The Complete Cyber Security Course : Network Security!")</f>
        <v>The Complete Cyber Security Course : Network Security!</v>
      </c>
    </row>
    <row r="12953">
      <c r="A12953" s="140" t="str">
        <f>IFERROR(__xludf.DUMMYFUNCTION("""COMPUTED_VALUE"""),"es")</f>
        <v>es</v>
      </c>
      <c r="B12953">
        <f>IFERROR(__xludf.DUMMYFUNCTION("""COMPUTED_VALUE"""),1704410.0)</f>
        <v>1704410</v>
      </c>
      <c r="C12953" t="str">
        <f>IFERROR(__xludf.DUMMYFUNCTION("""COMPUTED_VALUE"""),"Docker, de principiante a experto")</f>
        <v>Docker, de principiante a experto</v>
      </c>
    </row>
    <row r="12954">
      <c r="A12954" s="140" t="str">
        <f>IFERROR(__xludf.DUMMYFUNCTION("""COMPUTED_VALUE"""),"es")</f>
        <v>es</v>
      </c>
      <c r="B12954">
        <f>IFERROR(__xludf.DUMMYFUNCTION("""COMPUTED_VALUE"""),1406350.0)</f>
        <v>1406350</v>
      </c>
      <c r="C12954" t="str">
        <f>IFERROR(__xludf.DUMMYFUNCTION("""COMPUTED_VALUE"""),"iOS 11 y Swift 4 - De Principiante a Experto")</f>
        <v>iOS 11 y Swift 4 - De Principiante a Experto</v>
      </c>
    </row>
    <row r="12955">
      <c r="A12955" s="140" t="str">
        <f>IFERROR(__xludf.DUMMYFUNCTION("""COMPUTED_VALUE"""),"es")</f>
        <v>es</v>
      </c>
      <c r="B12955">
        <f>IFERROR(__xludf.DUMMYFUNCTION("""COMPUTED_VALUE"""),1075490.0)</f>
        <v>1075490</v>
      </c>
      <c r="C12955" t="str">
        <f>IFERROR(__xludf.DUMMYFUNCTION("""COMPUTED_VALUE"""),"Unreal Engine desde 0: Crea 3 Juegos con Blueprints y C++")</f>
        <v>Unreal Engine desde 0: Crea 3 Juegos con Blueprints y C++</v>
      </c>
    </row>
    <row r="12956">
      <c r="A12956" s="140" t="str">
        <f>IFERROR(__xludf.DUMMYFUNCTION("""COMPUTED_VALUE"""),"en")</f>
        <v>en</v>
      </c>
      <c r="B12956">
        <f>IFERROR(__xludf.DUMMYFUNCTION("""COMPUTED_VALUE"""),1946068.0)</f>
        <v>1946068</v>
      </c>
      <c r="C12956" t="str">
        <f>IFERROR(__xludf.DUMMYFUNCTION("""COMPUTED_VALUE"""),"SDF: Weblog Forensics")</f>
        <v>SDF: Weblog Forensics</v>
      </c>
    </row>
    <row r="12957">
      <c r="A12957" s="140" t="str">
        <f>IFERROR(__xludf.DUMMYFUNCTION("""COMPUTED_VALUE"""),"en")</f>
        <v>en</v>
      </c>
      <c r="B12957">
        <f>IFERROR(__xludf.DUMMYFUNCTION("""COMPUTED_VALUE"""),2600328.0)</f>
        <v>2600328</v>
      </c>
      <c r="C12957" t="str">
        <f>IFERROR(__xludf.DUMMYFUNCTION("""COMPUTED_VALUE"""),"Complete Time Management Course  Raise Personal Productivity")</f>
        <v>Complete Time Management Course  Raise Personal Productivity</v>
      </c>
    </row>
    <row r="12958">
      <c r="A12958" s="140" t="str">
        <f>IFERROR(__xludf.DUMMYFUNCTION("""COMPUTED_VALUE"""),"en")</f>
        <v>en</v>
      </c>
      <c r="B12958">
        <f>IFERROR(__xludf.DUMMYFUNCTION("""COMPUTED_VALUE"""),827692.0)</f>
        <v>827692</v>
      </c>
      <c r="C12958" t="str">
        <f>IFERROR(__xludf.DUMMYFUNCTION("""COMPUTED_VALUE"""),"The Complete Java Certification Course")</f>
        <v>The Complete Java Certification Course</v>
      </c>
    </row>
    <row r="12959">
      <c r="A12959" s="140" t="str">
        <f>IFERROR(__xludf.DUMMYFUNCTION("""COMPUTED_VALUE"""),"pt")</f>
        <v>pt</v>
      </c>
      <c r="B12959">
        <f>IFERROR(__xludf.DUMMYFUNCTION("""COMPUTED_VALUE"""),2164394.0)</f>
        <v>2164394</v>
      </c>
      <c r="C12959" t="str">
        <f>IFERROR(__xludf.DUMMYFUNCTION("""COMPUTED_VALUE"""),"Gestão de Conflitos: PNL e Psicologia aplicados")</f>
        <v>Gestão de Conflitos: PNL e Psicologia aplicados</v>
      </c>
    </row>
    <row r="12960">
      <c r="A12960" s="140" t="str">
        <f>IFERROR(__xludf.DUMMYFUNCTION("""COMPUTED_VALUE"""),"en")</f>
        <v>en</v>
      </c>
      <c r="B12960">
        <f>IFERROR(__xludf.DUMMYFUNCTION("""COMPUTED_VALUE"""),314338.0)</f>
        <v>314338</v>
      </c>
      <c r="C12960" t="str">
        <f>IFERROR(__xludf.DUMMYFUNCTION("""COMPUTED_VALUE"""),"Lean Six Sigma Yellow Belt Online Course")</f>
        <v>Lean Six Sigma Yellow Belt Online Course</v>
      </c>
    </row>
    <row r="12961">
      <c r="A12961" s="140" t="str">
        <f>IFERROR(__xludf.DUMMYFUNCTION("""COMPUTED_VALUE"""),"pt")</f>
        <v>pt</v>
      </c>
      <c r="B12961">
        <f>IFERROR(__xludf.DUMMYFUNCTION("""COMPUTED_VALUE"""),3696670.0)</f>
        <v>3696670</v>
      </c>
      <c r="C12961" t="str">
        <f>IFERROR(__xludf.DUMMYFUNCTION("""COMPUTED_VALUE"""),"Planejamento de Conteúdo para redes sociais 2021")</f>
        <v>Planejamento de Conteúdo para redes sociais 2021</v>
      </c>
    </row>
    <row r="12962">
      <c r="A12962" s="140" t="str">
        <f>IFERROR(__xludf.DUMMYFUNCTION("""COMPUTED_VALUE"""),"en")</f>
        <v>en</v>
      </c>
      <c r="B12962">
        <f>IFERROR(__xludf.DUMMYFUNCTION("""COMPUTED_VALUE"""),2401582.0)</f>
        <v>2401582</v>
      </c>
      <c r="C12962" t="str">
        <f>IFERROR(__xludf.DUMMYFUNCTION("""COMPUTED_VALUE"""),"TOTAL: CompTIA A+ Certification (220-1001) Practice Tests.")</f>
        <v>TOTAL: CompTIA A+ Certification (220-1001) Practice Tests.</v>
      </c>
    </row>
    <row r="12963">
      <c r="A12963" s="140" t="str">
        <f>IFERROR(__xludf.DUMMYFUNCTION("""COMPUTED_VALUE"""),"en")</f>
        <v>en</v>
      </c>
      <c r="B12963">
        <f>IFERROR(__xludf.DUMMYFUNCTION("""COMPUTED_VALUE"""),970084.0)</f>
        <v>970084</v>
      </c>
      <c r="C12963" t="str">
        <f>IFERROR(__xludf.DUMMYFUNCTION("""COMPUTED_VALUE"""),"3 Minute Spanish - Course 1 | Language lessons for beginners")</f>
        <v>3 Minute Spanish - Course 1 | Language lessons for beginners</v>
      </c>
    </row>
    <row r="12964">
      <c r="A12964" s="140" t="str">
        <f>IFERROR(__xludf.DUMMYFUNCTION("""COMPUTED_VALUE"""),"en")</f>
        <v>en</v>
      </c>
      <c r="B12964">
        <f>IFERROR(__xludf.DUMMYFUNCTION("""COMPUTED_VALUE"""),1713386.0)</f>
        <v>1713386</v>
      </c>
      <c r="C12964" t="str">
        <f>IFERROR(__xludf.DUMMYFUNCTION("""COMPUTED_VALUE"""),"MacOS Apps for iOS Developers")</f>
        <v>MacOS Apps for iOS Developers</v>
      </c>
    </row>
    <row r="12965">
      <c r="A12965" s="140" t="str">
        <f>IFERROR(__xludf.DUMMYFUNCTION("""COMPUTED_VALUE"""),"en")</f>
        <v>en</v>
      </c>
      <c r="B12965">
        <f>IFERROR(__xludf.DUMMYFUNCTION("""COMPUTED_VALUE"""),2351336.0)</f>
        <v>2351336</v>
      </c>
      <c r="C12965" t="str">
        <f>IFERROR(__xludf.DUMMYFUNCTION("""COMPUTED_VALUE"""),"Wireshark: Packet Analysis and Ethical Hacking: Core Skills")</f>
        <v>Wireshark: Packet Analysis and Ethical Hacking: Core Skills</v>
      </c>
    </row>
    <row r="12966">
      <c r="A12966" s="140" t="str">
        <f>IFERROR(__xludf.DUMMYFUNCTION("""COMPUTED_VALUE"""),"en")</f>
        <v>en</v>
      </c>
      <c r="B12966">
        <f>IFERROR(__xludf.DUMMYFUNCTION("""COMPUTED_VALUE"""),3998050.0)</f>
        <v>3998050</v>
      </c>
      <c r="C12966" t="str">
        <f>IFERROR(__xludf.DUMMYFUNCTION("""COMPUTED_VALUE"""),"The Linux Command Line Bootcamp: Beginner To Power User")</f>
        <v>The Linux Command Line Bootcamp: Beginner To Power User</v>
      </c>
    </row>
    <row r="12967">
      <c r="A12967" s="140" t="str">
        <f>IFERROR(__xludf.DUMMYFUNCTION("""COMPUTED_VALUE"""),"en")</f>
        <v>en</v>
      </c>
      <c r="B12967">
        <f>IFERROR(__xludf.DUMMYFUNCTION("""COMPUTED_VALUE"""),260018.0)</f>
        <v>260018</v>
      </c>
      <c r="C12967" t="str">
        <f>IFERROR(__xludf.DUMMYFUNCTION("""COMPUTED_VALUE"""),"International Business Etiquette")</f>
        <v>International Business Etiquette</v>
      </c>
    </row>
    <row r="12968">
      <c r="A12968" s="140" t="str">
        <f>IFERROR(__xludf.DUMMYFUNCTION("""COMPUTED_VALUE"""),"pt")</f>
        <v>pt</v>
      </c>
      <c r="B12968">
        <f>IFERROR(__xludf.DUMMYFUNCTION("""COMPUTED_VALUE"""),1917106.0)</f>
        <v>1917106</v>
      </c>
      <c r="C12968" t="str">
        <f>IFERROR(__xludf.DUMMYFUNCTION("""COMPUTED_VALUE"""),"Microsoft PowerPoint Super Completo do Básico ao Avançado")</f>
        <v>Microsoft PowerPoint Super Completo do Básico ao Avançado</v>
      </c>
    </row>
    <row r="12969">
      <c r="A12969" s="140" t="str">
        <f>IFERROR(__xludf.DUMMYFUNCTION("""COMPUTED_VALUE"""),"en")</f>
        <v>en</v>
      </c>
      <c r="B12969">
        <f>IFERROR(__xludf.DUMMYFUNCTION("""COMPUTED_VALUE"""),1415562.0)</f>
        <v>1415562</v>
      </c>
      <c r="C12969" t="str">
        <f>IFERROR(__xludf.DUMMYFUNCTION("""COMPUTED_VALUE"""),"Building Influence at Work")</f>
        <v>Building Influence at Work</v>
      </c>
    </row>
    <row r="12970">
      <c r="A12970" s="140" t="str">
        <f>IFERROR(__xludf.DUMMYFUNCTION("""COMPUTED_VALUE"""),"tr")</f>
        <v>tr</v>
      </c>
      <c r="B12970">
        <f>IFERROR(__xludf.DUMMYFUNCTION("""COMPUTED_VALUE"""),3490508.0)</f>
        <v>3490508</v>
      </c>
      <c r="C12970" t="str">
        <f>IFERROR(__xludf.DUMMYFUNCTION("""COMPUTED_VALUE"""),"Tia Portal ile Siemens S7-1200 PLC Programlama (3)")</f>
        <v>Tia Portal ile Siemens S7-1200 PLC Programlama (3)</v>
      </c>
    </row>
    <row r="12971">
      <c r="A12971" s="140" t="str">
        <f>IFERROR(__xludf.DUMMYFUNCTION("""COMPUTED_VALUE"""),"es")</f>
        <v>es</v>
      </c>
      <c r="B12971">
        <f>IFERROR(__xludf.DUMMYFUNCTION("""COMPUTED_VALUE"""),1410468.0)</f>
        <v>1410468</v>
      </c>
      <c r="C12971" t="str">
        <f>IFERROR(__xludf.DUMMYFUNCTION("""COMPUTED_VALUE"""),"Curso Profesional de Adobe XD")</f>
        <v>Curso Profesional de Adobe XD</v>
      </c>
    </row>
    <row r="12972">
      <c r="A12972" s="140" t="str">
        <f>IFERROR(__xludf.DUMMYFUNCTION("""COMPUTED_VALUE"""),"es")</f>
        <v>es</v>
      </c>
      <c r="B12972">
        <f>IFERROR(__xludf.DUMMYFUNCTION("""COMPUTED_VALUE"""),3835552.0)</f>
        <v>3835552</v>
      </c>
      <c r="C12972" t="str">
        <f>IFERROR(__xludf.DUMMYFUNCTION("""COMPUTED_VALUE"""),"Inventario, Almacenes y Supply Chain aplicado en Access")</f>
        <v>Inventario, Almacenes y Supply Chain aplicado en Access</v>
      </c>
    </row>
    <row r="12973">
      <c r="A12973" s="140" t="str">
        <f>IFERROR(__xludf.DUMMYFUNCTION("""COMPUTED_VALUE"""),"pt")</f>
        <v>pt</v>
      </c>
      <c r="B12973">
        <f>IFERROR(__xludf.DUMMYFUNCTION("""COMPUTED_VALUE"""),1036440.0)</f>
        <v>1036440</v>
      </c>
      <c r="C12973" t="str">
        <f>IFERROR(__xludf.DUMMYFUNCTION("""COMPUTED_VALUE"""),"Gerenciando logs com Graylog")</f>
        <v>Gerenciando logs com Graylog</v>
      </c>
    </row>
    <row r="12974">
      <c r="A12974" s="140" t="str">
        <f>IFERROR(__xludf.DUMMYFUNCTION("""COMPUTED_VALUE"""),"en")</f>
        <v>en</v>
      </c>
      <c r="B12974">
        <f>IFERROR(__xludf.DUMMYFUNCTION("""COMPUTED_VALUE"""),466216.0)</f>
        <v>466216</v>
      </c>
      <c r="C12974" t="str">
        <f>IFERROR(__xludf.DUMMYFUNCTION("""COMPUTED_VALUE"""),"The Webinar Selling System")</f>
        <v>The Webinar Selling System</v>
      </c>
    </row>
    <row r="12975">
      <c r="A12975" s="140" t="str">
        <f>IFERROR(__xludf.DUMMYFUNCTION("""COMPUTED_VALUE"""),"fr")</f>
        <v>fr</v>
      </c>
      <c r="B12975">
        <f>IFERROR(__xludf.DUMMYFUNCTION("""COMPUTED_VALUE"""),3254670.0)</f>
        <v>3254670</v>
      </c>
      <c r="C12975" t="str">
        <f>IFERROR(__xludf.DUMMYFUNCTION("""COMPUTED_VALUE"""),"Machine Learning avec Python - de Zéro à Réseaux de Neurones")</f>
        <v>Machine Learning avec Python - de Zéro à Réseaux de Neurones</v>
      </c>
    </row>
    <row r="12976">
      <c r="A12976" s="140" t="str">
        <f>IFERROR(__xludf.DUMMYFUNCTION("""COMPUTED_VALUE"""),"pt")</f>
        <v>pt</v>
      </c>
      <c r="B12976">
        <f>IFERROR(__xludf.DUMMYFUNCTION("""COMPUTED_VALUE"""),2475690.0)</f>
        <v>2475690</v>
      </c>
      <c r="C12976" t="str">
        <f>IFERROR(__xludf.DUMMYFUNCTION("""COMPUTED_VALUE"""),"Linguagem SQL  e T-SQL na prática - Desenvolvendo Soluções")</f>
        <v>Linguagem SQL  e T-SQL na prática - Desenvolvendo Soluções</v>
      </c>
    </row>
    <row r="12977">
      <c r="A12977" s="140" t="str">
        <f>IFERROR(__xludf.DUMMYFUNCTION("""COMPUTED_VALUE"""),"en")</f>
        <v>en</v>
      </c>
      <c r="B12977">
        <f>IFERROR(__xludf.DUMMYFUNCTION("""COMPUTED_VALUE"""),2149112.0)</f>
        <v>2149112</v>
      </c>
      <c r="C12977" t="str">
        <f>IFERROR(__xludf.DUMMYFUNCTION("""COMPUTED_VALUE"""),"Practical Project Portfolio Management")</f>
        <v>Practical Project Portfolio Management</v>
      </c>
    </row>
    <row r="12978">
      <c r="A12978" s="140" t="str">
        <f>IFERROR(__xludf.DUMMYFUNCTION("""COMPUTED_VALUE"""),"en")</f>
        <v>en</v>
      </c>
      <c r="B12978">
        <f>IFERROR(__xludf.DUMMYFUNCTION("""COMPUTED_VALUE"""),2290167.0)</f>
        <v>2290167</v>
      </c>
      <c r="C12978" t="str">
        <f>IFERROR(__xludf.DUMMYFUNCTION("""COMPUTED_VALUE"""),"AZ-104 Exam Prep: Microsoft Azure Administrator")</f>
        <v>AZ-104 Exam Prep: Microsoft Azure Administrator</v>
      </c>
    </row>
    <row r="12979">
      <c r="A12979" s="140" t="str">
        <f>IFERROR(__xludf.DUMMYFUNCTION("""COMPUTED_VALUE"""),"tr")</f>
        <v>tr</v>
      </c>
      <c r="B12979">
        <f>IFERROR(__xludf.DUMMYFUNCTION("""COMPUTED_VALUE"""),1825956.0)</f>
        <v>1825956</v>
      </c>
      <c r="C12979" t="str">
        <f>IFERROR(__xludf.DUMMYFUNCTION("""COMPUTED_VALUE"""),"A`dan Z`ye C# Programlama")</f>
        <v>A`dan Z`ye C# Programlama</v>
      </c>
    </row>
    <row r="12980">
      <c r="A12980" s="140" t="str">
        <f>IFERROR(__xludf.DUMMYFUNCTION("""COMPUTED_VALUE"""),"en")</f>
        <v>en</v>
      </c>
      <c r="B12980">
        <f>IFERROR(__xludf.DUMMYFUNCTION("""COMPUTED_VALUE"""),863338.0)</f>
        <v>863338</v>
      </c>
      <c r="C12980" t="str">
        <f>IFERROR(__xludf.DUMMYFUNCTION("""COMPUTED_VALUE"""),"Robot Framework Test Automation - Level 2")</f>
        <v>Robot Framework Test Automation - Level 2</v>
      </c>
    </row>
    <row r="12981">
      <c r="A12981" s="140" t="str">
        <f>IFERROR(__xludf.DUMMYFUNCTION("""COMPUTED_VALUE"""),"pt")</f>
        <v>pt</v>
      </c>
      <c r="B12981">
        <f>IFERROR(__xludf.DUMMYFUNCTION("""COMPUTED_VALUE"""),3767916.0)</f>
        <v>3767916</v>
      </c>
      <c r="C12981" t="str">
        <f>IFERROR(__xludf.DUMMYFUNCTION("""COMPUTED_VALUE"""),"LGPD Zero: Conceitos fundamentais de Proteção Dados Pessoais")</f>
        <v>LGPD Zero: Conceitos fundamentais de Proteção Dados Pessoais</v>
      </c>
    </row>
    <row r="12982">
      <c r="A12982" s="140" t="str">
        <f>IFERROR(__xludf.DUMMYFUNCTION("""COMPUTED_VALUE"""),"en")</f>
        <v>en</v>
      </c>
      <c r="B12982">
        <f>IFERROR(__xludf.DUMMYFUNCTION("""COMPUTED_VALUE"""),2511956.0)</f>
        <v>2511956</v>
      </c>
      <c r="C12982" t="str">
        <f>IFERROR(__xludf.DUMMYFUNCTION("""COMPUTED_VALUE"""),"Databricks Essentials for Spark Developers (Azure and AWS)")</f>
        <v>Databricks Essentials for Spark Developers (Azure and AWS)</v>
      </c>
    </row>
    <row r="12983">
      <c r="A12983" s="140" t="str">
        <f>IFERROR(__xludf.DUMMYFUNCTION("""COMPUTED_VALUE"""),"es")</f>
        <v>es</v>
      </c>
      <c r="B12983">
        <f>IFERROR(__xludf.DUMMYFUNCTION("""COMPUTED_VALUE"""),1540846.0)</f>
        <v>1540846</v>
      </c>
      <c r="C12983" t="str">
        <f>IFERROR(__xludf.DUMMYFUNCTION("""COMPUTED_VALUE"""),"Dominando Moodle 2021: Aulas virtuales desde cero")</f>
        <v>Dominando Moodle 2021: Aulas virtuales desde cero</v>
      </c>
    </row>
    <row r="12984">
      <c r="A12984" s="140" t="str">
        <f>IFERROR(__xludf.DUMMYFUNCTION("""COMPUTED_VALUE"""),"es")</f>
        <v>es</v>
      </c>
      <c r="B12984">
        <f>IFERROR(__xludf.DUMMYFUNCTION("""COMPUTED_VALUE"""),2351504.0)</f>
        <v>2351504</v>
      </c>
      <c r="C12984" t="str">
        <f>IFERROR(__xludf.DUMMYFUNCTION("""COMPUTED_VALUE"""),"React Native Expo: Creando un TripAdvisor de Restaurantes")</f>
        <v>React Native Expo: Creando un TripAdvisor de Restaurantes</v>
      </c>
    </row>
    <row r="12985">
      <c r="A12985" s="140" t="str">
        <f>IFERROR(__xludf.DUMMYFUNCTION("""COMPUTED_VALUE"""),"en")</f>
        <v>en</v>
      </c>
      <c r="B12985">
        <f>IFERROR(__xludf.DUMMYFUNCTION("""COMPUTED_VALUE"""),924958.0)</f>
        <v>924958</v>
      </c>
      <c r="C12985" t="str">
        <f>IFERROR(__xludf.DUMMYFUNCTION("""COMPUTED_VALUE"""),"SAP Lumira - Building Data Visualizations from Scratch")</f>
        <v>SAP Lumira - Building Data Visualizations from Scratch</v>
      </c>
    </row>
    <row r="12986">
      <c r="A12986" s="140" t="str">
        <f>IFERROR(__xludf.DUMMYFUNCTION("""COMPUTED_VALUE"""),"pt")</f>
        <v>pt</v>
      </c>
      <c r="B12986">
        <f>IFERROR(__xludf.DUMMYFUNCTION("""COMPUTED_VALUE"""),2326672.0)</f>
        <v>2326672</v>
      </c>
      <c r="C12986" t="str">
        <f>IFERROR(__xludf.DUMMYFUNCTION("""COMPUTED_VALUE"""),"Linux: Da migração à administração do sistema operacional")</f>
        <v>Linux: Da migração à administração do sistema operacional</v>
      </c>
    </row>
    <row r="12987">
      <c r="A12987" s="140" t="str">
        <f>IFERROR(__xludf.DUMMYFUNCTION("""COMPUTED_VALUE"""),"pt")</f>
        <v>pt</v>
      </c>
      <c r="B12987">
        <f>IFERROR(__xludf.DUMMYFUNCTION("""COMPUTED_VALUE"""),2305536.0)</f>
        <v>2305536</v>
      </c>
      <c r="C12987" t="str">
        <f>IFERROR(__xludf.DUMMYFUNCTION("""COMPUTED_VALUE"""),"Firewall com Mikrotik")</f>
        <v>Firewall com Mikrotik</v>
      </c>
    </row>
    <row r="12988">
      <c r="A12988" s="140" t="str">
        <f>IFERROR(__xludf.DUMMYFUNCTION("""COMPUTED_VALUE"""),"es")</f>
        <v>es</v>
      </c>
      <c r="B12988">
        <f>IFERROR(__xludf.DUMMYFUNCTION("""COMPUTED_VALUE"""),3483216.0)</f>
        <v>3483216</v>
      </c>
      <c r="C12988" t="str">
        <f>IFERROR(__xludf.DUMMYFUNCTION("""COMPUTED_VALUE"""),"WhatsApp Clone App utilizando Android y Firebase")</f>
        <v>WhatsApp Clone App utilizando Android y Firebase</v>
      </c>
    </row>
    <row r="12989">
      <c r="A12989" s="140" t="str">
        <f>IFERROR(__xludf.DUMMYFUNCTION("""COMPUTED_VALUE"""),"en")</f>
        <v>en</v>
      </c>
      <c r="B12989">
        <f>IFERROR(__xludf.DUMMYFUNCTION("""COMPUTED_VALUE"""),4089434.0)</f>
        <v>4089434</v>
      </c>
      <c r="C12989" t="str">
        <f>IFERROR(__xludf.DUMMYFUNCTION("""COMPUTED_VALUE"""),"Leading SAFe 5.1")</f>
        <v>Leading SAFe 5.1</v>
      </c>
    </row>
    <row r="12990">
      <c r="A12990" s="140" t="str">
        <f>IFERROR(__xludf.DUMMYFUNCTION("""COMPUTED_VALUE"""),"de")</f>
        <v>de</v>
      </c>
      <c r="B12990">
        <f>IFERROR(__xludf.DUMMYFUNCTION("""COMPUTED_VALUE"""),2272938.0)</f>
        <v>2272938</v>
      </c>
      <c r="C12990" t="str">
        <f>IFERROR(__xludf.DUMMYFUNCTION("""COMPUTED_VALUE"""),"Reguläre Ausdrücke (Regular Expressions) in Python")</f>
        <v>Reguläre Ausdrücke (Regular Expressions) in Python</v>
      </c>
    </row>
    <row r="12991">
      <c r="A12991" s="140" t="str">
        <f>IFERROR(__xludf.DUMMYFUNCTION("""COMPUTED_VALUE"""),"en")</f>
        <v>en</v>
      </c>
      <c r="B12991">
        <f>IFERROR(__xludf.DUMMYFUNCTION("""COMPUTED_VALUE"""),1342036.0)</f>
        <v>1342036</v>
      </c>
      <c r="C12991" t="str">
        <f>IFERROR(__xludf.DUMMYFUNCTION("""COMPUTED_VALUE"""),"Air Insulated Electrical Substation Design")</f>
        <v>Air Insulated Electrical Substation Design</v>
      </c>
    </row>
    <row r="12992">
      <c r="A12992" s="140" t="str">
        <f>IFERROR(__xludf.DUMMYFUNCTION("""COMPUTED_VALUE"""),"en")</f>
        <v>en</v>
      </c>
      <c r="B12992">
        <f>IFERROR(__xludf.DUMMYFUNCTION("""COMPUTED_VALUE"""),2570404.0)</f>
        <v>2570404</v>
      </c>
      <c r="C12992" t="str">
        <f>IFERROR(__xludf.DUMMYFUNCTION("""COMPUTED_VALUE"""),"Laravel Payment and Subscription Processing: PayPal &amp; Stripe")</f>
        <v>Laravel Payment and Subscription Processing: PayPal &amp; Stripe</v>
      </c>
    </row>
    <row r="12993">
      <c r="A12993" s="140" t="str">
        <f>IFERROR(__xludf.DUMMYFUNCTION("""COMPUTED_VALUE"""),"pt")</f>
        <v>pt</v>
      </c>
      <c r="B12993">
        <f>IFERROR(__xludf.DUMMYFUNCTION("""COMPUTED_VALUE"""),1121284.0)</f>
        <v>1121284</v>
      </c>
      <c r="C12993" t="str">
        <f>IFERROR(__xludf.DUMMYFUNCTION("""COMPUTED_VALUE"""),"C# COMPLETO Programação Orientada a Objetos + Projetos")</f>
        <v>C# COMPLETO Programação Orientada a Objetos + Projetos</v>
      </c>
    </row>
    <row r="12994">
      <c r="A12994" s="140" t="str">
        <f>IFERROR(__xludf.DUMMYFUNCTION("""COMPUTED_VALUE"""),"de")</f>
        <v>de</v>
      </c>
      <c r="B12994">
        <f>IFERROR(__xludf.DUMMYFUNCTION("""COMPUTED_VALUE"""),3717810.0)</f>
        <v>3717810</v>
      </c>
      <c r="C12994" t="str">
        <f>IFERROR(__xludf.DUMMYFUNCTION("""COMPUTED_VALUE"""),"Entwicklung heterogener Hochleistungsteams inkl. Shortbook")</f>
        <v>Entwicklung heterogener Hochleistungsteams inkl. Shortbook</v>
      </c>
    </row>
    <row r="12995">
      <c r="A12995" s="140" t="str">
        <f>IFERROR(__xludf.DUMMYFUNCTION("""COMPUTED_VALUE"""),"es")</f>
        <v>es</v>
      </c>
      <c r="B12995">
        <f>IFERROR(__xludf.DUMMYFUNCTION("""COMPUTED_VALUE"""),968564.0)</f>
        <v>968564</v>
      </c>
      <c r="C12995" t="str">
        <f>IFERROR(__xludf.DUMMYFUNCTION("""COMPUTED_VALUE"""),"Administración del Tiempo - Fundamentos de Liderazgo 2")</f>
        <v>Administración del Tiempo - Fundamentos de Liderazgo 2</v>
      </c>
    </row>
    <row r="12996">
      <c r="A12996" s="140" t="str">
        <f>IFERROR(__xludf.DUMMYFUNCTION("""COMPUTED_VALUE"""),"en")</f>
        <v>en</v>
      </c>
      <c r="B12996">
        <f>IFERROR(__xludf.DUMMYFUNCTION("""COMPUTED_VALUE"""),384496.0)</f>
        <v>384496</v>
      </c>
      <c r="C12996" t="str">
        <f>IFERROR(__xludf.DUMMYFUNCTION("""COMPUTED_VALUE"""),"Powerpoint 2016 2019 365 - Master powerpoint presentation")</f>
        <v>Powerpoint 2016 2019 365 - Master powerpoint presentation</v>
      </c>
    </row>
    <row r="12997">
      <c r="A12997" s="140" t="str">
        <f>IFERROR(__xludf.DUMMYFUNCTION("""COMPUTED_VALUE"""),"de")</f>
        <v>de</v>
      </c>
      <c r="B12997">
        <f>IFERROR(__xludf.DUMMYFUNCTION("""COMPUTED_VALUE"""),2079072.0)</f>
        <v>2079072</v>
      </c>
      <c r="C12997" t="str">
        <f>IFERROR(__xludf.DUMMYFUNCTION("""COMPUTED_VALUE"""),"Business Basics Masterclass - Unternehmerskills lernen")</f>
        <v>Business Basics Masterclass - Unternehmerskills lernen</v>
      </c>
    </row>
    <row r="12998">
      <c r="A12998" s="140" t="str">
        <f>IFERROR(__xludf.DUMMYFUNCTION("""COMPUTED_VALUE"""),"en")</f>
        <v>en</v>
      </c>
      <c r="B12998">
        <f>IFERROR(__xludf.DUMMYFUNCTION("""COMPUTED_VALUE"""),2231110.0)</f>
        <v>2231110</v>
      </c>
      <c r="C12998" t="str">
        <f>IFERROR(__xludf.DUMMYFUNCTION("""COMPUTED_VALUE"""),"Microsoft Flow Crash Course")</f>
        <v>Microsoft Flow Crash Course</v>
      </c>
    </row>
    <row r="12999">
      <c r="A12999" s="140" t="str">
        <f>IFERROR(__xludf.DUMMYFUNCTION("""COMPUTED_VALUE"""),"en")</f>
        <v>en</v>
      </c>
      <c r="B12999">
        <f>IFERROR(__xludf.DUMMYFUNCTION("""COMPUTED_VALUE"""),2540204.0)</f>
        <v>2540204</v>
      </c>
      <c r="C12999" t="str">
        <f>IFERROR(__xludf.DUMMYFUNCTION("""COMPUTED_VALUE"""),"ASP.NET Core Razor Pages   The Complete Guide (.NET 6)")</f>
        <v>ASP.NET Core Razor Pages   The Complete Guide (.NET 6)</v>
      </c>
    </row>
    <row r="13000">
      <c r="A13000" s="140" t="str">
        <f>IFERROR(__xludf.DUMMYFUNCTION("""COMPUTED_VALUE"""),"en")</f>
        <v>en</v>
      </c>
      <c r="B13000">
        <f>IFERROR(__xludf.DUMMYFUNCTION("""COMPUTED_VALUE"""),1210442.0)</f>
        <v>1210442</v>
      </c>
      <c r="C13000" t="str">
        <f>IFERROR(__xludf.DUMMYFUNCTION("""COMPUTED_VALUE"""),"Psychology of Diversity and Unconscious Bias")</f>
        <v>Psychology of Diversity and Unconscious Bias</v>
      </c>
    </row>
    <row r="13001">
      <c r="A13001" s="140" t="str">
        <f>IFERROR(__xludf.DUMMYFUNCTION("""COMPUTED_VALUE"""),"en")</f>
        <v>en</v>
      </c>
      <c r="B13001">
        <f>IFERROR(__xludf.DUMMYFUNCTION("""COMPUTED_VALUE"""),2722880.0)</f>
        <v>2722880</v>
      </c>
      <c r="C13001" t="str">
        <f>IFERROR(__xludf.DUMMYFUNCTION("""COMPUTED_VALUE"""),"Introduction to Database Engineering")</f>
        <v>Introduction to Database Engineering</v>
      </c>
    </row>
    <row r="13002">
      <c r="A13002" s="140" t="str">
        <f>IFERROR(__xludf.DUMMYFUNCTION("""COMPUTED_VALUE"""),"es")</f>
        <v>es</v>
      </c>
      <c r="B13002">
        <f>IFERROR(__xludf.DUMMYFUNCTION("""COMPUTED_VALUE"""),1362058.0)</f>
        <v>1362058</v>
      </c>
      <c r="C13002" t="str">
        <f>IFERROR(__xludf.DUMMYFUNCTION("""COMPUTED_VALUE"""),"Curso Completo de Email Marketing para Negocios y Personas")</f>
        <v>Curso Completo de Email Marketing para Negocios y Personas</v>
      </c>
    </row>
    <row r="13003">
      <c r="A13003" s="140" t="str">
        <f>IFERROR(__xludf.DUMMYFUNCTION("""COMPUTED_VALUE"""),"en")</f>
        <v>en</v>
      </c>
      <c r="B13003">
        <f>IFERROR(__xludf.DUMMYFUNCTION("""COMPUTED_VALUE"""),1816454.0)</f>
        <v>1816454</v>
      </c>
      <c r="C13003" t="str">
        <f>IFERROR(__xludf.DUMMYFUNCTION("""COMPUTED_VALUE"""),"REST WCF Service for Web Applications in ASP.NET Hands-On")</f>
        <v>REST WCF Service for Web Applications in ASP.NET Hands-On</v>
      </c>
    </row>
    <row r="13004">
      <c r="A13004" s="140" t="str">
        <f>IFERROR(__xludf.DUMMYFUNCTION("""COMPUTED_VALUE"""),"en")</f>
        <v>en</v>
      </c>
      <c r="B13004">
        <f>IFERROR(__xludf.DUMMYFUNCTION("""COMPUTED_VALUE"""),2038962.0)</f>
        <v>2038962</v>
      </c>
      <c r="C13004" t="str">
        <f>IFERROR(__xludf.DUMMYFUNCTION("""COMPUTED_VALUE"""),"Firebase &amp; AngularFire In Depth")</f>
        <v>Firebase &amp; AngularFire In Depth</v>
      </c>
    </row>
    <row r="13005">
      <c r="A13005" s="140" t="str">
        <f>IFERROR(__xludf.DUMMYFUNCTION("""COMPUTED_VALUE"""),"ja")</f>
        <v>ja</v>
      </c>
      <c r="B13005">
        <f>IFERROR(__xludf.DUMMYFUNCTION("""COMPUTED_VALUE"""),1015438.0)</f>
        <v>1015438</v>
      </c>
      <c r="C13005" t="str">
        <f>IFERROR(__xludf.DUMMYFUNCTION("""COMPUTED_VALUE"""),"アプリケーション開発者のための機械学習実践講座")</f>
        <v>アプリケーション開発者のための機械学習実践講座</v>
      </c>
    </row>
    <row r="13006">
      <c r="A13006" s="140" t="str">
        <f>IFERROR(__xludf.DUMMYFUNCTION("""COMPUTED_VALUE"""),"en")</f>
        <v>en</v>
      </c>
      <c r="B13006">
        <f>IFERROR(__xludf.DUMMYFUNCTION("""COMPUTED_VALUE"""),1554244.0)</f>
        <v>1554244</v>
      </c>
      <c r="C13006" t="str">
        <f>IFERROR(__xludf.DUMMYFUNCTION("""COMPUTED_VALUE"""),"Investment Banking and Finance: Private Equity Finance")</f>
        <v>Investment Banking and Finance: Private Equity Finance</v>
      </c>
    </row>
    <row r="13007">
      <c r="A13007" s="140" t="str">
        <f>IFERROR(__xludf.DUMMYFUNCTION("""COMPUTED_VALUE"""),"pt")</f>
        <v>pt</v>
      </c>
      <c r="B13007">
        <f>IFERROR(__xludf.DUMMYFUNCTION("""COMPUTED_VALUE"""),1888598.0)</f>
        <v>1888598</v>
      </c>
      <c r="C13007" t="str">
        <f>IFERROR(__xludf.DUMMYFUNCTION("""COMPUTED_VALUE"""),"Trello: Gestão Otimizada de Equipes e Projetos Pessoais")</f>
        <v>Trello: Gestão Otimizada de Equipes e Projetos Pessoais</v>
      </c>
    </row>
    <row r="13008">
      <c r="A13008" s="140" t="str">
        <f>IFERROR(__xludf.DUMMYFUNCTION("""COMPUTED_VALUE"""),"en")</f>
        <v>en</v>
      </c>
      <c r="B13008">
        <f>IFERROR(__xludf.DUMMYFUNCTION("""COMPUTED_VALUE"""),628356.0)</f>
        <v>628356</v>
      </c>
      <c r="C13008" t="str">
        <f>IFERROR(__xludf.DUMMYFUNCTION("""COMPUTED_VALUE"""),"Learn Web Animation the Easy Way: An Intro to SVG and GSAP")</f>
        <v>Learn Web Animation the Easy Way: An Intro to SVG and GSAP</v>
      </c>
    </row>
    <row r="13009">
      <c r="A13009" s="140" t="str">
        <f>IFERROR(__xludf.DUMMYFUNCTION("""COMPUTED_VALUE"""),"pt")</f>
        <v>pt</v>
      </c>
      <c r="B13009">
        <f>IFERROR(__xludf.DUMMYFUNCTION("""COMPUTED_VALUE"""),2861560.0)</f>
        <v>2861560</v>
      </c>
      <c r="C13009" t="str">
        <f>IFERROR(__xludf.DUMMYFUNCTION("""COMPUTED_VALUE"""),"Sonicwall Training | Treinamento Sonicwall")</f>
        <v>Sonicwall Training | Treinamento Sonicwall</v>
      </c>
    </row>
    <row r="13010">
      <c r="A13010" s="140" t="str">
        <f>IFERROR(__xludf.DUMMYFUNCTION("""COMPUTED_VALUE"""),"en")</f>
        <v>en</v>
      </c>
      <c r="B13010">
        <f>IFERROR(__xludf.DUMMYFUNCTION("""COMPUTED_VALUE"""),103738.0)</f>
        <v>103738</v>
      </c>
      <c r="C13010" t="str">
        <f>IFERROR(__xludf.DUMMYFUNCTION("""COMPUTED_VALUE"""),"Double Your Confidence &amp; Self Esteem - Complete Blueprint")</f>
        <v>Double Your Confidence &amp; Self Esteem - Complete Blueprint</v>
      </c>
    </row>
    <row r="13011">
      <c r="A13011" s="140" t="str">
        <f>IFERROR(__xludf.DUMMYFUNCTION("""COMPUTED_VALUE"""),"en")</f>
        <v>en</v>
      </c>
      <c r="B13011">
        <f>IFERROR(__xludf.DUMMYFUNCTION("""COMPUTED_VALUE"""),1064104.0)</f>
        <v>1064104</v>
      </c>
      <c r="C13011" t="str">
        <f>IFERROR(__xludf.DUMMYFUNCTION("""COMPUTED_VALUE"""),"Laravel 2019, the complete guide with real world projects")</f>
        <v>Laravel 2019, the complete guide with real world projects</v>
      </c>
    </row>
    <row r="13012">
      <c r="A13012" s="140" t="str">
        <f>IFERROR(__xludf.DUMMYFUNCTION("""COMPUTED_VALUE"""),"en")</f>
        <v>en</v>
      </c>
      <c r="B13012">
        <f>IFERROR(__xludf.DUMMYFUNCTION("""COMPUTED_VALUE"""),164554.0)</f>
        <v>164554</v>
      </c>
      <c r="C13012" t="str">
        <f>IFERROR(__xludf.DUMMYFUNCTION("""COMPUTED_VALUE"""),"AngularJS JumpStart with Dan Wahlin")</f>
        <v>AngularJS JumpStart with Dan Wahlin</v>
      </c>
    </row>
    <row r="13013">
      <c r="A13013" s="140" t="str">
        <f>IFERROR(__xludf.DUMMYFUNCTION("""COMPUTED_VALUE"""),"es")</f>
        <v>es</v>
      </c>
      <c r="B13013">
        <f>IFERROR(__xludf.DUMMYFUNCTION("""COMPUTED_VALUE"""),1341824.0)</f>
        <v>1341824</v>
      </c>
      <c r="C13013" t="str">
        <f>IFERROR(__xludf.DUMMYFUNCTION("""COMPUTED_VALUE"""),"Aprende Linux en 5 Días")</f>
        <v>Aprende Linux en 5 Días</v>
      </c>
    </row>
    <row r="13014">
      <c r="A13014" s="140" t="str">
        <f>IFERROR(__xludf.DUMMYFUNCTION("""COMPUTED_VALUE"""),"pt")</f>
        <v>pt</v>
      </c>
      <c r="B13014">
        <f>IFERROR(__xludf.DUMMYFUNCTION("""COMPUTED_VALUE"""),1340890.0)</f>
        <v>1340890</v>
      </c>
      <c r="C13014" t="str">
        <f>IFERROR(__xludf.DUMMYFUNCTION("""COMPUTED_VALUE"""),"Curso Completo de Gestão de Produtos (Product Management)")</f>
        <v>Curso Completo de Gestão de Produtos (Product Management)</v>
      </c>
    </row>
    <row r="13015">
      <c r="A13015" s="140" t="str">
        <f>IFERROR(__xludf.DUMMYFUNCTION("""COMPUTED_VALUE"""),"tr")</f>
        <v>tr</v>
      </c>
      <c r="B13015">
        <f>IFERROR(__xludf.DUMMYFUNCTION("""COMPUTED_VALUE"""),1523090.0)</f>
        <v>1523090</v>
      </c>
      <c r="C13015" t="str">
        <f>IFERROR(__xludf.DUMMYFUNCTION("""COMPUTED_VALUE"""),"A-Z™ | R Programlama ile Veri Bilimi")</f>
        <v>A-Z™ | R Programlama ile Veri Bilimi</v>
      </c>
    </row>
    <row r="13016">
      <c r="A13016" s="140" t="str">
        <f>IFERROR(__xludf.DUMMYFUNCTION("""COMPUTED_VALUE"""),"ko")</f>
        <v>ko</v>
      </c>
      <c r="B13016">
        <f>IFERROR(__xludf.DUMMYFUNCTION("""COMPUTED_VALUE"""),4322910.0)</f>
        <v>4322910</v>
      </c>
      <c r="C13016" t="str">
        <f>IFERROR(__xludf.DUMMYFUNCTION("""COMPUTED_VALUE"""),"AWS 공인 시스템 운영 관리자 – 어소시에이트 SOA-C02 연습문제")</f>
        <v>AWS 공인 시스템 운영 관리자 – 어소시에이트 SOA-C02 연습문제</v>
      </c>
    </row>
    <row r="13017">
      <c r="A13017" s="140" t="str">
        <f>IFERROR(__xludf.DUMMYFUNCTION("""COMPUTED_VALUE"""),"en")</f>
        <v>en</v>
      </c>
      <c r="B13017">
        <f>IFERROR(__xludf.DUMMYFUNCTION("""COMPUTED_VALUE"""),546990.0)</f>
        <v>546990</v>
      </c>
      <c r="C13017" t="str">
        <f>IFERROR(__xludf.DUMMYFUNCTION("""COMPUTED_VALUE"""),"DSLR Video Production &amp; Videography: Better Video Today")</f>
        <v>DSLR Video Production &amp; Videography: Better Video Today</v>
      </c>
    </row>
    <row r="13018">
      <c r="A13018" s="140" t="str">
        <f>IFERROR(__xludf.DUMMYFUNCTION("""COMPUTED_VALUE"""),"tr")</f>
        <v>tr</v>
      </c>
      <c r="B13018">
        <f>IFERROR(__xludf.DUMMYFUNCTION("""COMPUTED_VALUE"""),1365408.0)</f>
        <v>1365408</v>
      </c>
      <c r="C13018" t="str">
        <f>IFERROR(__xludf.DUMMYFUNCTION("""COMPUTED_VALUE"""),"Oracle Veritabanı Yönetiminin Temelleri")</f>
        <v>Oracle Veritabanı Yönetiminin Temelleri</v>
      </c>
    </row>
    <row r="13019">
      <c r="A13019" s="140" t="str">
        <f>IFERROR(__xludf.DUMMYFUNCTION("""COMPUTED_VALUE"""),"es")</f>
        <v>es</v>
      </c>
      <c r="B13019">
        <f>IFERROR(__xludf.DUMMYFUNCTION("""COMPUTED_VALUE"""),276680.0)</f>
        <v>276680</v>
      </c>
      <c r="C13019" t="str">
        <f>IFERROR(__xludf.DUMMYFUNCTION("""COMPUTED_VALUE"""),"Cómo Diseñar Logos")</f>
        <v>Cómo Diseñar Logos</v>
      </c>
    </row>
    <row r="13020">
      <c r="A13020" s="140" t="str">
        <f>IFERROR(__xludf.DUMMYFUNCTION("""COMPUTED_VALUE"""),"pt")</f>
        <v>pt</v>
      </c>
      <c r="B13020">
        <f>IFERROR(__xludf.DUMMYFUNCTION("""COMPUTED_VALUE"""),3192260.0)</f>
        <v>3192260</v>
      </c>
      <c r="C13020" t="str">
        <f>IFERROR(__xludf.DUMMYFUNCTION("""COMPUTED_VALUE"""),"Crie uma Loja Virtual Completa|Android/iOS com Flutter|2021")</f>
        <v>Crie uma Loja Virtual Completa|Android/iOS com Flutter|2021</v>
      </c>
    </row>
    <row r="13021">
      <c r="A13021" s="140" t="str">
        <f>IFERROR(__xludf.DUMMYFUNCTION("""COMPUTED_VALUE"""),"es")</f>
        <v>es</v>
      </c>
      <c r="B13021">
        <f>IFERROR(__xludf.DUMMYFUNCTION("""COMPUTED_VALUE"""),33577.0)</f>
        <v>33577</v>
      </c>
      <c r="C13021" t="str">
        <f>IFERROR(__xludf.DUMMYFUNCTION("""COMPUTED_VALUE"""),"Programa de Lanzamiento de tu Startup")</f>
        <v>Programa de Lanzamiento de tu Startup</v>
      </c>
    </row>
    <row r="13022">
      <c r="A13022" s="140" t="str">
        <f>IFERROR(__xludf.DUMMYFUNCTION("""COMPUTED_VALUE"""),"ja")</f>
        <v>ja</v>
      </c>
      <c r="B13022">
        <f>IFERROR(__xludf.DUMMYFUNCTION("""COMPUTED_VALUE"""),4016296.0)</f>
        <v>4016296</v>
      </c>
      <c r="C13022" t="str">
        <f>IFERROR(__xludf.DUMMYFUNCTION("""COMPUTED_VALUE"""),"【世界で40万人が受講】AWS 認定ソリューションアーキテクト アソシエイト SAA-C02 対応 2021 最新版")</f>
        <v>【世界で40万人が受講】AWS 認定ソリューションアーキテクト アソシエイト SAA-C02 対応 2021 最新版</v>
      </c>
    </row>
    <row r="13023">
      <c r="A13023" s="140" t="str">
        <f>IFERROR(__xludf.DUMMYFUNCTION("""COMPUTED_VALUE"""),"en")</f>
        <v>en</v>
      </c>
      <c r="B13023">
        <f>IFERROR(__xludf.DUMMYFUNCTION("""COMPUTED_VALUE"""),715444.0)</f>
        <v>715444</v>
      </c>
      <c r="C13023" t="str">
        <f>IFERROR(__xludf.DUMMYFUNCTION("""COMPUTED_VALUE"""),"2D Composition in Photoshop &amp; Animation in After Effects")</f>
        <v>2D Composition in Photoshop &amp; Animation in After Effects</v>
      </c>
    </row>
    <row r="13024">
      <c r="A13024" s="140" t="str">
        <f>IFERROR(__xludf.DUMMYFUNCTION("""COMPUTED_VALUE"""),"en")</f>
        <v>en</v>
      </c>
      <c r="B13024">
        <f>IFERROR(__xludf.DUMMYFUNCTION("""COMPUTED_VALUE"""),1688052.0)</f>
        <v>1688052</v>
      </c>
      <c r="C13024" t="str">
        <f>IFERROR(__xludf.DUMMYFUNCTION("""COMPUTED_VALUE"""),"Workplace Mental Health: A Manager's Ultimate Guide")</f>
        <v>Workplace Mental Health: A Manager's Ultimate Guide</v>
      </c>
    </row>
    <row r="13025">
      <c r="A13025" s="140" t="str">
        <f>IFERROR(__xludf.DUMMYFUNCTION("""COMPUTED_VALUE"""),"en")</f>
        <v>en</v>
      </c>
      <c r="B13025">
        <f>IFERROR(__xludf.DUMMYFUNCTION("""COMPUTED_VALUE"""),4034660.0)</f>
        <v>4034660</v>
      </c>
      <c r="C13025" t="str">
        <f>IFERROR(__xludf.DUMMYFUNCTION("""COMPUTED_VALUE"""),"UiPath LINQ - From Advanced to Expert")</f>
        <v>UiPath LINQ - From Advanced to Expert</v>
      </c>
    </row>
    <row r="13026">
      <c r="A13026" s="140" t="str">
        <f>IFERROR(__xludf.DUMMYFUNCTION("""COMPUTED_VALUE"""),"en")</f>
        <v>en</v>
      </c>
      <c r="B13026">
        <f>IFERROR(__xludf.DUMMYFUNCTION("""COMPUTED_VALUE"""),2159160.0)</f>
        <v>2159160</v>
      </c>
      <c r="C13026" t="str">
        <f>IFERROR(__xludf.DUMMYFUNCTION("""COMPUTED_VALUE"""),"The Gatsby Masterclass")</f>
        <v>The Gatsby Masterclass</v>
      </c>
    </row>
    <row r="13027">
      <c r="A13027" s="140" t="str">
        <f>IFERROR(__xludf.DUMMYFUNCTION("""COMPUTED_VALUE"""),"en")</f>
        <v>en</v>
      </c>
      <c r="B13027">
        <f>IFERROR(__xludf.DUMMYFUNCTION("""COMPUTED_VALUE"""),1676620.0)</f>
        <v>1676620</v>
      </c>
      <c r="C13027" t="str">
        <f>IFERROR(__xludf.DUMMYFUNCTION("""COMPUTED_VALUE"""),"D3.js in Action: Build 17 D3.js Data Visualization Projects")</f>
        <v>D3.js in Action: Build 17 D3.js Data Visualization Projects</v>
      </c>
    </row>
    <row r="13028">
      <c r="A13028" s="140" t="str">
        <f>IFERROR(__xludf.DUMMYFUNCTION("""COMPUTED_VALUE"""),"tr")</f>
        <v>tr</v>
      </c>
      <c r="B13028">
        <f>IFERROR(__xludf.DUMMYFUNCTION("""COMPUTED_VALUE"""),3256530.0)</f>
        <v>3256530</v>
      </c>
      <c r="C13028" t="str">
        <f>IFERROR(__xludf.DUMMYFUNCTION("""COMPUTED_VALUE"""),"Derinlemesine Enterprise Java 4 : IoC, CDI &amp; Spring Boot")</f>
        <v>Derinlemesine Enterprise Java 4 : IoC, CDI &amp; Spring Boot</v>
      </c>
    </row>
    <row r="13029">
      <c r="A13029" s="140" t="str">
        <f>IFERROR(__xludf.DUMMYFUNCTION("""COMPUTED_VALUE"""),"es")</f>
        <v>es</v>
      </c>
      <c r="B13029">
        <f>IFERROR(__xludf.DUMMYFUNCTION("""COMPUTED_VALUE"""),2048151.0)</f>
        <v>2048151</v>
      </c>
      <c r="C13029" t="str">
        <f>IFERROR(__xludf.DUMMYFUNCTION("""COMPUTED_VALUE"""),"Vue js 3 [Actualizado] ¡De 0 a Experto! + Firebase + MEVN")</f>
        <v>Vue js 3 [Actualizado] ¡De 0 a Experto! + Firebase + MEVN</v>
      </c>
    </row>
    <row r="13030">
      <c r="A13030" s="140" t="str">
        <f>IFERROR(__xludf.DUMMYFUNCTION("""COMPUTED_VALUE"""),"en")</f>
        <v>en</v>
      </c>
      <c r="B13030">
        <f>IFERROR(__xludf.DUMMYFUNCTION("""COMPUTED_VALUE"""),3801800.0)</f>
        <v>3801800</v>
      </c>
      <c r="C13030" t="str">
        <f>IFERROR(__xludf.DUMMYFUNCTION("""COMPUTED_VALUE"""),"DeFi Cryptocurrency Course 2021 - How to Invest in the Best!")</f>
        <v>DeFi Cryptocurrency Course 2021 - How to Invest in the Best!</v>
      </c>
    </row>
    <row r="13031">
      <c r="A13031" s="140" t="str">
        <f>IFERROR(__xludf.DUMMYFUNCTION("""COMPUTED_VALUE"""),"en")</f>
        <v>en</v>
      </c>
      <c r="B13031">
        <f>IFERROR(__xludf.DUMMYFUNCTION("""COMPUTED_VALUE"""),363092.0)</f>
        <v>363092</v>
      </c>
      <c r="C13031" t="str">
        <f>IFERROR(__xludf.DUMMYFUNCTION("""COMPUTED_VALUE"""),"Public Speaking Skills:  Give a Great Informational Speech")</f>
        <v>Public Speaking Skills:  Give a Great Informational Speech</v>
      </c>
    </row>
    <row r="13032">
      <c r="A13032" s="140" t="str">
        <f>IFERROR(__xludf.DUMMYFUNCTION("""COMPUTED_VALUE"""),"tr")</f>
        <v>tr</v>
      </c>
      <c r="B13032">
        <f>IFERROR(__xludf.DUMMYFUNCTION("""COMPUTED_VALUE"""),3702208.0)</f>
        <v>3702208</v>
      </c>
      <c r="C13032" t="str">
        <f>IFERROR(__xludf.DUMMYFUNCTION("""COMPUTED_VALUE"""),"İŞ İNGİLİZCESİ")</f>
        <v>İŞ İNGİLİZCESİ</v>
      </c>
    </row>
    <row r="13033">
      <c r="A13033" s="140" t="str">
        <f>IFERROR(__xludf.DUMMYFUNCTION("""COMPUTED_VALUE"""),"ar")</f>
        <v>ar</v>
      </c>
      <c r="B13033">
        <f>IFERROR(__xludf.DUMMYFUNCTION("""COMPUTED_VALUE"""),3454796.0)</f>
        <v>3454796</v>
      </c>
      <c r="C13033" t="str">
        <f>IFERROR(__xludf.DUMMYFUNCTION("""COMPUTED_VALUE"""),"Microsoft PowerPoint  - البوربوينت من الصفر للاحتراف")</f>
        <v>Microsoft PowerPoint  - البوربوينت من الصفر للاحتراف</v>
      </c>
    </row>
    <row r="13034">
      <c r="A13034" s="140" t="str">
        <f>IFERROR(__xludf.DUMMYFUNCTION("""COMPUTED_VALUE"""),"en")</f>
        <v>en</v>
      </c>
      <c r="B13034">
        <f>IFERROR(__xludf.DUMMYFUNCTION("""COMPUTED_VALUE"""),631827.0)</f>
        <v>631827</v>
      </c>
      <c r="C13034" t="str">
        <f>IFERROR(__xludf.DUMMYFUNCTION("""COMPUTED_VALUE"""),"Installing and Configuring Windows Server 2012 (70-410)")</f>
        <v>Installing and Configuring Windows Server 2012 (70-410)</v>
      </c>
    </row>
    <row r="13035">
      <c r="A13035" s="140" t="str">
        <f>IFERROR(__xludf.DUMMYFUNCTION("""COMPUTED_VALUE"""),"es")</f>
        <v>es</v>
      </c>
      <c r="B13035">
        <f>IFERROR(__xludf.DUMMYFUNCTION("""COMPUTED_VALUE"""),3242446.0)</f>
        <v>3242446</v>
      </c>
      <c r="C13035" t="str">
        <f>IFERROR(__xludf.DUMMYFUNCTION("""COMPUTED_VALUE"""),"Crea un Instagram con React, GraphQL, Apollo, MongoDB y AWS")</f>
        <v>Crea un Instagram con React, GraphQL, Apollo, MongoDB y AWS</v>
      </c>
    </row>
    <row r="13036">
      <c r="A13036" s="140" t="str">
        <f>IFERROR(__xludf.DUMMYFUNCTION("""COMPUTED_VALUE"""),"fr")</f>
        <v>fr</v>
      </c>
      <c r="B13036">
        <f>IFERROR(__xludf.DUMMYFUNCTION("""COMPUTED_VALUE"""),2892470.0)</f>
        <v>2892470</v>
      </c>
      <c r="C13036" t="str">
        <f>IFERROR(__xludf.DUMMYFUNCTION("""COMPUTED_VALUE"""),"Conduite agile du changement : accompagner vos projets")</f>
        <v>Conduite agile du changement : accompagner vos projets</v>
      </c>
    </row>
    <row r="13037">
      <c r="A13037" s="140" t="str">
        <f>IFERROR(__xludf.DUMMYFUNCTION("""COMPUTED_VALUE"""),"en")</f>
        <v>en</v>
      </c>
      <c r="B13037">
        <f>IFERROR(__xludf.DUMMYFUNCTION("""COMPUTED_VALUE"""),2299046.0)</f>
        <v>2299046</v>
      </c>
      <c r="C13037" t="str">
        <f>IFERROR(__xludf.DUMMYFUNCTION("""COMPUTED_VALUE"""),"Microsoft Power BI - Up &amp; Running With Power BI Service 2021")</f>
        <v>Microsoft Power BI - Up &amp; Running With Power BI Service 2021</v>
      </c>
    </row>
    <row r="13038">
      <c r="A13038" s="140" t="str">
        <f>IFERROR(__xludf.DUMMYFUNCTION("""COMPUTED_VALUE"""),"en")</f>
        <v>en</v>
      </c>
      <c r="B13038">
        <f>IFERROR(__xludf.DUMMYFUNCTION("""COMPUTED_VALUE"""),2702812.0)</f>
        <v>2702812</v>
      </c>
      <c r="C13038" t="str">
        <f>IFERROR(__xludf.DUMMYFUNCTION("""COMPUTED_VALUE"""),"Scrum with Kanban PSK-I™ Certification 2019")</f>
        <v>Scrum with Kanban PSK-I™ Certification 2019</v>
      </c>
    </row>
    <row r="13039">
      <c r="A13039" s="140" t="str">
        <f>IFERROR(__xludf.DUMMYFUNCTION("""COMPUTED_VALUE"""),"en")</f>
        <v>en</v>
      </c>
      <c r="B13039">
        <f>IFERROR(__xludf.DUMMYFUNCTION("""COMPUTED_VALUE"""),2133014.0)</f>
        <v>2133014</v>
      </c>
      <c r="C13039" t="str">
        <f>IFERROR(__xludf.DUMMYFUNCTION("""COMPUTED_VALUE"""),"Hands-on Penetration Testing Labs 2.0")</f>
        <v>Hands-on Penetration Testing Labs 2.0</v>
      </c>
    </row>
    <row r="13040">
      <c r="A13040" s="140" t="str">
        <f>IFERROR(__xludf.DUMMYFUNCTION("""COMPUTED_VALUE"""),"de")</f>
        <v>de</v>
      </c>
      <c r="B13040">
        <f>IFERROR(__xludf.DUMMYFUNCTION("""COMPUTED_VALUE"""),1348822.0)</f>
        <v>1348822</v>
      </c>
      <c r="C13040" t="str">
        <f>IFERROR(__xludf.DUMMYFUNCTION("""COMPUTED_VALUE"""),"Einführung in Go")</f>
        <v>Einführung in Go</v>
      </c>
    </row>
    <row r="13041">
      <c r="A13041" s="140" t="str">
        <f>IFERROR(__xludf.DUMMYFUNCTION("""COMPUTED_VALUE"""),"en")</f>
        <v>en</v>
      </c>
      <c r="B13041">
        <f>IFERROR(__xludf.DUMMYFUNCTION("""COMPUTED_VALUE"""),2481326.0)</f>
        <v>2481326</v>
      </c>
      <c r="C13041" t="str">
        <f>IFERROR(__xludf.DUMMYFUNCTION("""COMPUTED_VALUE"""),"Medical Coding: ICD-10-CM Essentials")</f>
        <v>Medical Coding: ICD-10-CM Essentials</v>
      </c>
    </row>
    <row r="13042">
      <c r="A13042" s="140" t="str">
        <f>IFERROR(__xludf.DUMMYFUNCTION("""COMPUTED_VALUE"""),"ja")</f>
        <v>ja</v>
      </c>
      <c r="B13042">
        <f>IFERROR(__xludf.DUMMYFUNCTION("""COMPUTED_VALUE"""),2789024.0)</f>
        <v>2789024</v>
      </c>
      <c r="C13042" t="str">
        <f>IFERROR(__xludf.DUMMYFUNCTION("""COMPUTED_VALUE"""),"PyTorch Boot Camp : Python AI PyTorchで機械学習とデータ分析完全攻略")</f>
        <v>PyTorch Boot Camp : Python AI PyTorchで機械学習とデータ分析完全攻略</v>
      </c>
    </row>
    <row r="13043">
      <c r="A13043" s="140" t="str">
        <f>IFERROR(__xludf.DUMMYFUNCTION("""COMPUTED_VALUE"""),"pt")</f>
        <v>pt</v>
      </c>
      <c r="B13043">
        <f>IFERROR(__xludf.DUMMYFUNCTION("""COMPUTED_VALUE"""),1895624.0)</f>
        <v>1895624</v>
      </c>
      <c r="C13043" t="str">
        <f>IFERROR(__xludf.DUMMYFUNCTION("""COMPUTED_VALUE"""),"Curso de Word 2019 Básico e Avançado")</f>
        <v>Curso de Word 2019 Básico e Avançado</v>
      </c>
    </row>
    <row r="13044">
      <c r="A13044" s="140" t="str">
        <f>IFERROR(__xludf.DUMMYFUNCTION("""COMPUTED_VALUE"""),"en")</f>
        <v>en</v>
      </c>
      <c r="B13044">
        <f>IFERROR(__xludf.DUMMYFUNCTION("""COMPUTED_VALUE"""),763080.0)</f>
        <v>763080</v>
      </c>
      <c r="C13044" t="str">
        <f>IFERROR(__xludf.DUMMYFUNCTION("""COMPUTED_VALUE"""),"Salesforce Administrator Certification Course")</f>
        <v>Salesforce Administrator Certification Course</v>
      </c>
    </row>
    <row r="13045">
      <c r="A13045" s="140" t="str">
        <f>IFERROR(__xludf.DUMMYFUNCTION("""COMPUTED_VALUE"""),"pt")</f>
        <v>pt</v>
      </c>
      <c r="B13045">
        <f>IFERROR(__xludf.DUMMYFUNCTION("""COMPUTED_VALUE"""),2947090.0)</f>
        <v>2947090</v>
      </c>
      <c r="C13045" t="str">
        <f>IFERROR(__xludf.DUMMYFUNCTION("""COMPUTED_VALUE"""),"Certificação Amazon AWS Cloud Practitioner 2021 + 3 CURSOS")</f>
        <v>Certificação Amazon AWS Cloud Practitioner 2021 + 3 CURSOS</v>
      </c>
    </row>
    <row r="13046">
      <c r="A13046" s="140" t="str">
        <f>IFERROR(__xludf.DUMMYFUNCTION("""COMPUTED_VALUE"""),"fr")</f>
        <v>fr</v>
      </c>
      <c r="B13046">
        <f>IFERROR(__xludf.DUMMYFUNCTION("""COMPUTED_VALUE"""),2600016.0)</f>
        <v>2600016</v>
      </c>
      <c r="C13046" t="str">
        <f>IFERROR(__xludf.DUMMYFUNCTION("""COMPUTED_VALUE"""),"Hacking Éthique : Sécurité des réseaux")</f>
        <v>Hacking Éthique : Sécurité des réseaux</v>
      </c>
    </row>
    <row r="13047">
      <c r="A13047" s="140" t="str">
        <f>IFERROR(__xludf.DUMMYFUNCTION("""COMPUTED_VALUE"""),"en")</f>
        <v>en</v>
      </c>
      <c r="B13047">
        <f>IFERROR(__xludf.DUMMYFUNCTION("""COMPUTED_VALUE"""),186420.0)</f>
        <v>186420</v>
      </c>
      <c r="C13047" t="str">
        <f>IFERROR(__xludf.DUMMYFUNCTION("""COMPUTED_VALUE"""),"Learn SystemVerilog Assertions and Coverage Coding in-depth")</f>
        <v>Learn SystemVerilog Assertions and Coverage Coding in-depth</v>
      </c>
    </row>
    <row r="13048">
      <c r="A13048" s="140" t="str">
        <f>IFERROR(__xludf.DUMMYFUNCTION("""COMPUTED_VALUE"""),"es")</f>
        <v>es</v>
      </c>
      <c r="B13048">
        <f>IFERROR(__xludf.DUMMYFUNCTION("""COMPUTED_VALUE"""),1109106.0)</f>
        <v>1109106</v>
      </c>
      <c r="C13048" t="str">
        <f>IFERROR(__xludf.DUMMYFUNCTION("""COMPUTED_VALUE"""),"API RESTful con Laravel: Guía Definitiva")</f>
        <v>API RESTful con Laravel: Guía Definitiva</v>
      </c>
    </row>
    <row r="13049">
      <c r="A13049" s="140" t="str">
        <f>IFERROR(__xludf.DUMMYFUNCTION("""COMPUTED_VALUE"""),"fr")</f>
        <v>fr</v>
      </c>
      <c r="B13049">
        <f>IFERROR(__xludf.DUMMYFUNCTION("""COMPUTED_VALUE"""),3783232.0)</f>
        <v>3783232</v>
      </c>
      <c r="C13049" t="str">
        <f>IFERROR(__xludf.DUMMYFUNCTION("""COMPUTED_VALUE"""),"Maitriser web api REST avec asp.net core dotnet 6.0 (FULL)")</f>
        <v>Maitriser web api REST avec asp.net core dotnet 6.0 (FULL)</v>
      </c>
    </row>
    <row r="13050">
      <c r="A13050" s="140" t="str">
        <f>IFERROR(__xludf.DUMMYFUNCTION("""COMPUTED_VALUE"""),"en")</f>
        <v>en</v>
      </c>
      <c r="B13050">
        <f>IFERROR(__xludf.DUMMYFUNCTION("""COMPUTED_VALUE"""),1206148.0)</f>
        <v>1206148</v>
      </c>
      <c r="C13050" t="str">
        <f>IFERROR(__xludf.DUMMYFUNCTION("""COMPUTED_VALUE"""),"CCNA 200-301 IP Addressing and Subnetting - Exam Prep")</f>
        <v>CCNA 200-301 IP Addressing and Subnetting - Exam Prep</v>
      </c>
    </row>
    <row r="13051">
      <c r="A13051" s="140" t="str">
        <f>IFERROR(__xludf.DUMMYFUNCTION("""COMPUTED_VALUE"""),"en")</f>
        <v>en</v>
      </c>
      <c r="B13051">
        <f>IFERROR(__xludf.DUMMYFUNCTION("""COMPUTED_VALUE"""),1361098.0)</f>
        <v>1361098</v>
      </c>
      <c r="C13051" t="str">
        <f>IFERROR(__xludf.DUMMYFUNCTION("""COMPUTED_VALUE"""),"Leadership Skills: How to Increase Your Influence at Work")</f>
        <v>Leadership Skills: How to Increase Your Influence at Work</v>
      </c>
    </row>
    <row r="13052">
      <c r="A13052" s="140" t="str">
        <f>IFERROR(__xludf.DUMMYFUNCTION("""COMPUTED_VALUE"""),"pt")</f>
        <v>pt</v>
      </c>
      <c r="B13052">
        <f>IFERROR(__xludf.DUMMYFUNCTION("""COMPUTED_VALUE"""),2380106.0)</f>
        <v>2380106</v>
      </c>
      <c r="C13052" t="str">
        <f>IFERROR(__xludf.DUMMYFUNCTION("""COMPUTED_VALUE"""),"Gestão de Processos Express (Seja um Analista de Processos)")</f>
        <v>Gestão de Processos Express (Seja um Analista de Processos)</v>
      </c>
    </row>
    <row r="13053">
      <c r="A13053" s="140" t="str">
        <f>IFERROR(__xludf.DUMMYFUNCTION("""COMPUTED_VALUE"""),"fr")</f>
        <v>fr</v>
      </c>
      <c r="B13053">
        <f>IFERROR(__xludf.DUMMYFUNCTION("""COMPUTED_VALUE"""),1337676.0)</f>
        <v>1337676</v>
      </c>
      <c r="C13053" t="str">
        <f>IFERROR(__xludf.DUMMYFUNCTION("""COMPUTED_VALUE"""),"Trading Forex - Trader avec les fourchettes d'Andrews")</f>
        <v>Trading Forex - Trader avec les fourchettes d'Andrews</v>
      </c>
    </row>
    <row r="13054">
      <c r="A13054" s="140" t="str">
        <f>IFERROR(__xludf.DUMMYFUNCTION("""COMPUTED_VALUE"""),"en")</f>
        <v>en</v>
      </c>
      <c r="B13054">
        <f>IFERROR(__xludf.DUMMYFUNCTION("""COMPUTED_VALUE"""),2671772.0)</f>
        <v>2671772</v>
      </c>
      <c r="C13054" t="str">
        <f>IFERROR(__xludf.DUMMYFUNCTION("""COMPUTED_VALUE"""),"Cisco Identity Services Engine (ISE) - Deep Dive")</f>
        <v>Cisco Identity Services Engine (ISE) - Deep Dive</v>
      </c>
    </row>
    <row r="13055">
      <c r="A13055" s="140" t="str">
        <f>IFERROR(__xludf.DUMMYFUNCTION("""COMPUTED_VALUE"""),"en")</f>
        <v>en</v>
      </c>
      <c r="B13055">
        <f>IFERROR(__xludf.DUMMYFUNCTION("""COMPUTED_VALUE"""),1500464.0)</f>
        <v>1500464</v>
      </c>
      <c r="C13055" t="str">
        <f>IFERROR(__xludf.DUMMYFUNCTION("""COMPUTED_VALUE"""),"The Psychology Of The Ultimate Entrepreneur")</f>
        <v>The Psychology Of The Ultimate Entrepreneur</v>
      </c>
    </row>
    <row r="13056">
      <c r="A13056" s="140" t="str">
        <f>IFERROR(__xludf.DUMMYFUNCTION("""COMPUTED_VALUE"""),"pt")</f>
        <v>pt</v>
      </c>
      <c r="B13056">
        <f>IFERROR(__xludf.DUMMYFUNCTION("""COMPUTED_VALUE"""),2473304.0)</f>
        <v>2473304</v>
      </c>
      <c r="C13056" t="str">
        <f>IFERROR(__xludf.DUMMYFUNCTION("""COMPUTED_VALUE"""),"Pesquisa Etnográfica e Análise de Contexto para UX")</f>
        <v>Pesquisa Etnográfica e Análise de Contexto para UX</v>
      </c>
    </row>
    <row r="13057">
      <c r="A13057" s="140" t="str">
        <f>IFERROR(__xludf.DUMMYFUNCTION("""COMPUTED_VALUE"""),"en")</f>
        <v>en</v>
      </c>
      <c r="B13057">
        <f>IFERROR(__xludf.DUMMYFUNCTION("""COMPUTED_VALUE"""),3391970.0)</f>
        <v>3391970</v>
      </c>
      <c r="C13057" t="str">
        <f>IFERROR(__xludf.DUMMYFUNCTION("""COMPUTED_VALUE"""),"RA: Data Science and Supply Chain analytics. A-Z with Python")</f>
        <v>RA: Data Science and Supply Chain analytics. A-Z with Python</v>
      </c>
    </row>
    <row r="13058">
      <c r="A13058" s="140" t="str">
        <f>IFERROR(__xludf.DUMMYFUNCTION("""COMPUTED_VALUE"""),"en")</f>
        <v>en</v>
      </c>
      <c r="B13058">
        <f>IFERROR(__xludf.DUMMYFUNCTION("""COMPUTED_VALUE"""),2409722.0)</f>
        <v>2409722</v>
      </c>
      <c r="C13058" t="str">
        <f>IFERROR(__xludf.DUMMYFUNCTION("""COMPUTED_VALUE"""),"Design Thinking for Beginners: Develop Innovative Ideas")</f>
        <v>Design Thinking for Beginners: Develop Innovative Ideas</v>
      </c>
    </row>
    <row r="13059">
      <c r="A13059" s="140" t="str">
        <f>IFERROR(__xludf.DUMMYFUNCTION("""COMPUTED_VALUE"""),"es")</f>
        <v>es</v>
      </c>
      <c r="B13059">
        <f>IFERROR(__xludf.DUMMYFUNCTION("""COMPUTED_VALUE"""),2794580.0)</f>
        <v>2794580</v>
      </c>
      <c r="C13059" t="str">
        <f>IFERROR(__xludf.DUMMYFUNCTION("""COMPUTED_VALUE"""),"Sistemas de información geográfica (GIS)")</f>
        <v>Sistemas de información geográfica (GIS)</v>
      </c>
    </row>
    <row r="13060">
      <c r="A13060" s="140" t="str">
        <f>IFERROR(__xludf.DUMMYFUNCTION("""COMPUTED_VALUE"""),"en")</f>
        <v>en</v>
      </c>
      <c r="B13060">
        <f>IFERROR(__xludf.DUMMYFUNCTION("""COMPUTED_VALUE"""),934526.0)</f>
        <v>934526</v>
      </c>
      <c r="C13060" t="str">
        <f>IFERROR(__xludf.DUMMYFUNCTION("""COMPUTED_VALUE"""),"Developing Emotional Intelligence in Teams")</f>
        <v>Developing Emotional Intelligence in Teams</v>
      </c>
    </row>
    <row r="13061">
      <c r="A13061" s="140" t="str">
        <f>IFERROR(__xludf.DUMMYFUNCTION("""COMPUTED_VALUE"""),"en")</f>
        <v>en</v>
      </c>
      <c r="B13061">
        <f>IFERROR(__xludf.DUMMYFUNCTION("""COMPUTED_VALUE"""),1012424.0)</f>
        <v>1012424</v>
      </c>
      <c r="C13061" t="str">
        <f>IFERROR(__xludf.DUMMYFUNCTION("""COMPUTED_VALUE"""),"The Complete Facebook Ads &amp; Facebook Marketing Masterclass")</f>
        <v>The Complete Facebook Ads &amp; Facebook Marketing Masterclass</v>
      </c>
    </row>
    <row r="13062">
      <c r="A13062" s="140" t="str">
        <f>IFERROR(__xludf.DUMMYFUNCTION("""COMPUTED_VALUE"""),"tr")</f>
        <v>tr</v>
      </c>
      <c r="B13062">
        <f>IFERROR(__xludf.DUMMYFUNCTION("""COMPUTED_VALUE"""),3885556.0)</f>
        <v>3885556</v>
      </c>
      <c r="C13062" t="str">
        <f>IFERROR(__xludf.DUMMYFUNCTION("""COMPUTED_VALUE"""),"Python Temelleri ve Python ile Görüntü İşleme (OpenCV)")</f>
        <v>Python Temelleri ve Python ile Görüntü İşleme (OpenCV)</v>
      </c>
    </row>
    <row r="13063">
      <c r="A13063" s="140" t="str">
        <f>IFERROR(__xludf.DUMMYFUNCTION("""COMPUTED_VALUE"""),"en")</f>
        <v>en</v>
      </c>
      <c r="B13063">
        <f>IFERROR(__xludf.DUMMYFUNCTION("""COMPUTED_VALUE"""),1600336.0)</f>
        <v>1600336</v>
      </c>
      <c r="C13063" t="str">
        <f>IFERROR(__xludf.DUMMYFUNCTION("""COMPUTED_VALUE"""),"Android Studio Masterclass: Conquer the Android IDE")</f>
        <v>Android Studio Masterclass: Conquer the Android IDE</v>
      </c>
    </row>
    <row r="13064">
      <c r="A13064" s="140" t="str">
        <f>IFERROR(__xludf.DUMMYFUNCTION("""COMPUTED_VALUE"""),"tr")</f>
        <v>tr</v>
      </c>
      <c r="B13064">
        <f>IFERROR(__xludf.DUMMYFUNCTION("""COMPUTED_VALUE"""),3856918.0)</f>
        <v>3856918</v>
      </c>
      <c r="C13064" t="str">
        <f>IFERROR(__xludf.DUMMYFUNCTION("""COMPUTED_VALUE"""),"Sınavlar ve Mülakatlar için HTML5 ve CSS3 Deneme Sınavları")</f>
        <v>Sınavlar ve Mülakatlar için HTML5 ve CSS3 Deneme Sınavları</v>
      </c>
    </row>
    <row r="13065">
      <c r="A13065" s="140" t="str">
        <f>IFERROR(__xludf.DUMMYFUNCTION("""COMPUTED_VALUE"""),"ja")</f>
        <v>ja</v>
      </c>
      <c r="B13065">
        <f>IFERROR(__xludf.DUMMYFUNCTION("""COMPUTED_VALUE"""),3048162.0)</f>
        <v>3048162</v>
      </c>
      <c r="C13065" t="str">
        <f>IFERROR(__xludf.DUMMYFUNCTION("""COMPUTED_VALUE"""),"C#でドメイン駆動開発 パート３【C#のWPFでPrismを使ってMVVMで実装する方法】")</f>
        <v>C#でドメイン駆動開発 パート３【C#のWPFでPrismを使ってMVVMで実装する方法】</v>
      </c>
    </row>
    <row r="13066">
      <c r="A13066" s="140" t="str">
        <f>IFERROR(__xludf.DUMMYFUNCTION("""COMPUTED_VALUE"""),"de")</f>
        <v>de</v>
      </c>
      <c r="B13066">
        <f>IFERROR(__xludf.DUMMYFUNCTION("""COMPUTED_VALUE"""),1935242.0)</f>
        <v>1935242</v>
      </c>
      <c r="C13066" t="str">
        <f>IFERROR(__xludf.DUMMYFUNCTION("""COMPUTED_VALUE"""),"SEO GURU | Workshop für SEO-Muffel")</f>
        <v>SEO GURU | Workshop für SEO-Muffel</v>
      </c>
    </row>
    <row r="13067">
      <c r="A13067" s="140" t="str">
        <f>IFERROR(__xludf.DUMMYFUNCTION("""COMPUTED_VALUE"""),"en")</f>
        <v>en</v>
      </c>
      <c r="B13067">
        <f>IFERROR(__xludf.DUMMYFUNCTION("""COMPUTED_VALUE"""),427332.0)</f>
        <v>427332</v>
      </c>
      <c r="C13067" t="str">
        <f>IFERROR(__xludf.DUMMYFUNCTION("""COMPUTED_VALUE"""),"Series 7 Exam Preparation: Equity Securities")</f>
        <v>Series 7 Exam Preparation: Equity Securities</v>
      </c>
    </row>
    <row r="13068">
      <c r="A13068" s="140" t="str">
        <f>IFERROR(__xludf.DUMMYFUNCTION("""COMPUTED_VALUE"""),"en")</f>
        <v>en</v>
      </c>
      <c r="B13068">
        <f>IFERROR(__xludf.DUMMYFUNCTION("""COMPUTED_VALUE"""),2482256.0)</f>
        <v>2482256</v>
      </c>
      <c r="C13068" t="str">
        <f>IFERROR(__xludf.DUMMYFUNCTION("""COMPUTED_VALUE"""),"Autodesk Inventor 2020 - Essential training")</f>
        <v>Autodesk Inventor 2020 - Essential training</v>
      </c>
    </row>
    <row r="13069">
      <c r="A13069" s="140" t="str">
        <f>IFERROR(__xludf.DUMMYFUNCTION("""COMPUTED_VALUE"""),"pt")</f>
        <v>pt</v>
      </c>
      <c r="B13069">
        <f>IFERROR(__xludf.DUMMYFUNCTION("""COMPUTED_VALUE"""),1228144.0)</f>
        <v>1228144</v>
      </c>
      <c r="C13069" t="str">
        <f>IFERROR(__xludf.DUMMYFUNCTION("""COMPUTED_VALUE"""),"Adobe Photoshop Definitivo - Foco em design e criatividade.")</f>
        <v>Adobe Photoshop Definitivo - Foco em design e criatividade.</v>
      </c>
    </row>
    <row r="13070">
      <c r="A13070" s="140" t="str">
        <f>IFERROR(__xludf.DUMMYFUNCTION("""COMPUTED_VALUE"""),"en")</f>
        <v>en</v>
      </c>
      <c r="B13070">
        <f>IFERROR(__xludf.DUMMYFUNCTION("""COMPUTED_VALUE"""),3774636.0)</f>
        <v>3774636</v>
      </c>
      <c r="C13070" t="str">
        <f>IFERROR(__xludf.DUMMYFUNCTION("""COMPUTED_VALUE"""),"Enable your learning agility")</f>
        <v>Enable your learning agility</v>
      </c>
    </row>
    <row r="13071">
      <c r="A13071" s="140" t="str">
        <f>IFERROR(__xludf.DUMMYFUNCTION("""COMPUTED_VALUE"""),"es")</f>
        <v>es</v>
      </c>
      <c r="B13071">
        <f>IFERROR(__xludf.DUMMYFUNCTION("""COMPUTED_VALUE"""),1242552.0)</f>
        <v>1242552</v>
      </c>
      <c r="C13071" t="str">
        <f>IFERROR(__xludf.DUMMYFUNCTION("""COMPUTED_VALUE"""),"iOS 12 y Swift 4: Curso Completo de Cero a Profesional")</f>
        <v>iOS 12 y Swift 4: Curso Completo de Cero a Profesional</v>
      </c>
    </row>
    <row r="13072">
      <c r="A13072" s="140" t="str">
        <f>IFERROR(__xludf.DUMMYFUNCTION("""COMPUTED_VALUE"""),"pt")</f>
        <v>pt</v>
      </c>
      <c r="B13072">
        <f>IFERROR(__xludf.DUMMYFUNCTION("""COMPUTED_VALUE"""),1327804.0)</f>
        <v>1327804</v>
      </c>
      <c r="C13072" t="str">
        <f>IFERROR(__xludf.DUMMYFUNCTION("""COMPUTED_VALUE"""),"Design Gráfico + 60 Projetos Gráficos para Web e Impressão")</f>
        <v>Design Gráfico + 60 Projetos Gráficos para Web e Impressão</v>
      </c>
    </row>
    <row r="13073">
      <c r="A13073" s="140" t="str">
        <f>IFERROR(__xludf.DUMMYFUNCTION("""COMPUTED_VALUE"""),"en")</f>
        <v>en</v>
      </c>
      <c r="B13073">
        <f>IFERROR(__xludf.DUMMYFUNCTION("""COMPUTED_VALUE"""),1612142.0)</f>
        <v>1612142</v>
      </c>
      <c r="C13073" t="str">
        <f>IFERROR(__xludf.DUMMYFUNCTION("""COMPUTED_VALUE"""),"Mastering IELTS Writing: Task 1 (General Training)")</f>
        <v>Mastering IELTS Writing: Task 1 (General Training)</v>
      </c>
    </row>
    <row r="13074">
      <c r="A13074" s="140" t="str">
        <f>IFERROR(__xludf.DUMMYFUNCTION("""COMPUTED_VALUE"""),"en")</f>
        <v>en</v>
      </c>
      <c r="B13074">
        <f>IFERROR(__xludf.DUMMYFUNCTION("""COMPUTED_VALUE"""),2662326.0)</f>
        <v>2662326</v>
      </c>
      <c r="C13074" t="str">
        <f>IFERROR(__xludf.DUMMYFUNCTION("""COMPUTED_VALUE"""),"Modern Reinforcement Learning: Deep Q Learning in PyTorch")</f>
        <v>Modern Reinforcement Learning: Deep Q Learning in PyTorch</v>
      </c>
    </row>
    <row r="13075">
      <c r="A13075" s="140" t="str">
        <f>IFERROR(__xludf.DUMMYFUNCTION("""COMPUTED_VALUE"""),"en")</f>
        <v>en</v>
      </c>
      <c r="B13075">
        <f>IFERROR(__xludf.DUMMYFUNCTION("""COMPUTED_VALUE"""),2562270.0)</f>
        <v>2562270</v>
      </c>
      <c r="C13075" t="str">
        <f>IFERROR(__xludf.DUMMYFUNCTION("""COMPUTED_VALUE"""),"Agile Project Management Fundamentals: Scrum, OKR and Kanban")</f>
        <v>Agile Project Management Fundamentals: Scrum, OKR and Kanban</v>
      </c>
    </row>
    <row r="13076">
      <c r="A13076" s="140" t="str">
        <f>IFERROR(__xludf.DUMMYFUNCTION("""COMPUTED_VALUE"""),"en")</f>
        <v>en</v>
      </c>
      <c r="B13076">
        <f>IFERROR(__xludf.DUMMYFUNCTION("""COMPUTED_VALUE"""),1778502.0)</f>
        <v>1778502</v>
      </c>
      <c r="C13076" t="str">
        <f>IFERROR(__xludf.DUMMYFUNCTION("""COMPUTED_VALUE"""),"iOS &amp; Swift - The Complete iOS App Development Bootcamp")</f>
        <v>iOS &amp; Swift - The Complete iOS App Development Bootcamp</v>
      </c>
    </row>
    <row r="13077">
      <c r="A13077" s="140" t="str">
        <f>IFERROR(__xludf.DUMMYFUNCTION("""COMPUTED_VALUE"""),"en")</f>
        <v>en</v>
      </c>
      <c r="B13077">
        <f>IFERROR(__xludf.DUMMYFUNCTION("""COMPUTED_VALUE"""),2500248.0)</f>
        <v>2500248</v>
      </c>
      <c r="C13077" t="str">
        <f>IFERROR(__xludf.DUMMYFUNCTION("""COMPUTED_VALUE"""),"Terraform for AWS - Beginner to Expert 2021 (0.12)")</f>
        <v>Terraform for AWS - Beginner to Expert 2021 (0.12)</v>
      </c>
    </row>
    <row r="13078">
      <c r="A13078" s="140" t="str">
        <f>IFERROR(__xludf.DUMMYFUNCTION("""COMPUTED_VALUE"""),"de")</f>
        <v>de</v>
      </c>
      <c r="B13078">
        <f>IFERROR(__xludf.DUMMYFUNCTION("""COMPUTED_VALUE"""),3670600.0)</f>
        <v>3670600</v>
      </c>
      <c r="C13078" t="str">
        <f>IFERROR(__xludf.DUMMYFUNCTION("""COMPUTED_VALUE"""),"Fortgeschrittenes CSS: Animationen, Flexbox, SVG, 3D, SASS,…")</f>
        <v>Fortgeschrittenes CSS: Animationen, Flexbox, SVG, 3D, SASS,…</v>
      </c>
    </row>
    <row r="13079">
      <c r="A13079" s="140" t="str">
        <f>IFERROR(__xludf.DUMMYFUNCTION("""COMPUTED_VALUE"""),"es")</f>
        <v>es</v>
      </c>
      <c r="B13079">
        <f>IFERROR(__xludf.DUMMYFUNCTION("""COMPUTED_VALUE"""),1176658.0)</f>
        <v>1176658</v>
      </c>
      <c r="C13079" t="str">
        <f>IFERROR(__xludf.DUMMYFUNCTION("""COMPUTED_VALUE"""),"Linkedin 2021. Crea tu marca personal de éxito")</f>
        <v>Linkedin 2021. Crea tu marca personal de éxito</v>
      </c>
    </row>
    <row r="13080">
      <c r="A13080" s="140" t="str">
        <f>IFERROR(__xludf.DUMMYFUNCTION("""COMPUTED_VALUE"""),"en")</f>
        <v>en</v>
      </c>
      <c r="B13080">
        <f>IFERROR(__xludf.DUMMYFUNCTION("""COMPUTED_VALUE"""),2666128.0)</f>
        <v>2666128</v>
      </c>
      <c r="C13080" t="str">
        <f>IFERROR(__xludf.DUMMYFUNCTION("""COMPUTED_VALUE"""),"Advanced UiPath Course- 5 Real time Projects by Amit &amp; Minal")</f>
        <v>Advanced UiPath Course- 5 Real time Projects by Amit &amp; Minal</v>
      </c>
    </row>
    <row r="13081">
      <c r="A13081" s="140" t="str">
        <f>IFERROR(__xludf.DUMMYFUNCTION("""COMPUTED_VALUE"""),"en")</f>
        <v>en</v>
      </c>
      <c r="B13081">
        <f>IFERROR(__xludf.DUMMYFUNCTION("""COMPUTED_VALUE"""),1353936.0)</f>
        <v>1353936</v>
      </c>
      <c r="C13081" t="str">
        <f>IFERROR(__xludf.DUMMYFUNCTION("""COMPUTED_VALUE"""),"Collaboration and Emotional Intelligence")</f>
        <v>Collaboration and Emotional Intelligence</v>
      </c>
    </row>
    <row r="13082">
      <c r="A13082" s="140" t="str">
        <f>IFERROR(__xludf.DUMMYFUNCTION("""COMPUTED_VALUE"""),"ja")</f>
        <v>ja</v>
      </c>
      <c r="B13082">
        <f>IFERROR(__xludf.DUMMYFUNCTION("""COMPUTED_VALUE"""),2306314.0)</f>
        <v>2306314</v>
      </c>
      <c r="C13082" t="str">
        <f>IFERROR(__xludf.DUMMYFUNCTION("""COMPUTED_VALUE"""),"はじめてのデジタルマーケティング")</f>
        <v>はじめてのデジタルマーケティング</v>
      </c>
    </row>
    <row r="13083">
      <c r="A13083" s="140" t="str">
        <f>IFERROR(__xludf.DUMMYFUNCTION("""COMPUTED_VALUE"""),"tr")</f>
        <v>tr</v>
      </c>
      <c r="B13083">
        <f>IFERROR(__xludf.DUMMYFUNCTION("""COMPUTED_VALUE"""),1663848.0)</f>
        <v>1663848</v>
      </c>
      <c r="C13083" t="str">
        <f>IFERROR(__xludf.DUMMYFUNCTION("""COMPUTED_VALUE"""),"Satış Eğitimi: A'dan Z'ye Bilmeniz Gerekenler")</f>
        <v>Satış Eğitimi: A'dan Z'ye Bilmeniz Gerekenler</v>
      </c>
    </row>
    <row r="13084">
      <c r="A13084" s="140" t="str">
        <f>IFERROR(__xludf.DUMMYFUNCTION("""COMPUTED_VALUE"""),"en")</f>
        <v>en</v>
      </c>
      <c r="B13084">
        <f>IFERROR(__xludf.DUMMYFUNCTION("""COMPUTED_VALUE"""),821278.0)</f>
        <v>821278</v>
      </c>
      <c r="C13084" t="str">
        <f>IFERROR(__xludf.DUMMYFUNCTION("""COMPUTED_VALUE"""),"INTERVIEW TRAINING: Ask Better Questions, Hire Better People")</f>
        <v>INTERVIEW TRAINING: Ask Better Questions, Hire Better People</v>
      </c>
    </row>
    <row r="13085">
      <c r="A13085" s="140" t="str">
        <f>IFERROR(__xludf.DUMMYFUNCTION("""COMPUTED_VALUE"""),"en")</f>
        <v>en</v>
      </c>
      <c r="B13085">
        <f>IFERROR(__xludf.DUMMYFUNCTION("""COMPUTED_VALUE"""),499086.0)</f>
        <v>499086</v>
      </c>
      <c r="C13085" t="str">
        <f>IFERROR(__xludf.DUMMYFUNCTION("""COMPUTED_VALUE"""),"Polynomial Regression, R, and ggplot")</f>
        <v>Polynomial Regression, R, and ggplot</v>
      </c>
    </row>
    <row r="13086">
      <c r="A13086" s="140" t="str">
        <f>IFERROR(__xludf.DUMMYFUNCTION("""COMPUTED_VALUE"""),"en")</f>
        <v>en</v>
      </c>
      <c r="B13086">
        <f>IFERROR(__xludf.DUMMYFUNCTION("""COMPUTED_VALUE"""),513244.0)</f>
        <v>513244</v>
      </c>
      <c r="C13086" t="str">
        <f>IFERROR(__xludf.DUMMYFUNCTION("""COMPUTED_VALUE"""),"Data Science A-Z™: Real-Life Data Science Exercises Included")</f>
        <v>Data Science A-Z™: Real-Life Data Science Exercises Included</v>
      </c>
    </row>
    <row r="13087">
      <c r="A13087" s="140" t="str">
        <f>IFERROR(__xludf.DUMMYFUNCTION("""COMPUTED_VALUE"""),"es")</f>
        <v>es</v>
      </c>
      <c r="B13087">
        <f>IFERROR(__xludf.DUMMYFUNCTION("""COMPUTED_VALUE"""),1156926.0)</f>
        <v>1156926</v>
      </c>
      <c r="C13087" t="str">
        <f>IFERROR(__xludf.DUMMYFUNCTION("""COMPUTED_VALUE"""),"Curso de Angular 13 - Desde cero hasta profesional")</f>
        <v>Curso de Angular 13 - Desde cero hasta profesional</v>
      </c>
    </row>
    <row r="13088">
      <c r="A13088" s="140" t="str">
        <f>IFERROR(__xludf.DUMMYFUNCTION("""COMPUTED_VALUE"""),"en")</f>
        <v>en</v>
      </c>
      <c r="B13088">
        <f>IFERROR(__xludf.DUMMYFUNCTION("""COMPUTED_VALUE"""),636822.0)</f>
        <v>636822</v>
      </c>
      <c r="C13088" t="str">
        <f>IFERROR(__xludf.DUMMYFUNCTION("""COMPUTED_VALUE"""),"Microsoft Excel - Data Visualization, Excel Charts &amp; Graphs")</f>
        <v>Microsoft Excel - Data Visualization, Excel Charts &amp; Graphs</v>
      </c>
    </row>
    <row r="13089">
      <c r="A13089" s="140" t="str">
        <f>IFERROR(__xludf.DUMMYFUNCTION("""COMPUTED_VALUE"""),"en")</f>
        <v>en</v>
      </c>
      <c r="B13089">
        <f>IFERROR(__xludf.DUMMYFUNCTION("""COMPUTED_VALUE"""),1788108.0)</f>
        <v>1788108</v>
      </c>
      <c r="C13089" t="str">
        <f>IFERROR(__xludf.DUMMYFUNCTION("""COMPUTED_VALUE"""),"Double Your Coding Speed with Visual Studio and ReSharper")</f>
        <v>Double Your Coding Speed with Visual Studio and ReSharper</v>
      </c>
    </row>
    <row r="13090">
      <c r="A13090" s="140" t="str">
        <f>IFERROR(__xludf.DUMMYFUNCTION("""COMPUTED_VALUE"""),"pt")</f>
        <v>pt</v>
      </c>
      <c r="B13090">
        <f>IFERROR(__xludf.DUMMYFUNCTION("""COMPUTED_VALUE"""),3569929.0)</f>
        <v>3569929</v>
      </c>
      <c r="C13090" t="str">
        <f>IFERROR(__xludf.DUMMYFUNCTION("""COMPUTED_VALUE"""),"Microsserviços Java com Spring Boot e Spring Cloud")</f>
        <v>Microsserviços Java com Spring Boot e Spring Cloud</v>
      </c>
    </row>
    <row r="13091">
      <c r="A13091" s="140" t="str">
        <f>IFERROR(__xludf.DUMMYFUNCTION("""COMPUTED_VALUE"""),"es")</f>
        <v>es</v>
      </c>
      <c r="B13091">
        <f>IFERROR(__xludf.DUMMYFUNCTION("""COMPUTED_VALUE"""),714228.0)</f>
        <v>714228</v>
      </c>
      <c r="C13091" t="str">
        <f>IFERROR(__xludf.DUMMYFUNCTION("""COMPUTED_VALUE"""),"CURSO PROFESIONAL DE JAVA ORIENTADO A OBJETOS")</f>
        <v>CURSO PROFESIONAL DE JAVA ORIENTADO A OBJETOS</v>
      </c>
    </row>
    <row r="13092">
      <c r="A13092" s="140" t="str">
        <f>IFERROR(__xludf.DUMMYFUNCTION("""COMPUTED_VALUE"""),"en")</f>
        <v>en</v>
      </c>
      <c r="B13092">
        <f>IFERROR(__xludf.DUMMYFUNCTION("""COMPUTED_VALUE"""),1448556.0)</f>
        <v>1448556</v>
      </c>
      <c r="C13092" t="str">
        <f>IFERROR(__xludf.DUMMYFUNCTION("""COMPUTED_VALUE"""),"Effective Presentation and TED like Public Speaking")</f>
        <v>Effective Presentation and TED like Public Speaking</v>
      </c>
    </row>
    <row r="13093">
      <c r="A13093" s="140" t="str">
        <f>IFERROR(__xludf.DUMMYFUNCTION("""COMPUTED_VALUE"""),"es")</f>
        <v>es</v>
      </c>
      <c r="B13093">
        <f>IFERROR(__xludf.DUMMYFUNCTION("""COMPUTED_VALUE"""),3276404.0)</f>
        <v>3276404</v>
      </c>
      <c r="C13093" t="str">
        <f>IFERROR(__xludf.DUMMYFUNCTION("""COMPUTED_VALUE"""),"UX/UI y Prototipado digital")</f>
        <v>UX/UI y Prototipado digital</v>
      </c>
    </row>
    <row r="13094">
      <c r="A13094" s="140" t="str">
        <f>IFERROR(__xludf.DUMMYFUNCTION("""COMPUTED_VALUE"""),"en")</f>
        <v>en</v>
      </c>
      <c r="B13094">
        <f>IFERROR(__xludf.DUMMYFUNCTION("""COMPUTED_VALUE"""),2609800.0)</f>
        <v>2609800</v>
      </c>
      <c r="C13094" t="str">
        <f>IFERROR(__xludf.DUMMYFUNCTION("""COMPUTED_VALUE"""),"Complete Algorithms Complexity and Big O Notation Course")</f>
        <v>Complete Algorithms Complexity and Big O Notation Course</v>
      </c>
    </row>
    <row r="13095">
      <c r="A13095" s="140" t="str">
        <f>IFERROR(__xludf.DUMMYFUNCTION("""COMPUTED_VALUE"""),"tr")</f>
        <v>tr</v>
      </c>
      <c r="B13095">
        <f>IFERROR(__xludf.DUMMYFUNCTION("""COMPUTED_VALUE"""),1392674.0)</f>
        <v>1392674</v>
      </c>
      <c r="C13095" t="str">
        <f>IFERROR(__xludf.DUMMYFUNCTION("""COMPUTED_VALUE"""),"Berqnet Firewall Eğitimi")</f>
        <v>Berqnet Firewall Eğitimi</v>
      </c>
    </row>
    <row r="13096">
      <c r="A13096" s="140" t="str">
        <f>IFERROR(__xludf.DUMMYFUNCTION("""COMPUTED_VALUE"""),"en")</f>
        <v>en</v>
      </c>
      <c r="B13096">
        <f>IFERROR(__xludf.DUMMYFUNCTION("""COMPUTED_VALUE"""),1596336.0)</f>
        <v>1596336</v>
      </c>
      <c r="C13096" t="str">
        <f>IFERROR(__xludf.DUMMYFUNCTION("""COMPUTED_VALUE"""),"Leadership Masterclass")</f>
        <v>Leadership Masterclass</v>
      </c>
    </row>
    <row r="13097">
      <c r="A13097" s="140" t="str">
        <f>IFERROR(__xludf.DUMMYFUNCTION("""COMPUTED_VALUE"""),"en")</f>
        <v>en</v>
      </c>
      <c r="B13097">
        <f>IFERROR(__xludf.DUMMYFUNCTION("""COMPUTED_VALUE"""),481566.0)</f>
        <v>481566</v>
      </c>
      <c r="C13097" t="str">
        <f>IFERROR(__xludf.DUMMYFUNCTION("""COMPUTED_VALUE"""),"Modern UI Development in Unity 4.6/5.0")</f>
        <v>Modern UI Development in Unity 4.6/5.0</v>
      </c>
    </row>
    <row r="13098">
      <c r="A13098" s="140" t="str">
        <f>IFERROR(__xludf.DUMMYFUNCTION("""COMPUTED_VALUE"""),"en")</f>
        <v>en</v>
      </c>
      <c r="B13098">
        <f>IFERROR(__xludf.DUMMYFUNCTION("""COMPUTED_VALUE"""),948440.0)</f>
        <v>948440</v>
      </c>
      <c r="C13098" t="str">
        <f>IFERROR(__xludf.DUMMYFUNCTION("""COMPUTED_VALUE"""),"PSD to Responsive HTML5: Beginner to Advanced")</f>
        <v>PSD to Responsive HTML5: Beginner to Advanced</v>
      </c>
    </row>
    <row r="13099">
      <c r="A13099" s="140" t="str">
        <f>IFERROR(__xludf.DUMMYFUNCTION("""COMPUTED_VALUE"""),"es")</f>
        <v>es</v>
      </c>
      <c r="B13099">
        <f>IFERROR(__xludf.DUMMYFUNCTION("""COMPUTED_VALUE"""),1029476.0)</f>
        <v>1029476</v>
      </c>
      <c r="C13099" t="str">
        <f>IFERROR(__xludf.DUMMYFUNCTION("""COMPUTED_VALUE"""),"Crea TU BLOG desde CERO con Wordpress y Elementor")</f>
        <v>Crea TU BLOG desde CERO con Wordpress y Elementor</v>
      </c>
    </row>
    <row r="13100">
      <c r="A13100" s="140" t="str">
        <f>IFERROR(__xludf.DUMMYFUNCTION("""COMPUTED_VALUE"""),"en")</f>
        <v>en</v>
      </c>
      <c r="B13100">
        <f>IFERROR(__xludf.DUMMYFUNCTION("""COMPUTED_VALUE"""),428316.0)</f>
        <v>428316</v>
      </c>
      <c r="C13100" t="str">
        <f>IFERROR(__xludf.DUMMYFUNCTION("""COMPUTED_VALUE"""),"SAP HANA Implementation, Modeling and Reporting Course")</f>
        <v>SAP HANA Implementation, Modeling and Reporting Course</v>
      </c>
    </row>
    <row r="13101">
      <c r="A13101" s="140" t="str">
        <f>IFERROR(__xludf.DUMMYFUNCTION("""COMPUTED_VALUE"""),"en")</f>
        <v>en</v>
      </c>
      <c r="B13101">
        <f>IFERROR(__xludf.DUMMYFUNCTION("""COMPUTED_VALUE"""),1560542.0)</f>
        <v>1560542</v>
      </c>
      <c r="C13101" t="str">
        <f>IFERROR(__xludf.DUMMYFUNCTION("""COMPUTED_VALUE"""),"Cucumber with Java-Build Automation Framework in lesser code")</f>
        <v>Cucumber with Java-Build Automation Framework in lesser code</v>
      </c>
    </row>
    <row r="13102">
      <c r="A13102" s="140" t="str">
        <f>IFERROR(__xludf.DUMMYFUNCTION("""COMPUTED_VALUE"""),"es")</f>
        <v>es</v>
      </c>
      <c r="B13102">
        <f>IFERROR(__xludf.DUMMYFUNCTION("""COMPUTED_VALUE"""),490376.0)</f>
        <v>490376</v>
      </c>
      <c r="C13102" t="str">
        <f>IFERROR(__xludf.DUMMYFUNCTION("""COMPUTED_VALUE"""),"Java para Administradores de Sistemas")</f>
        <v>Java para Administradores de Sistemas</v>
      </c>
    </row>
    <row r="13103">
      <c r="A13103" s="140" t="str">
        <f>IFERROR(__xludf.DUMMYFUNCTION("""COMPUTED_VALUE"""),"en")</f>
        <v>en</v>
      </c>
      <c r="B13103">
        <f>IFERROR(__xludf.DUMMYFUNCTION("""COMPUTED_VALUE"""),593564.0)</f>
        <v>593564</v>
      </c>
      <c r="C13103" t="str">
        <f>IFERROR(__xludf.DUMMYFUNCTION("""COMPUTED_VALUE"""),"How To Get a Record Deal &amp; Navigate The Music Industry")</f>
        <v>How To Get a Record Deal &amp; Navigate The Music Industry</v>
      </c>
    </row>
    <row r="13104">
      <c r="A13104" s="140" t="str">
        <f>IFERROR(__xludf.DUMMYFUNCTION("""COMPUTED_VALUE"""),"ja")</f>
        <v>ja</v>
      </c>
      <c r="B13104">
        <f>IFERROR(__xludf.DUMMYFUNCTION("""COMPUTED_VALUE"""),3585616.0)</f>
        <v>3585616</v>
      </c>
      <c r="C13104" t="str">
        <f>IFERROR(__xludf.DUMMYFUNCTION("""COMPUTED_VALUE"""),"サーブレットを完全マスター！挫折させないJavaプログラミング講座～Webアプリ編～")</f>
        <v>サーブレットを完全マスター！挫折させないJavaプログラミング講座～Webアプリ編～</v>
      </c>
    </row>
    <row r="13105">
      <c r="A13105" s="140" t="str">
        <f>IFERROR(__xludf.DUMMYFUNCTION("""COMPUTED_VALUE"""),"de")</f>
        <v>de</v>
      </c>
      <c r="B13105">
        <f>IFERROR(__xludf.DUMMYFUNCTION("""COMPUTED_VALUE"""),1035348.0)</f>
        <v>1035348</v>
      </c>
      <c r="C13105" t="str">
        <f>IFERROR(__xludf.DUMMYFUNCTION("""COMPUTED_VALUE"""),"SAP ABAP für Anfänger 5: Datenbanken &amp; Code Inspector")</f>
        <v>SAP ABAP für Anfänger 5: Datenbanken &amp; Code Inspector</v>
      </c>
    </row>
    <row r="13106">
      <c r="A13106" s="140" t="str">
        <f>IFERROR(__xludf.DUMMYFUNCTION("""COMPUTED_VALUE"""),"ja")</f>
        <v>ja</v>
      </c>
      <c r="B13106">
        <f>IFERROR(__xludf.DUMMYFUNCTION("""COMPUTED_VALUE"""),2831096.0)</f>
        <v>2831096</v>
      </c>
      <c r="C13106" t="str">
        <f>IFERROR(__xludf.DUMMYFUNCTION("""COMPUTED_VALUE"""),"C#でドメイン駆動開発 パート２")</f>
        <v>C#でドメイン駆動開発 パート２</v>
      </c>
    </row>
    <row r="13107">
      <c r="A13107" s="140" t="str">
        <f>IFERROR(__xludf.DUMMYFUNCTION("""COMPUTED_VALUE"""),"ja")</f>
        <v>ja</v>
      </c>
      <c r="B13107">
        <f>IFERROR(__xludf.DUMMYFUNCTION("""COMPUTED_VALUE"""),4075550.0)</f>
        <v>4075550</v>
      </c>
      <c r="C13107" t="str">
        <f>IFERROR(__xludf.DUMMYFUNCTION("""COMPUTED_VALUE"""),"世界60万人が受講した講師が教えるプログラミング基礎の基礎(日本語版)※11月中全セクション公開")</f>
        <v>世界60万人が受講した講師が教えるプログラミング基礎の基礎(日本語版)※11月中全セクション公開</v>
      </c>
    </row>
    <row r="13108">
      <c r="A13108" s="140" t="str">
        <f>IFERROR(__xludf.DUMMYFUNCTION("""COMPUTED_VALUE"""),"en")</f>
        <v>en</v>
      </c>
      <c r="B13108">
        <f>IFERROR(__xludf.DUMMYFUNCTION("""COMPUTED_VALUE"""),3481720.0)</f>
        <v>3481720</v>
      </c>
      <c r="C13108" t="str">
        <f>IFERROR(__xludf.DUMMYFUNCTION("""COMPUTED_VALUE"""),"Linux Kernel Development Model and Compilation")</f>
        <v>Linux Kernel Development Model and Compilation</v>
      </c>
    </row>
    <row r="13109">
      <c r="A13109" s="140" t="str">
        <f>IFERROR(__xludf.DUMMYFUNCTION("""COMPUTED_VALUE"""),"ar")</f>
        <v>ar</v>
      </c>
      <c r="B13109">
        <f>IFERROR(__xludf.DUMMYFUNCTION("""COMPUTED_VALUE"""),2969484.0)</f>
        <v>2969484</v>
      </c>
      <c r="C13109" t="str">
        <f>IFERROR(__xludf.DUMMYFUNCTION("""COMPUTED_VALUE"""),"The Java Learning Guide")</f>
        <v>The Java Learning Guide</v>
      </c>
    </row>
    <row r="13110">
      <c r="A13110" s="140" t="str">
        <f>IFERROR(__xludf.DUMMYFUNCTION("""COMPUTED_VALUE"""),"es")</f>
        <v>es</v>
      </c>
      <c r="B13110">
        <f>IFERROR(__xludf.DUMMYFUNCTION("""COMPUTED_VALUE"""),2060935.0)</f>
        <v>2060935</v>
      </c>
      <c r="C13110" t="str">
        <f>IFERROR(__xludf.DUMMYFUNCTION("""COMPUTED_VALUE"""),"Estadística descriptiva e inferencial con R")</f>
        <v>Estadística descriptiva e inferencial con R</v>
      </c>
    </row>
    <row r="13111">
      <c r="A13111" s="140" t="str">
        <f>IFERROR(__xludf.DUMMYFUNCTION("""COMPUTED_VALUE"""),"es")</f>
        <v>es</v>
      </c>
      <c r="B13111">
        <f>IFERROR(__xludf.DUMMYFUNCTION("""COMPUTED_VALUE"""),2311422.0)</f>
        <v>2311422</v>
      </c>
      <c r="C13111" t="str">
        <f>IFERROR(__xludf.DUMMYFUNCTION("""COMPUTED_VALUE"""),"Diseñador Web Profesional. De Intermedio a Experto")</f>
        <v>Diseñador Web Profesional. De Intermedio a Experto</v>
      </c>
    </row>
    <row r="13112">
      <c r="A13112" s="140" t="str">
        <f>IFERROR(__xludf.DUMMYFUNCTION("""COMPUTED_VALUE"""),"en")</f>
        <v>en</v>
      </c>
      <c r="B13112">
        <f>IFERROR(__xludf.DUMMYFUNCTION("""COMPUTED_VALUE"""),756150.0)</f>
        <v>756150</v>
      </c>
      <c r="C13112" t="str">
        <f>IFERROR(__xludf.DUMMYFUNCTION("""COMPUTED_VALUE"""),"Angular - The Complete Guide (2022 Edition)")</f>
        <v>Angular - The Complete Guide (2022 Edition)</v>
      </c>
    </row>
    <row r="13113">
      <c r="A13113" s="140" t="str">
        <f>IFERROR(__xludf.DUMMYFUNCTION("""COMPUTED_VALUE"""),"en")</f>
        <v>en</v>
      </c>
      <c r="B13113">
        <f>IFERROR(__xludf.DUMMYFUNCTION("""COMPUTED_VALUE"""),1751988.0)</f>
        <v>1751988</v>
      </c>
      <c r="C13113" t="str">
        <f>IFERROR(__xludf.DUMMYFUNCTION("""COMPUTED_VALUE"""),"The 10 Day iPhone App Bootcamp - NEW iOS 12 and Xcode 10")</f>
        <v>The 10 Day iPhone App Bootcamp - NEW iOS 12 and Xcode 10</v>
      </c>
    </row>
    <row r="13114">
      <c r="A13114" s="140" t="str">
        <f>IFERROR(__xludf.DUMMYFUNCTION("""COMPUTED_VALUE"""),"en")</f>
        <v>en</v>
      </c>
      <c r="B13114">
        <f>IFERROR(__xludf.DUMMYFUNCTION("""COMPUTED_VALUE"""),2495378.0)</f>
        <v>2495378</v>
      </c>
      <c r="C13114" t="str">
        <f>IFERROR(__xludf.DUMMYFUNCTION("""COMPUTED_VALUE"""),"The Complete Mindfulness Course - Enjoy Life In the Present")</f>
        <v>The Complete Mindfulness Course - Enjoy Life In the Present</v>
      </c>
    </row>
    <row r="13115">
      <c r="A13115" s="140" t="str">
        <f>IFERROR(__xludf.DUMMYFUNCTION("""COMPUTED_VALUE"""),"en")</f>
        <v>en</v>
      </c>
      <c r="B13115">
        <f>IFERROR(__xludf.DUMMYFUNCTION("""COMPUTED_VALUE"""),2388728.0)</f>
        <v>2388728</v>
      </c>
      <c r="C13115" t="str">
        <f>IFERROR(__xludf.DUMMYFUNCTION("""COMPUTED_VALUE"""),"Omnichannel Customer Experience Management (CX)")</f>
        <v>Omnichannel Customer Experience Management (CX)</v>
      </c>
    </row>
    <row r="13116">
      <c r="A13116" s="140" t="str">
        <f>IFERROR(__xludf.DUMMYFUNCTION("""COMPUTED_VALUE"""),"en")</f>
        <v>en</v>
      </c>
      <c r="B13116">
        <f>IFERROR(__xludf.DUMMYFUNCTION("""COMPUTED_VALUE"""),1340842.0)</f>
        <v>1340842</v>
      </c>
      <c r="C13116" t="str">
        <f>IFERROR(__xludf.DUMMYFUNCTION("""COMPUTED_VALUE"""),"Robotic Process Automation - RPA Overview")</f>
        <v>Robotic Process Automation - RPA Overview</v>
      </c>
    </row>
    <row r="13117">
      <c r="A13117" s="140" t="str">
        <f>IFERROR(__xludf.DUMMYFUNCTION("""COMPUTED_VALUE"""),"en")</f>
        <v>en</v>
      </c>
      <c r="B13117">
        <f>IFERROR(__xludf.DUMMYFUNCTION("""COMPUTED_VALUE"""),3650230.0)</f>
        <v>3650230</v>
      </c>
      <c r="C13117" t="str">
        <f>IFERROR(__xludf.DUMMYFUNCTION("""COMPUTED_VALUE"""),"Data Science for Healthcare Claims Data")</f>
        <v>Data Science for Healthcare Claims Data</v>
      </c>
    </row>
    <row r="13118">
      <c r="A13118" s="140" t="str">
        <f>IFERROR(__xludf.DUMMYFUNCTION("""COMPUTED_VALUE"""),"en")</f>
        <v>en</v>
      </c>
      <c r="B13118">
        <f>IFERROR(__xludf.DUMMYFUNCTION("""COMPUTED_VALUE"""),3941178.0)</f>
        <v>3941178</v>
      </c>
      <c r="C13118" t="str">
        <f>IFERROR(__xludf.DUMMYFUNCTION("""COMPUTED_VALUE"""),"NFT Fundamentals (Buy, Create and Sell NFTs)")</f>
        <v>NFT Fundamentals (Buy, Create and Sell NFTs)</v>
      </c>
    </row>
    <row r="13119">
      <c r="A13119" s="140" t="str">
        <f>IFERROR(__xludf.DUMMYFUNCTION("""COMPUTED_VALUE"""),"es")</f>
        <v>es</v>
      </c>
      <c r="B13119">
        <f>IFERROR(__xludf.DUMMYFUNCTION("""COMPUTED_VALUE"""),672600.0)</f>
        <v>672600</v>
      </c>
      <c r="C13119" t="str">
        <f>IFERROR(__xludf.DUMMYFUNCTION("""COMPUTED_VALUE"""),"PHP 8 y MYSQL: El Curso Completo, Práctico y Desde Cero !")</f>
        <v>PHP 8 y MYSQL: El Curso Completo, Práctico y Desde Cero !</v>
      </c>
    </row>
    <row r="13120">
      <c r="A13120" s="140" t="str">
        <f>IFERROR(__xludf.DUMMYFUNCTION("""COMPUTED_VALUE"""),"fr")</f>
        <v>fr</v>
      </c>
      <c r="B13120">
        <f>IFERROR(__xludf.DUMMYFUNCTION("""COMPUTED_VALUE"""),1511400.0)</f>
        <v>1511400</v>
      </c>
      <c r="C13120" t="str">
        <f>IFERROR(__xludf.DUMMYFUNCTION("""COMPUTED_VALUE"""),"Le marketing par chatbots: générer des ventes et prospects.")</f>
        <v>Le marketing par chatbots: générer des ventes et prospects.</v>
      </c>
    </row>
    <row r="13121">
      <c r="A13121" s="140" t="str">
        <f>IFERROR(__xludf.DUMMYFUNCTION("""COMPUTED_VALUE"""),"en")</f>
        <v>en</v>
      </c>
      <c r="B13121">
        <f>IFERROR(__xludf.DUMMYFUNCTION("""COMPUTED_VALUE"""),3296346.0)</f>
        <v>3296346</v>
      </c>
      <c r="C13121" t="str">
        <f>IFERROR(__xludf.DUMMYFUNCTION("""COMPUTED_VALUE"""),"Learn Azure Cosmos DB basics this weekend in 3 hour")</f>
        <v>Learn Azure Cosmos DB basics this weekend in 3 hour</v>
      </c>
    </row>
    <row r="13122">
      <c r="A13122" s="140" t="str">
        <f>IFERROR(__xludf.DUMMYFUNCTION("""COMPUTED_VALUE"""),"pt")</f>
        <v>pt</v>
      </c>
      <c r="B13122">
        <f>IFERROR(__xludf.DUMMYFUNCTION("""COMPUTED_VALUE"""),3286168.0)</f>
        <v>3286168</v>
      </c>
      <c r="C13122" t="str">
        <f>IFERROR(__xludf.DUMMYFUNCTION("""COMPUTED_VALUE"""),"Robotic Process Automation: Crie bots com UIPATH")</f>
        <v>Robotic Process Automation: Crie bots com UIPATH</v>
      </c>
    </row>
    <row r="13123">
      <c r="A13123" s="140" t="str">
        <f>IFERROR(__xludf.DUMMYFUNCTION("""COMPUTED_VALUE"""),"tr")</f>
        <v>tr</v>
      </c>
      <c r="B13123">
        <f>IFERROR(__xludf.DUMMYFUNCTION("""COMPUTED_VALUE"""),3073606.0)</f>
        <v>3073606</v>
      </c>
      <c r="C13123" t="str">
        <f>IFERROR(__xludf.DUMMYFUNCTION("""COMPUTED_VALUE"""),"Emu8086 ile Assembly Programlama Dili : Gerçek Programlama")</f>
        <v>Emu8086 ile Assembly Programlama Dili : Gerçek Programlama</v>
      </c>
    </row>
    <row r="13124">
      <c r="A13124" s="140" t="str">
        <f>IFERROR(__xludf.DUMMYFUNCTION("""COMPUTED_VALUE"""),"ja")</f>
        <v>ja</v>
      </c>
      <c r="B13124">
        <f>IFERROR(__xludf.DUMMYFUNCTION("""COMPUTED_VALUE"""),635704.0)</f>
        <v>635704</v>
      </c>
      <c r="C13124" t="str">
        <f>IFERROR(__xludf.DUMMYFUNCTION("""COMPUTED_VALUE"""),"スキマ時間で！ビジュアル簿記「超」入門編～そうだったのか！複式簿記")</f>
        <v>スキマ時間で！ビジュアル簿記「超」入門編～そうだったのか！複式簿記</v>
      </c>
    </row>
    <row r="13125">
      <c r="A13125" s="140" t="str">
        <f>IFERROR(__xludf.DUMMYFUNCTION("""COMPUTED_VALUE"""),"de")</f>
        <v>de</v>
      </c>
      <c r="B13125">
        <f>IFERROR(__xludf.DUMMYFUNCTION("""COMPUTED_VALUE"""),1019882.0)</f>
        <v>1019882</v>
      </c>
      <c r="C13125" t="str">
        <f>IFERROR(__xludf.DUMMYFUNCTION("""COMPUTED_VALUE"""),"Entwickle watchOS 3 Apps mit Swift")</f>
        <v>Entwickle watchOS 3 Apps mit Swift</v>
      </c>
    </row>
    <row r="13126">
      <c r="A13126" s="140" t="str">
        <f>IFERROR(__xludf.DUMMYFUNCTION("""COMPUTED_VALUE"""),"en")</f>
        <v>en</v>
      </c>
      <c r="B13126">
        <f>IFERROR(__xludf.DUMMYFUNCTION("""COMPUTED_VALUE"""),3724648.0)</f>
        <v>3724648</v>
      </c>
      <c r="C13126" t="str">
        <f>IFERROR(__xludf.DUMMYFUNCTION("""COMPUTED_VALUE"""),"CompTIA PenTest+ (PT0-001) Practice Certification Exams")</f>
        <v>CompTIA PenTest+ (PT0-001) Practice Certification Exams</v>
      </c>
    </row>
    <row r="13127">
      <c r="A13127" s="140" t="str">
        <f>IFERROR(__xludf.DUMMYFUNCTION("""COMPUTED_VALUE"""),"en")</f>
        <v>en</v>
      </c>
      <c r="B13127">
        <f>IFERROR(__xludf.DUMMYFUNCTION("""COMPUTED_VALUE"""),2460866.0)</f>
        <v>2460866</v>
      </c>
      <c r="C13127" t="str">
        <f>IFERROR(__xludf.DUMMYFUNCTION("""COMPUTED_VALUE"""),"Spring Professional Certification Exam Tutorial - Module 03")</f>
        <v>Spring Professional Certification Exam Tutorial - Module 03</v>
      </c>
    </row>
    <row r="13128">
      <c r="A13128" s="140" t="str">
        <f>IFERROR(__xludf.DUMMYFUNCTION("""COMPUTED_VALUE"""),"en")</f>
        <v>en</v>
      </c>
      <c r="B13128">
        <f>IFERROR(__xludf.DUMMYFUNCTION("""COMPUTED_VALUE"""),1790710.0)</f>
        <v>1790710</v>
      </c>
      <c r="C13128" t="str">
        <f>IFERROR(__xludf.DUMMYFUNCTION("""COMPUTED_VALUE"""),"[2021] Optimized Interview: For Hiring Managers &amp; Recruiters")</f>
        <v>[2021] Optimized Interview: For Hiring Managers &amp; Recruiters</v>
      </c>
    </row>
    <row r="13129">
      <c r="A13129" s="140" t="str">
        <f>IFERROR(__xludf.DUMMYFUNCTION("""COMPUTED_VALUE"""),"en")</f>
        <v>en</v>
      </c>
      <c r="B13129">
        <f>IFERROR(__xludf.DUMMYFUNCTION("""COMPUTED_VALUE"""),1459426.0)</f>
        <v>1459426</v>
      </c>
      <c r="C13129" t="str">
        <f>IFERROR(__xludf.DUMMYFUNCTION("""COMPUTED_VALUE"""),"REST Assured Fundamentals")</f>
        <v>REST Assured Fundamentals</v>
      </c>
    </row>
    <row r="13130">
      <c r="A13130" s="140" t="str">
        <f>IFERROR(__xludf.DUMMYFUNCTION("""COMPUTED_VALUE"""),"en")</f>
        <v>en</v>
      </c>
      <c r="B13130">
        <f>IFERROR(__xludf.DUMMYFUNCTION("""COMPUTED_VALUE"""),3237225.0)</f>
        <v>3237225</v>
      </c>
      <c r="C13130" t="str">
        <f>IFERROR(__xludf.DUMMYFUNCTION("""COMPUTED_VALUE"""),"Learn Restful Api's with Asp.Net Core 5.0 2021")</f>
        <v>Learn Restful Api's with Asp.Net Core 5.0 2021</v>
      </c>
    </row>
    <row r="13131">
      <c r="A13131" s="140" t="str">
        <f>IFERROR(__xludf.DUMMYFUNCTION("""COMPUTED_VALUE"""),"en")</f>
        <v>en</v>
      </c>
      <c r="B13131">
        <f>IFERROR(__xludf.DUMMYFUNCTION("""COMPUTED_VALUE"""),966236.0)</f>
        <v>966236</v>
      </c>
      <c r="C13131" t="str">
        <f>IFERROR(__xludf.DUMMYFUNCTION("""COMPUTED_VALUE"""),"SQL Tutorial For Tester")</f>
        <v>SQL Tutorial For Tester</v>
      </c>
    </row>
    <row r="13132">
      <c r="A13132" s="140" t="str">
        <f>IFERROR(__xludf.DUMMYFUNCTION("""COMPUTED_VALUE"""),"en")</f>
        <v>en</v>
      </c>
      <c r="B13132">
        <f>IFERROR(__xludf.DUMMYFUNCTION("""COMPUTED_VALUE"""),1362782.0)</f>
        <v>1362782</v>
      </c>
      <c r="C13132" t="str">
        <f>IFERROR(__xludf.DUMMYFUNCTION("""COMPUTED_VALUE"""),"Angular Components - like a Pro! (Angular 2/4/5/6/7+)")</f>
        <v>Angular Components - like a Pro! (Angular 2/4/5/6/7+)</v>
      </c>
    </row>
    <row r="13133">
      <c r="A13133" s="140" t="str">
        <f>IFERROR(__xludf.DUMMYFUNCTION("""COMPUTED_VALUE"""),"en")</f>
        <v>en</v>
      </c>
      <c r="B13133">
        <f>IFERROR(__xludf.DUMMYFUNCTION("""COMPUTED_VALUE"""),1517986.0)</f>
        <v>1517986</v>
      </c>
      <c r="C13133" t="str">
        <f>IFERROR(__xludf.DUMMYFUNCTION("""COMPUTED_VALUE"""),"QuickBooks Online 2021 &amp; 2020 Start to Finish")</f>
        <v>QuickBooks Online 2021 &amp; 2020 Start to Finish</v>
      </c>
    </row>
    <row r="13134">
      <c r="A13134" s="140" t="str">
        <f>IFERROR(__xludf.DUMMYFUNCTION("""COMPUTED_VALUE"""),"pt")</f>
        <v>pt</v>
      </c>
      <c r="B13134">
        <f>IFERROR(__xludf.DUMMYFUNCTION("""COMPUTED_VALUE"""),3415024.0)</f>
        <v>3415024</v>
      </c>
      <c r="C13134" t="str">
        <f>IFERROR(__xludf.DUMMYFUNCTION("""COMPUTED_VALUE"""),"Blender para Arquitetura POCKET")</f>
        <v>Blender para Arquitetura POCKET</v>
      </c>
    </row>
    <row r="13135">
      <c r="A13135" s="140" t="str">
        <f>IFERROR(__xludf.DUMMYFUNCTION("""COMPUTED_VALUE"""),"en")</f>
        <v>en</v>
      </c>
      <c r="B13135">
        <f>IFERROR(__xludf.DUMMYFUNCTION("""COMPUTED_VALUE"""),3538228.0)</f>
        <v>3538228</v>
      </c>
      <c r="C13135" t="str">
        <f>IFERROR(__xludf.DUMMYFUNCTION("""COMPUTED_VALUE"""),"VMware NSX-T Load Balancing Deep Dive")</f>
        <v>VMware NSX-T Load Balancing Deep Dive</v>
      </c>
    </row>
    <row r="13136">
      <c r="A13136" s="140" t="str">
        <f>IFERROR(__xludf.DUMMYFUNCTION("""COMPUTED_VALUE"""),"en")</f>
        <v>en</v>
      </c>
      <c r="B13136">
        <f>IFERROR(__xludf.DUMMYFUNCTION("""COMPUTED_VALUE"""),3764612.0)</f>
        <v>3764612</v>
      </c>
      <c r="C13136" t="str">
        <f>IFERROR(__xludf.DUMMYFUNCTION("""COMPUTED_VALUE"""),"Become a Certified Cassandra Developer: Practice Exams")</f>
        <v>Become a Certified Cassandra Developer: Practice Exams</v>
      </c>
    </row>
    <row r="13137">
      <c r="A13137" s="140" t="str">
        <f>IFERROR(__xludf.DUMMYFUNCTION("""COMPUTED_VALUE"""),"en")</f>
        <v>en</v>
      </c>
      <c r="B13137">
        <f>IFERROR(__xludf.DUMMYFUNCTION("""COMPUTED_VALUE"""),1957510.0)</f>
        <v>1957510</v>
      </c>
      <c r="C13137" t="str">
        <f>IFERROR(__xludf.DUMMYFUNCTION("""COMPUTED_VALUE"""),"UiPath RPA - Level 2")</f>
        <v>UiPath RPA - Level 2</v>
      </c>
    </row>
    <row r="13138">
      <c r="A13138" s="140" t="str">
        <f>IFERROR(__xludf.DUMMYFUNCTION("""COMPUTED_VALUE"""),"en")</f>
        <v>en</v>
      </c>
      <c r="B13138">
        <f>IFERROR(__xludf.DUMMYFUNCTION("""COMPUTED_VALUE"""),3402164.0)</f>
        <v>3402164</v>
      </c>
      <c r="C13138" t="str">
        <f>IFERROR(__xludf.DUMMYFUNCTION("""COMPUTED_VALUE"""),"Docker and Kubernetes: The Complete Reference")</f>
        <v>Docker and Kubernetes: The Complete Reference</v>
      </c>
    </row>
    <row r="13139">
      <c r="A13139" s="140" t="str">
        <f>IFERROR(__xludf.DUMMYFUNCTION("""COMPUTED_VALUE"""),"de")</f>
        <v>de</v>
      </c>
      <c r="B13139">
        <f>IFERROR(__xludf.DUMMYFUNCTION("""COMPUTED_VALUE"""),2946094.0)</f>
        <v>2946094</v>
      </c>
      <c r="C13139" t="str">
        <f>IFERROR(__xludf.DUMMYFUNCTION("""COMPUTED_VALUE"""),"WordPress SEO 2021 | Der Traffic Praxiskurs für Blogger")</f>
        <v>WordPress SEO 2021 | Der Traffic Praxiskurs für Blogger</v>
      </c>
    </row>
    <row r="13140">
      <c r="A13140" s="140" t="str">
        <f>IFERROR(__xludf.DUMMYFUNCTION("""COMPUTED_VALUE"""),"ko")</f>
        <v>ko</v>
      </c>
      <c r="B13140">
        <f>IFERROR(__xludf.DUMMYFUNCTION("""COMPUTED_VALUE"""),4250766.0)</f>
        <v>4250766</v>
      </c>
      <c r="C13140" t="str">
        <f>IFERROR(__xludf.DUMMYFUNCTION("""COMPUTED_VALUE"""),"HRDIST의 HRD 실무 입문과정")</f>
        <v>HRDIST의 HRD 실무 입문과정</v>
      </c>
    </row>
    <row r="13141">
      <c r="A13141" s="140" t="str">
        <f>IFERROR(__xludf.DUMMYFUNCTION("""COMPUTED_VALUE"""),"en")</f>
        <v>en</v>
      </c>
      <c r="B13141">
        <f>IFERROR(__xludf.DUMMYFUNCTION("""COMPUTED_VALUE"""),758738.0)</f>
        <v>758738</v>
      </c>
      <c r="C13141" t="str">
        <f>IFERROR(__xludf.DUMMYFUNCTION("""COMPUTED_VALUE"""),"Salesforce Developer Training with real-time project")</f>
        <v>Salesforce Developer Training with real-time project</v>
      </c>
    </row>
    <row r="13142">
      <c r="A13142" s="140" t="str">
        <f>IFERROR(__xludf.DUMMYFUNCTION("""COMPUTED_VALUE"""),"en")</f>
        <v>en</v>
      </c>
      <c r="B13142">
        <f>IFERROR(__xludf.DUMMYFUNCTION("""COMPUTED_VALUE"""),373312.0)</f>
        <v>373312</v>
      </c>
      <c r="C13142" t="str">
        <f>IFERROR(__xludf.DUMMYFUNCTION("""COMPUTED_VALUE"""),"21 Day Crash Course in Emotional Intelligence")</f>
        <v>21 Day Crash Course in Emotional Intelligence</v>
      </c>
    </row>
    <row r="13143">
      <c r="A13143" s="140" t="str">
        <f>IFERROR(__xludf.DUMMYFUNCTION("""COMPUTED_VALUE"""),"ja")</f>
        <v>ja</v>
      </c>
      <c r="B13143">
        <f>IFERROR(__xludf.DUMMYFUNCTION("""COMPUTED_VALUE"""),1685648.0)</f>
        <v>1685648</v>
      </c>
      <c r="C13143" t="str">
        <f>IFERROR(__xludf.DUMMYFUNCTION("""COMPUTED_VALUE"""),"3分で一発OK！社内プレゼンの資料作成術")</f>
        <v>3分で一発OK！社内プレゼンの資料作成術</v>
      </c>
    </row>
    <row r="13144">
      <c r="A13144" s="140" t="str">
        <f>IFERROR(__xludf.DUMMYFUNCTION("""COMPUTED_VALUE"""),"en")</f>
        <v>en</v>
      </c>
      <c r="B13144">
        <f>IFERROR(__xludf.DUMMYFUNCTION("""COMPUTED_VALUE"""),2094062.0)</f>
        <v>2094062</v>
      </c>
      <c r="C13144" t="str">
        <f>IFERROR(__xludf.DUMMYFUNCTION("""COMPUTED_VALUE"""),"Deploy Fargate ECS Apps &amp; Infrastructure: AWS with Terraform")</f>
        <v>Deploy Fargate ECS Apps &amp; Infrastructure: AWS with Terraform</v>
      </c>
    </row>
    <row r="13145">
      <c r="A13145" s="140" t="str">
        <f>IFERROR(__xludf.DUMMYFUNCTION("""COMPUTED_VALUE"""),"en")</f>
        <v>en</v>
      </c>
      <c r="B13145">
        <f>IFERROR(__xludf.DUMMYFUNCTION("""COMPUTED_VALUE"""),706020.0)</f>
        <v>706020</v>
      </c>
      <c r="C13145" t="str">
        <f>IFERROR(__xludf.DUMMYFUNCTION("""COMPUTED_VALUE"""),"Objective-C Crash Course for Swift Developers")</f>
        <v>Objective-C Crash Course for Swift Developers</v>
      </c>
    </row>
    <row r="13146">
      <c r="A13146" s="140" t="str">
        <f>IFERROR(__xludf.DUMMYFUNCTION("""COMPUTED_VALUE"""),"ar")</f>
        <v>ar</v>
      </c>
      <c r="B13146">
        <f>IFERROR(__xludf.DUMMYFUNCTION("""COMPUTED_VALUE"""),1776386.0)</f>
        <v>1776386</v>
      </c>
      <c r="C13146" t="str">
        <f>IFERROR(__xludf.DUMMYFUNCTION("""COMPUTED_VALUE"""),"Ansys Dynamic Analysis - التحليل الديناميكي")</f>
        <v>Ansys Dynamic Analysis - التحليل الديناميكي</v>
      </c>
    </row>
    <row r="13147">
      <c r="A13147" s="140" t="str">
        <f>IFERROR(__xludf.DUMMYFUNCTION("""COMPUTED_VALUE"""),"en")</f>
        <v>en</v>
      </c>
      <c r="B13147">
        <f>IFERROR(__xludf.DUMMYFUNCTION("""COMPUTED_VALUE"""),1852888.0)</f>
        <v>1852888</v>
      </c>
      <c r="C13147" t="str">
        <f>IFERROR(__xludf.DUMMYFUNCTION("""COMPUTED_VALUE"""),"Linux Inter Process Communication (IPC) from Scratch in C")</f>
        <v>Linux Inter Process Communication (IPC) from Scratch in C</v>
      </c>
    </row>
    <row r="13148">
      <c r="A13148" s="140" t="str">
        <f>IFERROR(__xludf.DUMMYFUNCTION("""COMPUTED_VALUE"""),"en")</f>
        <v>en</v>
      </c>
      <c r="B13148">
        <f>IFERROR(__xludf.DUMMYFUNCTION("""COMPUTED_VALUE"""),2406884.0)</f>
        <v>2406884</v>
      </c>
      <c r="C13148" t="str">
        <f>IFERROR(__xludf.DUMMYFUNCTION("""COMPUTED_VALUE"""),"Qt 5 Core Advanced with C++")</f>
        <v>Qt 5 Core Advanced with C++</v>
      </c>
    </row>
    <row r="13149">
      <c r="A13149" s="140" t="str">
        <f>IFERROR(__xludf.DUMMYFUNCTION("""COMPUTED_VALUE"""),"tr")</f>
        <v>tr</v>
      </c>
      <c r="B13149">
        <f>IFERROR(__xludf.DUMMYFUNCTION("""COMPUTED_VALUE"""),1969696.0)</f>
        <v>1969696</v>
      </c>
      <c r="C13149" t="str">
        <f>IFERROR(__xludf.DUMMYFUNCTION("""COMPUTED_VALUE"""),"Photoshop Eğitimi (Kısa ve Öz)")</f>
        <v>Photoshop Eğitimi (Kısa ve Öz)</v>
      </c>
    </row>
    <row r="13150">
      <c r="A13150" s="140" t="str">
        <f>IFERROR(__xludf.DUMMYFUNCTION("""COMPUTED_VALUE"""),"en")</f>
        <v>en</v>
      </c>
      <c r="B13150">
        <f>IFERROR(__xludf.DUMMYFUNCTION("""COMPUTED_VALUE"""),2394982.0)</f>
        <v>2394982</v>
      </c>
      <c r="C13150" t="str">
        <f>IFERROR(__xludf.DUMMYFUNCTION("""COMPUTED_VALUE"""),"AZ-900: Microsoft Azure Fundamentals Exam Prep - OCT 2021")</f>
        <v>AZ-900: Microsoft Azure Fundamentals Exam Prep - OCT 2021</v>
      </c>
    </row>
    <row r="13151">
      <c r="A13151" s="140" t="str">
        <f>IFERROR(__xludf.DUMMYFUNCTION("""COMPUTED_VALUE"""),"pt")</f>
        <v>pt</v>
      </c>
      <c r="B13151">
        <f>IFERROR(__xludf.DUMMYFUNCTION("""COMPUTED_VALUE"""),1305052.0)</f>
        <v>1305052</v>
      </c>
      <c r="C13151" t="str">
        <f>IFERROR(__xludf.DUMMYFUNCTION("""COMPUTED_VALUE"""),"Redes Wireless - Curso Avançado Profissional (Site Survey)")</f>
        <v>Redes Wireless - Curso Avançado Profissional (Site Survey)</v>
      </c>
    </row>
    <row r="13152">
      <c r="A13152" s="140" t="str">
        <f>IFERROR(__xludf.DUMMYFUNCTION("""COMPUTED_VALUE"""),"en")</f>
        <v>en</v>
      </c>
      <c r="B13152">
        <f>IFERROR(__xludf.DUMMYFUNCTION("""COMPUTED_VALUE"""),551788.0)</f>
        <v>551788</v>
      </c>
      <c r="C13152" t="str">
        <f>IFERROR(__xludf.DUMMYFUNCTION("""COMPUTED_VALUE"""),"Global Marketing Research and Analytics")</f>
        <v>Global Marketing Research and Analytics</v>
      </c>
    </row>
    <row r="13153">
      <c r="A13153" s="140" t="str">
        <f>IFERROR(__xludf.DUMMYFUNCTION("""COMPUTED_VALUE"""),"pt")</f>
        <v>pt</v>
      </c>
      <c r="B13153">
        <f>IFERROR(__xludf.DUMMYFUNCTION("""COMPUTED_VALUE"""),2140034.0)</f>
        <v>2140034</v>
      </c>
      <c r="C13153" t="str">
        <f>IFERROR(__xludf.DUMMYFUNCTION("""COMPUTED_VALUE"""),"Seja Full-Stack com .NET 5, Angular + EF Core - (Curso V2.0)")</f>
        <v>Seja Full-Stack com .NET 5, Angular + EF Core - (Curso V2.0)</v>
      </c>
    </row>
    <row r="13154">
      <c r="A13154" s="140" t="str">
        <f>IFERROR(__xludf.DUMMYFUNCTION("""COMPUTED_VALUE"""),"en")</f>
        <v>en</v>
      </c>
      <c r="B13154">
        <f>IFERROR(__xludf.DUMMYFUNCTION("""COMPUTED_VALUE"""),1132057.0)</f>
        <v>1132057</v>
      </c>
      <c r="C13154" t="str">
        <f>IFERROR(__xludf.DUMMYFUNCTION("""COMPUTED_VALUE"""),"Java Spring Tutorial Masterclass - Learn Spring Framework 5")</f>
        <v>Java Spring Tutorial Masterclass - Learn Spring Framework 5</v>
      </c>
    </row>
    <row r="13155">
      <c r="A13155" s="140" t="str">
        <f>IFERROR(__xludf.DUMMYFUNCTION("""COMPUTED_VALUE"""),"en")</f>
        <v>en</v>
      </c>
      <c r="B13155">
        <f>IFERROR(__xludf.DUMMYFUNCTION("""COMPUTED_VALUE"""),3485044.0)</f>
        <v>3485044</v>
      </c>
      <c r="C13155" t="str">
        <f>IFERROR(__xludf.DUMMYFUNCTION("""COMPUTED_VALUE"""),"Spring Security Zero to Master along with JWT,OAUTH2")</f>
        <v>Spring Security Zero to Master along with JWT,OAUTH2</v>
      </c>
    </row>
    <row r="13156">
      <c r="A13156" s="140" t="str">
        <f>IFERROR(__xludf.DUMMYFUNCTION("""COMPUTED_VALUE"""),"de")</f>
        <v>de</v>
      </c>
      <c r="B13156">
        <f>IFERROR(__xludf.DUMMYFUNCTION("""COMPUTED_VALUE"""),2151430.0)</f>
        <v>2151430</v>
      </c>
      <c r="C13156" t="str">
        <f>IFERROR(__xludf.DUMMYFUNCTION("""COMPUTED_VALUE"""),"Scrum für Anfänger - Einfach und verständlich erklärt")</f>
        <v>Scrum für Anfänger - Einfach und verständlich erklärt</v>
      </c>
    </row>
    <row r="13157">
      <c r="A13157" s="140" t="str">
        <f>IFERROR(__xludf.DUMMYFUNCTION("""COMPUTED_VALUE"""),"en")</f>
        <v>en</v>
      </c>
      <c r="B13157">
        <f>IFERROR(__xludf.DUMMYFUNCTION("""COMPUTED_VALUE"""),3509798.0)</f>
        <v>3509798</v>
      </c>
      <c r="C13157" t="str">
        <f>IFERROR(__xludf.DUMMYFUNCTION("""COMPUTED_VALUE"""),"Unity Dialogue &amp; Quests: Intermediate C# Game Coding")</f>
        <v>Unity Dialogue &amp; Quests: Intermediate C# Game Coding</v>
      </c>
    </row>
    <row r="13158">
      <c r="A13158" s="140" t="str">
        <f>IFERROR(__xludf.DUMMYFUNCTION("""COMPUTED_VALUE"""),"en")</f>
        <v>en</v>
      </c>
      <c r="B13158">
        <f>IFERROR(__xludf.DUMMYFUNCTION("""COMPUTED_VALUE"""),1647776.0)</f>
        <v>1647776</v>
      </c>
      <c r="C13158" t="str">
        <f>IFERROR(__xludf.DUMMYFUNCTION("""COMPUTED_VALUE"""),"Python 3: Deep Dive (Part 2 - Iteration, Generators)")</f>
        <v>Python 3: Deep Dive (Part 2 - Iteration, Generators)</v>
      </c>
    </row>
    <row r="13159">
      <c r="A13159" s="140" t="str">
        <f>IFERROR(__xludf.DUMMYFUNCTION("""COMPUTED_VALUE"""),"en")</f>
        <v>en</v>
      </c>
      <c r="B13159">
        <f>IFERROR(__xludf.DUMMYFUNCTION("""COMPUTED_VALUE"""),1299240.0)</f>
        <v>1299240</v>
      </c>
      <c r="C13159" t="str">
        <f>IFERROR(__xludf.DUMMYFUNCTION("""COMPUTED_VALUE"""),"JavaScript DOM Introduction Interactive Dynamic WebPages DOM")</f>
        <v>JavaScript DOM Introduction Interactive Dynamic WebPages DOM</v>
      </c>
    </row>
    <row r="13160">
      <c r="A13160" s="140" t="str">
        <f>IFERROR(__xludf.DUMMYFUNCTION("""COMPUTED_VALUE"""),"en")</f>
        <v>en</v>
      </c>
      <c r="B13160">
        <f>IFERROR(__xludf.DUMMYFUNCTION("""COMPUTED_VALUE"""),4087810.0)</f>
        <v>4087810</v>
      </c>
      <c r="C13160" t="str">
        <f>IFERROR(__xludf.DUMMYFUNCTION("""COMPUTED_VALUE"""),"Competitive Programming Essentials,  Master Algorithms")</f>
        <v>Competitive Programming Essentials,  Master Algorithms</v>
      </c>
    </row>
    <row r="13161">
      <c r="A13161" s="140" t="str">
        <f>IFERROR(__xludf.DUMMYFUNCTION("""COMPUTED_VALUE"""),"tr")</f>
        <v>tr</v>
      </c>
      <c r="B13161">
        <f>IFERROR(__xludf.DUMMYFUNCTION("""COMPUTED_VALUE"""),3615708.0)</f>
        <v>3615708</v>
      </c>
      <c r="C13161" t="str">
        <f>IFERROR(__xludf.DUMMYFUNCTION("""COMPUTED_VALUE"""),"İngilizce Önemli Yapılar")</f>
        <v>İngilizce Önemli Yapılar</v>
      </c>
    </row>
    <row r="13162">
      <c r="A13162" s="140" t="str">
        <f>IFERROR(__xludf.DUMMYFUNCTION("""COMPUTED_VALUE"""),"en")</f>
        <v>en</v>
      </c>
      <c r="B13162">
        <f>IFERROR(__xludf.DUMMYFUNCTION("""COMPUTED_VALUE"""),230198.0)</f>
        <v>230198</v>
      </c>
      <c r="C13162" t="str">
        <f>IFERROR(__xludf.DUMMYFUNCTION("""COMPUTED_VALUE"""),"Self Hypnosis For Personal Development &amp; Healing")</f>
        <v>Self Hypnosis For Personal Development &amp; Healing</v>
      </c>
    </row>
    <row r="13163">
      <c r="A13163" s="140" t="str">
        <f>IFERROR(__xludf.DUMMYFUNCTION("""COMPUTED_VALUE"""),"pt")</f>
        <v>pt</v>
      </c>
      <c r="B13163">
        <f>IFERROR(__xludf.DUMMYFUNCTION("""COMPUTED_VALUE"""),3251576.0)</f>
        <v>3251576</v>
      </c>
      <c r="C13163" t="str">
        <f>IFERROR(__xludf.DUMMYFUNCTION("""COMPUTED_VALUE"""),"Fundos de Investimento Expert")</f>
        <v>Fundos de Investimento Expert</v>
      </c>
    </row>
    <row r="13164">
      <c r="A13164" s="140" t="str">
        <f>IFERROR(__xludf.DUMMYFUNCTION("""COMPUTED_VALUE"""),"en")</f>
        <v>en</v>
      </c>
      <c r="B13164">
        <f>IFERROR(__xludf.DUMMYFUNCTION("""COMPUTED_VALUE"""),3039692.0)</f>
        <v>3039692</v>
      </c>
      <c r="C13164" t="str">
        <f>IFERROR(__xludf.DUMMYFUNCTION("""COMPUTED_VALUE"""),"Microsoft Teams: Discover How To Collaborate Online For Work")</f>
        <v>Microsoft Teams: Discover How To Collaborate Online For Work</v>
      </c>
    </row>
    <row r="13165">
      <c r="A13165" s="140" t="str">
        <f>IFERROR(__xludf.DUMMYFUNCTION("""COMPUTED_VALUE"""),"en")</f>
        <v>en</v>
      </c>
      <c r="B13165">
        <f>IFERROR(__xludf.DUMMYFUNCTION("""COMPUTED_VALUE"""),2398542.0)</f>
        <v>2398542</v>
      </c>
      <c r="C13165" t="str">
        <f>IFERROR(__xludf.DUMMYFUNCTION("""COMPUTED_VALUE"""),"Abstract Algebra: Group Theory with the Math Sorcerer")</f>
        <v>Abstract Algebra: Group Theory with the Math Sorcerer</v>
      </c>
    </row>
    <row r="13166">
      <c r="A13166" s="140" t="str">
        <f>IFERROR(__xludf.DUMMYFUNCTION("""COMPUTED_VALUE"""),"en")</f>
        <v>en</v>
      </c>
      <c r="B13166">
        <f>IFERROR(__xludf.DUMMYFUNCTION("""COMPUTED_VALUE"""),1434702.0)</f>
        <v>1434702</v>
      </c>
      <c r="C13166" t="str">
        <f>IFERROR(__xludf.DUMMYFUNCTION("""COMPUTED_VALUE"""),"[2022] Customer Service 2.0: Learn Digital Customer Service")</f>
        <v>[2022] Customer Service 2.0: Learn Digital Customer Service</v>
      </c>
    </row>
    <row r="13167">
      <c r="A13167" s="140" t="str">
        <f>IFERROR(__xludf.DUMMYFUNCTION("""COMPUTED_VALUE"""),"fr")</f>
        <v>fr</v>
      </c>
      <c r="B13167">
        <f>IFERROR(__xludf.DUMMYFUNCTION("""COMPUTED_VALUE"""),3568421.0)</f>
        <v>3568421</v>
      </c>
      <c r="C13167" t="str">
        <f>IFERROR(__xludf.DUMMYFUNCTION("""COMPUTED_VALUE"""),"NodeJS: Développer Votre Première API Rest avec MySQL (2021)")</f>
        <v>NodeJS: Développer Votre Première API Rest avec MySQL (2021)</v>
      </c>
    </row>
    <row r="13168">
      <c r="A13168" s="140" t="str">
        <f>IFERROR(__xludf.DUMMYFUNCTION("""COMPUTED_VALUE"""),"en")</f>
        <v>en</v>
      </c>
      <c r="B13168">
        <f>IFERROR(__xludf.DUMMYFUNCTION("""COMPUTED_VALUE"""),2741570.0)</f>
        <v>2741570</v>
      </c>
      <c r="C13168" t="str">
        <f>IFERROR(__xludf.DUMMYFUNCTION("""COMPUTED_VALUE"""),"SwiftUI iOS13 Coffee Shop Application, Order Products Online")</f>
        <v>SwiftUI iOS13 Coffee Shop Application, Order Products Online</v>
      </c>
    </row>
    <row r="13169">
      <c r="A13169" s="140" t="str">
        <f>IFERROR(__xludf.DUMMYFUNCTION("""COMPUTED_VALUE"""),"en")</f>
        <v>en</v>
      </c>
      <c r="B13169">
        <f>IFERROR(__xludf.DUMMYFUNCTION("""COMPUTED_VALUE"""),1606286.0)</f>
        <v>1606286</v>
      </c>
      <c r="C13169" t="str">
        <f>IFERROR(__xludf.DUMMYFUNCTION("""COMPUTED_VALUE"""),"Managing EC2 and VPC: AWS with Python and Boto3 Series")</f>
        <v>Managing EC2 and VPC: AWS with Python and Boto3 Series</v>
      </c>
    </row>
    <row r="13170">
      <c r="A13170" s="140" t="str">
        <f>IFERROR(__xludf.DUMMYFUNCTION("""COMPUTED_VALUE"""),"en")</f>
        <v>en</v>
      </c>
      <c r="B13170">
        <f>IFERROR(__xludf.DUMMYFUNCTION("""COMPUTED_VALUE"""),1406996.0)</f>
        <v>1406996</v>
      </c>
      <c r="C13170" t="str">
        <f>IFERROR(__xludf.DUMMYFUNCTION("""COMPUTED_VALUE"""),"LIVE Streaming Masterclass: Start Live Streaming like a Pro")</f>
        <v>LIVE Streaming Masterclass: Start Live Streaming like a Pro</v>
      </c>
    </row>
    <row r="13171">
      <c r="A13171" s="140" t="str">
        <f>IFERROR(__xludf.DUMMYFUNCTION("""COMPUTED_VALUE"""),"pt")</f>
        <v>pt</v>
      </c>
      <c r="B13171">
        <f>IFERROR(__xludf.DUMMYFUNCTION("""COMPUTED_VALUE"""),619998.0)</f>
        <v>619998</v>
      </c>
      <c r="C13171" t="str">
        <f>IFERROR(__xludf.DUMMYFUNCTION("""COMPUTED_VALUE"""),"Yoga em Casa - Volume 1")</f>
        <v>Yoga em Casa - Volume 1</v>
      </c>
    </row>
    <row r="13172">
      <c r="A13172" s="140" t="str">
        <f>IFERROR(__xludf.DUMMYFUNCTION("""COMPUTED_VALUE"""),"tr")</f>
        <v>tr</v>
      </c>
      <c r="B13172">
        <f>IFERROR(__xludf.DUMMYFUNCTION("""COMPUTED_VALUE"""),3448038.0)</f>
        <v>3448038</v>
      </c>
      <c r="C13172" t="str">
        <f>IFERROR(__xludf.DUMMYFUNCTION("""COMPUTED_VALUE"""),"İSPANYOLCA EĞİTİM SETİ - TÜM SEVİYELER")</f>
        <v>İSPANYOLCA EĞİTİM SETİ - TÜM SEVİYELER</v>
      </c>
    </row>
    <row r="13173">
      <c r="A13173" s="140" t="str">
        <f>IFERROR(__xludf.DUMMYFUNCTION("""COMPUTED_VALUE"""),"en")</f>
        <v>en</v>
      </c>
      <c r="B13173">
        <f>IFERROR(__xludf.DUMMYFUNCTION("""COMPUTED_VALUE"""),310810.0)</f>
        <v>310810</v>
      </c>
      <c r="C13173" t="str">
        <f>IFERROR(__xludf.DUMMYFUNCTION("""COMPUTED_VALUE"""),"China 101: All you need to succeed in the Middle Kingdom")</f>
        <v>China 101: All you need to succeed in the Middle Kingdom</v>
      </c>
    </row>
    <row r="13174">
      <c r="A13174" s="140" t="str">
        <f>IFERROR(__xludf.DUMMYFUNCTION("""COMPUTED_VALUE"""),"fr")</f>
        <v>fr</v>
      </c>
      <c r="B13174">
        <f>IFERROR(__xludf.DUMMYFUNCTION("""COMPUTED_VALUE"""),2344572.0)</f>
        <v>2344572</v>
      </c>
      <c r="C13174" t="str">
        <f>IFERROR(__xludf.DUMMYFUNCTION("""COMPUTED_VALUE"""),"Amazon VPC (Virtual Private Cloud) - AWS")</f>
        <v>Amazon VPC (Virtual Private Cloud) - AWS</v>
      </c>
    </row>
    <row r="13175">
      <c r="A13175" s="140" t="str">
        <f>IFERROR(__xludf.DUMMYFUNCTION("""COMPUTED_VALUE"""),"pt")</f>
        <v>pt</v>
      </c>
      <c r="B13175">
        <f>IFERROR(__xludf.DUMMYFUNCTION("""COMPUTED_VALUE"""),1130832.0)</f>
        <v>1130832</v>
      </c>
      <c r="C13175" t="str">
        <f>IFERROR(__xludf.DUMMYFUNCTION("""COMPUTED_VALUE"""),"Desenvolvimento Android Completo 2021 - Crie 18 Apps")</f>
        <v>Desenvolvimento Android Completo 2021 - Crie 18 Apps</v>
      </c>
    </row>
    <row r="13176">
      <c r="A13176" s="140" t="str">
        <f>IFERROR(__xludf.DUMMYFUNCTION("""COMPUTED_VALUE"""),"en")</f>
        <v>en</v>
      </c>
      <c r="B13176">
        <f>IFERROR(__xludf.DUMMYFUNCTION("""COMPUTED_VALUE"""),1299656.0)</f>
        <v>1299656</v>
      </c>
      <c r="C13176" t="str">
        <f>IFERROR(__xludf.DUMMYFUNCTION("""COMPUTED_VALUE"""),"GCP: Complete Google Data Engineer and Cloud Architect Guide")</f>
        <v>GCP: Complete Google Data Engineer and Cloud Architect Guide</v>
      </c>
    </row>
    <row r="13177">
      <c r="A13177" s="140" t="str">
        <f>IFERROR(__xludf.DUMMYFUNCTION("""COMPUTED_VALUE"""),"en")</f>
        <v>en</v>
      </c>
      <c r="B13177">
        <f>IFERROR(__xludf.DUMMYFUNCTION("""COMPUTED_VALUE"""),3681884.0)</f>
        <v>3681884</v>
      </c>
      <c r="C13177" t="str">
        <f>IFERROR(__xludf.DUMMYFUNCTION("""COMPUTED_VALUE"""),"The Nuts and Bolts of OAuth 2.0")</f>
        <v>The Nuts and Bolts of OAuth 2.0</v>
      </c>
    </row>
    <row r="13178">
      <c r="A13178" s="140" t="str">
        <f>IFERROR(__xludf.DUMMYFUNCTION("""COMPUTED_VALUE"""),"en")</f>
        <v>en</v>
      </c>
      <c r="B13178">
        <f>IFERROR(__xludf.DUMMYFUNCTION("""COMPUTED_VALUE"""),746302.0)</f>
        <v>746302</v>
      </c>
      <c r="C13178" t="str">
        <f>IFERROR(__xludf.DUMMYFUNCTION("""COMPUTED_VALUE"""),"Sustainable living made simple")</f>
        <v>Sustainable living made simple</v>
      </c>
    </row>
    <row r="13179">
      <c r="A13179" s="140" t="str">
        <f>IFERROR(__xludf.DUMMYFUNCTION("""COMPUTED_VALUE"""),"en")</f>
        <v>en</v>
      </c>
      <c r="B13179">
        <f>IFERROR(__xludf.DUMMYFUNCTION("""COMPUTED_VALUE"""),1026276.0)</f>
        <v>1026276</v>
      </c>
      <c r="C13179" t="str">
        <f>IFERROR(__xludf.DUMMYFUNCTION("""COMPUTED_VALUE"""),"Complete Modern C++ (C++11/14/17)")</f>
        <v>Complete Modern C++ (C++11/14/17)</v>
      </c>
    </row>
    <row r="13180">
      <c r="A13180" s="140" t="str">
        <f>IFERROR(__xludf.DUMMYFUNCTION("""COMPUTED_VALUE"""),"es")</f>
        <v>es</v>
      </c>
      <c r="B13180">
        <f>IFERROR(__xludf.DUMMYFUNCTION("""COMPUTED_VALUE"""),3693976.0)</f>
        <v>3693976</v>
      </c>
      <c r="C13180" t="str">
        <f>IFERROR(__xludf.DUMMYFUNCTION("""COMPUTED_VALUE"""),"Inicia con TALL: Usa Tailwind, Alpine, Laravel y Livewire")</f>
        <v>Inicia con TALL: Usa Tailwind, Alpine, Laravel y Livewire</v>
      </c>
    </row>
    <row r="13181">
      <c r="A13181" s="140" t="str">
        <f>IFERROR(__xludf.DUMMYFUNCTION("""COMPUTED_VALUE"""),"en")</f>
        <v>en</v>
      </c>
      <c r="B13181">
        <f>IFERROR(__xludf.DUMMYFUNCTION("""COMPUTED_VALUE"""),1675536.0)</f>
        <v>1675536</v>
      </c>
      <c r="C13181" t="str">
        <f>IFERROR(__xludf.DUMMYFUNCTION("""COMPUTED_VALUE"""),"Automated  Software Testing with Puppeteer")</f>
        <v>Automated  Software Testing with Puppeteer</v>
      </c>
    </row>
    <row r="13182">
      <c r="A13182" s="140" t="str">
        <f>IFERROR(__xludf.DUMMYFUNCTION("""COMPUTED_VALUE"""),"ja")</f>
        <v>ja</v>
      </c>
      <c r="B13182">
        <f>IFERROR(__xludf.DUMMYFUNCTION("""COMPUTED_VALUE"""),1333456.0)</f>
        <v>1333456</v>
      </c>
      <c r="C13182" t="str">
        <f>IFERROR(__xludf.DUMMYFUNCTION("""COMPUTED_VALUE"""),"【サイバーセキュリティ ハンズオン】ハッキング技術入門（不正侵入編）")</f>
        <v>【サイバーセキュリティ ハンズオン】ハッキング技術入門（不正侵入編）</v>
      </c>
    </row>
    <row r="13183">
      <c r="A13183" s="140" t="str">
        <f>IFERROR(__xludf.DUMMYFUNCTION("""COMPUTED_VALUE"""),"en")</f>
        <v>en</v>
      </c>
      <c r="B13183">
        <f>IFERROR(__xludf.DUMMYFUNCTION("""COMPUTED_VALUE"""),1589226.0)</f>
        <v>1589226</v>
      </c>
      <c r="C13183" t="str">
        <f>IFERROR(__xludf.DUMMYFUNCTION("""COMPUTED_VALUE"""),"10 Instagram Marketing Strategies That Make Me 6-Figures")</f>
        <v>10 Instagram Marketing Strategies That Make Me 6-Figures</v>
      </c>
    </row>
    <row r="13184">
      <c r="A13184" s="140" t="str">
        <f>IFERROR(__xludf.DUMMYFUNCTION("""COMPUTED_VALUE"""),"fr")</f>
        <v>fr</v>
      </c>
      <c r="B13184">
        <f>IFERROR(__xludf.DUMMYFUNCTION("""COMPUTED_VALUE"""),3111312.0)</f>
        <v>3111312</v>
      </c>
      <c r="C13184" t="str">
        <f>IFERROR(__xludf.DUMMYFUNCTION("""COMPUTED_VALUE"""),"Initiation au test logiciel ou application mobile")</f>
        <v>Initiation au test logiciel ou application mobile</v>
      </c>
    </row>
    <row r="13185">
      <c r="A13185" s="140" t="str">
        <f>IFERROR(__xludf.DUMMYFUNCTION("""COMPUTED_VALUE"""),"fr")</f>
        <v>fr</v>
      </c>
      <c r="B13185">
        <f>IFERROR(__xludf.DUMMYFUNCTION("""COMPUTED_VALUE"""),2741630.0)</f>
        <v>2741630</v>
      </c>
      <c r="C13185" t="str">
        <f>IFERROR(__xludf.DUMMYFUNCTION("""COMPUTED_VALUE"""),"Identifiez les prospects qui seront fans de votre produit")</f>
        <v>Identifiez les prospects qui seront fans de votre produit</v>
      </c>
    </row>
    <row r="13186">
      <c r="A13186" s="140" t="str">
        <f>IFERROR(__xludf.DUMMYFUNCTION("""COMPUTED_VALUE"""),"ja")</f>
        <v>ja</v>
      </c>
      <c r="B13186">
        <f>IFERROR(__xludf.DUMMYFUNCTION("""COMPUTED_VALUE"""),778978.0)</f>
        <v>778978</v>
      </c>
      <c r="C13186" t="str">
        <f>IFERROR(__xludf.DUMMYFUNCTION("""COMPUTED_VALUE"""),"【世界で４万人が受講】 実践！AngularJS講座")</f>
        <v>【世界で４万人が受講】 実践！AngularJS講座</v>
      </c>
    </row>
    <row r="13187">
      <c r="A13187" s="140" t="str">
        <f>IFERROR(__xludf.DUMMYFUNCTION("""COMPUTED_VALUE"""),"en")</f>
        <v>en</v>
      </c>
      <c r="B13187">
        <f>IFERROR(__xludf.DUMMYFUNCTION("""COMPUTED_VALUE"""),1284952.0)</f>
        <v>1284952</v>
      </c>
      <c r="C13187" t="str">
        <f>IFERROR(__xludf.DUMMYFUNCTION("""COMPUTED_VALUE"""),"Powerful, Confident Body Language for Business Women")</f>
        <v>Powerful, Confident Body Language for Business Women</v>
      </c>
    </row>
    <row r="13188">
      <c r="A13188" s="140" t="str">
        <f>IFERROR(__xludf.DUMMYFUNCTION("""COMPUTED_VALUE"""),"en")</f>
        <v>en</v>
      </c>
      <c r="B13188">
        <f>IFERROR(__xludf.DUMMYFUNCTION("""COMPUTED_VALUE"""),1921420.0)</f>
        <v>1921420</v>
      </c>
      <c r="C13188" t="str">
        <f>IFERROR(__xludf.DUMMYFUNCTION("""COMPUTED_VALUE"""),"Ultimate AWS Certified Developer Associate 2021 - NEW!")</f>
        <v>Ultimate AWS Certified Developer Associate 2021 - NEW!</v>
      </c>
    </row>
    <row r="13189">
      <c r="A13189" s="140" t="str">
        <f>IFERROR(__xludf.DUMMYFUNCTION("""COMPUTED_VALUE"""),"en")</f>
        <v>en</v>
      </c>
      <c r="B13189">
        <f>IFERROR(__xludf.DUMMYFUNCTION("""COMPUTED_VALUE"""),2564034.0)</f>
        <v>2564034</v>
      </c>
      <c r="C13189" t="str">
        <f>IFERROR(__xludf.DUMMYFUNCTION("""COMPUTED_VALUE"""),"Decluttering - Complete Organizing Home, Office, Life Course")</f>
        <v>Decluttering - Complete Organizing Home, Office, Life Course</v>
      </c>
    </row>
    <row r="13190">
      <c r="A13190" s="140" t="str">
        <f>IFERROR(__xludf.DUMMYFUNCTION("""COMPUTED_VALUE"""),"pt")</f>
        <v>pt</v>
      </c>
      <c r="B13190">
        <f>IFERROR(__xludf.DUMMYFUNCTION("""COMPUTED_VALUE"""),641398.0)</f>
        <v>641398</v>
      </c>
      <c r="C13190" t="str">
        <f>IFERROR(__xludf.DUMMYFUNCTION("""COMPUTED_VALUE"""),"Elimine a Procrastinação: Aumente sua Produtividade +3 Bônus")</f>
        <v>Elimine a Procrastinação: Aumente sua Produtividade +3 Bônus</v>
      </c>
    </row>
    <row r="13191">
      <c r="A13191" s="140" t="str">
        <f>IFERROR(__xludf.DUMMYFUNCTION("""COMPUTED_VALUE"""),"en")</f>
        <v>en</v>
      </c>
      <c r="B13191">
        <f>IFERROR(__xludf.DUMMYFUNCTION("""COMPUTED_VALUE"""),1236728.0)</f>
        <v>1236728</v>
      </c>
      <c r="C13191" t="str">
        <f>IFERROR(__xludf.DUMMYFUNCTION("""COMPUTED_VALUE"""),"Hello React - React Training for JavaScript Beginners")</f>
        <v>Hello React - React Training for JavaScript Beginners</v>
      </c>
    </row>
    <row r="13192">
      <c r="A13192" s="140" t="str">
        <f>IFERROR(__xludf.DUMMYFUNCTION("""COMPUTED_VALUE"""),"en")</f>
        <v>en</v>
      </c>
      <c r="B13192">
        <f>IFERROR(__xludf.DUMMYFUNCTION("""COMPUTED_VALUE"""),314744.0)</f>
        <v>314744</v>
      </c>
      <c r="C13192" t="str">
        <f>IFERROR(__xludf.DUMMYFUNCTION("""COMPUTED_VALUE"""),"Lean Six Sigma Green Belt Online Course (2021)")</f>
        <v>Lean Six Sigma Green Belt Online Course (2021)</v>
      </c>
    </row>
    <row r="13193">
      <c r="A13193" s="140" t="str">
        <f>IFERROR(__xludf.DUMMYFUNCTION("""COMPUTED_VALUE"""),"en")</f>
        <v>en</v>
      </c>
      <c r="B13193">
        <f>IFERROR(__xludf.DUMMYFUNCTION("""COMPUTED_VALUE"""),2740930.0)</f>
        <v>2740930</v>
      </c>
      <c r="C13193" t="str">
        <f>IFERROR(__xludf.DUMMYFUNCTION("""COMPUTED_VALUE"""),"Advanced AI For Games with Goal-Oriented Action Planning")</f>
        <v>Advanced AI For Games with Goal-Oriented Action Planning</v>
      </c>
    </row>
    <row r="13194">
      <c r="A13194" s="140" t="str">
        <f>IFERROR(__xludf.DUMMYFUNCTION("""COMPUTED_VALUE"""),"en")</f>
        <v>en</v>
      </c>
      <c r="B13194">
        <f>IFERROR(__xludf.DUMMYFUNCTION("""COMPUTED_VALUE"""),2499136.0)</f>
        <v>2499136</v>
      </c>
      <c r="C13194" t="str">
        <f>IFERROR(__xludf.DUMMYFUNCTION("""COMPUTED_VALUE"""),"Strategic Workforce Planning: A Fundamental Beginner's Guide")</f>
        <v>Strategic Workforce Planning: A Fundamental Beginner's Guide</v>
      </c>
    </row>
    <row r="13195">
      <c r="A13195" s="140" t="str">
        <f>IFERROR(__xludf.DUMMYFUNCTION("""COMPUTED_VALUE"""),"pt")</f>
        <v>pt</v>
      </c>
      <c r="B13195">
        <f>IFERROR(__xludf.DUMMYFUNCTION("""COMPUTED_VALUE"""),3245044.0)</f>
        <v>3245044</v>
      </c>
      <c r="C13195" t="str">
        <f>IFERROR(__xludf.DUMMYFUNCTION("""COMPUTED_VALUE"""),"Oracle PL/SQL Especialista: do Básico ao Avançado - 2021")</f>
        <v>Oracle PL/SQL Especialista: do Básico ao Avançado - 2021</v>
      </c>
    </row>
    <row r="13196">
      <c r="A13196" s="140" t="str">
        <f>IFERROR(__xludf.DUMMYFUNCTION("""COMPUTED_VALUE"""),"de")</f>
        <v>de</v>
      </c>
      <c r="B13196">
        <f>IFERROR(__xludf.DUMMYFUNCTION("""COMPUTED_VALUE"""),929120.0)</f>
        <v>929120</v>
      </c>
      <c r="C13196" t="str">
        <f>IFERROR(__xludf.DUMMYFUNCTION("""COMPUTED_VALUE"""),"Strategisches, operatives und taktisches Management")</f>
        <v>Strategisches, operatives und taktisches Management</v>
      </c>
    </row>
    <row r="13197">
      <c r="A13197" s="140" t="str">
        <f>IFERROR(__xludf.DUMMYFUNCTION("""COMPUTED_VALUE"""),"en")</f>
        <v>en</v>
      </c>
      <c r="B13197">
        <f>IFERROR(__xludf.DUMMYFUNCTION("""COMPUTED_VALUE"""),1164388.0)</f>
        <v>1164388</v>
      </c>
      <c r="C13197" t="str">
        <f>IFERROR(__xludf.DUMMYFUNCTION("""COMPUTED_VALUE"""),"Guy Kawasaki’s The Art of Evangelism")</f>
        <v>Guy Kawasaki’s The Art of Evangelism</v>
      </c>
    </row>
    <row r="13198">
      <c r="A13198" s="140" t="str">
        <f>IFERROR(__xludf.DUMMYFUNCTION("""COMPUTED_VALUE"""),"ja")</f>
        <v>ja</v>
      </c>
      <c r="B13198">
        <f>IFERROR(__xludf.DUMMYFUNCTION("""COMPUTED_VALUE"""),1252262.0)</f>
        <v>1252262</v>
      </c>
      <c r="C13198" t="str">
        <f>IFERROR(__xludf.DUMMYFUNCTION("""COMPUTED_VALUE"""),"Rではじめる統計基礎講座")</f>
        <v>Rではじめる統計基礎講座</v>
      </c>
    </row>
    <row r="13199">
      <c r="A13199" s="140" t="str">
        <f>IFERROR(__xludf.DUMMYFUNCTION("""COMPUTED_VALUE"""),"es")</f>
        <v>es</v>
      </c>
      <c r="B13199">
        <f>IFERROR(__xludf.DUMMYFUNCTION("""COMPUTED_VALUE"""),1180980.0)</f>
        <v>1180980</v>
      </c>
      <c r="C13199" t="str">
        <f>IFERROR(__xludf.DUMMYFUNCTION("""COMPUTED_VALUE"""),"Curso Completo Ruby -  Desde las Bases hasta Rails")</f>
        <v>Curso Completo Ruby -  Desde las Bases hasta Rails</v>
      </c>
    </row>
    <row r="13200">
      <c r="A13200" s="140" t="str">
        <f>IFERROR(__xludf.DUMMYFUNCTION("""COMPUTED_VALUE"""),"en")</f>
        <v>en</v>
      </c>
      <c r="B13200">
        <f>IFERROR(__xludf.DUMMYFUNCTION("""COMPUTED_VALUE"""),891822.0)</f>
        <v>891822</v>
      </c>
      <c r="C13200" t="str">
        <f>IFERROR(__xludf.DUMMYFUNCTION("""COMPUTED_VALUE"""),"SQL Server Administration: (SQL Server Integration Services)")</f>
        <v>SQL Server Administration: (SQL Server Integration Services)</v>
      </c>
    </row>
    <row r="13201">
      <c r="A13201" s="140" t="str">
        <f>IFERROR(__xludf.DUMMYFUNCTION("""COMPUTED_VALUE"""),"pt")</f>
        <v>pt</v>
      </c>
      <c r="B13201">
        <f>IFERROR(__xludf.DUMMYFUNCTION("""COMPUTED_VALUE"""),1395358.0)</f>
        <v>1395358</v>
      </c>
      <c r="C13201" t="str">
        <f>IFERROR(__xludf.DUMMYFUNCTION("""COMPUTED_VALUE"""),"Inglês para Brasileiros : Caminho a Fluência Acelerada 1")</f>
        <v>Inglês para Brasileiros : Caminho a Fluência Acelerada 1</v>
      </c>
    </row>
    <row r="13202">
      <c r="A13202" s="140" t="str">
        <f>IFERROR(__xludf.DUMMYFUNCTION("""COMPUTED_VALUE"""),"pt")</f>
        <v>pt</v>
      </c>
      <c r="B13202">
        <f>IFERROR(__xludf.DUMMYFUNCTION("""COMPUTED_VALUE"""),2516724.0)</f>
        <v>2516724</v>
      </c>
      <c r="C13202" t="str">
        <f>IFERROR(__xludf.DUMMYFUNCTION("""COMPUTED_VALUE"""),"Aprendizagem por Reforço com Augmented Random Search (ARS)")</f>
        <v>Aprendizagem por Reforço com Augmented Random Search (ARS)</v>
      </c>
    </row>
    <row r="13203">
      <c r="A13203" s="140" t="str">
        <f>IFERROR(__xludf.DUMMYFUNCTION("""COMPUTED_VALUE"""),"en")</f>
        <v>en</v>
      </c>
      <c r="B13203">
        <f>IFERROR(__xludf.DUMMYFUNCTION("""COMPUTED_VALUE"""),2169228.0)</f>
        <v>2169228</v>
      </c>
      <c r="C13203" t="str">
        <f>IFERROR(__xludf.DUMMYFUNCTION("""COMPUTED_VALUE"""),"Performance Improvement Projects for Management Consultants")</f>
        <v>Performance Improvement Projects for Management Consultants</v>
      </c>
    </row>
    <row r="13204">
      <c r="A13204" s="140" t="str">
        <f>IFERROR(__xludf.DUMMYFUNCTION("""COMPUTED_VALUE"""),"en")</f>
        <v>en</v>
      </c>
      <c r="B13204">
        <f>IFERROR(__xludf.DUMMYFUNCTION("""COMPUTED_VALUE"""),826870.0)</f>
        <v>826870</v>
      </c>
      <c r="C13204" t="str">
        <f>IFERROR(__xludf.DUMMYFUNCTION("""COMPUTED_VALUE"""),"SAP Simplified for Absolute Beginners")</f>
        <v>SAP Simplified for Absolute Beginners</v>
      </c>
    </row>
    <row r="13205">
      <c r="A13205" s="140" t="str">
        <f>IFERROR(__xludf.DUMMYFUNCTION("""COMPUTED_VALUE"""),"pt")</f>
        <v>pt</v>
      </c>
      <c r="B13205">
        <f>IFERROR(__xludf.DUMMYFUNCTION("""COMPUTED_VALUE"""),1096370.0)</f>
        <v>1096370</v>
      </c>
      <c r="C13205" t="str">
        <f>IFERROR(__xludf.DUMMYFUNCTION("""COMPUTED_VALUE"""),"Melhore Seu Jogo de Tênis: Aprenda com Andre Agassi")</f>
        <v>Melhore Seu Jogo de Tênis: Aprenda com Andre Agassi</v>
      </c>
    </row>
    <row r="13206">
      <c r="A13206" s="140" t="str">
        <f>IFERROR(__xludf.DUMMYFUNCTION("""COMPUTED_VALUE"""),"en")</f>
        <v>en</v>
      </c>
      <c r="B13206">
        <f>IFERROR(__xludf.DUMMYFUNCTION("""COMPUTED_VALUE"""),215104.0)</f>
        <v>215104</v>
      </c>
      <c r="C13206" t="str">
        <f>IFERROR(__xludf.DUMMYFUNCTION("""COMPUTED_VALUE"""),"Logistic Regression using SAS - Indepth Predictive Modeling")</f>
        <v>Logistic Regression using SAS - Indepth Predictive Modeling</v>
      </c>
    </row>
    <row r="13207">
      <c r="A13207" s="140" t="str">
        <f>IFERROR(__xludf.DUMMYFUNCTION("""COMPUTED_VALUE"""),"en")</f>
        <v>en</v>
      </c>
      <c r="B13207">
        <f>IFERROR(__xludf.DUMMYFUNCTION("""COMPUTED_VALUE"""),2449010.0)</f>
        <v>2449010</v>
      </c>
      <c r="C13207" t="str">
        <f>IFERROR(__xludf.DUMMYFUNCTION("""COMPUTED_VALUE"""),"Salesforce Lightning Report Builder &amp; Dashboards")</f>
        <v>Salesforce Lightning Report Builder &amp; Dashboards</v>
      </c>
    </row>
    <row r="13208">
      <c r="A13208" s="140" t="str">
        <f>IFERROR(__xludf.DUMMYFUNCTION("""COMPUTED_VALUE"""),"ja")</f>
        <v>ja</v>
      </c>
      <c r="B13208">
        <f>IFERROR(__xludf.DUMMYFUNCTION("""COMPUTED_VALUE"""),4201942.0)</f>
        <v>4201942</v>
      </c>
      <c r="C13208" t="str">
        <f>IFERROR(__xludf.DUMMYFUNCTION("""COMPUTED_VALUE"""),"オブジェクト指向の原則１：単一責務の原則とオープンクローズドの原則")</f>
        <v>オブジェクト指向の原則１：単一責務の原則とオープンクローズドの原則</v>
      </c>
    </row>
    <row r="13209">
      <c r="A13209" s="140" t="str">
        <f>IFERROR(__xludf.DUMMYFUNCTION("""COMPUTED_VALUE"""),"en")</f>
        <v>en</v>
      </c>
      <c r="B13209">
        <f>IFERROR(__xludf.DUMMYFUNCTION("""COMPUTED_VALUE"""),631128.0)</f>
        <v>631128</v>
      </c>
      <c r="C13209" t="str">
        <f>IFERROR(__xludf.DUMMYFUNCTION("""COMPUTED_VALUE"""),"Web Developer Bootcamp with Flask and Python")</f>
        <v>Web Developer Bootcamp with Flask and Python</v>
      </c>
    </row>
    <row r="13210">
      <c r="A13210" s="140" t="str">
        <f>IFERROR(__xludf.DUMMYFUNCTION("""COMPUTED_VALUE"""),"en")</f>
        <v>en</v>
      </c>
      <c r="B13210">
        <f>IFERROR(__xludf.DUMMYFUNCTION("""COMPUTED_VALUE"""),427148.0)</f>
        <v>427148</v>
      </c>
      <c r="C13210" t="str">
        <f>IFERROR(__xludf.DUMMYFUNCTION("""COMPUTED_VALUE"""),"Advanced Algorithms (Graph Algorithms) in Java")</f>
        <v>Advanced Algorithms (Graph Algorithms) in Java</v>
      </c>
    </row>
    <row r="13211">
      <c r="A13211" s="140" t="str">
        <f>IFERROR(__xludf.DUMMYFUNCTION("""COMPUTED_VALUE"""),"fr")</f>
        <v>fr</v>
      </c>
      <c r="B13211">
        <f>IFERROR(__xludf.DUMMYFUNCTION("""COMPUTED_VALUE"""),2329320.0)</f>
        <v>2329320</v>
      </c>
      <c r="C13211" t="str">
        <f>IFERROR(__xludf.DUMMYFUNCTION("""COMPUTED_VALUE"""),"Design de présentation - Évitez la mort par PowerPoint")</f>
        <v>Design de présentation - Évitez la mort par PowerPoint</v>
      </c>
    </row>
    <row r="13212">
      <c r="A13212" s="140" t="str">
        <f>IFERROR(__xludf.DUMMYFUNCTION("""COMPUTED_VALUE"""),"en")</f>
        <v>en</v>
      </c>
      <c r="B13212">
        <f>IFERROR(__xludf.DUMMYFUNCTION("""COMPUTED_VALUE"""),1831948.0)</f>
        <v>1831948</v>
      </c>
      <c r="C13212" t="str">
        <f>IFERROR(__xludf.DUMMYFUNCTION("""COMPUTED_VALUE"""),"Rhino3D – The Complete Guide (incl. Grasshopper)")</f>
        <v>Rhino3D – The Complete Guide (incl. Grasshopper)</v>
      </c>
    </row>
    <row r="13213">
      <c r="A13213" s="140" t="str">
        <f>IFERROR(__xludf.DUMMYFUNCTION("""COMPUTED_VALUE"""),"en")</f>
        <v>en</v>
      </c>
      <c r="B13213">
        <f>IFERROR(__xludf.DUMMYFUNCTION("""COMPUTED_VALUE"""),778548.0)</f>
        <v>778548</v>
      </c>
      <c r="C13213" t="str">
        <f>IFERROR(__xludf.DUMMYFUNCTION("""COMPUTED_VALUE"""),"Adobe Premiere Pro CC: Learn Video Editing In Premiere Pro")</f>
        <v>Adobe Premiere Pro CC: Learn Video Editing In Premiere Pro</v>
      </c>
    </row>
    <row r="13214">
      <c r="A13214" s="140" t="str">
        <f>IFERROR(__xludf.DUMMYFUNCTION("""COMPUTED_VALUE"""),"en")</f>
        <v>en</v>
      </c>
      <c r="B13214">
        <f>IFERROR(__xludf.DUMMYFUNCTION("""COMPUTED_VALUE"""),1738234.0)</f>
        <v>1738234</v>
      </c>
      <c r="C13214" t="str">
        <f>IFERROR(__xludf.DUMMYFUNCTION("""COMPUTED_VALUE"""),"Foward Head Posture Exercises to Improve Appearance &amp; Health")</f>
        <v>Foward Head Posture Exercises to Improve Appearance &amp; Health</v>
      </c>
    </row>
    <row r="13215">
      <c r="A13215" s="140" t="str">
        <f>IFERROR(__xludf.DUMMYFUNCTION("""COMPUTED_VALUE"""),"ja")</f>
        <v>ja</v>
      </c>
      <c r="B13215">
        <f>IFERROR(__xludf.DUMMYFUNCTION("""COMPUTED_VALUE"""),4061188.0)</f>
        <v>4061188</v>
      </c>
      <c r="C13215" t="str">
        <f>IFERROR(__xludf.DUMMYFUNCTION("""COMPUTED_VALUE"""),"＜UB確認テスト＞人工知能（AI）×IoT×ブロックチェーン時代のテクノロジー／次世代ビジネスモデルノウハウの全ての基")</f>
        <v>＜UB確認テスト＞人工知能（AI）×IoT×ブロックチェーン時代のテクノロジー／次世代ビジネスモデルノウハウの全ての基</v>
      </c>
    </row>
    <row r="13216">
      <c r="A13216" s="140" t="str">
        <f>IFERROR(__xludf.DUMMYFUNCTION("""COMPUTED_VALUE"""),"ja")</f>
        <v>ja</v>
      </c>
      <c r="B13216">
        <f>IFERROR(__xludf.DUMMYFUNCTION("""COMPUTED_VALUE"""),4049220.0)</f>
        <v>4049220</v>
      </c>
      <c r="C13216" t="str">
        <f>IFERROR(__xludf.DUMMYFUNCTION("""COMPUTED_VALUE"""),"DX時代の自治体データ活用基礎  ～EBPMで仕事を進めるために")</f>
        <v>DX時代の自治体データ活用基礎  ～EBPMで仕事を進めるために</v>
      </c>
    </row>
    <row r="13217">
      <c r="A13217" s="140" t="str">
        <f>IFERROR(__xludf.DUMMYFUNCTION("""COMPUTED_VALUE"""),"es")</f>
        <v>es</v>
      </c>
      <c r="B13217">
        <f>IFERROR(__xludf.DUMMYFUNCTION("""COMPUTED_VALUE"""),2801787.0)</f>
        <v>2801787</v>
      </c>
      <c r="C13217" t="str">
        <f>IFERROR(__xludf.DUMMYFUNCTION("""COMPUTED_VALUE"""),"Photoshop 2021, Fotografía, Edición, Diseño Gráfico, Dibujo.")</f>
        <v>Photoshop 2021, Fotografía, Edición, Diseño Gráfico, Dibujo.</v>
      </c>
    </row>
    <row r="13218">
      <c r="A13218" s="140" t="str">
        <f>IFERROR(__xludf.DUMMYFUNCTION("""COMPUTED_VALUE"""),"ko")</f>
        <v>ko</v>
      </c>
      <c r="B13218">
        <f>IFERROR(__xludf.DUMMYFUNCTION("""COMPUTED_VALUE"""),4285118.0)</f>
        <v>4285118</v>
      </c>
      <c r="C13218" t="str">
        <f>IFERROR(__xludf.DUMMYFUNCTION("""COMPUTED_VALUE"""),"인공지능 이해를 위한 머신러닝 기초 다지기 part1")</f>
        <v>인공지능 이해를 위한 머신러닝 기초 다지기 part1</v>
      </c>
    </row>
    <row r="13219">
      <c r="A13219" s="140" t="str">
        <f>IFERROR(__xludf.DUMMYFUNCTION("""COMPUTED_VALUE"""),"en")</f>
        <v>en</v>
      </c>
      <c r="B13219">
        <f>IFERROR(__xludf.DUMMYFUNCTION("""COMPUTED_VALUE"""),405926.0)</f>
        <v>405926</v>
      </c>
      <c r="C13219" t="str">
        <f>IFERROR(__xludf.DUMMYFUNCTION("""COMPUTED_VALUE"""),"HTML and CSS for Beginners - Build a Website &amp; Launch ONLINE")</f>
        <v>HTML and CSS for Beginners - Build a Website &amp; Launch ONLINE</v>
      </c>
    </row>
    <row r="13220">
      <c r="A13220" s="140" t="str">
        <f>IFERROR(__xludf.DUMMYFUNCTION("""COMPUTED_VALUE"""),"zh")</f>
        <v>zh</v>
      </c>
      <c r="B13220">
        <f>IFERROR(__xludf.DUMMYFUNCTION("""COMPUTED_VALUE"""),2639250.0)</f>
        <v>2639250</v>
      </c>
      <c r="C13220" t="str">
        <f>IFERROR(__xludf.DUMMYFUNCTION("""COMPUTED_VALUE"""),"React 边做边学（从零开始，包含Hooks）")</f>
        <v>React 边做边学（从零开始，包含Hooks）</v>
      </c>
    </row>
    <row r="13221">
      <c r="A13221" s="140" t="str">
        <f>IFERROR(__xludf.DUMMYFUNCTION("""COMPUTED_VALUE"""),"en")</f>
        <v>en</v>
      </c>
      <c r="B13221">
        <f>IFERROR(__xludf.DUMMYFUNCTION("""COMPUTED_VALUE"""),1593946.0)</f>
        <v>1593946</v>
      </c>
      <c r="C13221" t="str">
        <f>IFERROR(__xludf.DUMMYFUNCTION("""COMPUTED_VALUE"""),"Introduction to Islamic Economics and Finance")</f>
        <v>Introduction to Islamic Economics and Finance</v>
      </c>
    </row>
    <row r="13222">
      <c r="A13222" s="140" t="str">
        <f>IFERROR(__xludf.DUMMYFUNCTION("""COMPUTED_VALUE"""),"tr")</f>
        <v>tr</v>
      </c>
      <c r="B13222">
        <f>IFERROR(__xludf.DUMMYFUNCTION("""COMPUTED_VALUE"""),1388900.0)</f>
        <v>1388900</v>
      </c>
      <c r="C13222" t="str">
        <f>IFERROR(__xludf.DUMMYFUNCTION("""COMPUTED_VALUE"""),"Adım Adım Uygulamalı Microsoft Active Directory Eğitimi")</f>
        <v>Adım Adım Uygulamalı Microsoft Active Directory Eğitimi</v>
      </c>
    </row>
    <row r="13223">
      <c r="A13223" s="140" t="str">
        <f>IFERROR(__xludf.DUMMYFUNCTION("""COMPUTED_VALUE"""),"en")</f>
        <v>en</v>
      </c>
      <c r="B13223">
        <f>IFERROR(__xludf.DUMMYFUNCTION("""COMPUTED_VALUE"""),4263800.0)</f>
        <v>4263800</v>
      </c>
      <c r="C13223" t="str">
        <f>IFERROR(__xludf.DUMMYFUNCTION("""COMPUTED_VALUE"""),"Oracle Fusion Cloud HCM R13 Global HR Implementation")</f>
        <v>Oracle Fusion Cloud HCM R13 Global HR Implementation</v>
      </c>
    </row>
    <row r="13224">
      <c r="A13224" s="140" t="str">
        <f>IFERROR(__xludf.DUMMYFUNCTION("""COMPUTED_VALUE"""),"en")</f>
        <v>en</v>
      </c>
      <c r="B13224">
        <f>IFERROR(__xludf.DUMMYFUNCTION("""COMPUTED_VALUE"""),2848686.0)</f>
        <v>2848686</v>
      </c>
      <c r="C13224" t="str">
        <f>IFERROR(__xludf.DUMMYFUNCTION("""COMPUTED_VALUE"""),"CCNP Enterprise :Cisco SD-WAN Solutions(300-415 ENSDWI)+LAB")</f>
        <v>CCNP Enterprise :Cisco SD-WAN Solutions(300-415 ENSDWI)+LAB</v>
      </c>
    </row>
    <row r="13225">
      <c r="A13225" s="140" t="str">
        <f>IFERROR(__xludf.DUMMYFUNCTION("""COMPUTED_VALUE"""),"en")</f>
        <v>en</v>
      </c>
      <c r="B13225">
        <f>IFERROR(__xludf.DUMMYFUNCTION("""COMPUTED_VALUE"""),3573079.0)</f>
        <v>3573079</v>
      </c>
      <c r="C13225" t="str">
        <f>IFERROR(__xludf.DUMMYFUNCTION("""COMPUTED_VALUE"""),"Kubernetes CKS 2021 Complete Course - Theory - Practice")</f>
        <v>Kubernetes CKS 2021 Complete Course - Theory - Practice</v>
      </c>
    </row>
    <row r="13226">
      <c r="A13226" s="140" t="str">
        <f>IFERROR(__xludf.DUMMYFUNCTION("""COMPUTED_VALUE"""),"fr")</f>
        <v>fr</v>
      </c>
      <c r="B13226">
        <f>IFERROR(__xludf.DUMMYFUNCTION("""COMPUTED_VALUE"""),187886.0)</f>
        <v>187886</v>
      </c>
      <c r="C13226" t="str">
        <f>IFERROR(__xludf.DUMMYFUNCTION("""COMPUTED_VALUE"""),"Parler anglais comme un anglophone – Améliorer son accent")</f>
        <v>Parler anglais comme un anglophone – Améliorer son accent</v>
      </c>
    </row>
    <row r="13227">
      <c r="A13227" s="140" t="str">
        <f>IFERROR(__xludf.DUMMYFUNCTION("""COMPUTED_VALUE"""),"en")</f>
        <v>en</v>
      </c>
      <c r="B13227">
        <f>IFERROR(__xludf.DUMMYFUNCTION("""COMPUTED_VALUE"""),2022460.0)</f>
        <v>2022460</v>
      </c>
      <c r="C13227" t="str">
        <f>IFERROR(__xludf.DUMMYFUNCTION("""COMPUTED_VALUE"""),"The Complete Drawing Masterclass: From Beginner to Advanced")</f>
        <v>The Complete Drawing Masterclass: From Beginner to Advanced</v>
      </c>
    </row>
    <row r="13228">
      <c r="A13228" s="140" t="str">
        <f>IFERROR(__xludf.DUMMYFUNCTION("""COMPUTED_VALUE"""),"en")</f>
        <v>en</v>
      </c>
      <c r="B13228">
        <f>IFERROR(__xludf.DUMMYFUNCTION("""COMPUTED_VALUE"""),1389870.0)</f>
        <v>1389870</v>
      </c>
      <c r="C13228" t="str">
        <f>IFERROR(__xludf.DUMMYFUNCTION("""COMPUTED_VALUE"""),"Accelerate Innovation &amp; Creativity, a Research based Guide !")</f>
        <v>Accelerate Innovation &amp; Creativity, a Research based Guide !</v>
      </c>
    </row>
    <row r="13229">
      <c r="A13229" s="140" t="str">
        <f>IFERROR(__xludf.DUMMYFUNCTION("""COMPUTED_VALUE"""),"en")</f>
        <v>en</v>
      </c>
      <c r="B13229">
        <f>IFERROR(__xludf.DUMMYFUNCTION("""COMPUTED_VALUE"""),2230098.0)</f>
        <v>2230098</v>
      </c>
      <c r="C13229" t="str">
        <f>IFERROR(__xludf.DUMMYFUNCTION("""COMPUTED_VALUE"""),"CCA 175 Spark and Hadoop Developer - Practice Tests")</f>
        <v>CCA 175 Spark and Hadoop Developer - Practice Tests</v>
      </c>
    </row>
    <row r="13230">
      <c r="A13230" s="140" t="str">
        <f>IFERROR(__xludf.DUMMYFUNCTION("""COMPUTED_VALUE"""),"en")</f>
        <v>en</v>
      </c>
      <c r="B13230">
        <f>IFERROR(__xludf.DUMMYFUNCTION("""COMPUTED_VALUE"""),1957644.0)</f>
        <v>1957644</v>
      </c>
      <c r="C13230" t="str">
        <f>IFERROR(__xludf.DUMMYFUNCTION("""COMPUTED_VALUE"""),"Microsoft Dynamics 365 &amp; PowerApps Developer Course - Part 1")</f>
        <v>Microsoft Dynamics 365 &amp; PowerApps Developer Course - Part 1</v>
      </c>
    </row>
    <row r="13231">
      <c r="A13231" s="140" t="str">
        <f>IFERROR(__xludf.DUMMYFUNCTION("""COMPUTED_VALUE"""),"en")</f>
        <v>en</v>
      </c>
      <c r="B13231">
        <f>IFERROR(__xludf.DUMMYFUNCTION("""COMPUTED_VALUE"""),510548.0)</f>
        <v>510548</v>
      </c>
      <c r="C13231" t="str">
        <f>IFERROR(__xludf.DUMMYFUNCTION("""COMPUTED_VALUE"""),"Defining a Digital Transformation Roadmap")</f>
        <v>Defining a Digital Transformation Roadmap</v>
      </c>
    </row>
    <row r="13232">
      <c r="A13232" s="140" t="str">
        <f>IFERROR(__xludf.DUMMYFUNCTION("""COMPUTED_VALUE"""),"en")</f>
        <v>en</v>
      </c>
      <c r="B13232">
        <f>IFERROR(__xludf.DUMMYFUNCTION("""COMPUTED_VALUE"""),977062.0)</f>
        <v>977062</v>
      </c>
      <c r="C13232" t="str">
        <f>IFERROR(__xludf.DUMMYFUNCTION("""COMPUTED_VALUE"""),"Scala and Spark for Big Data and Machine Learning")</f>
        <v>Scala and Spark for Big Data and Machine Learning</v>
      </c>
    </row>
    <row r="13233">
      <c r="A13233" s="140" t="str">
        <f>IFERROR(__xludf.DUMMYFUNCTION("""COMPUTED_VALUE"""),"pt")</f>
        <v>pt</v>
      </c>
      <c r="B13233">
        <f>IFERROR(__xludf.DUMMYFUNCTION("""COMPUTED_VALUE"""),1138310.0)</f>
        <v>1138310</v>
      </c>
      <c r="C13233" t="str">
        <f>IFERROR(__xludf.DUMMYFUNCTION("""COMPUTED_VALUE"""),"Curso de Desenvolvimento WEB com ES6, TypeScript e Angular")</f>
        <v>Curso de Desenvolvimento WEB com ES6, TypeScript e Angular</v>
      </c>
    </row>
    <row r="13234">
      <c r="A13234" s="140" t="str">
        <f>IFERROR(__xludf.DUMMYFUNCTION("""COMPUTED_VALUE"""),"en")</f>
        <v>en</v>
      </c>
      <c r="B13234">
        <f>IFERROR(__xludf.DUMMYFUNCTION("""COMPUTED_VALUE"""),640062.0)</f>
        <v>640062</v>
      </c>
      <c r="C13234" t="str">
        <f>IFERROR(__xludf.DUMMYFUNCTION("""COMPUTED_VALUE"""),"Accounting Made Easy: A Quick Guide to Financial Accounting")</f>
        <v>Accounting Made Easy: A Quick Guide to Financial Accounting</v>
      </c>
    </row>
    <row r="13235">
      <c r="A13235" s="140" t="str">
        <f>IFERROR(__xludf.DUMMYFUNCTION("""COMPUTED_VALUE"""),"en")</f>
        <v>en</v>
      </c>
      <c r="B13235">
        <f>IFERROR(__xludf.DUMMYFUNCTION("""COMPUTED_VALUE"""),1227634.0)</f>
        <v>1227634</v>
      </c>
      <c r="C13235" t="str">
        <f>IFERROR(__xludf.DUMMYFUNCTION("""COMPUTED_VALUE"""),"Complete Houdini FX Bootcamp")</f>
        <v>Complete Houdini FX Bootcamp</v>
      </c>
    </row>
    <row r="13236">
      <c r="A13236" s="140" t="str">
        <f>IFERROR(__xludf.DUMMYFUNCTION("""COMPUTED_VALUE"""),"ja")</f>
        <v>ja</v>
      </c>
      <c r="B13236">
        <f>IFERROR(__xludf.DUMMYFUNCTION("""COMPUTED_VALUE"""),3985744.0)</f>
        <v>3985744</v>
      </c>
      <c r="C13236" t="str">
        <f>IFERROR(__xludf.DUMMYFUNCTION("""COMPUTED_VALUE"""),"＜UB確認テスト＞心を揺さぶるプレゼン企画とトークのコツ！選ばれる「コンセプト」の作り方【デザイン思考Vol.2】")</f>
        <v>＜UB確認テスト＞心を揺さぶるプレゼン企画とトークのコツ！選ばれる「コンセプト」の作り方【デザイン思考Vol.2】</v>
      </c>
    </row>
    <row r="13237">
      <c r="A13237" s="140" t="str">
        <f>IFERROR(__xludf.DUMMYFUNCTION("""COMPUTED_VALUE"""),"en")</f>
        <v>en</v>
      </c>
      <c r="B13237">
        <f>IFERROR(__xludf.DUMMYFUNCTION("""COMPUTED_VALUE"""),2412964.0)</f>
        <v>2412964</v>
      </c>
      <c r="C13237" t="str">
        <f>IFERROR(__xludf.DUMMYFUNCTION("""COMPUTED_VALUE"""),"AWS Certified Cloud Practitioner Training Bootcamp 2021")</f>
        <v>AWS Certified Cloud Practitioner Training Bootcamp 2021</v>
      </c>
    </row>
    <row r="13238">
      <c r="A13238" s="140" t="str">
        <f>IFERROR(__xludf.DUMMYFUNCTION("""COMPUTED_VALUE"""),"en")</f>
        <v>en</v>
      </c>
      <c r="B13238">
        <f>IFERROR(__xludf.DUMMYFUNCTION("""COMPUTED_VALUE"""),2369158.0)</f>
        <v>2369158</v>
      </c>
      <c r="C13238" t="str">
        <f>IFERROR(__xludf.DUMMYFUNCTION("""COMPUTED_VALUE"""),"Learn Siemens S7-1200 PLC and HMI via TIA Portal (Advanced)")</f>
        <v>Learn Siemens S7-1200 PLC and HMI via TIA Portal (Advanced)</v>
      </c>
    </row>
    <row r="13239">
      <c r="A13239" s="140" t="str">
        <f>IFERROR(__xludf.DUMMYFUNCTION("""COMPUTED_VALUE"""),"es")</f>
        <v>es</v>
      </c>
      <c r="B13239">
        <f>IFERROR(__xludf.DUMMYFUNCTION("""COMPUTED_VALUE"""),1283436.0)</f>
        <v>1283436</v>
      </c>
      <c r="C13239" t="str">
        <f>IFERROR(__xludf.DUMMYFUNCTION("""COMPUTED_VALUE"""),"Instalación y configuración de Windows Server 2016 / 2019")</f>
        <v>Instalación y configuración de Windows Server 2016 / 2019</v>
      </c>
    </row>
    <row r="13240">
      <c r="A13240" s="140" t="str">
        <f>IFERROR(__xludf.DUMMYFUNCTION("""COMPUTED_VALUE"""),"en")</f>
        <v>en</v>
      </c>
      <c r="B13240">
        <f>IFERROR(__xludf.DUMMYFUNCTION("""COMPUTED_VALUE"""),1349674.0)</f>
        <v>1349674</v>
      </c>
      <c r="C13240" t="str">
        <f>IFERROR(__xludf.DUMMYFUNCTION("""COMPUTED_VALUE"""),"Fingerstyle Guitar - Fingerpicking Techniques For Beginners")</f>
        <v>Fingerstyle Guitar - Fingerpicking Techniques For Beginners</v>
      </c>
    </row>
    <row r="13241">
      <c r="A13241" s="140" t="str">
        <f>IFERROR(__xludf.DUMMYFUNCTION("""COMPUTED_VALUE"""),"en")</f>
        <v>en</v>
      </c>
      <c r="B13241">
        <f>IFERROR(__xludf.DUMMYFUNCTION("""COMPUTED_VALUE"""),2434620.0)</f>
        <v>2434620</v>
      </c>
      <c r="C13241" t="str">
        <f>IFERROR(__xludf.DUMMYFUNCTION("""COMPUTED_VALUE"""),"Server side rendering with Next JS")</f>
        <v>Server side rendering with Next JS</v>
      </c>
    </row>
    <row r="13242">
      <c r="A13242" s="140" t="str">
        <f>IFERROR(__xludf.DUMMYFUNCTION("""COMPUTED_VALUE"""),"ja")</f>
        <v>ja</v>
      </c>
      <c r="B13242">
        <f>IFERROR(__xludf.DUMMYFUNCTION("""COMPUTED_VALUE"""),2290835.0)</f>
        <v>2290835</v>
      </c>
      <c r="C13242" t="str">
        <f>IFERROR(__xludf.DUMMYFUNCTION("""COMPUTED_VALUE"""),"【徹底的に解説！】Djangoの基礎をマスターして、3つのアプリを作ろう！（Django2版 / 3版を同時公開中です）")</f>
        <v>【徹底的に解説！】Djangoの基礎をマスターして、3つのアプリを作ろう！（Django2版 / 3版を同時公開中です）</v>
      </c>
    </row>
    <row r="13243">
      <c r="A13243" s="140" t="str">
        <f>IFERROR(__xludf.DUMMYFUNCTION("""COMPUTED_VALUE"""),"de")</f>
        <v>de</v>
      </c>
      <c r="B13243">
        <f>IFERROR(__xludf.DUMMYFUNCTION("""COMPUTED_VALUE"""),3864872.0)</f>
        <v>3864872</v>
      </c>
      <c r="C13243" t="str">
        <f>IFERROR(__xludf.DUMMYFUNCTION("""COMPUTED_VALUE"""),"NLP Crashkurs, Einstieg in Neurolinguistisches Programmieren")</f>
        <v>NLP Crashkurs, Einstieg in Neurolinguistisches Programmieren</v>
      </c>
    </row>
    <row r="13244">
      <c r="A13244" s="140" t="str">
        <f>IFERROR(__xludf.DUMMYFUNCTION("""COMPUTED_VALUE"""),"en")</f>
        <v>en</v>
      </c>
      <c r="B13244">
        <f>IFERROR(__xludf.DUMMYFUNCTION("""COMPUTED_VALUE"""),2623376.0)</f>
        <v>2623376</v>
      </c>
      <c r="C13244" t="str">
        <f>IFERROR(__xludf.DUMMYFUNCTION("""COMPUTED_VALUE"""),"CompTIA A+ (220-1002) Test Prep, Exams and Simulations")</f>
        <v>CompTIA A+ (220-1002) Test Prep, Exams and Simulations</v>
      </c>
    </row>
    <row r="13245">
      <c r="A13245" s="140" t="str">
        <f>IFERROR(__xludf.DUMMYFUNCTION("""COMPUTED_VALUE"""),"pt")</f>
        <v>pt</v>
      </c>
      <c r="B13245">
        <f>IFERROR(__xludf.DUMMYFUNCTION("""COMPUTED_VALUE"""),1382156.0)</f>
        <v>1382156</v>
      </c>
      <c r="C13245" t="str">
        <f>IFERROR(__xludf.DUMMYFUNCTION("""COMPUTED_VALUE"""),"Introdução ao Desenho : Rosto, Expressões e Estilização!")</f>
        <v>Introdução ao Desenho : Rosto, Expressões e Estilização!</v>
      </c>
    </row>
    <row r="13246">
      <c r="A13246" s="140" t="str">
        <f>IFERROR(__xludf.DUMMYFUNCTION("""COMPUTED_VALUE"""),"ja")</f>
        <v>ja</v>
      </c>
      <c r="B13246">
        <f>IFERROR(__xludf.DUMMYFUNCTION("""COMPUTED_VALUE"""),3645214.0)</f>
        <v>3645214</v>
      </c>
      <c r="C13246" t="str">
        <f>IFERROR(__xludf.DUMMYFUNCTION("""COMPUTED_VALUE"""),"TOEIC(R) L&amp;R TEST 600点突破！基礎完成講座")</f>
        <v>TOEIC(R) L&amp;R TEST 600点突破！基礎完成講座</v>
      </c>
    </row>
    <row r="13247">
      <c r="A13247" s="140" t="str">
        <f>IFERROR(__xludf.DUMMYFUNCTION("""COMPUTED_VALUE"""),"es")</f>
        <v>es</v>
      </c>
      <c r="B13247">
        <f>IFERROR(__xludf.DUMMYFUNCTION("""COMPUTED_VALUE"""),2243916.0)</f>
        <v>2243916</v>
      </c>
      <c r="C13247" t="str">
        <f>IFERROR(__xludf.DUMMYFUNCTION("""COMPUTED_VALUE"""),"Domina Power Pivot, Power Query, Power View y Power Map")</f>
        <v>Domina Power Pivot, Power Query, Power View y Power Map</v>
      </c>
    </row>
    <row r="13248">
      <c r="A13248" s="140" t="str">
        <f>IFERROR(__xludf.DUMMYFUNCTION("""COMPUTED_VALUE"""),"ko")</f>
        <v>ko</v>
      </c>
      <c r="B13248">
        <f>IFERROR(__xludf.DUMMYFUNCTION("""COMPUTED_VALUE"""),951846.0)</f>
        <v>951846</v>
      </c>
      <c r="C13248" t="str">
        <f>IFERROR(__xludf.DUMMYFUNCTION("""COMPUTED_VALUE"""),"하나의 강좌에 MBA 과정 전체가 하나의 강좌에: 수상 경력이있는 경영 대학 교수")</f>
        <v>하나의 강좌에 MBA 과정 전체가 하나의 강좌에: 수상 경력이있는 경영 대학 교수</v>
      </c>
    </row>
    <row r="13249">
      <c r="A13249" s="140" t="str">
        <f>IFERROR(__xludf.DUMMYFUNCTION("""COMPUTED_VALUE"""),"en")</f>
        <v>en</v>
      </c>
      <c r="B13249">
        <f>IFERROR(__xludf.DUMMYFUNCTION("""COMPUTED_VALUE"""),2526432.0)</f>
        <v>2526432</v>
      </c>
      <c r="C13249" t="str">
        <f>IFERROR(__xludf.DUMMYFUNCTION("""COMPUTED_VALUE"""),"RabbitMQ and Messaging Concepts")</f>
        <v>RabbitMQ and Messaging Concepts</v>
      </c>
    </row>
    <row r="13250">
      <c r="A13250" s="140" t="str">
        <f>IFERROR(__xludf.DUMMYFUNCTION("""COMPUTED_VALUE"""),"tr")</f>
        <v>tr</v>
      </c>
      <c r="B13250">
        <f>IFERROR(__xludf.DUMMYFUNCTION("""COMPUTED_VALUE"""),3195012.0)</f>
        <v>3195012</v>
      </c>
      <c r="C13250" t="str">
        <f>IFERROR(__xludf.DUMMYFUNCTION("""COMPUTED_VALUE"""),"MS Excel : Profesyonel Excel Kullanıcısı Olun!")</f>
        <v>MS Excel : Profesyonel Excel Kullanıcısı Olun!</v>
      </c>
    </row>
    <row r="13251">
      <c r="A13251" s="140" t="str">
        <f>IFERROR(__xludf.DUMMYFUNCTION("""COMPUTED_VALUE"""),"en")</f>
        <v>en</v>
      </c>
      <c r="B13251">
        <f>IFERROR(__xludf.DUMMYFUNCTION("""COMPUTED_VALUE"""),500336.0)</f>
        <v>500336</v>
      </c>
      <c r="C13251" t="str">
        <f>IFERROR(__xludf.DUMMYFUNCTION("""COMPUTED_VALUE"""),"Grow Sales")</f>
        <v>Grow Sales</v>
      </c>
    </row>
    <row r="13252">
      <c r="A13252" s="140" t="str">
        <f>IFERROR(__xludf.DUMMYFUNCTION("""COMPUTED_VALUE"""),"en")</f>
        <v>en</v>
      </c>
      <c r="B13252">
        <f>IFERROR(__xludf.DUMMYFUNCTION("""COMPUTED_VALUE"""),382516.0)</f>
        <v>382516</v>
      </c>
      <c r="C13252" t="str">
        <f>IFERROR(__xludf.DUMMYFUNCTION("""COMPUTED_VALUE"""),"Business Analysis: Developing Requirements")</f>
        <v>Business Analysis: Developing Requirements</v>
      </c>
    </row>
    <row r="13253">
      <c r="A13253" s="140" t="str">
        <f>IFERROR(__xludf.DUMMYFUNCTION("""COMPUTED_VALUE"""),"en")</f>
        <v>en</v>
      </c>
      <c r="B13253">
        <f>IFERROR(__xludf.DUMMYFUNCTION("""COMPUTED_VALUE"""),1349394.0)</f>
        <v>1349394</v>
      </c>
      <c r="C13253" t="str">
        <f>IFERROR(__xludf.DUMMYFUNCTION("""COMPUTED_VALUE"""),"Company Valuation &amp; Financial Modeling")</f>
        <v>Company Valuation &amp; Financial Modeling</v>
      </c>
    </row>
    <row r="13254">
      <c r="A13254" s="140" t="str">
        <f>IFERROR(__xludf.DUMMYFUNCTION("""COMPUTED_VALUE"""),"pt")</f>
        <v>pt</v>
      </c>
      <c r="B13254">
        <f>IFERROR(__xludf.DUMMYFUNCTION("""COMPUTED_VALUE"""),1160000.0)</f>
        <v>1160000</v>
      </c>
      <c r="C13254" t="str">
        <f>IFERROR(__xludf.DUMMYFUNCTION("""COMPUTED_VALUE"""),"SysAdmin Linux - 100% Terminal")</f>
        <v>SysAdmin Linux - 100% Terminal</v>
      </c>
    </row>
    <row r="13255">
      <c r="A13255" s="140" t="str">
        <f>IFERROR(__xludf.DUMMYFUNCTION("""COMPUTED_VALUE"""),"en")</f>
        <v>en</v>
      </c>
      <c r="B13255">
        <f>IFERROR(__xludf.DUMMYFUNCTION("""COMPUTED_VALUE"""),1436054.0)</f>
        <v>1436054</v>
      </c>
      <c r="C13255" t="str">
        <f>IFERROR(__xludf.DUMMYFUNCTION("""COMPUTED_VALUE"""),"Office Health A-Z™- Posture, Ergonomics, Vision, Food &amp; More")</f>
        <v>Office Health A-Z™- Posture, Ergonomics, Vision, Food &amp; More</v>
      </c>
    </row>
    <row r="13256">
      <c r="A13256" s="140" t="str">
        <f>IFERROR(__xludf.DUMMYFUNCTION("""COMPUTED_VALUE"""),"en")</f>
        <v>en</v>
      </c>
      <c r="B13256">
        <f>IFERROR(__xludf.DUMMYFUNCTION("""COMPUTED_VALUE"""),1171102.0)</f>
        <v>1171102</v>
      </c>
      <c r="C13256" t="str">
        <f>IFERROR(__xludf.DUMMYFUNCTION("""COMPUTED_VALUE"""),"JavaScript Masterclass 2021: Modern &amp; Comprehensive")</f>
        <v>JavaScript Masterclass 2021: Modern &amp; Comprehensive</v>
      </c>
    </row>
    <row r="13257">
      <c r="A13257" s="140" t="str">
        <f>IFERROR(__xludf.DUMMYFUNCTION("""COMPUTED_VALUE"""),"en")</f>
        <v>en</v>
      </c>
      <c r="B13257">
        <f>IFERROR(__xludf.DUMMYFUNCTION("""COMPUTED_VALUE"""),2238782.0)</f>
        <v>2238782</v>
      </c>
      <c r="C13257" t="str">
        <f>IFERROR(__xludf.DUMMYFUNCTION("""COMPUTED_VALUE"""),"Getting Started with .NET Core Clean Architecture")</f>
        <v>Getting Started with .NET Core Clean Architecture</v>
      </c>
    </row>
    <row r="13258">
      <c r="A13258" s="140" t="str">
        <f>IFERROR(__xludf.DUMMYFUNCTION("""COMPUTED_VALUE"""),"en")</f>
        <v>en</v>
      </c>
      <c r="B13258">
        <f>IFERROR(__xludf.DUMMYFUNCTION("""COMPUTED_VALUE"""),2826981.0)</f>
        <v>2826981</v>
      </c>
      <c r="C13258" t="str">
        <f>IFERROR(__xludf.DUMMYFUNCTION("""COMPUTED_VALUE"""),"Six Sigma: Lean Six Sigma Black Belt (Part 2) (Accredited)")</f>
        <v>Six Sigma: Lean Six Sigma Black Belt (Part 2) (Accredited)</v>
      </c>
    </row>
    <row r="13259">
      <c r="A13259" s="140" t="str">
        <f>IFERROR(__xludf.DUMMYFUNCTION("""COMPUTED_VALUE"""),"de")</f>
        <v>de</v>
      </c>
      <c r="B13259">
        <f>IFERROR(__xludf.DUMMYFUNCTION("""COMPUTED_VALUE"""),1400452.0)</f>
        <v>1400452</v>
      </c>
      <c r="C13259" t="str">
        <f>IFERROR(__xludf.DUMMYFUNCTION("""COMPUTED_VALUE"""),"Buyer Personas im Content Marketing entwickeln und anwenden")</f>
        <v>Buyer Personas im Content Marketing entwickeln und anwenden</v>
      </c>
    </row>
    <row r="13260">
      <c r="A13260" s="140" t="str">
        <f>IFERROR(__xludf.DUMMYFUNCTION("""COMPUTED_VALUE"""),"tr")</f>
        <v>tr</v>
      </c>
      <c r="B13260">
        <f>IFERROR(__xludf.DUMMYFUNCTION("""COMPUTED_VALUE"""),1820198.0)</f>
        <v>1820198</v>
      </c>
      <c r="C13260" t="str">
        <f>IFERROR(__xludf.DUMMYFUNCTION("""COMPUTED_VALUE"""),"Excel VBA(Makro) Eğitim Seti - Sıfırdan Zirveye")</f>
        <v>Excel VBA(Makro) Eğitim Seti - Sıfırdan Zirveye</v>
      </c>
    </row>
    <row r="13261">
      <c r="A13261" s="140" t="str">
        <f>IFERROR(__xludf.DUMMYFUNCTION("""COMPUTED_VALUE"""),"pt")</f>
        <v>pt</v>
      </c>
      <c r="B13261">
        <f>IFERROR(__xludf.DUMMYFUNCTION("""COMPUTED_VALUE"""),3718792.0)</f>
        <v>3718792</v>
      </c>
      <c r="C13261" t="str">
        <f>IFERROR(__xludf.DUMMYFUNCTION("""COMPUTED_VALUE"""),"LGPD: Registro das operações de tratamento de Dados Pessoais")</f>
        <v>LGPD: Registro das operações de tratamento de Dados Pessoais</v>
      </c>
    </row>
    <row r="13262">
      <c r="A13262" s="140" t="str">
        <f>IFERROR(__xludf.DUMMYFUNCTION("""COMPUTED_VALUE"""),"en")</f>
        <v>en</v>
      </c>
      <c r="B13262">
        <f>IFERROR(__xludf.DUMMYFUNCTION("""COMPUTED_VALUE"""),1840864.0)</f>
        <v>1840864</v>
      </c>
      <c r="C13262" t="str">
        <f>IFERROR(__xludf.DUMMYFUNCTION("""COMPUTED_VALUE"""),"ISTQB Foundation level (CTFL) Training 2021 exam + 1500quiz")</f>
        <v>ISTQB Foundation level (CTFL) Training 2021 exam + 1500quiz</v>
      </c>
    </row>
    <row r="13263">
      <c r="A13263" s="140" t="str">
        <f>IFERROR(__xludf.DUMMYFUNCTION("""COMPUTED_VALUE"""),"ja")</f>
        <v>ja</v>
      </c>
      <c r="B13263">
        <f>IFERROR(__xludf.DUMMYFUNCTION("""COMPUTED_VALUE"""),1925998.0)</f>
        <v>1925998</v>
      </c>
      <c r="C13263" t="str">
        <f>IFERROR(__xludf.DUMMYFUNCTION("""COMPUTED_VALUE"""),"【ゼロからスタート】Oracleで始める SQL入門トレーニング")</f>
        <v>【ゼロからスタート】Oracleで始める SQL入門トレーニング</v>
      </c>
    </row>
    <row r="13264">
      <c r="A13264" s="140" t="str">
        <f>IFERROR(__xludf.DUMMYFUNCTION("""COMPUTED_VALUE"""),"ja")</f>
        <v>ja</v>
      </c>
      <c r="B13264">
        <f>IFERROR(__xludf.DUMMYFUNCTION("""COMPUTED_VALUE"""),2936742.0)</f>
        <v>2936742</v>
      </c>
      <c r="C13264" t="str">
        <f>IFERROR(__xludf.DUMMYFUNCTION("""COMPUTED_VALUE"""),"これだけ知っていれば大丈夫！プログラミング入門以前の基礎知識")</f>
        <v>これだけ知っていれば大丈夫！プログラミング入門以前の基礎知識</v>
      </c>
    </row>
    <row r="13265">
      <c r="A13265" s="140" t="str">
        <f>IFERROR(__xludf.DUMMYFUNCTION("""COMPUTED_VALUE"""),"en")</f>
        <v>en</v>
      </c>
      <c r="B13265">
        <f>IFERROR(__xludf.DUMMYFUNCTION("""COMPUTED_VALUE"""),3716776.0)</f>
        <v>3716776</v>
      </c>
      <c r="C13265" t="str">
        <f>IFERROR(__xludf.DUMMYFUNCTION("""COMPUTED_VALUE"""),"Transactional Analysis - A to Z, in a Nutshell")</f>
        <v>Transactional Analysis - A to Z, in a Nutshell</v>
      </c>
    </row>
    <row r="13266">
      <c r="A13266" s="140" t="str">
        <f>IFERROR(__xludf.DUMMYFUNCTION("""COMPUTED_VALUE"""),"en")</f>
        <v>en</v>
      </c>
      <c r="B13266">
        <f>IFERROR(__xludf.DUMMYFUNCTION("""COMPUTED_VALUE"""),3169510.0)</f>
        <v>3169510</v>
      </c>
      <c r="C13266" t="str">
        <f>IFERROR(__xludf.DUMMYFUNCTION("""COMPUTED_VALUE"""),"Master Modern Security and Cryptography by Coding in Python")</f>
        <v>Master Modern Security and Cryptography by Coding in Python</v>
      </c>
    </row>
    <row r="13267">
      <c r="A13267" s="140" t="str">
        <f>IFERROR(__xludf.DUMMYFUNCTION("""COMPUTED_VALUE"""),"en")</f>
        <v>en</v>
      </c>
      <c r="B13267">
        <f>IFERROR(__xludf.DUMMYFUNCTION("""COMPUTED_VALUE"""),1009452.0)</f>
        <v>1009452</v>
      </c>
      <c r="C13267" t="str">
        <f>IFERROR(__xludf.DUMMYFUNCTION("""COMPUTED_VALUE"""),"Build Enterprise Applications with Angular 2 (and Angular 4)")</f>
        <v>Build Enterprise Applications with Angular 2 (and Angular 4)</v>
      </c>
    </row>
    <row r="13268">
      <c r="A13268" s="140" t="str">
        <f>IFERROR(__xludf.DUMMYFUNCTION("""COMPUTED_VALUE"""),"en")</f>
        <v>en</v>
      </c>
      <c r="B13268">
        <f>IFERROR(__xludf.DUMMYFUNCTION("""COMPUTED_VALUE"""),1455848.0)</f>
        <v>1455848</v>
      </c>
      <c r="C13268" t="str">
        <f>IFERROR(__xludf.DUMMYFUNCTION("""COMPUTED_VALUE"""),"Discover Voice Controlled AR Apps|Unity &amp; A Cloud Based AI")</f>
        <v>Discover Voice Controlled AR Apps|Unity &amp; A Cloud Based AI</v>
      </c>
    </row>
    <row r="13269">
      <c r="A13269" s="140" t="str">
        <f>IFERROR(__xludf.DUMMYFUNCTION("""COMPUTED_VALUE"""),"es")</f>
        <v>es</v>
      </c>
      <c r="B13269">
        <f>IFERROR(__xludf.DUMMYFUNCTION("""COMPUTED_VALUE"""),472056.0)</f>
        <v>472056</v>
      </c>
      <c r="C13269" t="str">
        <f>IFERROR(__xludf.DUMMYFUNCTION("""COMPUTED_VALUE"""),"Habilidades Comunicativas (Guía Completa)")</f>
        <v>Habilidades Comunicativas (Guía Completa)</v>
      </c>
    </row>
    <row r="13270">
      <c r="A13270" s="140" t="str">
        <f>IFERROR(__xludf.DUMMYFUNCTION("""COMPUTED_VALUE"""),"en")</f>
        <v>en</v>
      </c>
      <c r="B13270">
        <f>IFERROR(__xludf.DUMMYFUNCTION("""COMPUTED_VALUE"""),3859192.0)</f>
        <v>3859192</v>
      </c>
      <c r="C13270" t="str">
        <f>IFERROR(__xludf.DUMMYFUNCTION("""COMPUTED_VALUE"""),"Great Product Manager: Product Management by Microsoft's PM")</f>
        <v>Great Product Manager: Product Management by Microsoft's PM</v>
      </c>
    </row>
    <row r="13271">
      <c r="A13271" s="140" t="str">
        <f>IFERROR(__xludf.DUMMYFUNCTION("""COMPUTED_VALUE"""),"de")</f>
        <v>de</v>
      </c>
      <c r="B13271">
        <f>IFERROR(__xludf.DUMMYFUNCTION("""COMPUTED_VALUE"""),1346762.0)</f>
        <v>1346762</v>
      </c>
      <c r="C13271" t="str">
        <f>IFERROR(__xludf.DUMMYFUNCTION("""COMPUTED_VALUE"""),"Grenzwerte von Funktionen")</f>
        <v>Grenzwerte von Funktionen</v>
      </c>
    </row>
    <row r="13272">
      <c r="A13272" s="140" t="str">
        <f>IFERROR(__xludf.DUMMYFUNCTION("""COMPUTED_VALUE"""),"ja")</f>
        <v>ja</v>
      </c>
      <c r="B13272">
        <f>IFERROR(__xludf.DUMMYFUNCTION("""COMPUTED_VALUE"""),425640.0)</f>
        <v>425640</v>
      </c>
      <c r="C13272" t="str">
        <f>IFERROR(__xludf.DUMMYFUNCTION("""COMPUTED_VALUE"""),"もう交渉でひるまない！ 世界で通用する強気の英語面接術 （日本語字幕版）")</f>
        <v>もう交渉でひるまない！ 世界で通用する強気の英語面接術 （日本語字幕版）</v>
      </c>
    </row>
    <row r="13273">
      <c r="A13273" s="140" t="str">
        <f>IFERROR(__xludf.DUMMYFUNCTION("""COMPUTED_VALUE"""),"tr")</f>
        <v>tr</v>
      </c>
      <c r="B13273">
        <f>IFERROR(__xludf.DUMMYFUNCTION("""COMPUTED_VALUE"""),2816681.0)</f>
        <v>2816681</v>
      </c>
      <c r="C13273" t="str">
        <f>IFERROR(__xludf.DUMMYFUNCTION("""COMPUTED_VALUE"""),"Örneklerle Algoritma ve C++ Yazılım Geliştirme  | A'dan Z'ye")</f>
        <v>Örneklerle Algoritma ve C++ Yazılım Geliştirme  | A'dan Z'ye</v>
      </c>
    </row>
    <row r="13274">
      <c r="A13274" s="140" t="str">
        <f>IFERROR(__xludf.DUMMYFUNCTION("""COMPUTED_VALUE"""),"pt")</f>
        <v>pt</v>
      </c>
      <c r="B13274">
        <f>IFERROR(__xludf.DUMMYFUNCTION("""COMPUTED_VALUE"""),1904942.0)</f>
        <v>1904942</v>
      </c>
      <c r="C13274" t="str">
        <f>IFERROR(__xludf.DUMMYFUNCTION("""COMPUTED_VALUE"""),"Firebase para Android - Módulo II - Storage e Database")</f>
        <v>Firebase para Android - Módulo II - Storage e Database</v>
      </c>
    </row>
    <row r="13275">
      <c r="A13275" s="140" t="str">
        <f>IFERROR(__xludf.DUMMYFUNCTION("""COMPUTED_VALUE"""),"de")</f>
        <v>de</v>
      </c>
      <c r="B13275">
        <f>IFERROR(__xludf.DUMMYFUNCTION("""COMPUTED_VALUE"""),4217730.0)</f>
        <v>4217730</v>
      </c>
      <c r="C13275" t="str">
        <f>IFERROR(__xludf.DUMMYFUNCTION("""COMPUTED_VALUE"""),"Flutter leicht gemacht - richtige App-Entwicklung 2021")</f>
        <v>Flutter leicht gemacht - richtige App-Entwicklung 2021</v>
      </c>
    </row>
    <row r="13276">
      <c r="A13276" s="140" t="str">
        <f>IFERROR(__xludf.DUMMYFUNCTION("""COMPUTED_VALUE"""),"en")</f>
        <v>en</v>
      </c>
      <c r="B13276">
        <f>IFERROR(__xludf.DUMMYFUNCTION("""COMPUTED_VALUE"""),1272712.0)</f>
        <v>1272712</v>
      </c>
      <c r="C13276" t="str">
        <f>IFERROR(__xludf.DUMMYFUNCTION("""COMPUTED_VALUE"""),"SQL &amp; PostgreSQL for Beginners: Become an SQL Expert")</f>
        <v>SQL &amp; PostgreSQL for Beginners: Become an SQL Expert</v>
      </c>
    </row>
    <row r="13277">
      <c r="A13277" s="140" t="str">
        <f>IFERROR(__xludf.DUMMYFUNCTION("""COMPUTED_VALUE"""),"ja")</f>
        <v>ja</v>
      </c>
      <c r="B13277">
        <f>IFERROR(__xludf.DUMMYFUNCTION("""COMPUTED_VALUE"""),1282316.0)</f>
        <v>1282316</v>
      </c>
      <c r="C13277" t="str">
        <f>IFERROR(__xludf.DUMMYFUNCTION("""COMPUTED_VALUE"""),"After Effects cc : はじめてのVisualEffects！プロが教えるVFX動画制作")</f>
        <v>After Effects cc : はじめてのVisualEffects！プロが教えるVFX動画制作</v>
      </c>
    </row>
    <row r="13278">
      <c r="A13278" s="140" t="str">
        <f>IFERROR(__xludf.DUMMYFUNCTION("""COMPUTED_VALUE"""),"en")</f>
        <v>en</v>
      </c>
      <c r="B13278">
        <f>IFERROR(__xludf.DUMMYFUNCTION("""COMPUTED_VALUE"""),2512032.0)</f>
        <v>2512032</v>
      </c>
      <c r="C13278" t="str">
        <f>IFERROR(__xludf.DUMMYFUNCTION("""COMPUTED_VALUE"""),"Manufacturing Process - Becoming an Injection Molding Pro")</f>
        <v>Manufacturing Process - Becoming an Injection Molding Pro</v>
      </c>
    </row>
    <row r="13279">
      <c r="A13279" s="140" t="str">
        <f>IFERROR(__xludf.DUMMYFUNCTION("""COMPUTED_VALUE"""),"fr")</f>
        <v>fr</v>
      </c>
      <c r="B13279">
        <f>IFERROR(__xludf.DUMMYFUNCTION("""COMPUTED_VALUE"""),2644886.0)</f>
        <v>2644886</v>
      </c>
      <c r="C13279" t="str">
        <f>IFERROR(__xludf.DUMMYFUNCTION("""COMPUTED_VALUE"""),"Deviens un Super Professional Scrum Product Owner™ !")</f>
        <v>Deviens un Super Professional Scrum Product Owner™ !</v>
      </c>
    </row>
    <row r="13280">
      <c r="A13280" s="140" t="str">
        <f>IFERROR(__xludf.DUMMYFUNCTION("""COMPUTED_VALUE"""),"en")</f>
        <v>en</v>
      </c>
      <c r="B13280">
        <f>IFERROR(__xludf.DUMMYFUNCTION("""COMPUTED_VALUE"""),1007632.0)</f>
        <v>1007632</v>
      </c>
      <c r="C13280" t="str">
        <f>IFERROR(__xludf.DUMMYFUNCTION("""COMPUTED_VALUE"""),"RHCE Linux System Engineer Complete Course")</f>
        <v>RHCE Linux System Engineer Complete Course</v>
      </c>
    </row>
    <row r="13281">
      <c r="A13281" s="140" t="str">
        <f>IFERROR(__xludf.DUMMYFUNCTION("""COMPUTED_VALUE"""),"en")</f>
        <v>en</v>
      </c>
      <c r="B13281">
        <f>IFERROR(__xludf.DUMMYFUNCTION("""COMPUTED_VALUE"""),3444710.0)</f>
        <v>3444710</v>
      </c>
      <c r="C13281" t="str">
        <f>IFERROR(__xludf.DUMMYFUNCTION("""COMPUTED_VALUE"""),"Julia Programming 2021 [UPDATED]")</f>
        <v>Julia Programming 2021 [UPDATED]</v>
      </c>
    </row>
    <row r="13282">
      <c r="A13282" s="140" t="str">
        <f>IFERROR(__xludf.DUMMYFUNCTION("""COMPUTED_VALUE"""),"ja")</f>
        <v>ja</v>
      </c>
      <c r="B13282">
        <f>IFERROR(__xludf.DUMMYFUNCTION("""COMPUTED_VALUE"""),2893610.0)</f>
        <v>2893610</v>
      </c>
      <c r="C13282" t="str">
        <f>IFERROR(__xludf.DUMMYFUNCTION("""COMPUTED_VALUE"""),"Unity2Dパズルゲーム開発入門：Admob広告実装と高速にスマホゲームを量産する実践テクニック講座【スタジオしまづ】")</f>
        <v>Unity2Dパズルゲーム開発入門：Admob広告実装と高速にスマホゲームを量産する実践テクニック講座【スタジオしまづ】</v>
      </c>
    </row>
    <row r="13283">
      <c r="A13283" s="140" t="str">
        <f>IFERROR(__xludf.DUMMYFUNCTION("""COMPUTED_VALUE"""),"es")</f>
        <v>es</v>
      </c>
      <c r="B13283">
        <f>IFERROR(__xludf.DUMMYFUNCTION("""COMPUTED_VALUE"""),4115606.0)</f>
        <v>4115606</v>
      </c>
      <c r="C13283" t="str">
        <f>IFERROR(__xludf.DUMMYFUNCTION("""COMPUTED_VALUE"""),"Domina Microsoft Word y Power Point 2016. De 0 a Experto.")</f>
        <v>Domina Microsoft Word y Power Point 2016. De 0 a Experto.</v>
      </c>
    </row>
    <row r="13284">
      <c r="A13284" s="140" t="str">
        <f>IFERROR(__xludf.DUMMYFUNCTION("""COMPUTED_VALUE"""),"es")</f>
        <v>es</v>
      </c>
      <c r="B13284">
        <f>IFERROR(__xludf.DUMMYFUNCTION("""COMPUTED_VALUE"""),3557385.0)</f>
        <v>3557385</v>
      </c>
      <c r="C13284" t="str">
        <f>IFERROR(__xludf.DUMMYFUNCTION("""COMPUTED_VALUE"""),"Máster en Vue JS de cero a experto")</f>
        <v>Máster en Vue JS de cero a experto</v>
      </c>
    </row>
    <row r="13285">
      <c r="A13285" s="140" t="str">
        <f>IFERROR(__xludf.DUMMYFUNCTION("""COMPUTED_VALUE"""),"en")</f>
        <v>en</v>
      </c>
      <c r="B13285">
        <f>IFERROR(__xludf.DUMMYFUNCTION("""COMPUTED_VALUE"""),4164154.0)</f>
        <v>4164154</v>
      </c>
      <c r="C13285" t="str">
        <f>IFERROR(__xludf.DUMMYFUNCTION("""COMPUTED_VALUE"""),"Veeam Backup &amp; Replication Course Zero to Mastery | V11")</f>
        <v>Veeam Backup &amp; Replication Course Zero to Mastery | V11</v>
      </c>
    </row>
    <row r="13286">
      <c r="A13286" s="140" t="str">
        <f>IFERROR(__xludf.DUMMYFUNCTION("""COMPUTED_VALUE"""),"es")</f>
        <v>es</v>
      </c>
      <c r="B13286">
        <f>IFERROR(__xludf.DUMMYFUNCTION("""COMPUTED_VALUE"""),2432502.0)</f>
        <v>2432502</v>
      </c>
      <c r="C13286" t="str">
        <f>IFERROR(__xludf.DUMMYFUNCTION("""COMPUTED_VALUE"""),"Python A-Z: Python para Data Science con Ejercicios Reales!")</f>
        <v>Python A-Z: Python para Data Science con Ejercicios Reales!</v>
      </c>
    </row>
    <row r="13287">
      <c r="A13287" s="140" t="str">
        <f>IFERROR(__xludf.DUMMYFUNCTION("""COMPUTED_VALUE"""),"en")</f>
        <v>en</v>
      </c>
      <c r="B13287">
        <f>IFERROR(__xludf.DUMMYFUNCTION("""COMPUTED_VALUE"""),1671196.0)</f>
        <v>1671196</v>
      </c>
      <c r="C13287" t="str">
        <f>IFERROR(__xludf.DUMMYFUNCTION("""COMPUTED_VALUE"""),"Flutter - Intermediate")</f>
        <v>Flutter - Intermediate</v>
      </c>
    </row>
    <row r="13288">
      <c r="A13288" s="140" t="str">
        <f>IFERROR(__xludf.DUMMYFUNCTION("""COMPUTED_VALUE"""),"es")</f>
        <v>es</v>
      </c>
      <c r="B13288">
        <f>IFERROR(__xludf.DUMMYFUNCTION("""COMPUTED_VALUE"""),2105384.0)</f>
        <v>2105384</v>
      </c>
      <c r="C13288" t="str">
        <f>IFERROR(__xludf.DUMMYFUNCTION("""COMPUTED_VALUE"""),"Universidad Angular 2021 - De Cero a Experto en Angular!")</f>
        <v>Universidad Angular 2021 - De Cero a Experto en Angular!</v>
      </c>
    </row>
    <row r="13289">
      <c r="A13289" s="140" t="str">
        <f>IFERROR(__xludf.DUMMYFUNCTION("""COMPUTED_VALUE"""),"en")</f>
        <v>en</v>
      </c>
      <c r="B13289">
        <f>IFERROR(__xludf.DUMMYFUNCTION("""COMPUTED_VALUE"""),934570.0)</f>
        <v>934570</v>
      </c>
      <c r="C13289" t="str">
        <f>IFERROR(__xludf.DUMMYFUNCTION("""COMPUTED_VALUE"""),"Wordpress Backup &amp; Restore")</f>
        <v>Wordpress Backup &amp; Restore</v>
      </c>
    </row>
    <row r="13290">
      <c r="A13290" s="140" t="str">
        <f>IFERROR(__xludf.DUMMYFUNCTION("""COMPUTED_VALUE"""),"pt")</f>
        <v>pt</v>
      </c>
      <c r="B13290">
        <f>IFERROR(__xludf.DUMMYFUNCTION("""COMPUTED_VALUE"""),3412306.0)</f>
        <v>3412306</v>
      </c>
      <c r="C13290" t="str">
        <f>IFERROR(__xludf.DUMMYFUNCTION("""COMPUTED_VALUE"""),"C++ Essencial: Aprenda a Programar PASSO a PASSO! [2020]")</f>
        <v>C++ Essencial: Aprenda a Programar PASSO a PASSO! [2020]</v>
      </c>
    </row>
    <row r="13291">
      <c r="A13291" s="140" t="str">
        <f>IFERROR(__xludf.DUMMYFUNCTION("""COMPUTED_VALUE"""),"pt")</f>
        <v>pt</v>
      </c>
      <c r="B13291">
        <f>IFERROR(__xludf.DUMMYFUNCTION("""COMPUTED_VALUE"""),1201882.0)</f>
        <v>1201882</v>
      </c>
      <c r="C13291" t="str">
        <f>IFERROR(__xludf.DUMMYFUNCTION("""COMPUTED_VALUE"""),"Construindo Aplicações Web Com o Novo Angular (4, 5 e 6)")</f>
        <v>Construindo Aplicações Web Com o Novo Angular (4, 5 e 6)</v>
      </c>
    </row>
    <row r="13292">
      <c r="A13292" s="140" t="str">
        <f>IFERROR(__xludf.DUMMYFUNCTION("""COMPUTED_VALUE"""),"en")</f>
        <v>en</v>
      </c>
      <c r="B13292">
        <f>IFERROR(__xludf.DUMMYFUNCTION("""COMPUTED_VALUE"""),3053802.0)</f>
        <v>3053802</v>
      </c>
      <c r="C13292" t="str">
        <f>IFERROR(__xludf.DUMMYFUNCTION("""COMPUTED_VALUE"""),"Okta - From Zero to Hero")</f>
        <v>Okta - From Zero to Hero</v>
      </c>
    </row>
    <row r="13293">
      <c r="A13293" s="140" t="str">
        <f>IFERROR(__xludf.DUMMYFUNCTION("""COMPUTED_VALUE"""),"fr")</f>
        <v>fr</v>
      </c>
      <c r="B13293">
        <f>IFERROR(__xludf.DUMMYFUNCTION("""COMPUTED_VALUE"""),3802720.0)</f>
        <v>3802720</v>
      </c>
      <c r="C13293" t="str">
        <f>IFERROR(__xludf.DUMMYFUNCTION("""COMPUTED_VALUE"""),"Maîtriser la grammaire anglaise en 1h30, c'est possible !")</f>
        <v>Maîtriser la grammaire anglaise en 1h30, c'est possible !</v>
      </c>
    </row>
    <row r="13294">
      <c r="A13294" s="140" t="str">
        <f>IFERROR(__xludf.DUMMYFUNCTION("""COMPUTED_VALUE"""),"en")</f>
        <v>en</v>
      </c>
      <c r="B13294">
        <f>IFERROR(__xludf.DUMMYFUNCTION("""COMPUTED_VALUE"""),502138.0)</f>
        <v>502138</v>
      </c>
      <c r="C13294" t="str">
        <f>IFERROR(__xludf.DUMMYFUNCTION("""COMPUTED_VALUE"""),"Adobe Illustrator CC Mastery: Zero to Hero in Illustrator")</f>
        <v>Adobe Illustrator CC Mastery: Zero to Hero in Illustrator</v>
      </c>
    </row>
    <row r="13295">
      <c r="A13295" s="140" t="str">
        <f>IFERROR(__xludf.DUMMYFUNCTION("""COMPUTED_VALUE"""),"en")</f>
        <v>en</v>
      </c>
      <c r="B13295">
        <f>IFERROR(__xludf.DUMMYFUNCTION("""COMPUTED_VALUE"""),3627542.0)</f>
        <v>3627542</v>
      </c>
      <c r="C13295" t="str">
        <f>IFERROR(__xludf.DUMMYFUNCTION("""COMPUTED_VALUE"""),"IT Fundamentals - Everything you need to know about IT")</f>
        <v>IT Fundamentals - Everything you need to know about IT</v>
      </c>
    </row>
    <row r="13296">
      <c r="A13296" s="140" t="str">
        <f>IFERROR(__xludf.DUMMYFUNCTION("""COMPUTED_VALUE"""),"en")</f>
        <v>en</v>
      </c>
      <c r="B13296">
        <f>IFERROR(__xludf.DUMMYFUNCTION("""COMPUTED_VALUE"""),2132994.0)</f>
        <v>2132994</v>
      </c>
      <c r="C13296" t="str">
        <f>IFERROR(__xludf.DUMMYFUNCTION("""COMPUTED_VALUE"""),"Distribution Power Engineering Fundamentals")</f>
        <v>Distribution Power Engineering Fundamentals</v>
      </c>
    </row>
    <row r="13297">
      <c r="A13297" s="140" t="str">
        <f>IFERROR(__xludf.DUMMYFUNCTION("""COMPUTED_VALUE"""),"ja")</f>
        <v>ja</v>
      </c>
      <c r="B13297">
        <f>IFERROR(__xludf.DUMMYFUNCTION("""COMPUTED_VALUE"""),3923326.0)</f>
        <v>3923326</v>
      </c>
      <c r="C13297" t="str">
        <f>IFERROR(__xludf.DUMMYFUNCTION("""COMPUTED_VALUE"""),"はじめての経営戦略論 ～勝てる市場を選び、勝つための強みを作る！4時間半で身に付けるビジネスパーソンとしての戦略眼")</f>
        <v>はじめての経営戦略論 ～勝てる市場を選び、勝つための強みを作る！4時間半で身に付けるビジネスパーソンとしての戦略眼</v>
      </c>
    </row>
    <row r="13298">
      <c r="A13298" s="140" t="str">
        <f>IFERROR(__xludf.DUMMYFUNCTION("""COMPUTED_VALUE"""),"ar")</f>
        <v>ar</v>
      </c>
      <c r="B13298">
        <f>IFERROR(__xludf.DUMMYFUNCTION("""COMPUTED_VALUE"""),3520214.0)</f>
        <v>3520214</v>
      </c>
      <c r="C13298" t="str">
        <f>IFERROR(__xludf.DUMMYFUNCTION("""COMPUTED_VALUE"""),"Financial Accounting")</f>
        <v>Financial Accounting</v>
      </c>
    </row>
    <row r="13299">
      <c r="A13299" s="140" t="str">
        <f>IFERROR(__xludf.DUMMYFUNCTION("""COMPUTED_VALUE"""),"en")</f>
        <v>en</v>
      </c>
      <c r="B13299">
        <f>IFERROR(__xludf.DUMMYFUNCTION("""COMPUTED_VALUE"""),3399936.0)</f>
        <v>3399936</v>
      </c>
      <c r="C13299" t="str">
        <f>IFERROR(__xludf.DUMMYFUNCTION("""COMPUTED_VALUE"""),"The Product Management for AI &amp; Data Science Course 2021")</f>
        <v>The Product Management for AI &amp; Data Science Course 2021</v>
      </c>
    </row>
    <row r="13300">
      <c r="A13300" s="140" t="str">
        <f>IFERROR(__xludf.DUMMYFUNCTION("""COMPUTED_VALUE"""),"es")</f>
        <v>es</v>
      </c>
      <c r="B13300">
        <f>IFERROR(__xludf.DUMMYFUNCTION("""COMPUTED_VALUE"""),3172108.0)</f>
        <v>3172108</v>
      </c>
      <c r="C13300" t="str">
        <f>IFERROR(__xludf.DUMMYFUNCTION("""COMPUTED_VALUE"""),"Implementación de Servidores Web con NGINX (Módulo II-B)")</f>
        <v>Implementación de Servidores Web con NGINX (Módulo II-B)</v>
      </c>
    </row>
    <row r="13301">
      <c r="A13301" s="140" t="str">
        <f>IFERROR(__xludf.DUMMYFUNCTION("""COMPUTED_VALUE"""),"en")</f>
        <v>en</v>
      </c>
      <c r="B13301">
        <f>IFERROR(__xludf.DUMMYFUNCTION("""COMPUTED_VALUE"""),2468530.0)</f>
        <v>2468530</v>
      </c>
      <c r="C13301" t="str">
        <f>IFERROR(__xludf.DUMMYFUNCTION("""COMPUTED_VALUE"""),"Coding for A/B testing: Run more AB tests, find more winners")</f>
        <v>Coding for A/B testing: Run more AB tests, find more winners</v>
      </c>
    </row>
    <row r="13302">
      <c r="A13302" s="140" t="str">
        <f>IFERROR(__xludf.DUMMYFUNCTION("""COMPUTED_VALUE"""),"es")</f>
        <v>es</v>
      </c>
      <c r="B13302">
        <f>IFERROR(__xludf.DUMMYFUNCTION("""COMPUTED_VALUE"""),2646728.0)</f>
        <v>2646728</v>
      </c>
      <c r="C13302" t="str">
        <f>IFERROR(__xludf.DUMMYFUNCTION("""COMPUTED_VALUE"""),"React Native + Expo: Guia Inicial con Native Base y Redux")</f>
        <v>React Native + Expo: Guia Inicial con Native Base y Redux</v>
      </c>
    </row>
    <row r="13303">
      <c r="A13303" s="140" t="str">
        <f>IFERROR(__xludf.DUMMYFUNCTION("""COMPUTED_VALUE"""),"pt")</f>
        <v>pt</v>
      </c>
      <c r="B13303">
        <f>IFERROR(__xludf.DUMMYFUNCTION("""COMPUTED_VALUE"""),2175830.0)</f>
        <v>2175830</v>
      </c>
      <c r="C13303" t="str">
        <f>IFERROR(__xludf.DUMMYFUNCTION("""COMPUTED_VALUE"""),"Narrativas de Viagem em Estilo de Jornalismo LIterário")</f>
        <v>Narrativas de Viagem em Estilo de Jornalismo LIterário</v>
      </c>
    </row>
    <row r="13304">
      <c r="A13304" s="140" t="str">
        <f>IFERROR(__xludf.DUMMYFUNCTION("""COMPUTED_VALUE"""),"en")</f>
        <v>en</v>
      </c>
      <c r="B13304">
        <f>IFERROR(__xludf.DUMMYFUNCTION("""COMPUTED_VALUE"""),2812245.0)</f>
        <v>2812245</v>
      </c>
      <c r="C13304" t="str">
        <f>IFERROR(__xludf.DUMMYFUNCTION("""COMPUTED_VALUE"""),"The Macroeconomics Course 2021")</f>
        <v>The Macroeconomics Course 2021</v>
      </c>
    </row>
    <row r="13305">
      <c r="A13305" s="140" t="str">
        <f>IFERROR(__xludf.DUMMYFUNCTION("""COMPUTED_VALUE"""),"ja")</f>
        <v>ja</v>
      </c>
      <c r="B13305">
        <f>IFERROR(__xludf.DUMMYFUNCTION("""COMPUTED_VALUE"""),2341012.0)</f>
        <v>2341012</v>
      </c>
      <c r="C13305" t="str">
        <f>IFERROR(__xludf.DUMMYFUNCTION("""COMPUTED_VALUE"""),"Google ドキュメントの使い方入門～文書作成ソフトの基本機能を学ぶ～")</f>
        <v>Google ドキュメントの使い方入門～文書作成ソフトの基本機能を学ぶ～</v>
      </c>
    </row>
    <row r="13306">
      <c r="A13306" s="140" t="str">
        <f>IFERROR(__xludf.DUMMYFUNCTION("""COMPUTED_VALUE"""),"en")</f>
        <v>en</v>
      </c>
      <c r="B13306">
        <f>IFERROR(__xludf.DUMMYFUNCTION("""COMPUTED_VALUE"""),774404.0)</f>
        <v>774404</v>
      </c>
      <c r="C13306" t="str">
        <f>IFERROR(__xludf.DUMMYFUNCTION("""COMPUTED_VALUE"""),"PMP® Certification 2021: 2 PMP Exams &amp; PMP Math Prep_14 PDUs")</f>
        <v>PMP® Certification 2021: 2 PMP Exams &amp; PMP Math Prep_14 PDUs</v>
      </c>
    </row>
    <row r="13307">
      <c r="A13307" s="140" t="str">
        <f>IFERROR(__xludf.DUMMYFUNCTION("""COMPUTED_VALUE"""),"de")</f>
        <v>de</v>
      </c>
      <c r="B13307">
        <f>IFERROR(__xludf.DUMMYFUNCTION("""COMPUTED_VALUE"""),1839672.0)</f>
        <v>1839672</v>
      </c>
      <c r="C13307" t="str">
        <f>IFERROR(__xludf.DUMMYFUNCTION("""COMPUTED_VALUE"""),"Der Komplette Excel Kurs - Vom Anfänger zum Profi in 40h !")</f>
        <v>Der Komplette Excel Kurs - Vom Anfänger zum Profi in 40h !</v>
      </c>
    </row>
    <row r="13308">
      <c r="A13308" s="140" t="str">
        <f>IFERROR(__xludf.DUMMYFUNCTION("""COMPUTED_VALUE"""),"de")</f>
        <v>de</v>
      </c>
      <c r="B13308">
        <f>IFERROR(__xludf.DUMMYFUNCTION("""COMPUTED_VALUE"""),2009260.0)</f>
        <v>2009260</v>
      </c>
      <c r="C13308" t="str">
        <f>IFERROR(__xludf.DUMMYFUNCTION("""COMPUTED_VALUE"""),"Business Analyst - agil und klassisch")</f>
        <v>Business Analyst - agil und klassisch</v>
      </c>
    </row>
    <row r="13309">
      <c r="A13309" s="140" t="str">
        <f>IFERROR(__xludf.DUMMYFUNCTION("""COMPUTED_VALUE"""),"pt")</f>
        <v>pt</v>
      </c>
      <c r="B13309">
        <f>IFERROR(__xludf.DUMMYFUNCTION("""COMPUTED_VALUE"""),3564965.0)</f>
        <v>3564965</v>
      </c>
      <c r="C13309" t="str">
        <f>IFERROR(__xludf.DUMMYFUNCTION("""COMPUTED_VALUE"""),"Bootcamp de Data Science com Python [+250 Exercícios][A-Z]")</f>
        <v>Bootcamp de Data Science com Python [+250 Exercícios][A-Z]</v>
      </c>
    </row>
    <row r="13310">
      <c r="A13310" s="140" t="str">
        <f>IFERROR(__xludf.DUMMYFUNCTION("""COMPUTED_VALUE"""),"pt")</f>
        <v>pt</v>
      </c>
      <c r="B13310">
        <f>IFERROR(__xludf.DUMMYFUNCTION("""COMPUTED_VALUE"""),2248386.0)</f>
        <v>2248386</v>
      </c>
      <c r="C13310" t="str">
        <f>IFERROR(__xludf.DUMMYFUNCTION("""COMPUTED_VALUE"""),"ADMINISTRAÇÃO FINANCEIRA com HP12C [*TOP*]")</f>
        <v>ADMINISTRAÇÃO FINANCEIRA com HP12C [*TOP*]</v>
      </c>
    </row>
    <row r="13311">
      <c r="A13311" s="140" t="str">
        <f>IFERROR(__xludf.DUMMYFUNCTION("""COMPUTED_VALUE"""),"en")</f>
        <v>en</v>
      </c>
      <c r="B13311">
        <f>IFERROR(__xludf.DUMMYFUNCTION("""COMPUTED_VALUE"""),1789170.0)</f>
        <v>1789170</v>
      </c>
      <c r="C13311" t="str">
        <f>IFERROR(__xludf.DUMMYFUNCTION("""COMPUTED_VALUE"""),"TABLEAU 2018 ADVANCED: Master Tableau in Data Science")</f>
        <v>TABLEAU 2018 ADVANCED: Master Tableau in Data Science</v>
      </c>
    </row>
    <row r="13312">
      <c r="A13312" s="140" t="str">
        <f>IFERROR(__xludf.DUMMYFUNCTION("""COMPUTED_VALUE"""),"en")</f>
        <v>en</v>
      </c>
      <c r="B13312">
        <f>IFERROR(__xludf.DUMMYFUNCTION("""COMPUTED_VALUE"""),737242.0)</f>
        <v>737242</v>
      </c>
      <c r="C13312" t="str">
        <f>IFERROR(__xludf.DUMMYFUNCTION("""COMPUTED_VALUE"""),"Learn Maya - Intro to 3D Box Modeling Techniques with Maya")</f>
        <v>Learn Maya - Intro to 3D Box Modeling Techniques with Maya</v>
      </c>
    </row>
    <row r="13313">
      <c r="A13313" s="140" t="str">
        <f>IFERROR(__xludf.DUMMYFUNCTION("""COMPUTED_VALUE"""),"tr")</f>
        <v>tr</v>
      </c>
      <c r="B13313">
        <f>IFERROR(__xludf.DUMMYFUNCTION("""COMPUTED_VALUE"""),1551822.0)</f>
        <v>1551822</v>
      </c>
      <c r="C13313" t="str">
        <f>IFERROR(__xludf.DUMMYFUNCTION("""COMPUTED_VALUE"""),"Sıfırdan Web Tasarım:HTML5, CSS3 ve Bootstrap 4 Eğitim Seti")</f>
        <v>Sıfırdan Web Tasarım:HTML5, CSS3 ve Bootstrap 4 Eğitim Seti</v>
      </c>
    </row>
    <row r="13314">
      <c r="A13314" s="140" t="str">
        <f>IFERROR(__xludf.DUMMYFUNCTION("""COMPUTED_VALUE"""),"en")</f>
        <v>en</v>
      </c>
      <c r="B13314">
        <f>IFERROR(__xludf.DUMMYFUNCTION("""COMPUTED_VALUE"""),2365836.0)</f>
        <v>2365836</v>
      </c>
      <c r="C13314" t="str">
        <f>IFERROR(__xludf.DUMMYFUNCTION("""COMPUTED_VALUE"""),"Elasticsearch 7 and the Elastic Stack: In Depth and Hands On")</f>
        <v>Elasticsearch 7 and the Elastic Stack: In Depth and Hands On</v>
      </c>
    </row>
    <row r="13315">
      <c r="A13315" s="140" t="str">
        <f>IFERROR(__xludf.DUMMYFUNCTION("""COMPUTED_VALUE"""),"en")</f>
        <v>en</v>
      </c>
      <c r="B13315">
        <f>IFERROR(__xludf.DUMMYFUNCTION("""COMPUTED_VALUE"""),3001538.0)</f>
        <v>3001538</v>
      </c>
      <c r="C13315" t="str">
        <f>IFERROR(__xludf.DUMMYFUNCTION("""COMPUTED_VALUE"""),"Fundamentals of Insurance - 1")</f>
        <v>Fundamentals of Insurance - 1</v>
      </c>
    </row>
    <row r="13316">
      <c r="A13316" s="140" t="str">
        <f>IFERROR(__xludf.DUMMYFUNCTION("""COMPUTED_VALUE"""),"en")</f>
        <v>en</v>
      </c>
      <c r="B13316">
        <f>IFERROR(__xludf.DUMMYFUNCTION("""COMPUTED_VALUE"""),453010.0)</f>
        <v>453010</v>
      </c>
      <c r="C13316" t="str">
        <f>IFERROR(__xludf.DUMMYFUNCTION("""COMPUTED_VALUE"""),"Project Management for Beginners: Fundamentals Crash Course")</f>
        <v>Project Management for Beginners: Fundamentals Crash Course</v>
      </c>
    </row>
    <row r="13317">
      <c r="A13317" s="140" t="str">
        <f>IFERROR(__xludf.DUMMYFUNCTION("""COMPUTED_VALUE"""),"ru")</f>
        <v>ru</v>
      </c>
      <c r="B13317">
        <f>IFERROR(__xludf.DUMMYFUNCTION("""COMPUTED_VALUE"""),2650970.0)</f>
        <v>2650970</v>
      </c>
      <c r="C13317" t="str">
        <f>IFERROR(__xludf.DUMMYFUNCTION("""COMPUTED_VALUE"""),"React Native 2020. Мобильные приложения на JavaScript")</f>
        <v>React Native 2020. Мобильные приложения на JavaScript</v>
      </c>
    </row>
    <row r="13318">
      <c r="A13318" s="140" t="str">
        <f>IFERROR(__xludf.DUMMYFUNCTION("""COMPUTED_VALUE"""),"ru")</f>
        <v>ru</v>
      </c>
      <c r="B13318">
        <f>IFERROR(__xludf.DUMMYFUNCTION("""COMPUTED_VALUE"""),3156084.0)</f>
        <v>3156084</v>
      </c>
      <c r="C13318" t="str">
        <f>IFERROR(__xludf.DUMMYFUNCTION("""COMPUTED_VALUE"""),"Пробные тесты к экзамену PMP")</f>
        <v>Пробные тесты к экзамену PMP</v>
      </c>
    </row>
    <row r="13319">
      <c r="A13319" s="140" t="str">
        <f>IFERROR(__xludf.DUMMYFUNCTION("""COMPUTED_VALUE"""),"ru")</f>
        <v>ru</v>
      </c>
      <c r="B13319">
        <f>IFERROR(__xludf.DUMMYFUNCTION("""COMPUTED_VALUE"""),2864648.0)</f>
        <v>2864648</v>
      </c>
      <c r="C13319" t="str">
        <f>IFERROR(__xludf.DUMMYFUNCTION("""COMPUTED_VALUE"""),"Node JS. Практический курс. (Mongo, GraphQL, MySQL, Express)")</f>
        <v>Node JS. Практический курс. (Mongo, GraphQL, MySQL, Express)</v>
      </c>
    </row>
    <row r="13320">
      <c r="A13320" s="140" t="str">
        <f>IFERROR(__xludf.DUMMYFUNCTION("""COMPUTED_VALUE"""),"ru")</f>
        <v>ru</v>
      </c>
      <c r="B13320">
        <f>IFERROR(__xludf.DUMMYFUNCTION("""COMPUTED_VALUE"""),2486704.0)</f>
        <v>2486704</v>
      </c>
      <c r="C13320" t="str">
        <f>IFERROR(__xludf.DUMMYFUNCTION("""COMPUTED_VALUE"""),"Angular 9. Теория и Практика 2020. Все включено + Бонусы")</f>
        <v>Angular 9. Теория и Практика 2020. Все включено + Бонусы</v>
      </c>
    </row>
    <row r="13321">
      <c r="A13321" s="140" t="str">
        <f>IFERROR(__xludf.DUMMYFUNCTION("""COMPUTED_VALUE"""),"ru")</f>
        <v>ru</v>
      </c>
      <c r="B13321">
        <f>IFERROR(__xludf.DUMMYFUNCTION("""COMPUTED_VALUE"""),3699478.0)</f>
        <v>3699478</v>
      </c>
      <c r="C13321" t="str">
        <f>IFERROR(__xludf.DUMMYFUNCTION("""COMPUTED_VALUE"""),"JavaScript 2021 - Полное Руководство с Нуля до Профи")</f>
        <v>JavaScript 2021 - Полное Руководство с Нуля до Профи</v>
      </c>
    </row>
    <row r="13322">
      <c r="A13322" s="140" t="str">
        <f>IFERROR(__xludf.DUMMYFUNCTION("""COMPUTED_VALUE"""),"pl")</f>
        <v>pl</v>
      </c>
      <c r="B13322">
        <f>IFERROR(__xludf.DUMMYFUNCTION("""COMPUTED_VALUE"""),1588828.0)</f>
        <v>1588828</v>
      </c>
      <c r="C13322" t="str">
        <f>IFERROR(__xludf.DUMMYFUNCTION("""COMPUTED_VALUE"""),"Uczenie maszynowe od podstaw z Azure ML Studio (classic)")</f>
        <v>Uczenie maszynowe od podstaw z Azure ML Studio (classic)</v>
      </c>
    </row>
    <row r="13323">
      <c r="A13323" s="140" t="str">
        <f>IFERROR(__xludf.DUMMYFUNCTION("""COMPUTED_VALUE"""),"ru")</f>
        <v>ru</v>
      </c>
      <c r="B13323">
        <f>IFERROR(__xludf.DUMMYFUNCTION("""COMPUTED_VALUE"""),2708348.0)</f>
        <v>2708348</v>
      </c>
      <c r="C13323" t="str">
        <f>IFERROR(__xludf.DUMMYFUNCTION("""COMPUTED_VALUE"""),"React JS. Практический Курс 2020 (вкл. Хуки, Классы, Redux)")</f>
        <v>React JS. Практический Курс 2020 (вкл. Хуки, Классы, Redux)</v>
      </c>
    </row>
    <row r="13324">
      <c r="A13324" s="140" t="str">
        <f>IFERROR(__xludf.DUMMYFUNCTION("""COMPUTED_VALUE"""),"ru")</f>
        <v>ru</v>
      </c>
      <c r="B13324">
        <f>IFERROR(__xludf.DUMMYFUNCTION("""COMPUTED_VALUE"""),2940352.0)</f>
        <v>2940352</v>
      </c>
      <c r="C13324" t="str">
        <f>IFERROR(__xludf.DUMMYFUNCTION("""COMPUTED_VALUE"""),"MEAN. Angular, Node, Express, Mongo. Создание Сервиса с Нуля")</f>
        <v>MEAN. Angular, Node, Express, Mongo. Создание Сервиса с Нуля</v>
      </c>
    </row>
    <row r="13325">
      <c r="A13325" s="140" t="str">
        <f>IFERROR(__xludf.DUMMYFUNCTION("""COMPUTED_VALUE"""),"ar")</f>
        <v>ar</v>
      </c>
      <c r="B13325">
        <f>IFERROR(__xludf.DUMMYFUNCTION("""COMPUTED_VALUE"""),3118344.0)</f>
        <v>3118344</v>
      </c>
      <c r="C13325" t="str">
        <f>IFERROR(__xludf.DUMMYFUNCTION("""COMPUTED_VALUE"""),"Learn Node.JS from Beginning to Mastery 2020 [بالعربية]")</f>
        <v>Learn Node.JS from Beginning to Mastery 2020 [بالعربية]</v>
      </c>
    </row>
    <row r="13326">
      <c r="A13326" s="140" t="str">
        <f>IFERROR(__xludf.DUMMYFUNCTION("""COMPUTED_VALUE"""),"ru")</f>
        <v>ru</v>
      </c>
      <c r="B13326">
        <f>IFERROR(__xludf.DUMMYFUNCTION("""COMPUTED_VALUE"""),2646020.0)</f>
        <v>2646020</v>
      </c>
      <c r="C13326" t="str">
        <f>IFERROR(__xludf.DUMMYFUNCTION("""COMPUTED_VALUE"""),"Android Architecture Components - основа надёжных приложений")</f>
        <v>Android Architecture Components - основа надёжных приложений</v>
      </c>
    </row>
    <row r="13327">
      <c r="A13327" s="140" t="str">
        <f>IFERROR(__xludf.DUMMYFUNCTION("""COMPUTED_VALUE"""),"fr")</f>
        <v>fr</v>
      </c>
      <c r="B13327">
        <f>IFERROR(__xludf.DUMMYFUNCTION("""COMPUTED_VALUE"""),2515932.0)</f>
        <v>2515932</v>
      </c>
      <c r="C13327" t="str">
        <f>IFERROR(__xludf.DUMMYFUNCTION("""COMPUTED_VALUE"""),"Excel et VBA pour gérer efficacement vos données")</f>
        <v>Excel et VBA pour gérer efficacement vos données</v>
      </c>
    </row>
    <row r="13328">
      <c r="A13328" s="140" t="str">
        <f>IFERROR(__xludf.DUMMYFUNCTION("""COMPUTED_VALUE"""),"fr")</f>
        <v>fr</v>
      </c>
      <c r="B13328">
        <f>IFERROR(__xludf.DUMMYFUNCTION("""COMPUTED_VALUE"""),1018620.0)</f>
        <v>1018620</v>
      </c>
      <c r="C13328" t="str">
        <f>IFERROR(__xludf.DUMMYFUNCTION("""COMPUTED_VALUE"""),"Le Front-End: Formation Complète")</f>
        <v>Le Front-End: Formation Complète</v>
      </c>
    </row>
    <row r="13329">
      <c r="A13329" s="140" t="str">
        <f>IFERROR(__xludf.DUMMYFUNCTION("""COMPUTED_VALUE"""),"en")</f>
        <v>en</v>
      </c>
      <c r="B13329">
        <f>IFERROR(__xludf.DUMMYFUNCTION("""COMPUTED_VALUE"""),3765070.0)</f>
        <v>3765070</v>
      </c>
      <c r="C13329" t="str">
        <f>IFERROR(__xludf.DUMMYFUNCTION("""COMPUTED_VALUE"""),"Mastering Bitbucket Pipelines for CI and CD")</f>
        <v>Mastering Bitbucket Pipelines for CI and CD</v>
      </c>
    </row>
    <row r="13330">
      <c r="A13330" s="140" t="str">
        <f>IFERROR(__xludf.DUMMYFUNCTION("""COMPUTED_VALUE"""),"en")</f>
        <v>en</v>
      </c>
      <c r="B13330">
        <f>IFERROR(__xludf.DUMMYFUNCTION("""COMPUTED_VALUE"""),4239746.0)</f>
        <v>4239746</v>
      </c>
      <c r="C13330" t="str">
        <f>IFERROR(__xludf.DUMMYFUNCTION("""COMPUTED_VALUE"""),"DoubleClick Campaign Manager (CM360) - Step by Step Tutorial")</f>
        <v>DoubleClick Campaign Manager (CM360) - Step by Step Tutorial</v>
      </c>
    </row>
    <row r="13331">
      <c r="A13331" s="140" t="str">
        <f>IFERROR(__xludf.DUMMYFUNCTION("""COMPUTED_VALUE"""),"ja")</f>
        <v>ja</v>
      </c>
      <c r="B13331">
        <f>IFERROR(__xludf.DUMMYFUNCTION("""COMPUTED_VALUE"""),4001826.0)</f>
        <v>4001826</v>
      </c>
      <c r="C13331" t="str">
        <f>IFERROR(__xludf.DUMMYFUNCTION("""COMPUTED_VALUE"""),"7ステップで作るPython x Flask x Pytorch  人工知能Webアプリ開発入門")</f>
        <v>7ステップで作るPython x Flask x Pytorch  人工知能Webアプリ開発入門</v>
      </c>
    </row>
    <row r="13332">
      <c r="A13332" s="140" t="str">
        <f>IFERROR(__xludf.DUMMYFUNCTION("""COMPUTED_VALUE"""),"en")</f>
        <v>en</v>
      </c>
      <c r="B13332">
        <f>IFERROR(__xludf.DUMMYFUNCTION("""COMPUTED_VALUE"""),3008812.0)</f>
        <v>3008812</v>
      </c>
      <c r="C13332" t="str">
        <f>IFERROR(__xludf.DUMMYFUNCTION("""COMPUTED_VALUE"""),"PMI-ACP Certification Exam Prep 21 PDU Course. FULL TRAINING")</f>
        <v>PMI-ACP Certification Exam Prep 21 PDU Course. FULL TRAINING</v>
      </c>
    </row>
    <row r="13333">
      <c r="A13333" s="140" t="str">
        <f>IFERROR(__xludf.DUMMYFUNCTION("""COMPUTED_VALUE"""),"de")</f>
        <v>de</v>
      </c>
      <c r="B13333">
        <f>IFERROR(__xludf.DUMMYFUNCTION("""COMPUTED_VALUE"""),2003566.0)</f>
        <v>2003566</v>
      </c>
      <c r="C13333" t="str">
        <f>IFERROR(__xludf.DUMMYFUNCTION("""COMPUTED_VALUE"""),"QGIS-Analyst")</f>
        <v>QGIS-Analyst</v>
      </c>
    </row>
    <row r="13334">
      <c r="A13334" s="140" t="str">
        <f>IFERROR(__xludf.DUMMYFUNCTION("""COMPUTED_VALUE"""),"de")</f>
        <v>de</v>
      </c>
      <c r="B13334">
        <f>IFERROR(__xludf.DUMMYFUNCTION("""COMPUTED_VALUE"""),1187874.0)</f>
        <v>1187874</v>
      </c>
      <c r="C13334" t="str">
        <f>IFERROR(__xludf.DUMMYFUNCTION("""COMPUTED_VALUE"""),"Python - Das Python Grundlagen Bootcamp - Von 0 auf 100!")</f>
        <v>Python - Das Python Grundlagen Bootcamp - Von 0 auf 100!</v>
      </c>
    </row>
    <row r="13335">
      <c r="A13335" s="140" t="str">
        <f>IFERROR(__xludf.DUMMYFUNCTION("""COMPUTED_VALUE"""),"ko")</f>
        <v>ko</v>
      </c>
      <c r="B13335">
        <f>IFERROR(__xludf.DUMMYFUNCTION("""COMPUTED_VALUE"""),4362708.0)</f>
        <v>4362708</v>
      </c>
      <c r="C13335" t="str">
        <f>IFERROR(__xludf.DUMMYFUNCTION("""COMPUTED_VALUE"""),"【글로벌 Best】 데이터 역량 강화를 위한 SQL 부트캠프 2022(한글자막)")</f>
        <v>【글로벌 Best】 데이터 역량 강화를 위한 SQL 부트캠프 2022(한글자막)</v>
      </c>
    </row>
    <row r="13336">
      <c r="A13336" s="140" t="str">
        <f>IFERROR(__xludf.DUMMYFUNCTION("""COMPUTED_VALUE"""),"ja")</f>
        <v>ja</v>
      </c>
      <c r="B13336">
        <f>IFERROR(__xludf.DUMMYFUNCTION("""COMPUTED_VALUE"""),4258024.0)</f>
        <v>4258024</v>
      </c>
      <c r="C13336" t="str">
        <f>IFERROR(__xludf.DUMMYFUNCTION("""COMPUTED_VALUE"""),"【続】Microsoft Power Automate Desktop 入門講座 ～ PDF アクション 特訓編 ～")</f>
        <v>【続】Microsoft Power Automate Desktop 入門講座 ～ PDF アクション 特訓編 ～</v>
      </c>
    </row>
    <row r="13337">
      <c r="A13337" s="140" t="str">
        <f>IFERROR(__xludf.DUMMYFUNCTION("""COMPUTED_VALUE"""),"en")</f>
        <v>en</v>
      </c>
      <c r="B13337">
        <f>IFERROR(__xludf.DUMMYFUNCTION("""COMPUTED_VALUE"""),4408262.0)</f>
        <v>4408262</v>
      </c>
      <c r="C13337" t="str">
        <f>IFERROR(__xludf.DUMMYFUNCTION("""COMPUTED_VALUE"""),"Build A Strong Relationship With Your Manager")</f>
        <v>Build A Strong Relationship With Your Manager</v>
      </c>
    </row>
    <row r="13338">
      <c r="A13338" s="140" t="str">
        <f>IFERROR(__xludf.DUMMYFUNCTION("""COMPUTED_VALUE"""),"de")</f>
        <v>de</v>
      </c>
      <c r="B13338">
        <f>IFERROR(__xludf.DUMMYFUNCTION("""COMPUTED_VALUE"""),4170016.0)</f>
        <v>4170016</v>
      </c>
      <c r="C13338" t="str">
        <f>IFERROR(__xludf.DUMMYFUNCTION("""COMPUTED_VALUE"""),"ASP.NET Core Intensivkurs - C# Anwendungen und WebAPIs")</f>
        <v>ASP.NET Core Intensivkurs - C# Anwendungen und WebAPIs</v>
      </c>
    </row>
    <row r="13339">
      <c r="A13339" s="140" t="str">
        <f>IFERROR(__xludf.DUMMYFUNCTION("""COMPUTED_VALUE"""),"en")</f>
        <v>en</v>
      </c>
      <c r="B13339">
        <f>IFERROR(__xludf.DUMMYFUNCTION("""COMPUTED_VALUE"""),4406786.0)</f>
        <v>4406786</v>
      </c>
      <c r="C13339" t="str">
        <f>IFERROR(__xludf.DUMMYFUNCTION("""COMPUTED_VALUE"""),"MERN Stack Course 2022 -  MongoDB, Express, React and NodeJS")</f>
        <v>MERN Stack Course 2022 -  MongoDB, Express, React and NodeJS</v>
      </c>
    </row>
    <row r="13340">
      <c r="A13340" s="140" t="str">
        <f>IFERROR(__xludf.DUMMYFUNCTION("""COMPUTED_VALUE"""),"en")</f>
        <v>en</v>
      </c>
      <c r="B13340">
        <f>IFERROR(__xludf.DUMMYFUNCTION("""COMPUTED_VALUE"""),3776662.0)</f>
        <v>3776662</v>
      </c>
      <c r="C13340" t="str">
        <f>IFERROR(__xludf.DUMMYFUNCTION("""COMPUTED_VALUE"""),"Python engineering animations: Bring math &amp; data to life")</f>
        <v>Python engineering animations: Bring math &amp; data to life</v>
      </c>
    </row>
    <row r="13341">
      <c r="A13341" s="140" t="str">
        <f>IFERROR(__xludf.DUMMYFUNCTION("""COMPUTED_VALUE"""),"en")</f>
        <v>en</v>
      </c>
      <c r="B13341">
        <f>IFERROR(__xludf.DUMMYFUNCTION("""COMPUTED_VALUE"""),4461560.0)</f>
        <v>4461560</v>
      </c>
      <c r="C13341" t="str">
        <f>IFERROR(__xludf.DUMMYFUNCTION("""COMPUTED_VALUE"""),"Keep Moving Forward Seminar")</f>
        <v>Keep Moving Forward Seminar</v>
      </c>
    </row>
    <row r="13342">
      <c r="A13342" s="140" t="str">
        <f>IFERROR(__xludf.DUMMYFUNCTION("""COMPUTED_VALUE"""),"ja")</f>
        <v>ja</v>
      </c>
      <c r="B13342">
        <f>IFERROR(__xludf.DUMMYFUNCTION("""COMPUTED_VALUE"""),3641338.0)</f>
        <v>3641338</v>
      </c>
      <c r="C13342" t="str">
        <f>IFERROR(__xludf.DUMMYFUNCTION("""COMPUTED_VALUE"""),"Web開発ソフトウェアテスト徹底攻略 (React Hooks/Redux + Django REST API)")</f>
        <v>Web開発ソフトウェアテスト徹底攻略 (React Hooks/Redux + Django REST API)</v>
      </c>
    </row>
    <row r="13343">
      <c r="A13343" s="140" t="str">
        <f>IFERROR(__xludf.DUMMYFUNCTION("""COMPUTED_VALUE"""),"it")</f>
        <v>it</v>
      </c>
      <c r="B13343">
        <f>IFERROR(__xludf.DUMMYFUNCTION("""COMPUTED_VALUE"""),3925694.0)</f>
        <v>3925694</v>
      </c>
      <c r="C13343" t="str">
        <f>IFERROR(__xludf.DUMMYFUNCTION("""COMPUTED_VALUE"""),"Comunicazione Efficace Masterclass : Psicologia e Segreti")</f>
        <v>Comunicazione Efficace Masterclass : Psicologia e Segreti</v>
      </c>
    </row>
    <row r="13344">
      <c r="A13344" s="140" t="str">
        <f>IFERROR(__xludf.DUMMYFUNCTION("""COMPUTED_VALUE"""),"pt")</f>
        <v>pt</v>
      </c>
      <c r="B13344">
        <f>IFERROR(__xludf.DUMMYFUNCTION("""COMPUTED_VALUE"""),2800672.0)</f>
        <v>2800672</v>
      </c>
      <c r="C13344" t="str">
        <f>IFERROR(__xludf.DUMMYFUNCTION("""COMPUTED_VALUE"""),"Inteligência de Mercado e KPIs na Tomada de Decisão")</f>
        <v>Inteligência de Mercado e KPIs na Tomada de Decisão</v>
      </c>
    </row>
    <row r="13345">
      <c r="A13345" s="140" t="str">
        <f>IFERROR(__xludf.DUMMYFUNCTION("""COMPUTED_VALUE"""),"it")</f>
        <v>it</v>
      </c>
      <c r="B13345">
        <f>IFERROR(__xludf.DUMMYFUNCTION("""COMPUTED_VALUE"""),3903878.0)</f>
        <v>3903878</v>
      </c>
      <c r="C13345" t="str">
        <f>IFERROR(__xludf.DUMMYFUNCTION("""COMPUTED_VALUE"""),"VB.NET da zero ai database")</f>
        <v>VB.NET da zero ai database</v>
      </c>
    </row>
    <row r="13346">
      <c r="A13346" s="140" t="str">
        <f>IFERROR(__xludf.DUMMYFUNCTION("""COMPUTED_VALUE"""),"es")</f>
        <v>es</v>
      </c>
      <c r="B13346">
        <f>IFERROR(__xludf.DUMMYFUNCTION("""COMPUTED_VALUE"""),4263496.0)</f>
        <v>4263496</v>
      </c>
      <c r="C13346" t="str">
        <f>IFERROR(__xludf.DUMMYFUNCTION("""COMPUTED_VALUE"""),"ASP NET Core Unit Test | NUnit y XUnit | Visual Studio 2022")</f>
        <v>ASP NET Core Unit Test | NUnit y XUnit | Visual Studio 2022</v>
      </c>
    </row>
    <row r="13347">
      <c r="A13347" s="140" t="str">
        <f>IFERROR(__xludf.DUMMYFUNCTION("""COMPUTED_VALUE"""),"ko")</f>
        <v>ko</v>
      </c>
      <c r="B13347">
        <f>IFERROR(__xludf.DUMMYFUNCTION("""COMPUTED_VALUE"""),4413166.0)</f>
        <v>4413166</v>
      </c>
      <c r="C13347" t="str">
        <f>IFERROR(__xludf.DUMMYFUNCTION("""COMPUTED_VALUE"""),"【글로벌 Best】 Machine Learning 라이브러리 수학적 기초 (한글자막)")</f>
        <v>【글로벌 Best】 Machine Learning 라이브러리 수학적 기초 (한글자막)</v>
      </c>
    </row>
    <row r="13348">
      <c r="A13348" s="140" t="str">
        <f>IFERROR(__xludf.DUMMYFUNCTION("""COMPUTED_VALUE"""),"en")</f>
        <v>en</v>
      </c>
      <c r="B13348">
        <f>IFERROR(__xludf.DUMMYFUNCTION("""COMPUTED_VALUE"""),4339568.0)</f>
        <v>4339568</v>
      </c>
      <c r="C13348" t="str">
        <f>IFERROR(__xludf.DUMMYFUNCTION("""COMPUTED_VALUE"""),"Configuring and Operating MS Azure Virtual Desktop (AZ-140)")</f>
        <v>Configuring and Operating MS Azure Virtual Desktop (AZ-140)</v>
      </c>
    </row>
    <row r="13349">
      <c r="A13349" s="140" t="str">
        <f>IFERROR(__xludf.DUMMYFUNCTION("""COMPUTED_VALUE"""),"en")</f>
        <v>en</v>
      </c>
      <c r="B13349">
        <f>IFERROR(__xludf.DUMMYFUNCTION("""COMPUTED_VALUE"""),3901012.0)</f>
        <v>3901012</v>
      </c>
      <c r="C13349" t="str">
        <f>IFERROR(__xludf.DUMMYFUNCTION("""COMPUTED_VALUE"""),"Business Intelligence with Power BI Desktop")</f>
        <v>Business Intelligence with Power BI Desktop</v>
      </c>
    </row>
    <row r="13350">
      <c r="A13350" s="140" t="str">
        <f>IFERROR(__xludf.DUMMYFUNCTION("""COMPUTED_VALUE"""),"ja")</f>
        <v>ja</v>
      </c>
      <c r="B13350">
        <f>IFERROR(__xludf.DUMMYFUNCTION("""COMPUTED_VALUE"""),2504724.0)</f>
        <v>2504724</v>
      </c>
      <c r="C13350" t="str">
        <f>IFERROR(__xludf.DUMMYFUNCTION("""COMPUTED_VALUE"""),"『Djangoパーフェクトマスター』〜インスタ映えを支えるPython超高速開発Webフレームワークを徹底解説！〜")</f>
        <v>『Djangoパーフェクトマスター』〜インスタ映えを支えるPython超高速開発Webフレームワークを徹底解説！〜</v>
      </c>
    </row>
    <row r="13351">
      <c r="A13351" s="140" t="str">
        <f>IFERROR(__xludf.DUMMYFUNCTION("""COMPUTED_VALUE"""),"en")</f>
        <v>en</v>
      </c>
      <c r="B13351">
        <f>IFERROR(__xludf.DUMMYFUNCTION("""COMPUTED_VALUE"""),2462318.0)</f>
        <v>2462318</v>
      </c>
      <c r="C13351" t="str">
        <f>IFERROR(__xludf.DUMMYFUNCTION("""COMPUTED_VALUE"""),"Enterprise Blockchain Architect Course")</f>
        <v>Enterprise Blockchain Architect Course</v>
      </c>
    </row>
    <row r="13352">
      <c r="A13352" s="140" t="str">
        <f>IFERROR(__xludf.DUMMYFUNCTION("""COMPUTED_VALUE"""),"de")</f>
        <v>de</v>
      </c>
      <c r="B13352">
        <f>IFERROR(__xludf.DUMMYFUNCTION("""COMPUTED_VALUE"""),4021078.0)</f>
        <v>4021078</v>
      </c>
      <c r="C13352" t="str">
        <f>IFERROR(__xludf.DUMMYFUNCTION("""COMPUTED_VALUE"""),"Microsoft Windows Server für Einsteiger")</f>
        <v>Microsoft Windows Server für Einsteiger</v>
      </c>
    </row>
    <row r="13353">
      <c r="A13353" s="140" t="str">
        <f>IFERROR(__xludf.DUMMYFUNCTION("""COMPUTED_VALUE"""),"es")</f>
        <v>es</v>
      </c>
      <c r="B13353">
        <f>IFERROR(__xludf.DUMMYFUNCTION("""COMPUTED_VALUE"""),4273872.0)</f>
        <v>4273872</v>
      </c>
      <c r="C13353" t="str">
        <f>IFERROR(__xludf.DUMMYFUNCTION("""COMPUTED_VALUE"""),"Seguridad Informática en Servidores Linux: Hardening")</f>
        <v>Seguridad Informática en Servidores Linux: Hardening</v>
      </c>
    </row>
    <row r="13354">
      <c r="A13354" s="140" t="str">
        <f>IFERROR(__xludf.DUMMYFUNCTION("""COMPUTED_VALUE"""),"it")</f>
        <v>it</v>
      </c>
      <c r="B13354">
        <f>IFERROR(__xludf.DUMMYFUNCTION("""COMPUTED_VALUE"""),2997718.0)</f>
        <v>2997718</v>
      </c>
      <c r="C13354" t="str">
        <f>IFERROR(__xludf.DUMMYFUNCTION("""COMPUTED_VALUE"""),"Microsoft Excel: da livello Base a Esperto - Guida Completa")</f>
        <v>Microsoft Excel: da livello Base a Esperto - Guida Completa</v>
      </c>
    </row>
    <row r="13355">
      <c r="A13355" s="140" t="str">
        <f>IFERROR(__xludf.DUMMYFUNCTION("""COMPUTED_VALUE"""),"it")</f>
        <v>it</v>
      </c>
      <c r="B13355">
        <f>IFERROR(__xludf.DUMMYFUNCTION("""COMPUTED_VALUE"""),1394850.0)</f>
        <v>1394850</v>
      </c>
      <c r="C13355" t="str">
        <f>IFERROR(__xludf.DUMMYFUNCTION("""COMPUTED_VALUE"""),"Impariamo da zero SQL con Oracle, SQL Server e MySQL")</f>
        <v>Impariamo da zero SQL con Oracle, SQL Server e MySQL</v>
      </c>
    </row>
    <row r="13356">
      <c r="A13356" s="140" t="str">
        <f>IFERROR(__xludf.DUMMYFUNCTION("""COMPUTED_VALUE"""),"it")</f>
        <v>it</v>
      </c>
      <c r="B13356">
        <f>IFERROR(__xludf.DUMMYFUNCTION("""COMPUTED_VALUE"""),2956974.0)</f>
        <v>2956974</v>
      </c>
      <c r="C13356" t="str">
        <f>IFERROR(__xludf.DUMMYFUNCTION("""COMPUTED_VALUE"""),"Kotlin Programming Masterclass 2021")</f>
        <v>Kotlin Programming Masterclass 2021</v>
      </c>
    </row>
    <row r="13357">
      <c r="A13357" s="140" t="str">
        <f>IFERROR(__xludf.DUMMYFUNCTION("""COMPUTED_VALUE"""),"pt")</f>
        <v>pt</v>
      </c>
      <c r="B13357">
        <f>IFERROR(__xludf.DUMMYFUNCTION("""COMPUTED_VALUE"""),4362774.0)</f>
        <v>4362774</v>
      </c>
      <c r="C13357" t="str">
        <f>IFERROR(__xludf.DUMMYFUNCTION("""COMPUTED_VALUE"""),"OKR na Prática | O Guia Completo + 3 Cursos Extras")</f>
        <v>OKR na Prática | O Guia Completo + 3 Cursos Extras</v>
      </c>
    </row>
    <row r="13358">
      <c r="A13358" s="140" t="str">
        <f>IFERROR(__xludf.DUMMYFUNCTION("""COMPUTED_VALUE"""),"ja")</f>
        <v>ja</v>
      </c>
      <c r="B13358">
        <f>IFERROR(__xludf.DUMMYFUNCTION("""COMPUTED_VALUE"""),4026326.0)</f>
        <v>4026326</v>
      </c>
      <c r="C13358" t="str">
        <f>IFERROR(__xludf.DUMMYFUNCTION("""COMPUTED_VALUE"""),"【データ分析入門（最初の3日）】文系の方や統計・データサイエンスにつまずいた方も実務で使える（考え方とExcel活用）")</f>
        <v>【データ分析入門（最初の3日）】文系の方や統計・データサイエンスにつまずいた方も実務で使える（考え方とExcel活用）</v>
      </c>
    </row>
    <row r="13359">
      <c r="A13359" s="140" t="str">
        <f>IFERROR(__xludf.DUMMYFUNCTION("""COMPUTED_VALUE"""),"en")</f>
        <v>en</v>
      </c>
      <c r="B13359">
        <f>IFERROR(__xludf.DUMMYFUNCTION("""COMPUTED_VALUE"""),922278.0)</f>
        <v>922278</v>
      </c>
      <c r="C13359" t="str">
        <f>IFERROR(__xludf.DUMMYFUNCTION("""COMPUTED_VALUE"""),"Microsoft Word 2016: Beginner and Intermediate Training")</f>
        <v>Microsoft Word 2016: Beginner and Intermediate Training</v>
      </c>
    </row>
    <row r="13360">
      <c r="A13360" s="140" t="str">
        <f>IFERROR(__xludf.DUMMYFUNCTION("""COMPUTED_VALUE"""),"ja")</f>
        <v>ja</v>
      </c>
      <c r="B13360">
        <f>IFERROR(__xludf.DUMMYFUNCTION("""COMPUTED_VALUE"""),4337732.0)</f>
        <v>4337732</v>
      </c>
      <c r="C13360" t="str">
        <f>IFERROR(__xludf.DUMMYFUNCTION("""COMPUTED_VALUE"""),"現役コーチ＆教師が実践する「５つの教えない育て方」で、相手とチームが変わっていく")</f>
        <v>現役コーチ＆教師が実践する「５つの教えない育て方」で、相手とチームが変わっていく</v>
      </c>
    </row>
    <row r="13361">
      <c r="A13361" s="140" t="str">
        <f>IFERROR(__xludf.DUMMYFUNCTION("""COMPUTED_VALUE"""),"en")</f>
        <v>en</v>
      </c>
      <c r="B13361">
        <f>IFERROR(__xludf.DUMMYFUNCTION("""COMPUTED_VALUE"""),4373776.0)</f>
        <v>4373776</v>
      </c>
      <c r="C13361" t="str">
        <f>IFERROR(__xludf.DUMMYFUNCTION("""COMPUTED_VALUE"""),"Sales Job Interview Masterclass - Ace Your Sales Interview!")</f>
        <v>Sales Job Interview Masterclass - Ace Your Sales Interview!</v>
      </c>
    </row>
    <row r="13362">
      <c r="A13362" s="140" t="str">
        <f>IFERROR(__xludf.DUMMYFUNCTION("""COMPUTED_VALUE"""),"fr")</f>
        <v>fr</v>
      </c>
      <c r="B13362">
        <f>IFERROR(__xludf.DUMMYFUNCTION("""COMPUTED_VALUE"""),2648290.0)</f>
        <v>2648290</v>
      </c>
      <c r="C13362" t="str">
        <f>IFERROR(__xludf.DUMMYFUNCTION("""COMPUTED_VALUE"""),"Marketing Digital et Machine Learning")</f>
        <v>Marketing Digital et Machine Learning</v>
      </c>
    </row>
    <row r="13363">
      <c r="A13363" s="140" t="str">
        <f>IFERROR(__xludf.DUMMYFUNCTION("""COMPUTED_VALUE"""),"en")</f>
        <v>en</v>
      </c>
      <c r="B13363">
        <f>IFERROR(__xludf.DUMMYFUNCTION("""COMPUTED_VALUE"""),3538620.0)</f>
        <v>3538620</v>
      </c>
      <c r="C13363" t="str">
        <f>IFERROR(__xludf.DUMMYFUNCTION("""COMPUTED_VALUE"""),"A Comprehensive Guide to Safeguarding Children")</f>
        <v>A Comprehensive Guide to Safeguarding Children</v>
      </c>
    </row>
    <row r="13364">
      <c r="A13364" s="140" t="str">
        <f>IFERROR(__xludf.DUMMYFUNCTION("""COMPUTED_VALUE"""),"ja")</f>
        <v>ja</v>
      </c>
      <c r="B13364">
        <f>IFERROR(__xludf.DUMMYFUNCTION("""COMPUTED_VALUE"""),2220570.0)</f>
        <v>2220570</v>
      </c>
      <c r="C13364" t="str">
        <f>IFERROR(__xludf.DUMMYFUNCTION("""COMPUTED_VALUE"""),"超初心者でも大丈夫！！！自分で作るホームページ制作・ウェブサイト作成講座（WordPress講座）")</f>
        <v>超初心者でも大丈夫！！！自分で作るホームページ制作・ウェブサイト作成講座（WordPress講座）</v>
      </c>
    </row>
    <row r="13365">
      <c r="A13365" s="140" t="str">
        <f>IFERROR(__xludf.DUMMYFUNCTION("""COMPUTED_VALUE"""),"pt")</f>
        <v>pt</v>
      </c>
      <c r="B13365">
        <f>IFERROR(__xludf.DUMMYFUNCTION("""COMPUTED_VALUE"""),3597512.0)</f>
        <v>3597512</v>
      </c>
      <c r="C13365" t="str">
        <f>IFERROR(__xludf.DUMMYFUNCTION("""COMPUTED_VALUE"""),"OutSystems Reactive para Iniciantes")</f>
        <v>OutSystems Reactive para Iniciantes</v>
      </c>
    </row>
    <row r="13366">
      <c r="A13366" s="140" t="str">
        <f>IFERROR(__xludf.DUMMYFUNCTION("""COMPUTED_VALUE"""),"en")</f>
        <v>en</v>
      </c>
      <c r="B13366">
        <f>IFERROR(__xludf.DUMMYFUNCTION("""COMPUTED_VALUE"""),4167254.0)</f>
        <v>4167254</v>
      </c>
      <c r="C13366" t="str">
        <f>IFERROR(__xludf.DUMMYFUNCTION("""COMPUTED_VALUE"""),"PRTG Network Monitoring Course with LAB")</f>
        <v>PRTG Network Monitoring Course with LAB</v>
      </c>
    </row>
    <row r="13367">
      <c r="A13367" s="140" t="str">
        <f>IFERROR(__xludf.DUMMYFUNCTION("""COMPUTED_VALUE"""),"ja")</f>
        <v>ja</v>
      </c>
      <c r="B13367">
        <f>IFERROR(__xludf.DUMMYFUNCTION("""COMPUTED_VALUE"""),2796032.0)</f>
        <v>2796032</v>
      </c>
      <c r="C13367" t="str">
        <f>IFERROR(__xludf.DUMMYFUNCTION("""COMPUTED_VALUE"""),"【中小企業診断士/MBAの実践的ノウハウ決定版！】補助金・助成金申請に利用できる新規事業計画書の作成方法")</f>
        <v>【中小企業診断士/MBAの実践的ノウハウ決定版！】補助金・助成金申請に利用できる新規事業計画書の作成方法</v>
      </c>
    </row>
    <row r="13368">
      <c r="A13368" s="140" t="str">
        <f>IFERROR(__xludf.DUMMYFUNCTION("""COMPUTED_VALUE"""),"ko")</f>
        <v>ko</v>
      </c>
      <c r="B13368">
        <f>IFERROR(__xludf.DUMMYFUNCTION("""COMPUTED_VALUE"""),4370672.0)</f>
        <v>4370672</v>
      </c>
      <c r="C13368" t="str">
        <f>IFERROR(__xludf.DUMMYFUNCTION("""COMPUTED_VALUE"""),"스피치 커뮤니케이션")</f>
        <v>스피치 커뮤니케이션</v>
      </c>
    </row>
    <row r="13369">
      <c r="A13369" s="140" t="str">
        <f>IFERROR(__xludf.DUMMYFUNCTION("""COMPUTED_VALUE"""),"ko")</f>
        <v>ko</v>
      </c>
      <c r="B13369">
        <f>IFERROR(__xludf.DUMMYFUNCTION("""COMPUTED_VALUE"""),4418756.0)</f>
        <v>4418756</v>
      </c>
      <c r="C13369" t="str">
        <f>IFERROR(__xludf.DUMMYFUNCTION("""COMPUTED_VALUE"""),"누구나 쉽게 디지털 드로잉 기초 배워보기")</f>
        <v>누구나 쉽게 디지털 드로잉 기초 배워보기</v>
      </c>
    </row>
    <row r="13370">
      <c r="A13370" s="140" t="str">
        <f>IFERROR(__xludf.DUMMYFUNCTION("""COMPUTED_VALUE"""),"en")</f>
        <v>en</v>
      </c>
      <c r="B13370">
        <f>IFERROR(__xludf.DUMMYFUNCTION("""COMPUTED_VALUE"""),4341378.0)</f>
        <v>4341378</v>
      </c>
      <c r="C13370" t="str">
        <f>IFERROR(__xludf.DUMMYFUNCTION("""COMPUTED_VALUE"""),"Build Modern Android App with REST API and Ktor Server")</f>
        <v>Build Modern Android App with REST API and Ktor Server</v>
      </c>
    </row>
    <row r="13371">
      <c r="A13371" s="140" t="str">
        <f>IFERROR(__xludf.DUMMYFUNCTION("""COMPUTED_VALUE"""),"it")</f>
        <v>it</v>
      </c>
      <c r="B13371">
        <f>IFERROR(__xludf.DUMMYFUNCTION("""COMPUTED_VALUE"""),3916956.0)</f>
        <v>3916956</v>
      </c>
      <c r="C13371" t="str">
        <f>IFERROR(__xludf.DUMMYFUNCTION("""COMPUTED_VALUE"""),"Workshop completo sul Routing tecnologia MikroTik RouterOS")</f>
        <v>Workshop completo sul Routing tecnologia MikroTik RouterOS</v>
      </c>
    </row>
    <row r="13372">
      <c r="A13372" s="140" t="str">
        <f>IFERROR(__xludf.DUMMYFUNCTION("""COMPUTED_VALUE"""),"it")</f>
        <v>it</v>
      </c>
      <c r="B13372">
        <f>IFERROR(__xludf.DUMMYFUNCTION("""COMPUTED_VALUE"""),4229596.0)</f>
        <v>4229596</v>
      </c>
      <c r="C13372" t="str">
        <f>IFERROR(__xludf.DUMMYFUNCTION("""COMPUTED_VALUE"""),"Guida base di Docker: configurazione per Php e Laravel 8")</f>
        <v>Guida base di Docker: configurazione per Php e Laravel 8</v>
      </c>
    </row>
    <row r="13373">
      <c r="A13373" s="140" t="str">
        <f>IFERROR(__xludf.DUMMYFUNCTION("""COMPUTED_VALUE"""),"fr")</f>
        <v>fr</v>
      </c>
      <c r="B13373">
        <f>IFERROR(__xludf.DUMMYFUNCTION("""COMPUTED_VALUE"""),3725078.0)</f>
        <v>3725078</v>
      </c>
      <c r="C13373" t="str">
        <f>IFERROR(__xludf.DUMMYFUNCTION("""COMPUTED_VALUE"""),"Cybersecurity - ISO/IEC 27005 Risk Manager")</f>
        <v>Cybersecurity - ISO/IEC 27005 Risk Manager</v>
      </c>
    </row>
    <row r="13374">
      <c r="A13374" s="140" t="str">
        <f>IFERROR(__xludf.DUMMYFUNCTION("""COMPUTED_VALUE"""),"en")</f>
        <v>en</v>
      </c>
      <c r="B13374">
        <f>IFERROR(__xludf.DUMMYFUNCTION("""COMPUTED_VALUE"""),3988468.0)</f>
        <v>3988468</v>
      </c>
      <c r="C13374" t="str">
        <f>IFERROR(__xludf.DUMMYFUNCTION("""COMPUTED_VALUE"""),"SOLIDWORKS Academy: A Comprehensive Course on SolidWorks.")</f>
        <v>SOLIDWORKS Academy: A Comprehensive Course on SolidWorks.</v>
      </c>
    </row>
    <row r="13375">
      <c r="A13375" s="140" t="str">
        <f>IFERROR(__xludf.DUMMYFUNCTION("""COMPUTED_VALUE"""),"es")</f>
        <v>es</v>
      </c>
      <c r="B13375">
        <f>IFERROR(__xludf.DUMMYFUNCTION("""COMPUTED_VALUE"""),1749044.0)</f>
        <v>1749044</v>
      </c>
      <c r="C13375" t="str">
        <f>IFERROR(__xludf.DUMMYFUNCTION("""COMPUTED_VALUE"""),"Entrenamiento Visual FoxPro 9 - Nivel Básico")</f>
        <v>Entrenamiento Visual FoxPro 9 - Nivel Básico</v>
      </c>
    </row>
    <row r="13376">
      <c r="A13376" s="140" t="str">
        <f>IFERROR(__xludf.DUMMYFUNCTION("""COMPUTED_VALUE"""),"it")</f>
        <v>it</v>
      </c>
      <c r="B13376">
        <f>IFERROR(__xludf.DUMMYFUNCTION("""COMPUTED_VALUE"""),1900468.0)</f>
        <v>1900468</v>
      </c>
      <c r="C13376" t="str">
        <f>IFERROR(__xludf.DUMMYFUNCTION("""COMPUTED_VALUE"""),"Corso React con Redux toolkit, hooks e Laravel come backend")</f>
        <v>Corso React con Redux toolkit, hooks e Laravel come backend</v>
      </c>
    </row>
    <row r="13377">
      <c r="A13377" s="140" t="str">
        <f>IFERROR(__xludf.DUMMYFUNCTION("""COMPUTED_VALUE"""),"en")</f>
        <v>en</v>
      </c>
      <c r="B13377">
        <f>IFERROR(__xludf.DUMMYFUNCTION("""COMPUTED_VALUE"""),1562686.0)</f>
        <v>1562686</v>
      </c>
      <c r="C13377" t="str">
        <f>IFERROR(__xludf.DUMMYFUNCTION("""COMPUTED_VALUE"""),"The Credit Analyst Training course")</f>
        <v>The Credit Analyst Training course</v>
      </c>
    </row>
    <row r="13378">
      <c r="A13378" s="140" t="str">
        <f>IFERROR(__xludf.DUMMYFUNCTION("""COMPUTED_VALUE"""),"fr")</f>
        <v>fr</v>
      </c>
      <c r="B13378">
        <f>IFERROR(__xludf.DUMMYFUNCTION("""COMPUTED_VALUE"""),4217886.0)</f>
        <v>4217886</v>
      </c>
      <c r="C13378" t="str">
        <f>IFERROR(__xludf.DUMMYFUNCTION("""COMPUTED_VALUE"""),"iOS 15 et Swift 5.5: le cours complet")</f>
        <v>iOS 15 et Swift 5.5: le cours complet</v>
      </c>
    </row>
    <row r="13379">
      <c r="A13379" s="140" t="str">
        <f>IFERROR(__xludf.DUMMYFUNCTION("""COMPUTED_VALUE"""),"ja")</f>
        <v>ja</v>
      </c>
      <c r="B13379">
        <f>IFERROR(__xludf.DUMMYFUNCTION("""COMPUTED_VALUE"""),3542974.0)</f>
        <v>3542974</v>
      </c>
      <c r="C13379" t="str">
        <f>IFERROR(__xludf.DUMMYFUNCTION("""COMPUTED_VALUE"""),"Shopifyでクライアントのストアを作る人のための講座")</f>
        <v>Shopifyでクライアントのストアを作る人のための講座</v>
      </c>
    </row>
    <row r="13380">
      <c r="A13380" s="140" t="str">
        <f>IFERROR(__xludf.DUMMYFUNCTION("""COMPUTED_VALUE"""),"ja")</f>
        <v>ja</v>
      </c>
      <c r="B13380">
        <f>IFERROR(__xludf.DUMMYFUNCTION("""COMPUTED_VALUE"""),4307185.0)</f>
        <v>4307185</v>
      </c>
      <c r="C13380" t="str">
        <f>IFERROR(__xludf.DUMMYFUNCTION("""COMPUTED_VALUE"""),"【フリーランスは特に注意！】いちばんわかりやすい「インボイス制度」の基礎知識")</f>
        <v>【フリーランスは特に注意！】いちばんわかりやすい「インボイス制度」の基礎知識</v>
      </c>
    </row>
    <row r="13381">
      <c r="A13381" s="140" t="str">
        <f>IFERROR(__xludf.DUMMYFUNCTION("""COMPUTED_VALUE"""),"es")</f>
        <v>es</v>
      </c>
      <c r="B13381">
        <f>IFERROR(__xludf.DUMMYFUNCTION("""COMPUTED_VALUE"""),4320872.0)</f>
        <v>4320872</v>
      </c>
      <c r="C13381" t="str">
        <f>IFERROR(__xludf.DUMMYFUNCTION("""COMPUTED_VALUE"""),"Master: Pruebas de Rendimiento con APACHE JMETER  (ESPAÑOL)")</f>
        <v>Master: Pruebas de Rendimiento con APACHE JMETER  (ESPAÑOL)</v>
      </c>
    </row>
    <row r="13382">
      <c r="A13382" s="140" t="str">
        <f>IFERROR(__xludf.DUMMYFUNCTION("""COMPUTED_VALUE"""),"en")</f>
        <v>en</v>
      </c>
      <c r="B13382">
        <f>IFERROR(__xludf.DUMMYFUNCTION("""COMPUTED_VALUE"""),3900570.0)</f>
        <v>3900570</v>
      </c>
      <c r="C13382" t="str">
        <f>IFERROR(__xludf.DUMMYFUNCTION("""COMPUTED_VALUE"""),"Active Directory Pentesting Full Course - Red Team Hacking")</f>
        <v>Active Directory Pentesting Full Course - Red Team Hacking</v>
      </c>
    </row>
    <row r="13383">
      <c r="A13383" s="140" t="str">
        <f>IFERROR(__xludf.DUMMYFUNCTION("""COMPUTED_VALUE"""),"en")</f>
        <v>en</v>
      </c>
      <c r="B13383">
        <f>IFERROR(__xludf.DUMMYFUNCTION("""COMPUTED_VALUE"""),3681644.0)</f>
        <v>3681644</v>
      </c>
      <c r="C13383" t="str">
        <f>IFERROR(__xludf.DUMMYFUNCTION("""COMPUTED_VALUE"""),"Integrating HashiCorp Vault with AWS ☁️")</f>
        <v>Integrating HashiCorp Vault with AWS ☁️</v>
      </c>
    </row>
    <row r="13384">
      <c r="A13384" s="140" t="str">
        <f>IFERROR(__xludf.DUMMYFUNCTION("""COMPUTED_VALUE"""),"ko")</f>
        <v>ko</v>
      </c>
      <c r="B13384">
        <f>IFERROR(__xludf.DUMMYFUNCTION("""COMPUTED_VALUE"""),4382736.0)</f>
        <v>4382736</v>
      </c>
      <c r="C13384" t="str">
        <f>IFERROR(__xludf.DUMMYFUNCTION("""COMPUTED_VALUE"""),"【글로벌 Best】 AI-102 Microsoft Azure AI 솔루션 시험 완벽 준비")</f>
        <v>【글로벌 Best】 AI-102 Microsoft Azure AI 솔루션 시험 완벽 준비</v>
      </c>
    </row>
    <row r="13385">
      <c r="A13385" s="140" t="str">
        <f>IFERROR(__xludf.DUMMYFUNCTION("""COMPUTED_VALUE"""),"ko")</f>
        <v>ko</v>
      </c>
      <c r="B13385">
        <f>IFERROR(__xludf.DUMMYFUNCTION("""COMPUTED_VALUE"""),4382718.0)</f>
        <v>4382718</v>
      </c>
      <c r="C13385" t="str">
        <f>IFERROR(__xludf.DUMMYFUNCTION("""COMPUTED_VALUE"""),"【글로벌 Best】 Azure Functions 및 Logic Apps 을 통한 서버리스 컴퓨팅 (한글자막)")</f>
        <v>【글로벌 Best】 Azure Functions 및 Logic Apps 을 통한 서버리스 컴퓨팅 (한글자막)</v>
      </c>
    </row>
    <row r="13386">
      <c r="A13386" s="140" t="str">
        <f>IFERROR(__xludf.DUMMYFUNCTION("""COMPUTED_VALUE"""),"it")</f>
        <v>it</v>
      </c>
      <c r="B13386">
        <f>IFERROR(__xludf.DUMMYFUNCTION("""COMPUTED_VALUE"""),3593910.0)</f>
        <v>3593910</v>
      </c>
      <c r="C13386" t="str">
        <f>IFERROR(__xludf.DUMMYFUNCTION("""COMPUTED_VALUE"""),"Corso ActiveCampaign: Email Marketing Automation")</f>
        <v>Corso ActiveCampaign: Email Marketing Automation</v>
      </c>
    </row>
    <row r="13387">
      <c r="A13387" s="140" t="str">
        <f>IFERROR(__xludf.DUMMYFUNCTION("""COMPUTED_VALUE"""),"tr")</f>
        <v>tr</v>
      </c>
      <c r="B13387">
        <f>IFERROR(__xludf.DUMMYFUNCTION("""COMPUTED_VALUE"""),2914206.0)</f>
        <v>2914206</v>
      </c>
      <c r="C13387" t="str">
        <f>IFERROR(__xludf.DUMMYFUNCTION("""COMPUTED_VALUE"""),"STM32 ile A'dan Z'ye Gömülü Sistemler(Embedded Systems)")</f>
        <v>STM32 ile A'dan Z'ye Gömülü Sistemler(Embedded Systems)</v>
      </c>
    </row>
    <row r="13388">
      <c r="A13388" s="140" t="str">
        <f>IFERROR(__xludf.DUMMYFUNCTION("""COMPUTED_VALUE"""),"ko")</f>
        <v>ko</v>
      </c>
      <c r="B13388">
        <f>IFERROR(__xludf.DUMMYFUNCTION("""COMPUTED_VALUE"""),4431242.0)</f>
        <v>4431242</v>
      </c>
      <c r="C13388" t="str">
        <f>IFERROR(__xludf.DUMMYFUNCTION("""COMPUTED_VALUE"""),"코딩 초보자를 위한 파이썬(Python) 입문(Beginner)")</f>
        <v>코딩 초보자를 위한 파이썬(Python) 입문(Beginner)</v>
      </c>
    </row>
    <row r="13389">
      <c r="A13389" s="140" t="str">
        <f>IFERROR(__xludf.DUMMYFUNCTION("""COMPUTED_VALUE"""),"en")</f>
        <v>en</v>
      </c>
      <c r="B13389">
        <f>IFERROR(__xludf.DUMMYFUNCTION("""COMPUTED_VALUE"""),74772.0)</f>
        <v>74772</v>
      </c>
      <c r="C13389" t="str">
        <f>IFERROR(__xludf.DUMMYFUNCTION("""COMPUTED_VALUE"""),"Value Centric Selling - How to Sell on Value, Not Price")</f>
        <v>Value Centric Selling - How to Sell on Value, Not Price</v>
      </c>
    </row>
    <row r="13390">
      <c r="A13390" s="140" t="str">
        <f>IFERROR(__xludf.DUMMYFUNCTION("""COMPUTED_VALUE"""),"fr")</f>
        <v>fr</v>
      </c>
      <c r="B13390">
        <f>IFERROR(__xludf.DUMMYFUNCTION("""COMPUTED_VALUE"""),4283448.0)</f>
        <v>4283448</v>
      </c>
      <c r="C13390" t="str">
        <f>IFERROR(__xludf.DUMMYFUNCTION("""COMPUTED_VALUE"""),"UNREAL ENGINE 5 : Guide complet développeur de jeux 2022")</f>
        <v>UNREAL ENGINE 5 : Guide complet développeur de jeux 2022</v>
      </c>
    </row>
    <row r="13391">
      <c r="A13391" s="140" t="str">
        <f>IFERROR(__xludf.DUMMYFUNCTION("""COMPUTED_VALUE"""),"fr")</f>
        <v>fr</v>
      </c>
      <c r="B13391">
        <f>IFERROR(__xludf.DUMMYFUNCTION("""COMPUTED_VALUE"""),3841168.0)</f>
        <v>3841168</v>
      </c>
      <c r="C13391" t="str">
        <f>IFERROR(__xludf.DUMMYFUNCTION("""COMPUTED_VALUE"""),"Framework Symfony : de 0 à pro !")</f>
        <v>Framework Symfony : de 0 à pro !</v>
      </c>
    </row>
    <row r="13392">
      <c r="A13392" s="140" t="str">
        <f>IFERROR(__xludf.DUMMYFUNCTION("""COMPUTED_VALUE"""),"en")</f>
        <v>en</v>
      </c>
      <c r="B13392">
        <f>IFERROR(__xludf.DUMMYFUNCTION("""COMPUTED_VALUE"""),4516580.0)</f>
        <v>4516580</v>
      </c>
      <c r="C13392" t="str">
        <f>IFERROR(__xludf.DUMMYFUNCTION("""COMPUTED_VALUE"""),"Get Amazing Results from Your Conversations at Work")</f>
        <v>Get Amazing Results from Your Conversations at Work</v>
      </c>
    </row>
    <row r="13393">
      <c r="A13393" s="140" t="str">
        <f>IFERROR(__xludf.DUMMYFUNCTION("""COMPUTED_VALUE"""),"fr")</f>
        <v>fr</v>
      </c>
      <c r="B13393">
        <f>IFERROR(__xludf.DUMMYFUNCTION("""COMPUTED_VALUE"""),3750042.0)</f>
        <v>3750042</v>
      </c>
      <c r="C13393" t="str">
        <f>IFERROR(__xludf.DUMMYFUNCTION("""COMPUTED_VALUE"""),"Tailwind de A à Z.")</f>
        <v>Tailwind de A à Z.</v>
      </c>
    </row>
    <row r="13394">
      <c r="A13394" s="140" t="str">
        <f>IFERROR(__xludf.DUMMYFUNCTION("""COMPUTED_VALUE"""),"de")</f>
        <v>de</v>
      </c>
      <c r="B13394">
        <f>IFERROR(__xludf.DUMMYFUNCTION("""COMPUTED_VALUE"""),3105672.0)</f>
        <v>3105672</v>
      </c>
      <c r="C13394" t="str">
        <f>IFERROR(__xludf.DUMMYFUNCTION("""COMPUTED_VALUE"""),"So schreiben Sie erfolgreiche Newsletter")</f>
        <v>So schreiben Sie erfolgreiche Newsletter</v>
      </c>
    </row>
    <row r="13395">
      <c r="A13395" s="140" t="str">
        <f>IFERROR(__xludf.DUMMYFUNCTION("""COMPUTED_VALUE"""),"de")</f>
        <v>de</v>
      </c>
      <c r="B13395">
        <f>IFERROR(__xludf.DUMMYFUNCTION("""COMPUTED_VALUE"""),2282682.0)</f>
        <v>2282682</v>
      </c>
      <c r="C13395" t="str">
        <f>IFERROR(__xludf.DUMMYFUNCTION("""COMPUTED_VALUE"""),"Python in 4 Stunden von Null zum Python Programmierer")</f>
        <v>Python in 4 Stunden von Null zum Python Programmierer</v>
      </c>
    </row>
    <row r="13396">
      <c r="A13396" s="140" t="str">
        <f>IFERROR(__xludf.DUMMYFUNCTION("""COMPUTED_VALUE"""),"en")</f>
        <v>en</v>
      </c>
      <c r="B13396">
        <f>IFERROR(__xludf.DUMMYFUNCTION("""COMPUTED_VALUE"""),4195724.0)</f>
        <v>4195724</v>
      </c>
      <c r="C13396" t="str">
        <f>IFERROR(__xludf.DUMMYFUNCTION("""COMPUTED_VALUE"""),"Inkscape for Scientists and Engineers")</f>
        <v>Inkscape for Scientists and Engineers</v>
      </c>
    </row>
    <row r="13397">
      <c r="A13397" s="140" t="str">
        <f>IFERROR(__xludf.DUMMYFUNCTION("""COMPUTED_VALUE"""),"ko")</f>
        <v>ko</v>
      </c>
      <c r="B13397">
        <f>IFERROR(__xludf.DUMMYFUNCTION("""COMPUTED_VALUE"""),4443866.0)</f>
        <v>4443866</v>
      </c>
      <c r="C13397" t="str">
        <f>IFERROR(__xludf.DUMMYFUNCTION("""COMPUTED_VALUE"""),"정확한 전달로 구현하는 비즈니스 커뮤니케이션")</f>
        <v>정확한 전달로 구현하는 비즈니스 커뮤니케이션</v>
      </c>
    </row>
    <row r="13398">
      <c r="A13398" s="140" t="str">
        <f>IFERROR(__xludf.DUMMYFUNCTION("""COMPUTED_VALUE"""),"it")</f>
        <v>it</v>
      </c>
      <c r="B13398">
        <f>IFERROR(__xludf.DUMMYFUNCTION("""COMPUTED_VALUE"""),4131146.0)</f>
        <v>4131146</v>
      </c>
      <c r="C13398" t="str">
        <f>IFERROR(__xludf.DUMMYFUNCTION("""COMPUTED_VALUE"""),"Impariamo da zero la piattaforma cloud di Microsoft Azure")</f>
        <v>Impariamo da zero la piattaforma cloud di Microsoft Azure</v>
      </c>
    </row>
    <row r="13399">
      <c r="A13399" s="140" t="str">
        <f>IFERROR(__xludf.DUMMYFUNCTION("""COMPUTED_VALUE"""),"fr")</f>
        <v>fr</v>
      </c>
      <c r="B13399">
        <f>IFERROR(__xludf.DUMMYFUNCTION("""COMPUTED_VALUE"""),2868526.0)</f>
        <v>2868526</v>
      </c>
      <c r="C13399" t="str">
        <f>IFERROR(__xludf.DUMMYFUNCTION("""COMPUTED_VALUE"""),"KRITA de A à Z")</f>
        <v>KRITA de A à Z</v>
      </c>
    </row>
    <row r="13400">
      <c r="A13400" s="140" t="str">
        <f>IFERROR(__xludf.DUMMYFUNCTION("""COMPUTED_VALUE"""),"ja")</f>
        <v>ja</v>
      </c>
      <c r="B13400">
        <f>IFERROR(__xludf.DUMMYFUNCTION("""COMPUTED_VALUE"""),4007870.0)</f>
        <v>4007870</v>
      </c>
      <c r="C13400" t="str">
        <f>IFERROR(__xludf.DUMMYFUNCTION("""COMPUTED_VALUE"""),"Jw_cadの使い方①　ゼロからはじめる初心者のためのJwcad講座　一緒に家具平面図と間取り図をかいてみよう！")</f>
        <v>Jw_cadの使い方①　ゼロからはじめる初心者のためのJwcad講座　一緒に家具平面図と間取り図をかいてみよう！</v>
      </c>
    </row>
    <row r="13401">
      <c r="A13401" s="140" t="str">
        <f>IFERROR(__xludf.DUMMYFUNCTION("""COMPUTED_VALUE"""),"ko")</f>
        <v>ko</v>
      </c>
      <c r="B13401">
        <f>IFERROR(__xludf.DUMMYFUNCTION("""COMPUTED_VALUE"""),4400036.0)</f>
        <v>4400036</v>
      </c>
      <c r="C13401" t="str">
        <f>IFERROR(__xludf.DUMMYFUNCTION("""COMPUTED_VALUE"""),"【글로벌 Best】 초보자를 위한 Python 3 프로그래밍 (한글 자막)")</f>
        <v>【글로벌 Best】 초보자를 위한 Python 3 프로그래밍 (한글 자막)</v>
      </c>
    </row>
    <row r="13402">
      <c r="A13402" s="140" t="str">
        <f>IFERROR(__xludf.DUMMYFUNCTION("""COMPUTED_VALUE"""),"ko")</f>
        <v>ko</v>
      </c>
      <c r="B13402">
        <f>IFERROR(__xludf.DUMMYFUNCTION("""COMPUTED_VALUE"""),4279194.0)</f>
        <v>4279194</v>
      </c>
      <c r="C13402" t="str">
        <f>IFERROR(__xludf.DUMMYFUNCTION("""COMPUTED_VALUE"""),"토익스피킹 실전강의 (목표: 레벨6/7)")</f>
        <v>토익스피킹 실전강의 (목표: 레벨6/7)</v>
      </c>
    </row>
    <row r="13403">
      <c r="A13403" s="140" t="str">
        <f>IFERROR(__xludf.DUMMYFUNCTION("""COMPUTED_VALUE"""),"ko")</f>
        <v>ko</v>
      </c>
      <c r="B13403">
        <f>IFERROR(__xludf.DUMMYFUNCTION("""COMPUTED_VALUE"""),4452634.0)</f>
        <v>4452634</v>
      </c>
      <c r="C13403" t="str">
        <f>IFERROR(__xludf.DUMMYFUNCTION("""COMPUTED_VALUE"""),"한번에 완벽 마스터!  2021 연말정산 실무")</f>
        <v>한번에 완벽 마스터!  2021 연말정산 실무</v>
      </c>
    </row>
    <row r="13404">
      <c r="A13404" s="140" t="str">
        <f>IFERROR(__xludf.DUMMYFUNCTION("""COMPUTED_VALUE"""),"ja")</f>
        <v>ja</v>
      </c>
      <c r="B13404">
        <f>IFERROR(__xludf.DUMMYFUNCTION("""COMPUTED_VALUE"""),3226503.0)</f>
        <v>3226503</v>
      </c>
      <c r="C13404" t="str">
        <f>IFERROR(__xludf.DUMMYFUNCTION("""COMPUTED_VALUE"""),"【初心者歓迎！】ゼロからC言語を覚えてWinAPIで画像ビューワーを作成しよう")</f>
        <v>【初心者歓迎！】ゼロからC言語を覚えてWinAPIで画像ビューワーを作成しよう</v>
      </c>
    </row>
    <row r="13405">
      <c r="A13405" s="140" t="str">
        <f>IFERROR(__xludf.DUMMYFUNCTION("""COMPUTED_VALUE"""),"ko")</f>
        <v>ko</v>
      </c>
      <c r="B13405">
        <f>IFERROR(__xludf.DUMMYFUNCTION("""COMPUTED_VALUE"""),4185774.0)</f>
        <v>4185774</v>
      </c>
      <c r="C13405" t="str">
        <f>IFERROR(__xludf.DUMMYFUNCTION("""COMPUTED_VALUE"""),"JSP 기초에서 실무까지 완전정복")</f>
        <v>JSP 기초에서 실무까지 완전정복</v>
      </c>
    </row>
    <row r="13406">
      <c r="A13406" s="140" t="str">
        <f>IFERROR(__xludf.DUMMYFUNCTION("""COMPUTED_VALUE"""),"pt")</f>
        <v>pt</v>
      </c>
      <c r="B13406">
        <f>IFERROR(__xludf.DUMMYFUNCTION("""COMPUTED_VALUE"""),3891360.0)</f>
        <v>3891360</v>
      </c>
      <c r="C13406" t="str">
        <f>IFERROR(__xludf.DUMMYFUNCTION("""COMPUTED_VALUE"""),"Curso Completo de Edição de Vídeos no Celular Avançado")</f>
        <v>Curso Completo de Edição de Vídeos no Celular Avançado</v>
      </c>
    </row>
    <row r="13407">
      <c r="A13407" s="140" t="str">
        <f>IFERROR(__xludf.DUMMYFUNCTION("""COMPUTED_VALUE"""),"en")</f>
        <v>en</v>
      </c>
      <c r="B13407">
        <f>IFERROR(__xludf.DUMMYFUNCTION("""COMPUTED_VALUE"""),2716980.0)</f>
        <v>2716980</v>
      </c>
      <c r="C13407" t="str">
        <f>IFERROR(__xludf.DUMMYFUNCTION("""COMPUTED_VALUE"""),"Next Level CSS Creative Hover &amp; Animation Effects")</f>
        <v>Next Level CSS Creative Hover &amp; Animation Effects</v>
      </c>
    </row>
    <row r="13408">
      <c r="A13408" s="140" t="str">
        <f>IFERROR(__xludf.DUMMYFUNCTION("""COMPUTED_VALUE"""),"en")</f>
        <v>en</v>
      </c>
      <c r="B13408">
        <f>IFERROR(__xludf.DUMMYFUNCTION("""COMPUTED_VALUE"""),4240324.0)</f>
        <v>4240324</v>
      </c>
      <c r="C13408" t="str">
        <f>IFERROR(__xludf.DUMMYFUNCTION("""COMPUTED_VALUE"""),"Linkedin Optimize your Profile for Beginners Social Network")</f>
        <v>Linkedin Optimize your Profile for Beginners Social Network</v>
      </c>
    </row>
    <row r="13409">
      <c r="A13409" s="140" t="str">
        <f>IFERROR(__xludf.DUMMYFUNCTION("""COMPUTED_VALUE"""),"fr")</f>
        <v>fr</v>
      </c>
      <c r="B13409">
        <f>IFERROR(__xludf.DUMMYFUNCTION("""COMPUTED_VALUE"""),3244820.0)</f>
        <v>3244820</v>
      </c>
      <c r="C13409" t="str">
        <f>IFERROR(__xludf.DUMMYFUNCTION("""COMPUTED_VALUE"""),"Devenir développeur WEB : Cours COMPLET et EXERCICES")</f>
        <v>Devenir développeur WEB : Cours COMPLET et EXERCICES</v>
      </c>
    </row>
    <row r="13410">
      <c r="A13410" s="140" t="str">
        <f>IFERROR(__xludf.DUMMYFUNCTION("""COMPUTED_VALUE"""),"ja")</f>
        <v>ja</v>
      </c>
      <c r="B13410">
        <f>IFERROR(__xludf.DUMMYFUNCTION("""COMPUTED_VALUE"""),3540906.0)</f>
        <v>3540906</v>
      </c>
      <c r="C13410" t="str">
        <f>IFERROR(__xludf.DUMMYFUNCTION("""COMPUTED_VALUE"""),"【Blender 2.9】初めてのグリースペンシル｜基本的な使い方からイラスト・アニメーションまで (2D&amp;3D)")</f>
        <v>【Blender 2.9】初めてのグリースペンシル｜基本的な使い方からイラスト・アニメーションまで (2D&amp;3D)</v>
      </c>
    </row>
    <row r="13411">
      <c r="A13411" s="140" t="str">
        <f>IFERROR(__xludf.DUMMYFUNCTION("""COMPUTED_VALUE"""),"de")</f>
        <v>de</v>
      </c>
      <c r="B13411">
        <f>IFERROR(__xludf.DUMMYFUNCTION("""COMPUTED_VALUE"""),1352432.0)</f>
        <v>1352432</v>
      </c>
      <c r="C13411" t="str">
        <f>IFERROR(__xludf.DUMMYFUNCTION("""COMPUTED_VALUE"""),"Excel-Kurs für Einsteiger. Arbeiten mit Excel und Formeln.")</f>
        <v>Excel-Kurs für Einsteiger. Arbeiten mit Excel und Formeln.</v>
      </c>
    </row>
    <row r="13412">
      <c r="A13412" s="140" t="str">
        <f>IFERROR(__xludf.DUMMYFUNCTION("""COMPUTED_VALUE"""),"ja")</f>
        <v>ja</v>
      </c>
      <c r="B13412">
        <f>IFERROR(__xludf.DUMMYFUNCTION("""COMPUTED_VALUE"""),4314520.0)</f>
        <v>4314520</v>
      </c>
      <c r="C13412" t="str">
        <f>IFERROR(__xludf.DUMMYFUNCTION("""COMPUTED_VALUE"""),"Amazon Lightsail入門 〜AWSで最も安く簡単にLaravel(PHP)サーバー構築を実践しよう！〜")</f>
        <v>Amazon Lightsail入門 〜AWSで最も安く簡単にLaravel(PHP)サーバー構築を実践しよう！〜</v>
      </c>
    </row>
    <row r="13413">
      <c r="A13413" s="140" t="str">
        <f>IFERROR(__xludf.DUMMYFUNCTION("""COMPUTED_VALUE"""),"it")</f>
        <v>it</v>
      </c>
      <c r="B13413">
        <f>IFERROR(__xludf.DUMMYFUNCTION("""COMPUTED_VALUE"""),4262542.0)</f>
        <v>4262542</v>
      </c>
      <c r="C13413" t="str">
        <f>IFERROR(__xludf.DUMMYFUNCTION("""COMPUTED_VALUE"""),"Crea un brand di successo - edizione PRO")</f>
        <v>Crea un brand di successo - edizione PRO</v>
      </c>
    </row>
    <row r="13414">
      <c r="A13414" s="140" t="str">
        <f>IFERROR(__xludf.DUMMYFUNCTION("""COMPUTED_VALUE"""),"en")</f>
        <v>en</v>
      </c>
      <c r="B13414">
        <f>IFERROR(__xludf.DUMMYFUNCTION("""COMPUTED_VALUE"""),2750862.0)</f>
        <v>2750862</v>
      </c>
      <c r="C13414" t="str">
        <f>IFERROR(__xludf.DUMMYFUNCTION("""COMPUTED_VALUE"""),"C++ Unit Testing: Google Test and Google Mock")</f>
        <v>C++ Unit Testing: Google Test and Google Mock</v>
      </c>
    </row>
    <row r="13415">
      <c r="A13415" s="140" t="str">
        <f>IFERROR(__xludf.DUMMYFUNCTION("""COMPUTED_VALUE"""),"fr")</f>
        <v>fr</v>
      </c>
      <c r="B13415">
        <f>IFERROR(__xludf.DUMMYFUNCTION("""COMPUTED_VALUE"""),3711054.0)</f>
        <v>3711054</v>
      </c>
      <c r="C13415" t="str">
        <f>IFERROR(__xludf.DUMMYFUNCTION("""COMPUTED_VALUE"""),"Communiquer avec  l'outil DISC")</f>
        <v>Communiquer avec  l'outil DISC</v>
      </c>
    </row>
    <row r="13416">
      <c r="A13416" s="140" t="str">
        <f>IFERROR(__xludf.DUMMYFUNCTION("""COMPUTED_VALUE"""),"fr")</f>
        <v>fr</v>
      </c>
      <c r="B13416">
        <f>IFERROR(__xludf.DUMMYFUNCTION("""COMPUTED_VALUE"""),2056271.0)</f>
        <v>2056271</v>
      </c>
      <c r="C13416" t="str">
        <f>IFERROR(__xludf.DUMMYFUNCTION("""COMPUTED_VALUE"""),"Reprogrammez facilement votre cerveau pour la réussite")</f>
        <v>Reprogrammez facilement votre cerveau pour la réussite</v>
      </c>
    </row>
    <row r="13417">
      <c r="A13417" s="140" t="str">
        <f>IFERROR(__xludf.DUMMYFUNCTION("""COMPUTED_VALUE"""),"en")</f>
        <v>en</v>
      </c>
      <c r="B13417">
        <f>IFERROR(__xludf.DUMMYFUNCTION("""COMPUTED_VALUE"""),1673806.0)</f>
        <v>1673806</v>
      </c>
      <c r="C13417" t="str">
        <f>IFERROR(__xludf.DUMMYFUNCTION("""COMPUTED_VALUE"""),"CompTIA Linux+ (LX0-103 and LX0-104) (Part 2 of 2)")</f>
        <v>CompTIA Linux+ (LX0-103 and LX0-104) (Part 2 of 2)</v>
      </c>
    </row>
    <row r="13418">
      <c r="A13418" s="140" t="str">
        <f>IFERROR(__xludf.DUMMYFUNCTION("""COMPUTED_VALUE"""),"it")</f>
        <v>it</v>
      </c>
      <c r="B13418">
        <f>IFERROR(__xludf.DUMMYFUNCTION("""COMPUTED_VALUE"""),3863020.0)</f>
        <v>3863020</v>
      </c>
      <c r="C13418" t="str">
        <f>IFERROR(__xludf.DUMMYFUNCTION("""COMPUTED_VALUE"""),"Corso CISCO CCNA 200 301 + LAB in ITALIANO")</f>
        <v>Corso CISCO CCNA 200 301 + LAB in ITALIANO</v>
      </c>
    </row>
    <row r="13419">
      <c r="A13419" s="140" t="str">
        <f>IFERROR(__xludf.DUMMYFUNCTION("""COMPUTED_VALUE"""),"ja")</f>
        <v>ja</v>
      </c>
      <c r="B13419">
        <f>IFERROR(__xludf.DUMMYFUNCTION("""COMPUTED_VALUE"""),1159512.0)</f>
        <v>1159512</v>
      </c>
      <c r="C13419" t="str">
        <f>IFERROR(__xludf.DUMMYFUNCTION("""COMPUTED_VALUE"""),"直感的にわかる！電気回路/電子回路の基礎を学ぼう")</f>
        <v>直感的にわかる！電気回路/電子回路の基礎を学ぼう</v>
      </c>
    </row>
    <row r="13420">
      <c r="A13420" s="140" t="str">
        <f>IFERROR(__xludf.DUMMYFUNCTION("""COMPUTED_VALUE"""),"fr")</f>
        <v>fr</v>
      </c>
      <c r="B13420">
        <f>IFERROR(__xludf.DUMMYFUNCTION("""COMPUTED_VALUE"""),2937714.0)</f>
        <v>2937714</v>
      </c>
      <c r="C13420" t="str">
        <f>IFERROR(__xludf.DUMMYFUNCTION("""COMPUTED_VALUE"""),"Avoir CONFIANCE en soi : la MÉTHODE pas à pas")</f>
        <v>Avoir CONFIANCE en soi : la MÉTHODE pas à pas</v>
      </c>
    </row>
    <row r="13421">
      <c r="A13421" s="140" t="str">
        <f>IFERROR(__xludf.DUMMYFUNCTION("""COMPUTED_VALUE"""),"ko")</f>
        <v>ko</v>
      </c>
      <c r="B13421">
        <f>IFERROR(__xludf.DUMMYFUNCTION("""COMPUTED_VALUE"""),4250578.0)</f>
        <v>4250578</v>
      </c>
      <c r="C13421" t="str">
        <f>IFERROR(__xludf.DUMMYFUNCTION("""COMPUTED_VALUE"""),"【글로벌 Best】 업무 위임을 통해 조직 및 팀 관리하기 (그리고 목표 성취하기)")</f>
        <v>【글로벌 Best】 업무 위임을 통해 조직 및 팀 관리하기 (그리고 목표 성취하기)</v>
      </c>
    </row>
    <row r="13422">
      <c r="A13422" s="140" t="str">
        <f>IFERROR(__xludf.DUMMYFUNCTION("""COMPUTED_VALUE"""),"en")</f>
        <v>en</v>
      </c>
      <c r="B13422">
        <f>IFERROR(__xludf.DUMMYFUNCTION("""COMPUTED_VALUE"""),4251482.0)</f>
        <v>4251482</v>
      </c>
      <c r="C13422" t="str">
        <f>IFERROR(__xludf.DUMMYFUNCTION("""COMPUTED_VALUE"""),"Apache Spark 3 - Beyond Basics and Cracking Job Interviews")</f>
        <v>Apache Spark 3 - Beyond Basics and Cracking Job Interviews</v>
      </c>
    </row>
    <row r="13423">
      <c r="A13423" s="140" t="str">
        <f>IFERROR(__xludf.DUMMYFUNCTION("""COMPUTED_VALUE"""),"ja")</f>
        <v>ja</v>
      </c>
      <c r="B13423">
        <f>IFERROR(__xludf.DUMMYFUNCTION("""COMPUTED_VALUE"""),4204828.0)</f>
        <v>4204828</v>
      </c>
      <c r="C13423" t="str">
        <f>IFERROR(__xludf.DUMMYFUNCTION("""COMPUTED_VALUE"""),"【HTML,CSS,JS,PHP,Git,Docker】プログラミング初心者OK！ ゼロからわかるWebシステム開発")</f>
        <v>【HTML,CSS,JS,PHP,Git,Docker】プログラミング初心者OK！ ゼロからわかるWebシステム開発</v>
      </c>
    </row>
    <row r="13424">
      <c r="A13424" s="140" t="str">
        <f>IFERROR(__xludf.DUMMYFUNCTION("""COMPUTED_VALUE"""),"ko")</f>
        <v>ko</v>
      </c>
      <c r="B13424">
        <f>IFERROR(__xludf.DUMMYFUNCTION("""COMPUTED_VALUE"""),4374792.0)</f>
        <v>4374792</v>
      </c>
      <c r="C13424" t="str">
        <f>IFERROR(__xludf.DUMMYFUNCTION("""COMPUTED_VALUE"""),"팀 사업계획 수립 및 KPI 도출 방법 (기본)")</f>
        <v>팀 사업계획 수립 및 KPI 도출 방법 (기본)</v>
      </c>
    </row>
    <row r="13425">
      <c r="A13425" s="140" t="str">
        <f>IFERROR(__xludf.DUMMYFUNCTION("""COMPUTED_VALUE"""),"fr")</f>
        <v>fr</v>
      </c>
      <c r="B13425">
        <f>IFERROR(__xludf.DUMMYFUNCTION("""COMPUTED_VALUE"""),1715624.0)</f>
        <v>1715624</v>
      </c>
      <c r="C13425" t="str">
        <f>IFERROR(__xludf.DUMMYFUNCTION("""COMPUTED_VALUE"""),"Data science - Découverte de la librairie Pandas pour python")</f>
        <v>Data science - Découverte de la librairie Pandas pour python</v>
      </c>
    </row>
    <row r="13426">
      <c r="A13426" s="140" t="str">
        <f>IFERROR(__xludf.DUMMYFUNCTION("""COMPUTED_VALUE"""),"ko")</f>
        <v>ko</v>
      </c>
      <c r="B13426">
        <f>IFERROR(__xludf.DUMMYFUNCTION("""COMPUTED_VALUE"""),4305107.0)</f>
        <v>4305107</v>
      </c>
      <c r="C13426" t="str">
        <f>IFERROR(__xludf.DUMMYFUNCTION("""COMPUTED_VALUE"""),"【글로벌 Best】 실무 활용 중심의 MySQL 부트캠프 (한글 자막)")</f>
        <v>【글로벌 Best】 실무 활용 중심의 MySQL 부트캠프 (한글 자막)</v>
      </c>
    </row>
    <row r="13427">
      <c r="A13427" s="140" t="str">
        <f>IFERROR(__xludf.DUMMYFUNCTION("""COMPUTED_VALUE"""),"pt")</f>
        <v>pt</v>
      </c>
      <c r="B13427">
        <f>IFERROR(__xludf.DUMMYFUNCTION("""COMPUTED_VALUE"""),944750.0)</f>
        <v>944750</v>
      </c>
      <c r="C13427" t="str">
        <f>IFERROR(__xludf.DUMMYFUNCTION("""COMPUTED_VALUE"""),"Introdução à lógica &amp; raciocínio crítico")</f>
        <v>Introdução à lógica &amp; raciocínio crítico</v>
      </c>
    </row>
    <row r="13428">
      <c r="A13428" s="140" t="str">
        <f>IFERROR(__xludf.DUMMYFUNCTION("""COMPUTED_VALUE"""),"ar")</f>
        <v>ar</v>
      </c>
      <c r="B13428">
        <f>IFERROR(__xludf.DUMMYFUNCTION("""COMPUTED_VALUE"""),4276232.0)</f>
        <v>4276232</v>
      </c>
      <c r="C13428" t="str">
        <f>IFERROR(__xludf.DUMMYFUNCTION("""COMPUTED_VALUE"""),"Deep Learning: Convolutional Neural Networks")</f>
        <v>Deep Learning: Convolutional Neural Networks</v>
      </c>
    </row>
    <row r="13429">
      <c r="A13429" s="140" t="str">
        <f>IFERROR(__xludf.DUMMYFUNCTION("""COMPUTED_VALUE"""),"ja")</f>
        <v>ja</v>
      </c>
      <c r="B13429">
        <f>IFERROR(__xludf.DUMMYFUNCTION("""COMPUTED_VALUE"""),4315262.0)</f>
        <v>4315262</v>
      </c>
      <c r="C13429" t="str">
        <f>IFERROR(__xludf.DUMMYFUNCTION("""COMPUTED_VALUE"""),"AWSでDockerを本番運用！AmazonECSを使って低コストでコンテナを運用する実践コース")</f>
        <v>AWSでDockerを本番運用！AmazonECSを使って低コストでコンテナを運用する実践コース</v>
      </c>
    </row>
    <row r="13430">
      <c r="A13430" s="140" t="str">
        <f>IFERROR(__xludf.DUMMYFUNCTION("""COMPUTED_VALUE"""),"ja")</f>
        <v>ja</v>
      </c>
      <c r="B13430">
        <f>IFERROR(__xludf.DUMMYFUNCTION("""COMPUTED_VALUE"""),4105636.0)</f>
        <v>4105636</v>
      </c>
      <c r="C13430" t="str">
        <f>IFERROR(__xludf.DUMMYFUNCTION("""COMPUTED_VALUE"""),"【作って学ぶ】laravel8とMySQLで作るシンプルメモアプリ")</f>
        <v>【作って学ぶ】laravel8とMySQLで作るシンプルメモアプリ</v>
      </c>
    </row>
    <row r="13431">
      <c r="A13431" s="140" t="str">
        <f>IFERROR(__xludf.DUMMYFUNCTION("""COMPUTED_VALUE"""),"it")</f>
        <v>it</v>
      </c>
      <c r="B13431">
        <f>IFERROR(__xludf.DUMMYFUNCTION("""COMPUTED_VALUE"""),2675932.0)</f>
        <v>2675932</v>
      </c>
      <c r="C13431" t="str">
        <f>IFERROR(__xludf.DUMMYFUNCTION("""COMPUTED_VALUE"""),"Uso pratico del computer")</f>
        <v>Uso pratico del computer</v>
      </c>
    </row>
    <row r="13432">
      <c r="A13432" s="140" t="str">
        <f>IFERROR(__xludf.DUMMYFUNCTION("""COMPUTED_VALUE"""),"ko")</f>
        <v>ko</v>
      </c>
      <c r="B13432">
        <f>IFERROR(__xludf.DUMMYFUNCTION("""COMPUTED_VALUE"""),4465940.0)</f>
        <v>4465940</v>
      </c>
      <c r="C13432" t="str">
        <f>IFERROR(__xludf.DUMMYFUNCTION("""COMPUTED_VALUE"""),"영업왕 (The King Of Sales)")</f>
        <v>영업왕 (The King Of Sales)</v>
      </c>
    </row>
    <row r="13433">
      <c r="A13433" s="140" t="str">
        <f>IFERROR(__xludf.DUMMYFUNCTION("""COMPUTED_VALUE"""),"ja")</f>
        <v>ja</v>
      </c>
      <c r="B13433">
        <f>IFERROR(__xludf.DUMMYFUNCTION("""COMPUTED_VALUE"""),3836050.0)</f>
        <v>3836050</v>
      </c>
      <c r="C13433" t="str">
        <f>IFERROR(__xludf.DUMMYFUNCTION("""COMPUTED_VALUE"""),"【初級〜上級】Adobe Illustratorでパッケージデザインをしよう！台紙・トムソン・箱のデータ作成〜入稿まで！")</f>
        <v>【初級〜上級】Adobe Illustratorでパッケージデザインをしよう！台紙・トムソン・箱のデータ作成〜入稿まで！</v>
      </c>
    </row>
    <row r="13434">
      <c r="A13434" s="140" t="str">
        <f>IFERROR(__xludf.DUMMYFUNCTION("""COMPUTED_VALUE"""),"en")</f>
        <v>en</v>
      </c>
      <c r="B13434">
        <f>IFERROR(__xludf.DUMMYFUNCTION("""COMPUTED_VALUE"""),1422032.0)</f>
        <v>1422032</v>
      </c>
      <c r="C13434" t="str">
        <f>IFERROR(__xludf.DUMMYFUNCTION("""COMPUTED_VALUE"""),"Fundamentals of Rocket Science, with Falcon 9")</f>
        <v>Fundamentals of Rocket Science, with Falcon 9</v>
      </c>
    </row>
    <row r="13435">
      <c r="A13435" s="140" t="str">
        <f>IFERROR(__xludf.DUMMYFUNCTION("""COMPUTED_VALUE"""),"fr")</f>
        <v>fr</v>
      </c>
      <c r="B13435">
        <f>IFERROR(__xludf.DUMMYFUNCTION("""COMPUTED_VALUE"""),3596562.0)</f>
        <v>3596562</v>
      </c>
      <c r="C13435" t="str">
        <f>IFERROR(__xludf.DUMMYFUNCTION("""COMPUTED_VALUE"""),"Créer et modifier des PDF sur Mac")</f>
        <v>Créer et modifier des PDF sur Mac</v>
      </c>
    </row>
    <row r="13436">
      <c r="A13436" s="140" t="str">
        <f>IFERROR(__xludf.DUMMYFUNCTION("""COMPUTED_VALUE"""),"it")</f>
        <v>it</v>
      </c>
      <c r="B13436">
        <f>IFERROR(__xludf.DUMMYFUNCTION("""COMPUTED_VALUE"""),4412636.0)</f>
        <v>4412636</v>
      </c>
      <c r="C13436" t="str">
        <f>IFERROR(__xludf.DUMMYFUNCTION("""COMPUTED_VALUE"""),"Corso Inglese Online: Imparare l'Inglese da 0 Senza Sforzo")</f>
        <v>Corso Inglese Online: Imparare l'Inglese da 0 Senza Sforzo</v>
      </c>
    </row>
    <row r="13437">
      <c r="A13437" s="140" t="str">
        <f>IFERROR(__xludf.DUMMYFUNCTION("""COMPUTED_VALUE"""),"ja")</f>
        <v>ja</v>
      </c>
      <c r="B13437">
        <f>IFERROR(__xludf.DUMMYFUNCTION("""COMPUTED_VALUE"""),4176306.0)</f>
        <v>4176306</v>
      </c>
      <c r="C13437" t="str">
        <f>IFERROR(__xludf.DUMMYFUNCTION("""COMPUTED_VALUE"""),"「Affinity Designer」でプロ並みの年賀状を作る！初心者でもカンタン・オシャレなイラストを描く方法")</f>
        <v>「Affinity Designer」でプロ並みの年賀状を作る！初心者でもカンタン・オシャレなイラストを描く方法</v>
      </c>
    </row>
    <row r="13438">
      <c r="A13438" s="140" t="str">
        <f>IFERROR(__xludf.DUMMYFUNCTION("""COMPUTED_VALUE"""),"en")</f>
        <v>en</v>
      </c>
      <c r="B13438">
        <f>IFERROR(__xludf.DUMMYFUNCTION("""COMPUTED_VALUE"""),3585042.0)</f>
        <v>3585042</v>
      </c>
      <c r="C13438" t="str">
        <f>IFERROR(__xludf.DUMMYFUNCTION("""COMPUTED_VALUE"""),"Master Agile Estimation: Top Techniques for Scrum &amp; Kanban")</f>
        <v>Master Agile Estimation: Top Techniques for Scrum &amp; Kanban</v>
      </c>
    </row>
    <row r="13439">
      <c r="A13439" s="140" t="str">
        <f>IFERROR(__xludf.DUMMYFUNCTION("""COMPUTED_VALUE"""),"en")</f>
        <v>en</v>
      </c>
      <c r="B13439">
        <f>IFERROR(__xludf.DUMMYFUNCTION("""COMPUTED_VALUE"""),4397122.0)</f>
        <v>4397122</v>
      </c>
      <c r="C13439" t="str">
        <f>IFERROR(__xludf.DUMMYFUNCTION("""COMPUTED_VALUE"""),"SC-300: Microsoft Identity and Access Administrator")</f>
        <v>SC-300: Microsoft Identity and Access Administrator</v>
      </c>
    </row>
    <row r="13440">
      <c r="A13440" s="140" t="str">
        <f>IFERROR(__xludf.DUMMYFUNCTION("""COMPUTED_VALUE"""),"ko")</f>
        <v>ko</v>
      </c>
      <c r="B13440">
        <f>IFERROR(__xludf.DUMMYFUNCTION("""COMPUTED_VALUE"""),4192266.0)</f>
        <v>4192266</v>
      </c>
      <c r="C13440" t="str">
        <f>IFERROR(__xludf.DUMMYFUNCTION("""COMPUTED_VALUE"""),"[145시간 분량 강의 제공] Java 기초에서 실무까지 완전정복")</f>
        <v>[145시간 분량 강의 제공] Java 기초에서 실무까지 완전정복</v>
      </c>
    </row>
    <row r="13441">
      <c r="A13441" s="140" t="str">
        <f>IFERROR(__xludf.DUMMYFUNCTION("""COMPUTED_VALUE"""),"it")</f>
        <v>it</v>
      </c>
      <c r="B13441">
        <f>IFERROR(__xludf.DUMMYFUNCTION("""COMPUTED_VALUE"""),1691738.0)</f>
        <v>1691738</v>
      </c>
      <c r="C13441" t="str">
        <f>IFERROR(__xludf.DUMMYFUNCTION("""COMPUTED_VALUE"""),"BITCOIN ETHEREUM E BLOCKCHAIN IMPARA DA ZERO™ QUI (ITA)")</f>
        <v>BITCOIN ETHEREUM E BLOCKCHAIN IMPARA DA ZERO™ QUI (ITA)</v>
      </c>
    </row>
    <row r="13442">
      <c r="A13442" s="140" t="str">
        <f>IFERROR(__xludf.DUMMYFUNCTION("""COMPUTED_VALUE"""),"es")</f>
        <v>es</v>
      </c>
      <c r="B13442">
        <f>IFERROR(__xludf.DUMMYFUNCTION("""COMPUTED_VALUE"""),3132710.0)</f>
        <v>3132710</v>
      </c>
      <c r="C13442" t="str">
        <f>IFERROR(__xludf.DUMMYFUNCTION("""COMPUTED_VALUE"""),"Curso completo del lenguaje Rust")</f>
        <v>Curso completo del lenguaje Rust</v>
      </c>
    </row>
    <row r="13443">
      <c r="A13443" s="140" t="str">
        <f>IFERROR(__xludf.DUMMYFUNCTION("""COMPUTED_VALUE"""),"en")</f>
        <v>en</v>
      </c>
      <c r="B13443">
        <f>IFERROR(__xludf.DUMMYFUNCTION("""COMPUTED_VALUE"""),3452470.0)</f>
        <v>3452470</v>
      </c>
      <c r="C13443" t="str">
        <f>IFERROR(__xludf.DUMMYFUNCTION("""COMPUTED_VALUE"""),"Write Your Own Operating System From Scratch - Step by Step")</f>
        <v>Write Your Own Operating System From Scratch - Step by Step</v>
      </c>
    </row>
    <row r="13444">
      <c r="A13444" s="140" t="str">
        <f>IFERROR(__xludf.DUMMYFUNCTION("""COMPUTED_VALUE"""),"ja")</f>
        <v>ja</v>
      </c>
      <c r="B13444">
        <f>IFERROR(__xludf.DUMMYFUNCTION("""COMPUTED_VALUE"""),4207716.0)</f>
        <v>4207716</v>
      </c>
      <c r="C13444" t="str">
        <f>IFERROR(__xludf.DUMMYFUNCTION("""COMPUTED_VALUE"""),"Flutter開発で最低限知っておきたいDartの基礎知識")</f>
        <v>Flutter開発で最低限知っておきたいDartの基礎知識</v>
      </c>
    </row>
    <row r="13445">
      <c r="A13445" s="140" t="str">
        <f>IFERROR(__xludf.DUMMYFUNCTION("""COMPUTED_VALUE"""),"de")</f>
        <v>de</v>
      </c>
      <c r="B13445">
        <f>IFERROR(__xludf.DUMMYFUNCTION("""COMPUTED_VALUE"""),4003258.0)</f>
        <v>4003258</v>
      </c>
      <c r="C13445" t="str">
        <f>IFERROR(__xludf.DUMMYFUNCTION("""COMPUTED_VALUE"""),"Praxistests | ISTQB Foundation Level Zertifizierung")</f>
        <v>Praxistests | ISTQB Foundation Level Zertifizierung</v>
      </c>
    </row>
    <row r="13446">
      <c r="A13446" s="140" t="str">
        <f>IFERROR(__xludf.DUMMYFUNCTION("""COMPUTED_VALUE"""),"en")</f>
        <v>en</v>
      </c>
      <c r="B13446">
        <f>IFERROR(__xludf.DUMMYFUNCTION("""COMPUTED_VALUE"""),4272030.0)</f>
        <v>4272030</v>
      </c>
      <c r="C13446" t="str">
        <f>IFERROR(__xludf.DUMMYFUNCTION("""COMPUTED_VALUE"""),"Let's Build a Go version of Laravel")</f>
        <v>Let's Build a Go version of Laravel</v>
      </c>
    </row>
    <row r="13447">
      <c r="A13447" s="140" t="str">
        <f>IFERROR(__xludf.DUMMYFUNCTION("""COMPUTED_VALUE"""),"fr")</f>
        <v>fr</v>
      </c>
      <c r="B13447">
        <f>IFERROR(__xludf.DUMMYFUNCTION("""COMPUTED_VALUE"""),3235725.0)</f>
        <v>3235725</v>
      </c>
      <c r="C13447" t="str">
        <f>IFERROR(__xludf.DUMMYFUNCTION("""COMPUTED_VALUE"""),"Svelte de A à Z")</f>
        <v>Svelte de A à Z</v>
      </c>
    </row>
    <row r="13448">
      <c r="A13448" s="140" t="str">
        <f>IFERROR(__xludf.DUMMYFUNCTION("""COMPUTED_VALUE"""),"ja")</f>
        <v>ja</v>
      </c>
      <c r="B13448">
        <f>IFERROR(__xludf.DUMMYFUNCTION("""COMPUTED_VALUE"""),3529738.0)</f>
        <v>3529738</v>
      </c>
      <c r="C13448" t="str">
        <f>IFERROR(__xludf.DUMMYFUNCTION("""COMPUTED_VALUE"""),"C#でモダンなUIを作る方法：MetroFrameworkを使ってWindowsフォームをオシャレにする")</f>
        <v>C#でモダンなUIを作る方法：MetroFrameworkを使ってWindowsフォームをオシャレにする</v>
      </c>
    </row>
    <row r="13449">
      <c r="A13449" s="140" t="str">
        <f>IFERROR(__xludf.DUMMYFUNCTION("""COMPUTED_VALUE"""),"ko")</f>
        <v>ko</v>
      </c>
      <c r="B13449">
        <f>IFERROR(__xludf.DUMMYFUNCTION("""COMPUTED_VALUE"""),4433928.0)</f>
        <v>4433928</v>
      </c>
      <c r="C13449" t="str">
        <f>IFERROR(__xludf.DUMMYFUNCTION("""COMPUTED_VALUE"""),"【글로벌 Best】 Udemy 완벽 마스터: 성공적인 온라인 강의 만들기 – Unofficial (한글자막)")</f>
        <v>【글로벌 Best】 Udemy 완벽 마스터: 성공적인 온라인 강의 만들기 – Unofficial (한글자막)</v>
      </c>
    </row>
    <row r="13450">
      <c r="A13450" s="140" t="str">
        <f>IFERROR(__xludf.DUMMYFUNCTION("""COMPUTED_VALUE"""),"en")</f>
        <v>en</v>
      </c>
      <c r="B13450">
        <f>IFERROR(__xludf.DUMMYFUNCTION("""COMPUTED_VALUE"""),327666.0)</f>
        <v>327666</v>
      </c>
      <c r="C13450" t="str">
        <f>IFERROR(__xludf.DUMMYFUNCTION("""COMPUTED_VALUE"""),"Complete Beginner's Guide to Digital Art")</f>
        <v>Complete Beginner's Guide to Digital Art</v>
      </c>
    </row>
    <row r="13451">
      <c r="A13451" s="140" t="str">
        <f>IFERROR(__xludf.DUMMYFUNCTION("""COMPUTED_VALUE"""),"en")</f>
        <v>en</v>
      </c>
      <c r="B13451">
        <f>IFERROR(__xludf.DUMMYFUNCTION("""COMPUTED_VALUE"""),2633820.0)</f>
        <v>2633820</v>
      </c>
      <c r="C13451" t="str">
        <f>IFERROR(__xludf.DUMMYFUNCTION("""COMPUTED_VALUE"""),"Ultimate Electrical machines|AC/DC motor drive|VFD|MATLAB")</f>
        <v>Ultimate Electrical machines|AC/DC motor drive|VFD|MATLAB</v>
      </c>
    </row>
    <row r="13452">
      <c r="A13452" s="140" t="str">
        <f>IFERROR(__xludf.DUMMYFUNCTION("""COMPUTED_VALUE"""),"pt")</f>
        <v>pt</v>
      </c>
      <c r="B13452">
        <f>IFERROR(__xludf.DUMMYFUNCTION("""COMPUTED_VALUE"""),3406806.0)</f>
        <v>3406806</v>
      </c>
      <c r="C13452" t="str">
        <f>IFERROR(__xludf.DUMMYFUNCTION("""COMPUTED_VALUE"""),"Aprenda o Windows 10 do Zero")</f>
        <v>Aprenda o Windows 10 do Zero</v>
      </c>
    </row>
    <row r="13453">
      <c r="A13453" s="140" t="str">
        <f>IFERROR(__xludf.DUMMYFUNCTION("""COMPUTED_VALUE"""),"it")</f>
        <v>it</v>
      </c>
      <c r="B13453">
        <f>IFERROR(__xludf.DUMMYFUNCTION("""COMPUTED_VALUE"""),4207208.0)</f>
        <v>4207208</v>
      </c>
      <c r="C13453" t="str">
        <f>IFERROR(__xludf.DUMMYFUNCTION("""COMPUTED_VALUE"""),"Risk Management")</f>
        <v>Risk Management</v>
      </c>
    </row>
    <row r="13454">
      <c r="A13454" s="140" t="str">
        <f>IFERROR(__xludf.DUMMYFUNCTION("""COMPUTED_VALUE"""),"fr")</f>
        <v>fr</v>
      </c>
      <c r="B13454">
        <f>IFERROR(__xludf.DUMMYFUNCTION("""COMPUTED_VALUE"""),3593946.0)</f>
        <v>3593946</v>
      </c>
      <c r="C13454" t="str">
        <f>IFERROR(__xludf.DUMMYFUNCTION("""COMPUTED_VALUE"""),"Prérequis MACHINE LEARNING — Python | Numpy | Mathématiques")</f>
        <v>Prérequis MACHINE LEARNING — Python | Numpy | Mathématiques</v>
      </c>
    </row>
    <row r="13455">
      <c r="A13455" s="140" t="str">
        <f>IFERROR(__xludf.DUMMYFUNCTION("""COMPUTED_VALUE"""),"fr")</f>
        <v>fr</v>
      </c>
      <c r="B13455">
        <f>IFERROR(__xludf.DUMMYFUNCTION("""COMPUTED_VALUE"""),2351182.0)</f>
        <v>2351182</v>
      </c>
      <c r="C13455" t="str">
        <f>IFERROR(__xludf.DUMMYFUNCTION("""COMPUTED_VALUE"""),"The Ultimate Guide to Pass the TEFaQ")</f>
        <v>The Ultimate Guide to Pass the TEFaQ</v>
      </c>
    </row>
    <row r="13456">
      <c r="A13456" s="140" t="str">
        <f>IFERROR(__xludf.DUMMYFUNCTION("""COMPUTED_VALUE"""),"de")</f>
        <v>de</v>
      </c>
      <c r="B13456">
        <f>IFERROR(__xludf.DUMMYFUNCTION("""COMPUTED_VALUE"""),1230976.0)</f>
        <v>1230976</v>
      </c>
      <c r="C13456" t="str">
        <f>IFERROR(__xludf.DUMMYFUNCTION("""COMPUTED_VALUE"""),"Project Leadership - Führungskompetenz im Projekt")</f>
        <v>Project Leadership - Führungskompetenz im Projekt</v>
      </c>
    </row>
    <row r="13457">
      <c r="A13457" s="140" t="str">
        <f>IFERROR(__xludf.DUMMYFUNCTION("""COMPUTED_VALUE"""),"fr")</f>
        <v>fr</v>
      </c>
      <c r="B13457">
        <f>IFERROR(__xludf.DUMMYFUNCTION("""COMPUTED_VALUE"""),2791112.0)</f>
        <v>2791112</v>
      </c>
      <c r="C13457" t="str">
        <f>IFERROR(__xludf.DUMMYFUNCTION("""COMPUTED_VALUE"""),"Microsoft PowerBi A-Z™ : Maîtriser les bases (en 90min !)")</f>
        <v>Microsoft PowerBi A-Z™ : Maîtriser les bases (en 90min !)</v>
      </c>
    </row>
    <row r="13458">
      <c r="A13458" s="140" t="str">
        <f>IFERROR(__xludf.DUMMYFUNCTION("""COMPUTED_VALUE"""),"ja")</f>
        <v>ja</v>
      </c>
      <c r="B13458">
        <f>IFERROR(__xludf.DUMMYFUNCTION("""COMPUTED_VALUE"""),3314128.0)</f>
        <v>3314128</v>
      </c>
      <c r="C13458" t="str">
        <f>IFERROR(__xludf.DUMMYFUNCTION("""COMPUTED_VALUE"""),"【続】Microsoft - Excel Power Pivot 入門講座  DAX-TABLE FUNCTION特訓編")</f>
        <v>【続】Microsoft - Excel Power Pivot 入門講座  DAX-TABLE FUNCTION特訓編</v>
      </c>
    </row>
    <row r="13459">
      <c r="A13459" s="140" t="str">
        <f>IFERROR(__xludf.DUMMYFUNCTION("""COMPUTED_VALUE"""),"ja")</f>
        <v>ja</v>
      </c>
      <c r="B13459">
        <f>IFERROR(__xludf.DUMMYFUNCTION("""COMPUTED_VALUE"""),3859760.0)</f>
        <v>3859760</v>
      </c>
      <c r="C13459" t="str">
        <f>IFERROR(__xludf.DUMMYFUNCTION("""COMPUTED_VALUE"""),"【続】Microsoft Power BI Desktop- 入門講座 DAX-TABLE FUNC.特訓編 Part2")</f>
        <v>【続】Microsoft Power BI Desktop- 入門講座 DAX-TABLE FUNC.特訓編 Part2</v>
      </c>
    </row>
    <row r="13460">
      <c r="A13460" s="140" t="str">
        <f>IFERROR(__xludf.DUMMYFUNCTION("""COMPUTED_VALUE"""),"ja")</f>
        <v>ja</v>
      </c>
      <c r="B13460">
        <f>IFERROR(__xludf.DUMMYFUNCTION("""COMPUTED_VALUE"""),3442708.0)</f>
        <v>3442708</v>
      </c>
      <c r="C13460" t="str">
        <f>IFERROR(__xludf.DUMMYFUNCTION("""COMPUTED_VALUE"""),"Power Pivot Zero")</f>
        <v>Power Pivot Zero</v>
      </c>
    </row>
    <row r="13461">
      <c r="A13461" s="140" t="str">
        <f>IFERROR(__xludf.DUMMYFUNCTION("""COMPUTED_VALUE"""),"de")</f>
        <v>de</v>
      </c>
      <c r="B13461">
        <f>IFERROR(__xludf.DUMMYFUNCTION("""COMPUTED_VALUE"""),4219610.0)</f>
        <v>4219610</v>
      </c>
      <c r="C13461" t="str">
        <f>IFERROR(__xludf.DUMMYFUNCTION("""COMPUTED_VALUE"""),"Technische Analyse – Praxisnah erklärt")</f>
        <v>Technische Analyse – Praxisnah erklärt</v>
      </c>
    </row>
    <row r="13462">
      <c r="A13462" s="140" t="str">
        <f>IFERROR(__xludf.DUMMYFUNCTION("""COMPUTED_VALUE"""),"pt")</f>
        <v>pt</v>
      </c>
      <c r="B13462">
        <f>IFERROR(__xludf.DUMMYFUNCTION("""COMPUTED_VALUE"""),4274084.0)</f>
        <v>4274084</v>
      </c>
      <c r="C13462" t="str">
        <f>IFERROR(__xludf.DUMMYFUNCTION("""COMPUTED_VALUE"""),"Domine Apache Kafka, Fundamentos e Aplicações Reais [2022]")</f>
        <v>Domine Apache Kafka, Fundamentos e Aplicações Reais [2022]</v>
      </c>
    </row>
    <row r="13463">
      <c r="A13463" s="140" t="str">
        <f>IFERROR(__xludf.DUMMYFUNCTION("""COMPUTED_VALUE"""),"de")</f>
        <v>de</v>
      </c>
      <c r="B13463">
        <f>IFERROR(__xludf.DUMMYFUNCTION("""COMPUTED_VALUE"""),1986332.0)</f>
        <v>1986332</v>
      </c>
      <c r="C13463" t="str">
        <f>IFERROR(__xludf.DUMMYFUNCTION("""COMPUTED_VALUE"""),"Metasploit Framework Basics (Ethical Hacking)")</f>
        <v>Metasploit Framework Basics (Ethical Hacking)</v>
      </c>
    </row>
    <row r="13464">
      <c r="A13464" s="140" t="str">
        <f>IFERROR(__xludf.DUMMYFUNCTION("""COMPUTED_VALUE"""),"en")</f>
        <v>en</v>
      </c>
      <c r="B13464">
        <f>IFERROR(__xludf.DUMMYFUNCTION("""COMPUTED_VALUE"""),4025832.0)</f>
        <v>4025832</v>
      </c>
      <c r="C13464" t="str">
        <f>IFERROR(__xludf.DUMMYFUNCTION("""COMPUTED_VALUE"""),"Linear Algebra and Geometry 1")</f>
        <v>Linear Algebra and Geometry 1</v>
      </c>
    </row>
    <row r="13465">
      <c r="A13465" s="140" t="str">
        <f>IFERROR(__xludf.DUMMYFUNCTION("""COMPUTED_VALUE"""),"en")</f>
        <v>en</v>
      </c>
      <c r="B13465">
        <f>IFERROR(__xludf.DUMMYFUNCTION("""COMPUTED_VALUE"""),3969182.0)</f>
        <v>3969182</v>
      </c>
      <c r="C13465" t="str">
        <f>IFERROR(__xludf.DUMMYFUNCTION("""COMPUTED_VALUE"""),"Python Programming Master Course (2022)")</f>
        <v>Python Programming Master Course (2022)</v>
      </c>
    </row>
    <row r="13466">
      <c r="A13466" s="140" t="str">
        <f>IFERROR(__xludf.DUMMYFUNCTION("""COMPUTED_VALUE"""),"en")</f>
        <v>en</v>
      </c>
      <c r="B13466">
        <f>IFERROR(__xludf.DUMMYFUNCTION("""COMPUTED_VALUE"""),2532450.0)</f>
        <v>2532450</v>
      </c>
      <c r="C13466" t="str">
        <f>IFERROR(__xludf.DUMMYFUNCTION("""COMPUTED_VALUE"""),"Cisco WLC Training ( Install , Configure , Maintain ) ENWLSI")</f>
        <v>Cisco WLC Training ( Install , Configure , Maintain ) ENWLSI</v>
      </c>
    </row>
    <row r="13467">
      <c r="A13467" s="140" t="str">
        <f>IFERROR(__xludf.DUMMYFUNCTION("""COMPUTED_VALUE"""),"fr")</f>
        <v>fr</v>
      </c>
      <c r="B13467">
        <f>IFERROR(__xludf.DUMMYFUNCTION("""COMPUTED_VALUE"""),3911546.0)</f>
        <v>3911546</v>
      </c>
      <c r="C13467" t="str">
        <f>IFERROR(__xludf.DUMMYFUNCTION("""COMPUTED_VALUE"""),"La Bible des Chandeliers en Trading : Candlestick Trading")</f>
        <v>La Bible des Chandeliers en Trading : Candlestick Trading</v>
      </c>
    </row>
    <row r="13468">
      <c r="A13468" s="140" t="str">
        <f>IFERROR(__xludf.DUMMYFUNCTION("""COMPUTED_VALUE"""),"ko")</f>
        <v>ko</v>
      </c>
      <c r="B13468">
        <f>IFERROR(__xludf.DUMMYFUNCTION("""COMPUTED_VALUE"""),4390834.0)</f>
        <v>4390834</v>
      </c>
      <c r="C13468" t="str">
        <f>IFERROR(__xludf.DUMMYFUNCTION("""COMPUTED_VALUE"""),"하루 10분으로 끝내는 실전 포토샵 Photoshop")</f>
        <v>하루 10분으로 끝내는 실전 포토샵 Photoshop</v>
      </c>
    </row>
    <row r="13469">
      <c r="A13469" s="140" t="str">
        <f>IFERROR(__xludf.DUMMYFUNCTION("""COMPUTED_VALUE"""),"it")</f>
        <v>it</v>
      </c>
      <c r="B13469">
        <f>IFERROR(__xludf.DUMMYFUNCTION("""COMPUTED_VALUE"""),2829784.0)</f>
        <v>2829784</v>
      </c>
      <c r="C13469" t="str">
        <f>IFERROR(__xludf.DUMMYFUNCTION("""COMPUTED_VALUE"""),"Meditazione e Mindfulness: Facile Corso Teorico-Pratico")</f>
        <v>Meditazione e Mindfulness: Facile Corso Teorico-Pratico</v>
      </c>
    </row>
    <row r="13470">
      <c r="A13470" s="140" t="str">
        <f>IFERROR(__xludf.DUMMYFUNCTION("""COMPUTED_VALUE"""),"ja")</f>
        <v>ja</v>
      </c>
      <c r="B13470">
        <f>IFERROR(__xludf.DUMMYFUNCTION("""COMPUTED_VALUE"""),4365396.0)</f>
        <v>4365396</v>
      </c>
      <c r="C13470" t="str">
        <f>IFERROR(__xludf.DUMMYFUNCTION("""COMPUTED_VALUE"""),"初心者入門 After Effects（アフターエフェクト）モーショングラフィックス基礎講座【14時間フル学習コース】")</f>
        <v>初心者入門 After Effects（アフターエフェクト）モーショングラフィックス基礎講座【14時間フル学習コース】</v>
      </c>
    </row>
    <row r="13471">
      <c r="A13471" s="140" t="str">
        <f>IFERROR(__xludf.DUMMYFUNCTION("""COMPUTED_VALUE"""),"it")</f>
        <v>it</v>
      </c>
      <c r="B13471">
        <f>IFERROR(__xludf.DUMMYFUNCTION("""COMPUTED_VALUE"""),1274448.0)</f>
        <v>1274448</v>
      </c>
      <c r="C13471" t="str">
        <f>IFERROR(__xludf.DUMMYFUNCTION("""COMPUTED_VALUE"""),"IOS , XCODE e SWIFT  : Sviluppo di app per principianti")</f>
        <v>IOS , XCODE e SWIFT  : Sviluppo di app per principianti</v>
      </c>
    </row>
    <row r="13472">
      <c r="A13472" s="140" t="str">
        <f>IFERROR(__xludf.DUMMYFUNCTION("""COMPUTED_VALUE"""),"de")</f>
        <v>de</v>
      </c>
      <c r="B13472">
        <f>IFERROR(__xludf.DUMMYFUNCTION("""COMPUTED_VALUE"""),1208848.0)</f>
        <v>1208848</v>
      </c>
      <c r="C13472" t="str">
        <f>IFERROR(__xludf.DUMMYFUNCTION("""COMPUTED_VALUE"""),"Funktionen mit mehreren Variablen")</f>
        <v>Funktionen mit mehreren Variablen</v>
      </c>
    </row>
    <row r="13473">
      <c r="A13473" s="140" t="str">
        <f>IFERROR(__xludf.DUMMYFUNCTION("""COMPUTED_VALUE"""),"pt")</f>
        <v>pt</v>
      </c>
      <c r="B13473">
        <f>IFERROR(__xludf.DUMMYFUNCTION("""COMPUTED_VALUE"""),4247910.0)</f>
        <v>4247910</v>
      </c>
      <c r="C13473" t="str">
        <f>IFERROR(__xludf.DUMMYFUNCTION("""COMPUTED_VALUE"""),"Curso Completo Adobe Photoshop 2022 - Básico ao Avançado")</f>
        <v>Curso Completo Adobe Photoshop 2022 - Básico ao Avançado</v>
      </c>
    </row>
    <row r="13474">
      <c r="A13474" s="140" t="str">
        <f>IFERROR(__xludf.DUMMYFUNCTION("""COMPUTED_VALUE"""),"pt")</f>
        <v>pt</v>
      </c>
      <c r="B13474">
        <f>IFERROR(__xludf.DUMMYFUNCTION("""COMPUTED_VALUE"""),2035958.0)</f>
        <v>2035958</v>
      </c>
      <c r="C13474" t="str">
        <f>IFERROR(__xludf.DUMMYFUNCTION("""COMPUTED_VALUE"""),"Estatística Descritiva com Python")</f>
        <v>Estatística Descritiva com Python</v>
      </c>
    </row>
    <row r="13475">
      <c r="A13475" s="140" t="str">
        <f>IFERROR(__xludf.DUMMYFUNCTION("""COMPUTED_VALUE"""),"en")</f>
        <v>en</v>
      </c>
      <c r="B13475">
        <f>IFERROR(__xludf.DUMMYFUNCTION("""COMPUTED_VALUE"""),3395190.0)</f>
        <v>3395190</v>
      </c>
      <c r="C13475" t="str">
        <f>IFERROR(__xludf.DUMMYFUNCTION("""COMPUTED_VALUE"""),"Milestone Xprotect VMS from scratch : Pre sales &amp; technical")</f>
        <v>Milestone Xprotect VMS from scratch : Pre sales &amp; technical</v>
      </c>
    </row>
    <row r="13476">
      <c r="A13476" s="140" t="str">
        <f>IFERROR(__xludf.DUMMYFUNCTION("""COMPUTED_VALUE"""),"ko")</f>
        <v>ko</v>
      </c>
      <c r="B13476">
        <f>IFERROR(__xludf.DUMMYFUNCTION("""COMPUTED_VALUE"""),4390362.0)</f>
        <v>4390362</v>
      </c>
      <c r="C13476" t="str">
        <f>IFERROR(__xludf.DUMMYFUNCTION("""COMPUTED_VALUE"""),"【글로벌 Best】 PMP 수학 준비 - PMP 수학과 공식들 (한글 자막)")</f>
        <v>【글로벌 Best】 PMP 수학 준비 - PMP 수학과 공식들 (한글 자막)</v>
      </c>
    </row>
    <row r="13477">
      <c r="A13477" s="140" t="str">
        <f>IFERROR(__xludf.DUMMYFUNCTION("""COMPUTED_VALUE"""),"it")</f>
        <v>it</v>
      </c>
      <c r="B13477">
        <f>IFERROR(__xludf.DUMMYFUNCTION("""COMPUTED_VALUE"""),3981910.0)</f>
        <v>3981910</v>
      </c>
      <c r="C13477" t="str">
        <f>IFERROR(__xludf.DUMMYFUNCTION("""COMPUTED_VALUE"""),"Google search, web scraping e trends.L'arte della ricerca.")</f>
        <v>Google search, web scraping e trends.L'arte della ricerca.</v>
      </c>
    </row>
    <row r="13478">
      <c r="A13478" s="140" t="str">
        <f>IFERROR(__xludf.DUMMYFUNCTION("""COMPUTED_VALUE"""),"de")</f>
        <v>de</v>
      </c>
      <c r="B13478">
        <f>IFERROR(__xludf.DUMMYFUNCTION("""COMPUTED_VALUE"""),2153864.0)</f>
        <v>2153864</v>
      </c>
      <c r="C13478" t="str">
        <f>IFERROR(__xludf.DUMMYFUNCTION("""COMPUTED_VALUE"""),"Deutsch B2 - Deutsch für Fortgeschrittene")</f>
        <v>Deutsch B2 - Deutsch für Fortgeschrittene</v>
      </c>
    </row>
    <row r="13479">
      <c r="A13479" s="140" t="str">
        <f>IFERROR(__xludf.DUMMYFUNCTION("""COMPUTED_VALUE"""),"ko")</f>
        <v>ko</v>
      </c>
      <c r="B13479">
        <f>IFERROR(__xludf.DUMMYFUNCTION("""COMPUTED_VALUE"""),4318046.0)</f>
        <v>4318046</v>
      </c>
      <c r="C13479" t="str">
        <f>IFERROR(__xludf.DUMMYFUNCTION("""COMPUTED_VALUE"""),"메타버스 게더타운 스페이스 만들기")</f>
        <v>메타버스 게더타운 스페이스 만들기</v>
      </c>
    </row>
    <row r="13480">
      <c r="A13480" s="140" t="str">
        <f>IFERROR(__xludf.DUMMYFUNCTION("""COMPUTED_VALUE"""),"ja")</f>
        <v>ja</v>
      </c>
      <c r="B13480">
        <f>IFERROR(__xludf.DUMMYFUNCTION("""COMPUTED_VALUE"""),4030326.0)</f>
        <v>4030326</v>
      </c>
      <c r="C13480" t="str">
        <f>IFERROR(__xludf.DUMMYFUNCTION("""COMPUTED_VALUE"""),"みんなのデータサイエンス講座 -Python、Colab、Kaggleで基礎から学び親しむ「データ」の世界-")</f>
        <v>みんなのデータサイエンス講座 -Python、Colab、Kaggleで基礎から学び親しむ「データ」の世界-</v>
      </c>
    </row>
    <row r="13481">
      <c r="A13481" s="140" t="str">
        <f>IFERROR(__xludf.DUMMYFUNCTION("""COMPUTED_VALUE"""),"en")</f>
        <v>en</v>
      </c>
      <c r="B13481">
        <f>IFERROR(__xludf.DUMMYFUNCTION("""COMPUTED_VALUE"""),4099146.0)</f>
        <v>4099146</v>
      </c>
      <c r="C13481" t="str">
        <f>IFERROR(__xludf.DUMMYFUNCTION("""COMPUTED_VALUE"""),"Microservices Development Revolution with .Net5 and Dapr")</f>
        <v>Microservices Development Revolution with .Net5 and Dapr</v>
      </c>
    </row>
    <row r="13482">
      <c r="A13482" s="140" t="str">
        <f>IFERROR(__xludf.DUMMYFUNCTION("""COMPUTED_VALUE"""),"fr")</f>
        <v>fr</v>
      </c>
      <c r="B13482">
        <f>IFERROR(__xludf.DUMMYFUNCTION("""COMPUTED_VALUE"""),1623212.0)</f>
        <v>1623212</v>
      </c>
      <c r="C13482" t="str">
        <f>IFERROR(__xludf.DUMMYFUNCTION("""COMPUTED_VALUE"""),"Business Intelligence SSIS")</f>
        <v>Business Intelligence SSIS</v>
      </c>
    </row>
    <row r="13483">
      <c r="A13483" s="140" t="str">
        <f>IFERROR(__xludf.DUMMYFUNCTION("""COMPUTED_VALUE"""),"ko")</f>
        <v>ko</v>
      </c>
      <c r="B13483">
        <f>IFERROR(__xludf.DUMMYFUNCTION("""COMPUTED_VALUE"""),3978660.0)</f>
        <v>3978660</v>
      </c>
      <c r="C13483" t="str">
        <f>IFERROR(__xludf.DUMMYFUNCTION("""COMPUTED_VALUE"""),"모두의 일러스트레이터 CC")</f>
        <v>모두의 일러스트레이터 CC</v>
      </c>
    </row>
    <row r="13484">
      <c r="A13484" s="140" t="str">
        <f>IFERROR(__xludf.DUMMYFUNCTION("""COMPUTED_VALUE"""),"fr")</f>
        <v>fr</v>
      </c>
      <c r="B13484">
        <f>IFERROR(__xludf.DUMMYFUNCTION("""COMPUTED_VALUE"""),3002336.0)</f>
        <v>3002336</v>
      </c>
      <c r="C13484" t="str">
        <f>IFERROR(__xludf.DUMMYFUNCTION("""COMPUTED_VALUE"""),"Développeur PHP: la formation  complète")</f>
        <v>Développeur PHP: la formation  complète</v>
      </c>
    </row>
    <row r="13485">
      <c r="A13485" s="140" t="str">
        <f>IFERROR(__xludf.DUMMYFUNCTION("""COMPUTED_VALUE"""),"pt")</f>
        <v>pt</v>
      </c>
      <c r="B13485">
        <f>IFERROR(__xludf.DUMMYFUNCTION("""COMPUTED_VALUE"""),2641124.0)</f>
        <v>2641124</v>
      </c>
      <c r="C13485" t="str">
        <f>IFERROR(__xludf.DUMMYFUNCTION("""COMPUTED_VALUE"""),"Microsoft Excel | O Guia COMPLETO + 3 Cursos EXTRAS")</f>
        <v>Microsoft Excel | O Guia COMPLETO + 3 Cursos EXTRAS</v>
      </c>
    </row>
    <row r="13486">
      <c r="A13486" s="140" t="str">
        <f>IFERROR(__xludf.DUMMYFUNCTION("""COMPUTED_VALUE"""),"it")</f>
        <v>it</v>
      </c>
      <c r="B13486">
        <f>IFERROR(__xludf.DUMMYFUNCTION("""COMPUTED_VALUE"""),3820750.0)</f>
        <v>3820750</v>
      </c>
      <c r="C13486" t="str">
        <f>IFERROR(__xludf.DUMMYFUNCTION("""COMPUTED_VALUE"""),"Corso Completo di Spagnolo: Spagnolo per Principianti")</f>
        <v>Corso Completo di Spagnolo: Spagnolo per Principianti</v>
      </c>
    </row>
    <row r="13487">
      <c r="A13487" s="140" t="str">
        <f>IFERROR(__xludf.DUMMYFUNCTION("""COMPUTED_VALUE"""),"fr")</f>
        <v>fr</v>
      </c>
      <c r="B13487">
        <f>IFERROR(__xludf.DUMMYFUNCTION("""COMPUTED_VALUE"""),1506840.0)</f>
        <v>1506840</v>
      </c>
      <c r="C13487" t="str">
        <f>IFERROR(__xludf.DUMMYFUNCTION("""COMPUTED_VALUE"""),"iOS: Créez un clone d'Instagram avec Swift 4 et Firebase")</f>
        <v>iOS: Créez un clone d'Instagram avec Swift 4 et Firebase</v>
      </c>
    </row>
    <row r="13488">
      <c r="A13488" s="140" t="str">
        <f>IFERROR(__xludf.DUMMYFUNCTION("""COMPUTED_VALUE"""),"fr")</f>
        <v>fr</v>
      </c>
      <c r="B13488">
        <f>IFERROR(__xludf.DUMMYFUNCTION("""COMPUTED_VALUE"""),2755338.0)</f>
        <v>2755338</v>
      </c>
      <c r="C13488" t="str">
        <f>IFERROR(__xludf.DUMMYFUNCTION("""COMPUTED_VALUE"""),"Apprendre l'anglais :Parlez couramment l'anglais en 30 jours")</f>
        <v>Apprendre l'anglais :Parlez couramment l'anglais en 30 jours</v>
      </c>
    </row>
    <row r="13489">
      <c r="A13489" s="140" t="str">
        <f>IFERROR(__xludf.DUMMYFUNCTION("""COMPUTED_VALUE"""),"fr")</f>
        <v>fr</v>
      </c>
      <c r="B13489">
        <f>IFERROR(__xludf.DUMMYFUNCTION("""COMPUTED_VALUE"""),3376968.0)</f>
        <v>3376968</v>
      </c>
      <c r="C13489" t="str">
        <f>IFERROR(__xludf.DUMMYFUNCTION("""COMPUTED_VALUE"""),"Les fondements de DevOps : Certificat Exin DevOps Foundation")</f>
        <v>Les fondements de DevOps : Certificat Exin DevOps Foundation</v>
      </c>
    </row>
    <row r="13490">
      <c r="A13490" s="140" t="str">
        <f>IFERROR(__xludf.DUMMYFUNCTION("""COMPUTED_VALUE"""),"pt")</f>
        <v>pt</v>
      </c>
      <c r="B13490">
        <f>IFERROR(__xludf.DUMMYFUNCTION("""COMPUTED_VALUE"""),4261280.0)</f>
        <v>4261280</v>
      </c>
      <c r="C13490" t="str">
        <f>IFERROR(__xludf.DUMMYFUNCTION("""COMPUTED_VALUE"""),"Liderança e Gestão de Pessoas | Formação COMPLETA + 5 Extras")</f>
        <v>Liderança e Gestão de Pessoas | Formação COMPLETA + 5 Extras</v>
      </c>
    </row>
    <row r="13491">
      <c r="A13491" s="140" t="str">
        <f>IFERROR(__xludf.DUMMYFUNCTION("""COMPUTED_VALUE"""),"it")</f>
        <v>it</v>
      </c>
      <c r="B13491">
        <f>IFERROR(__xludf.DUMMYFUNCTION("""COMPUTED_VALUE"""),2285161.0)</f>
        <v>2285161</v>
      </c>
      <c r="C13491" t="str">
        <f>IFERROR(__xludf.DUMMYFUNCTION("""COMPUTED_VALUE"""),"Corso rapido su Luminar 3 da zero! In Italiano")</f>
        <v>Corso rapido su Luminar 3 da zero! In Italiano</v>
      </c>
    </row>
    <row r="13492">
      <c r="A13492" s="140" t="str">
        <f>IFERROR(__xludf.DUMMYFUNCTION("""COMPUTED_VALUE"""),"it")</f>
        <v>it</v>
      </c>
      <c r="B13492">
        <f>IFERROR(__xludf.DUMMYFUNCTION("""COMPUTED_VALUE"""),4047288.0)</f>
        <v>4047288</v>
      </c>
      <c r="C13492" t="str">
        <f>IFERROR(__xludf.DUMMYFUNCTION("""COMPUTED_VALUE"""),"Unreal Engine 4 e 5 in C++")</f>
        <v>Unreal Engine 4 e 5 in C++</v>
      </c>
    </row>
    <row r="13493">
      <c r="A13493" s="140" t="str">
        <f>IFERROR(__xludf.DUMMYFUNCTION("""COMPUTED_VALUE"""),"en")</f>
        <v>en</v>
      </c>
      <c r="B13493">
        <f>IFERROR(__xludf.DUMMYFUNCTION("""COMPUTED_VALUE"""),2460442.0)</f>
        <v>2460442</v>
      </c>
      <c r="C13493" t="str">
        <f>IFERROR(__xludf.DUMMYFUNCTION("""COMPUTED_VALUE"""),"The Complete iOS 15 / iOS 14 Developer Course - and SwiftUI!")</f>
        <v>The Complete iOS 15 / iOS 14 Developer Course - and SwiftUI!</v>
      </c>
    </row>
    <row r="13494">
      <c r="A13494" s="140" t="str">
        <f>IFERROR(__xludf.DUMMYFUNCTION("""COMPUTED_VALUE"""),"fr")</f>
        <v>fr</v>
      </c>
      <c r="B13494">
        <f>IFERROR(__xludf.DUMMYFUNCTION("""COMPUTED_VALUE"""),1260958.0)</f>
        <v>1260958</v>
      </c>
      <c r="C13494" t="str">
        <f>IFERROR(__xludf.DUMMYFUNCTION("""COMPUTED_VALUE"""),"Développer pour iOS 11 avec Swift 4")</f>
        <v>Développer pour iOS 11 avec Swift 4</v>
      </c>
    </row>
    <row r="13495">
      <c r="A13495" s="140" t="str">
        <f>IFERROR(__xludf.DUMMYFUNCTION("""COMPUTED_VALUE"""),"en")</f>
        <v>en</v>
      </c>
      <c r="B13495">
        <f>IFERROR(__xludf.DUMMYFUNCTION("""COMPUTED_VALUE"""),3496080.0)</f>
        <v>3496080</v>
      </c>
      <c r="C13495" t="str">
        <f>IFERROR(__xludf.DUMMYFUNCTION("""COMPUTED_VALUE"""),"Safeguarding Children Level One")</f>
        <v>Safeguarding Children Level One</v>
      </c>
    </row>
    <row r="13496">
      <c r="A13496" s="140" t="str">
        <f>IFERROR(__xludf.DUMMYFUNCTION("""COMPUTED_VALUE"""),"de")</f>
        <v>de</v>
      </c>
      <c r="B13496">
        <f>IFERROR(__xludf.DUMMYFUNCTION("""COMPUTED_VALUE"""),4217730.0)</f>
        <v>4217730</v>
      </c>
      <c r="C13496" t="str">
        <f>IFERROR(__xludf.DUMMYFUNCTION("""COMPUTED_VALUE"""),"Flutter leicht gemacht 2022 - Zero to Mastery!")</f>
        <v>Flutter leicht gemacht 2022 - Zero to Mastery!</v>
      </c>
    </row>
    <row r="13497">
      <c r="A13497" s="140" t="str">
        <f>IFERROR(__xludf.DUMMYFUNCTION("""COMPUTED_VALUE"""),"en")</f>
        <v>en</v>
      </c>
      <c r="B13497">
        <f>IFERROR(__xludf.DUMMYFUNCTION("""COMPUTED_VALUE"""),4214498.0)</f>
        <v>4214498</v>
      </c>
      <c r="C13497" t="str">
        <f>IFERROR(__xludf.DUMMYFUNCTION("""COMPUTED_VALUE"""),"Python GUI Development with PyQt6 &amp; Qt Designer")</f>
        <v>Python GUI Development with PyQt6 &amp; Qt Designer</v>
      </c>
    </row>
    <row r="13498">
      <c r="A13498" s="140" t="str">
        <f>IFERROR(__xludf.DUMMYFUNCTION("""COMPUTED_VALUE"""),"it")</f>
        <v>it</v>
      </c>
      <c r="B13498">
        <f>IFERROR(__xludf.DUMMYFUNCTION("""COMPUTED_VALUE"""),795804.0)</f>
        <v>795804</v>
      </c>
      <c r="C13498" t="str">
        <f>IFERROR(__xludf.DUMMYFUNCTION("""COMPUTED_VALUE"""),"Responsive Web Design - Il Corso Completo")</f>
        <v>Responsive Web Design - Il Corso Completo</v>
      </c>
    </row>
    <row r="13499">
      <c r="A13499" s="140" t="str">
        <f>IFERROR(__xludf.DUMMYFUNCTION("""COMPUTED_VALUE"""),"en")</f>
        <v>en</v>
      </c>
      <c r="B13499">
        <f>IFERROR(__xludf.DUMMYFUNCTION("""COMPUTED_VALUE"""),3821314.0)</f>
        <v>3821314</v>
      </c>
      <c r="C13499" t="str">
        <f>IFERROR(__xludf.DUMMYFUNCTION("""COMPUTED_VALUE"""),"Project Management Course: Master Project Scope Management")</f>
        <v>Project Management Course: Master Project Scope Management</v>
      </c>
    </row>
    <row r="13500">
      <c r="A13500" s="140" t="str">
        <f>IFERROR(__xludf.DUMMYFUNCTION("""COMPUTED_VALUE"""),"en")</f>
        <v>en</v>
      </c>
      <c r="B13500">
        <f>IFERROR(__xludf.DUMMYFUNCTION("""COMPUTED_VALUE"""),4448678.0)</f>
        <v>4448678</v>
      </c>
      <c r="C13500" t="str">
        <f>IFERROR(__xludf.DUMMYFUNCTION("""COMPUTED_VALUE"""),"The Swift Arcade Professional iOS Development Course - UIKit")</f>
        <v>The Swift Arcade Professional iOS Development Course - UIKit</v>
      </c>
    </row>
    <row r="13501">
      <c r="A13501" s="140" t="str">
        <f>IFERROR(__xludf.DUMMYFUNCTION("""COMPUTED_VALUE"""),"en")</f>
        <v>en</v>
      </c>
      <c r="B13501">
        <f>IFERROR(__xludf.DUMMYFUNCTION("""COMPUTED_VALUE"""),4339568.0)</f>
        <v>4339568</v>
      </c>
      <c r="C13501" t="str">
        <f>IFERROR(__xludf.DUMMYFUNCTION("""COMPUTED_VALUE"""),"Configuring and Operating MS Azure Virtual Desktop (AZ-140)")</f>
        <v>Configuring and Operating MS Azure Virtual Desktop (AZ-140)</v>
      </c>
    </row>
    <row r="13502">
      <c r="A13502" s="140" t="str">
        <f>IFERROR(__xludf.DUMMYFUNCTION("""COMPUTED_VALUE"""),"en")</f>
        <v>en</v>
      </c>
      <c r="B13502">
        <f>IFERROR(__xludf.DUMMYFUNCTION("""COMPUTED_VALUE"""),2267866.0)</f>
        <v>2267866</v>
      </c>
      <c r="C13502" t="str">
        <f>IFERROR(__xludf.DUMMYFUNCTION("""COMPUTED_VALUE"""),"Introduction to MicroPython using the Pyboard")</f>
        <v>Introduction to MicroPython using the Pyboard</v>
      </c>
    </row>
    <row r="13503">
      <c r="A13503" s="140" t="str">
        <f>IFERROR(__xludf.DUMMYFUNCTION("""COMPUTED_VALUE"""),"es")</f>
        <v>es</v>
      </c>
      <c r="B13503">
        <f>IFERROR(__xludf.DUMMYFUNCTION("""COMPUTED_VALUE"""),2882628.0)</f>
        <v>2882628</v>
      </c>
      <c r="C13503" t="str">
        <f>IFERROR(__xludf.DUMMYFUNCTION("""COMPUTED_VALUE"""),"Curso de Odoo 12 | 13 | 14 Funcional Módulo de CRM")</f>
        <v>Curso de Odoo 12 | 13 | 14 Funcional Módulo de CRM</v>
      </c>
    </row>
    <row r="13504">
      <c r="A13504" s="140" t="str">
        <f>IFERROR(__xludf.DUMMYFUNCTION("""COMPUTED_VALUE"""),"en")</f>
        <v>en</v>
      </c>
      <c r="B13504">
        <f>IFERROR(__xludf.DUMMYFUNCTION("""COMPUTED_VALUE"""),4253526.0)</f>
        <v>4253526</v>
      </c>
      <c r="C13504" t="str">
        <f>IFERROR(__xludf.DUMMYFUNCTION("""COMPUTED_VALUE"""),"Build Amazing Apps With ANGULAR and ASP.NET Core REST API")</f>
        <v>Build Amazing Apps With ANGULAR and ASP.NET Core REST API</v>
      </c>
    </row>
    <row r="13505">
      <c r="A13505" s="140" t="str">
        <f>IFERROR(__xludf.DUMMYFUNCTION("""COMPUTED_VALUE"""),"ko")</f>
        <v>ko</v>
      </c>
      <c r="B13505">
        <f>IFERROR(__xludf.DUMMYFUNCTION("""COMPUTED_VALUE"""),4254668.0)</f>
        <v>4254668</v>
      </c>
      <c r="C13505" t="str">
        <f>IFERROR(__xludf.DUMMYFUNCTION("""COMPUTED_VALUE"""),"【글로벌 Best】 Microsoft 엑셀 매크로 (Macros) 및 VBA 완벽 마스터 (한글자막)")</f>
        <v>【글로벌 Best】 Microsoft 엑셀 매크로 (Macros) 및 VBA 완벽 마스터 (한글자막)</v>
      </c>
    </row>
    <row r="13506">
      <c r="A13506" s="140" t="str">
        <f>IFERROR(__xludf.DUMMYFUNCTION("""COMPUTED_VALUE"""),"pt")</f>
        <v>pt</v>
      </c>
      <c r="B13506">
        <f>IFERROR(__xludf.DUMMYFUNCTION("""COMPUTED_VALUE"""),1716180.0)</f>
        <v>1716180</v>
      </c>
      <c r="C13506" t="str">
        <f>IFERROR(__xludf.DUMMYFUNCTION("""COMPUTED_VALUE"""),"PNL - Practitioner em Programação Neurolinguística")</f>
        <v>PNL - Practitioner em Programação Neurolinguística</v>
      </c>
    </row>
    <row r="13507">
      <c r="A13507" s="140" t="str">
        <f>IFERROR(__xludf.DUMMYFUNCTION("""COMPUTED_VALUE"""),"en")</f>
        <v>en</v>
      </c>
      <c r="B13507">
        <f>IFERROR(__xludf.DUMMYFUNCTION("""COMPUTED_VALUE"""),1412340.0)</f>
        <v>1412340</v>
      </c>
      <c r="C13507" t="str">
        <f>IFERROR(__xludf.DUMMYFUNCTION("""COMPUTED_VALUE"""),"Demystifying Bitwise Operations In C")</f>
        <v>Demystifying Bitwise Operations In C</v>
      </c>
    </row>
    <row r="13508">
      <c r="A13508" s="140" t="str">
        <f>IFERROR(__xludf.DUMMYFUNCTION("""COMPUTED_VALUE"""),"en")</f>
        <v>en</v>
      </c>
      <c r="B13508">
        <f>IFERROR(__xludf.DUMMYFUNCTION("""COMPUTED_VALUE"""),1463292.0)</f>
        <v>1463292</v>
      </c>
      <c r="C13508" t="str">
        <f>IFERROR(__xludf.DUMMYFUNCTION("""COMPUTED_VALUE"""),"Liferay 7.0 CE and CMS Fundamentals - Crash Course")</f>
        <v>Liferay 7.0 CE and CMS Fundamentals - Crash Course</v>
      </c>
    </row>
    <row r="13509">
      <c r="A13509" s="140" t="str">
        <f>IFERROR(__xludf.DUMMYFUNCTION("""COMPUTED_VALUE"""),"en")</f>
        <v>en</v>
      </c>
      <c r="B13509">
        <f>IFERROR(__xludf.DUMMYFUNCTION("""COMPUTED_VALUE"""),2365872.0)</f>
        <v>2365872</v>
      </c>
      <c r="C13509" t="str">
        <f>IFERROR(__xludf.DUMMYFUNCTION("""COMPUTED_VALUE"""),"Marketing Analytics: Forecasting Models with Excel")</f>
        <v>Marketing Analytics: Forecasting Models with Excel</v>
      </c>
    </row>
    <row r="13510">
      <c r="A13510" s="140" t="str">
        <f>IFERROR(__xludf.DUMMYFUNCTION("""COMPUTED_VALUE"""),"it")</f>
        <v>it</v>
      </c>
      <c r="B13510">
        <f>IFERROR(__xludf.DUMMYFUNCTION("""COMPUTED_VALUE"""),3713964.0)</f>
        <v>3713964</v>
      </c>
      <c r="C13510" t="str">
        <f>IFERROR(__xludf.DUMMYFUNCTION("""COMPUTED_VALUE"""),"Corso di programmazione in C++ 20")</f>
        <v>Corso di programmazione in C++ 20</v>
      </c>
    </row>
    <row r="13511">
      <c r="A13511" s="140" t="str">
        <f>IFERROR(__xludf.DUMMYFUNCTION("""COMPUTED_VALUE"""),"fr")</f>
        <v>fr</v>
      </c>
      <c r="B13511">
        <f>IFERROR(__xludf.DUMMYFUNCTION("""COMPUTED_VALUE"""),3624098.0)</f>
        <v>3624098</v>
      </c>
      <c r="C13511" t="str">
        <f>IFERROR(__xludf.DUMMYFUNCTION("""COMPUTED_VALUE"""),"Adobe Photoshop 2021 - Marathon Débutant à Intermédiaire")</f>
        <v>Adobe Photoshop 2021 - Marathon Débutant à Intermédiaire</v>
      </c>
    </row>
    <row r="13512">
      <c r="A13512" s="140" t="str">
        <f>IFERROR(__xludf.DUMMYFUNCTION("""COMPUTED_VALUE"""),"en")</f>
        <v>en</v>
      </c>
      <c r="B13512">
        <f>IFERROR(__xludf.DUMMYFUNCTION("""COMPUTED_VALUE"""),2488654.0)</f>
        <v>2488654</v>
      </c>
      <c r="C13512" t="str">
        <f>IFERROR(__xludf.DUMMYFUNCTION("""COMPUTED_VALUE"""),"The Complete 2021 PHP Full Stack Web Developer Bootcamp")</f>
        <v>The Complete 2021 PHP Full Stack Web Developer Bootcamp</v>
      </c>
    </row>
    <row r="13513">
      <c r="A13513" s="140" t="str">
        <f>IFERROR(__xludf.DUMMYFUNCTION("""COMPUTED_VALUE"""),"fr")</f>
        <v>fr</v>
      </c>
      <c r="B13513">
        <f>IFERROR(__xludf.DUMMYFUNCTION("""COMPUTED_VALUE"""),4238672.0)</f>
        <v>4238672</v>
      </c>
      <c r="C13513" t="str">
        <f>IFERROR(__xludf.DUMMYFUNCTION("""COMPUTED_VALUE"""),"Blender 2.9 / 3.0 : Débuter en modélisation 3D")</f>
        <v>Blender 2.9 / 3.0 : Débuter en modélisation 3D</v>
      </c>
    </row>
    <row r="13514">
      <c r="A13514" s="140" t="str">
        <f>IFERROR(__xludf.DUMMYFUNCTION("""COMPUTED_VALUE"""),"en")</f>
        <v>en</v>
      </c>
      <c r="B13514">
        <f>IFERROR(__xludf.DUMMYFUNCTION("""COMPUTED_VALUE"""),4520194.0)</f>
        <v>4520194</v>
      </c>
      <c r="C13514" t="str">
        <f>IFERROR(__xludf.DUMMYFUNCTION("""COMPUTED_VALUE"""),"Practice Exams | AWS Certified Data Analytics Specialty")</f>
        <v>Practice Exams | AWS Certified Data Analytics Specialty</v>
      </c>
    </row>
    <row r="13515">
      <c r="A13515" s="140" t="str">
        <f>IFERROR(__xludf.DUMMYFUNCTION("""COMPUTED_VALUE"""),"fr")</f>
        <v>fr</v>
      </c>
      <c r="B13515">
        <f>IFERROR(__xludf.DUMMYFUNCTION("""COMPUTED_VALUE"""),3082010.0)</f>
        <v>3082010</v>
      </c>
      <c r="C13515" t="str">
        <f>IFERROR(__xludf.DUMMYFUNCTION("""COMPUTED_VALUE"""),"Data Science, le guide de survie complet")</f>
        <v>Data Science, le guide de survie complet</v>
      </c>
    </row>
    <row r="13516">
      <c r="A13516" s="140" t="str">
        <f>IFERROR(__xludf.DUMMYFUNCTION("""COMPUTED_VALUE"""),"ja")</f>
        <v>ja</v>
      </c>
      <c r="B13516">
        <f>IFERROR(__xludf.DUMMYFUNCTION("""COMPUTED_VALUE"""),4177280.0)</f>
        <v>4177280</v>
      </c>
      <c r="C13516" t="str">
        <f>IFERROR(__xludf.DUMMYFUNCTION("""COMPUTED_VALUE"""),"【RPA】 Power Automate Desktop 超入門：すぐ使える業務効率化アプリを作成する方法")</f>
        <v>【RPA】 Power Automate Desktop 超入門：すぐ使える業務効率化アプリを作成する方法</v>
      </c>
    </row>
    <row r="13517">
      <c r="A13517" s="140" t="str">
        <f>IFERROR(__xludf.DUMMYFUNCTION("""COMPUTED_VALUE"""),"en")</f>
        <v>en</v>
      </c>
      <c r="B13517">
        <f>IFERROR(__xludf.DUMMYFUNCTION("""COMPUTED_VALUE"""),4325066.0)</f>
        <v>4325066</v>
      </c>
      <c r="C13517" t="str">
        <f>IFERROR(__xludf.DUMMYFUNCTION("""COMPUTED_VALUE"""),"Python PCEP: Pass Certified Entry-Level Python Programmer")</f>
        <v>Python PCEP: Pass Certified Entry-Level Python Programmer</v>
      </c>
    </row>
    <row r="13518">
      <c r="A13518" s="140" t="str">
        <f>IFERROR(__xludf.DUMMYFUNCTION("""COMPUTED_VALUE"""),"en")</f>
        <v>en</v>
      </c>
      <c r="B13518">
        <f>IFERROR(__xludf.DUMMYFUNCTION("""COMPUTED_VALUE"""),3686338.0)</f>
        <v>3686338</v>
      </c>
      <c r="C13518" t="str">
        <f>IFERROR(__xludf.DUMMYFUNCTION("""COMPUTED_VALUE"""),"Solidworks Sheet Metal")</f>
        <v>Solidworks Sheet Metal</v>
      </c>
    </row>
    <row r="13519">
      <c r="A13519" s="140" t="str">
        <f>IFERROR(__xludf.DUMMYFUNCTION("""COMPUTED_VALUE"""),"en")</f>
        <v>en</v>
      </c>
      <c r="B13519">
        <f>IFERROR(__xludf.DUMMYFUNCTION("""COMPUTED_VALUE"""),4211028.0)</f>
        <v>4211028</v>
      </c>
      <c r="C13519" t="str">
        <f>IFERROR(__xludf.DUMMYFUNCTION("""COMPUTED_VALUE"""),"Symfony 5 - The complete Guide for Beginners")</f>
        <v>Symfony 5 - The complete Guide for Beginners</v>
      </c>
    </row>
    <row r="13520">
      <c r="A13520" s="140" t="str">
        <f>IFERROR(__xludf.DUMMYFUNCTION("""COMPUTED_VALUE"""),"en")</f>
        <v>en</v>
      </c>
      <c r="B13520">
        <f>IFERROR(__xludf.DUMMYFUNCTION("""COMPUTED_VALUE"""),2624288.0)</f>
        <v>2624288</v>
      </c>
      <c r="C13520" t="str">
        <f>IFERROR(__xludf.DUMMYFUNCTION("""COMPUTED_VALUE"""),"HubSpot CRM (Pro) : Create Sales &amp; Mkt. Automation Workflow")</f>
        <v>HubSpot CRM (Pro) : Create Sales &amp; Mkt. Automation Workflow</v>
      </c>
    </row>
    <row r="13521">
      <c r="A13521" s="140" t="str">
        <f>IFERROR(__xludf.DUMMYFUNCTION("""COMPUTED_VALUE"""),"en")</f>
        <v>en</v>
      </c>
      <c r="B13521">
        <f>IFERROR(__xludf.DUMMYFUNCTION("""COMPUTED_VALUE"""),1909536.0)</f>
        <v>1909536</v>
      </c>
      <c r="C13521" t="str">
        <f>IFERROR(__xludf.DUMMYFUNCTION("""COMPUTED_VALUE"""),"Build Remote Procedure Calls (RPC) - from scratch in C")</f>
        <v>Build Remote Procedure Calls (RPC) - from scratch in C</v>
      </c>
    </row>
    <row r="13522">
      <c r="A13522" s="140" t="str">
        <f>IFERROR(__xludf.DUMMYFUNCTION("""COMPUTED_VALUE"""),"ko")</f>
        <v>ko</v>
      </c>
      <c r="B13522">
        <f>IFERROR(__xludf.DUMMYFUNCTION("""COMPUTED_VALUE"""),4382504.0)</f>
        <v>4382504</v>
      </c>
      <c r="C13522" t="str">
        <f>IFERROR(__xludf.DUMMYFUNCTION("""COMPUTED_VALUE"""),"【글로벌 Best】 Python : 통계 분석을 위한 파이썬 (한글자막)")</f>
        <v>【글로벌 Best】 Python : 통계 분석을 위한 파이썬 (한글자막)</v>
      </c>
    </row>
    <row r="13523">
      <c r="A13523" s="140" t="str">
        <f>IFERROR(__xludf.DUMMYFUNCTION("""COMPUTED_VALUE"""),"ko")</f>
        <v>ko</v>
      </c>
      <c r="B13523">
        <f>IFERROR(__xludf.DUMMYFUNCTION("""COMPUTED_VALUE"""),4370428.0)</f>
        <v>4370428</v>
      </c>
      <c r="C13523" t="str">
        <f>IFERROR(__xludf.DUMMYFUNCTION("""COMPUTED_VALUE"""),"OKR 성과관리법")</f>
        <v>OKR 성과관리법</v>
      </c>
    </row>
    <row r="13524">
      <c r="A13524" s="140" t="str">
        <f>IFERROR(__xludf.DUMMYFUNCTION("""COMPUTED_VALUE"""),"en")</f>
        <v>en</v>
      </c>
      <c r="B13524">
        <f>IFERROR(__xludf.DUMMYFUNCTION("""COMPUTED_VALUE"""),3366332.0)</f>
        <v>3366332</v>
      </c>
      <c r="C13524" t="str">
        <f>IFERROR(__xludf.DUMMYFUNCTION("""COMPUTED_VALUE"""),"Salesforce Business Analyst Interviews Questions &amp; Answers")</f>
        <v>Salesforce Business Analyst Interviews Questions &amp; Answers</v>
      </c>
    </row>
    <row r="13525">
      <c r="A13525" s="140" t="str">
        <f>IFERROR(__xludf.DUMMYFUNCTION("""COMPUTED_VALUE"""),"ja")</f>
        <v>ja</v>
      </c>
      <c r="B13525">
        <f>IFERROR(__xludf.DUMMYFUNCTION("""COMPUTED_VALUE"""),2285063.0)</f>
        <v>2285063</v>
      </c>
      <c r="C13525" t="str">
        <f>IFERROR(__xludf.DUMMYFUNCTION("""COMPUTED_VALUE"""),"はじめてのC#入門【Visual Studio 2019対応】")</f>
        <v>はじめてのC#入門【Visual Studio 2019対応】</v>
      </c>
    </row>
    <row r="13526">
      <c r="A13526" s="140" t="str">
        <f>IFERROR(__xludf.DUMMYFUNCTION("""COMPUTED_VALUE"""),"es")</f>
        <v>es</v>
      </c>
      <c r="B13526">
        <f>IFERROR(__xludf.DUMMYFUNCTION("""COMPUTED_VALUE"""),3581909.0)</f>
        <v>3581909</v>
      </c>
      <c r="C13526" t="str">
        <f>IFERROR(__xludf.DUMMYFUNCTION("""COMPUTED_VALUE"""),"Unreal Engine 5 y Blender de 0 a Profesional!")</f>
        <v>Unreal Engine 5 y Blender de 0 a Profesional!</v>
      </c>
    </row>
    <row r="13527">
      <c r="A13527" s="140" t="str">
        <f>IFERROR(__xludf.DUMMYFUNCTION("""COMPUTED_VALUE"""),"fr")</f>
        <v>fr</v>
      </c>
      <c r="B13527">
        <f>IFERROR(__xludf.DUMMYFUNCTION("""COMPUTED_VALUE"""),2227562.0)</f>
        <v>2227562</v>
      </c>
      <c r="C13527" t="str">
        <f>IFERROR(__xludf.DUMMYFUNCTION("""COMPUTED_VALUE"""),"SketchUp pour la Décoration Intérieur")</f>
        <v>SketchUp pour la Décoration Intérieur</v>
      </c>
    </row>
    <row r="13528">
      <c r="A13528" s="140" t="str">
        <f>IFERROR(__xludf.DUMMYFUNCTION("""COMPUTED_VALUE"""),"ko")</f>
        <v>ko</v>
      </c>
      <c r="B13528">
        <f>IFERROR(__xludf.DUMMYFUNCTION("""COMPUTED_VALUE"""),4427238.0)</f>
        <v>4427238</v>
      </c>
      <c r="C13528" t="str">
        <f>IFERROR(__xludf.DUMMYFUNCTION("""COMPUTED_VALUE"""),"Flutter Provider Essential 코스 (Korean)")</f>
        <v>Flutter Provider Essential 코스 (Korean)</v>
      </c>
    </row>
    <row r="13529">
      <c r="A13529" s="140" t="str">
        <f>IFERROR(__xludf.DUMMYFUNCTION("""COMPUTED_VALUE"""),"it")</f>
        <v>it</v>
      </c>
      <c r="B13529">
        <f>IFERROR(__xludf.DUMMYFUNCTION("""COMPUTED_VALUE"""),2485346.0)</f>
        <v>2485346</v>
      </c>
      <c r="C13529" t="str">
        <f>IFERROR(__xludf.DUMMYFUNCTION("""COMPUTED_VALUE"""),"Rispetta il GDPR col tuo sito Wordpress")</f>
        <v>Rispetta il GDPR col tuo sito Wordpress</v>
      </c>
    </row>
    <row r="13530">
      <c r="A13530" s="140" t="str">
        <f>IFERROR(__xludf.DUMMYFUNCTION("""COMPUTED_VALUE"""),"fr")</f>
        <v>fr</v>
      </c>
      <c r="B13530">
        <f>IFERROR(__xludf.DUMMYFUNCTION("""COMPUTED_VALUE"""),2752618.0)</f>
        <v>2752618</v>
      </c>
      <c r="C13530" t="str">
        <f>IFERROR(__xludf.DUMMYFUNCTION("""COMPUTED_VALUE"""),"SUPER DÉBUTANT MasterClass -Photoshop, Illustrator, Indesign")</f>
        <v>SUPER DÉBUTANT MasterClass -Photoshop, Illustrator, Indesign</v>
      </c>
    </row>
    <row r="13531">
      <c r="A13531" s="140" t="str">
        <f>IFERROR(__xludf.DUMMYFUNCTION("""COMPUTED_VALUE"""),"en")</f>
        <v>en</v>
      </c>
      <c r="B13531">
        <f>IFERROR(__xludf.DUMMYFUNCTION("""COMPUTED_VALUE"""),3213285.0)</f>
        <v>3213285</v>
      </c>
      <c r="C13531" t="str">
        <f>IFERROR(__xludf.DUMMYFUNCTION("""COMPUTED_VALUE"""),"Learn Digital Signal Processing (DSP)")</f>
        <v>Learn Digital Signal Processing (DSP)</v>
      </c>
    </row>
    <row r="13532">
      <c r="A13532" s="140" t="str">
        <f>IFERROR(__xludf.DUMMYFUNCTION("""COMPUTED_VALUE"""),"ko")</f>
        <v>ko</v>
      </c>
      <c r="B13532">
        <f>IFERROR(__xludf.DUMMYFUNCTION("""COMPUTED_VALUE"""),4219940.0)</f>
        <v>4219940</v>
      </c>
      <c r="C13532" t="str">
        <f>IFERROR(__xludf.DUMMYFUNCTION("""COMPUTED_VALUE"""),"애착의 심리학")</f>
        <v>애착의 심리학</v>
      </c>
    </row>
    <row r="13533">
      <c r="A13533" s="140" t="str">
        <f>IFERROR(__xludf.DUMMYFUNCTION("""COMPUTED_VALUE"""),"ko")</f>
        <v>ko</v>
      </c>
      <c r="B13533">
        <f>IFERROR(__xludf.DUMMYFUNCTION("""COMPUTED_VALUE"""),4250582.0)</f>
        <v>4250582</v>
      </c>
      <c r="C13533" t="str">
        <f>IFERROR(__xludf.DUMMYFUNCTION("""COMPUTED_VALUE"""),"【글로벌 Best】 완벽한 Presentation 스킬 강의: 15시간 만에 완벽한 연설자 &amp; 발표자 되기!")</f>
        <v>【글로벌 Best】 완벽한 Presentation 스킬 강의: 15시간 만에 완벽한 연설자 &amp; 발표자 되기!</v>
      </c>
    </row>
    <row r="13534">
      <c r="A13534" s="140" t="str">
        <f>IFERROR(__xludf.DUMMYFUNCTION("""COMPUTED_VALUE"""),"en")</f>
        <v>en</v>
      </c>
      <c r="B13534">
        <f>IFERROR(__xludf.DUMMYFUNCTION("""COMPUTED_VALUE"""),4176526.0)</f>
        <v>4176526</v>
      </c>
      <c r="C13534" t="str">
        <f>IFERROR(__xludf.DUMMYFUNCTION("""COMPUTED_VALUE"""),"Qt 6 Core Advanced with C++")</f>
        <v>Qt 6 Core Advanced with C++</v>
      </c>
    </row>
    <row r="13535">
      <c r="A13535" s="140" t="str">
        <f>IFERROR(__xludf.DUMMYFUNCTION("""COMPUTED_VALUE"""),"ko")</f>
        <v>ko</v>
      </c>
      <c r="B13535">
        <f>IFERROR(__xludf.DUMMYFUNCTION("""COMPUTED_VALUE"""),4395276.0)</f>
        <v>4395276</v>
      </c>
      <c r="C13535" t="str">
        <f>IFERROR(__xludf.DUMMYFUNCTION("""COMPUTED_VALUE"""),"【글로벌 Best】 CISCO CCNA 랩 : 실제 및 가상 옵션들 (한글자막)")</f>
        <v>【글로벌 Best】 CISCO CCNA 랩 : 실제 및 가상 옵션들 (한글자막)</v>
      </c>
    </row>
    <row r="13536">
      <c r="A13536" s="140" t="str">
        <f>IFERROR(__xludf.DUMMYFUNCTION("""COMPUTED_VALUE"""),"ko")</f>
        <v>ko</v>
      </c>
      <c r="B13536">
        <f>IFERROR(__xludf.DUMMYFUNCTION("""COMPUTED_VALUE"""),4393360.0)</f>
        <v>4393360</v>
      </c>
      <c r="C13536" t="str">
        <f>IFERROR(__xludf.DUMMYFUNCTION("""COMPUTED_VALUE"""),"【글로벌 Best】 Pandas 및 Python 을 이용한 데이터 분석 : 마스터 클래스 (한글자막)")</f>
        <v>【글로벌 Best】 Pandas 및 Python 을 이용한 데이터 분석 : 마스터 클래스 (한글자막)</v>
      </c>
    </row>
    <row r="13537">
      <c r="A13537" s="140" t="str">
        <f>IFERROR(__xludf.DUMMYFUNCTION("""COMPUTED_VALUE"""),"en")</f>
        <v>en</v>
      </c>
      <c r="B13537">
        <f>IFERROR(__xludf.DUMMYFUNCTION("""COMPUTED_VALUE"""),1501104.0)</f>
        <v>1501104</v>
      </c>
      <c r="C13537" t="str">
        <f>IFERROR(__xludf.DUMMYFUNCTION("""COMPUTED_VALUE"""),"JavaScript: The Advanced Concepts (2022 Update)")</f>
        <v>JavaScript: The Advanced Concepts (2022 Update)</v>
      </c>
    </row>
    <row r="13538">
      <c r="A13538" s="140" t="str">
        <f>IFERROR(__xludf.DUMMYFUNCTION("""COMPUTED_VALUE"""),"de")</f>
        <v>de</v>
      </c>
      <c r="B13538">
        <f>IFERROR(__xludf.DUMMYFUNCTION("""COMPUTED_VALUE"""),3601994.0)</f>
        <v>3601994</v>
      </c>
      <c r="C13538" t="str">
        <f>IFERROR(__xludf.DUMMYFUNCTION("""COMPUTED_VALUE"""),"Online Marketing Masterkurs | Ultimatives A-Z Marketing Kurs")</f>
        <v>Online Marketing Masterkurs | Ultimatives A-Z Marketing Kurs</v>
      </c>
    </row>
    <row r="13539">
      <c r="A13539" s="140" t="str">
        <f>IFERROR(__xludf.DUMMYFUNCTION("""COMPUTED_VALUE"""),"en")</f>
        <v>en</v>
      </c>
      <c r="B13539">
        <f>IFERROR(__xludf.DUMMYFUNCTION("""COMPUTED_VALUE"""),4261588.0)</f>
        <v>4261588</v>
      </c>
      <c r="C13539" t="str">
        <f>IFERROR(__xludf.DUMMYFUNCTION("""COMPUTED_VALUE"""),"Microsoft Power Automate for Power Apps developers")</f>
        <v>Microsoft Power Automate for Power Apps developers</v>
      </c>
    </row>
    <row r="13540">
      <c r="A13540" s="140" t="str">
        <f>IFERROR(__xludf.DUMMYFUNCTION("""COMPUTED_VALUE"""),"fr")</f>
        <v>fr</v>
      </c>
      <c r="B13540">
        <f>IFERROR(__xludf.DUMMYFUNCTION("""COMPUTED_VALUE"""),2666930.0)</f>
        <v>2666930</v>
      </c>
      <c r="C13540" t="str">
        <f>IFERROR(__xludf.DUMMYFUNCTION("""COMPUTED_VALUE"""),"Les animations au Scroll en 9 projets")</f>
        <v>Les animations au Scroll en 9 projets</v>
      </c>
    </row>
    <row r="13541">
      <c r="A13541" s="140" t="str">
        <f>IFERROR(__xludf.DUMMYFUNCTION("""COMPUTED_VALUE"""),"fr")</f>
        <v>fr</v>
      </c>
      <c r="B13541">
        <f>IFERROR(__xludf.DUMMYFUNCTION("""COMPUTED_VALUE"""),3793176.0)</f>
        <v>3793176</v>
      </c>
      <c r="C13541" t="str">
        <f>IFERROR(__xludf.DUMMYFUNCTION("""COMPUTED_VALUE"""),"Adobe After Effects de A à Z pour les débutants en 2022")</f>
        <v>Adobe After Effects de A à Z pour les débutants en 2022</v>
      </c>
    </row>
    <row r="13542">
      <c r="A13542" s="140" t="str">
        <f>IFERROR(__xludf.DUMMYFUNCTION("""COMPUTED_VALUE"""),"fr")</f>
        <v>fr</v>
      </c>
      <c r="B13542">
        <f>IFERROR(__xludf.DUMMYFUNCTION("""COMPUTED_VALUE"""),1342018.0)</f>
        <v>1342018</v>
      </c>
      <c r="C13542" t="str">
        <f>IFERROR(__xludf.DUMMYFUNCTION("""COMPUTED_VALUE"""),"Créer un site web Pro en C# avec ASP.NET MVC 6 et Bootstrap")</f>
        <v>Créer un site web Pro en C# avec ASP.NET MVC 6 et Bootstrap</v>
      </c>
    </row>
    <row r="13543">
      <c r="A13543" s="140" t="str">
        <f>IFERROR(__xludf.DUMMYFUNCTION("""COMPUTED_VALUE"""),"en")</f>
        <v>en</v>
      </c>
      <c r="B13543">
        <f>IFERROR(__xludf.DUMMYFUNCTION("""COMPUTED_VALUE"""),2813933.0)</f>
        <v>2813933</v>
      </c>
      <c r="C13543" t="str">
        <f>IFERROR(__xludf.DUMMYFUNCTION("""COMPUTED_VALUE"""),"Socket Programming A to Z - Windows &amp; Linux in C &amp; C++")</f>
        <v>Socket Programming A to Z - Windows &amp; Linux in C &amp; C++</v>
      </c>
    </row>
    <row r="13544">
      <c r="A13544" s="140" t="str">
        <f>IFERROR(__xludf.DUMMYFUNCTION("""COMPUTED_VALUE"""),"fr")</f>
        <v>fr</v>
      </c>
      <c r="B13544">
        <f>IFERROR(__xludf.DUMMYFUNCTION("""COMPUTED_VALUE"""),3896252.0)</f>
        <v>3896252</v>
      </c>
      <c r="C13544" t="str">
        <f>IFERROR(__xludf.DUMMYFUNCTION("""COMPUTED_VALUE"""),"Formation stratégie marketing : Commercial -Vente -Marketing")</f>
        <v>Formation stratégie marketing : Commercial -Vente -Marketing</v>
      </c>
    </row>
    <row r="13545">
      <c r="A13545" s="140" t="str">
        <f>IFERROR(__xludf.DUMMYFUNCTION("""COMPUTED_VALUE"""),"de")</f>
        <v>de</v>
      </c>
      <c r="B13545">
        <f>IFERROR(__xludf.DUMMYFUNCTION("""COMPUTED_VALUE"""),3357912.0)</f>
        <v>3357912</v>
      </c>
      <c r="C13545" t="str">
        <f>IFERROR(__xludf.DUMMYFUNCTION("""COMPUTED_VALUE"""),"Zeitmanagement und Produktivität mit Microsoft Outlook")</f>
        <v>Zeitmanagement und Produktivität mit Microsoft Outlook</v>
      </c>
    </row>
    <row r="13546">
      <c r="A13546" s="140" t="str">
        <f>IFERROR(__xludf.DUMMYFUNCTION("""COMPUTED_VALUE"""),"en")</f>
        <v>en</v>
      </c>
      <c r="B13546">
        <f>IFERROR(__xludf.DUMMYFUNCTION("""COMPUTED_VALUE"""),2014090.0)</f>
        <v>2014090</v>
      </c>
      <c r="C13546" t="str">
        <f>IFERROR(__xludf.DUMMYFUNCTION("""COMPUTED_VALUE"""),"Mechanical engineering design : Sheet metal design")</f>
        <v>Mechanical engineering design : Sheet metal design</v>
      </c>
    </row>
    <row r="13547">
      <c r="A13547" s="140" t="str">
        <f>IFERROR(__xludf.DUMMYFUNCTION("""COMPUTED_VALUE"""),"en")</f>
        <v>en</v>
      </c>
      <c r="B13547">
        <f>IFERROR(__xludf.DUMMYFUNCTION("""COMPUTED_VALUE"""),4108066.0)</f>
        <v>4108066</v>
      </c>
      <c r="C13547" t="str">
        <f>IFERROR(__xludf.DUMMYFUNCTION("""COMPUTED_VALUE"""),"Duolingo English Test")</f>
        <v>Duolingo English Test</v>
      </c>
    </row>
    <row r="13548">
      <c r="A13548" s="140" t="str">
        <f>IFERROR(__xludf.DUMMYFUNCTION("""COMPUTED_VALUE"""),"en")</f>
        <v>en</v>
      </c>
      <c r="B13548">
        <f>IFERROR(__xludf.DUMMYFUNCTION("""COMPUTED_VALUE"""),4408262.0)</f>
        <v>4408262</v>
      </c>
      <c r="C13548" t="str">
        <f>IFERROR(__xludf.DUMMYFUNCTION("""COMPUTED_VALUE"""),"Build A Strong Relationship With Your Manager")</f>
        <v>Build A Strong Relationship With Your Manager</v>
      </c>
    </row>
    <row r="13549">
      <c r="A13549" s="140" t="str">
        <f>IFERROR(__xludf.DUMMYFUNCTION("""COMPUTED_VALUE"""),"en")</f>
        <v>en</v>
      </c>
      <c r="B13549">
        <f>IFERROR(__xludf.DUMMYFUNCTION("""COMPUTED_VALUE"""),4171800.0)</f>
        <v>4171800</v>
      </c>
      <c r="C13549" t="str">
        <f>IFERROR(__xludf.DUMMYFUNCTION("""COMPUTED_VALUE"""),"SAP EWM - SAP Extended Warehouse Management")</f>
        <v>SAP EWM - SAP Extended Warehouse Management</v>
      </c>
    </row>
    <row r="13550">
      <c r="A13550" s="140" t="str">
        <f>IFERROR(__xludf.DUMMYFUNCTION("""COMPUTED_VALUE"""),"en")</f>
        <v>en</v>
      </c>
      <c r="B13550">
        <f>IFERROR(__xludf.DUMMYFUNCTION("""COMPUTED_VALUE"""),2836726.0)</f>
        <v>2836726</v>
      </c>
      <c r="C13550" t="str">
        <f>IFERROR(__xludf.DUMMYFUNCTION("""COMPUTED_VALUE"""),"Introduction to Fortigate Firewall")</f>
        <v>Introduction to Fortigate Firewall</v>
      </c>
    </row>
    <row r="13551">
      <c r="A13551" s="140" t="str">
        <f>IFERROR(__xludf.DUMMYFUNCTION("""COMPUTED_VALUE"""),"en")</f>
        <v>en</v>
      </c>
      <c r="B13551">
        <f>IFERROR(__xludf.DUMMYFUNCTION("""COMPUTED_VALUE"""),4460318.0)</f>
        <v>4460318</v>
      </c>
      <c r="C13551" t="str">
        <f>IFERROR(__xludf.DUMMYFUNCTION("""COMPUTED_VALUE"""),"Databricks Certified Associate Developer - Apache Spark 2022")</f>
        <v>Databricks Certified Associate Developer - Apache Spark 2022</v>
      </c>
    </row>
    <row r="13552">
      <c r="A13552" s="140" t="str">
        <f>IFERROR(__xludf.DUMMYFUNCTION("""COMPUTED_VALUE"""),"en")</f>
        <v>en</v>
      </c>
      <c r="B13552">
        <f>IFERROR(__xludf.DUMMYFUNCTION("""COMPUTED_VALUE"""),965162.0)</f>
        <v>965162</v>
      </c>
      <c r="C13552" t="str">
        <f>IFERROR(__xludf.DUMMYFUNCTION("""COMPUTED_VALUE"""),"OOP Object Oriented Programming In PHP 7")</f>
        <v>OOP Object Oriented Programming In PHP 7</v>
      </c>
    </row>
    <row r="13553">
      <c r="A13553" s="140" t="str">
        <f>IFERROR(__xludf.DUMMYFUNCTION("""COMPUTED_VALUE"""),"ja")</f>
        <v>ja</v>
      </c>
      <c r="B13553">
        <f>IFERROR(__xludf.DUMMYFUNCTION("""COMPUTED_VALUE"""),4450216.0)</f>
        <v>4450216</v>
      </c>
      <c r="C13553" t="str">
        <f>IFERROR(__xludf.DUMMYFUNCTION("""COMPUTED_VALUE"""),"【キャリアのセルフチェック→次のアクションへ！】生き方・働き方・学び方を考えるシンプルな自己分析（UB学習情報付）")</f>
        <v>【キャリアのセルフチェック→次のアクションへ！】生き方・働き方・学び方を考えるシンプルな自己分析（UB学習情報付）</v>
      </c>
    </row>
    <row r="13554">
      <c r="A13554" s="140" t="str">
        <f>IFERROR(__xludf.DUMMYFUNCTION("""COMPUTED_VALUE"""),"ko")</f>
        <v>ko</v>
      </c>
      <c r="B13554">
        <f>IFERROR(__xludf.DUMMYFUNCTION("""COMPUTED_VALUE"""),4385834.0)</f>
        <v>4385834</v>
      </c>
      <c r="C13554" t="str">
        <f>IFERROR(__xludf.DUMMYFUNCTION("""COMPUTED_VALUE"""),"웹툰 영어 유미의 세포들 구웅편")</f>
        <v>웹툰 영어 유미의 세포들 구웅편</v>
      </c>
    </row>
    <row r="13555">
      <c r="A13555" s="140" t="str">
        <f>IFERROR(__xludf.DUMMYFUNCTION("""COMPUTED_VALUE"""),"en")</f>
        <v>en</v>
      </c>
      <c r="B13555">
        <f>IFERROR(__xludf.DUMMYFUNCTION("""COMPUTED_VALUE"""),4194204.0)</f>
        <v>4194204</v>
      </c>
      <c r="C13555" t="str">
        <f>IFERROR(__xludf.DUMMYFUNCTION("""COMPUTED_VALUE"""),"Mastering DAX Calculations in Power BI")</f>
        <v>Mastering DAX Calculations in Power BI</v>
      </c>
    </row>
    <row r="13556">
      <c r="A13556" s="140" t="str">
        <f>IFERROR(__xludf.DUMMYFUNCTION("""COMPUTED_VALUE"""),"en")</f>
        <v>en</v>
      </c>
      <c r="B13556">
        <f>IFERROR(__xludf.DUMMYFUNCTION("""COMPUTED_VALUE"""),3777476.0)</f>
        <v>3777476</v>
      </c>
      <c r="C13556" t="str">
        <f>IFERROR(__xludf.DUMMYFUNCTION("""COMPUTED_VALUE"""),"SAP Analytics Cloud - Master Class")</f>
        <v>SAP Analytics Cloud - Master Class</v>
      </c>
    </row>
    <row r="13557">
      <c r="A13557" s="140" t="str">
        <f>IFERROR(__xludf.DUMMYFUNCTION("""COMPUTED_VALUE"""),"ko")</f>
        <v>ko</v>
      </c>
      <c r="B13557">
        <f>IFERROR(__xludf.DUMMYFUNCTION("""COMPUTED_VALUE"""),4383490.0)</f>
        <v>4383490</v>
      </c>
      <c r="C13557" t="str">
        <f>IFERROR(__xludf.DUMMYFUNCTION("""COMPUTED_VALUE"""),"【글로벌 Best】 ITIL 4를 통한 서비스 관리 기초 강의 (한글자막)")</f>
        <v>【글로벌 Best】 ITIL 4를 통한 서비스 관리 기초 강의 (한글자막)</v>
      </c>
    </row>
    <row r="13558">
      <c r="A13558" s="140" t="str">
        <f>IFERROR(__xludf.DUMMYFUNCTION("""COMPUTED_VALUE"""),"en")</f>
        <v>en</v>
      </c>
      <c r="B13558">
        <f>IFERROR(__xludf.DUMMYFUNCTION("""COMPUTED_VALUE"""),4265268.0)</f>
        <v>4265268</v>
      </c>
      <c r="C13558" t="str">
        <f>IFERROR(__xludf.DUMMYFUNCTION("""COMPUTED_VALUE"""),"Microservices Contract Testing with Pact")</f>
        <v>Microservices Contract Testing with Pact</v>
      </c>
    </row>
    <row r="13559">
      <c r="A13559" s="140" t="str">
        <f>IFERROR(__xludf.DUMMYFUNCTION("""COMPUTED_VALUE"""),"fr")</f>
        <v>fr</v>
      </c>
      <c r="B13559">
        <f>IFERROR(__xludf.DUMMYFUNCTION("""COMPUTED_VALUE"""),3600268.0)</f>
        <v>3600268</v>
      </c>
      <c r="C13559" t="str">
        <f>IFERROR(__xludf.DUMMYFUNCTION("""COMPUTED_VALUE"""),"Information Security ISMS - ISO/IEC 27001 LEAD AUDITOR")</f>
        <v>Information Security ISMS - ISO/IEC 27001 LEAD AUDITOR</v>
      </c>
    </row>
    <row r="13560">
      <c r="A13560" s="140" t="str">
        <f>IFERROR(__xludf.DUMMYFUNCTION("""COMPUTED_VALUE"""),"fr")</f>
        <v>fr</v>
      </c>
      <c r="B13560">
        <f>IFERROR(__xludf.DUMMYFUNCTION("""COMPUTED_VALUE"""),3378446.0)</f>
        <v>3378446</v>
      </c>
      <c r="C13560" t="str">
        <f>IFERROR(__xludf.DUMMYFUNCTION("""COMPUTED_VALUE"""),"React - Maîtriser le rendu coté serveur avec NextJS")</f>
        <v>React - Maîtriser le rendu coté serveur avec NextJS</v>
      </c>
    </row>
    <row r="13561">
      <c r="A13561" s="140" t="str">
        <f>IFERROR(__xludf.DUMMYFUNCTION("""COMPUTED_VALUE"""),"ja")</f>
        <v>ja</v>
      </c>
      <c r="B13561">
        <f>IFERROR(__xludf.DUMMYFUNCTION("""COMPUTED_VALUE"""),822688.0)</f>
        <v>822688</v>
      </c>
      <c r="C13561" t="str">
        <f>IFERROR(__xludf.DUMMYFUNCTION("""COMPUTED_VALUE"""),"出版業界へのパスポート　Adobe InDesign を使いこなそう。９時間でプロ・クオリティのページ編集テクニック")</f>
        <v>出版業界へのパスポート　Adobe InDesign を使いこなそう。９時間でプロ・クオリティのページ編集テクニック</v>
      </c>
    </row>
    <row r="13562">
      <c r="A13562" s="140" t="str">
        <f>IFERROR(__xludf.DUMMYFUNCTION("""COMPUTED_VALUE"""),"it")</f>
        <v>it</v>
      </c>
      <c r="B13562">
        <f>IFERROR(__xludf.DUMMYFUNCTION("""COMPUTED_VALUE"""),4343156.0)</f>
        <v>4343156</v>
      </c>
      <c r="C13562" t="str">
        <f>IFERROR(__xludf.DUMMYFUNCTION("""COMPUTED_VALUE"""),"Android Hacking &amp; Pentesting Principianti Completo")</f>
        <v>Android Hacking &amp; Pentesting Principianti Completo</v>
      </c>
    </row>
    <row r="13563">
      <c r="A13563" s="140" t="str">
        <f>IFERROR(__xludf.DUMMYFUNCTION("""COMPUTED_VALUE"""),"pt")</f>
        <v>pt</v>
      </c>
      <c r="B13563">
        <f>IFERROR(__xludf.DUMMYFUNCTION("""COMPUTED_VALUE"""),2955494.0)</f>
        <v>2955494</v>
      </c>
      <c r="C13563" t="str">
        <f>IFERROR(__xludf.DUMMYFUNCTION("""COMPUTED_VALUE"""),"Master DAX - Power BI orientado a projeto.")</f>
        <v>Master DAX - Power BI orientado a projeto.</v>
      </c>
    </row>
    <row r="13564">
      <c r="A13564" s="140" t="str">
        <f>IFERROR(__xludf.DUMMYFUNCTION("""COMPUTED_VALUE"""),"en")</f>
        <v>en</v>
      </c>
      <c r="B13564">
        <f>IFERROR(__xludf.DUMMYFUNCTION("""COMPUTED_VALUE"""),4299789.0)</f>
        <v>4299789</v>
      </c>
      <c r="C13564" t="str">
        <f>IFERROR(__xludf.DUMMYFUNCTION("""COMPUTED_VALUE"""),"Power BI: Advanced Data Transformations and Modeling")</f>
        <v>Power BI: Advanced Data Transformations and Modeling</v>
      </c>
    </row>
    <row r="13565">
      <c r="A13565" s="140" t="str">
        <f>IFERROR(__xludf.DUMMYFUNCTION("""COMPUTED_VALUE"""),"ko")</f>
        <v>ko</v>
      </c>
      <c r="B13565">
        <f>IFERROR(__xludf.DUMMYFUNCTION("""COMPUTED_VALUE"""),4305113.0)</f>
        <v>4305113</v>
      </c>
      <c r="C13565" t="str">
        <f>IFERROR(__xludf.DUMMYFUNCTION("""COMPUTED_VALUE"""),"【글로벌 Best】 JavaScript 알고리즘 &amp; 자료구조 마스터클래스 (한글자막)")</f>
        <v>【글로벌 Best】 JavaScript 알고리즘 &amp; 자료구조 마스터클래스 (한글자막)</v>
      </c>
    </row>
    <row r="13566">
      <c r="A13566" s="140" t="str">
        <f>IFERROR(__xludf.DUMMYFUNCTION("""COMPUTED_VALUE"""),"en")</f>
        <v>en</v>
      </c>
      <c r="B13566">
        <f>IFERROR(__xludf.DUMMYFUNCTION("""COMPUTED_VALUE"""),2047367.0)</f>
        <v>2047367</v>
      </c>
      <c r="C13566" t="str">
        <f>IFERROR(__xludf.DUMMYFUNCTION("""COMPUTED_VALUE"""),"Product Marketing for Technology Companies")</f>
        <v>Product Marketing for Technology Companies</v>
      </c>
    </row>
    <row r="13567">
      <c r="A13567" s="140" t="str">
        <f>IFERROR(__xludf.DUMMYFUNCTION("""COMPUTED_VALUE"""),"ja")</f>
        <v>ja</v>
      </c>
      <c r="B13567">
        <f>IFERROR(__xludf.DUMMYFUNCTION("""COMPUTED_VALUE"""),3959782.0)</f>
        <v>3959782</v>
      </c>
      <c r="C13567" t="str">
        <f>IFERROR(__xludf.DUMMYFUNCTION("""COMPUTED_VALUE"""),"【新版】Springシリーズ① Spring入門-お問い合わせ機能の開発-")</f>
        <v>【新版】Springシリーズ① Spring入門-お問い合わせ機能の開発-</v>
      </c>
    </row>
    <row r="13568">
      <c r="A13568" s="140" t="str">
        <f>IFERROR(__xludf.DUMMYFUNCTION("""COMPUTED_VALUE"""),"en")</f>
        <v>en</v>
      </c>
      <c r="B13568">
        <f>IFERROR(__xludf.DUMMYFUNCTION("""COMPUTED_VALUE"""),864146.0)</f>
        <v>864146</v>
      </c>
      <c r="C13568" t="str">
        <f>IFERROR(__xludf.DUMMYFUNCTION("""COMPUTED_VALUE"""),"Agile Crash Course: Agile Project Management; Agile Delivery")</f>
        <v>Agile Crash Course: Agile Project Management; Agile Delivery</v>
      </c>
    </row>
    <row r="13569">
      <c r="A13569" s="140" t="str">
        <f>IFERROR(__xludf.DUMMYFUNCTION("""COMPUTED_VALUE"""),"en")</f>
        <v>en</v>
      </c>
      <c r="B13569">
        <f>IFERROR(__xludf.DUMMYFUNCTION("""COMPUTED_VALUE"""),3925774.0)</f>
        <v>3925774</v>
      </c>
      <c r="C13569" t="str">
        <f>IFERROR(__xludf.DUMMYFUNCTION("""COMPUTED_VALUE"""),"React &amp; TypeScript Chrome Extension Development [2022]")</f>
        <v>React &amp; TypeScript Chrome Extension Development [2022]</v>
      </c>
    </row>
    <row r="13570">
      <c r="A13570" s="140" t="str">
        <f>IFERROR(__xludf.DUMMYFUNCTION("""COMPUTED_VALUE"""),"fr")</f>
        <v>fr</v>
      </c>
      <c r="B13570">
        <f>IFERROR(__xludf.DUMMYFUNCTION("""COMPUTED_VALUE"""),3557883.0)</f>
        <v>3557883</v>
      </c>
      <c r="C13570" t="str">
        <f>IFERROR(__xludf.DUMMYFUNCTION("""COMPUTED_VALUE"""),"Introduction au PL/SQL")</f>
        <v>Introduction au PL/SQL</v>
      </c>
    </row>
    <row r="13571">
      <c r="A13571" s="140" t="str">
        <f>IFERROR(__xludf.DUMMYFUNCTION("""COMPUTED_VALUE"""),"es")</f>
        <v>es</v>
      </c>
      <c r="B13571">
        <f>IFERROR(__xludf.DUMMYFUNCTION("""COMPUTED_VALUE"""),3886800.0)</f>
        <v>3886800</v>
      </c>
      <c r="C13571" t="str">
        <f>IFERROR(__xludf.DUMMYFUNCTION("""COMPUTED_VALUE"""),"Angular: Pruebas unitarias con Jest")</f>
        <v>Angular: Pruebas unitarias con Jest</v>
      </c>
    </row>
    <row r="13572">
      <c r="A13572" s="140" t="str">
        <f>IFERROR(__xludf.DUMMYFUNCTION("""COMPUTED_VALUE"""),"fr")</f>
        <v>fr</v>
      </c>
      <c r="B13572">
        <f>IFERROR(__xludf.DUMMYFUNCTION("""COMPUTED_VALUE"""),2458036.0)</f>
        <v>2458036</v>
      </c>
      <c r="C13572" t="str">
        <f>IFERROR(__xludf.DUMMYFUNCTION("""COMPUTED_VALUE"""),"Formation Complète Développeur WEB (Apprenez en pratiquant)")</f>
        <v>Formation Complète Développeur WEB (Apprenez en pratiquant)</v>
      </c>
    </row>
    <row r="13573">
      <c r="A13573" s="140" t="str">
        <f>IFERROR(__xludf.DUMMYFUNCTION("""COMPUTED_VALUE"""),"de")</f>
        <v>de</v>
      </c>
      <c r="B13573">
        <f>IFERROR(__xludf.DUMMYFUNCTION("""COMPUTED_VALUE"""),4170628.0)</f>
        <v>4170628</v>
      </c>
      <c r="C13573" t="str">
        <f>IFERROR(__xludf.DUMMYFUNCTION("""COMPUTED_VALUE"""),"Gewohnheiten ändern - Ziele erreichen")</f>
        <v>Gewohnheiten ändern - Ziele erreichen</v>
      </c>
    </row>
    <row r="13574">
      <c r="A13574" s="140" t="str">
        <f>IFERROR(__xludf.DUMMYFUNCTION("""COMPUTED_VALUE"""),"ko")</f>
        <v>ko</v>
      </c>
      <c r="B13574">
        <f>IFERROR(__xludf.DUMMYFUNCTION("""COMPUTED_VALUE"""),4366826.0)</f>
        <v>4366826</v>
      </c>
      <c r="C13574" t="str">
        <f>IFERROR(__xludf.DUMMYFUNCTION("""COMPUTED_VALUE"""),"【글로벌 Best】 Python 의 모든 것: 실전 문제로 배우는 파이썬 (한글자막)")</f>
        <v>【글로벌 Best】 Python 의 모든 것: 실전 문제로 배우는 파이썬 (한글자막)</v>
      </c>
    </row>
    <row r="13575">
      <c r="A13575" s="140" t="str">
        <f>IFERROR(__xludf.DUMMYFUNCTION("""COMPUTED_VALUE"""),"en")</f>
        <v>en</v>
      </c>
      <c r="B13575">
        <f>IFERROR(__xludf.DUMMYFUNCTION("""COMPUTED_VALUE"""),4413214.0)</f>
        <v>4413214</v>
      </c>
      <c r="C13575" t="str">
        <f>IFERROR(__xludf.DUMMYFUNCTION("""COMPUTED_VALUE"""),"HR Data Fundamentals")</f>
        <v>HR Data Fundamentals</v>
      </c>
    </row>
    <row r="13576">
      <c r="A13576" s="140" t="str">
        <f>IFERROR(__xludf.DUMMYFUNCTION("""COMPUTED_VALUE"""),"it")</f>
        <v>it</v>
      </c>
      <c r="B13576">
        <f>IFERROR(__xludf.DUMMYFUNCTION("""COMPUTED_VALUE"""),1445508.0)</f>
        <v>1445508</v>
      </c>
      <c r="C13576" t="str">
        <f>IFERROR(__xludf.DUMMYFUNCTION("""COMPUTED_VALUE"""),"Master in Android Development: Diventa un App Developer")</f>
        <v>Master in Android Development: Diventa un App Developer</v>
      </c>
    </row>
    <row r="13577">
      <c r="A13577" s="140" t="str">
        <f>IFERROR(__xludf.DUMMYFUNCTION("""COMPUTED_VALUE"""),"ja")</f>
        <v>ja</v>
      </c>
      <c r="B13577">
        <f>IFERROR(__xludf.DUMMYFUNCTION("""COMPUTED_VALUE"""),3963280.0)</f>
        <v>3963280</v>
      </c>
      <c r="C13577" t="str">
        <f>IFERROR(__xludf.DUMMYFUNCTION("""COMPUTED_VALUE"""),"【Indesign 2021】初心者が「仕事で通用する人材」になる〜業界の専門知識も学べる、仕事で使えるインデザイン講座")</f>
        <v>【Indesign 2021】初心者が「仕事で通用する人材」になる〜業界の専門知識も学べる、仕事で使えるインデザイン講座</v>
      </c>
    </row>
    <row r="13578">
      <c r="A13578" s="140" t="str">
        <f>IFERROR(__xludf.DUMMYFUNCTION("""COMPUTED_VALUE"""),"fr")</f>
        <v>fr</v>
      </c>
      <c r="B13578">
        <f>IFERROR(__xludf.DUMMYFUNCTION("""COMPUTED_VALUE"""),2004612.0)</f>
        <v>2004612</v>
      </c>
      <c r="C13578" t="str">
        <f>IFERROR(__xludf.DUMMYFUNCTION("""COMPUTED_VALUE"""),"Adobe Premiere Pro CC | Initiation | Outils + Ateliers créas")</f>
        <v>Adobe Premiere Pro CC | Initiation | Outils + Ateliers créas</v>
      </c>
    </row>
    <row r="13579">
      <c r="A13579" s="140" t="str">
        <f>IFERROR(__xludf.DUMMYFUNCTION("""COMPUTED_VALUE"""),"en")</f>
        <v>en</v>
      </c>
      <c r="B13579">
        <f>IFERROR(__xludf.DUMMYFUNCTION("""COMPUTED_VALUE"""),1287612.0)</f>
        <v>1287612</v>
      </c>
      <c r="C13579" t="str">
        <f>IFERROR(__xludf.DUMMYFUNCTION("""COMPUTED_VALUE"""),"Web Automation by Selenium &amp; Python | BDD-Data Driven Frame")</f>
        <v>Web Automation by Selenium &amp; Python | BDD-Data Driven Frame</v>
      </c>
    </row>
    <row r="13580">
      <c r="A13580" s="140" t="str">
        <f>IFERROR(__xludf.DUMMYFUNCTION("""COMPUTED_VALUE"""),"en")</f>
        <v>en</v>
      </c>
      <c r="B13580">
        <f>IFERROR(__xludf.DUMMYFUNCTION("""COMPUTED_VALUE"""),4343750.0)</f>
        <v>4343750</v>
      </c>
      <c r="C13580" t="str">
        <f>IFERROR(__xludf.DUMMYFUNCTION("""COMPUTED_VALUE"""),"ServiceNow Certified System Admin (CSA) Mock Tests by Domain")</f>
        <v>ServiceNow Certified System Admin (CSA) Mock Tests by Domain</v>
      </c>
    </row>
    <row r="13581">
      <c r="A13581" s="140" t="str">
        <f>IFERROR(__xludf.DUMMYFUNCTION("""COMPUTED_VALUE"""),"ja")</f>
        <v>ja</v>
      </c>
      <c r="B13581">
        <f>IFERROR(__xludf.DUMMYFUNCTION("""COMPUTED_VALUE"""),3103220.0)</f>
        <v>3103220</v>
      </c>
      <c r="C13581" t="str">
        <f>IFERROR(__xludf.DUMMYFUNCTION("""COMPUTED_VALUE"""),"新人工知能シリーズNeural Knowledge™理論講座①　～現代の人工知能の課題とその解決策～")</f>
        <v>新人工知能シリーズNeural Knowledge™理論講座①　～現代の人工知能の課題とその解決策～</v>
      </c>
    </row>
    <row r="13582">
      <c r="A13582" s="140" t="str">
        <f>IFERROR(__xludf.DUMMYFUNCTION("""COMPUTED_VALUE"""),"it")</f>
        <v>it</v>
      </c>
      <c r="B13582">
        <f>IFERROR(__xludf.DUMMYFUNCTION("""COMPUTED_VALUE"""),4351942.0)</f>
        <v>4351942</v>
      </c>
      <c r="C13582" t="str">
        <f>IFERROR(__xludf.DUMMYFUNCTION("""COMPUTED_VALUE"""),"Laravel: La Guida Completa")</f>
        <v>Laravel: La Guida Completa</v>
      </c>
    </row>
    <row r="13583">
      <c r="A13583" s="140" t="str">
        <f>IFERROR(__xludf.DUMMYFUNCTION("""COMPUTED_VALUE"""),"it")</f>
        <v>it</v>
      </c>
      <c r="B13583">
        <f>IFERROR(__xludf.DUMMYFUNCTION("""COMPUTED_VALUE"""),4183792.0)</f>
        <v>4183792</v>
      </c>
      <c r="C13583" t="str">
        <f>IFERROR(__xludf.DUMMYFUNCTION("""COMPUTED_VALUE"""),"Adobe InDesign CC: impaginare da Zero ad Esperto")</f>
        <v>Adobe InDesign CC: impaginare da Zero ad Esperto</v>
      </c>
    </row>
    <row r="13584">
      <c r="A13584" s="140" t="str">
        <f>IFERROR(__xludf.DUMMYFUNCTION("""COMPUTED_VALUE"""),"de")</f>
        <v>de</v>
      </c>
      <c r="B13584">
        <f>IFERROR(__xludf.DUMMYFUNCTION("""COMPUTED_VALUE"""),4053412.0)</f>
        <v>4053412</v>
      </c>
      <c r="C13584" t="str">
        <f>IFERROR(__xludf.DUMMYFUNCTION("""COMPUTED_VALUE"""),"Facebook Ads Meisterkurs: Werbeanzeigen schalten")</f>
        <v>Facebook Ads Meisterkurs: Werbeanzeigen schalten</v>
      </c>
    </row>
    <row r="13585">
      <c r="A13585" s="140" t="str">
        <f>IFERROR(__xludf.DUMMYFUNCTION("""COMPUTED_VALUE"""),"de")</f>
        <v>de</v>
      </c>
      <c r="B13585">
        <f>IFERROR(__xludf.DUMMYFUNCTION("""COMPUTED_VALUE"""),1076924.0)</f>
        <v>1076924</v>
      </c>
      <c r="C13585" t="str">
        <f>IFERROR(__xludf.DUMMYFUNCTION("""COMPUTED_VALUE"""),"Drupal 8 Komplett: Der Kurs für Anfänger und Web-Designer")</f>
        <v>Drupal 8 Komplett: Der Kurs für Anfänger und Web-Designer</v>
      </c>
    </row>
    <row r="13586">
      <c r="A13586" s="140" t="str">
        <f>IFERROR(__xludf.DUMMYFUNCTION("""COMPUTED_VALUE"""),"en")</f>
        <v>en</v>
      </c>
      <c r="B13586">
        <f>IFERROR(__xludf.DUMMYFUNCTION("""COMPUTED_VALUE"""),4182398.0)</f>
        <v>4182398</v>
      </c>
      <c r="C13586" t="str">
        <f>IFERROR(__xludf.DUMMYFUNCTION("""COMPUTED_VALUE"""),"CompTIA A+ (220-1002) Exámenes de Práctica (500+ preguntas)")</f>
        <v>CompTIA A+ (220-1002) Exámenes de Práctica (500+ preguntas)</v>
      </c>
    </row>
    <row r="13587">
      <c r="A13587" s="140" t="str">
        <f>IFERROR(__xludf.DUMMYFUNCTION("""COMPUTED_VALUE"""),"en")</f>
        <v>en</v>
      </c>
      <c r="B13587">
        <f>IFERROR(__xludf.DUMMYFUNCTION("""COMPUTED_VALUE"""),2051361.0)</f>
        <v>2051361</v>
      </c>
      <c r="C13587" t="str">
        <f>IFERROR(__xludf.DUMMYFUNCTION("""COMPUTED_VALUE"""),"Linux Kernel Programming - IPC b/w Userspace and KernelSpace")</f>
        <v>Linux Kernel Programming - IPC b/w Userspace and KernelSpace</v>
      </c>
    </row>
    <row r="13588">
      <c r="A13588" s="140" t="str">
        <f>IFERROR(__xludf.DUMMYFUNCTION("""COMPUTED_VALUE"""),"pt")</f>
        <v>pt</v>
      </c>
      <c r="B13588">
        <f>IFERROR(__xludf.DUMMYFUNCTION("""COMPUTED_VALUE"""),3700400.0)</f>
        <v>3700400</v>
      </c>
      <c r="C13588" t="str">
        <f>IFERROR(__xludf.DUMMYFUNCTION("""COMPUTED_VALUE"""),"Curso completo de HTML, CSS e SASS. [Do básico ao avançado!]")</f>
        <v>Curso completo de HTML, CSS e SASS. [Do básico ao avançado!]</v>
      </c>
    </row>
    <row r="13589">
      <c r="A13589" s="140" t="str">
        <f>IFERROR(__xludf.DUMMYFUNCTION("""COMPUTED_VALUE"""),"fr")</f>
        <v>fr</v>
      </c>
      <c r="B13589">
        <f>IFERROR(__xludf.DUMMYFUNCTION("""COMPUTED_VALUE"""),4031884.0)</f>
        <v>4031884</v>
      </c>
      <c r="C13589" t="str">
        <f>IFERROR(__xludf.DUMMYFUNCTION("""COMPUTED_VALUE"""),"Vue JS 3: Développement Web Moderne avec Vuex et Vue Router")</f>
        <v>Vue JS 3: Développement Web Moderne avec Vuex et Vue Router</v>
      </c>
    </row>
    <row r="13590">
      <c r="A13590" s="140" t="str">
        <f>IFERROR(__xludf.DUMMYFUNCTION("""COMPUTED_VALUE"""),"it")</f>
        <v>it</v>
      </c>
      <c r="B13590">
        <f>IFERROR(__xludf.DUMMYFUNCTION("""COMPUTED_VALUE"""),1881602.0)</f>
        <v>1881602</v>
      </c>
      <c r="C13590" t="str">
        <f>IFERROR(__xludf.DUMMYFUNCTION("""COMPUTED_VALUE"""),"Guida per Ottimizzare un SITO WEB con Tecniche e Analisi SEO")</f>
        <v>Guida per Ottimizzare un SITO WEB con Tecniche e Analisi SEO</v>
      </c>
    </row>
    <row r="13591">
      <c r="A13591" s="140" t="str">
        <f>IFERROR(__xludf.DUMMYFUNCTION("""COMPUTED_VALUE"""),"en")</f>
        <v>en</v>
      </c>
      <c r="B13591">
        <f>IFERROR(__xludf.DUMMYFUNCTION("""COMPUTED_VALUE"""),4373264.0)</f>
        <v>4373264</v>
      </c>
      <c r="C13591" t="str">
        <f>IFERROR(__xludf.DUMMYFUNCTION("""COMPUTED_VALUE"""),"The Accountability Bootcamp for Managers")</f>
        <v>The Accountability Bootcamp for Managers</v>
      </c>
    </row>
    <row r="13592">
      <c r="A13592" s="140" t="str">
        <f>IFERROR(__xludf.DUMMYFUNCTION("""COMPUTED_VALUE"""),"en")</f>
        <v>en</v>
      </c>
      <c r="B13592">
        <f>IFERROR(__xludf.DUMMYFUNCTION("""COMPUTED_VALUE"""),3783522.0)</f>
        <v>3783522</v>
      </c>
      <c r="C13592" t="str">
        <f>IFERROR(__xludf.DUMMYFUNCTION("""COMPUTED_VALUE"""),"Technical Analysis with Python for Algorithmic Trading")</f>
        <v>Technical Analysis with Python for Algorithmic Trading</v>
      </c>
    </row>
    <row r="13593">
      <c r="A13593" s="140" t="str">
        <f>IFERROR(__xludf.DUMMYFUNCTION("""COMPUTED_VALUE"""),"ko")</f>
        <v>ko</v>
      </c>
      <c r="B13593">
        <f>IFERROR(__xludf.DUMMYFUNCTION("""COMPUTED_VALUE"""),4393364.0)</f>
        <v>4393364</v>
      </c>
      <c r="C13593" t="str">
        <f>IFERROR(__xludf.DUMMYFUNCTION("""COMPUTED_VALUE"""),"【글로벌 Best】 클릭 센스 : Data Science 와 BI 를 위한 Qlik Sense (한글자막)")</f>
        <v>【글로벌 Best】 클릭 센스 : Data Science 와 BI 를 위한 Qlik Sense (한글자막)</v>
      </c>
    </row>
    <row r="13594">
      <c r="A13594" s="140" t="str">
        <f>IFERROR(__xludf.DUMMYFUNCTION("""COMPUTED_VALUE"""),"en")</f>
        <v>en</v>
      </c>
      <c r="B13594">
        <f>IFERROR(__xludf.DUMMYFUNCTION("""COMPUTED_VALUE"""),3821964.0)</f>
        <v>3821964</v>
      </c>
      <c r="C13594" t="str">
        <f>IFERROR(__xludf.DUMMYFUNCTION("""COMPUTED_VALUE"""),"C# Interview Questions with Answers")</f>
        <v>C# Interview Questions with Answers</v>
      </c>
    </row>
    <row r="13595">
      <c r="A13595" s="140" t="str">
        <f>IFERROR(__xludf.DUMMYFUNCTION("""COMPUTED_VALUE"""),"ja")</f>
        <v>ja</v>
      </c>
      <c r="B13595">
        <f>IFERROR(__xludf.DUMMYFUNCTION("""COMPUTED_VALUE"""),4240854.0)</f>
        <v>4240854</v>
      </c>
      <c r="C13595" t="str">
        <f>IFERROR(__xludf.DUMMYFUNCTION("""COMPUTED_VALUE"""),"【続】Microsoft Power Automate Desktop 入門講座 ～ フォルダーアクション 特訓編 ～")</f>
        <v>【続】Microsoft Power Automate Desktop 入門講座 ～ フォルダーアクション 特訓編 ～</v>
      </c>
    </row>
    <row r="13596">
      <c r="A13596" s="140" t="str">
        <f>IFERROR(__xludf.DUMMYFUNCTION("""COMPUTED_VALUE"""),"ko")</f>
        <v>ko</v>
      </c>
      <c r="B13596">
        <f>IFERROR(__xludf.DUMMYFUNCTION("""COMPUTED_VALUE"""),4371516.0)</f>
        <v>4371516</v>
      </c>
      <c r="C13596" t="str">
        <f>IFERROR(__xludf.DUMMYFUNCTION("""COMPUTED_VALUE"""),"【글로벌 Best】 Python 을 사용한 데이터 시각화 (한글자막)")</f>
        <v>【글로벌 Best】 Python 을 사용한 데이터 시각화 (한글자막)</v>
      </c>
    </row>
    <row r="13597">
      <c r="A13597" s="140" t="str">
        <f>IFERROR(__xludf.DUMMYFUNCTION("""COMPUTED_VALUE"""),"ja")</f>
        <v>ja</v>
      </c>
      <c r="B13597">
        <f>IFERROR(__xludf.DUMMYFUNCTION("""COMPUTED_VALUE"""),2573104.0)</f>
        <v>2573104</v>
      </c>
      <c r="C13597" t="str">
        <f>IFERROR(__xludf.DUMMYFUNCTION("""COMPUTED_VALUE"""),"Pythonによるウェブスクレイピング（Python Web Scraping）")</f>
        <v>Pythonによるウェブスクレイピング（Python Web Scraping）</v>
      </c>
    </row>
    <row r="13598">
      <c r="A13598" s="140" t="str">
        <f>IFERROR(__xludf.DUMMYFUNCTION("""COMPUTED_VALUE"""),"it")</f>
        <v>it</v>
      </c>
      <c r="B13598">
        <f>IFERROR(__xludf.DUMMYFUNCTION("""COMPUTED_VALUE"""),3858188.0)</f>
        <v>3858188</v>
      </c>
      <c r="C13598" t="str">
        <f>IFERROR(__xludf.DUMMYFUNCTION("""COMPUTED_VALUE"""),"Le basi del Social Media Manager")</f>
        <v>Le basi del Social Media Manager</v>
      </c>
    </row>
    <row r="13599">
      <c r="A13599" s="140" t="str">
        <f>IFERROR(__xludf.DUMMYFUNCTION("""COMPUTED_VALUE"""),"fr")</f>
        <v>fr</v>
      </c>
      <c r="B13599">
        <f>IFERROR(__xludf.DUMMYFUNCTION("""COMPUTED_VALUE"""),1719096.0)</f>
        <v>1719096</v>
      </c>
      <c r="C13599" t="str">
        <f>IFERROR(__xludf.DUMMYFUNCTION("""COMPUTED_VALUE"""),"SQL Server : Le cours complet de 27 heures (13 cours en 1)")</f>
        <v>SQL Server : Le cours complet de 27 heures (13 cours en 1)</v>
      </c>
    </row>
    <row r="13600">
      <c r="A13600" s="140" t="str">
        <f>IFERROR(__xludf.DUMMYFUNCTION("""COMPUTED_VALUE"""),"en")</f>
        <v>en</v>
      </c>
      <c r="B13600">
        <f>IFERROR(__xludf.DUMMYFUNCTION("""COMPUTED_VALUE"""),4340052.0)</f>
        <v>4340052</v>
      </c>
      <c r="C13600" t="str">
        <f>IFERROR(__xludf.DUMMYFUNCTION("""COMPUTED_VALUE"""),"Learn Recruitment &amp; Acquisition Of Effective Sales Talent")</f>
        <v>Learn Recruitment &amp; Acquisition Of Effective Sales Talent</v>
      </c>
    </row>
    <row r="13601">
      <c r="A13601" s="140" t="str">
        <f>IFERROR(__xludf.DUMMYFUNCTION("""COMPUTED_VALUE"""),"en")</f>
        <v>en</v>
      </c>
      <c r="B13601">
        <f>IFERROR(__xludf.DUMMYFUNCTION("""COMPUTED_VALUE"""),4015948.0)</f>
        <v>4015948</v>
      </c>
      <c r="C13601" t="str">
        <f>IFERROR(__xludf.DUMMYFUNCTION("""COMPUTED_VALUE"""),"Linux Redhat Certified Administrator (RHCSA 8) - Unofficial")</f>
        <v>Linux Redhat Certified Administrator (RHCSA 8) - Unofficial</v>
      </c>
    </row>
    <row r="13602">
      <c r="A13602" s="140" t="str">
        <f>IFERROR(__xludf.DUMMYFUNCTION("""COMPUTED_VALUE"""),"en")</f>
        <v>en</v>
      </c>
      <c r="B13602">
        <f>IFERROR(__xludf.DUMMYFUNCTION("""COMPUTED_VALUE"""),4189592.0)</f>
        <v>4189592</v>
      </c>
      <c r="C13602" t="str">
        <f>IFERROR(__xludf.DUMMYFUNCTION("""COMPUTED_VALUE"""),"Build VMware vSphere LAB VCP Home Lab by VMware Workstation")</f>
        <v>Build VMware vSphere LAB VCP Home Lab by VMware Workstation</v>
      </c>
    </row>
    <row r="13603">
      <c r="A13603" s="140" t="str">
        <f>IFERROR(__xludf.DUMMYFUNCTION("""COMPUTED_VALUE"""),"ko")</f>
        <v>ko</v>
      </c>
      <c r="B13603">
        <f>IFERROR(__xludf.DUMMYFUNCTION("""COMPUTED_VALUE"""),4290980.0)</f>
        <v>4290980</v>
      </c>
      <c r="C13603" t="str">
        <f>IFERROR(__xludf.DUMMYFUNCTION("""COMPUTED_VALUE"""),"【글로벌 Best】 C#과 Unity로 3D 게임 개발하기(한글자막)")</f>
        <v>【글로벌 Best】 C#과 Unity로 3D 게임 개발하기(한글자막)</v>
      </c>
    </row>
    <row r="13604">
      <c r="A13604" s="140" t="str">
        <f>IFERROR(__xludf.DUMMYFUNCTION("""COMPUTED_VALUE"""),"en")</f>
        <v>en</v>
      </c>
      <c r="B13604">
        <f>IFERROR(__xludf.DUMMYFUNCTION("""COMPUTED_VALUE"""),1711854.0)</f>
        <v>1711854</v>
      </c>
      <c r="C13604" t="str">
        <f>IFERROR(__xludf.DUMMYFUNCTION("""COMPUTED_VALUE"""),"Angular Crash Course with Node and Java Backend")</f>
        <v>Angular Crash Course with Node and Java Backend</v>
      </c>
    </row>
    <row r="13605">
      <c r="A13605" s="140" t="str">
        <f>IFERROR(__xludf.DUMMYFUNCTION("""COMPUTED_VALUE"""),"de")</f>
        <v>de</v>
      </c>
      <c r="B13605">
        <f>IFERROR(__xludf.DUMMYFUNCTION("""COMPUTED_VALUE"""),3169548.0)</f>
        <v>3169548</v>
      </c>
      <c r="C13605" t="str">
        <f>IFERROR(__xludf.DUMMYFUNCTION("""COMPUTED_VALUE"""),"Kundenakquise im Internet: Der Komplette A-Z Marketing Kurs")</f>
        <v>Kundenakquise im Internet: Der Komplette A-Z Marketing Kurs</v>
      </c>
    </row>
    <row r="13606">
      <c r="A13606" s="140" t="str">
        <f>IFERROR(__xludf.DUMMYFUNCTION("""COMPUTED_VALUE"""),"de")</f>
        <v>de</v>
      </c>
      <c r="B13606">
        <f>IFERROR(__xludf.DUMMYFUNCTION("""COMPUTED_VALUE"""),3636358.0)</f>
        <v>3636358</v>
      </c>
      <c r="C13606" t="str">
        <f>IFERROR(__xludf.DUMMYFUNCTION("""COMPUTED_VALUE"""),"Projektmanagement Grundlagen: Kurz, knapp, pragmatisch")</f>
        <v>Projektmanagement Grundlagen: Kurz, knapp, pragmatisch</v>
      </c>
    </row>
    <row r="13607">
      <c r="A13607" s="140" t="str">
        <f>IFERROR(__xludf.DUMMYFUNCTION("""COMPUTED_VALUE"""),"it")</f>
        <v>it</v>
      </c>
      <c r="B13607">
        <f>IFERROR(__xludf.DUMMYFUNCTION("""COMPUTED_VALUE"""),3182078.0)</f>
        <v>3182078</v>
      </c>
      <c r="C13607" t="str">
        <f>IFERROR(__xludf.DUMMYFUNCTION("""COMPUTED_VALUE"""),"Microsoft Project 2019: dalla A alla Z")</f>
        <v>Microsoft Project 2019: dalla A alla Z</v>
      </c>
    </row>
    <row r="13608">
      <c r="A13608" s="140" t="str">
        <f>IFERROR(__xludf.DUMMYFUNCTION("""COMPUTED_VALUE"""),"ja")</f>
        <v>ja</v>
      </c>
      <c r="B13608">
        <f>IFERROR(__xludf.DUMMYFUNCTION("""COMPUTED_VALUE"""),4181924.0)</f>
        <v>4181924</v>
      </c>
      <c r="C13608" t="str">
        <f>IFERROR(__xludf.DUMMYFUNCTION("""COMPUTED_VALUE"""),"ノーコード「Bubble」で「Slack」を作ろう | チャットアプリの作り方、データベース設計を学べます")</f>
        <v>ノーコード「Bubble」で「Slack」を作ろう | チャットアプリの作り方、データベース設計を学べます</v>
      </c>
    </row>
    <row r="13609">
      <c r="A13609" s="140" t="str">
        <f>IFERROR(__xludf.DUMMYFUNCTION("""COMPUTED_VALUE"""),"de")</f>
        <v>de</v>
      </c>
      <c r="B13609">
        <f>IFERROR(__xludf.DUMMYFUNCTION("""COMPUTED_VALUE"""),1111192.0)</f>
        <v>1111192</v>
      </c>
      <c r="C13609" t="str">
        <f>IFERROR(__xludf.DUMMYFUNCTION("""COMPUTED_VALUE"""),"20 Tipps + Tricks für Office 2010/2013/2016/2019/365")</f>
        <v>20 Tipps + Tricks für Office 2010/2013/2016/2019/365</v>
      </c>
    </row>
    <row r="13610">
      <c r="A13610" s="140" t="str">
        <f>IFERROR(__xludf.DUMMYFUNCTION("""COMPUTED_VALUE"""),"ja")</f>
        <v>ja</v>
      </c>
      <c r="B13610">
        <f>IFERROR(__xludf.DUMMYFUNCTION("""COMPUTED_VALUE"""),4262842.0)</f>
        <v>4262842</v>
      </c>
      <c r="C13610" t="str">
        <f>IFERROR(__xludf.DUMMYFUNCTION("""COMPUTED_VALUE"""),"Procreateで「線画アート」の描き方伝授！初心者でも出来る、インクブラシでビンテージ感あるイラストを描く方法")</f>
        <v>Procreateで「線画アート」の描き方伝授！初心者でも出来る、インクブラシでビンテージ感あるイラストを描く方法</v>
      </c>
    </row>
    <row r="13611">
      <c r="A13611" s="140" t="str">
        <f>IFERROR(__xludf.DUMMYFUNCTION("""COMPUTED_VALUE"""),"it")</f>
        <v>it</v>
      </c>
      <c r="B13611">
        <f>IFERROR(__xludf.DUMMYFUNCTION("""COMPUTED_VALUE"""),3284928.0)</f>
        <v>3284928</v>
      </c>
      <c r="C13611" t="str">
        <f>IFERROR(__xludf.DUMMYFUNCTION("""COMPUTED_VALUE"""),"Impara Le Basi del Bitcoin e della Blockchain")</f>
        <v>Impara Le Basi del Bitcoin e della Blockchain</v>
      </c>
    </row>
    <row r="13612">
      <c r="A13612" s="140" t="str">
        <f>IFERROR(__xludf.DUMMYFUNCTION("""COMPUTED_VALUE"""),"en")</f>
        <v>en</v>
      </c>
      <c r="B13612">
        <f>IFERROR(__xludf.DUMMYFUNCTION("""COMPUTED_VALUE"""),3809336.0)</f>
        <v>3809336</v>
      </c>
      <c r="C13612" t="str">
        <f>IFERROR(__xludf.DUMMYFUNCTION("""COMPUTED_VALUE"""),"Mental Health First Aid Skills -")</f>
        <v>Mental Health First Aid Skills -</v>
      </c>
    </row>
    <row r="13613">
      <c r="A13613" s="140" t="str">
        <f>IFERROR(__xludf.DUMMYFUNCTION("""COMPUTED_VALUE"""),"de")</f>
        <v>de</v>
      </c>
      <c r="B13613">
        <f>IFERROR(__xludf.DUMMYFUNCTION("""COMPUTED_VALUE"""),1121326.0)</f>
        <v>1121326</v>
      </c>
      <c r="C13613" t="str">
        <f>IFERROR(__xludf.DUMMYFUNCTION("""COMPUTED_VALUE"""),"Drohnen: Dein Guide zu großartiger Videografie &amp; Fotografie")</f>
        <v>Drohnen: Dein Guide zu großartiger Videografie &amp; Fotografie</v>
      </c>
    </row>
    <row r="13614">
      <c r="A13614" s="140" t="str">
        <f>IFERROR(__xludf.DUMMYFUNCTION("""COMPUTED_VALUE"""),"fr")</f>
        <v>fr</v>
      </c>
      <c r="B13614">
        <f>IFERROR(__xludf.DUMMYFUNCTION("""COMPUTED_VALUE"""),1712002.0)</f>
        <v>1712002</v>
      </c>
      <c r="C13614" t="str">
        <f>IFERROR(__xludf.DUMMYFUNCTION("""COMPUTED_VALUE"""),"Formule d’efficacité : Travaillez 2X moins, Gagnez 2X plus !")</f>
        <v>Formule d’efficacité : Travaillez 2X moins, Gagnez 2X plus !</v>
      </c>
    </row>
    <row r="13615">
      <c r="A13615" s="140" t="str">
        <f>IFERROR(__xludf.DUMMYFUNCTION("""COMPUTED_VALUE"""),"it")</f>
        <v>it</v>
      </c>
      <c r="B13615">
        <f>IFERROR(__xludf.DUMMYFUNCTION("""COMPUTED_VALUE"""),3719884.0)</f>
        <v>3719884</v>
      </c>
      <c r="C13615" t="str">
        <f>IFERROR(__xludf.DUMMYFUNCTION("""COMPUTED_VALUE"""),"PNL per tutti: Programmazione Neuro Linguistica fondamentale")</f>
        <v>PNL per tutti: Programmazione Neuro Linguistica fondamentale</v>
      </c>
    </row>
    <row r="13616">
      <c r="A13616" s="140" t="str">
        <f>IFERROR(__xludf.DUMMYFUNCTION("""COMPUTED_VALUE"""),"ko")</f>
        <v>ko</v>
      </c>
      <c r="B13616">
        <f>IFERROR(__xludf.DUMMYFUNCTION("""COMPUTED_VALUE"""),1681890.0)</f>
        <v>1681890</v>
      </c>
      <c r="C13616" t="str">
        <f>IFERROR(__xludf.DUMMYFUNCTION("""COMPUTED_VALUE"""),"A 10 hour ASP.NET CORE Course in Korean")</f>
        <v>A 10 hour ASP.NET CORE Course in Korean</v>
      </c>
    </row>
    <row r="13617">
      <c r="A13617" s="140" t="str">
        <f>IFERROR(__xludf.DUMMYFUNCTION("""COMPUTED_VALUE"""),"ko")</f>
        <v>ko</v>
      </c>
      <c r="B13617">
        <f>IFERROR(__xludf.DUMMYFUNCTION("""COMPUTED_VALUE"""),4313098.0)</f>
        <v>4313098</v>
      </c>
      <c r="C13617" t="str">
        <f>IFERROR(__xludf.DUMMYFUNCTION("""COMPUTED_VALUE"""),"ASP.NET CORE 페이징 컨트롤 제작 매뉴얼")</f>
        <v>ASP.NET CORE 페이징 컨트롤 제작 매뉴얼</v>
      </c>
    </row>
    <row r="13618">
      <c r="A13618" s="140" t="str">
        <f>IFERROR(__xludf.DUMMYFUNCTION("""COMPUTED_VALUE"""),"ja")</f>
        <v>ja</v>
      </c>
      <c r="B13618">
        <f>IFERROR(__xludf.DUMMYFUNCTION("""COMPUTED_VALUE"""),4367022.0)</f>
        <v>4367022</v>
      </c>
      <c r="C13618" t="str">
        <f>IFERROR(__xludf.DUMMYFUNCTION("""COMPUTED_VALUE"""),"【TOEIC®リスニング集中講座】この「英語の音ルール」で英語が聞こえる！（＋PART2の解き方解説付き）")</f>
        <v>【TOEIC®リスニング集中講座】この「英語の音ルール」で英語が聞こえる！（＋PART2の解き方解説付き）</v>
      </c>
    </row>
    <row r="13619">
      <c r="A13619" s="140" t="str">
        <f>IFERROR(__xludf.DUMMYFUNCTION("""COMPUTED_VALUE"""),"it")</f>
        <v>it</v>
      </c>
      <c r="B13619">
        <f>IFERROR(__xludf.DUMMYFUNCTION("""COMPUTED_VALUE"""),2869264.0)</f>
        <v>2869264</v>
      </c>
      <c r="C13619" t="str">
        <f>IFERROR(__xludf.DUMMYFUNCTION("""COMPUTED_VALUE"""),"Spatial databases")</f>
        <v>Spatial databases</v>
      </c>
    </row>
    <row r="13620">
      <c r="A13620" s="140" t="str">
        <f>IFERROR(__xludf.DUMMYFUNCTION("""COMPUTED_VALUE"""),"pt")</f>
        <v>pt</v>
      </c>
      <c r="B13620">
        <f>IFERROR(__xludf.DUMMYFUNCTION("""COMPUTED_VALUE"""),1668212.0)</f>
        <v>1668212</v>
      </c>
      <c r="C13620" t="str">
        <f>IFERROR(__xludf.DUMMYFUNCTION("""COMPUTED_VALUE"""),"Curso de ASP .NET Core MVC - Criando um Site do Zero (NET 6)")</f>
        <v>Curso de ASP .NET Core MVC - Criando um Site do Zero (NET 6)</v>
      </c>
    </row>
    <row r="13621">
      <c r="A13621" s="140" t="str">
        <f>IFERROR(__xludf.DUMMYFUNCTION("""COMPUTED_VALUE"""),"de")</f>
        <v>de</v>
      </c>
      <c r="B13621">
        <f>IFERROR(__xludf.DUMMYFUNCTION("""COMPUTED_VALUE"""),2147662.0)</f>
        <v>2147662</v>
      </c>
      <c r="C13621" t="str">
        <f>IFERROR(__xludf.DUMMYFUNCTION("""COMPUTED_VALUE"""),"Raspberry Pi für Einsteiger 2021 Edition (Mac+PC)")</f>
        <v>Raspberry Pi für Einsteiger 2021 Edition (Mac+PC)</v>
      </c>
    </row>
    <row r="13622">
      <c r="A13622" s="140" t="str">
        <f>IFERROR(__xludf.DUMMYFUNCTION("""COMPUTED_VALUE"""),"en")</f>
        <v>en</v>
      </c>
      <c r="B13622">
        <f>IFERROR(__xludf.DUMMYFUNCTION("""COMPUTED_VALUE"""),3135038.0)</f>
        <v>3135038</v>
      </c>
      <c r="C13622" t="str">
        <f>IFERROR(__xludf.DUMMYFUNCTION("""COMPUTED_VALUE"""),"Improve your Business English: English for Presentations")</f>
        <v>Improve your Business English: English for Presentations</v>
      </c>
    </row>
    <row r="13623">
      <c r="A13623" s="140" t="str">
        <f>IFERROR(__xludf.DUMMYFUNCTION("""COMPUTED_VALUE"""),"ko")</f>
        <v>ko</v>
      </c>
      <c r="B13623">
        <f>IFERROR(__xludf.DUMMYFUNCTION("""COMPUTED_VALUE"""),4415588.0)</f>
        <v>4415588</v>
      </c>
      <c r="C13623" t="str">
        <f>IFERROR(__xludf.DUMMYFUNCTION("""COMPUTED_VALUE"""),"【글로벌 Best】 산업 적용 사례와 함께 하는 Blockchain 입문 (한글자막)")</f>
        <v>【글로벌 Best】 산업 적용 사례와 함께 하는 Blockchain 입문 (한글자막)</v>
      </c>
    </row>
    <row r="13624">
      <c r="A13624" s="140" t="str">
        <f>IFERROR(__xludf.DUMMYFUNCTION("""COMPUTED_VALUE"""),"fr")</f>
        <v>fr</v>
      </c>
      <c r="B13624">
        <f>IFERROR(__xludf.DUMMYFUNCTION("""COMPUTED_VALUE"""),2025948.0)</f>
        <v>2025948</v>
      </c>
      <c r="C13624" t="str">
        <f>IFERROR(__xludf.DUMMYFUNCTION("""COMPUTED_VALUE"""),"Flutter et Firebase: Créez une app de chat iOS et Android")</f>
        <v>Flutter et Firebase: Créez une app de chat iOS et Android</v>
      </c>
    </row>
    <row r="13625">
      <c r="A13625" s="140" t="str">
        <f>IFERROR(__xludf.DUMMYFUNCTION("""COMPUTED_VALUE"""),"ko")</f>
        <v>ko</v>
      </c>
      <c r="B13625">
        <f>IFERROR(__xludf.DUMMYFUNCTION("""COMPUTED_VALUE"""),4436594.0)</f>
        <v>4436594</v>
      </c>
      <c r="C13625" t="str">
        <f>IFERROR(__xludf.DUMMYFUNCTION("""COMPUTED_VALUE"""),"안드로이드 앱개발 부트캠프")</f>
        <v>안드로이드 앱개발 부트캠프</v>
      </c>
    </row>
    <row r="13626">
      <c r="A13626" s="140" t="str">
        <f>IFERROR(__xludf.DUMMYFUNCTION("""COMPUTED_VALUE"""),"en")</f>
        <v>en</v>
      </c>
      <c r="B13626">
        <f>IFERROR(__xludf.DUMMYFUNCTION("""COMPUTED_VALUE"""),3952556.0)</f>
        <v>3952556</v>
      </c>
      <c r="C13626" t="str">
        <f>IFERROR(__xludf.DUMMYFUNCTION("""COMPUTED_VALUE"""),"Piping Design Engineering &amp; Piping Isometrics Masterclass")</f>
        <v>Piping Design Engineering &amp; Piping Isometrics Masterclass</v>
      </c>
    </row>
    <row r="13627">
      <c r="A13627" s="140" t="str">
        <f>IFERROR(__xludf.DUMMYFUNCTION("""COMPUTED_VALUE"""),"en")</f>
        <v>en</v>
      </c>
      <c r="B13627">
        <f>IFERROR(__xludf.DUMMYFUNCTION("""COMPUTED_VALUE"""),2021224.0)</f>
        <v>2021224</v>
      </c>
      <c r="C13627" t="str">
        <f>IFERROR(__xludf.DUMMYFUNCTION("""COMPUTED_VALUE"""),"Java Messaging Service - Spring MVC, Spring Boot, ActiveMQ")</f>
        <v>Java Messaging Service - Spring MVC, Spring Boot, ActiveMQ</v>
      </c>
    </row>
    <row r="13628">
      <c r="A13628" s="140" t="str">
        <f>IFERROR(__xludf.DUMMYFUNCTION("""COMPUTED_VALUE"""),"en")</f>
        <v>en</v>
      </c>
      <c r="B13628">
        <f>IFERROR(__xludf.DUMMYFUNCTION("""COMPUTED_VALUE"""),3198332.0)</f>
        <v>3198332</v>
      </c>
      <c r="C13628" t="str">
        <f>IFERROR(__xludf.DUMMYFUNCTION("""COMPUTED_VALUE"""),"Panel Discussion Masterclass: for moderators and panelists")</f>
        <v>Panel Discussion Masterclass: for moderators and panelists</v>
      </c>
    </row>
    <row r="13629">
      <c r="A13629" s="140" t="str">
        <f>IFERROR(__xludf.DUMMYFUNCTION("""COMPUTED_VALUE"""),"en")</f>
        <v>en</v>
      </c>
      <c r="B13629">
        <f>IFERROR(__xludf.DUMMYFUNCTION("""COMPUTED_VALUE"""),2021042.0)</f>
        <v>2021042</v>
      </c>
      <c r="C13629" t="str">
        <f>IFERROR(__xludf.DUMMYFUNCTION("""COMPUTED_VALUE"""),"Introduction to Heat Transfer Engineering - RAHHT1 Rahsoft")</f>
        <v>Introduction to Heat Transfer Engineering - RAHHT1 Rahsoft</v>
      </c>
    </row>
    <row r="13630">
      <c r="A13630" s="140" t="str">
        <f>IFERROR(__xludf.DUMMYFUNCTION("""COMPUTED_VALUE"""),"ja")</f>
        <v>ja</v>
      </c>
      <c r="B13630">
        <f>IFERROR(__xludf.DUMMYFUNCTION("""COMPUTED_VALUE"""),4276816.0)</f>
        <v>4276816</v>
      </c>
      <c r="C13630" t="str">
        <f>IFERROR(__xludf.DUMMYFUNCTION("""COMPUTED_VALUE"""),"リモートワークで通用する!! 上司を100%説得する 質疑応答の極意")</f>
        <v>リモートワークで通用する!! 上司を100%説得する 質疑応答の極意</v>
      </c>
    </row>
    <row r="13631">
      <c r="A13631" s="140" t="str">
        <f>IFERROR(__xludf.DUMMYFUNCTION("""COMPUTED_VALUE"""),"fr")</f>
        <v>fr</v>
      </c>
      <c r="B13631">
        <f>IFERROR(__xludf.DUMMYFUNCTION("""COMPUTED_VALUE"""),2344018.0)</f>
        <v>2344018</v>
      </c>
      <c r="C13631" t="str">
        <f>IFERROR(__xludf.DUMMYFUNCTION("""COMPUTED_VALUE"""),"Débuter et apprendre a programmer en Python.")</f>
        <v>Débuter et apprendre a programmer en Python.</v>
      </c>
    </row>
    <row r="13632">
      <c r="A13632" s="140" t="str">
        <f>IFERROR(__xludf.DUMMYFUNCTION("""COMPUTED_VALUE"""),"de")</f>
        <v>de</v>
      </c>
      <c r="B13632">
        <f>IFERROR(__xludf.DUMMYFUNCTION("""COMPUTED_VALUE"""),3715266.0)</f>
        <v>3715266</v>
      </c>
      <c r="C13632" t="str">
        <f>IFERROR(__xludf.DUMMYFUNCTION("""COMPUTED_VALUE"""),"Werbeanzeigen: Google Ads + Facebook Ads + YouTube Ads")</f>
        <v>Werbeanzeigen: Google Ads + Facebook Ads + YouTube Ads</v>
      </c>
    </row>
    <row r="13633">
      <c r="A13633" s="140" t="str">
        <f>IFERROR(__xludf.DUMMYFUNCTION("""COMPUTED_VALUE"""),"fr")</f>
        <v>fr</v>
      </c>
      <c r="B13633">
        <f>IFERROR(__xludf.DUMMYFUNCTION("""COMPUTED_VALUE"""),2638214.0)</f>
        <v>2638214</v>
      </c>
      <c r="C13633" t="str">
        <f>IFERROR(__xludf.DUMMYFUNCTION("""COMPUTED_VALUE"""),"Cloner Twitch avec React")</f>
        <v>Cloner Twitch avec React</v>
      </c>
    </row>
    <row r="13634">
      <c r="A13634" s="140" t="str">
        <f>IFERROR(__xludf.DUMMYFUNCTION("""COMPUTED_VALUE"""),"ja")</f>
        <v>ja</v>
      </c>
      <c r="B13634">
        <f>IFERROR(__xludf.DUMMYFUNCTION("""COMPUTED_VALUE"""),4333706.0)</f>
        <v>4333706</v>
      </c>
      <c r="C13634" t="str">
        <f>IFERROR(__xludf.DUMMYFUNCTION("""COMPUTED_VALUE"""),"【Magenta+Colab】AIによる作曲を学ぼう！ -ディープラーニングで自動生成する音楽データ-")</f>
        <v>【Magenta+Colab】AIによる作曲を学ぼう！ -ディープラーニングで自動生成する音楽データ-</v>
      </c>
    </row>
    <row r="13635">
      <c r="A13635" s="140" t="str">
        <f>IFERROR(__xludf.DUMMYFUNCTION("""COMPUTED_VALUE"""),"fr")</f>
        <v>fr</v>
      </c>
      <c r="B13635">
        <f>IFERROR(__xludf.DUMMYFUNCTION("""COMPUTED_VALUE"""),3895024.0)</f>
        <v>3895024</v>
      </c>
      <c r="C13635" t="str">
        <f>IFERROR(__xludf.DUMMYFUNCTION("""COMPUTED_VALUE"""),"WordPress de Débutant à Expert Redoutable de A à Z (en 2021)")</f>
        <v>WordPress de Débutant à Expert Redoutable de A à Z (en 2021)</v>
      </c>
    </row>
    <row r="13636">
      <c r="A13636" s="140" t="str">
        <f>IFERROR(__xludf.DUMMYFUNCTION("""COMPUTED_VALUE"""),"en")</f>
        <v>en</v>
      </c>
      <c r="B13636">
        <f>IFERROR(__xludf.DUMMYFUNCTION("""COMPUTED_VALUE"""),4424420.0)</f>
        <v>4424420</v>
      </c>
      <c r="C13636" t="str">
        <f>IFERROR(__xludf.DUMMYFUNCTION("""COMPUTED_VALUE"""),"Metaverse Masterclass- Learn Everything about the Metaverse!")</f>
        <v>Metaverse Masterclass- Learn Everything about the Metaverse!</v>
      </c>
    </row>
    <row r="13637">
      <c r="A13637" s="140" t="str">
        <f>IFERROR(__xludf.DUMMYFUNCTION("""COMPUTED_VALUE"""),"ko")</f>
        <v>ko</v>
      </c>
      <c r="B13637">
        <f>IFERROR(__xludf.DUMMYFUNCTION("""COMPUTED_VALUE"""),4416920.0)</f>
        <v>4416920</v>
      </c>
      <c r="C13637" t="str">
        <f>IFERROR(__xludf.DUMMYFUNCTION("""COMPUTED_VALUE"""),"예능처럼 재미있는 진짜 재테크")</f>
        <v>예능처럼 재미있는 진짜 재테크</v>
      </c>
    </row>
    <row r="13638">
      <c r="A13638" s="140" t="str">
        <f>IFERROR(__xludf.DUMMYFUNCTION("""COMPUTED_VALUE"""),"de")</f>
        <v>de</v>
      </c>
      <c r="B13638">
        <f>IFERROR(__xludf.DUMMYFUNCTION("""COMPUTED_VALUE"""),1964086.0)</f>
        <v>1964086</v>
      </c>
      <c r="C13638" t="str">
        <f>IFERROR(__xludf.DUMMYFUNCTION("""COMPUTED_VALUE"""),"Einführung in Microsoft Power BI Desktop")</f>
        <v>Einführung in Microsoft Power BI Desktop</v>
      </c>
    </row>
    <row r="13639">
      <c r="A13639" s="140" t="str">
        <f>IFERROR(__xludf.DUMMYFUNCTION("""COMPUTED_VALUE"""),"ko")</f>
        <v>ko</v>
      </c>
      <c r="B13639">
        <f>IFERROR(__xludf.DUMMYFUNCTION("""COMPUTED_VALUE"""),4348434.0)</f>
        <v>4348434</v>
      </c>
      <c r="C13639" t="str">
        <f>IFERROR(__xludf.DUMMYFUNCTION("""COMPUTED_VALUE"""),"쉽게 이해되며 깔끔한 표현의 비즈니스 문서 만들기")</f>
        <v>쉽게 이해되며 깔끔한 표현의 비즈니스 문서 만들기</v>
      </c>
    </row>
    <row r="13640">
      <c r="A13640" s="140" t="str">
        <f>IFERROR(__xludf.DUMMYFUNCTION("""COMPUTED_VALUE"""),"it")</f>
        <v>it</v>
      </c>
      <c r="B13640">
        <f>IFERROR(__xludf.DUMMYFUNCTION("""COMPUTED_VALUE"""),1674398.0)</f>
        <v>1674398</v>
      </c>
      <c r="C13640" t="str">
        <f>IFERROR(__xludf.DUMMYFUNCTION("""COMPUTED_VALUE"""),"Corso Completo di Web Marketing: Quello che Non Ti Aspettavi")</f>
        <v>Corso Completo di Web Marketing: Quello che Non Ti Aspettavi</v>
      </c>
    </row>
    <row r="13641">
      <c r="A13641" s="140" t="str">
        <f>IFERROR(__xludf.DUMMYFUNCTION("""COMPUTED_VALUE"""),"ja")</f>
        <v>ja</v>
      </c>
      <c r="B13641">
        <f>IFERROR(__xludf.DUMMYFUNCTION("""COMPUTED_VALUE"""),2718372.0)</f>
        <v>2718372</v>
      </c>
      <c r="C13641" t="str">
        <f>IFERROR(__xludf.DUMMYFUNCTION("""COMPUTED_VALUE"""),"Microsoft Excel Visualization - エクセル による グラフ作成 この時はこのグラフを使え！")</f>
        <v>Microsoft Excel Visualization - エクセル による グラフ作成 この時はこのグラフを使え！</v>
      </c>
    </row>
    <row r="13642">
      <c r="A13642" s="140" t="str">
        <f>IFERROR(__xludf.DUMMYFUNCTION("""COMPUTED_VALUE"""),"en")</f>
        <v>en</v>
      </c>
      <c r="B13642">
        <f>IFERROR(__xludf.DUMMYFUNCTION("""COMPUTED_VALUE"""),2605732.0)</f>
        <v>2605732</v>
      </c>
      <c r="C13642" t="str">
        <f>IFERROR(__xludf.DUMMYFUNCTION("""COMPUTED_VALUE"""),"Zero to Hero in Microsoft Excel: Complete Excel guide 2022")</f>
        <v>Zero to Hero in Microsoft Excel: Complete Excel guide 2022</v>
      </c>
    </row>
    <row r="13643">
      <c r="A13643" s="140" t="str">
        <f>IFERROR(__xludf.DUMMYFUNCTION("""COMPUTED_VALUE"""),"it")</f>
        <v>it</v>
      </c>
      <c r="B13643">
        <f>IFERROR(__xludf.DUMMYFUNCTION("""COMPUTED_VALUE"""),1783532.0)</f>
        <v>1783532</v>
      </c>
      <c r="C13643" t="str">
        <f>IFERROR(__xludf.DUMMYFUNCTION("""COMPUTED_VALUE"""),"CORSO COPYWRITING: SCRIVERE PER  VENDERE")</f>
        <v>CORSO COPYWRITING: SCRIVERE PER  VENDERE</v>
      </c>
    </row>
    <row r="13644">
      <c r="A13644" s="140" t="str">
        <f>IFERROR(__xludf.DUMMYFUNCTION("""COMPUTED_VALUE"""),"en")</f>
        <v>en</v>
      </c>
      <c r="B13644">
        <f>IFERROR(__xludf.DUMMYFUNCTION("""COMPUTED_VALUE"""),3659072.0)</f>
        <v>3659072</v>
      </c>
      <c r="C13644" t="str">
        <f>IFERROR(__xludf.DUMMYFUNCTION("""COMPUTED_VALUE"""),"Certified Cloud Financial Operations (FinOps) Practitioner")</f>
        <v>Certified Cloud Financial Operations (FinOps) Practitioner</v>
      </c>
    </row>
    <row r="13645">
      <c r="A13645" s="140" t="str">
        <f>IFERROR(__xludf.DUMMYFUNCTION("""COMPUTED_VALUE"""),"en")</f>
        <v>en</v>
      </c>
      <c r="B13645">
        <f>IFERROR(__xludf.DUMMYFUNCTION("""COMPUTED_VALUE"""),4200932.0)</f>
        <v>4200932</v>
      </c>
      <c r="C13645" t="str">
        <f>IFERROR(__xludf.DUMMYFUNCTION("""COMPUTED_VALUE"""),"Unreal Engine 5 (UE5): Complete Beginners Course [OCT 2021]")</f>
        <v>Unreal Engine 5 (UE5): Complete Beginners Course [OCT 2021]</v>
      </c>
    </row>
    <row r="13646">
      <c r="A13646" s="140" t="str">
        <f>IFERROR(__xludf.DUMMYFUNCTION("""COMPUTED_VALUE"""),"en")</f>
        <v>en</v>
      </c>
      <c r="B13646">
        <f>IFERROR(__xludf.DUMMYFUNCTION("""COMPUTED_VALUE"""),3770560.0)</f>
        <v>3770560</v>
      </c>
      <c r="C13646" t="str">
        <f>IFERROR(__xludf.DUMMYFUNCTION("""COMPUTED_VALUE"""),"Learn Tableau &amp; Ace the Tableau Certified Data Analyst Exam")</f>
        <v>Learn Tableau &amp; Ace the Tableau Certified Data Analyst Exam</v>
      </c>
    </row>
    <row r="13647">
      <c r="A13647" s="140" t="str">
        <f>IFERROR(__xludf.DUMMYFUNCTION("""COMPUTED_VALUE"""),"de")</f>
        <v>de</v>
      </c>
      <c r="B13647">
        <f>IFERROR(__xludf.DUMMYFUNCTION("""COMPUTED_VALUE"""),3668458.0)</f>
        <v>3668458</v>
      </c>
      <c r="C13647" t="str">
        <f>IFERROR(__xludf.DUMMYFUNCTION("""COMPUTED_VALUE"""),"LinkedIn Marketing Meisterkurs: Der Komplette LinkedIn Kurs")</f>
        <v>LinkedIn Marketing Meisterkurs: Der Komplette LinkedIn Kurs</v>
      </c>
    </row>
    <row r="13648">
      <c r="A13648" s="140" t="str">
        <f>IFERROR(__xludf.DUMMYFUNCTION("""COMPUTED_VALUE"""),"it")</f>
        <v>it</v>
      </c>
      <c r="B13648">
        <f>IFERROR(__xludf.DUMMYFUNCTION("""COMPUTED_VALUE"""),3844202.0)</f>
        <v>3844202</v>
      </c>
      <c r="C13648" t="str">
        <f>IFERROR(__xludf.DUMMYFUNCTION("""COMPUTED_VALUE"""),"Corso di Power Point")</f>
        <v>Corso di Power Point</v>
      </c>
    </row>
    <row r="13649">
      <c r="A13649" s="140" t="str">
        <f>IFERROR(__xludf.DUMMYFUNCTION("""COMPUTED_VALUE"""),"de")</f>
        <v>de</v>
      </c>
      <c r="B13649">
        <f>IFERROR(__xludf.DUMMYFUNCTION("""COMPUTED_VALUE"""),3294528.0)</f>
        <v>3294528</v>
      </c>
      <c r="C13649" t="str">
        <f>IFERROR(__xludf.DUMMYFUNCTION("""COMPUTED_VALUE"""),"Verstehe, was deine Kinder motiviert - Lernen mit Kindern")</f>
        <v>Verstehe, was deine Kinder motiviert - Lernen mit Kindern</v>
      </c>
    </row>
    <row r="13650">
      <c r="A13650" s="140" t="str">
        <f>IFERROR(__xludf.DUMMYFUNCTION("""COMPUTED_VALUE"""),"ja")</f>
        <v>ja</v>
      </c>
      <c r="B13650">
        <f>IFERROR(__xludf.DUMMYFUNCTION("""COMPUTED_VALUE"""),3778400.0)</f>
        <v>3778400</v>
      </c>
      <c r="C13650" t="str">
        <f>IFERROR(__xludf.DUMMYFUNCTION("""COMPUTED_VALUE"""),"これ１本ですべてを網羅！経理部に配属された若手社員が身につけるべき基礎知識")</f>
        <v>これ１本ですべてを網羅！経理部に配属された若手社員が身につけるべき基礎知識</v>
      </c>
    </row>
    <row r="13651">
      <c r="A13651" s="140" t="str">
        <f>IFERROR(__xludf.DUMMYFUNCTION("""COMPUTED_VALUE"""),"ko")</f>
        <v>ko</v>
      </c>
      <c r="B13651">
        <f>IFERROR(__xludf.DUMMYFUNCTION("""COMPUTED_VALUE"""),4409106.0)</f>
        <v>4409106</v>
      </c>
      <c r="C13651" t="str">
        <f>IFERROR(__xludf.DUMMYFUNCTION("""COMPUTED_VALUE"""),"【글로벌 Best】 알고리즘 거래와 투자의 기술적 분석 with Python (한글자막)")</f>
        <v>【글로벌 Best】 알고리즘 거래와 투자의 기술적 분석 with Python (한글자막)</v>
      </c>
    </row>
    <row r="13652">
      <c r="A13652" s="140" t="str">
        <f>IFERROR(__xludf.DUMMYFUNCTION("""COMPUTED_VALUE"""),"ja")</f>
        <v>ja</v>
      </c>
      <c r="B13652">
        <f>IFERROR(__xludf.DUMMYFUNCTION("""COMPUTED_VALUE"""),2724096.0)</f>
        <v>2724096</v>
      </c>
      <c r="C13652" t="str">
        <f>IFERROR(__xludf.DUMMYFUNCTION("""COMPUTED_VALUE"""),"動画制作スキルを身につけるために！映像の基礎知識編")</f>
        <v>動画制作スキルを身につけるために！映像の基礎知識編</v>
      </c>
    </row>
    <row r="13653">
      <c r="A13653" s="140" t="str">
        <f>IFERROR(__xludf.DUMMYFUNCTION("""COMPUTED_VALUE"""),"ko")</f>
        <v>ko</v>
      </c>
      <c r="B13653">
        <f>IFERROR(__xludf.DUMMYFUNCTION("""COMPUTED_VALUE"""),4395212.0)</f>
        <v>4395212</v>
      </c>
      <c r="C13653" t="str">
        <f>IFERROR(__xludf.DUMMYFUNCTION("""COMPUTED_VALUE"""),"【글로벌 Best】 현대 인공지능 (AI) 마스터 클래스 : 6개의 프로젝트 구축하기 (한글자막)")</f>
        <v>【글로벌 Best】 현대 인공지능 (AI) 마스터 클래스 : 6개의 프로젝트 구축하기 (한글자막)</v>
      </c>
    </row>
    <row r="13654">
      <c r="A13654" s="140" t="str">
        <f>IFERROR(__xludf.DUMMYFUNCTION("""COMPUTED_VALUE"""),"ko")</f>
        <v>ko</v>
      </c>
      <c r="B13654">
        <f>IFERROR(__xludf.DUMMYFUNCTION("""COMPUTED_VALUE"""),4250574.0)</f>
        <v>4250574</v>
      </c>
      <c r="C13654" t="str">
        <f>IFERROR(__xludf.DUMMYFUNCTION("""COMPUTED_VALUE"""),"【글로벌 Best】 사업계획서 완성하기 : 50개의 사업계획서 양식 포함 (한글자막)")</f>
        <v>【글로벌 Best】 사업계획서 완성하기 : 50개의 사업계획서 양식 포함 (한글자막)</v>
      </c>
    </row>
    <row r="13655">
      <c r="A13655" s="140" t="str">
        <f>IFERROR(__xludf.DUMMYFUNCTION("""COMPUTED_VALUE"""),"fr")</f>
        <v>fr</v>
      </c>
      <c r="B13655">
        <f>IFERROR(__xludf.DUMMYFUNCTION("""COMPUTED_VALUE"""),3940860.0)</f>
        <v>3940860</v>
      </c>
      <c r="C13655" t="str">
        <f>IFERROR(__xludf.DUMMYFUNCTION("""COMPUTED_VALUE"""),"Certification Django 3 - Sites Web Full Stack avec Python 3")</f>
        <v>Certification Django 3 - Sites Web Full Stack avec Python 3</v>
      </c>
    </row>
    <row r="13656">
      <c r="A13656" s="140" t="str">
        <f>IFERROR(__xludf.DUMMYFUNCTION("""COMPUTED_VALUE"""),"de")</f>
        <v>de</v>
      </c>
      <c r="B13656">
        <f>IFERROR(__xludf.DUMMYFUNCTION("""COMPUTED_VALUE"""),2182570.0)</f>
        <v>2182570</v>
      </c>
      <c r="C13656" t="str">
        <f>IFERROR(__xludf.DUMMYFUNCTION("""COMPUTED_VALUE"""),"Produktivität steigern: Effizientes Zeitmanagement im Alltag")</f>
        <v>Produktivität steigern: Effizientes Zeitmanagement im Alltag</v>
      </c>
    </row>
    <row r="13657">
      <c r="A13657" s="140" t="str">
        <f>IFERROR(__xludf.DUMMYFUNCTION("""COMPUTED_VALUE"""),"it")</f>
        <v>it</v>
      </c>
      <c r="B13657">
        <f>IFERROR(__xludf.DUMMYFUNCTION("""COMPUTED_VALUE"""),1946258.0)</f>
        <v>1946258</v>
      </c>
      <c r="C13657" t="str">
        <f>IFERROR(__xludf.DUMMYFUNCTION("""COMPUTED_VALUE"""),"Canva: Innamorati della tua comunicazione con un tool super!")</f>
        <v>Canva: Innamorati della tua comunicazione con un tool super!</v>
      </c>
    </row>
    <row r="13658">
      <c r="A13658" s="140" t="str">
        <f>IFERROR(__xludf.DUMMYFUNCTION("""COMPUTED_VALUE"""),"en")</f>
        <v>en</v>
      </c>
      <c r="B13658">
        <f>IFERROR(__xludf.DUMMYFUNCTION("""COMPUTED_VALUE"""),1355526.0)</f>
        <v>1355526</v>
      </c>
      <c r="C13658" t="str">
        <f>IFERROR(__xludf.DUMMYFUNCTION("""COMPUTED_VALUE"""),"Ultimate Guide to Product Design: Design Thinking Approach")</f>
        <v>Ultimate Guide to Product Design: Design Thinking Approach</v>
      </c>
    </row>
    <row r="13659">
      <c r="A13659" s="140" t="str">
        <f>IFERROR(__xludf.DUMMYFUNCTION("""COMPUTED_VALUE"""),"en")</f>
        <v>en</v>
      </c>
      <c r="B13659">
        <f>IFERROR(__xludf.DUMMYFUNCTION("""COMPUTED_VALUE"""),2003226.0)</f>
        <v>2003226</v>
      </c>
      <c r="C13659" t="str">
        <f>IFERROR(__xludf.DUMMYFUNCTION("""COMPUTED_VALUE"""),"Part 1 Enterprise Architect 9.2 in Arabic توجاف الجزء الأول")</f>
        <v>Part 1 Enterprise Architect 9.2 in Arabic توجاف الجزء الأول</v>
      </c>
    </row>
    <row r="13660">
      <c r="A13660" s="140" t="str">
        <f>IFERROR(__xludf.DUMMYFUNCTION("""COMPUTED_VALUE"""),"ko")</f>
        <v>ko</v>
      </c>
      <c r="B13660">
        <f>IFERROR(__xludf.DUMMYFUNCTION("""COMPUTED_VALUE"""),4382738.0)</f>
        <v>4382738</v>
      </c>
      <c r="C13660" t="str">
        <f>IFERROR(__xludf.DUMMYFUNCTION("""COMPUTED_VALUE"""),"【글로벌 Best】 AI-900 Fundamentals 시험 준비 : 하루 만에 완벽히 끝내기 (한글자막)")</f>
        <v>【글로벌 Best】 AI-900 Fundamentals 시험 준비 : 하루 만에 완벽히 끝내기 (한글자막)</v>
      </c>
    </row>
    <row r="13661">
      <c r="A13661" s="140" t="str">
        <f>IFERROR(__xludf.DUMMYFUNCTION("""COMPUTED_VALUE"""),"en")</f>
        <v>en</v>
      </c>
      <c r="B13661">
        <f>IFERROR(__xludf.DUMMYFUNCTION("""COMPUTED_VALUE"""),2856870.0)</f>
        <v>2856870</v>
      </c>
      <c r="C13661" t="str">
        <f>IFERROR(__xludf.DUMMYFUNCTION("""COMPUTED_VALUE"""),"MikroTik Routing Engineer with LABS")</f>
        <v>MikroTik Routing Engineer with LABS</v>
      </c>
    </row>
    <row r="13662">
      <c r="A13662" s="140" t="str">
        <f>IFERROR(__xludf.DUMMYFUNCTION("""COMPUTED_VALUE"""),"ar")</f>
        <v>ar</v>
      </c>
      <c r="B13662">
        <f>IFERROR(__xludf.DUMMYFUNCTION("""COMPUTED_VALUE"""),3831822.0)</f>
        <v>3831822</v>
      </c>
      <c r="C13662" t="str">
        <f>IFERROR(__xludf.DUMMYFUNCTION("""COMPUTED_VALUE"""),"Fullstack Python &amp; Django | مسار تعلم برمجه المواقع بايثون")</f>
        <v>Fullstack Python &amp; Django | مسار تعلم برمجه المواقع بايثون</v>
      </c>
    </row>
    <row r="13663">
      <c r="A13663" s="140" t="str">
        <f>IFERROR(__xludf.DUMMYFUNCTION("""COMPUTED_VALUE"""),"ja")</f>
        <v>ja</v>
      </c>
      <c r="B13663">
        <f>IFERROR(__xludf.DUMMYFUNCTION("""COMPUTED_VALUE"""),2371360.0)</f>
        <v>2371360</v>
      </c>
      <c r="C13663" t="str">
        <f>IFERROR(__xludf.DUMMYFUNCTION("""COMPUTED_VALUE"""),"【PremierePro対応】ゼロから学ぶ映像制作：企画～絵コンテ～撮影～編集まで")</f>
        <v>【PremierePro対応】ゼロから学ぶ映像制作：企画～絵コンテ～撮影～編集まで</v>
      </c>
    </row>
    <row r="13664">
      <c r="A13664" s="140" t="str">
        <f>IFERROR(__xludf.DUMMYFUNCTION("""COMPUTED_VALUE"""),"fr")</f>
        <v>fr</v>
      </c>
      <c r="B13664">
        <f>IFERROR(__xludf.DUMMYFUNCTION("""COMPUTED_VALUE"""),3543572.0)</f>
        <v>3543572</v>
      </c>
      <c r="C13664" t="str">
        <f>IFERROR(__xludf.DUMMYFUNCTION("""COMPUTED_VALUE"""),"Formation HTML 5 et CSS 3 (pour les débutants)")</f>
        <v>Formation HTML 5 et CSS 3 (pour les débutants)</v>
      </c>
    </row>
    <row r="13665">
      <c r="A13665" s="140" t="str">
        <f>IFERROR(__xludf.DUMMYFUNCTION("""COMPUTED_VALUE"""),"fr")</f>
        <v>fr</v>
      </c>
      <c r="B13665">
        <f>IFERROR(__xludf.DUMMYFUNCTION("""COMPUTED_VALUE"""),3873454.0)</f>
        <v>3873454</v>
      </c>
      <c r="C13665" t="str">
        <f>IFERROR(__xludf.DUMMYFUNCTION("""COMPUTED_VALUE"""),"Superviser un Système d'information avec Centreon | 2022")</f>
        <v>Superviser un Système d'information avec Centreon | 2022</v>
      </c>
    </row>
    <row r="13666">
      <c r="A13666" s="140" t="str">
        <f>IFERROR(__xludf.DUMMYFUNCTION("""COMPUTED_VALUE"""),"de")</f>
        <v>de</v>
      </c>
      <c r="B13666">
        <f>IFERROR(__xludf.DUMMYFUNCTION("""COMPUTED_VALUE"""),278617.0)</f>
        <v>278617</v>
      </c>
      <c r="C13666" t="str">
        <f>IFERROR(__xludf.DUMMYFUNCTION("""COMPUTED_VALUE"""),"Access im Beruf sinnvoll nutzen")</f>
        <v>Access im Beruf sinnvoll nutzen</v>
      </c>
    </row>
    <row r="13667">
      <c r="A13667" s="140" t="str">
        <f>IFERROR(__xludf.DUMMYFUNCTION("""COMPUTED_VALUE"""),"ko")</f>
        <v>ko</v>
      </c>
      <c r="B13667">
        <f>IFERROR(__xludf.DUMMYFUNCTION("""COMPUTED_VALUE"""),4405668.0)</f>
        <v>4405668</v>
      </c>
      <c r="C13667" t="str">
        <f>IFERROR(__xludf.DUMMYFUNCTION("""COMPUTED_VALUE"""),"【글로벌 Best】 Deep Reinforcement Learning :딥 강화형 러닝 2.0 (한글자막)")</f>
        <v>【글로벌 Best】 Deep Reinforcement Learning :딥 강화형 러닝 2.0 (한글자막)</v>
      </c>
    </row>
    <row r="13668">
      <c r="A13668" s="140" t="str">
        <f>IFERROR(__xludf.DUMMYFUNCTION("""COMPUTED_VALUE"""),"ko")</f>
        <v>ko</v>
      </c>
      <c r="B13668">
        <f>IFERROR(__xludf.DUMMYFUNCTION("""COMPUTED_VALUE"""),4362706.0)</f>
        <v>4362706</v>
      </c>
      <c r="C13668" t="str">
        <f>IFERROR(__xludf.DUMMYFUNCTION("""COMPUTED_VALUE"""),"【글로벌 Best】 Python 완벽 부트캠프 2022 : 파이썬 초보자에서 전문가로! (한글자막)")</f>
        <v>【글로벌 Best】 Python 완벽 부트캠프 2022 : 파이썬 초보자에서 전문가로! (한글자막)</v>
      </c>
    </row>
    <row r="13669">
      <c r="A13669" s="140" t="str">
        <f>IFERROR(__xludf.DUMMYFUNCTION("""COMPUTED_VALUE"""),"ja")</f>
        <v>ja</v>
      </c>
      <c r="B13669">
        <f>IFERROR(__xludf.DUMMYFUNCTION("""COMPUTED_VALUE"""),3896376.0)</f>
        <v>3896376</v>
      </c>
      <c r="C13669" t="str">
        <f>IFERROR(__xludf.DUMMYFUNCTION("""COMPUTED_VALUE"""),"Microsoft Power BI Desktop - Tips &amp; Tricks")</f>
        <v>Microsoft Power BI Desktop - Tips &amp; Tricks</v>
      </c>
    </row>
    <row r="13670">
      <c r="A13670" s="140" t="str">
        <f>IFERROR(__xludf.DUMMYFUNCTION("""COMPUTED_VALUE"""),"en")</f>
        <v>en</v>
      </c>
      <c r="B13670">
        <f>IFERROR(__xludf.DUMMYFUNCTION("""COMPUTED_VALUE"""),4252046.0)</f>
        <v>4252046</v>
      </c>
      <c r="C13670" t="str">
        <f>IFERROR(__xludf.DUMMYFUNCTION("""COMPUTED_VALUE"""),"Azure Databricks administration  - ETL Workflow")</f>
        <v>Azure Databricks administration  - ETL Workflow</v>
      </c>
    </row>
    <row r="13671">
      <c r="A13671" s="140" t="str">
        <f>IFERROR(__xludf.DUMMYFUNCTION("""COMPUTED_VALUE"""),"pt")</f>
        <v>pt</v>
      </c>
      <c r="B13671">
        <f>IFERROR(__xludf.DUMMYFUNCTION("""COMPUTED_VALUE"""),2809249.0)</f>
        <v>2809249</v>
      </c>
      <c r="C13671" t="str">
        <f>IFERROR(__xludf.DUMMYFUNCTION("""COMPUTED_VALUE"""),"KPI - Indicadores de Desempenho")</f>
        <v>KPI - Indicadores de Desempenho</v>
      </c>
    </row>
    <row r="13672">
      <c r="A13672" s="140" t="str">
        <f>IFERROR(__xludf.DUMMYFUNCTION("""COMPUTED_VALUE"""),"ja")</f>
        <v>ja</v>
      </c>
      <c r="B13672">
        <f>IFERROR(__xludf.DUMMYFUNCTION("""COMPUTED_VALUE"""),3074830.0)</f>
        <v>3074830</v>
      </c>
      <c r="C13672" t="str">
        <f>IFERROR(__xludf.DUMMYFUNCTION("""COMPUTED_VALUE"""),"【人事・面接官向け】初めての面接講座 − シリコンバレーで活用される、”科学的”な見極め・惹きつけ術")</f>
        <v>【人事・面接官向け】初めての面接講座 − シリコンバレーで活用される、”科学的”な見極め・惹きつけ術</v>
      </c>
    </row>
    <row r="13673">
      <c r="A13673" s="140" t="str">
        <f>IFERROR(__xludf.DUMMYFUNCTION("""COMPUTED_VALUE"""),"fr")</f>
        <v>fr</v>
      </c>
      <c r="B13673">
        <f>IFERROR(__xludf.DUMMYFUNCTION("""COMPUTED_VALUE"""),3456888.0)</f>
        <v>3456888</v>
      </c>
      <c r="C13673" t="str">
        <f>IFERROR(__xludf.DUMMYFUNCTION("""COMPUTED_VALUE"""),"Les fondamentaux de Python A-Z")</f>
        <v>Les fondamentaux de Python A-Z</v>
      </c>
    </row>
    <row r="13674">
      <c r="A13674" s="140" t="str">
        <f>IFERROR(__xludf.DUMMYFUNCTION("""COMPUTED_VALUE"""),"fr")</f>
        <v>fr</v>
      </c>
      <c r="B13674">
        <f>IFERROR(__xludf.DUMMYFUNCTION("""COMPUTED_VALUE"""),1507290.0)</f>
        <v>1507290</v>
      </c>
      <c r="C13674" t="str">
        <f>IFERROR(__xludf.DUMMYFUNCTION("""COMPUTED_VALUE"""),"S'initier aux analyses statistiques et aux sondages")</f>
        <v>S'initier aux analyses statistiques et aux sondages</v>
      </c>
    </row>
    <row r="13675">
      <c r="A13675" s="140" t="str">
        <f>IFERROR(__xludf.DUMMYFUNCTION("""COMPUTED_VALUE"""),"it")</f>
        <v>it</v>
      </c>
      <c r="B13675">
        <f>IFERROR(__xludf.DUMMYFUNCTION("""COMPUTED_VALUE"""),3411850.0)</f>
        <v>3411850</v>
      </c>
      <c r="C13675" t="str">
        <f>IFERROR(__xludf.DUMMYFUNCTION("""COMPUTED_VALUE"""),"Impara online l'olandese in olandese 1: la lingua olandese")</f>
        <v>Impara online l'olandese in olandese 1: la lingua olandese</v>
      </c>
    </row>
    <row r="13676">
      <c r="A13676" s="140" t="str">
        <f>IFERROR(__xludf.DUMMYFUNCTION("""COMPUTED_VALUE"""),"ja")</f>
        <v>ja</v>
      </c>
      <c r="B13676">
        <f>IFERROR(__xludf.DUMMYFUNCTION("""COMPUTED_VALUE"""),2840896.0)</f>
        <v>2840896</v>
      </c>
      <c r="C13676" t="str">
        <f>IFERROR(__xludf.DUMMYFUNCTION("""COMPUTED_VALUE"""),"【初心者】Adobe Premiere Pro CCたった1日でオリジナル動画を完成させよう！2021年版")</f>
        <v>【初心者】Adobe Premiere Pro CCたった1日でオリジナル動画を完成させよう！2021年版</v>
      </c>
    </row>
    <row r="13677">
      <c r="A13677" s="140" t="str">
        <f>IFERROR(__xludf.DUMMYFUNCTION("""COMPUTED_VALUE"""),"ko")</f>
        <v>ko</v>
      </c>
      <c r="B13677">
        <f>IFERROR(__xludf.DUMMYFUNCTION("""COMPUTED_VALUE"""),4437560.0)</f>
        <v>4437560</v>
      </c>
      <c r="C13677" t="str">
        <f>IFERROR(__xludf.DUMMYFUNCTION("""COMPUTED_VALUE"""),"간단한 게임을 만들면서 시작하는 iOS 개발")</f>
        <v>간단한 게임을 만들면서 시작하는 iOS 개발</v>
      </c>
    </row>
    <row r="13678">
      <c r="A13678" s="140" t="str">
        <f>IFERROR(__xludf.DUMMYFUNCTION("""COMPUTED_VALUE"""),"ja")</f>
        <v>ja</v>
      </c>
      <c r="B13678">
        <f>IFERROR(__xludf.DUMMYFUNCTION("""COMPUTED_VALUE"""),3887956.0)</f>
        <v>3887956</v>
      </c>
      <c r="C13678" t="str">
        <f>IFERROR(__xludf.DUMMYFUNCTION("""COMPUTED_VALUE"""),"【UBご利用企業向け】オンラインセミナーアーカイブ")</f>
        <v>【UBご利用企業向け】オンラインセミナーアーカイブ</v>
      </c>
    </row>
    <row r="13679">
      <c r="A13679" s="140" t="str">
        <f>IFERROR(__xludf.DUMMYFUNCTION("""COMPUTED_VALUE"""),"ja")</f>
        <v>ja</v>
      </c>
      <c r="B13679">
        <f>IFERROR(__xludf.DUMMYFUNCTION("""COMPUTED_VALUE"""),2715642.0)</f>
        <v>2715642</v>
      </c>
      <c r="C13679" t="str">
        <f>IFERROR(__xludf.DUMMYFUNCTION("""COMPUTED_VALUE"""),"デザイナーのための、はじめてのAdobeスクリプト[Photoshop, After Effects, etc.]")</f>
        <v>デザイナーのための、はじめてのAdobeスクリプト[Photoshop, After Effects, etc.]</v>
      </c>
    </row>
    <row r="13680">
      <c r="A13680" s="140" t="str">
        <f>IFERROR(__xludf.DUMMYFUNCTION("""COMPUTED_VALUE"""),"fr")</f>
        <v>fr</v>
      </c>
      <c r="B13680">
        <f>IFERROR(__xludf.DUMMYFUNCTION("""COMPUTED_VALUE"""),3255212.0)</f>
        <v>3255212</v>
      </c>
      <c r="C13680" t="str">
        <f>IFERROR(__xludf.DUMMYFUNCTION("""COMPUTED_VALUE"""),"FORMATION COMPLETE POUR DEVENIR FULL-STACK")</f>
        <v>FORMATION COMPLETE POUR DEVENIR FULL-STACK</v>
      </c>
    </row>
    <row r="13681">
      <c r="A13681" s="140" t="str">
        <f>IFERROR(__xludf.DUMMYFUNCTION("""COMPUTED_VALUE"""),"en")</f>
        <v>en</v>
      </c>
      <c r="B13681">
        <f>IFERROR(__xludf.DUMMYFUNCTION("""COMPUTED_VALUE"""),3954446.0)</f>
        <v>3954446</v>
      </c>
      <c r="C13681" t="str">
        <f>IFERROR(__xludf.DUMMYFUNCTION("""COMPUTED_VALUE"""),"ClickUp Project Management - The Complete Beginners Course")</f>
        <v>ClickUp Project Management - The Complete Beginners Course</v>
      </c>
    </row>
    <row r="13682">
      <c r="A13682" s="140" t="str">
        <f>IFERROR(__xludf.DUMMYFUNCTION("""COMPUTED_VALUE"""),"en")</f>
        <v>en</v>
      </c>
      <c r="B13682">
        <f>IFERROR(__xludf.DUMMYFUNCTION("""COMPUTED_VALUE"""),4372184.0)</f>
        <v>4372184</v>
      </c>
      <c r="C13682" t="str">
        <f>IFERROR(__xludf.DUMMYFUNCTION("""COMPUTED_VALUE"""),"Advanced DAX for Excel Power Pivot")</f>
        <v>Advanced DAX for Excel Power Pivot</v>
      </c>
    </row>
    <row r="13683">
      <c r="A13683" s="140" t="str">
        <f>IFERROR(__xludf.DUMMYFUNCTION("""COMPUTED_VALUE"""),"de")</f>
        <v>de</v>
      </c>
      <c r="B13683">
        <f>IFERROR(__xludf.DUMMYFUNCTION("""COMPUTED_VALUE"""),2736626.0)</f>
        <v>2736626</v>
      </c>
      <c r="C13683" t="str">
        <f>IFERROR(__xludf.DUMMYFUNCTION("""COMPUTED_VALUE"""),"PowerPoint - Meisterkurs - Erstellen und präsentieren")</f>
        <v>PowerPoint - Meisterkurs - Erstellen und präsentieren</v>
      </c>
    </row>
    <row r="13684">
      <c r="A13684" s="140" t="str">
        <f>IFERROR(__xludf.DUMMYFUNCTION("""COMPUTED_VALUE"""),"de")</f>
        <v>de</v>
      </c>
      <c r="B13684">
        <f>IFERROR(__xludf.DUMMYFUNCTION("""COMPUTED_VALUE"""),3134868.0)</f>
        <v>3134868</v>
      </c>
      <c r="C13684" t="str">
        <f>IFERROR(__xludf.DUMMYFUNCTION("""COMPUTED_VALUE"""),"Einstieg in Excel VBA Makro − Einfach &amp; schnell arbeiten")</f>
        <v>Einstieg in Excel VBA Makro − Einfach &amp; schnell arbeiten</v>
      </c>
    </row>
    <row r="13685">
      <c r="A13685" s="140" t="str">
        <f>IFERROR(__xludf.DUMMYFUNCTION("""COMPUTED_VALUE"""),"en")</f>
        <v>en</v>
      </c>
      <c r="B13685">
        <f>IFERROR(__xludf.DUMMYFUNCTION("""COMPUTED_VALUE"""),3205485.0)</f>
        <v>3205485</v>
      </c>
      <c r="C13685" t="str">
        <f>IFERROR(__xludf.DUMMYFUNCTION("""COMPUTED_VALUE"""),"Writing SystemVerilog Testbenches for Newbie")</f>
        <v>Writing SystemVerilog Testbenches for Newbie</v>
      </c>
    </row>
    <row r="13686">
      <c r="A13686" s="140" t="str">
        <f>IFERROR(__xludf.DUMMYFUNCTION("""COMPUTED_VALUE"""),"ko")</f>
        <v>ko</v>
      </c>
      <c r="B13686">
        <f>IFERROR(__xludf.DUMMYFUNCTION("""COMPUTED_VALUE"""),4415582.0)</f>
        <v>4415582</v>
      </c>
      <c r="C13686" t="str">
        <f>IFERROR(__xludf.DUMMYFUNCTION("""COMPUTED_VALUE"""),"【글로벌 Best】 비즈니스 분석 및 Data Science 를 위한 핵심 통계학 A-Z™")</f>
        <v>【글로벌 Best】 비즈니스 분석 및 Data Science 를 위한 핵심 통계학 A-Z™</v>
      </c>
    </row>
    <row r="13687">
      <c r="A13687" s="140" t="str">
        <f>IFERROR(__xludf.DUMMYFUNCTION("""COMPUTED_VALUE"""),"ko")</f>
        <v>ko</v>
      </c>
      <c r="B13687">
        <f>IFERROR(__xludf.DUMMYFUNCTION("""COMPUTED_VALUE"""),4415590.0)</f>
        <v>4415590</v>
      </c>
      <c r="C13687" t="str">
        <f>IFERROR(__xludf.DUMMYFUNCTION("""COMPUTED_VALUE"""),"【글로벌 Best】 Machine Learning 완벽 실습 : 6가지 실제 사례 직접 해결하기 (한글자막)")</f>
        <v>【글로벌 Best】 Machine Learning 완벽 실습 : 6가지 실제 사례 직접 해결하기 (한글자막)</v>
      </c>
    </row>
    <row r="13688">
      <c r="A13688" s="140" t="str">
        <f>IFERROR(__xludf.DUMMYFUNCTION("""COMPUTED_VALUE"""),"en")</f>
        <v>en</v>
      </c>
      <c r="B13688">
        <f>IFERROR(__xludf.DUMMYFUNCTION("""COMPUTED_VALUE"""),3476258.0)</f>
        <v>3476258</v>
      </c>
      <c r="C13688" t="str">
        <f>IFERROR(__xludf.DUMMYFUNCTION("""COMPUTED_VALUE"""),"Embedded Linux Using Yocto Part 2")</f>
        <v>Embedded Linux Using Yocto Part 2</v>
      </c>
    </row>
    <row r="13689">
      <c r="A13689" s="140" t="str">
        <f>IFERROR(__xludf.DUMMYFUNCTION("""COMPUTED_VALUE"""),"ja")</f>
        <v>ja</v>
      </c>
      <c r="B13689">
        <f>IFERROR(__xludf.DUMMYFUNCTION("""COMPUTED_VALUE"""),4481514.0)</f>
        <v>4481514</v>
      </c>
      <c r="C13689" t="str">
        <f>IFERROR(__xludf.DUMMYFUNCTION("""COMPUTED_VALUE"""),"【BlenderPerfectCourse】ヘラクレスオオカブト編")</f>
        <v>【BlenderPerfectCourse】ヘラクレスオオカブト編</v>
      </c>
    </row>
    <row r="13690">
      <c r="A13690" s="140" t="str">
        <f>IFERROR(__xludf.DUMMYFUNCTION("""COMPUTED_VALUE"""),"it")</f>
        <v>it</v>
      </c>
      <c r="B13690">
        <f>IFERROR(__xludf.DUMMYFUNCTION("""COMPUTED_VALUE"""),1315982.0)</f>
        <v>1315982</v>
      </c>
      <c r="C13690" t="str">
        <f>IFERROR(__xludf.DUMMYFUNCTION("""COMPUTED_VALUE"""),"Corso di Excel e VBA: Codici a Barre e Automazione")</f>
        <v>Corso di Excel e VBA: Codici a Barre e Automazione</v>
      </c>
    </row>
    <row r="13691">
      <c r="A13691" s="140" t="str">
        <f>IFERROR(__xludf.DUMMYFUNCTION("""COMPUTED_VALUE"""),"en")</f>
        <v>en</v>
      </c>
      <c r="B13691">
        <f>IFERROR(__xludf.DUMMYFUNCTION("""COMPUTED_VALUE"""),4365242.0)</f>
        <v>4365242</v>
      </c>
      <c r="C13691" t="str">
        <f>IFERROR(__xludf.DUMMYFUNCTION("""COMPUTED_VALUE"""),"Exploring Game Mechanics with Python by Example")</f>
        <v>Exploring Game Mechanics with Python by Example</v>
      </c>
    </row>
    <row r="13692">
      <c r="A13692" s="140" t="str">
        <f>IFERROR(__xludf.DUMMYFUNCTION("""COMPUTED_VALUE"""),"en")</f>
        <v>en</v>
      </c>
      <c r="B13692">
        <f>IFERROR(__xludf.DUMMYFUNCTION("""COMPUTED_VALUE"""),4331022.0)</f>
        <v>4331022</v>
      </c>
      <c r="C13692" t="str">
        <f>IFERROR(__xludf.DUMMYFUNCTION("""COMPUTED_VALUE"""),"Learn To Build Powerful AI Chatbots From Scratch Using RASA")</f>
        <v>Learn To Build Powerful AI Chatbots From Scratch Using RASA</v>
      </c>
    </row>
    <row r="13693">
      <c r="A13693" s="140" t="str">
        <f>IFERROR(__xludf.DUMMYFUNCTION("""COMPUTED_VALUE"""),"en")</f>
        <v>en</v>
      </c>
      <c r="B13693">
        <f>IFERROR(__xludf.DUMMYFUNCTION("""COMPUTED_VALUE"""),4350302.0)</f>
        <v>4350302</v>
      </c>
      <c r="C13693" t="str">
        <f>IFERROR(__xludf.DUMMYFUNCTION("""COMPUTED_VALUE"""),"TOTAL: CEH v11 (Ethical Hacker) Practice Tests - 300 Q's")</f>
        <v>TOTAL: CEH v11 (Ethical Hacker) Practice Tests - 300 Q's</v>
      </c>
    </row>
    <row r="13694">
      <c r="A13694" s="140" t="str">
        <f>IFERROR(__xludf.DUMMYFUNCTION("""COMPUTED_VALUE"""),"fr")</f>
        <v>fr</v>
      </c>
      <c r="B13694">
        <f>IFERROR(__xludf.DUMMYFUNCTION("""COMPUTED_VALUE"""),3798588.0)</f>
        <v>3798588</v>
      </c>
      <c r="C13694" t="str">
        <f>IFERROR(__xludf.DUMMYFUNCTION("""COMPUTED_VALUE"""),"Apprendre ASP.NET Core 5 et C# pour le développement WEB")</f>
        <v>Apprendre ASP.NET Core 5 et C# pour le développement WEB</v>
      </c>
    </row>
    <row r="13695">
      <c r="A13695" s="140" t="str">
        <f>IFERROR(__xludf.DUMMYFUNCTION("""COMPUTED_VALUE"""),"fr")</f>
        <v>fr</v>
      </c>
      <c r="B13695">
        <f>IFERROR(__xludf.DUMMYFUNCTION("""COMPUTED_VALUE"""),2744920.0)</f>
        <v>2744920</v>
      </c>
      <c r="C13695" t="str">
        <f>IFERROR(__xludf.DUMMYFUNCTION("""COMPUTED_VALUE"""),"Maîtrisez la Console et ses outils !")</f>
        <v>Maîtrisez la Console et ses outils !</v>
      </c>
    </row>
    <row r="13696">
      <c r="A13696" s="140" t="str">
        <f>IFERROR(__xludf.DUMMYFUNCTION("""COMPUTED_VALUE"""),"en")</f>
        <v>en</v>
      </c>
      <c r="B13696">
        <f>IFERROR(__xludf.DUMMYFUNCTION("""COMPUTED_VALUE"""),3836432.0)</f>
        <v>3836432</v>
      </c>
      <c r="C13696" t="str">
        <f>IFERROR(__xludf.DUMMYFUNCTION("""COMPUTED_VALUE"""),"Complete Electronics Hardware Design Course 2021 -EsteemPCB")</f>
        <v>Complete Electronics Hardware Design Course 2021 -EsteemPCB</v>
      </c>
    </row>
    <row r="13697">
      <c r="A13697" s="140" t="str">
        <f>IFERROR(__xludf.DUMMYFUNCTION("""COMPUTED_VALUE"""),"de")</f>
        <v>de</v>
      </c>
      <c r="B13697">
        <f>IFERROR(__xludf.DUMMYFUNCTION("""COMPUTED_VALUE"""),1964086.0)</f>
        <v>1964086</v>
      </c>
      <c r="C13697" t="str">
        <f>IFERROR(__xludf.DUMMYFUNCTION("""COMPUTED_VALUE"""),"Einführung in Microsoft Power BI Desktop")</f>
        <v>Einführung in Microsoft Power BI Desktop</v>
      </c>
    </row>
    <row r="13698">
      <c r="A13698" s="140" t="str">
        <f>IFERROR(__xludf.DUMMYFUNCTION("""COMPUTED_VALUE"""),"ko")</f>
        <v>ko</v>
      </c>
      <c r="B13698">
        <f>IFERROR(__xludf.DUMMYFUNCTION("""COMPUTED_VALUE"""),4236786.0)</f>
        <v>4236786</v>
      </c>
      <c r="C13698" t="str">
        <f>IFERROR(__xludf.DUMMYFUNCTION("""COMPUTED_VALUE"""),"【글로벌 Best】 PySpark 로 빅데이터 분석하기 with Python (한글자막)")</f>
        <v>【글로벌 Best】 PySpark 로 빅데이터 분석하기 with Python (한글자막)</v>
      </c>
    </row>
    <row r="13699">
      <c r="A13699" s="140" t="str">
        <f>IFERROR(__xludf.DUMMYFUNCTION("""COMPUTED_VALUE"""),"fr")</f>
        <v>fr</v>
      </c>
      <c r="B13699">
        <f>IFERROR(__xludf.DUMMYFUNCTION("""COMPUTED_VALUE"""),3389288.0)</f>
        <v>3389288</v>
      </c>
      <c r="C13699" t="str">
        <f>IFERROR(__xludf.DUMMYFUNCTION("""COMPUTED_VALUE"""),"Certification Ceinture Jaune Lean Six Sigma")</f>
        <v>Certification Ceinture Jaune Lean Six Sigma</v>
      </c>
    </row>
    <row r="13700">
      <c r="A13700" s="140" t="str">
        <f>IFERROR(__xludf.DUMMYFUNCTION("""COMPUTED_VALUE"""),"en")</f>
        <v>en</v>
      </c>
      <c r="B13700">
        <f>IFERROR(__xludf.DUMMYFUNCTION("""COMPUTED_VALUE"""),3587022.0)</f>
        <v>3587022</v>
      </c>
      <c r="C13700" t="str">
        <f>IFERROR(__xludf.DUMMYFUNCTION("""COMPUTED_VALUE"""),"Finish Your Research Proposal &amp; Get Your Research Approved")</f>
        <v>Finish Your Research Proposal &amp; Get Your Research Approved</v>
      </c>
    </row>
    <row r="13701">
      <c r="A13701" s="140" t="str">
        <f>IFERROR(__xludf.DUMMYFUNCTION("""COMPUTED_VALUE"""),"en")</f>
        <v>en</v>
      </c>
      <c r="B13701">
        <f>IFERROR(__xludf.DUMMYFUNCTION("""COMPUTED_VALUE"""),4136098.0)</f>
        <v>4136098</v>
      </c>
      <c r="C13701" t="str">
        <f>IFERROR(__xludf.DUMMYFUNCTION("""COMPUTED_VALUE"""),"Playwright with Python for Web Automation Testing")</f>
        <v>Playwright with Python for Web Automation Testing</v>
      </c>
    </row>
    <row r="13702">
      <c r="A13702" s="140" t="str">
        <f>IFERROR(__xludf.DUMMYFUNCTION("""COMPUTED_VALUE"""),"en")</f>
        <v>en</v>
      </c>
      <c r="B13702">
        <f>IFERROR(__xludf.DUMMYFUNCTION("""COMPUTED_VALUE"""),4122272.0)</f>
        <v>4122272</v>
      </c>
      <c r="C13702" t="str">
        <f>IFERROR(__xludf.DUMMYFUNCTION("""COMPUTED_VALUE"""),"Apache Cassandra Installation &amp; Configuration")</f>
        <v>Apache Cassandra Installation &amp; Configuration</v>
      </c>
    </row>
    <row r="13703">
      <c r="A13703" s="140" t="str">
        <f>IFERROR(__xludf.DUMMYFUNCTION("""COMPUTED_VALUE"""),"ko")</f>
        <v>ko</v>
      </c>
      <c r="B13703">
        <f>IFERROR(__xludf.DUMMYFUNCTION("""COMPUTED_VALUE"""),4187812.0)</f>
        <v>4187812</v>
      </c>
      <c r="C13703" t="str">
        <f>IFERROR(__xludf.DUMMYFUNCTION("""COMPUTED_VALUE"""),"빅데이터 활용을 위한 R프로그래밍 한 번에 끝내기")</f>
        <v>빅데이터 활용을 위한 R프로그래밍 한 번에 끝내기</v>
      </c>
    </row>
    <row r="13704">
      <c r="A13704" s="140" t="str">
        <f>IFERROR(__xludf.DUMMYFUNCTION("""COMPUTED_VALUE"""),"ko")</f>
        <v>ko</v>
      </c>
      <c r="B13704">
        <f>IFERROR(__xludf.DUMMYFUNCTION("""COMPUTED_VALUE"""),4206714.0)</f>
        <v>4206714</v>
      </c>
      <c r="C13704" t="str">
        <f>IFERROR(__xludf.DUMMYFUNCTION("""COMPUTED_VALUE"""),"쉽게 배우는 JavaScript 알고리즘 입문")</f>
        <v>쉽게 배우는 JavaScript 알고리즘 입문</v>
      </c>
    </row>
    <row r="13705">
      <c r="A13705" s="140" t="str">
        <f>IFERROR(__xludf.DUMMYFUNCTION("""COMPUTED_VALUE"""),"en")</f>
        <v>en</v>
      </c>
      <c r="B13705">
        <f>IFERROR(__xludf.DUMMYFUNCTION("""COMPUTED_VALUE"""),3408682.0)</f>
        <v>3408682</v>
      </c>
      <c r="C13705" t="str">
        <f>IFERROR(__xludf.DUMMYFUNCTION("""COMPUTED_VALUE"""),"Advanced C Programming Masterclass: Pointers &amp; Memory in C")</f>
        <v>Advanced C Programming Masterclass: Pointers &amp; Memory in C</v>
      </c>
    </row>
    <row r="13706">
      <c r="A13706" s="140" t="str">
        <f>IFERROR(__xludf.DUMMYFUNCTION("""COMPUTED_VALUE"""),"de")</f>
        <v>de</v>
      </c>
      <c r="B13706">
        <f>IFERROR(__xludf.DUMMYFUNCTION("""COMPUTED_VALUE"""),1464904.0)</f>
        <v>1464904</v>
      </c>
      <c r="C13706" t="str">
        <f>IFERROR(__xludf.DUMMYFUNCTION("""COMPUTED_VALUE"""),"SAP BI Berechtigungen sind einfach")</f>
        <v>SAP BI Berechtigungen sind einfach</v>
      </c>
    </row>
    <row r="13707">
      <c r="A13707" s="140" t="str">
        <f>IFERROR(__xludf.DUMMYFUNCTION("""COMPUTED_VALUE"""),"en")</f>
        <v>en</v>
      </c>
      <c r="B13707">
        <f>IFERROR(__xludf.DUMMYFUNCTION("""COMPUTED_VALUE"""),4463850.0)</f>
        <v>4463850</v>
      </c>
      <c r="C13707" t="str">
        <f>IFERROR(__xludf.DUMMYFUNCTION("""COMPUTED_VALUE"""),"CompTIA PenTest+ (PT0-002) Practice Certification Exams")</f>
        <v>CompTIA PenTest+ (PT0-002) Practice Certification Exams</v>
      </c>
    </row>
    <row r="13708">
      <c r="A13708" s="140" t="str">
        <f>IFERROR(__xludf.DUMMYFUNCTION("""COMPUTED_VALUE"""),"it")</f>
        <v>it</v>
      </c>
      <c r="B13708">
        <f>IFERROR(__xludf.DUMMYFUNCTION("""COMPUTED_VALUE"""),4395704.0)</f>
        <v>4395704</v>
      </c>
      <c r="C13708" t="str">
        <f>IFERROR(__xludf.DUMMYFUNCTION("""COMPUTED_VALUE"""),"Guida operativa Cryptovalute su Binance. Corso Completo A-Z™")</f>
        <v>Guida operativa Cryptovalute su Binance. Corso Completo A-Z™</v>
      </c>
    </row>
    <row r="13709">
      <c r="A13709" s="140" t="str">
        <f>IFERROR(__xludf.DUMMYFUNCTION("""COMPUTED_VALUE"""),"ko")</f>
        <v>ko</v>
      </c>
      <c r="B13709">
        <f>IFERROR(__xludf.DUMMYFUNCTION("""COMPUTED_VALUE"""),4388644.0)</f>
        <v>4388644</v>
      </c>
      <c r="C13709" t="str">
        <f>IFERROR(__xludf.DUMMYFUNCTION("""COMPUTED_VALUE"""),"실무에서 바로 쓰는 PPT 기획서 작성 꿀팁 !")</f>
        <v>실무에서 바로 쓰는 PPT 기획서 작성 꿀팁 !</v>
      </c>
    </row>
    <row r="13710">
      <c r="A13710" s="140" t="str">
        <f>IFERROR(__xludf.DUMMYFUNCTION("""COMPUTED_VALUE"""),"ja")</f>
        <v>ja</v>
      </c>
      <c r="B13710">
        <f>IFERROR(__xludf.DUMMYFUNCTION("""COMPUTED_VALUE"""),3691620.0)</f>
        <v>3691620</v>
      </c>
      <c r="C13710" t="str">
        <f>IFERROR(__xludf.DUMMYFUNCTION("""COMPUTED_VALUE"""),"直感！Pytorchで始める深層学習実装入門（実践編）")</f>
        <v>直感！Pytorchで始める深層学習実装入門（実践編）</v>
      </c>
    </row>
    <row r="13711">
      <c r="A13711" s="140" t="str">
        <f>IFERROR(__xludf.DUMMYFUNCTION("""COMPUTED_VALUE"""),"fr")</f>
        <v>fr</v>
      </c>
      <c r="B13711">
        <f>IFERROR(__xludf.DUMMYFUNCTION("""COMPUTED_VALUE"""),1779834.0)</f>
        <v>1779834</v>
      </c>
      <c r="C13711" t="str">
        <f>IFERROR(__xludf.DUMMYFUNCTION("""COMPUTED_VALUE"""),"Objectifs SMART : 10 étapes pour les définir et les réaliser")</f>
        <v>Objectifs SMART : 10 étapes pour les définir et les réaliser</v>
      </c>
    </row>
    <row r="13712">
      <c r="A13712" s="140" t="str">
        <f>IFERROR(__xludf.DUMMYFUNCTION("""COMPUTED_VALUE"""),"en")</f>
        <v>en</v>
      </c>
      <c r="B13712">
        <f>IFERROR(__xludf.DUMMYFUNCTION("""COMPUTED_VALUE"""),1611012.0)</f>
        <v>1611012</v>
      </c>
      <c r="C13712" t="str">
        <f>IFERROR(__xludf.DUMMYFUNCTION("""COMPUTED_VALUE"""),"Start-up valuation modeling for entrepreneurs and investors")</f>
        <v>Start-up valuation modeling for entrepreneurs and investors</v>
      </c>
    </row>
    <row r="13713">
      <c r="A13713" s="140" t="str">
        <f>IFERROR(__xludf.DUMMYFUNCTION("""COMPUTED_VALUE"""),"en")</f>
        <v>en</v>
      </c>
      <c r="B13713">
        <f>IFERROR(__xludf.DUMMYFUNCTION("""COMPUTED_VALUE"""),3747386.0)</f>
        <v>3747386</v>
      </c>
      <c r="C13713" t="str">
        <f>IFERROR(__xludf.DUMMYFUNCTION("""COMPUTED_VALUE"""),"Learn Swedish for Beginners: The Ultimate 150-Lesson Course")</f>
        <v>Learn Swedish for Beginners: The Ultimate 150-Lesson Course</v>
      </c>
    </row>
    <row r="13714">
      <c r="A13714" s="140" t="str">
        <f>IFERROR(__xludf.DUMMYFUNCTION("""COMPUTED_VALUE"""),"ja")</f>
        <v>ja</v>
      </c>
      <c r="B13714">
        <f>IFERROR(__xludf.DUMMYFUNCTION("""COMPUTED_VALUE"""),4265886.0)</f>
        <v>4265886</v>
      </c>
      <c r="C13714" t="str">
        <f>IFERROR(__xludf.DUMMYFUNCTION("""COMPUTED_VALUE"""),"ネイティブの気持ちをハックしろ！認知文法に基づく英語学習　英文法HACKER【名詞編】（スライド資料つき）")</f>
        <v>ネイティブの気持ちをハックしろ！認知文法に基づく英語学習　英文法HACKER【名詞編】（スライド資料つき）</v>
      </c>
    </row>
    <row r="13715">
      <c r="A13715" s="140" t="str">
        <f>IFERROR(__xludf.DUMMYFUNCTION("""COMPUTED_VALUE"""),"de")</f>
        <v>de</v>
      </c>
      <c r="B13715">
        <f>IFERROR(__xludf.DUMMYFUNCTION("""COMPUTED_VALUE"""),1222840.0)</f>
        <v>1222840</v>
      </c>
      <c r="C13715" t="str">
        <f>IFERROR(__xludf.DUMMYFUNCTION("""COMPUTED_VALUE"""),"Excel Tipps und Tricks")</f>
        <v>Excel Tipps und Tricks</v>
      </c>
    </row>
    <row r="13716">
      <c r="A13716" s="140" t="str">
        <f>IFERROR(__xludf.DUMMYFUNCTION("""COMPUTED_VALUE"""),"it")</f>
        <v>it</v>
      </c>
      <c r="B13716">
        <f>IFERROR(__xludf.DUMMYFUNCTION("""COMPUTED_VALUE"""),4069482.0)</f>
        <v>4069482</v>
      </c>
      <c r="C13716" t="str">
        <f>IFERROR(__xludf.DUMMYFUNCTION("""COMPUTED_VALUE"""),"valutazione Azionaria")</f>
        <v>valutazione Azionaria</v>
      </c>
    </row>
    <row r="13717">
      <c r="A13717" s="140" t="str">
        <f>IFERROR(__xludf.DUMMYFUNCTION("""COMPUTED_VALUE"""),"ko")</f>
        <v>ko</v>
      </c>
      <c r="B13717">
        <f>IFERROR(__xludf.DUMMYFUNCTION("""COMPUTED_VALUE"""),4441514.0)</f>
        <v>4441514</v>
      </c>
      <c r="C13717" t="str">
        <f>IFERROR(__xludf.DUMMYFUNCTION("""COMPUTED_VALUE"""),"HRDIST의 리더가 알아야 할 성과관리 핵심 스킬")</f>
        <v>HRDIST의 리더가 알아야 할 성과관리 핵심 스킬</v>
      </c>
    </row>
    <row r="13718">
      <c r="A13718" s="140" t="str">
        <f>IFERROR(__xludf.DUMMYFUNCTION("""COMPUTED_VALUE"""),"en")</f>
        <v>en</v>
      </c>
      <c r="B13718">
        <f>IFERROR(__xludf.DUMMYFUNCTION("""COMPUTED_VALUE"""),3997622.0)</f>
        <v>3997622</v>
      </c>
      <c r="C13718" t="str">
        <f>IFERROR(__xludf.DUMMYFUNCTION("""COMPUTED_VALUE"""),"Software Architecture &amp; Design of Modern Large Scale Systems")</f>
        <v>Software Architecture &amp; Design of Modern Large Scale Systems</v>
      </c>
    </row>
    <row r="13719">
      <c r="A13719" s="140" t="str">
        <f>IFERROR(__xludf.DUMMYFUNCTION("""COMPUTED_VALUE"""),"de")</f>
        <v>de</v>
      </c>
      <c r="B13719">
        <f>IFERROR(__xludf.DUMMYFUNCTION("""COMPUTED_VALUE"""),2543067.0)</f>
        <v>2543067</v>
      </c>
      <c r="C13719" t="str">
        <f>IFERROR(__xludf.DUMMYFUNCTION("""COMPUTED_VALUE"""),"Lowpoly Leveldesign lernen mit Blender und Unity")</f>
        <v>Lowpoly Leveldesign lernen mit Blender und Unity</v>
      </c>
    </row>
    <row r="13720">
      <c r="A13720" s="140" t="str">
        <f>IFERROR(__xludf.DUMMYFUNCTION("""COMPUTED_VALUE"""),"ja")</f>
        <v>ja</v>
      </c>
      <c r="B13720">
        <f>IFERROR(__xludf.DUMMYFUNCTION("""COMPUTED_VALUE"""),4347472.0)</f>
        <v>4347472</v>
      </c>
      <c r="C13720" t="str">
        <f>IFERROR(__xludf.DUMMYFUNCTION("""COMPUTED_VALUE"""),"SharePoint Online 基礎マスターコース【社内ポータルを手軽にすばやく構築しよう！】【初心者向け】")</f>
        <v>SharePoint Online 基礎マスターコース【社内ポータルを手軽にすばやく構築しよう！】【初心者向け】</v>
      </c>
    </row>
    <row r="13721">
      <c r="A13721" s="140" t="str">
        <f>IFERROR(__xludf.DUMMYFUNCTION("""COMPUTED_VALUE"""),"de")</f>
        <v>de</v>
      </c>
      <c r="B13721">
        <f>IFERROR(__xludf.DUMMYFUNCTION("""COMPUTED_VALUE"""),1992214.0)</f>
        <v>1992214</v>
      </c>
      <c r="C13721" t="str">
        <f>IFERROR(__xludf.DUMMYFUNCTION("""COMPUTED_VALUE"""),"Agiles Arbeiten mit Scrum - Vom Einsteiger zum Experten")</f>
        <v>Agiles Arbeiten mit Scrum - Vom Einsteiger zum Experten</v>
      </c>
    </row>
    <row r="13722">
      <c r="A13722" s="140" t="str">
        <f>IFERROR(__xludf.DUMMYFUNCTION("""COMPUTED_VALUE"""),"en")</f>
        <v>en</v>
      </c>
      <c r="B13722">
        <f>IFERROR(__xludf.DUMMYFUNCTION("""COMPUTED_VALUE"""),4340056.0)</f>
        <v>4340056</v>
      </c>
      <c r="C13722" t="str">
        <f>IFERROR(__xludf.DUMMYFUNCTION("""COMPUTED_VALUE"""),"Practice Exam - AWS Certified Advanced Networking Specialty")</f>
        <v>Practice Exam - AWS Certified Advanced Networking Specialty</v>
      </c>
    </row>
    <row r="13723">
      <c r="A13723" s="140" t="str">
        <f>IFERROR(__xludf.DUMMYFUNCTION("""COMPUTED_VALUE"""),"en")</f>
        <v>en</v>
      </c>
      <c r="B13723">
        <f>IFERROR(__xludf.DUMMYFUNCTION("""COMPUTED_VALUE"""),1355040.0)</f>
        <v>1355040</v>
      </c>
      <c r="C13723" t="str">
        <f>IFERROR(__xludf.DUMMYFUNCTION("""COMPUTED_VALUE"""),"iOS 11 &amp; Objective-C - Complete Developer Course")</f>
        <v>iOS 11 &amp; Objective-C - Complete Developer Course</v>
      </c>
    </row>
    <row r="13724">
      <c r="A13724" s="140" t="str">
        <f>IFERROR(__xludf.DUMMYFUNCTION("""COMPUTED_VALUE"""),"fr")</f>
        <v>fr</v>
      </c>
      <c r="B13724">
        <f>IFERROR(__xludf.DUMMYFUNCTION("""COMPUTED_VALUE"""),3225973.0)</f>
        <v>3225973</v>
      </c>
      <c r="C13724" t="str">
        <f>IFERROR(__xludf.DUMMYFUNCTION("""COMPUTED_VALUE"""),"ArchiCAD - LA Formation Complète")</f>
        <v>ArchiCAD - LA Formation Complète</v>
      </c>
    </row>
    <row r="13725">
      <c r="A13725" s="140" t="str">
        <f>IFERROR(__xludf.DUMMYFUNCTION("""COMPUTED_VALUE"""),"ko")</f>
        <v>ko</v>
      </c>
      <c r="B13725">
        <f>IFERROR(__xludf.DUMMYFUNCTION("""COMPUTED_VALUE"""),4259886.0)</f>
        <v>4259886</v>
      </c>
      <c r="C13725" t="str">
        <f>IFERROR(__xludf.DUMMYFUNCTION("""COMPUTED_VALUE"""),"Microsoft Teams 화상회의와 세미나 진행을 위한 Meeting&amp;Live Event 교육")</f>
        <v>Microsoft Teams 화상회의와 세미나 진행을 위한 Meeting&amp;Live Event 교육</v>
      </c>
    </row>
    <row r="13726">
      <c r="A13726" s="140" t="str">
        <f>IFERROR(__xludf.DUMMYFUNCTION("""COMPUTED_VALUE"""),"en")</f>
        <v>en</v>
      </c>
      <c r="B13726">
        <f>IFERROR(__xludf.DUMMYFUNCTION("""COMPUTED_VALUE"""),4043278.0)</f>
        <v>4043278</v>
      </c>
      <c r="C13726" t="str">
        <f>IFERROR(__xludf.DUMMYFUNCTION("""COMPUTED_VALUE"""),"Lithium Battery Technology for Electric Vehicle - Advanced")</f>
        <v>Lithium Battery Technology for Electric Vehicle - Advanced</v>
      </c>
    </row>
    <row r="13727">
      <c r="A13727" s="140" t="str">
        <f>IFERROR(__xludf.DUMMYFUNCTION("""COMPUTED_VALUE"""),"ko")</f>
        <v>ko</v>
      </c>
      <c r="B13727">
        <f>IFERROR(__xludf.DUMMYFUNCTION("""COMPUTED_VALUE"""),4385838.0)</f>
        <v>4385838</v>
      </c>
      <c r="C13727" t="str">
        <f>IFERROR(__xludf.DUMMYFUNCTION("""COMPUTED_VALUE"""),"웹툰 영어 유미의 세포들 바비편")</f>
        <v>웹툰 영어 유미의 세포들 바비편</v>
      </c>
    </row>
    <row r="13728">
      <c r="A13728" s="140" t="str">
        <f>IFERROR(__xludf.DUMMYFUNCTION("""COMPUTED_VALUE"""),"en")</f>
        <v>en</v>
      </c>
      <c r="B13728">
        <f>IFERROR(__xludf.DUMMYFUNCTION("""COMPUTED_VALUE"""),3770038.0)</f>
        <v>3770038</v>
      </c>
      <c r="C13728" t="str">
        <f>IFERROR(__xludf.DUMMYFUNCTION("""COMPUTED_VALUE"""),"The Complete Modern OpenGL and GLSL Shaders Course for 2021")</f>
        <v>The Complete Modern OpenGL and GLSL Shaders Course for 2021</v>
      </c>
    </row>
    <row r="13729">
      <c r="A13729" s="140" t="str">
        <f>IFERROR(__xludf.DUMMYFUNCTION("""COMPUTED_VALUE"""),"es")</f>
        <v>es</v>
      </c>
      <c r="B13729">
        <f>IFERROR(__xludf.DUMMYFUNCTION("""COMPUTED_VALUE"""),4187290.0)</f>
        <v>4187290</v>
      </c>
      <c r="C13729" t="str">
        <f>IFERROR(__xludf.DUMMYFUNCTION("""COMPUTED_VALUE"""),"Master: Katalon Studio  Test QA Automation (En Español)")</f>
        <v>Master: Katalon Studio  Test QA Automation (En Español)</v>
      </c>
    </row>
    <row r="13730">
      <c r="A13730" s="140" t="str">
        <f>IFERROR(__xludf.DUMMYFUNCTION("""COMPUTED_VALUE"""),"fr")</f>
        <v>fr</v>
      </c>
      <c r="B13730">
        <f>IFERROR(__xludf.DUMMYFUNCTION("""COMPUTED_VALUE"""),2653612.0)</f>
        <v>2653612</v>
      </c>
      <c r="C13730" t="str">
        <f>IFERROR(__xludf.DUMMYFUNCTION("""COMPUTED_VALUE"""),"Blender 2.81 - Substance painter - Création d'asset sci-fi")</f>
        <v>Blender 2.81 - Substance painter - Création d'asset sci-fi</v>
      </c>
    </row>
    <row r="13731">
      <c r="A13731" s="140" t="str">
        <f>IFERROR(__xludf.DUMMYFUNCTION("""COMPUTED_VALUE"""),"en")</f>
        <v>en</v>
      </c>
      <c r="B13731">
        <f>IFERROR(__xludf.DUMMYFUNCTION("""COMPUTED_VALUE"""),4007248.0)</f>
        <v>4007248</v>
      </c>
      <c r="C13731" t="str">
        <f>IFERROR(__xludf.DUMMYFUNCTION("""COMPUTED_VALUE"""),"API Crash Course: What is an API, how to create it &amp; test it")</f>
        <v>API Crash Course: What is an API, how to create it &amp; test it</v>
      </c>
    </row>
    <row r="13732">
      <c r="A13732" s="140" t="str">
        <f>IFERROR(__xludf.DUMMYFUNCTION("""COMPUTED_VALUE"""),"ja")</f>
        <v>ja</v>
      </c>
      <c r="B13732">
        <f>IFERROR(__xludf.DUMMYFUNCTION("""COMPUTED_VALUE"""),4428370.0)</f>
        <v>4428370</v>
      </c>
      <c r="C13732" t="str">
        <f>IFERROR(__xludf.DUMMYFUNCTION("""COMPUTED_VALUE"""),"＜UB確認テスト＞Microsoft Power Apps - 入門講座")</f>
        <v>＜UB確認テスト＞Microsoft Power Apps - 入門講座</v>
      </c>
    </row>
    <row r="13733">
      <c r="A13733" s="140" t="str">
        <f>IFERROR(__xludf.DUMMYFUNCTION("""COMPUTED_VALUE"""),"en")</f>
        <v>en</v>
      </c>
      <c r="B13733">
        <f>IFERROR(__xludf.DUMMYFUNCTION("""COMPUTED_VALUE"""),1211386.0)</f>
        <v>1211386</v>
      </c>
      <c r="C13733" t="str">
        <f>IFERROR(__xludf.DUMMYFUNCTION("""COMPUTED_VALUE"""),"Step by Step Mobile Phone Travel Videos")</f>
        <v>Step by Step Mobile Phone Travel Videos</v>
      </c>
    </row>
    <row r="13734">
      <c r="A13734" s="140" t="str">
        <f>IFERROR(__xludf.DUMMYFUNCTION("""COMPUTED_VALUE"""),"it")</f>
        <v>it</v>
      </c>
      <c r="B13734">
        <f>IFERROR(__xludf.DUMMYFUNCTION("""COMPUTED_VALUE"""),4395448.0)</f>
        <v>4395448</v>
      </c>
      <c r="C13734" t="str">
        <f>IFERROR(__xludf.DUMMYFUNCTION("""COMPUTED_VALUE"""),"Impariamo da zero il framework Spring Batch")</f>
        <v>Impariamo da zero il framework Spring Batch</v>
      </c>
    </row>
    <row r="13735">
      <c r="A13735" s="140" t="str">
        <f>IFERROR(__xludf.DUMMYFUNCTION("""COMPUTED_VALUE"""),"ko")</f>
        <v>ko</v>
      </c>
      <c r="B13735">
        <f>IFERROR(__xludf.DUMMYFUNCTION("""COMPUTED_VALUE"""),4236928.0)</f>
        <v>4236928</v>
      </c>
      <c r="C13735" t="str">
        <f>IFERROR(__xludf.DUMMYFUNCTION("""COMPUTED_VALUE"""),"Microsoft Teams 사용자 교육")</f>
        <v>Microsoft Teams 사용자 교육</v>
      </c>
    </row>
    <row r="13736">
      <c r="A13736" s="140" t="str">
        <f>IFERROR(__xludf.DUMMYFUNCTION("""COMPUTED_VALUE"""),"fr")</f>
        <v>fr</v>
      </c>
      <c r="B13736">
        <f>IFERROR(__xludf.DUMMYFUNCTION("""COMPUTED_VALUE"""),3751022.0)</f>
        <v>3751022</v>
      </c>
      <c r="C13736" t="str">
        <f>IFERROR(__xludf.DUMMYFUNCTION("""COMPUTED_VALUE"""),"ILLUSTRATOR CC MasterClass 2021 | Les Fondamentaux +Ateliers")</f>
        <v>ILLUSTRATOR CC MasterClass 2021 | Les Fondamentaux +Ateliers</v>
      </c>
    </row>
    <row r="13737">
      <c r="A13737" s="140" t="str">
        <f>IFERROR(__xludf.DUMMYFUNCTION("""COMPUTED_VALUE"""),"en")</f>
        <v>en</v>
      </c>
      <c r="B13737">
        <f>IFERROR(__xludf.DUMMYFUNCTION("""COMPUTED_VALUE"""),4013910.0)</f>
        <v>4013910</v>
      </c>
      <c r="C13737" t="str">
        <f>IFERROR(__xludf.DUMMYFUNCTION("""COMPUTED_VALUE"""),"Learn Leadership Skills In The Workplace: 3 Levels Of Leader")</f>
        <v>Learn Leadership Skills In The Workplace: 3 Levels Of Leader</v>
      </c>
    </row>
    <row r="13738">
      <c r="A13738" s="140" t="str">
        <f>IFERROR(__xludf.DUMMYFUNCTION("""COMPUTED_VALUE"""),"fr")</f>
        <v>fr</v>
      </c>
      <c r="B13738">
        <f>IFERROR(__xludf.DUMMYFUNCTION("""COMPUTED_VALUE"""),3411646.0)</f>
        <v>3411646</v>
      </c>
      <c r="C13738" t="str">
        <f>IFERROR(__xludf.DUMMYFUNCTION("""COMPUTED_VALUE"""),"Le guide complet d'Hadoop : maîtriser votre Big Data")</f>
        <v>Le guide complet d'Hadoop : maîtriser votre Big Data</v>
      </c>
    </row>
    <row r="13739">
      <c r="A13739" s="140" t="str">
        <f>IFERROR(__xludf.DUMMYFUNCTION("""COMPUTED_VALUE"""),"en")</f>
        <v>en</v>
      </c>
      <c r="B13739">
        <f>IFERROR(__xludf.DUMMYFUNCTION("""COMPUTED_VALUE"""),3653898.0)</f>
        <v>3653898</v>
      </c>
      <c r="C13739" t="str">
        <f>IFERROR(__xludf.DUMMYFUNCTION("""COMPUTED_VALUE"""),"Embedded Linux using Yocto Part 3")</f>
        <v>Embedded Linux using Yocto Part 3</v>
      </c>
    </row>
    <row r="13740">
      <c r="A13740" s="140" t="str">
        <f>IFERROR(__xludf.DUMMYFUNCTION("""COMPUTED_VALUE"""),"en")</f>
        <v>en</v>
      </c>
      <c r="B13740">
        <f>IFERROR(__xludf.DUMMYFUNCTION("""COMPUTED_VALUE"""),189894.0)</f>
        <v>189894</v>
      </c>
      <c r="C13740" t="str">
        <f>IFERROR(__xludf.DUMMYFUNCTION("""COMPUTED_VALUE"""),"Build a Forensic Virtual Machine")</f>
        <v>Build a Forensic Virtual Machine</v>
      </c>
    </row>
    <row r="13741">
      <c r="A13741" s="140" t="str">
        <f>IFERROR(__xludf.DUMMYFUNCTION("""COMPUTED_VALUE"""),"en")</f>
        <v>en</v>
      </c>
      <c r="B13741">
        <f>IFERROR(__xludf.DUMMYFUNCTION("""COMPUTED_VALUE"""),4327232.0)</f>
        <v>4327232</v>
      </c>
      <c r="C13741" t="str">
        <f>IFERROR(__xludf.DUMMYFUNCTION("""COMPUTED_VALUE"""),"OpenStack and NFV (TelcoCloud)")</f>
        <v>OpenStack and NFV (TelcoCloud)</v>
      </c>
    </row>
    <row r="13742">
      <c r="A13742" s="140" t="str">
        <f>IFERROR(__xludf.DUMMYFUNCTION("""COMPUTED_VALUE"""),"en")</f>
        <v>en</v>
      </c>
      <c r="B13742">
        <f>IFERROR(__xludf.DUMMYFUNCTION("""COMPUTED_VALUE"""),4410596.0)</f>
        <v>4410596</v>
      </c>
      <c r="C13742" t="str">
        <f>IFERROR(__xludf.DUMMYFUNCTION("""COMPUTED_VALUE"""),"Build FoodPanda &amp; Uber Eats Clone App with Admin WEB Portal")</f>
        <v>Build FoodPanda &amp; Uber Eats Clone App with Admin WEB Portal</v>
      </c>
    </row>
    <row r="13743">
      <c r="A13743" s="140" t="str">
        <f>IFERROR(__xludf.DUMMYFUNCTION("""COMPUTED_VALUE"""),"it")</f>
        <v>it</v>
      </c>
      <c r="B13743">
        <f>IFERROR(__xludf.DUMMYFUNCTION("""COMPUTED_VALUE"""),2342866.0)</f>
        <v>2342866</v>
      </c>
      <c r="C13743" t="str">
        <f>IFERROR(__xludf.DUMMYFUNCTION("""COMPUTED_VALUE"""),"Impara il C++ creando giochi in un'ora!")</f>
        <v>Impara il C++ creando giochi in un'ora!</v>
      </c>
    </row>
    <row r="13744">
      <c r="A13744" s="140" t="str">
        <f>IFERROR(__xludf.DUMMYFUNCTION("""COMPUTED_VALUE"""),"ja")</f>
        <v>ja</v>
      </c>
      <c r="B13744">
        <f>IFERROR(__xludf.DUMMYFUNCTION("""COMPUTED_VALUE"""),4032798.0)</f>
        <v>4032798</v>
      </c>
      <c r="C13744" t="str">
        <f>IFERROR(__xludf.DUMMYFUNCTION("""COMPUTED_VALUE"""),"AIエンジニアが教えるRとtidymodelsによる機械学習と予測モデリング")</f>
        <v>AIエンジニアが教えるRとtidymodelsによる機械学習と予測モデリング</v>
      </c>
    </row>
    <row r="13745">
      <c r="A13745" s="140" t="str">
        <f>IFERROR(__xludf.DUMMYFUNCTION("""COMPUTED_VALUE"""),"de")</f>
        <v>de</v>
      </c>
      <c r="B13745">
        <f>IFERROR(__xludf.DUMMYFUNCTION("""COMPUTED_VALUE"""),3665992.0)</f>
        <v>3665992</v>
      </c>
      <c r="C13745" t="str">
        <f>IFERROR(__xludf.DUMMYFUNCTION("""COMPUTED_VALUE"""),"Wir müssen reden: Tipps &amp; Techniken für Deine Kommunikation")</f>
        <v>Wir müssen reden: Tipps &amp; Techniken für Deine Kommunikation</v>
      </c>
    </row>
    <row r="13746">
      <c r="A13746" s="140" t="str">
        <f>IFERROR(__xludf.DUMMYFUNCTION("""COMPUTED_VALUE"""),"en")</f>
        <v>en</v>
      </c>
      <c r="B13746">
        <f>IFERROR(__xludf.DUMMYFUNCTION("""COMPUTED_VALUE"""),3144412.0)</f>
        <v>3144412</v>
      </c>
      <c r="C13746" t="str">
        <f>IFERROR(__xludf.DUMMYFUNCTION("""COMPUTED_VALUE"""),"The Ultimate Guide to Thinking Skills")</f>
        <v>The Ultimate Guide to Thinking Skills</v>
      </c>
    </row>
    <row r="13747">
      <c r="A13747" s="140" t="str">
        <f>IFERROR(__xludf.DUMMYFUNCTION("""COMPUTED_VALUE"""),"ja")</f>
        <v>ja</v>
      </c>
      <c r="B13747">
        <f>IFERROR(__xludf.DUMMYFUNCTION("""COMPUTED_VALUE"""),3447472.0)</f>
        <v>3447472</v>
      </c>
      <c r="C13747" t="str">
        <f>IFERROR(__xludf.DUMMYFUNCTION("""COMPUTED_VALUE"""),"シナリオプランニング活用講座【基礎編】〜不確実性を機会に変えるための思考法")</f>
        <v>シナリオプランニング活用講座【基礎編】〜不確実性を機会に変えるための思考法</v>
      </c>
    </row>
    <row r="13748">
      <c r="A13748" s="140" t="str">
        <f>IFERROR(__xludf.DUMMYFUNCTION("""COMPUTED_VALUE"""),"ja")</f>
        <v>ja</v>
      </c>
      <c r="B13748">
        <f>IFERROR(__xludf.DUMMYFUNCTION("""COMPUTED_VALUE"""),2435494.0)</f>
        <v>2435494</v>
      </c>
      <c r="C13748" t="str">
        <f>IFERROR(__xludf.DUMMYFUNCTION("""COMPUTED_VALUE"""),"Google フォーム徹底解説！効率的なアンケート作成・自動集計をマスター")</f>
        <v>Google フォーム徹底解説！効率的なアンケート作成・自動集計をマスター</v>
      </c>
    </row>
    <row r="13749">
      <c r="A13749" s="140" t="str">
        <f>IFERROR(__xludf.DUMMYFUNCTION("""COMPUTED_VALUE"""),"de")</f>
        <v>de</v>
      </c>
      <c r="B13749">
        <f>IFERROR(__xludf.DUMMYFUNCTION("""COMPUTED_VALUE"""),3885582.0)</f>
        <v>3885582</v>
      </c>
      <c r="C13749" t="str">
        <f>IFERROR(__xludf.DUMMYFUNCTION("""COMPUTED_VALUE"""),"Körpersprache: Nonverbale Kommunikation für mehr Erfolg")</f>
        <v>Körpersprache: Nonverbale Kommunikation für mehr Erfolg</v>
      </c>
    </row>
    <row r="13750">
      <c r="A13750" s="140" t="str">
        <f>IFERROR(__xludf.DUMMYFUNCTION("""COMPUTED_VALUE"""),"en")</f>
        <v>en</v>
      </c>
      <c r="B13750">
        <f>IFERROR(__xludf.DUMMYFUNCTION("""COMPUTED_VALUE"""),4342206.0)</f>
        <v>4342206</v>
      </c>
      <c r="C13750" t="str">
        <f>IFERROR(__xludf.DUMMYFUNCTION("""COMPUTED_VALUE"""),"AZ-305 Exam Prep: Designing Azure Infrastructure Solutions")</f>
        <v>AZ-305 Exam Prep: Designing Azure Infrastructure Solutions</v>
      </c>
    </row>
    <row r="13751">
      <c r="A13751" s="140" t="str">
        <f>IFERROR(__xludf.DUMMYFUNCTION("""COMPUTED_VALUE"""),"fr")</f>
        <v>fr</v>
      </c>
      <c r="B13751">
        <f>IFERROR(__xludf.DUMMYFUNCTION("""COMPUTED_VALUE"""),2973718.0)</f>
        <v>2973718</v>
      </c>
      <c r="C13751" t="str">
        <f>IFERROR(__xludf.DUMMYFUNCTION("""COMPUTED_VALUE"""),"AFFINITY Photo | Initiation - Outils + Créations graphique")</f>
        <v>AFFINITY Photo | Initiation - Outils + Créations graphique</v>
      </c>
    </row>
    <row r="13752">
      <c r="A13752" s="140" t="str">
        <f>IFERROR(__xludf.DUMMYFUNCTION("""COMPUTED_VALUE"""),"ko")</f>
        <v>ko</v>
      </c>
      <c r="B13752">
        <f>IFERROR(__xludf.DUMMYFUNCTION("""COMPUTED_VALUE"""),4250590.0)</f>
        <v>4250590</v>
      </c>
      <c r="C13752" t="str">
        <f>IFERROR(__xludf.DUMMYFUNCTION("""COMPUTED_VALUE"""),"【글로벌 Best】 30일만에 업무 능력, 집중도, 행복도 높이는 법 (한글 자막)")</f>
        <v>【글로벌 Best】 30일만에 업무 능력, 집중도, 행복도 높이는 법 (한글 자막)</v>
      </c>
    </row>
    <row r="13753">
      <c r="A13753" s="140" t="str">
        <f>IFERROR(__xludf.DUMMYFUNCTION("""COMPUTED_VALUE"""),"de")</f>
        <v>de</v>
      </c>
      <c r="B13753">
        <f>IFERROR(__xludf.DUMMYFUNCTION("""COMPUTED_VALUE"""),1570950.0)</f>
        <v>1570950</v>
      </c>
      <c r="C13753" t="str">
        <f>IFERROR(__xludf.DUMMYFUNCTION("""COMPUTED_VALUE"""),"Kreatives Schreiben: Plotten wie ein Profi - Roman schreiben")</f>
        <v>Kreatives Schreiben: Plotten wie ein Profi - Roman schreiben</v>
      </c>
    </row>
    <row r="13754">
      <c r="A13754" s="140" t="str">
        <f>IFERROR(__xludf.DUMMYFUNCTION("""COMPUTED_VALUE"""),"it")</f>
        <v>it</v>
      </c>
      <c r="B13754">
        <f>IFERROR(__xludf.DUMMYFUNCTION("""COMPUTED_VALUE"""),3882686.0)</f>
        <v>3882686</v>
      </c>
      <c r="C13754" t="str">
        <f>IFERROR(__xludf.DUMMYFUNCTION("""COMPUTED_VALUE"""),"New PMP Test - Simulazione Esame 2021 in Italiano")</f>
        <v>New PMP Test - Simulazione Esame 2021 in Italiano</v>
      </c>
    </row>
    <row r="13755">
      <c r="A13755" s="140" t="str">
        <f>IFERROR(__xludf.DUMMYFUNCTION("""COMPUTED_VALUE"""),"en")</f>
        <v>en</v>
      </c>
      <c r="B13755">
        <f>IFERROR(__xludf.DUMMYFUNCTION("""COMPUTED_VALUE"""),1650610.0)</f>
        <v>1650610</v>
      </c>
      <c r="C13755" t="str">
        <f>IFERROR(__xludf.DUMMYFUNCTION("""COMPUTED_VALUE"""),"The Complete Junior to Senior Web Developer Roadmap (2022)")</f>
        <v>The Complete Junior to Senior Web Developer Roadmap (2022)</v>
      </c>
    </row>
    <row r="13756">
      <c r="A13756" s="140" t="str">
        <f>IFERROR(__xludf.DUMMYFUNCTION("""COMPUTED_VALUE"""),"en")</f>
        <v>en</v>
      </c>
      <c r="B13756">
        <f>IFERROR(__xludf.DUMMYFUNCTION("""COMPUTED_VALUE"""),2771350.0)</f>
        <v>2771350</v>
      </c>
      <c r="C13756" t="str">
        <f>IFERROR(__xludf.DUMMYFUNCTION("""COMPUTED_VALUE"""),"Learning to Learn [Efficient Learning]: Zero to Mastery")</f>
        <v>Learning to Learn [Efficient Learning]: Zero to Mastery</v>
      </c>
    </row>
    <row r="13757">
      <c r="A13757" s="140" t="str">
        <f>IFERROR(__xludf.DUMMYFUNCTION("""COMPUTED_VALUE"""),"en")</f>
        <v>en</v>
      </c>
      <c r="B13757">
        <f>IFERROR(__xludf.DUMMYFUNCTION("""COMPUTED_VALUE"""),4507878.0)</f>
        <v>4507878</v>
      </c>
      <c r="C13757" t="str">
        <f>IFERROR(__xludf.DUMMYFUNCTION("""COMPUTED_VALUE"""),"Bug Bounty - An Advanced Guide to Finding Good Bugs")</f>
        <v>Bug Bounty - An Advanced Guide to Finding Good Bugs</v>
      </c>
    </row>
    <row r="13758">
      <c r="A13758" s="140" t="str">
        <f>IFERROR(__xludf.DUMMYFUNCTION("""COMPUTED_VALUE"""),"fr")</f>
        <v>fr</v>
      </c>
      <c r="B13758">
        <f>IFERROR(__xludf.DUMMYFUNCTION("""COMPUTED_VALUE"""),1049802.0)</f>
        <v>1049802</v>
      </c>
      <c r="C13758" t="str">
        <f>IFERROR(__xludf.DUMMYFUNCTION("""COMPUTED_VALUE"""),"Apprendre Javascript: Cours Javascript Complet")</f>
        <v>Apprendre Javascript: Cours Javascript Complet</v>
      </c>
    </row>
    <row r="13759">
      <c r="A13759" s="140" t="str">
        <f>IFERROR(__xludf.DUMMYFUNCTION("""COMPUTED_VALUE"""),"en")</f>
        <v>en</v>
      </c>
      <c r="B13759">
        <f>IFERROR(__xludf.DUMMYFUNCTION("""COMPUTED_VALUE"""),4069966.0)</f>
        <v>4069966</v>
      </c>
      <c r="C13759" t="str">
        <f>IFERROR(__xludf.DUMMYFUNCTION("""COMPUTED_VALUE"""),"Ultimate Rust 2: Intermediate Concepts")</f>
        <v>Ultimate Rust 2: Intermediate Concepts</v>
      </c>
    </row>
    <row r="13760">
      <c r="A13760" s="140" t="str">
        <f>IFERROR(__xludf.DUMMYFUNCTION("""COMPUTED_VALUE"""),"de")</f>
        <v>de</v>
      </c>
      <c r="B13760">
        <f>IFERROR(__xludf.DUMMYFUNCTION("""COMPUTED_VALUE"""),1030750.0)</f>
        <v>1030750</v>
      </c>
      <c r="C13760" t="str">
        <f>IFERROR(__xludf.DUMMYFUNCTION("""COMPUTED_VALUE"""),"E-Mail Marketing mit Klick-Tipp")</f>
        <v>E-Mail Marketing mit Klick-Tipp</v>
      </c>
    </row>
    <row r="13761">
      <c r="A13761" s="140" t="str">
        <f>IFERROR(__xludf.DUMMYFUNCTION("""COMPUTED_VALUE"""),"fr")</f>
        <v>fr</v>
      </c>
      <c r="B13761">
        <f>IFERROR(__xludf.DUMMYFUNCTION("""COMPUTED_VALUE"""),3374000.0)</f>
        <v>3374000</v>
      </c>
      <c r="C13761" t="str">
        <f>IFERROR(__xludf.DUMMYFUNCTION("""COMPUTED_VALUE"""),"Docker pour DevOps [2022]")</f>
        <v>Docker pour DevOps [2022]</v>
      </c>
    </row>
    <row r="13762">
      <c r="A13762" s="140" t="str">
        <f>IFERROR(__xludf.DUMMYFUNCTION("""COMPUTED_VALUE"""),"es")</f>
        <v>es</v>
      </c>
      <c r="B13762">
        <f>IFERROR(__xludf.DUMMYFUNCTION("""COMPUTED_VALUE"""),4189168.0)</f>
        <v>4189168</v>
      </c>
      <c r="C13762" t="str">
        <f>IFERROR(__xludf.DUMMYFUNCTION("""COMPUTED_VALUE"""),"Python TOTAL - Programador Avanzado en 16 días")</f>
        <v>Python TOTAL - Programador Avanzado en 16 días</v>
      </c>
    </row>
    <row r="13763">
      <c r="A13763" s="140" t="str">
        <f>IFERROR(__xludf.DUMMYFUNCTION("""COMPUTED_VALUE"""),"ja")</f>
        <v>ja</v>
      </c>
      <c r="B13763">
        <f>IFERROR(__xludf.DUMMYFUNCTION("""COMPUTED_VALUE"""),4256744.0)</f>
        <v>4256744</v>
      </c>
      <c r="C13763" t="str">
        <f>IFERROR(__xludf.DUMMYFUNCTION("""COMPUTED_VALUE"""),"ITパスポート 模擬試験問題集(6回240問)")</f>
        <v>ITパスポート 模擬試験問題集(6回240問)</v>
      </c>
    </row>
    <row r="13764">
      <c r="A13764" s="140" t="str">
        <f>IFERROR(__xludf.DUMMYFUNCTION("""COMPUTED_VALUE"""),"ja")</f>
        <v>ja</v>
      </c>
      <c r="B13764">
        <f>IFERROR(__xludf.DUMMYFUNCTION("""COMPUTED_VALUE"""),4099632.0)</f>
        <v>4099632</v>
      </c>
      <c r="C13764" t="str">
        <f>IFERROR(__xludf.DUMMYFUNCTION("""COMPUTED_VALUE"""),"After Effects【脱初心者】HUD 5種＋2作品【モーショングラフィックス】")</f>
        <v>After Effects【脱初心者】HUD 5種＋2作品【モーショングラフィックス】</v>
      </c>
    </row>
    <row r="13765">
      <c r="A13765" s="140" t="str">
        <f>IFERROR(__xludf.DUMMYFUNCTION("""COMPUTED_VALUE"""),"ja")</f>
        <v>ja</v>
      </c>
      <c r="B13765">
        <f>IFERROR(__xludf.DUMMYFUNCTION("""COMPUTED_VALUE"""),3495894.0)</f>
        <v>3495894</v>
      </c>
      <c r="C13765" t="str">
        <f>IFERROR(__xludf.DUMMYFUNCTION("""COMPUTED_VALUE"""),"実務で使えるDCDCコンバータの基礎知識")</f>
        <v>実務で使えるDCDCコンバータの基礎知識</v>
      </c>
    </row>
    <row r="13766">
      <c r="A13766" s="140" t="str">
        <f>IFERROR(__xludf.DUMMYFUNCTION("""COMPUTED_VALUE"""),"it")</f>
        <v>it</v>
      </c>
      <c r="B13766">
        <f>IFERROR(__xludf.DUMMYFUNCTION("""COMPUTED_VALUE"""),3794026.0)</f>
        <v>3794026</v>
      </c>
      <c r="C13766" t="str">
        <f>IFERROR(__xludf.DUMMYFUNCTION("""COMPUTED_VALUE"""),"PhpStorm master class. Il Miglior IDE php per fullstack dev.")</f>
        <v>PhpStorm master class. Il Miglior IDE php per fullstack dev.</v>
      </c>
    </row>
    <row r="13767">
      <c r="A13767" s="140" t="str">
        <f>IFERROR(__xludf.DUMMYFUNCTION("""COMPUTED_VALUE"""),"en")</f>
        <v>en</v>
      </c>
      <c r="B13767">
        <f>IFERROR(__xludf.DUMMYFUNCTION("""COMPUTED_VALUE"""),4405234.0)</f>
        <v>4405234</v>
      </c>
      <c r="C13767" t="str">
        <f>IFERROR(__xludf.DUMMYFUNCTION("""COMPUTED_VALUE"""),"WannaBeA SSCP")</f>
        <v>WannaBeA SSCP</v>
      </c>
    </row>
    <row r="13768">
      <c r="A13768" s="140" t="str">
        <f>IFERROR(__xludf.DUMMYFUNCTION("""COMPUTED_VALUE"""),"fr")</f>
        <v>fr</v>
      </c>
      <c r="B13768">
        <f>IFERROR(__xludf.DUMMYFUNCTION("""COMPUTED_VALUE"""),3804802.0)</f>
        <v>3804802</v>
      </c>
      <c r="C13768" t="str">
        <f>IFERROR(__xludf.DUMMYFUNCTION("""COMPUTED_VALUE"""),"INDESIGN 2021 MasterClass | Initiation à Intermédiaire")</f>
        <v>INDESIGN 2021 MasterClass | Initiation à Intermédiaire</v>
      </c>
    </row>
    <row r="13769">
      <c r="A13769" s="140" t="str">
        <f>IFERROR(__xludf.DUMMYFUNCTION("""COMPUTED_VALUE"""),"de")</f>
        <v>de</v>
      </c>
      <c r="B13769">
        <f>IFERROR(__xludf.DUMMYFUNCTION("""COMPUTED_VALUE"""),720462.0)</f>
        <v>720462</v>
      </c>
      <c r="C13769" t="str">
        <f>IFERROR(__xludf.DUMMYFUNCTION("""COMPUTED_VALUE"""),"Menschen lesen und diplomatisch verhandeln mit System")</f>
        <v>Menschen lesen und diplomatisch verhandeln mit System</v>
      </c>
    </row>
    <row r="13770">
      <c r="A13770" s="140" t="str">
        <f>IFERROR(__xludf.DUMMYFUNCTION("""COMPUTED_VALUE"""),"ar")</f>
        <v>ar</v>
      </c>
      <c r="B13770">
        <f>IFERROR(__xludf.DUMMYFUNCTION("""COMPUTED_VALUE"""),3886214.0)</f>
        <v>3886214</v>
      </c>
      <c r="C13770" t="str">
        <f>IFERROR(__xludf.DUMMYFUNCTION("""COMPUTED_VALUE"""),"Information Technology Fundamentals")</f>
        <v>Information Technology Fundamentals</v>
      </c>
    </row>
    <row r="13771">
      <c r="A13771" s="140" t="str">
        <f>IFERROR(__xludf.DUMMYFUNCTION("""COMPUTED_VALUE"""),"de")</f>
        <v>de</v>
      </c>
      <c r="B13771">
        <f>IFERROR(__xludf.DUMMYFUNCTION("""COMPUTED_VALUE"""),3748442.0)</f>
        <v>3748442</v>
      </c>
      <c r="C13771" t="str">
        <f>IFERROR(__xludf.DUMMYFUNCTION("""COMPUTED_VALUE"""),"35 Übungen für mehr Selbstvertrauen")</f>
        <v>35 Übungen für mehr Selbstvertrauen</v>
      </c>
    </row>
    <row r="13772">
      <c r="A13772" s="140" t="str">
        <f>IFERROR(__xludf.DUMMYFUNCTION("""COMPUTED_VALUE"""),"en")</f>
        <v>en</v>
      </c>
      <c r="B13772">
        <f>IFERROR(__xludf.DUMMYFUNCTION("""COMPUTED_VALUE"""),4176106.0)</f>
        <v>4176106</v>
      </c>
      <c r="C13772" t="str">
        <f>IFERROR(__xludf.DUMMYFUNCTION("""COMPUTED_VALUE"""),"ManageEngine OPManager Plus Network Monitoring Course")</f>
        <v>ManageEngine OPManager Plus Network Monitoring Course</v>
      </c>
    </row>
    <row r="13773">
      <c r="A13773" s="140" t="str">
        <f>IFERROR(__xludf.DUMMYFUNCTION("""COMPUTED_VALUE"""),"pt")</f>
        <v>pt</v>
      </c>
      <c r="B13773">
        <f>IFERROR(__xludf.DUMMYFUNCTION("""COMPUTED_VALUE"""),1060280.0)</f>
        <v>1060280</v>
      </c>
      <c r="C13773" t="str">
        <f>IFERROR(__xludf.DUMMYFUNCTION("""COMPUTED_VALUE"""),"Linguagem de programação C# - Intermediário")</f>
        <v>Linguagem de programação C# - Intermediário</v>
      </c>
    </row>
    <row r="13774">
      <c r="A13774" s="140" t="str">
        <f>IFERROR(__xludf.DUMMYFUNCTION("""COMPUTED_VALUE"""),"en")</f>
        <v>en</v>
      </c>
      <c r="B13774">
        <f>IFERROR(__xludf.DUMMYFUNCTION("""COMPUTED_VALUE"""),4397644.0)</f>
        <v>4397644</v>
      </c>
      <c r="C13774" t="str">
        <f>IFERROR(__xludf.DUMMYFUNCTION("""COMPUTED_VALUE"""),"2022 Python Data Analysis &amp; Visualization Masterclass")</f>
        <v>2022 Python Data Analysis &amp; Visualization Masterclass</v>
      </c>
    </row>
    <row r="13775">
      <c r="A13775" s="140" t="str">
        <f>IFERROR(__xludf.DUMMYFUNCTION("""COMPUTED_VALUE"""),"en")</f>
        <v>en</v>
      </c>
      <c r="B13775">
        <f>IFERROR(__xludf.DUMMYFUNCTION("""COMPUTED_VALUE"""),2613218.0)</f>
        <v>2613218</v>
      </c>
      <c r="C13775" t="str">
        <f>IFERROR(__xludf.DUMMYFUNCTION("""COMPUTED_VALUE"""),"Cisco CCNP Enterprise ENWLSD 300-425 Course with Labs ENWLSD")</f>
        <v>Cisco CCNP Enterprise ENWLSD 300-425 Course with Labs ENWLSD</v>
      </c>
    </row>
    <row r="13776">
      <c r="A13776" s="140" t="str">
        <f>IFERROR(__xludf.DUMMYFUNCTION("""COMPUTED_VALUE"""),"ko")</f>
        <v>ko</v>
      </c>
      <c r="B13776">
        <f>IFERROR(__xludf.DUMMYFUNCTION("""COMPUTED_VALUE"""),4382734.0)</f>
        <v>4382734</v>
      </c>
      <c r="C13776" t="str">
        <f>IFERROR(__xludf.DUMMYFUNCTION("""COMPUTED_VALUE"""),"【글로벌 Best】 DP-900 Azure Data Fundamentals 시험 준비 하루 만에 끝내기")</f>
        <v>【글로벌 Best】 DP-900 Azure Data Fundamentals 시험 준비 하루 만에 끝내기</v>
      </c>
    </row>
    <row r="13777">
      <c r="A13777" s="140" t="str">
        <f>IFERROR(__xludf.DUMMYFUNCTION("""COMPUTED_VALUE"""),"en")</f>
        <v>en</v>
      </c>
      <c r="B13777">
        <f>IFERROR(__xludf.DUMMYFUNCTION("""COMPUTED_VALUE"""),2804671.0)</f>
        <v>2804671</v>
      </c>
      <c r="C13777" t="str">
        <f>IFERROR(__xludf.DUMMYFUNCTION("""COMPUTED_VALUE"""),"Learn Autosar from Scratch (Beginner to Intermediate)")</f>
        <v>Learn Autosar from Scratch (Beginner to Intermediate)</v>
      </c>
    </row>
    <row r="13778">
      <c r="A13778" s="140" t="str">
        <f>IFERROR(__xludf.DUMMYFUNCTION("""COMPUTED_VALUE"""),"ko")</f>
        <v>ko</v>
      </c>
      <c r="B13778">
        <f>IFERROR(__xludf.DUMMYFUNCTION("""COMPUTED_VALUE"""),4393372.0)</f>
        <v>4393372</v>
      </c>
      <c r="C13778" t="str">
        <f>IFERROR(__xludf.DUMMYFUNCTION("""COMPUTED_VALUE"""),"【글로벌 Best】 Machine Learning 실전 개발 | 8개의 실용 프로젝트 (한글자막)")</f>
        <v>【글로벌 Best】 Machine Learning 실전 개발 | 8개의 실용 프로젝트 (한글자막)</v>
      </c>
    </row>
    <row r="13779">
      <c r="A13779" s="140" t="str">
        <f>IFERROR(__xludf.DUMMYFUNCTION("""COMPUTED_VALUE"""),"fr")</f>
        <v>fr</v>
      </c>
      <c r="B13779">
        <f>IFERROR(__xludf.DUMMYFUNCTION("""COMPUTED_VALUE"""),3613504.0)</f>
        <v>3613504</v>
      </c>
      <c r="C13779" t="str">
        <f>IFERROR(__xludf.DUMMYFUNCTION("""COMPUTED_VALUE"""),"Le JavaScript de A à Z")</f>
        <v>Le JavaScript de A à Z</v>
      </c>
    </row>
    <row r="13780">
      <c r="A13780" s="140" t="str">
        <f>IFERROR(__xludf.DUMMYFUNCTION("""COMPUTED_VALUE"""),"ko")</f>
        <v>ko</v>
      </c>
      <c r="B13780">
        <f>IFERROR(__xludf.DUMMYFUNCTION("""COMPUTED_VALUE"""),4371488.0)</f>
        <v>4371488</v>
      </c>
      <c r="C13780" t="str">
        <f>IFERROR(__xludf.DUMMYFUNCTION("""COMPUTED_VALUE"""),"【글로벌 Best】 TensorFlow 2.0 : 딥러닝 모델 구현 마스터 패키지(한글자막)")</f>
        <v>【글로벌 Best】 TensorFlow 2.0 : 딥러닝 모델 구현 마스터 패키지(한글자막)</v>
      </c>
    </row>
    <row r="13781">
      <c r="A13781" s="140" t="str">
        <f>IFERROR(__xludf.DUMMYFUNCTION("""COMPUTED_VALUE"""),"es")</f>
        <v>es</v>
      </c>
      <c r="B13781">
        <f>IFERROR(__xludf.DUMMYFUNCTION("""COMPUTED_VALUE"""),2562684.0)</f>
        <v>2562684</v>
      </c>
      <c r="C13781" t="str">
        <f>IFERROR(__xludf.DUMMYFUNCTION("""COMPUTED_VALUE"""),"ESPAÑOL - Curso Huawei HCIA Routing &amp; Switching ENTRY")</f>
        <v>ESPAÑOL - Curso Huawei HCIA Routing &amp; Switching ENTRY</v>
      </c>
    </row>
    <row r="13782">
      <c r="A13782" s="140" t="str">
        <f>IFERROR(__xludf.DUMMYFUNCTION("""COMPUTED_VALUE"""),"pt")</f>
        <v>pt</v>
      </c>
      <c r="B13782">
        <f>IFERROR(__xludf.DUMMYFUNCTION("""COMPUTED_VALUE"""),4274514.0)</f>
        <v>4274514</v>
      </c>
      <c r="C13782" t="str">
        <f>IFERROR(__xludf.DUMMYFUNCTION("""COMPUTED_VALUE"""),"Curso de RH: Diversidade, Inclusão e Viés Inconsciente")</f>
        <v>Curso de RH: Diversidade, Inclusão e Viés Inconsciente</v>
      </c>
    </row>
    <row r="13783">
      <c r="A13783" s="140" t="str">
        <f>IFERROR(__xludf.DUMMYFUNCTION("""COMPUTED_VALUE"""),"en")</f>
        <v>en</v>
      </c>
      <c r="B13783">
        <f>IFERROR(__xludf.DUMMYFUNCTION("""COMPUTED_VALUE"""),144762.0)</f>
        <v>144762</v>
      </c>
      <c r="C13783" t="str">
        <f>IFERROR(__xludf.DUMMYFUNCTION("""COMPUTED_VALUE"""),"Video Compression for Web, Disc and PC/TV/Console Playback")</f>
        <v>Video Compression for Web, Disc and PC/TV/Console Playback</v>
      </c>
    </row>
    <row r="13784">
      <c r="A13784" s="140" t="str">
        <f>IFERROR(__xludf.DUMMYFUNCTION("""COMPUTED_VALUE"""),"fr")</f>
        <v>fr</v>
      </c>
      <c r="B13784">
        <f>IFERROR(__xludf.DUMMYFUNCTION("""COMPUTED_VALUE"""),3427164.0)</f>
        <v>3427164</v>
      </c>
      <c r="C13784" t="str">
        <f>IFERROR(__xludf.DUMMYFUNCTION("""COMPUTED_VALUE"""),"Programmer des AUTOMATES Siemens sur TIA en langage LADDER")</f>
        <v>Programmer des AUTOMATES Siemens sur TIA en langage LADDER</v>
      </c>
    </row>
    <row r="13785">
      <c r="A13785" s="140" t="str">
        <f>IFERROR(__xludf.DUMMYFUNCTION("""COMPUTED_VALUE"""),"fr")</f>
        <v>fr</v>
      </c>
      <c r="B13785">
        <f>IFERROR(__xludf.DUMMYFUNCTION("""COMPUTED_VALUE"""),2866698.0)</f>
        <v>2866698</v>
      </c>
      <c r="C13785" t="str">
        <f>IFERROR(__xludf.DUMMYFUNCTION("""COMPUTED_VALUE"""),"Réalise un projet de Machine Learning en Python en 2h")</f>
        <v>Réalise un projet de Machine Learning en Python en 2h</v>
      </c>
    </row>
    <row r="13786">
      <c r="A13786" s="140" t="str">
        <f>IFERROR(__xludf.DUMMYFUNCTION("""COMPUTED_VALUE"""),"fr")</f>
        <v>fr</v>
      </c>
      <c r="B13786">
        <f>IFERROR(__xludf.DUMMYFUNCTION("""COMPUTED_VALUE"""),3636382.0)</f>
        <v>3636382</v>
      </c>
      <c r="C13786" t="str">
        <f>IFERROR(__xludf.DUMMYFUNCTION("""COMPUTED_VALUE"""),"Data Protection: GDPR &amp; PIA")</f>
        <v>Data Protection: GDPR &amp; PIA</v>
      </c>
    </row>
    <row r="13787">
      <c r="A13787" s="140" t="str">
        <f>IFERROR(__xludf.DUMMYFUNCTION("""COMPUTED_VALUE"""),"ko")</f>
        <v>ko</v>
      </c>
      <c r="B13787">
        <f>IFERROR(__xludf.DUMMYFUNCTION("""COMPUTED_VALUE"""),4366820.0)</f>
        <v>4366820</v>
      </c>
      <c r="C13787" t="str">
        <f>IFERROR(__xludf.DUMMYFUNCTION("""COMPUTED_VALUE"""),"【글로벌 Best】 R 프로그래밍 A-Z™: 직접 코딩하며 배우는 R 프로그래밍 ! (한글자막)")</f>
        <v>【글로벌 Best】 R 프로그래밍 A-Z™: 직접 코딩하며 배우는 R 프로그래밍 ! (한글자막)</v>
      </c>
    </row>
    <row r="13788">
      <c r="A13788" s="140" t="str">
        <f>IFERROR(__xludf.DUMMYFUNCTION("""COMPUTED_VALUE"""),"en")</f>
        <v>en</v>
      </c>
      <c r="B13788">
        <f>IFERROR(__xludf.DUMMYFUNCTION("""COMPUTED_VALUE"""),4405234.0)</f>
        <v>4405234</v>
      </c>
      <c r="C13788" t="str">
        <f>IFERROR(__xludf.DUMMYFUNCTION("""COMPUTED_VALUE"""),"WannaBeA SSCP")</f>
        <v>WannaBeA SSCP</v>
      </c>
    </row>
    <row r="13789">
      <c r="A13789" s="140" t="str">
        <f>IFERROR(__xludf.DUMMYFUNCTION("""COMPUTED_VALUE"""),"en")</f>
        <v>en</v>
      </c>
      <c r="B13789">
        <f>IFERROR(__xludf.DUMMYFUNCTION("""COMPUTED_VALUE"""),3237373.0)</f>
        <v>3237373</v>
      </c>
      <c r="C13789" t="str">
        <f>IFERROR(__xludf.DUMMYFUNCTION("""COMPUTED_VALUE"""),"Linux System Programming - A programmers/Practical Approach")</f>
        <v>Linux System Programming - A programmers/Practical Approach</v>
      </c>
    </row>
    <row r="13790">
      <c r="A13790" s="140" t="str">
        <f>IFERROR(__xludf.DUMMYFUNCTION("""COMPUTED_VALUE"""),"ja")</f>
        <v>ja</v>
      </c>
      <c r="B13790">
        <f>IFERROR(__xludf.DUMMYFUNCTION("""COMPUTED_VALUE"""),4344998.0)</f>
        <v>4344998</v>
      </c>
      <c r="C13790" t="str">
        <f>IFERROR(__xludf.DUMMYFUNCTION("""COMPUTED_VALUE"""),"アメリカ英語の発音を2時間でマスター 【2021年最新版】")</f>
        <v>アメリカ英語の発音を2時間でマスター 【2021年最新版】</v>
      </c>
    </row>
    <row r="13791">
      <c r="A13791" s="140" t="str">
        <f>IFERROR(__xludf.DUMMYFUNCTION("""COMPUTED_VALUE"""),"en")</f>
        <v>en</v>
      </c>
      <c r="B13791">
        <f>IFERROR(__xludf.DUMMYFUNCTION("""COMPUTED_VALUE"""),4224082.0)</f>
        <v>4224082</v>
      </c>
      <c r="C13791" t="str">
        <f>IFERROR(__xludf.DUMMYFUNCTION("""COMPUTED_VALUE"""),"Accelerated Regular Expressions Training - Regex")</f>
        <v>Accelerated Regular Expressions Training - Regex</v>
      </c>
    </row>
    <row r="13792">
      <c r="A13792" s="140" t="str">
        <f>IFERROR(__xludf.DUMMYFUNCTION("""COMPUTED_VALUE"""),"fr")</f>
        <v>fr</v>
      </c>
      <c r="B13792">
        <f>IFERROR(__xludf.DUMMYFUNCTION("""COMPUTED_VALUE"""),2358746.0)</f>
        <v>2358746</v>
      </c>
      <c r="C13792" t="str">
        <f>IFERROR(__xludf.DUMMYFUNCTION("""COMPUTED_VALUE"""),"Téléconseiller - Centre  d'appel - Débutant")</f>
        <v>Téléconseiller - Centre  d'appel - Débutant</v>
      </c>
    </row>
    <row r="13793">
      <c r="A13793" s="140" t="str">
        <f>IFERROR(__xludf.DUMMYFUNCTION("""COMPUTED_VALUE"""),"it")</f>
        <v>it</v>
      </c>
      <c r="B13793">
        <f>IFERROR(__xludf.DUMMYFUNCTION("""COMPUTED_VALUE"""),3710734.0)</f>
        <v>3710734</v>
      </c>
      <c r="C13793" t="str">
        <f>IFERROR(__xludf.DUMMYFUNCTION("""COMPUTED_VALUE"""),"Adobe InDesign CC - il Corso Essenziale ed Efficace")</f>
        <v>Adobe InDesign CC - il Corso Essenziale ed Efficace</v>
      </c>
    </row>
    <row r="13794">
      <c r="A13794" s="140" t="str">
        <f>IFERROR(__xludf.DUMMYFUNCTION("""COMPUTED_VALUE"""),"de")</f>
        <v>de</v>
      </c>
      <c r="B13794">
        <f>IFERROR(__xludf.DUMMYFUNCTION("""COMPUTED_VALUE"""),352820.0)</f>
        <v>352820</v>
      </c>
      <c r="C13794" t="str">
        <f>IFERROR(__xludf.DUMMYFUNCTION("""COMPUTED_VALUE"""),"Scrum: agiles Projektmanagement für Anwender")</f>
        <v>Scrum: agiles Projektmanagement für Anwender</v>
      </c>
    </row>
    <row r="13795">
      <c r="A13795" s="140" t="str">
        <f>IFERROR(__xludf.DUMMYFUNCTION("""COMPUTED_VALUE"""),"fr")</f>
        <v>fr</v>
      </c>
      <c r="B13795">
        <f>IFERROR(__xludf.DUMMYFUNCTION("""COMPUTED_VALUE"""),2398536.0)</f>
        <v>2398536</v>
      </c>
      <c r="C13795" t="str">
        <f>IFERROR(__xludf.DUMMYFUNCTION("""COMPUTED_VALUE"""),"CCNA - Apprendre tout pour le Cisco CCNA")</f>
        <v>CCNA - Apprendre tout pour le Cisco CCNA</v>
      </c>
    </row>
    <row r="13796">
      <c r="A13796" s="140" t="str">
        <f>IFERROR(__xludf.DUMMYFUNCTION("""COMPUTED_VALUE"""),"de")</f>
        <v>de</v>
      </c>
      <c r="B13796">
        <f>IFERROR(__xludf.DUMMYFUNCTION("""COMPUTED_VALUE"""),3441608.0)</f>
        <v>3441608</v>
      </c>
      <c r="C13796" t="str">
        <f>IFERROR(__xludf.DUMMYFUNCTION("""COMPUTED_VALUE"""),"Haushaltsbuch in Excel")</f>
        <v>Haushaltsbuch in Excel</v>
      </c>
    </row>
    <row r="13797">
      <c r="A13797" s="140" t="str">
        <f>IFERROR(__xludf.DUMMYFUNCTION("""COMPUTED_VALUE"""),"ja")</f>
        <v>ja</v>
      </c>
      <c r="B13797">
        <f>IFERROR(__xludf.DUMMYFUNCTION("""COMPUTED_VALUE"""),1450224.0)</f>
        <v>1450224</v>
      </c>
      <c r="C13797" t="str">
        <f>IFERROR(__xludf.DUMMYFUNCTION("""COMPUTED_VALUE"""),"半歩踏み出してみない？心理カウンセラーが教える夢を実現するための自分スタイルの目標設定と行動のつくり方講座")</f>
        <v>半歩踏み出してみない？心理カウンセラーが教える夢を実現するための自分スタイルの目標設定と行動のつくり方講座</v>
      </c>
    </row>
    <row r="13798">
      <c r="A13798" s="140" t="str">
        <f>IFERROR(__xludf.DUMMYFUNCTION("""COMPUTED_VALUE"""),"de")</f>
        <v>de</v>
      </c>
      <c r="B13798">
        <f>IFERROR(__xludf.DUMMYFUNCTION("""COMPUTED_VALUE"""),2855598.0)</f>
        <v>2855598</v>
      </c>
      <c r="C13798" t="str">
        <f>IFERROR(__xludf.DUMMYFUNCTION("""COMPUTED_VALUE"""),"Unity 3D Anfänger Kurs komplett ohne Vorwissen")</f>
        <v>Unity 3D Anfänger Kurs komplett ohne Vorwissen</v>
      </c>
    </row>
    <row r="13799">
      <c r="A13799" s="140" t="str">
        <f>IFERROR(__xludf.DUMMYFUNCTION("""COMPUTED_VALUE"""),"ko")</f>
        <v>ko</v>
      </c>
      <c r="B13799">
        <f>IFERROR(__xludf.DUMMYFUNCTION("""COMPUTED_VALUE"""),4370278.0)</f>
        <v>4370278</v>
      </c>
      <c r="C13799" t="str">
        <f>IFERROR(__xludf.DUMMYFUNCTION("""COMPUTED_VALUE"""),"신입사원 패키지")</f>
        <v>신입사원 패키지</v>
      </c>
    </row>
    <row r="13800">
      <c r="A13800" s="140" t="str">
        <f>IFERROR(__xludf.DUMMYFUNCTION("""COMPUTED_VALUE"""),"en")</f>
        <v>en</v>
      </c>
      <c r="B13800">
        <f>IFERROR(__xludf.DUMMYFUNCTION("""COMPUTED_VALUE"""),4321886.0)</f>
        <v>4321886</v>
      </c>
      <c r="C13800" t="str">
        <f>IFERROR(__xludf.DUMMYFUNCTION("""COMPUTED_VALUE"""),"Tableau Desktop: Speed &amp; Performance Optimization")</f>
        <v>Tableau Desktop: Speed &amp; Performance Optimization</v>
      </c>
    </row>
    <row r="13801">
      <c r="A13801" s="140" t="str">
        <f>IFERROR(__xludf.DUMMYFUNCTION("""COMPUTED_VALUE"""),"en")</f>
        <v>en</v>
      </c>
      <c r="B13801">
        <f>IFERROR(__xludf.DUMMYFUNCTION("""COMPUTED_VALUE"""),4202208.0)</f>
        <v>4202208</v>
      </c>
      <c r="C13801" t="str">
        <f>IFERROR(__xludf.DUMMYFUNCTION("""COMPUTED_VALUE"""),"Create web app with Angular 12, .NET Core Web API &amp; Mongo DB")</f>
        <v>Create web app with Angular 12, .NET Core Web API &amp; Mongo DB</v>
      </c>
    </row>
    <row r="13802">
      <c r="A13802" s="140" t="str">
        <f>IFERROR(__xludf.DUMMYFUNCTION("""COMPUTED_VALUE"""),"en")</f>
        <v>en</v>
      </c>
      <c r="B13802">
        <f>IFERROR(__xludf.DUMMYFUNCTION("""COMPUTED_VALUE"""),4329888.0)</f>
        <v>4329888</v>
      </c>
      <c r="C13802" t="str">
        <f>IFERROR(__xludf.DUMMYFUNCTION("""COMPUTED_VALUE"""),"Modern GraphQL with Node - Complete Developers Guide")</f>
        <v>Modern GraphQL with Node - Complete Developers Guide</v>
      </c>
    </row>
    <row r="13803">
      <c r="A13803" s="140" t="str">
        <f>IFERROR(__xludf.DUMMYFUNCTION("""COMPUTED_VALUE"""),"de")</f>
        <v>de</v>
      </c>
      <c r="B13803">
        <f>IFERROR(__xludf.DUMMYFUNCTION("""COMPUTED_VALUE"""),2486510.0)</f>
        <v>2486510</v>
      </c>
      <c r="C13803" t="str">
        <f>IFERROR(__xludf.DUMMYFUNCTION("""COMPUTED_VALUE"""),"Almanca Orta Düzey A1.2 Kursu")</f>
        <v>Almanca Orta Düzey A1.2 Kursu</v>
      </c>
    </row>
    <row r="13804">
      <c r="A13804" s="140" t="str">
        <f>IFERROR(__xludf.DUMMYFUNCTION("""COMPUTED_VALUE"""),"de")</f>
        <v>de</v>
      </c>
      <c r="B13804">
        <f>IFERROR(__xludf.DUMMYFUNCTION("""COMPUTED_VALUE"""),1925034.0)</f>
        <v>1925034</v>
      </c>
      <c r="C13804" t="str">
        <f>IFERROR(__xludf.DUMMYFUNCTION("""COMPUTED_VALUE"""),"LaTeX - Professionelle Texte, Präsentationen &amp; Publikationen")</f>
        <v>LaTeX - Professionelle Texte, Präsentationen &amp; Publikationen</v>
      </c>
    </row>
    <row r="13805">
      <c r="A13805" s="140" t="str">
        <f>IFERROR(__xludf.DUMMYFUNCTION("""COMPUTED_VALUE"""),"en")</f>
        <v>en</v>
      </c>
      <c r="B13805">
        <f>IFERROR(__xludf.DUMMYFUNCTION("""COMPUTED_VALUE"""),2817271.0)</f>
        <v>2817271</v>
      </c>
      <c r="C13805" t="str">
        <f>IFERROR(__xludf.DUMMYFUNCTION("""COMPUTED_VALUE"""),"Blazor Bootcamp - .NET 6 (WASM and Server)")</f>
        <v>Blazor Bootcamp - .NET 6 (WASM and Server)</v>
      </c>
    </row>
    <row r="13806">
      <c r="A13806" s="140" t="str">
        <f>IFERROR(__xludf.DUMMYFUNCTION("""COMPUTED_VALUE"""),"fr")</f>
        <v>fr</v>
      </c>
      <c r="B13806">
        <f>IFERROR(__xludf.DUMMYFUNCTION("""COMPUTED_VALUE"""),2330668.0)</f>
        <v>2330668</v>
      </c>
      <c r="C13806" t="str">
        <f>IFERROR(__xludf.DUMMYFUNCTION("""COMPUTED_VALUE"""),"Unreal Engine 4: Création Complète de Deux Scènes Naturelles")</f>
        <v>Unreal Engine 4: Création Complète de Deux Scènes Naturelles</v>
      </c>
    </row>
    <row r="13807">
      <c r="A13807" s="140" t="str">
        <f>IFERROR(__xludf.DUMMYFUNCTION("""COMPUTED_VALUE"""),"ko")</f>
        <v>ko</v>
      </c>
      <c r="B13807">
        <f>IFERROR(__xludf.DUMMYFUNCTION("""COMPUTED_VALUE"""),4382724.0)</f>
        <v>4382724</v>
      </c>
      <c r="C13807" t="str">
        <f>IFERROR(__xludf.DUMMYFUNCTION("""COMPUTED_VALUE"""),"【글로벌 Best】 AZ-900: Microsoft Azure Fundamentals 실전 테스트 (한글)")</f>
        <v>【글로벌 Best】 AZ-900: Microsoft Azure Fundamentals 실전 테스트 (한글)</v>
      </c>
    </row>
    <row r="13808">
      <c r="A13808" s="140" t="str">
        <f>IFERROR(__xludf.DUMMYFUNCTION("""COMPUTED_VALUE"""),"ja")</f>
        <v>ja</v>
      </c>
      <c r="B13808">
        <f>IFERROR(__xludf.DUMMYFUNCTION("""COMPUTED_VALUE"""),4281176.0)</f>
        <v>4281176</v>
      </c>
      <c r="C13808" t="str">
        <f>IFERROR(__xludf.DUMMYFUNCTION("""COMPUTED_VALUE"""),"【2022年最新】超入門ゼロから始める！Fusion初級講座DaVinci Resolve 17モーショングラフィックス")</f>
        <v>【2022年最新】超入門ゼロから始める！Fusion初級講座DaVinci Resolve 17モーショングラフィックス</v>
      </c>
    </row>
    <row r="13809">
      <c r="A13809" s="140" t="str">
        <f>IFERROR(__xludf.DUMMYFUNCTION("""COMPUTED_VALUE"""),"en")</f>
        <v>en</v>
      </c>
      <c r="B13809">
        <f>IFERROR(__xludf.DUMMYFUNCTION("""COMPUTED_VALUE"""),2714316.0)</f>
        <v>2714316</v>
      </c>
      <c r="C13809" t="str">
        <f>IFERROR(__xludf.DUMMYFUNCTION("""COMPUTED_VALUE"""),"abc of VMWARE NSX SD-WAN Velocloud")</f>
        <v>abc of VMWARE NSX SD-WAN Velocloud</v>
      </c>
    </row>
    <row r="13810">
      <c r="A13810" s="140" t="str">
        <f>IFERROR(__xludf.DUMMYFUNCTION("""COMPUTED_VALUE"""),"en")</f>
        <v>en</v>
      </c>
      <c r="B13810">
        <f>IFERROR(__xludf.DUMMYFUNCTION("""COMPUTED_VALUE"""),1926390.0)</f>
        <v>1926390</v>
      </c>
      <c r="C13810" t="str">
        <f>IFERROR(__xludf.DUMMYFUNCTION("""COMPUTED_VALUE"""),"Selenium IDE - Basic of Test Automation + WebDriver locators")</f>
        <v>Selenium IDE - Basic of Test Automation + WebDriver locators</v>
      </c>
    </row>
    <row r="13811">
      <c r="A13811" s="140" t="str">
        <f>IFERROR(__xludf.DUMMYFUNCTION("""COMPUTED_VALUE"""),"de")</f>
        <v>de</v>
      </c>
      <c r="B13811">
        <f>IFERROR(__xludf.DUMMYFUNCTION("""COMPUTED_VALUE"""),1967308.0)</f>
        <v>1967308</v>
      </c>
      <c r="C13811" t="str">
        <f>IFERROR(__xludf.DUMMYFUNCTION("""COMPUTED_VALUE"""),"Die Schatzkiste der Kommunikation")</f>
        <v>Die Schatzkiste der Kommunikation</v>
      </c>
    </row>
    <row r="13812">
      <c r="A13812" s="140" t="str">
        <f>IFERROR(__xludf.DUMMYFUNCTION("""COMPUTED_VALUE"""),"it")</f>
        <v>it</v>
      </c>
      <c r="B13812">
        <f>IFERROR(__xludf.DUMMYFUNCTION("""COMPUTED_VALUE"""),3181176.0)</f>
        <v>3181176</v>
      </c>
      <c r="C13812" t="str">
        <f>IFERROR(__xludf.DUMMYFUNCTION("""COMPUTED_VALUE"""),"Corso di programmazione Javascript")</f>
        <v>Corso di programmazione Javascript</v>
      </c>
    </row>
    <row r="13813">
      <c r="A13813" s="140" t="str">
        <f>IFERROR(__xludf.DUMMYFUNCTION("""COMPUTED_VALUE"""),"fr")</f>
        <v>fr</v>
      </c>
      <c r="B13813">
        <f>IFERROR(__xludf.DUMMYFUNCTION("""COMPUTED_VALUE"""),3773476.0)</f>
        <v>3773476</v>
      </c>
      <c r="C13813" t="str">
        <f>IFERROR(__xludf.DUMMYFUNCTION("""COMPUTED_VALUE"""),"Deep Learning: Classification des Images (TensorFlow, Keras)")</f>
        <v>Deep Learning: Classification des Images (TensorFlow, Keras)</v>
      </c>
    </row>
    <row r="13814">
      <c r="A13814" s="140" t="str">
        <f>IFERROR(__xludf.DUMMYFUNCTION("""COMPUTED_VALUE"""),"it")</f>
        <v>it</v>
      </c>
      <c r="B13814">
        <f>IFERROR(__xludf.DUMMYFUNCTION("""COMPUTED_VALUE"""),3856284.0)</f>
        <v>3856284</v>
      </c>
      <c r="C13814" t="str">
        <f>IFERROR(__xludf.DUMMYFUNCTION("""COMPUTED_VALUE"""),"Diventa un vero PROGRAMMATORE JAVA JUNIOR")</f>
        <v>Diventa un vero PROGRAMMATORE JAVA JUNIOR</v>
      </c>
    </row>
    <row r="13815">
      <c r="A13815" s="140" t="str">
        <f>IFERROR(__xludf.DUMMYFUNCTION("""COMPUTED_VALUE"""),"fr")</f>
        <v>fr</v>
      </c>
      <c r="B13815">
        <f>IFERROR(__xludf.DUMMYFUNCTION("""COMPUTED_VALUE"""),3456888.0)</f>
        <v>3456888</v>
      </c>
      <c r="C13815" t="str">
        <f>IFERROR(__xludf.DUMMYFUNCTION("""COMPUTED_VALUE"""),"Les fondamentaux de Python A-Z")</f>
        <v>Les fondamentaux de Python A-Z</v>
      </c>
    </row>
    <row r="13816">
      <c r="A13816" s="140" t="str">
        <f>IFERROR(__xludf.DUMMYFUNCTION("""COMPUTED_VALUE"""),"fr")</f>
        <v>fr</v>
      </c>
      <c r="B13816">
        <f>IFERROR(__xludf.DUMMYFUNCTION("""COMPUTED_VALUE"""),1468176.0)</f>
        <v>1468176</v>
      </c>
      <c r="C13816" t="str">
        <f>IFERROR(__xludf.DUMMYFUNCTION("""COMPUTED_VALUE"""),"FB Growth Hacking : Trouver Des Clients Gratuitement Sur FB.")</f>
        <v>FB Growth Hacking : Trouver Des Clients Gratuitement Sur FB.</v>
      </c>
    </row>
    <row r="13817">
      <c r="A13817" s="140" t="str">
        <f>IFERROR(__xludf.DUMMYFUNCTION("""COMPUTED_VALUE"""),"fr")</f>
        <v>fr</v>
      </c>
      <c r="B13817">
        <f>IFERROR(__xludf.DUMMYFUNCTION("""COMPUTED_VALUE"""),1207310.0)</f>
        <v>1207310</v>
      </c>
      <c r="C13817" t="str">
        <f>IFERROR(__xludf.DUMMYFUNCTION("""COMPUTED_VALUE"""),"React et Redux par la pratique")</f>
        <v>React et Redux par la pratique</v>
      </c>
    </row>
    <row r="13818">
      <c r="A13818" s="140" t="str">
        <f>IFERROR(__xludf.DUMMYFUNCTION("""COMPUTED_VALUE"""),"fr")</f>
        <v>fr</v>
      </c>
      <c r="B13818">
        <f>IFERROR(__xludf.DUMMYFUNCTION("""COMPUTED_VALUE"""),2188460.0)</f>
        <v>2188460</v>
      </c>
      <c r="C13818" t="str">
        <f>IFERROR(__xludf.DUMMYFUNCTION("""COMPUTED_VALUE"""),"Introduction au Cloud Computing avec AWS")</f>
        <v>Introduction au Cloud Computing avec AWS</v>
      </c>
    </row>
    <row r="13819">
      <c r="A13819" s="140" t="str">
        <f>IFERROR(__xludf.DUMMYFUNCTION("""COMPUTED_VALUE"""),"en")</f>
        <v>en</v>
      </c>
      <c r="B13819">
        <f>IFERROR(__xludf.DUMMYFUNCTION("""COMPUTED_VALUE"""),4308499.0)</f>
        <v>4308499</v>
      </c>
      <c r="C13819" t="str">
        <f>IFERROR(__xludf.DUMMYFUNCTION("""COMPUTED_VALUE"""),"ServiceNow Customer Service Management (CIS-CSM): Rome Delta")</f>
        <v>ServiceNow Customer Service Management (CIS-CSM): Rome Delta</v>
      </c>
    </row>
    <row r="13820">
      <c r="A13820" s="140" t="str">
        <f>IFERROR(__xludf.DUMMYFUNCTION("""COMPUTED_VALUE"""),"de")</f>
        <v>de</v>
      </c>
      <c r="B13820">
        <f>IFERROR(__xludf.DUMMYFUNCTION("""COMPUTED_VALUE"""),1400470.0)</f>
        <v>1400470</v>
      </c>
      <c r="C13820" t="str">
        <f>IFERROR(__xludf.DUMMYFUNCTION("""COMPUTED_VALUE"""),"Strategisches Content Marketing")</f>
        <v>Strategisches Content Marketing</v>
      </c>
    </row>
    <row r="13821">
      <c r="A13821" s="140" t="str">
        <f>IFERROR(__xludf.DUMMYFUNCTION("""COMPUTED_VALUE"""),"en")</f>
        <v>en</v>
      </c>
      <c r="B13821">
        <f>IFERROR(__xludf.DUMMYFUNCTION("""COMPUTED_VALUE"""),4166516.0)</f>
        <v>4166516</v>
      </c>
      <c r="C13821" t="str">
        <f>IFERROR(__xludf.DUMMYFUNCTION("""COMPUTED_VALUE"""),"Linear Algebra and Geometry 2")</f>
        <v>Linear Algebra and Geometry 2</v>
      </c>
    </row>
    <row r="13822">
      <c r="A13822" s="140" t="str">
        <f>IFERROR(__xludf.DUMMYFUNCTION("""COMPUTED_VALUE"""),"en")</f>
        <v>en</v>
      </c>
      <c r="B13822">
        <f>IFERROR(__xludf.DUMMYFUNCTION("""COMPUTED_VALUE"""),3746636.0)</f>
        <v>3746636</v>
      </c>
      <c r="C13822" t="str">
        <f>IFERROR(__xludf.DUMMYFUNCTION("""COMPUTED_VALUE"""),"Disciplined Agile Scrum Master DASM practice exam questions.")</f>
        <v>Disciplined Agile Scrum Master DASM practice exam questions.</v>
      </c>
    </row>
    <row r="13823">
      <c r="A13823" s="140" t="str">
        <f>IFERROR(__xludf.DUMMYFUNCTION("""COMPUTED_VALUE"""),"it")</f>
        <v>it</v>
      </c>
      <c r="B13823">
        <f>IFERROR(__xludf.DUMMYFUNCTION("""COMPUTED_VALUE"""),4451520.0)</f>
        <v>4451520</v>
      </c>
      <c r="C13823" t="str">
        <f>IFERROR(__xludf.DUMMYFUNCTION("""COMPUTED_VALUE"""),"PHP 8 per lo Sviluppo di Applicazioni MVC")</f>
        <v>PHP 8 per lo Sviluppo di Applicazioni MVC</v>
      </c>
    </row>
    <row r="13824">
      <c r="A13824" s="140" t="str">
        <f>IFERROR(__xludf.DUMMYFUNCTION("""COMPUTED_VALUE"""),"ko")</f>
        <v>ko</v>
      </c>
      <c r="B13824">
        <f>IFERROR(__xludf.DUMMYFUNCTION("""COMPUTED_VALUE"""),4297574.0)</f>
        <v>4297574</v>
      </c>
      <c r="C13824" t="str">
        <f>IFERROR(__xludf.DUMMYFUNCTION("""COMPUTED_VALUE"""),"【글로벌 Best】 The Web Developer 부트캠프 2022 (한글자막)")</f>
        <v>【글로벌 Best】 The Web Developer 부트캠프 2022 (한글자막)</v>
      </c>
    </row>
    <row r="13825">
      <c r="A13825" s="140" t="str">
        <f>IFERROR(__xludf.DUMMYFUNCTION("""COMPUTED_VALUE"""),"en")</f>
        <v>en</v>
      </c>
      <c r="B13825">
        <f>IFERROR(__xludf.DUMMYFUNCTION("""COMPUTED_VALUE"""),4464944.0)</f>
        <v>4464944</v>
      </c>
      <c r="C13825" t="str">
        <f>IFERROR(__xludf.DUMMYFUNCTION("""COMPUTED_VALUE"""),"TOTAL: CompTIA Network+ (N10-008)")</f>
        <v>TOTAL: CompTIA Network+ (N10-008)</v>
      </c>
    </row>
    <row r="13826">
      <c r="A13826" s="140" t="str">
        <f>IFERROR(__xludf.DUMMYFUNCTION("""COMPUTED_VALUE"""),"fr")</f>
        <v>fr</v>
      </c>
      <c r="B13826">
        <f>IFERROR(__xludf.DUMMYFUNCTION("""COMPUTED_VALUE"""),2707792.0)</f>
        <v>2707792</v>
      </c>
      <c r="C13826" t="str">
        <f>IFERROR(__xludf.DUMMYFUNCTION("""COMPUTED_VALUE"""),"Machine Learning de A-Z")</f>
        <v>Machine Learning de A-Z</v>
      </c>
    </row>
    <row r="13827">
      <c r="A13827" s="140" t="str">
        <f>IFERROR(__xludf.DUMMYFUNCTION("""COMPUTED_VALUE"""),"ko")</f>
        <v>ko</v>
      </c>
      <c r="B13827">
        <f>IFERROR(__xludf.DUMMYFUNCTION("""COMPUTED_VALUE"""),4381268.0)</f>
        <v>4381268</v>
      </c>
      <c r="C13827" t="str">
        <f>IFERROR(__xludf.DUMMYFUNCTION("""COMPUTED_VALUE"""),"개인의 행복과 조직의 성장을 이끄는 긍정리더십")</f>
        <v>개인의 행복과 조직의 성장을 이끄는 긍정리더십</v>
      </c>
    </row>
    <row r="13828">
      <c r="A13828" s="140" t="str">
        <f>IFERROR(__xludf.DUMMYFUNCTION("""COMPUTED_VALUE"""),"en")</f>
        <v>en</v>
      </c>
      <c r="B13828">
        <f>IFERROR(__xludf.DUMMYFUNCTION("""COMPUTED_VALUE"""),4398502.0)</f>
        <v>4398502</v>
      </c>
      <c r="C13828" t="str">
        <f>IFERROR(__xludf.DUMMYFUNCTION("""COMPUTED_VALUE"""),"Atlassian Confluence Complete Course for Project Managers")</f>
        <v>Atlassian Confluence Complete Course for Project Managers</v>
      </c>
    </row>
    <row r="13829">
      <c r="A13829" s="140" t="str">
        <f>IFERROR(__xludf.DUMMYFUNCTION("""COMPUTED_VALUE"""),"ja")</f>
        <v>ja</v>
      </c>
      <c r="B13829">
        <f>IFERROR(__xludf.DUMMYFUNCTION("""COMPUTED_VALUE"""),4377820.0)</f>
        <v>4377820</v>
      </c>
      <c r="C13829" t="str">
        <f>IFERROR(__xludf.DUMMYFUNCTION("""COMPUTED_VALUE"""),"【初心者のためのシェーダー超入門！】Blenderプラネット集中講座 vol.1")</f>
        <v>【初心者のためのシェーダー超入門！】Blenderプラネット集中講座 vol.1</v>
      </c>
    </row>
    <row r="13830">
      <c r="A13830" s="140" t="str">
        <f>IFERROR(__xludf.DUMMYFUNCTION("""COMPUTED_VALUE"""),"en")</f>
        <v>en</v>
      </c>
      <c r="B13830">
        <f>IFERROR(__xludf.DUMMYFUNCTION("""COMPUTED_VALUE"""),2509120.0)</f>
        <v>2509120</v>
      </c>
      <c r="C13830" t="str">
        <f>IFERROR(__xludf.DUMMYFUNCTION("""COMPUTED_VALUE"""),"Google Ads Masterclass (AdWords): Grow with Google Ads")</f>
        <v>Google Ads Masterclass (AdWords): Grow with Google Ads</v>
      </c>
    </row>
    <row r="13831">
      <c r="A13831" s="140" t="str">
        <f>IFERROR(__xludf.DUMMYFUNCTION("""COMPUTED_VALUE"""),"it")</f>
        <v>it</v>
      </c>
      <c r="B13831">
        <f>IFERROR(__xludf.DUMMYFUNCTION("""COMPUTED_VALUE"""),4380458.0)</f>
        <v>4380458</v>
      </c>
      <c r="C13831" t="str">
        <f>IFERROR(__xludf.DUMMYFUNCTION("""COMPUTED_VALUE"""),"Adobe Dimension CC: il 3D in modo semplice e immediato")</f>
        <v>Adobe Dimension CC: il 3D in modo semplice e immediato</v>
      </c>
    </row>
    <row r="13832">
      <c r="A13832" s="140" t="str">
        <f>IFERROR(__xludf.DUMMYFUNCTION("""COMPUTED_VALUE"""),"en")</f>
        <v>en</v>
      </c>
      <c r="B13832">
        <f>IFERROR(__xludf.DUMMYFUNCTION("""COMPUTED_VALUE"""),3439724.0)</f>
        <v>3439724</v>
      </c>
      <c r="C13832" t="str">
        <f>IFERROR(__xludf.DUMMYFUNCTION("""COMPUTED_VALUE"""),"Master Python programming by solving scientific projects")</f>
        <v>Master Python programming by solving scientific projects</v>
      </c>
    </row>
    <row r="13833">
      <c r="A13833" s="140" t="str">
        <f>IFERROR(__xludf.DUMMYFUNCTION("""COMPUTED_VALUE"""),"it")</f>
        <v>it</v>
      </c>
      <c r="B13833">
        <f>IFERROR(__xludf.DUMMYFUNCTION("""COMPUTED_VALUE"""),3092324.0)</f>
        <v>3092324</v>
      </c>
      <c r="C13833" t="str">
        <f>IFERROR(__xludf.DUMMYFUNCTION("""COMPUTED_VALUE"""),"Corso per Impiegato Back Office con esempi report Excel")</f>
        <v>Corso per Impiegato Back Office con esempi report Excel</v>
      </c>
    </row>
    <row r="13834">
      <c r="A13834" s="140" t="str">
        <f>IFERROR(__xludf.DUMMYFUNCTION("""COMPUTED_VALUE"""),"it")</f>
        <v>it</v>
      </c>
      <c r="B13834">
        <f>IFERROR(__xludf.DUMMYFUNCTION("""COMPUTED_VALUE"""),2825973.0)</f>
        <v>2825973</v>
      </c>
      <c r="C13834" t="str">
        <f>IFERROR(__xludf.DUMMYFUNCTION("""COMPUTED_VALUE"""),"2022 - Corso Professionale Agile Scrum e Scrum Master")</f>
        <v>2022 - Corso Professionale Agile Scrum e Scrum Master</v>
      </c>
    </row>
    <row r="13835">
      <c r="A13835" s="140" t="str">
        <f>IFERROR(__xludf.DUMMYFUNCTION("""COMPUTED_VALUE"""),"pt")</f>
        <v>pt</v>
      </c>
      <c r="B13835">
        <f>IFERROR(__xludf.DUMMYFUNCTION("""COMPUTED_VALUE"""),1975332.0)</f>
        <v>1975332</v>
      </c>
      <c r="C13835" t="str">
        <f>IFERROR(__xludf.DUMMYFUNCTION("""COMPUTED_VALUE"""),"PNL Programação Neurolinguística (Cert. básico ao avançado)")</f>
        <v>PNL Programação Neurolinguística (Cert. básico ao avançado)</v>
      </c>
    </row>
    <row r="13836">
      <c r="A13836" s="140" t="str">
        <f>IFERROR(__xludf.DUMMYFUNCTION("""COMPUTED_VALUE"""),"ko")</f>
        <v>ko</v>
      </c>
      <c r="B13836">
        <f>IFERROR(__xludf.DUMMYFUNCTION("""COMPUTED_VALUE"""),4382720.0)</f>
        <v>4382720</v>
      </c>
      <c r="C13836" t="str">
        <f>IFERROR(__xludf.DUMMYFUNCTION("""COMPUTED_VALUE"""),"【글로벌 Best】 하루만에 AZ-900 Microsoft Azure Fundamentals 시험 완벽 준비")</f>
        <v>【글로벌 Best】 하루만에 AZ-900 Microsoft Azure Fundamentals 시험 완벽 준비</v>
      </c>
    </row>
    <row r="13837">
      <c r="A13837" s="140" t="str">
        <f>IFERROR(__xludf.DUMMYFUNCTION("""COMPUTED_VALUE"""),"ko")</f>
        <v>ko</v>
      </c>
      <c r="B13837">
        <f>IFERROR(__xludf.DUMMYFUNCTION("""COMPUTED_VALUE"""),4276560.0)</f>
        <v>4276560</v>
      </c>
      <c r="C13837" t="str">
        <f>IFERROR(__xludf.DUMMYFUNCTION("""COMPUTED_VALUE"""),"입이 트이는 러시아어 배우기")</f>
        <v>입이 트이는 러시아어 배우기</v>
      </c>
    </row>
    <row r="13838">
      <c r="A13838" s="140" t="str">
        <f>IFERROR(__xludf.DUMMYFUNCTION("""COMPUTED_VALUE"""),"en")</f>
        <v>en</v>
      </c>
      <c r="B13838">
        <f>IFERROR(__xludf.DUMMYFUNCTION("""COMPUTED_VALUE"""),4215896.0)</f>
        <v>4215896</v>
      </c>
      <c r="C13838" t="str">
        <f>IFERROR(__xludf.DUMMYFUNCTION("""COMPUTED_VALUE"""),"Practical Phishing Assessments")</f>
        <v>Practical Phishing Assessments</v>
      </c>
    </row>
    <row r="13839">
      <c r="A13839" s="140" t="str">
        <f>IFERROR(__xludf.DUMMYFUNCTION("""COMPUTED_VALUE"""),"en")</f>
        <v>en</v>
      </c>
      <c r="B13839">
        <f>IFERROR(__xludf.DUMMYFUNCTION("""COMPUTED_VALUE"""),4473978.0)</f>
        <v>4473978</v>
      </c>
      <c r="C13839" t="str">
        <f>IFERROR(__xludf.DUMMYFUNCTION("""COMPUTED_VALUE"""),"Business Presentation Skills for Nonnative English Speakers")</f>
        <v>Business Presentation Skills for Nonnative English Speakers</v>
      </c>
    </row>
    <row r="13840">
      <c r="A13840" s="140" t="str">
        <f>IFERROR(__xludf.DUMMYFUNCTION("""COMPUTED_VALUE"""),"en")</f>
        <v>en</v>
      </c>
      <c r="B13840">
        <f>IFERROR(__xludf.DUMMYFUNCTION("""COMPUTED_VALUE"""),4153548.0)</f>
        <v>4153548</v>
      </c>
      <c r="C13840" t="str">
        <f>IFERROR(__xludf.DUMMYFUNCTION("""COMPUTED_VALUE"""),"Kafka fundamentals for java developers")</f>
        <v>Kafka fundamentals for java developers</v>
      </c>
    </row>
    <row r="13841">
      <c r="A13841" s="140" t="str">
        <f>IFERROR(__xludf.DUMMYFUNCTION("""COMPUTED_VALUE"""),"ko")</f>
        <v>ko</v>
      </c>
      <c r="B13841">
        <f>IFERROR(__xludf.DUMMYFUNCTION("""COMPUTED_VALUE"""),4367336.0)</f>
        <v>4367336</v>
      </c>
      <c r="C13841" t="str">
        <f>IFERROR(__xludf.DUMMYFUNCTION("""COMPUTED_VALUE"""),"【글로벌 Best】 Python 부트캠프 : 100개의 프로젝트로 Python 개발 완전 정복")</f>
        <v>【글로벌 Best】 Python 부트캠프 : 100개의 프로젝트로 Python 개발 완전 정복</v>
      </c>
    </row>
    <row r="13842">
      <c r="A13842" s="140" t="str">
        <f>IFERROR(__xludf.DUMMYFUNCTION("""COMPUTED_VALUE"""),"ja")</f>
        <v>ja</v>
      </c>
      <c r="B13842">
        <f>IFERROR(__xludf.DUMMYFUNCTION("""COMPUTED_VALUE"""),4281490.0)</f>
        <v>4281490</v>
      </c>
      <c r="C13842" t="str">
        <f>IFERROR(__xludf.DUMMYFUNCTION("""COMPUTED_VALUE"""),"【超初心者用】いきなりPhotoshop！写真加工「切り抜き＆合成フォトレタッチ」マスター講座")</f>
        <v>【超初心者用】いきなりPhotoshop！写真加工「切り抜き＆合成フォトレタッチ」マスター講座</v>
      </c>
    </row>
    <row r="13843">
      <c r="A13843" s="140" t="str">
        <f>IFERROR(__xludf.DUMMYFUNCTION("""COMPUTED_VALUE"""),"en")</f>
        <v>en</v>
      </c>
      <c r="B13843">
        <f>IFERROR(__xludf.DUMMYFUNCTION("""COMPUTED_VALUE"""),4308267.0)</f>
        <v>4308267</v>
      </c>
      <c r="C13843" t="str">
        <f>IFERROR(__xludf.DUMMYFUNCTION("""COMPUTED_VALUE"""),"Reliability Engineering Statistics")</f>
        <v>Reliability Engineering Statistics</v>
      </c>
    </row>
    <row r="13844">
      <c r="A13844" s="140" t="str">
        <f>IFERROR(__xludf.DUMMYFUNCTION("""COMPUTED_VALUE"""),"ja")</f>
        <v>ja</v>
      </c>
      <c r="B13844">
        <f>IFERROR(__xludf.DUMMYFUNCTION("""COMPUTED_VALUE"""),4400960.0)</f>
        <v>4400960</v>
      </c>
      <c r="C13844" t="str">
        <f>IFERROR(__xludf.DUMMYFUNCTION("""COMPUTED_VALUE"""),"オブジェクト指向の原則３：依存関係逆転の原則とインタフェース分離の原則")</f>
        <v>オブジェクト指向の原則３：依存関係逆転の原則とインタフェース分離の原則</v>
      </c>
    </row>
    <row r="13845">
      <c r="A13845" s="140" t="str">
        <f>IFERROR(__xludf.DUMMYFUNCTION("""COMPUTED_VALUE"""),"ja")</f>
        <v>ja</v>
      </c>
      <c r="B13845">
        <f>IFERROR(__xludf.DUMMYFUNCTION("""COMPUTED_VALUE"""),4254922.0)</f>
        <v>4254922</v>
      </c>
      <c r="C13845" t="str">
        <f>IFERROR(__xludf.DUMMYFUNCTION("""COMPUTED_VALUE"""),"【完全版】Google AppSheet Automationマスター講座|業務プロセスをノーコードで自動化しよう")</f>
        <v>【完全版】Google AppSheet Automationマスター講座|業務プロセスをノーコードで自動化しよう</v>
      </c>
    </row>
    <row r="13846">
      <c r="A13846" s="140" t="str">
        <f>IFERROR(__xludf.DUMMYFUNCTION("""COMPUTED_VALUE"""),"en")</f>
        <v>en</v>
      </c>
      <c r="B13846">
        <f>IFERROR(__xludf.DUMMYFUNCTION("""COMPUTED_VALUE"""),1638994.0)</f>
        <v>1638994</v>
      </c>
      <c r="C13846" t="str">
        <f>IFERROR(__xludf.DUMMYFUNCTION("""COMPUTED_VALUE"""),"Strategic Planning Skills")</f>
        <v>Strategic Planning Skills</v>
      </c>
    </row>
    <row r="13847">
      <c r="A13847" s="140" t="str">
        <f>IFERROR(__xludf.DUMMYFUNCTION("""COMPUTED_VALUE"""),"fr")</f>
        <v>fr</v>
      </c>
      <c r="B13847">
        <f>IFERROR(__xludf.DUMMYFUNCTION("""COMPUTED_VALUE"""),495742.0)</f>
        <v>495742</v>
      </c>
      <c r="C13847" t="str">
        <f>IFERROR(__xludf.DUMMYFUNCTION("""COMPUTED_VALUE"""),"Créez des applications mobiles sans programmer + 2 bonus")</f>
        <v>Créez des applications mobiles sans programmer + 2 bonus</v>
      </c>
    </row>
    <row r="13848">
      <c r="A13848" s="140" t="str">
        <f>IFERROR(__xludf.DUMMYFUNCTION("""COMPUTED_VALUE"""),"ko")</f>
        <v>ko</v>
      </c>
      <c r="B13848">
        <f>IFERROR(__xludf.DUMMYFUNCTION("""COMPUTED_VALUE"""),4254670.0)</f>
        <v>4254670</v>
      </c>
      <c r="C13848" t="str">
        <f>IFERROR(__xludf.DUMMYFUNCTION("""COMPUTED_VALUE"""),"【글로벌 Best】 Microsoft 엑셀 데이터 분석 및 대시보드 보고 (한글자막)")</f>
        <v>【글로벌 Best】 Microsoft 엑셀 데이터 분석 및 대시보드 보고 (한글자막)</v>
      </c>
    </row>
    <row r="13849">
      <c r="A13849" s="140" t="str">
        <f>IFERROR(__xludf.DUMMYFUNCTION("""COMPUTED_VALUE"""),"de")</f>
        <v>de</v>
      </c>
      <c r="B13849">
        <f>IFERROR(__xludf.DUMMYFUNCTION("""COMPUTED_VALUE"""),2432508.0)</f>
        <v>2432508</v>
      </c>
      <c r="C13849" t="str">
        <f>IFERROR(__xludf.DUMMYFUNCTION("""COMPUTED_VALUE"""),"Speed Reading - 300 Bücher pro Jahr verstehend lesen")</f>
        <v>Speed Reading - 300 Bücher pro Jahr verstehend lesen</v>
      </c>
    </row>
    <row r="13850">
      <c r="A13850" s="140" t="str">
        <f>IFERROR(__xludf.DUMMYFUNCTION("""COMPUTED_VALUE"""),"ja")</f>
        <v>ja</v>
      </c>
      <c r="B13850">
        <f>IFERROR(__xludf.DUMMYFUNCTION("""COMPUTED_VALUE"""),3671474.0)</f>
        <v>3671474</v>
      </c>
      <c r="C13850" t="str">
        <f>IFERROR(__xludf.DUMMYFUNCTION("""COMPUTED_VALUE"""),"Kubernetes入門")</f>
        <v>Kubernetes入門</v>
      </c>
    </row>
    <row r="13851">
      <c r="A13851" s="140" t="str">
        <f>IFERROR(__xludf.DUMMYFUNCTION("""COMPUTED_VALUE"""),"ko")</f>
        <v>ko</v>
      </c>
      <c r="B13851">
        <f>IFERROR(__xludf.DUMMYFUNCTION("""COMPUTED_VALUE"""),4367352.0)</f>
        <v>4367352</v>
      </c>
      <c r="C13851" t="str">
        <f>IFERROR(__xludf.DUMMYFUNCTION("""COMPUTED_VALUE"""),"메타버스로 돈 버는 법")</f>
        <v>메타버스로 돈 버는 법</v>
      </c>
    </row>
    <row r="13852">
      <c r="A13852" s="140" t="str">
        <f>IFERROR(__xludf.DUMMYFUNCTION("""COMPUTED_VALUE"""),"de")</f>
        <v>de</v>
      </c>
      <c r="B13852">
        <f>IFERROR(__xludf.DUMMYFUNCTION("""COMPUTED_VALUE"""),2775928.0)</f>
        <v>2775928</v>
      </c>
      <c r="C13852" t="str">
        <f>IFERROR(__xludf.DUMMYFUNCTION("""COMPUTED_VALUE"""),"Die Schreibwerkstatt")</f>
        <v>Die Schreibwerkstatt</v>
      </c>
    </row>
    <row r="13853">
      <c r="A13853" s="140" t="str">
        <f>IFERROR(__xludf.DUMMYFUNCTION("""COMPUTED_VALUE"""),"fr")</f>
        <v>fr</v>
      </c>
      <c r="B13853">
        <f>IFERROR(__xludf.DUMMYFUNCTION("""COMPUTED_VALUE"""),2613316.0)</f>
        <v>2613316</v>
      </c>
      <c r="C13853" t="str">
        <f>IFERROR(__xludf.DUMMYFUNCTION("""COMPUTED_VALUE"""),"Principes SOLID en PHP : Bonnes pratiques de POO")</f>
        <v>Principes SOLID en PHP : Bonnes pratiques de POO</v>
      </c>
    </row>
    <row r="13854">
      <c r="A13854" s="140" t="str">
        <f>IFERROR(__xludf.DUMMYFUNCTION("""COMPUTED_VALUE"""),"ja")</f>
        <v>ja</v>
      </c>
      <c r="B13854">
        <f>IFERROR(__xludf.DUMMYFUNCTION("""COMPUTED_VALUE"""),3512288.0)</f>
        <v>3512288</v>
      </c>
      <c r="C13854" t="str">
        <f>IFERROR(__xludf.DUMMYFUNCTION("""COMPUTED_VALUE"""),"Notionの使い方 - 基本操作マニュアル")</f>
        <v>Notionの使い方 - 基本操作マニュアル</v>
      </c>
    </row>
    <row r="13855">
      <c r="A13855" s="140" t="str">
        <f>IFERROR(__xludf.DUMMYFUNCTION("""COMPUTED_VALUE"""),"pt")</f>
        <v>pt</v>
      </c>
      <c r="B13855">
        <f>IFERROR(__xludf.DUMMYFUNCTION("""COMPUTED_VALUE"""),1431254.0)</f>
        <v>1431254</v>
      </c>
      <c r="C13855" t="str">
        <f>IFERROR(__xludf.DUMMYFUNCTION("""COMPUTED_VALUE"""),"Big Data - Processamento de dados com Spark e PySpark")</f>
        <v>Big Data - Processamento de dados com Spark e PySpark</v>
      </c>
    </row>
    <row r="13856">
      <c r="A13856" s="140" t="str">
        <f>IFERROR(__xludf.DUMMYFUNCTION("""COMPUTED_VALUE"""),"it")</f>
        <v>it</v>
      </c>
      <c r="B13856">
        <f>IFERROR(__xludf.DUMMYFUNCTION("""COMPUTED_VALUE"""),4327120.0)</f>
        <v>4327120</v>
      </c>
      <c r="C13856" t="str">
        <f>IFERROR(__xludf.DUMMYFUNCTION("""COMPUTED_VALUE"""),"Linguaggio C, il corso PREMIUM con esercizi svolti 2022.")</f>
        <v>Linguaggio C, il corso PREMIUM con esercizi svolti 2022.</v>
      </c>
    </row>
    <row r="13857">
      <c r="A13857" s="140" t="str">
        <f>IFERROR(__xludf.DUMMYFUNCTION("""COMPUTED_VALUE"""),"en")</f>
        <v>en</v>
      </c>
      <c r="B13857">
        <f>IFERROR(__xludf.DUMMYFUNCTION("""COMPUTED_VALUE"""),4387504.0)</f>
        <v>4387504</v>
      </c>
      <c r="C13857" t="str">
        <f>IFERROR(__xludf.DUMMYFUNCTION("""COMPUTED_VALUE"""),"Recruitment, Interviewing, and Emotional Intelligence")</f>
        <v>Recruitment, Interviewing, and Emotional Intelligence</v>
      </c>
    </row>
    <row r="13858">
      <c r="A13858" s="140" t="str">
        <f>IFERROR(__xludf.DUMMYFUNCTION("""COMPUTED_VALUE"""),"en")</f>
        <v>en</v>
      </c>
      <c r="B13858">
        <f>IFERROR(__xludf.DUMMYFUNCTION("""COMPUTED_VALUE"""),4419806.0)</f>
        <v>4419806</v>
      </c>
      <c r="C13858" t="str">
        <f>IFERROR(__xludf.DUMMYFUNCTION("""COMPUTED_VALUE"""),"CASP+ (CAS-004) Complete Course &amp; Full-Length Practice Exam")</f>
        <v>CASP+ (CAS-004) Complete Course &amp; Full-Length Practice Exam</v>
      </c>
    </row>
    <row r="13859">
      <c r="A13859" s="140" t="str">
        <f>IFERROR(__xludf.DUMMYFUNCTION("""COMPUTED_VALUE"""),"en")</f>
        <v>en</v>
      </c>
      <c r="B13859">
        <f>IFERROR(__xludf.DUMMYFUNCTION("""COMPUTED_VALUE"""),4397344.0)</f>
        <v>4397344</v>
      </c>
      <c r="C13859" t="str">
        <f>IFERROR(__xludf.DUMMYFUNCTION("""COMPUTED_VALUE"""),"CASP+ (CAS-004) Full-length Practice Certification Exams")</f>
        <v>CASP+ (CAS-004) Full-length Practice Certification Exams</v>
      </c>
    </row>
    <row r="13860">
      <c r="A13860" s="140" t="str">
        <f>IFERROR(__xludf.DUMMYFUNCTION("""COMPUTED_VALUE"""),"de")</f>
        <v>de</v>
      </c>
      <c r="B13860">
        <f>IFERROR(__xludf.DUMMYFUNCTION("""COMPUTED_VALUE"""),1823266.0)</f>
        <v>1823266</v>
      </c>
      <c r="C13860" t="str">
        <f>IFERROR(__xludf.DUMMYFUNCTION("""COMPUTED_VALUE"""),"Projektmanagement Methoden: Vorbereitung IPMA Level D")</f>
        <v>Projektmanagement Methoden: Vorbereitung IPMA Level D</v>
      </c>
    </row>
    <row r="13861">
      <c r="A13861" s="140" t="str">
        <f>IFERROR(__xludf.DUMMYFUNCTION("""COMPUTED_VALUE"""),"en")</f>
        <v>en</v>
      </c>
      <c r="B13861">
        <f>IFERROR(__xludf.DUMMYFUNCTION("""COMPUTED_VALUE"""),4402079.0)</f>
        <v>4402079</v>
      </c>
      <c r="C13861" t="str">
        <f>IFERROR(__xludf.DUMMYFUNCTION("""COMPUTED_VALUE"""),"GIVE: Leading with generosity, impact, vibrancy, and equity")</f>
        <v>GIVE: Leading with generosity, impact, vibrancy, and equity</v>
      </c>
    </row>
    <row r="13862">
      <c r="A13862" s="140" t="str">
        <f>IFERROR(__xludf.DUMMYFUNCTION("""COMPUTED_VALUE"""),"it")</f>
        <v>it</v>
      </c>
      <c r="B13862">
        <f>IFERROR(__xludf.DUMMYFUNCTION("""COMPUTED_VALUE"""),4351382.0)</f>
        <v>4351382</v>
      </c>
      <c r="C13862" t="str">
        <f>IFERROR(__xludf.DUMMYFUNCTION("""COMPUTED_VALUE"""),"Eccellenza nella Leadership - Esercizi pratici di leadership")</f>
        <v>Eccellenza nella Leadership - Esercizi pratici di leadership</v>
      </c>
    </row>
    <row r="13863">
      <c r="A13863" s="140" t="str">
        <f>IFERROR(__xludf.DUMMYFUNCTION("""COMPUTED_VALUE"""),"ko")</f>
        <v>ko</v>
      </c>
      <c r="B13863">
        <f>IFERROR(__xludf.DUMMYFUNCTION("""COMPUTED_VALUE"""),4393358.0)</f>
        <v>4393358</v>
      </c>
      <c r="C13863" t="str">
        <f>IFERROR(__xludf.DUMMYFUNCTION("""COMPUTED_VALUE"""),"【글로벌 Best】 재무 분석을 위한 Python 및 Machine Learning 완벽가이드 (한글자막)")</f>
        <v>【글로벌 Best】 재무 분석을 위한 Python 및 Machine Learning 완벽가이드 (한글자막)</v>
      </c>
    </row>
    <row r="13864">
      <c r="A13864" s="140" t="str">
        <f>IFERROR(__xludf.DUMMYFUNCTION("""COMPUTED_VALUE"""),"ko")</f>
        <v>ko</v>
      </c>
      <c r="B13864">
        <f>IFERROR(__xludf.DUMMYFUNCTION("""COMPUTED_VALUE"""),4389604.0)</f>
        <v>4389604</v>
      </c>
      <c r="C13864" t="str">
        <f>IFERROR(__xludf.DUMMYFUNCTION("""COMPUTED_VALUE"""),"【글로벌 Best】 AWS Certified Cloud 전문가 시험 합격을 위한 모든 것 (한글자막)")</f>
        <v>【글로벌 Best】 AWS Certified Cloud 전문가 시험 합격을 위한 모든 것 (한글자막)</v>
      </c>
    </row>
    <row r="13865">
      <c r="A13865" s="140" t="str">
        <f>IFERROR(__xludf.DUMMYFUNCTION("""COMPUTED_VALUE"""),"de")</f>
        <v>de</v>
      </c>
      <c r="B13865">
        <f>IFERROR(__xludf.DUMMYFUNCTION("""COMPUTED_VALUE"""),3277200.0)</f>
        <v>3277200</v>
      </c>
      <c r="C13865" t="str">
        <f>IFERROR(__xludf.DUMMYFUNCTION("""COMPUTED_VALUE"""),"PowerPoint für Profis – Erfolgreich mit Präsentationsfolien")</f>
        <v>PowerPoint für Profis – Erfolgreich mit Präsentationsfolien</v>
      </c>
    </row>
    <row r="13866">
      <c r="A13866" s="140" t="str">
        <f>IFERROR(__xludf.DUMMYFUNCTION("""COMPUTED_VALUE"""),"en")</f>
        <v>en</v>
      </c>
      <c r="B13866">
        <f>IFERROR(__xludf.DUMMYFUNCTION("""COMPUTED_VALUE"""),1428694.0)</f>
        <v>1428694</v>
      </c>
      <c r="C13866" t="str">
        <f>IFERROR(__xludf.DUMMYFUNCTION("""COMPUTED_VALUE"""),"Apple Mac Basics - The Complete Course for beginners")</f>
        <v>Apple Mac Basics - The Complete Course for beginners</v>
      </c>
    </row>
    <row r="13867">
      <c r="A13867" s="140" t="str">
        <f>IFERROR(__xludf.DUMMYFUNCTION("""COMPUTED_VALUE"""),"fr")</f>
        <v>fr</v>
      </c>
      <c r="B13867">
        <f>IFERROR(__xludf.DUMMYFUNCTION("""COMPUTED_VALUE"""),2507010.0)</f>
        <v>2507010</v>
      </c>
      <c r="C13867" t="str">
        <f>IFERROR(__xludf.DUMMYFUNCTION("""COMPUTED_VALUE"""),"Volume I - Les bases de la sécurité informatique")</f>
        <v>Volume I - Les bases de la sécurité informatique</v>
      </c>
    </row>
    <row r="13868">
      <c r="A13868" s="140" t="str">
        <f>IFERROR(__xludf.DUMMYFUNCTION("""COMPUTED_VALUE"""),"fr")</f>
        <v>fr</v>
      </c>
      <c r="B13868">
        <f>IFERROR(__xludf.DUMMYFUNCTION("""COMPUTED_VALUE"""),3935302.0)</f>
        <v>3935302</v>
      </c>
      <c r="C13868" t="str">
        <f>IFERROR(__xludf.DUMMYFUNCTION("""COMPUTED_VALUE"""),"Réussir Votre Entretien Angular en moins de 3 heures (2022)")</f>
        <v>Réussir Votre Entretien Angular en moins de 3 heures (2022)</v>
      </c>
    </row>
    <row r="13869">
      <c r="A13869" s="140" t="str">
        <f>IFERROR(__xludf.DUMMYFUNCTION("""COMPUTED_VALUE"""),"en")</f>
        <v>en</v>
      </c>
      <c r="B13869">
        <f>IFERROR(__xludf.DUMMYFUNCTION("""COMPUTED_VALUE"""),4321566.0)</f>
        <v>4321566</v>
      </c>
      <c r="C13869" t="str">
        <f>IFERROR(__xludf.DUMMYFUNCTION("""COMPUTED_VALUE"""),"Microsoft Azure: Cloud Architecture Case Studies")</f>
        <v>Microsoft Azure: Cloud Architecture Case Studies</v>
      </c>
    </row>
    <row r="13870">
      <c r="A13870" s="140" t="str">
        <f>IFERROR(__xludf.DUMMYFUNCTION("""COMPUTED_VALUE"""),"ko")</f>
        <v>ko</v>
      </c>
      <c r="B13870">
        <f>IFERROR(__xludf.DUMMYFUNCTION("""COMPUTED_VALUE"""),4294150.0)</f>
        <v>4294150</v>
      </c>
      <c r="C13870" t="str">
        <f>IFERROR(__xludf.DUMMYFUNCTION("""COMPUTED_VALUE"""),"【글로벌 Best】 딥러닝의 모든 것 with Python, Tensorflow, Pytorch(한글자막)")</f>
        <v>【글로벌 Best】 딥러닝의 모든 것 with Python, Tensorflow, Pytorch(한글자막)</v>
      </c>
    </row>
    <row r="13871">
      <c r="A13871" s="140" t="str">
        <f>IFERROR(__xludf.DUMMYFUNCTION("""COMPUTED_VALUE"""),"fr")</f>
        <v>fr</v>
      </c>
      <c r="B13871">
        <f>IFERROR(__xludf.DUMMYFUNCTION("""COMPUTED_VALUE"""),1942774.0)</f>
        <v>1942774</v>
      </c>
      <c r="C13871" t="str">
        <f>IFERROR(__xludf.DUMMYFUNCTION("""COMPUTED_VALUE"""),"Configurer un routeur CISCO de débutant à certifié en 2H")</f>
        <v>Configurer un routeur CISCO de débutant à certifié en 2H</v>
      </c>
    </row>
    <row r="13872">
      <c r="A13872" s="140" t="str">
        <f>IFERROR(__xludf.DUMMYFUNCTION("""COMPUTED_VALUE"""),"pt")</f>
        <v>pt</v>
      </c>
      <c r="B13872">
        <f>IFERROR(__xludf.DUMMYFUNCTION("""COMPUTED_VALUE"""),3252434.0)</f>
        <v>3252434</v>
      </c>
      <c r="C13872" t="str">
        <f>IFERROR(__xludf.DUMMYFUNCTION("""COMPUTED_VALUE"""),"DevOps na Prática: Criando uma Pipeline do Zero")</f>
        <v>DevOps na Prática: Criando uma Pipeline do Zero</v>
      </c>
    </row>
    <row r="13873">
      <c r="A13873" s="140" t="str">
        <f>IFERROR(__xludf.DUMMYFUNCTION("""COMPUTED_VALUE"""),"ja")</f>
        <v>ja</v>
      </c>
      <c r="B13873">
        <f>IFERROR(__xludf.DUMMYFUNCTION("""COMPUTED_VALUE"""),4192254.0)</f>
        <v>4192254</v>
      </c>
      <c r="C13873" t="str">
        <f>IFERROR(__xludf.DUMMYFUNCTION("""COMPUTED_VALUE"""),"【初心者のためのアバターアップロード最短コース！】 clusterカスタムアバター講座")</f>
        <v>【初心者のためのアバターアップロード最短コース！】 clusterカスタムアバター講座</v>
      </c>
    </row>
    <row r="13874">
      <c r="A13874" s="140" t="str">
        <f>IFERROR(__xludf.DUMMYFUNCTION("""COMPUTED_VALUE"""),"en")</f>
        <v>en</v>
      </c>
      <c r="B13874">
        <f>IFERROR(__xludf.DUMMYFUNCTION("""COMPUTED_VALUE"""),569154.0)</f>
        <v>569154</v>
      </c>
      <c r="C13874" t="str">
        <f>IFERROR(__xludf.DUMMYFUNCTION("""COMPUTED_VALUE"""),"How to Become a Programmer")</f>
        <v>How to Become a Programmer</v>
      </c>
    </row>
    <row r="13875">
      <c r="A13875" s="140" t="str">
        <f>IFERROR(__xludf.DUMMYFUNCTION("""COMPUTED_VALUE"""),"ja")</f>
        <v>ja</v>
      </c>
      <c r="B13875">
        <f>IFERROR(__xludf.DUMMYFUNCTION("""COMPUTED_VALUE"""),4251050.0)</f>
        <v>4251050</v>
      </c>
      <c r="C13875" t="str">
        <f>IFERROR(__xludf.DUMMYFUNCTION("""COMPUTED_VALUE"""),"Microsoft Power Automate Desktop - Tips &amp; Tricks")</f>
        <v>Microsoft Power Automate Desktop - Tips &amp; Tricks</v>
      </c>
    </row>
    <row r="13876">
      <c r="A13876" s="140" t="str">
        <f>IFERROR(__xludf.DUMMYFUNCTION("""COMPUTED_VALUE"""),"de")</f>
        <v>de</v>
      </c>
      <c r="B13876">
        <f>IFERROR(__xludf.DUMMYFUNCTION("""COMPUTED_VALUE"""),3994890.0)</f>
        <v>3994890</v>
      </c>
      <c r="C13876" t="str">
        <f>IFERROR(__xludf.DUMMYFUNCTION("""COMPUTED_VALUE"""),"Web-Apps mit Javascript und jQuery selber programmieren")</f>
        <v>Web-Apps mit Javascript und jQuery selber programmieren</v>
      </c>
    </row>
    <row r="13877">
      <c r="A13877" s="140" t="str">
        <f>IFERROR(__xludf.DUMMYFUNCTION("""COMPUTED_VALUE"""),"fr")</f>
        <v>fr</v>
      </c>
      <c r="B13877">
        <f>IFERROR(__xludf.DUMMYFUNCTION("""COMPUTED_VALUE"""),3450942.0)</f>
        <v>3450942</v>
      </c>
      <c r="C13877" t="str">
        <f>IFERROR(__xludf.DUMMYFUNCTION("""COMPUTED_VALUE"""),"Cours d'anglais - Apprenez l'anglais avec des animations")</f>
        <v>Cours d'anglais - Apprenez l'anglais avec des animations</v>
      </c>
    </row>
    <row r="13878">
      <c r="A13878" s="140" t="str">
        <f>IFERROR(__xludf.DUMMYFUNCTION("""COMPUTED_VALUE"""),"en")</f>
        <v>en</v>
      </c>
      <c r="B13878">
        <f>IFERROR(__xludf.DUMMYFUNCTION("""COMPUTED_VALUE"""),2912472.0)</f>
        <v>2912472</v>
      </c>
      <c r="C13878" t="str">
        <f>IFERROR(__xludf.DUMMYFUNCTION("""COMPUTED_VALUE"""),"APIs with Postman for Absolute Beginners")</f>
        <v>APIs with Postman for Absolute Beginners</v>
      </c>
    </row>
    <row r="13879">
      <c r="A13879" s="140" t="str">
        <f>IFERROR(__xludf.DUMMYFUNCTION("""COMPUTED_VALUE"""),"de")</f>
        <v>de</v>
      </c>
      <c r="B13879">
        <f>IFERROR(__xludf.DUMMYFUNCTION("""COMPUTED_VALUE"""),3026210.0)</f>
        <v>3026210</v>
      </c>
      <c r="C13879" t="str">
        <f>IFERROR(__xludf.DUMMYFUNCTION("""COMPUTED_VALUE"""),"Einstieg in Excel-Dashboards")</f>
        <v>Einstieg in Excel-Dashboards</v>
      </c>
    </row>
    <row r="13880">
      <c r="A13880" s="140" t="str">
        <f>IFERROR(__xludf.DUMMYFUNCTION("""COMPUTED_VALUE"""),"en")</f>
        <v>en</v>
      </c>
      <c r="B13880">
        <f>IFERROR(__xludf.DUMMYFUNCTION("""COMPUTED_VALUE"""),4368522.0)</f>
        <v>4368522</v>
      </c>
      <c r="C13880" t="str">
        <f>IFERROR(__xludf.DUMMYFUNCTION("""COMPUTED_VALUE"""),"Building Visibility in the Remote &amp; Hybrid Workplace")</f>
        <v>Building Visibility in the Remote &amp; Hybrid Workplace</v>
      </c>
    </row>
    <row r="13881">
      <c r="A13881" s="140" t="str">
        <f>IFERROR(__xludf.DUMMYFUNCTION("""COMPUTED_VALUE"""),"de")</f>
        <v>de</v>
      </c>
      <c r="B13881">
        <f>IFERROR(__xludf.DUMMYFUNCTION("""COMPUTED_VALUE"""),3499094.0)</f>
        <v>3499094</v>
      </c>
      <c r="C13881" t="str">
        <f>IFERROR(__xludf.DUMMYFUNCTION("""COMPUTED_VALUE"""),"Deutsch - Klare Kommunikation  A2-C1")</f>
        <v>Deutsch - Klare Kommunikation  A2-C1</v>
      </c>
    </row>
    <row r="13882">
      <c r="A13882" s="140" t="str">
        <f>IFERROR(__xludf.DUMMYFUNCTION("""COMPUTED_VALUE"""),"fr")</f>
        <v>fr</v>
      </c>
      <c r="B13882">
        <f>IFERROR(__xludf.DUMMYFUNCTION("""COMPUTED_VALUE"""),1495680.0)</f>
        <v>1495680</v>
      </c>
      <c r="C13882" t="str">
        <f>IFERROR(__xludf.DUMMYFUNCTION("""COMPUTED_VALUE"""),"Trading - trader avec les vagues de Wolfe sur les marchés")</f>
        <v>Trading - trader avec les vagues de Wolfe sur les marchés</v>
      </c>
    </row>
    <row r="13883">
      <c r="A13883" s="140" t="str">
        <f>IFERROR(__xludf.DUMMYFUNCTION("""COMPUTED_VALUE"""),"en")</f>
        <v>en</v>
      </c>
      <c r="B13883">
        <f>IFERROR(__xludf.DUMMYFUNCTION("""COMPUTED_VALUE"""),2080118.0)</f>
        <v>2080118</v>
      </c>
      <c r="C13883" t="str">
        <f>IFERROR(__xludf.DUMMYFUNCTION("""COMPUTED_VALUE"""),"Build Microservices with .NET &amp; Amazon Web Services")</f>
        <v>Build Microservices with .NET &amp; Amazon Web Services</v>
      </c>
    </row>
    <row r="13884">
      <c r="A13884" s="140" t="str">
        <f>IFERROR(__xludf.DUMMYFUNCTION("""COMPUTED_VALUE"""),"en")</f>
        <v>en</v>
      </c>
      <c r="B13884">
        <f>IFERROR(__xludf.DUMMYFUNCTION("""COMPUTED_VALUE"""),2734336.0)</f>
        <v>2734336</v>
      </c>
      <c r="C13884" t="str">
        <f>IFERROR(__xludf.DUMMYFUNCTION("""COMPUTED_VALUE"""),"Project Finance Overview - from Inception to Financial Close")</f>
        <v>Project Finance Overview - from Inception to Financial Close</v>
      </c>
    </row>
    <row r="13885">
      <c r="A13885" s="140" t="str">
        <f>IFERROR(__xludf.DUMMYFUNCTION("""COMPUTED_VALUE"""),"en")</f>
        <v>en</v>
      </c>
      <c r="B13885">
        <f>IFERROR(__xludf.DUMMYFUNCTION("""COMPUTED_VALUE"""),1340852.0)</f>
        <v>1340852</v>
      </c>
      <c r="C13885" t="str">
        <f>IFERROR(__xludf.DUMMYFUNCTION("""COMPUTED_VALUE"""),"Introduction to the AWS Command Line Interface (CLI)")</f>
        <v>Introduction to the AWS Command Line Interface (CLI)</v>
      </c>
    </row>
    <row r="13886">
      <c r="A13886" s="140" t="str">
        <f>IFERROR(__xludf.DUMMYFUNCTION("""COMPUTED_VALUE"""),"de")</f>
        <v>de</v>
      </c>
      <c r="B13886">
        <f>IFERROR(__xludf.DUMMYFUNCTION("""COMPUTED_VALUE"""),3988178.0)</f>
        <v>3988178</v>
      </c>
      <c r="C13886" t="str">
        <f>IFERROR(__xludf.DUMMYFUNCTION("""COMPUTED_VALUE"""),"Neu als Führungskraft - Von Anfang an richtig führen")</f>
        <v>Neu als Führungskraft - Von Anfang an richtig führen</v>
      </c>
    </row>
    <row r="13887">
      <c r="A13887" s="140" t="str">
        <f>IFERROR(__xludf.DUMMYFUNCTION("""COMPUTED_VALUE"""),"de")</f>
        <v>de</v>
      </c>
      <c r="B13887">
        <f>IFERROR(__xludf.DUMMYFUNCTION("""COMPUTED_VALUE"""),3819636.0)</f>
        <v>3819636</v>
      </c>
      <c r="C13887" t="str">
        <f>IFERROR(__xludf.DUMMYFUNCTION("""COMPUTED_VALUE"""),"Doppelte Buchhaltung")</f>
        <v>Doppelte Buchhaltung</v>
      </c>
    </row>
    <row r="13888">
      <c r="A13888" s="140" t="str">
        <f>IFERROR(__xludf.DUMMYFUNCTION("""COMPUTED_VALUE"""),"tr")</f>
        <v>tr</v>
      </c>
      <c r="B13888">
        <f>IFERROR(__xludf.DUMMYFUNCTION("""COMPUTED_VALUE"""),3858100.0)</f>
        <v>3858100</v>
      </c>
      <c r="C13888" t="str">
        <f>IFERROR(__xludf.DUMMYFUNCTION("""COMPUTED_VALUE"""),"Borsa ve Kripto Eğitimi 3 | Eğitim Tekrarı+Örnekler+Strateji")</f>
        <v>Borsa ve Kripto Eğitimi 3 | Eğitim Tekrarı+Örnekler+Strateji</v>
      </c>
    </row>
    <row r="13889">
      <c r="A13889" s="140" t="str">
        <f>IFERROR(__xludf.DUMMYFUNCTION("""COMPUTED_VALUE"""),"es")</f>
        <v>es</v>
      </c>
      <c r="B13889">
        <f>IFERROR(__xludf.DUMMYFUNCTION("""COMPUTED_VALUE"""),3284768.0)</f>
        <v>3284768</v>
      </c>
      <c r="C13889" t="str">
        <f>IFERROR(__xludf.DUMMYFUNCTION("""COMPUTED_VALUE"""),"Forecasting y gestión de demanda usando Excel y R")</f>
        <v>Forecasting y gestión de demanda usando Excel y R</v>
      </c>
    </row>
    <row r="13890">
      <c r="A13890" s="140" t="str">
        <f>IFERROR(__xludf.DUMMYFUNCTION("""COMPUTED_VALUE"""),"en")</f>
        <v>en</v>
      </c>
      <c r="B13890">
        <f>IFERROR(__xludf.DUMMYFUNCTION("""COMPUTED_VALUE"""),740562.0)</f>
        <v>740562</v>
      </c>
      <c r="C13890" t="str">
        <f>IFERROR(__xludf.DUMMYFUNCTION("""COMPUTED_VALUE"""),"SEO 2022: Complete SEO Training + SEO for WordPress Websites")</f>
        <v>SEO 2022: Complete SEO Training + SEO for WordPress Websites</v>
      </c>
    </row>
    <row r="13891">
      <c r="A13891" s="140" t="str">
        <f>IFERROR(__xludf.DUMMYFUNCTION("""COMPUTED_VALUE"""),"fr")</f>
        <v>fr</v>
      </c>
      <c r="B13891">
        <f>IFERROR(__xludf.DUMMYFUNCTION("""COMPUTED_VALUE"""),2208804.0)</f>
        <v>2208804</v>
      </c>
      <c r="C13891" t="str">
        <f>IFERROR(__xludf.DUMMYFUNCTION("""COMPUTED_VALUE"""),"Devenez Motion Designer | Atelier Créatif")</f>
        <v>Devenez Motion Designer | Atelier Créatif</v>
      </c>
    </row>
    <row r="13892">
      <c r="A13892" s="140" t="str">
        <f>IFERROR(__xludf.DUMMYFUNCTION("""COMPUTED_VALUE"""),"en")</f>
        <v>en</v>
      </c>
      <c r="B13892">
        <f>IFERROR(__xludf.DUMMYFUNCTION("""COMPUTED_VALUE"""),4271522.0)</f>
        <v>4271522</v>
      </c>
      <c r="C13892" t="str">
        <f>IFERROR(__xludf.DUMMYFUNCTION("""COMPUTED_VALUE"""),"Solidity &amp; Ethereum in React (Next JS): The Complete Guide")</f>
        <v>Solidity &amp; Ethereum in React (Next JS): The Complete Guide</v>
      </c>
    </row>
    <row r="13893">
      <c r="A13893" s="140" t="str">
        <f>IFERROR(__xludf.DUMMYFUNCTION("""COMPUTED_VALUE"""),"en")</f>
        <v>en</v>
      </c>
      <c r="B13893">
        <f>IFERROR(__xludf.DUMMYFUNCTION("""COMPUTED_VALUE"""),4244194.0)</f>
        <v>4244194</v>
      </c>
      <c r="C13893" t="str">
        <f>IFERROR(__xludf.DUMMYFUNCTION("""COMPUTED_VALUE"""),"Learn SAP® BTP")</f>
        <v>Learn SAP® BTP</v>
      </c>
    </row>
    <row r="13894">
      <c r="A13894" s="140" t="str">
        <f>IFERROR(__xludf.DUMMYFUNCTION("""COMPUTED_VALUE"""),"fr")</f>
        <v>fr</v>
      </c>
      <c r="B13894">
        <f>IFERROR(__xludf.DUMMYFUNCTION("""COMPUTED_VALUE"""),3904800.0)</f>
        <v>3904800</v>
      </c>
      <c r="C13894" t="str">
        <f>IFERROR(__xludf.DUMMYFUNCTION("""COMPUTED_VALUE"""),"UNITY : Développer un RPG 2D avec C# - Formation complète")</f>
        <v>UNITY : Développer un RPG 2D avec C# - Formation complète</v>
      </c>
    </row>
    <row r="13895">
      <c r="A13895" s="140" t="str">
        <f>IFERROR(__xludf.DUMMYFUNCTION("""COMPUTED_VALUE"""),"en")</f>
        <v>en</v>
      </c>
      <c r="B13895">
        <f>IFERROR(__xludf.DUMMYFUNCTION("""COMPUTED_VALUE"""),4354644.0)</f>
        <v>4354644</v>
      </c>
      <c r="C13895" t="str">
        <f>IFERROR(__xludf.DUMMYFUNCTION("""COMPUTED_VALUE"""),"Planning and Implementing a Security Incident Response")</f>
        <v>Planning and Implementing a Security Incident Response</v>
      </c>
    </row>
    <row r="13896">
      <c r="A13896" s="140" t="str">
        <f>IFERROR(__xludf.DUMMYFUNCTION("""COMPUTED_VALUE"""),"en")</f>
        <v>en</v>
      </c>
      <c r="B13896">
        <f>IFERROR(__xludf.DUMMYFUNCTION("""COMPUTED_VALUE"""),4140050.0)</f>
        <v>4140050</v>
      </c>
      <c r="C13896" t="str">
        <f>IFERROR(__xludf.DUMMYFUNCTION("""COMPUTED_VALUE"""),"Microsoft Power BI Certification: DA-100 | PL-300 Exam Prep")</f>
        <v>Microsoft Power BI Certification: DA-100 | PL-300 Exam Prep</v>
      </c>
    </row>
    <row r="13897">
      <c r="A13897" s="140" t="str">
        <f>IFERROR(__xludf.DUMMYFUNCTION("""COMPUTED_VALUE"""),"en")</f>
        <v>en</v>
      </c>
      <c r="B13897">
        <f>IFERROR(__xludf.DUMMYFUNCTION("""COMPUTED_VALUE"""),4373614.0)</f>
        <v>4373614</v>
      </c>
      <c r="C13897" t="str">
        <f>IFERROR(__xludf.DUMMYFUNCTION("""COMPUTED_VALUE"""),"Learn C++ by Solving 75 Coding Challenges")</f>
        <v>Learn C++ by Solving 75 Coding Challenges</v>
      </c>
    </row>
    <row r="13898">
      <c r="A13898" s="140" t="str">
        <f>IFERROR(__xludf.DUMMYFUNCTION("""COMPUTED_VALUE"""),"en")</f>
        <v>en</v>
      </c>
      <c r="B13898">
        <f>IFERROR(__xludf.DUMMYFUNCTION("""COMPUTED_VALUE"""),3516002.0)</f>
        <v>3516002</v>
      </c>
      <c r="C13898" t="str">
        <f>IFERROR(__xludf.DUMMYFUNCTION("""COMPUTED_VALUE"""),"JBOSS EAP 7.3, Basic TO Expert - Project Based &amp; Real Time")</f>
        <v>JBOSS EAP 7.3, Basic TO Expert - Project Based &amp; Real Time</v>
      </c>
    </row>
    <row r="13899">
      <c r="A13899" s="140" t="str">
        <f>IFERROR(__xludf.DUMMYFUNCTION("""COMPUTED_VALUE"""),"en")</f>
        <v>en</v>
      </c>
      <c r="B13899">
        <f>IFERROR(__xludf.DUMMYFUNCTION("""COMPUTED_VALUE"""),2484706.0)</f>
        <v>2484706</v>
      </c>
      <c r="C13899" t="str">
        <f>IFERROR(__xludf.DUMMYFUNCTION("""COMPUTED_VALUE"""),"The Design and Analysis of Algorithm Masterclass [ 2021]")</f>
        <v>The Design and Analysis of Algorithm Masterclass [ 2021]</v>
      </c>
    </row>
    <row r="13900">
      <c r="A13900" s="140" t="str">
        <f>IFERROR(__xludf.DUMMYFUNCTION("""COMPUTED_VALUE"""),"fr")</f>
        <v>fr</v>
      </c>
      <c r="B13900">
        <f>IFERROR(__xludf.DUMMYFUNCTION("""COMPUTED_VALUE"""),2004612.0)</f>
        <v>2004612</v>
      </c>
      <c r="C13900" t="str">
        <f>IFERROR(__xludf.DUMMYFUNCTION("""COMPUTED_VALUE"""),"Adobe Premiere Pro CC | Initiation | Outils + Ateliers créas")</f>
        <v>Adobe Premiere Pro CC | Initiation | Outils + Ateliers créas</v>
      </c>
    </row>
    <row r="13901">
      <c r="A13901" s="140" t="str">
        <f>IFERROR(__xludf.DUMMYFUNCTION("""COMPUTED_VALUE"""),"ko")</f>
        <v>ko</v>
      </c>
      <c r="B13901">
        <f>IFERROR(__xludf.DUMMYFUNCTION("""COMPUTED_VALUE"""),4390360.0)</f>
        <v>4390360</v>
      </c>
      <c r="C13901" t="str">
        <f>IFERROR(__xludf.DUMMYFUNCTION("""COMPUTED_VALUE"""),"【글로벌 Best】 PMP 시험 단기 완성 - 2021년 PMP 시험 개정안 (한글 자막)")</f>
        <v>【글로벌 Best】 PMP 시험 단기 완성 - 2021년 PMP 시험 개정안 (한글 자막)</v>
      </c>
    </row>
    <row r="13902">
      <c r="A13902" s="140" t="str">
        <f>IFERROR(__xludf.DUMMYFUNCTION("""COMPUTED_VALUE"""),"it")</f>
        <v>it</v>
      </c>
      <c r="B13902">
        <f>IFERROR(__xludf.DUMMYFUNCTION("""COMPUTED_VALUE"""),3411870.0)</f>
        <v>3411870</v>
      </c>
      <c r="C13902" t="str">
        <f>IFERROR(__xludf.DUMMYFUNCTION("""COMPUTED_VALUE"""),"Impara il francese in francese 1: corso di lingua francese")</f>
        <v>Impara il francese in francese 1: corso di lingua francese</v>
      </c>
    </row>
    <row r="13903">
      <c r="A13903" s="140" t="str">
        <f>IFERROR(__xludf.DUMMYFUNCTION("""COMPUTED_VALUE"""),"en")</f>
        <v>en</v>
      </c>
      <c r="B13903">
        <f>IFERROR(__xludf.DUMMYFUNCTION("""COMPUTED_VALUE"""),3617438.0)</f>
        <v>3617438</v>
      </c>
      <c r="C13903" t="str">
        <f>IFERROR(__xludf.DUMMYFUNCTION("""COMPUTED_VALUE"""),"Financial Reporting w/Power BI")</f>
        <v>Financial Reporting w/Power BI</v>
      </c>
    </row>
    <row r="13904">
      <c r="A13904" s="140" t="str">
        <f>IFERROR(__xludf.DUMMYFUNCTION("""COMPUTED_VALUE"""),"en")</f>
        <v>en</v>
      </c>
      <c r="B13904">
        <f>IFERROR(__xludf.DUMMYFUNCTION("""COMPUTED_VALUE"""),3962460.0)</f>
        <v>3962460</v>
      </c>
      <c r="C13904" t="str">
        <f>IFERROR(__xludf.DUMMYFUNCTION("""COMPUTED_VALUE"""),"GCP Associate Cloud Engineer Certification : Google Cloud")</f>
        <v>GCP Associate Cloud Engineer Certification : Google Cloud</v>
      </c>
    </row>
    <row r="13905">
      <c r="A13905" s="140" t="str">
        <f>IFERROR(__xludf.DUMMYFUNCTION("""COMPUTED_VALUE"""),"ar")</f>
        <v>ar</v>
      </c>
      <c r="B13905">
        <f>IFERROR(__xludf.DUMMYFUNCTION("""COMPUTED_VALUE"""),3808468.0)</f>
        <v>3808468</v>
      </c>
      <c r="C13905" t="str">
        <f>IFERROR(__xludf.DUMMYFUNCTION("""COMPUTED_VALUE"""),"Arabic Logo Design - دبلومة تصميم شعار بالخط العربي")</f>
        <v>Arabic Logo Design - دبلومة تصميم شعار بالخط العربي</v>
      </c>
    </row>
    <row r="13906">
      <c r="A13906" s="140" t="str">
        <f>IFERROR(__xludf.DUMMYFUNCTION("""COMPUTED_VALUE"""),"ko")</f>
        <v>ko</v>
      </c>
      <c r="B13906">
        <f>IFERROR(__xludf.DUMMYFUNCTION("""COMPUTED_VALUE"""),4413198.0)</f>
        <v>4413198</v>
      </c>
      <c r="C13906" t="str">
        <f>IFERROR(__xludf.DUMMYFUNCTION("""COMPUTED_VALUE"""),"【글로벌 Best】 초보자를 위한 AWS SageMaker 실습 | 6개 프로젝트 구축하기 (한글자막)")</f>
        <v>【글로벌 Best】 초보자를 위한 AWS SageMaker 실습 | 6개 프로젝트 구축하기 (한글자막)</v>
      </c>
    </row>
    <row r="13907">
      <c r="A13907" s="140" t="str">
        <f>IFERROR(__xludf.DUMMYFUNCTION("""COMPUTED_VALUE"""),"ko")</f>
        <v>ko</v>
      </c>
      <c r="B13907">
        <f>IFERROR(__xludf.DUMMYFUNCTION("""COMPUTED_VALUE"""),4251162.0)</f>
        <v>4251162</v>
      </c>
      <c r="C13907" t="str">
        <f>IFERROR(__xludf.DUMMYFUNCTION("""COMPUTED_VALUE"""),"현대적인 미국 영어 속어 Modern American English Slang")</f>
        <v>현대적인 미국 영어 속어 Modern American English Slang</v>
      </c>
    </row>
    <row r="13908">
      <c r="A13908" s="140" t="str">
        <f>IFERROR(__xludf.DUMMYFUNCTION("""COMPUTED_VALUE"""),"en")</f>
        <v>en</v>
      </c>
      <c r="B13908">
        <f>IFERROR(__xludf.DUMMYFUNCTION("""COMPUTED_VALUE"""),4464944.0)</f>
        <v>4464944</v>
      </c>
      <c r="C13908" t="str">
        <f>IFERROR(__xludf.DUMMYFUNCTION("""COMPUTED_VALUE"""),"TOTAL: CompTIA Network+ (N10-008)")</f>
        <v>TOTAL: CompTIA Network+ (N10-008)</v>
      </c>
    </row>
    <row r="13909">
      <c r="A13909" s="140" t="str">
        <f>IFERROR(__xludf.DUMMYFUNCTION("""COMPUTED_VALUE"""),"it")</f>
        <v>it</v>
      </c>
      <c r="B13909">
        <f>IFERROR(__xludf.DUMMYFUNCTION("""COMPUTED_VALUE"""),4250106.0)</f>
        <v>4250106</v>
      </c>
      <c r="C13909" t="str">
        <f>IFERROR(__xludf.DUMMYFUNCTION("""COMPUTED_VALUE"""),"Gestione del tempo - Fare il triplo nella metà del tempo™")</f>
        <v>Gestione del tempo - Fare il triplo nella metà del tempo™</v>
      </c>
    </row>
    <row r="13910">
      <c r="A13910" s="140" t="str">
        <f>IFERROR(__xludf.DUMMYFUNCTION("""COMPUTED_VALUE"""),"fr")</f>
        <v>fr</v>
      </c>
      <c r="B13910">
        <f>IFERROR(__xludf.DUMMYFUNCTION("""COMPUTED_VALUE"""),3374154.0)</f>
        <v>3374154</v>
      </c>
      <c r="C13910" t="str">
        <f>IFERROR(__xludf.DUMMYFUNCTION("""COMPUTED_VALUE"""),"Kubernetes: Les bases indispensables pour DevOps [2022]")</f>
        <v>Kubernetes: Les bases indispensables pour DevOps [2022]</v>
      </c>
    </row>
    <row r="13911">
      <c r="A13911" s="140" t="str">
        <f>IFERROR(__xludf.DUMMYFUNCTION("""COMPUTED_VALUE"""),"it")</f>
        <v>it</v>
      </c>
      <c r="B13911">
        <f>IFERROR(__xludf.DUMMYFUNCTION("""COMPUTED_VALUE"""),4193638.0)</f>
        <v>4193638</v>
      </c>
      <c r="C13911" t="str">
        <f>IFERROR(__xludf.DUMMYFUNCTION("""COMPUTED_VALUE"""),"WordPress pratico: impara oggi a realizzare il tuo Sito Web")</f>
        <v>WordPress pratico: impara oggi a realizzare il tuo Sito Web</v>
      </c>
    </row>
    <row r="13912">
      <c r="A13912" s="140" t="str">
        <f>IFERROR(__xludf.DUMMYFUNCTION("""COMPUTED_VALUE"""),"ja")</f>
        <v>ja</v>
      </c>
      <c r="B13912">
        <f>IFERROR(__xludf.DUMMYFUNCTION("""COMPUTED_VALUE"""),2680670.0)</f>
        <v>2680670</v>
      </c>
      <c r="C13912" t="str">
        <f>IFERROR(__xludf.DUMMYFUNCTION("""COMPUTED_VALUE"""),"外資系企業 で実際に行われた エクセル を使った３つの アドホック分析")</f>
        <v>外資系企業 で実際に行われた エクセル を使った３つの アドホック分析</v>
      </c>
    </row>
    <row r="13913">
      <c r="A13913" s="140" t="str">
        <f>IFERROR(__xludf.DUMMYFUNCTION("""COMPUTED_VALUE"""),"ko")</f>
        <v>ko</v>
      </c>
      <c r="B13913">
        <f>IFERROR(__xludf.DUMMYFUNCTION("""COMPUTED_VALUE"""),4250576.0)</f>
        <v>4250576</v>
      </c>
      <c r="C13913" t="str">
        <f>IFERROR(__xludf.DUMMYFUNCTION("""COMPUTED_VALUE"""),"【글로벌 Best】 Cryptocurrency 완벽 강의: 암호화폐 및 블록체인 의 모든 것! (한글자막)")</f>
        <v>【글로벌 Best】 Cryptocurrency 완벽 강의: 암호화폐 및 블록체인 의 모든 것! (한글자막)</v>
      </c>
    </row>
    <row r="13914">
      <c r="A13914" s="140" t="str">
        <f>IFERROR(__xludf.DUMMYFUNCTION("""COMPUTED_VALUE"""),"fr")</f>
        <v>fr</v>
      </c>
      <c r="B13914">
        <f>IFERROR(__xludf.DUMMYFUNCTION("""COMPUTED_VALUE"""),2832194.0)</f>
        <v>2832194</v>
      </c>
      <c r="C13914" t="str">
        <f>IFERROR(__xludf.DUMMYFUNCTION("""COMPUTED_VALUE"""),"Java 8 :Réussir votre prochain entretien technique java 2021")</f>
        <v>Java 8 :Réussir votre prochain entretien technique java 2021</v>
      </c>
    </row>
    <row r="13915">
      <c r="A13915" s="140" t="str">
        <f>IFERROR(__xludf.DUMMYFUNCTION("""COMPUTED_VALUE"""),"en")</f>
        <v>en</v>
      </c>
      <c r="B13915">
        <f>IFERROR(__xludf.DUMMYFUNCTION("""COMPUTED_VALUE"""),4452642.0)</f>
        <v>4452642</v>
      </c>
      <c r="C13915" t="str">
        <f>IFERROR(__xludf.DUMMYFUNCTION("""COMPUTED_VALUE"""),"XPath, CSS Selector, Web,DOM, SelectorsHub &amp; TestCase Studio")</f>
        <v>XPath, CSS Selector, Web,DOM, SelectorsHub &amp; TestCase Studio</v>
      </c>
    </row>
    <row r="13916">
      <c r="A13916" s="140" t="str">
        <f>IFERROR(__xludf.DUMMYFUNCTION("""COMPUTED_VALUE"""),"fr")</f>
        <v>fr</v>
      </c>
      <c r="B13916">
        <f>IFERROR(__xludf.DUMMYFUNCTION("""COMPUTED_VALUE"""),3339896.0)</f>
        <v>3339896</v>
      </c>
      <c r="C13916" t="str">
        <f>IFERROR(__xludf.DUMMYFUNCTION("""COMPUTED_VALUE"""),"Créer des JEUX 2D qualité PRO avec UNITY (AVEC ou SANS CODE)")</f>
        <v>Créer des JEUX 2D qualité PRO avec UNITY (AVEC ou SANS CODE)</v>
      </c>
    </row>
    <row r="13917">
      <c r="A13917" s="140" t="str">
        <f>IFERROR(__xludf.DUMMYFUNCTION("""COMPUTED_VALUE"""),"fr")</f>
        <v>fr</v>
      </c>
      <c r="B13917">
        <f>IFERROR(__xludf.DUMMYFUNCTION("""COMPUTED_VALUE"""),2982962.0)</f>
        <v>2982962</v>
      </c>
      <c r="C13917" t="str">
        <f>IFERROR(__xludf.DUMMYFUNCTION("""COMPUTED_VALUE"""),"Créer un site de A à Z : Le Portfolio")</f>
        <v>Créer un site de A à Z : Le Portfolio</v>
      </c>
    </row>
    <row r="13918">
      <c r="A13918" s="140" t="str">
        <f>IFERROR(__xludf.DUMMYFUNCTION("""COMPUTED_VALUE"""),"ar")</f>
        <v>ar</v>
      </c>
      <c r="B13918">
        <f>IFERROR(__xludf.DUMMYFUNCTION("""COMPUTED_VALUE"""),3236087.0)</f>
        <v>3236087</v>
      </c>
      <c r="C13918" t="str">
        <f>IFERROR(__xludf.DUMMYFUNCTION("""COMPUTED_VALUE"""),"Intro to Digital Marketing - تعلم أساسيات التسويق الرقمي")</f>
        <v>Intro to Digital Marketing - تعلم أساسيات التسويق الرقمي</v>
      </c>
    </row>
    <row r="13919">
      <c r="A13919" s="140" t="str">
        <f>IFERROR(__xludf.DUMMYFUNCTION("""COMPUTED_VALUE"""),"ja")</f>
        <v>ja</v>
      </c>
      <c r="B13919">
        <f>IFERROR(__xludf.DUMMYFUNCTION("""COMPUTED_VALUE"""),4345688.0)</f>
        <v>4345688</v>
      </c>
      <c r="C13919" t="str">
        <f>IFERROR(__xludf.DUMMYFUNCTION("""COMPUTED_VALUE"""),"絶対合格！Microsoft AI-900　模擬試験問題　※日本語対応")</f>
        <v>絶対合格！Microsoft AI-900　模擬試験問題　※日本語対応</v>
      </c>
    </row>
    <row r="13920">
      <c r="A13920" s="140" t="str">
        <f>IFERROR(__xludf.DUMMYFUNCTION("""COMPUTED_VALUE"""),"en")</f>
        <v>en</v>
      </c>
      <c r="B13920">
        <f>IFERROR(__xludf.DUMMYFUNCTION("""COMPUTED_VALUE"""),1242062.0)</f>
        <v>1242062</v>
      </c>
      <c r="C13920" t="str">
        <f>IFERROR(__xludf.DUMMYFUNCTION("""COMPUTED_VALUE"""),"Calculus 1 Mastered")</f>
        <v>Calculus 1 Mastered</v>
      </c>
    </row>
    <row r="13921">
      <c r="A13921" s="140" t="str">
        <f>IFERROR(__xludf.DUMMYFUNCTION("""COMPUTED_VALUE"""),"fr")</f>
        <v>fr</v>
      </c>
      <c r="B13921">
        <f>IFERROR(__xludf.DUMMYFUNCTION("""COMPUTED_VALUE"""),2756808.0)</f>
        <v>2756808</v>
      </c>
      <c r="C13921" t="str">
        <f>IFERROR(__xludf.DUMMYFUNCTION("""COMPUTED_VALUE"""),"Ranger, trier et organiser votre Mac")</f>
        <v>Ranger, trier et organiser votre Mac</v>
      </c>
    </row>
    <row r="13922">
      <c r="A13922" s="140" t="str">
        <f>IFERROR(__xludf.DUMMYFUNCTION("""COMPUTED_VALUE"""),"en")</f>
        <v>en</v>
      </c>
      <c r="B13922">
        <f>IFERROR(__xludf.DUMMYFUNCTION("""COMPUTED_VALUE"""),3639976.0)</f>
        <v>3639976</v>
      </c>
      <c r="C13922" t="str">
        <f>IFERROR(__xludf.DUMMYFUNCTION("""COMPUTED_VALUE"""),"High-Level Synthesis for FPGA, Part 2 - Sequential Circuits")</f>
        <v>High-Level Synthesis for FPGA, Part 2 - Sequential Circuits</v>
      </c>
    </row>
    <row r="13923">
      <c r="A13923" s="140" t="str">
        <f>IFERROR(__xludf.DUMMYFUNCTION("""COMPUTED_VALUE"""),"ja")</f>
        <v>ja</v>
      </c>
      <c r="B13923">
        <f>IFERROR(__xludf.DUMMYFUNCTION("""COMPUTED_VALUE"""),3745612.0)</f>
        <v>3745612</v>
      </c>
      <c r="C13923" t="str">
        <f>IFERROR(__xludf.DUMMYFUNCTION("""COMPUTED_VALUE"""),"AfterEffects【脱初心者】シェイプ・アニメーションで作る【6種】のモーショングラフィックス")</f>
        <v>AfterEffects【脱初心者】シェイプ・アニメーションで作る【6種】のモーショングラフィックス</v>
      </c>
    </row>
    <row r="13924">
      <c r="A13924" s="140" t="str">
        <f>IFERROR(__xludf.DUMMYFUNCTION("""COMPUTED_VALUE"""),"en")</f>
        <v>en</v>
      </c>
      <c r="B13924">
        <f>IFERROR(__xludf.DUMMYFUNCTION("""COMPUTED_VALUE"""),3155154.0)</f>
        <v>3155154</v>
      </c>
      <c r="C13924" t="str">
        <f>IFERROR(__xludf.DUMMYFUNCTION("""COMPUTED_VALUE"""),"JMP Training for Statistics &amp; Data Visualization")</f>
        <v>JMP Training for Statistics &amp; Data Visualization</v>
      </c>
    </row>
    <row r="13925">
      <c r="A13925" s="140" t="str">
        <f>IFERROR(__xludf.DUMMYFUNCTION("""COMPUTED_VALUE"""),"en")</f>
        <v>en</v>
      </c>
      <c r="B13925">
        <f>IFERROR(__xludf.DUMMYFUNCTION("""COMPUTED_VALUE"""),3945608.0)</f>
        <v>3945608</v>
      </c>
      <c r="C13925" t="str">
        <f>IFERROR(__xludf.DUMMYFUNCTION("""COMPUTED_VALUE"""),"Quantum Computing A-Z")</f>
        <v>Quantum Computing A-Z</v>
      </c>
    </row>
    <row r="13926">
      <c r="A13926" s="140" t="str">
        <f>IFERROR(__xludf.DUMMYFUNCTION("""COMPUTED_VALUE"""),"en")</f>
        <v>en</v>
      </c>
      <c r="B13926">
        <f>IFERROR(__xludf.DUMMYFUNCTION("""COMPUTED_VALUE"""),3823634.0)</f>
        <v>3823634</v>
      </c>
      <c r="C13926" t="str">
        <f>IFERROR(__xludf.DUMMYFUNCTION("""COMPUTED_VALUE"""),"VMware vSphere Networking Crash Course")</f>
        <v>VMware vSphere Networking Crash Course</v>
      </c>
    </row>
    <row r="13927">
      <c r="A13927" s="140" t="str">
        <f>IFERROR(__xludf.DUMMYFUNCTION("""COMPUTED_VALUE"""),"ja")</f>
        <v>ja</v>
      </c>
      <c r="B13927">
        <f>IFERROR(__xludf.DUMMYFUNCTION("""COMPUTED_VALUE"""),4255986.0)</f>
        <v>4255986</v>
      </c>
      <c r="C13927" t="str">
        <f>IFERROR(__xludf.DUMMYFUNCTION("""COMPUTED_VALUE"""),"英語スピーキングの基礎力をつける、全く新しい、ネタが途切れない独り言英語講座")</f>
        <v>英語スピーキングの基礎力をつける、全く新しい、ネタが途切れない独り言英語講座</v>
      </c>
    </row>
    <row r="13928">
      <c r="A13928" s="140" t="str">
        <f>IFERROR(__xludf.DUMMYFUNCTION("""COMPUTED_VALUE"""),"de")</f>
        <v>de</v>
      </c>
      <c r="B13928">
        <f>IFERROR(__xludf.DUMMYFUNCTION("""COMPUTED_VALUE"""),3597946.0)</f>
        <v>3597946</v>
      </c>
      <c r="C13928" t="str">
        <f>IFERROR(__xludf.DUMMYFUNCTION("""COMPUTED_VALUE"""),"Agiles Anforderungsmanagement für Nicht-IT-Menschen")</f>
        <v>Agiles Anforderungsmanagement für Nicht-IT-Menschen</v>
      </c>
    </row>
    <row r="13929">
      <c r="A13929" s="140" t="str">
        <f>IFERROR(__xludf.DUMMYFUNCTION("""COMPUTED_VALUE"""),"ja")</f>
        <v>ja</v>
      </c>
      <c r="B13929">
        <f>IFERROR(__xludf.DUMMYFUNCTION("""COMPUTED_VALUE"""),4324762.0)</f>
        <v>4324762</v>
      </c>
      <c r="C13929" t="str">
        <f>IFERROR(__xludf.DUMMYFUNCTION("""COMPUTED_VALUE"""),"1日2万文字書くプロライター直伝！素早く・わかりやすい文章を書くスピードライティング術【全資料ダウンロード可能】")</f>
        <v>1日2万文字書くプロライター直伝！素早く・わかりやすい文章を書くスピードライティング術【全資料ダウンロード可能】</v>
      </c>
    </row>
    <row r="13930">
      <c r="A13930" s="140" t="str">
        <f>IFERROR(__xludf.DUMMYFUNCTION("""COMPUTED_VALUE"""),"en")</f>
        <v>en</v>
      </c>
      <c r="B13930">
        <f>IFERROR(__xludf.DUMMYFUNCTION("""COMPUTED_VALUE"""),4401102.0)</f>
        <v>4401102</v>
      </c>
      <c r="C13930" t="str">
        <f>IFERROR(__xludf.DUMMYFUNCTION("""COMPUTED_VALUE"""),"Monday for Beginners - An Introductory Course to Monday")</f>
        <v>Monday for Beginners - An Introductory Course to Monday</v>
      </c>
    </row>
    <row r="13931">
      <c r="A13931" s="140" t="str">
        <f>IFERROR(__xludf.DUMMYFUNCTION("""COMPUTED_VALUE"""),"it")</f>
        <v>it</v>
      </c>
      <c r="B13931">
        <f>IFERROR(__xludf.DUMMYFUNCTION("""COMPUTED_VALUE"""),4279360.0)</f>
        <v>4279360</v>
      </c>
      <c r="C13931" t="str">
        <f>IFERROR(__xludf.DUMMYFUNCTION("""COMPUTED_VALUE"""),"Corso pratico di Pandas e Python con esempi per data mining")</f>
        <v>Corso pratico di Pandas e Python con esempi per data mining</v>
      </c>
    </row>
    <row r="13932">
      <c r="A13932" s="140" t="str">
        <f>IFERROR(__xludf.DUMMYFUNCTION("""COMPUTED_VALUE"""),"fr")</f>
        <v>fr</v>
      </c>
      <c r="B13932">
        <f>IFERROR(__xludf.DUMMYFUNCTION("""COMPUTED_VALUE"""),4213508.0)</f>
        <v>4213508</v>
      </c>
      <c r="C13932" t="str">
        <f>IFERROR(__xludf.DUMMYFUNCTION("""COMPUTED_VALUE"""),"Apprenez et maitrisez Hibernate / JPA !")</f>
        <v>Apprenez et maitrisez Hibernate / JPA !</v>
      </c>
    </row>
    <row r="13933">
      <c r="A13933" s="140" t="str">
        <f>IFERROR(__xludf.DUMMYFUNCTION("""COMPUTED_VALUE"""),"de")</f>
        <v>de</v>
      </c>
      <c r="B13933">
        <f>IFERROR(__xludf.DUMMYFUNCTION("""COMPUTED_VALUE"""),4134980.0)</f>
        <v>4134980</v>
      </c>
      <c r="C13933" t="str">
        <f>IFERROR(__xludf.DUMMYFUNCTION("""COMPUTED_VALUE"""),"Englisch B2 - Vokabular, Grammatik und mehr!")</f>
        <v>Englisch B2 - Vokabular, Grammatik und mehr!</v>
      </c>
    </row>
    <row r="13934">
      <c r="A13934" s="140" t="str">
        <f>IFERROR(__xludf.DUMMYFUNCTION("""COMPUTED_VALUE"""),"ko")</f>
        <v>ko</v>
      </c>
      <c r="B13934">
        <f>IFERROR(__xludf.DUMMYFUNCTION("""COMPUTED_VALUE"""),4400472.0)</f>
        <v>4400472</v>
      </c>
      <c r="C13934" t="str">
        <f>IFERROR(__xludf.DUMMYFUNCTION("""COMPUTED_VALUE"""),"【글로벌 Best】 C# Unity 게임 개발자 2D (한글자막)")</f>
        <v>【글로벌 Best】 C# Unity 게임 개발자 2D (한글자막)</v>
      </c>
    </row>
    <row r="13935">
      <c r="A13935" s="140" t="str">
        <f>IFERROR(__xludf.DUMMYFUNCTION("""COMPUTED_VALUE"""),"pt")</f>
        <v>pt</v>
      </c>
      <c r="B13935">
        <f>IFERROR(__xludf.DUMMYFUNCTION("""COMPUTED_VALUE"""),2533824.0)</f>
        <v>2533824</v>
      </c>
      <c r="C13935" t="str">
        <f>IFERROR(__xludf.DUMMYFUNCTION("""COMPUTED_VALUE"""),"Formação de Auditor Interno - ISO 9001:2015")</f>
        <v>Formação de Auditor Interno - ISO 9001:2015</v>
      </c>
    </row>
    <row r="13936">
      <c r="A13936" s="140" t="str">
        <f>IFERROR(__xludf.DUMMYFUNCTION("""COMPUTED_VALUE"""),"ko")</f>
        <v>ko</v>
      </c>
      <c r="B13936">
        <f>IFERROR(__xludf.DUMMYFUNCTION("""COMPUTED_VALUE"""),4395242.0)</f>
        <v>4395242</v>
      </c>
      <c r="C13936" t="str">
        <f>IFERROR(__xludf.DUMMYFUNCTION("""COMPUTED_VALUE"""),"【글로벌 Best】 비즈니스 를 위한 Data Science : 6개의 실제 사례로 실습하기 (한글자막)")</f>
        <v>【글로벌 Best】 비즈니스 를 위한 Data Science : 6개의 실제 사례로 실습하기 (한글자막)</v>
      </c>
    </row>
    <row r="13937">
      <c r="A13937" s="140" t="str">
        <f>IFERROR(__xludf.DUMMYFUNCTION("""COMPUTED_VALUE"""),"en")</f>
        <v>en</v>
      </c>
      <c r="B13937">
        <f>IFERROR(__xludf.DUMMYFUNCTION("""COMPUTED_VALUE"""),3765160.0)</f>
        <v>3765160</v>
      </c>
      <c r="C13937" t="str">
        <f>IFERROR(__xludf.DUMMYFUNCTION("""COMPUTED_VALUE"""),"Asana - Project Management - Intermediate to Advanced")</f>
        <v>Asana - Project Management - Intermediate to Advanced</v>
      </c>
    </row>
    <row r="13938">
      <c r="A13938" s="140" t="str">
        <f>IFERROR(__xludf.DUMMYFUNCTION("""COMPUTED_VALUE"""),"it")</f>
        <v>it</v>
      </c>
      <c r="B13938">
        <f>IFERROR(__xludf.DUMMYFUNCTION("""COMPUTED_VALUE"""),2307226.0)</f>
        <v>2307226</v>
      </c>
      <c r="C13938" t="str">
        <f>IFERROR(__xludf.DUMMYFUNCTION("""COMPUTED_VALUE"""),"Instagram, il corso completo 2022 per imprese locali")</f>
        <v>Instagram, il corso completo 2022 per imprese locali</v>
      </c>
    </row>
    <row r="13939">
      <c r="A13939" s="140" t="str">
        <f>IFERROR(__xludf.DUMMYFUNCTION("""COMPUTED_VALUE"""),"de")</f>
        <v>de</v>
      </c>
      <c r="B13939">
        <f>IFERROR(__xludf.DUMMYFUNCTION("""COMPUTED_VALUE"""),2988176.0)</f>
        <v>2988176</v>
      </c>
      <c r="C13939" t="str">
        <f>IFERROR(__xludf.DUMMYFUNCTION("""COMPUTED_VALUE"""),"Sprachen lernen - Mit 15 Minuten am Tag akzentfrei sprechen")</f>
        <v>Sprachen lernen - Mit 15 Minuten am Tag akzentfrei sprechen</v>
      </c>
    </row>
    <row r="13940">
      <c r="A13940" s="140" t="str">
        <f>IFERROR(__xludf.DUMMYFUNCTION("""COMPUTED_VALUE"""),"ja")</f>
        <v>ja</v>
      </c>
      <c r="B13940">
        <f>IFERROR(__xludf.DUMMYFUNCTION("""COMPUTED_VALUE"""),2696910.0)</f>
        <v>2696910</v>
      </c>
      <c r="C13940" t="str">
        <f>IFERROR(__xludf.DUMMYFUNCTION("""COMPUTED_VALUE"""),"Python 3.8マスター講座!!0から文法、標準ライブラリ、numpy, pandas, SQLAlchemy")</f>
        <v>Python 3.8マスター講座!!0から文法、標準ライブラリ、numpy, pandas, SQLAlchemy</v>
      </c>
    </row>
    <row r="13941">
      <c r="A13941" s="140" t="str">
        <f>IFERROR(__xludf.DUMMYFUNCTION("""COMPUTED_VALUE"""),"en")</f>
        <v>en</v>
      </c>
      <c r="B13941">
        <f>IFERROR(__xludf.DUMMYFUNCTION("""COMPUTED_VALUE"""),3947032.0)</f>
        <v>3947032</v>
      </c>
      <c r="C13941" t="str">
        <f>IFERROR(__xludf.DUMMYFUNCTION("""COMPUTED_VALUE"""),"Business Continuity Management BCMS &amp; ISO 22301 Masterclass")</f>
        <v>Business Continuity Management BCMS &amp; ISO 22301 Masterclass</v>
      </c>
    </row>
    <row r="13942">
      <c r="A13942" s="140" t="str">
        <f>IFERROR(__xludf.DUMMYFUNCTION("""COMPUTED_VALUE"""),"ja")</f>
        <v>ja</v>
      </c>
      <c r="B13942">
        <f>IFERROR(__xludf.DUMMYFUNCTION("""COMPUTED_VALUE"""),2591232.0)</f>
        <v>2591232</v>
      </c>
      <c r="C13942" t="str">
        <f>IFERROR(__xludf.DUMMYFUNCTION("""COMPUTED_VALUE"""),"【続】Microsoft - Excel Power Pivot 入門講座　～Power Query Editor編～")</f>
        <v>【続】Microsoft - Excel Power Pivot 入門講座　～Power Query Editor編～</v>
      </c>
    </row>
    <row r="13943">
      <c r="A13943" s="140" t="str">
        <f>IFERROR(__xludf.DUMMYFUNCTION("""COMPUTED_VALUE"""),"fr")</f>
        <v>fr</v>
      </c>
      <c r="B13943">
        <f>IFERROR(__xludf.DUMMYFUNCTION("""COMPUTED_VALUE"""),3876578.0)</f>
        <v>3876578</v>
      </c>
      <c r="C13943" t="str">
        <f>IFERROR(__xludf.DUMMYFUNCTION("""COMPUTED_VALUE"""),"Notion : le cours complet - De débutants à avancés")</f>
        <v>Notion : le cours complet - De débutants à avancés</v>
      </c>
    </row>
    <row r="13944">
      <c r="A13944" s="140" t="str">
        <f>IFERROR(__xludf.DUMMYFUNCTION("""COMPUTED_VALUE"""),"ja")</f>
        <v>ja</v>
      </c>
      <c r="B13944">
        <f>IFERROR(__xludf.DUMMYFUNCTION("""COMPUTED_VALUE"""),4219726.0)</f>
        <v>4219726</v>
      </c>
      <c r="C13944" t="str">
        <f>IFERROR(__xludf.DUMMYFUNCTION("""COMPUTED_VALUE"""),"【初学者向け】データマネジメント入門！DX推進やAI 導入を支える重要な要素をDMBOKに沿ってみていこう！")</f>
        <v>【初学者向け】データマネジメント入門！DX推進やAI 導入を支える重要な要素をDMBOKに沿ってみていこう！</v>
      </c>
    </row>
    <row r="13945">
      <c r="A13945" s="140" t="str">
        <f>IFERROR(__xludf.DUMMYFUNCTION("""COMPUTED_VALUE"""),"en")</f>
        <v>en</v>
      </c>
      <c r="B13945">
        <f>IFERROR(__xludf.DUMMYFUNCTION("""COMPUTED_VALUE"""),4400536.0)</f>
        <v>4400536</v>
      </c>
      <c r="C13945" t="str">
        <f>IFERROR(__xludf.DUMMYFUNCTION("""COMPUTED_VALUE"""),"Digital Marketing Course For Managers &amp; Entrepreneurs")</f>
        <v>Digital Marketing Course For Managers &amp; Entrepreneurs</v>
      </c>
    </row>
    <row r="13946">
      <c r="A13946" s="140" t="str">
        <f>IFERROR(__xludf.DUMMYFUNCTION("""COMPUTED_VALUE"""),"ko")</f>
        <v>ko</v>
      </c>
      <c r="B13946">
        <f>IFERROR(__xludf.DUMMYFUNCTION("""COMPUTED_VALUE"""),4290978.0)</f>
        <v>4290978</v>
      </c>
      <c r="C13946" t="str">
        <f>IFERROR(__xludf.DUMMYFUNCTION("""COMPUTED_VALUE"""),"글로벌 Best】 언리얼 C++ 멀티플레이어 마스터 : 중급 게임 개발  (한글자막)")</f>
        <v>글로벌 Best】 언리얼 C++ 멀티플레이어 마스터 : 중급 게임 개발  (한글자막)</v>
      </c>
    </row>
    <row r="13947">
      <c r="A13947" s="140" t="str">
        <f>IFERROR(__xludf.DUMMYFUNCTION("""COMPUTED_VALUE"""),"it")</f>
        <v>it</v>
      </c>
      <c r="B13947">
        <f>IFERROR(__xludf.DUMMYFUNCTION("""COMPUTED_VALUE"""),2743776.0)</f>
        <v>2743776</v>
      </c>
      <c r="C13947" t="str">
        <f>IFERROR(__xludf.DUMMYFUNCTION("""COMPUTED_VALUE"""),"Impara le basi della programmazione con Python")</f>
        <v>Impara le basi della programmazione con Python</v>
      </c>
    </row>
    <row r="13948">
      <c r="A13948" s="140" t="str">
        <f>IFERROR(__xludf.DUMMYFUNCTION("""COMPUTED_VALUE"""),"de")</f>
        <v>de</v>
      </c>
      <c r="B13948">
        <f>IFERROR(__xludf.DUMMYFUNCTION("""COMPUTED_VALUE"""),3269098.0)</f>
        <v>3269098</v>
      </c>
      <c r="C13948" t="str">
        <f>IFERROR(__xludf.DUMMYFUNCTION("""COMPUTED_VALUE"""),"Kommunikative Konfrontation - So setzt Du Dich durch.")</f>
        <v>Kommunikative Konfrontation - So setzt Du Dich durch.</v>
      </c>
    </row>
    <row r="13949">
      <c r="A13949" s="140" t="str">
        <f>IFERROR(__xludf.DUMMYFUNCTION("""COMPUTED_VALUE"""),"ja")</f>
        <v>ja</v>
      </c>
      <c r="B13949">
        <f>IFERROR(__xludf.DUMMYFUNCTION("""COMPUTED_VALUE"""),4030326.0)</f>
        <v>4030326</v>
      </c>
      <c r="C13949" t="str">
        <f>IFERROR(__xludf.DUMMYFUNCTION("""COMPUTED_VALUE"""),"みんなのデータサイエンス講座 -Python、Colab、Kaggleで基礎から学び親しむ「データ」の世界-")</f>
        <v>みんなのデータサイエンス講座 -Python、Colab、Kaggleで基礎から学び親しむ「データ」の世界-</v>
      </c>
    </row>
    <row r="13950">
      <c r="A13950" s="140" t="str">
        <f>IFERROR(__xludf.DUMMYFUNCTION("""COMPUTED_VALUE"""),"en")</f>
        <v>en</v>
      </c>
      <c r="B13950">
        <f>IFERROR(__xludf.DUMMYFUNCTION("""COMPUTED_VALUE"""),1468444.0)</f>
        <v>1468444</v>
      </c>
      <c r="C13950" t="str">
        <f>IFERROR(__xludf.DUMMYFUNCTION("""COMPUTED_VALUE"""),"Project Risk Management")</f>
        <v>Project Risk Management</v>
      </c>
    </row>
    <row r="13951">
      <c r="A13951" s="140" t="str">
        <f>IFERROR(__xludf.DUMMYFUNCTION("""COMPUTED_VALUE"""),"pt")</f>
        <v>pt</v>
      </c>
      <c r="B13951">
        <f>IFERROR(__xludf.DUMMYFUNCTION("""COMPUTED_VALUE"""),2456404.0)</f>
        <v>2456404</v>
      </c>
      <c r="C13951" t="str">
        <f>IFERROR(__xludf.DUMMYFUNCTION("""COMPUTED_VALUE"""),"SEO na prática - Como otimizar e criar um projeto de SEO?")</f>
        <v>SEO na prática - Como otimizar e criar um projeto de SEO?</v>
      </c>
    </row>
    <row r="13952">
      <c r="A13952" s="140" t="str">
        <f>IFERROR(__xludf.DUMMYFUNCTION("""COMPUTED_VALUE"""),"fr")</f>
        <v>fr</v>
      </c>
      <c r="B13952">
        <f>IFERROR(__xludf.DUMMYFUNCTION("""COMPUTED_VALUE"""),1918798.0)</f>
        <v>1918798</v>
      </c>
      <c r="C13952" t="str">
        <f>IFERROR(__xludf.DUMMYFUNCTION("""COMPUTED_VALUE"""),"Systeme-io facile !")</f>
        <v>Systeme-io facile !</v>
      </c>
    </row>
    <row r="13953">
      <c r="A13953" s="140" t="str">
        <f>IFERROR(__xludf.DUMMYFUNCTION("""COMPUTED_VALUE"""),"en")</f>
        <v>en</v>
      </c>
      <c r="B13953">
        <f>IFERROR(__xludf.DUMMYFUNCTION("""COMPUTED_VALUE"""),3362814.0)</f>
        <v>3362814</v>
      </c>
      <c r="C13953" t="str">
        <f>IFERROR(__xludf.DUMMYFUNCTION("""COMPUTED_VALUE"""),"Practice Bold Allyship and End Racism in the Workplace")</f>
        <v>Practice Bold Allyship and End Racism in the Workplace</v>
      </c>
    </row>
    <row r="13954">
      <c r="A13954" s="140" t="str">
        <f>IFERROR(__xludf.DUMMYFUNCTION("""COMPUTED_VALUE"""),"it")</f>
        <v>it</v>
      </c>
      <c r="B13954">
        <f>IFERROR(__xludf.DUMMYFUNCTION("""COMPUTED_VALUE"""),3322274.0)</f>
        <v>3322274</v>
      </c>
      <c r="C13954" t="str">
        <f>IFERROR(__xludf.DUMMYFUNCTION("""COMPUTED_VALUE"""),"Instagram Marketing 2022 - Il Corso Completo con Certificato")</f>
        <v>Instagram Marketing 2022 - Il Corso Completo con Certificato</v>
      </c>
    </row>
    <row r="13955">
      <c r="A13955" s="140" t="str">
        <f>IFERROR(__xludf.DUMMYFUNCTION("""COMPUTED_VALUE"""),"ja")</f>
        <v>ja</v>
      </c>
      <c r="B13955">
        <f>IFERROR(__xludf.DUMMYFUNCTION("""COMPUTED_VALUE"""),2700372.0)</f>
        <v>2700372</v>
      </c>
      <c r="C13955" t="str">
        <f>IFERROR(__xludf.DUMMYFUNCTION("""COMPUTED_VALUE"""),"未経験からwebディレクターになる！プロが教える超短期型育成コース：案件獲得～提案～納品までのフローを徹底解説")</f>
        <v>未経験からwebディレクターになる！プロが教える超短期型育成コース：案件獲得～提案～納品までのフローを徹底解説</v>
      </c>
    </row>
    <row r="13956">
      <c r="A13956" s="140" t="str">
        <f>IFERROR(__xludf.DUMMYFUNCTION("""COMPUTED_VALUE"""),"ja")</f>
        <v>ja</v>
      </c>
      <c r="B13956">
        <f>IFERROR(__xludf.DUMMYFUNCTION("""COMPUTED_VALUE"""),4089628.0)</f>
        <v>4089628</v>
      </c>
      <c r="C13956" t="str">
        <f>IFERROR(__xludf.DUMMYFUNCTION("""COMPUTED_VALUE"""),"【初心者のための骨格づくり】ウエイトペイント・リグ講座")</f>
        <v>【初心者のための骨格づくり】ウエイトペイント・リグ講座</v>
      </c>
    </row>
    <row r="13957">
      <c r="A13957" s="140" t="str">
        <f>IFERROR(__xludf.DUMMYFUNCTION("""COMPUTED_VALUE"""),"ko")</f>
        <v>ko</v>
      </c>
      <c r="B13957">
        <f>IFERROR(__xludf.DUMMYFUNCTION("""COMPUTED_VALUE"""),1760342.0)</f>
        <v>1760342</v>
      </c>
      <c r="C13957" t="str">
        <f>IFERROR(__xludf.DUMMYFUNCTION("""COMPUTED_VALUE"""),"OpenCV + Webapp")</f>
        <v>OpenCV + Webapp</v>
      </c>
    </row>
    <row r="13958">
      <c r="A13958" s="140" t="str">
        <f>IFERROR(__xludf.DUMMYFUNCTION("""COMPUTED_VALUE"""),"it")</f>
        <v>it</v>
      </c>
      <c r="B13958">
        <f>IFERROR(__xludf.DUMMYFUNCTION("""COMPUTED_VALUE"""),3906774.0)</f>
        <v>3906774</v>
      </c>
      <c r="C13958" t="str">
        <f>IFERROR(__xludf.DUMMYFUNCTION("""COMPUTED_VALUE"""),"Corso completo di Cinese (livello base)")</f>
        <v>Corso completo di Cinese (livello base)</v>
      </c>
    </row>
    <row r="13959">
      <c r="A13959" s="140" t="str">
        <f>IFERROR(__xludf.DUMMYFUNCTION("""COMPUTED_VALUE"""),"en")</f>
        <v>en</v>
      </c>
      <c r="B13959">
        <f>IFERROR(__xludf.DUMMYFUNCTION("""COMPUTED_VALUE"""),1539400.0)</f>
        <v>1539400</v>
      </c>
      <c r="C13959" t="str">
        <f>IFERROR(__xludf.DUMMYFUNCTION("""COMPUTED_VALUE"""),"Become a Product Marketing Manager | Product Management")</f>
        <v>Become a Product Marketing Manager | Product Management</v>
      </c>
    </row>
    <row r="13960">
      <c r="A13960" s="140" t="str">
        <f>IFERROR(__xludf.DUMMYFUNCTION("""COMPUTED_VALUE"""),"ko")</f>
        <v>ko</v>
      </c>
      <c r="B13960">
        <f>IFERROR(__xludf.DUMMYFUNCTION("""COMPUTED_VALUE"""),4404269.0)</f>
        <v>4404269</v>
      </c>
      <c r="C13960" t="str">
        <f>IFERROR(__xludf.DUMMYFUNCTION("""COMPUTED_VALUE"""),"열심히 이든쌤 기초 영어 회화")</f>
        <v>열심히 이든쌤 기초 영어 회화</v>
      </c>
    </row>
    <row r="13961">
      <c r="A13961" s="140" t="str">
        <f>IFERROR(__xludf.DUMMYFUNCTION("""COMPUTED_VALUE"""),"en")</f>
        <v>en</v>
      </c>
      <c r="B13961">
        <f>IFERROR(__xludf.DUMMYFUNCTION("""COMPUTED_VALUE"""),2875974.0)</f>
        <v>2875974</v>
      </c>
      <c r="C13961" t="str">
        <f>IFERROR(__xludf.DUMMYFUNCTION("""COMPUTED_VALUE"""),"Employee Onboarding Crash-Course | An Intro To Onboarding")</f>
        <v>Employee Onboarding Crash-Course | An Intro To Onboarding</v>
      </c>
    </row>
    <row r="13962">
      <c r="A13962" s="140" t="str">
        <f>IFERROR(__xludf.DUMMYFUNCTION("""COMPUTED_VALUE"""),"fr")</f>
        <v>fr</v>
      </c>
      <c r="B13962">
        <f>IFERROR(__xludf.DUMMYFUNCTION("""COMPUTED_VALUE"""),3383504.0)</f>
        <v>3383504</v>
      </c>
      <c r="C13962" t="str">
        <f>IFERROR(__xludf.DUMMYFUNCTION("""COMPUTED_VALUE"""),"Terraform: Les bases indispensables [2022]")</f>
        <v>Terraform: Les bases indispensables [2022]</v>
      </c>
    </row>
    <row r="13963">
      <c r="A13963" s="140" t="str">
        <f>IFERROR(__xludf.DUMMYFUNCTION("""COMPUTED_VALUE"""),"it")</f>
        <v>it</v>
      </c>
      <c r="B13963">
        <f>IFERROR(__xludf.DUMMYFUNCTION("""COMPUTED_VALUE"""),4075140.0)</f>
        <v>4075140</v>
      </c>
      <c r="C13963" t="str">
        <f>IFERROR(__xludf.DUMMYFUNCTION("""COMPUTED_VALUE"""),"Il tuo primo corso di Spagnolo (livello Base)")</f>
        <v>Il tuo primo corso di Spagnolo (livello Base)</v>
      </c>
    </row>
    <row r="13964">
      <c r="A13964" s="140" t="str">
        <f>IFERROR(__xludf.DUMMYFUNCTION("""COMPUTED_VALUE"""),"en")</f>
        <v>en</v>
      </c>
      <c r="B13964">
        <f>IFERROR(__xludf.DUMMYFUNCTION("""COMPUTED_VALUE"""),3404110.0)</f>
        <v>3404110</v>
      </c>
      <c r="C13964" t="str">
        <f>IFERROR(__xludf.DUMMYFUNCTION("""COMPUTED_VALUE"""),"Apache Airflow: The Operators Guide")</f>
        <v>Apache Airflow: The Operators Guide</v>
      </c>
    </row>
    <row r="13965">
      <c r="A13965" s="140" t="str">
        <f>IFERROR(__xludf.DUMMYFUNCTION("""COMPUTED_VALUE"""),"en")</f>
        <v>en</v>
      </c>
      <c r="B13965">
        <f>IFERROR(__xludf.DUMMYFUNCTION("""COMPUTED_VALUE"""),2508952.0)</f>
        <v>2508952</v>
      </c>
      <c r="C13965" t="str">
        <f>IFERROR(__xludf.DUMMYFUNCTION("""COMPUTED_VALUE"""),"Healthcare 4.0 - Healthcare in the Industry 4.0")</f>
        <v>Healthcare 4.0 - Healthcare in the Industry 4.0</v>
      </c>
    </row>
    <row r="13966">
      <c r="A13966" s="140" t="str">
        <f>IFERROR(__xludf.DUMMYFUNCTION("""COMPUTED_VALUE"""),"de")</f>
        <v>de</v>
      </c>
      <c r="B13966">
        <f>IFERROR(__xludf.DUMMYFUNCTION("""COMPUTED_VALUE"""),2548073.0)</f>
        <v>2548073</v>
      </c>
      <c r="C13966" t="str">
        <f>IFERROR(__xludf.DUMMYFUNCTION("""COMPUTED_VALUE"""),"Reporting")</f>
        <v>Reporting</v>
      </c>
    </row>
    <row r="13967">
      <c r="A13967" s="140" t="str">
        <f>IFERROR(__xludf.DUMMYFUNCTION("""COMPUTED_VALUE"""),"it")</f>
        <v>it</v>
      </c>
      <c r="B13967">
        <f>IFERROR(__xludf.DUMMYFUNCTION("""COMPUTED_VALUE"""),2581330.0)</f>
        <v>2581330</v>
      </c>
      <c r="C13967" t="str">
        <f>IFERROR(__xludf.DUMMYFUNCTION("""COMPUTED_VALUE"""),"Linux: Teoria e Pratica")</f>
        <v>Linux: Teoria e Pratica</v>
      </c>
    </row>
    <row r="13968">
      <c r="A13968" s="140" t="str">
        <f>IFERROR(__xludf.DUMMYFUNCTION("""COMPUTED_VALUE"""),"en")</f>
        <v>en</v>
      </c>
      <c r="B13968">
        <f>IFERROR(__xludf.DUMMYFUNCTION("""COMPUTED_VALUE"""),2124324.0)</f>
        <v>2124324</v>
      </c>
      <c r="C13968" t="str">
        <f>IFERROR(__xludf.DUMMYFUNCTION("""COMPUTED_VALUE"""),"Rhino 3D V6 ( or V5 ) Level 2 Ship Surfacing")</f>
        <v>Rhino 3D V6 ( or V5 ) Level 2 Ship Surfacing</v>
      </c>
    </row>
    <row r="13969">
      <c r="A13969" s="140" t="str">
        <f>IFERROR(__xludf.DUMMYFUNCTION("""COMPUTED_VALUE"""),"ko")</f>
        <v>ko</v>
      </c>
      <c r="B13969">
        <f>IFERROR(__xludf.DUMMYFUNCTION("""COMPUTED_VALUE"""),4400040.0)</f>
        <v>4400040</v>
      </c>
      <c r="C13969" t="str">
        <f>IFERROR(__xludf.DUMMYFUNCTION("""COMPUTED_VALUE"""),"【글로벌 Best】 초보자를 위한 Kubernetes 완벽강의 : 구글 Cloud , AWS 및 Azure")</f>
        <v>【글로벌 Best】 초보자를 위한 Kubernetes 완벽강의 : 구글 Cloud , AWS 및 Azure</v>
      </c>
    </row>
    <row r="13970">
      <c r="A13970" s="140" t="str">
        <f>IFERROR(__xludf.DUMMYFUNCTION("""COMPUTED_VALUE"""),"it")</f>
        <v>it</v>
      </c>
      <c r="B13970">
        <f>IFERROR(__xludf.DUMMYFUNCTION("""COMPUTED_VALUE"""),2792586.0)</f>
        <v>2792586</v>
      </c>
      <c r="C13970" t="str">
        <f>IFERROR(__xludf.DUMMYFUNCTION("""COMPUTED_VALUE"""),"Pillole di comunicazione aziendale")</f>
        <v>Pillole di comunicazione aziendale</v>
      </c>
    </row>
    <row r="13971">
      <c r="A13971" s="140" t="str">
        <f>IFERROR(__xludf.DUMMYFUNCTION("""COMPUTED_VALUE"""),"ja")</f>
        <v>ja</v>
      </c>
      <c r="B13971">
        <f>IFERROR(__xludf.DUMMYFUNCTION("""COMPUTED_VALUE"""),4209682.0)</f>
        <v>4209682</v>
      </c>
      <c r="C13971" t="str">
        <f>IFERROR(__xludf.DUMMYFUNCTION("""COMPUTED_VALUE"""),"イメージでわかる線形代数  - 連立方程式と固有値問題 -：社会人になってから学ぶ数学（初級編）")</f>
        <v>イメージでわかる線形代数  - 連立方程式と固有値問題 -：社会人になってから学ぶ数学（初級編）</v>
      </c>
    </row>
    <row r="13972">
      <c r="A13972" s="140" t="str">
        <f>IFERROR(__xludf.DUMMYFUNCTION("""COMPUTED_VALUE"""),"en")</f>
        <v>en</v>
      </c>
      <c r="B13972">
        <f>IFERROR(__xludf.DUMMYFUNCTION("""COMPUTED_VALUE"""),3663114.0)</f>
        <v>3663114</v>
      </c>
      <c r="C13972" t="str">
        <f>IFERROR(__xludf.DUMMYFUNCTION("""COMPUTED_VALUE"""),"Mastering 4 critical SKILLS using Python")</f>
        <v>Mastering 4 critical SKILLS using Python</v>
      </c>
    </row>
    <row r="13973">
      <c r="A13973" s="140" t="str">
        <f>IFERROR(__xludf.DUMMYFUNCTION("""COMPUTED_VALUE"""),"en")</f>
        <v>en</v>
      </c>
      <c r="B13973">
        <f>IFERROR(__xludf.DUMMYFUNCTION("""COMPUTED_VALUE"""),3356662.0)</f>
        <v>3356662</v>
      </c>
      <c r="C13973" t="str">
        <f>IFERROR(__xludf.DUMMYFUNCTION("""COMPUTED_VALUE"""),"Beginners Guide To Business Presentations And Powerpoint")</f>
        <v>Beginners Guide To Business Presentations And Powerpoint</v>
      </c>
    </row>
    <row r="13974">
      <c r="A13974" s="140" t="str">
        <f>IFERROR(__xludf.DUMMYFUNCTION("""COMPUTED_VALUE"""),"ja")</f>
        <v>ja</v>
      </c>
      <c r="B13974">
        <f>IFERROR(__xludf.DUMMYFUNCTION("""COMPUTED_VALUE"""),3729896.0)</f>
        <v>3729896</v>
      </c>
      <c r="C13974" t="str">
        <f>IFERROR(__xludf.DUMMYFUNCTION("""COMPUTED_VALUE"""),"外交官通訳経験者の英会話｜30日で英語が話せる！英語力ゼロから【シート1枚だけ】で夢を叶えて人生が変わる英文法｜シート付")</f>
        <v>外交官通訳経験者の英会話｜30日で英語が話せる！英語力ゼロから【シート1枚だけ】で夢を叶えて人生が変わる英文法｜シート付</v>
      </c>
    </row>
    <row r="13975">
      <c r="A13975" s="140" t="str">
        <f>IFERROR(__xludf.DUMMYFUNCTION("""COMPUTED_VALUE"""),"en")</f>
        <v>en</v>
      </c>
      <c r="B13975">
        <f>IFERROR(__xludf.DUMMYFUNCTION("""COMPUTED_VALUE"""),4266164.0)</f>
        <v>4266164</v>
      </c>
      <c r="C13975" t="str">
        <f>IFERROR(__xludf.DUMMYFUNCTION("""COMPUTED_VALUE"""),"VMware vSAN: Deploy and Manage V7")</f>
        <v>VMware vSAN: Deploy and Manage V7</v>
      </c>
    </row>
    <row r="13976">
      <c r="A13976" s="140" t="str">
        <f>IFERROR(__xludf.DUMMYFUNCTION("""COMPUTED_VALUE"""),"ja")</f>
        <v>ja</v>
      </c>
      <c r="B13976">
        <f>IFERROR(__xludf.DUMMYFUNCTION("""COMPUTED_VALUE"""),4419820.0)</f>
        <v>4419820</v>
      </c>
      <c r="C13976" t="str">
        <f>IFERROR(__xludf.DUMMYFUNCTION("""COMPUTED_VALUE"""),"【TOEIC®ここで差がつく！リスニング講座】聞き取りにくいイギリス英語発音を攻略 &amp; PART2の難問で得点力アップ！")</f>
        <v>【TOEIC®ここで差がつく！リスニング講座】聞き取りにくいイギリス英語発音を攻略 &amp; PART2の難問で得点力アップ！</v>
      </c>
    </row>
    <row r="13977">
      <c r="A13977" s="140" t="str">
        <f>IFERROR(__xludf.DUMMYFUNCTION("""COMPUTED_VALUE"""),"ko")</f>
        <v>ko</v>
      </c>
      <c r="B13977">
        <f>IFERROR(__xludf.DUMMYFUNCTION("""COMPUTED_VALUE"""),4383492.0)</f>
        <v>4383492</v>
      </c>
      <c r="C13977" t="str">
        <f>IFERROR(__xludf.DUMMYFUNCTION("""COMPUTED_VALUE"""),"【글로벌 Best】 ITSM 측정 및 지표 설계 : 성공적인 조직 및 기업 관리 (한글 자막)")</f>
        <v>【글로벌 Best】 ITSM 측정 및 지표 설계 : 성공적인 조직 및 기업 관리 (한글 자막)</v>
      </c>
    </row>
    <row r="13978">
      <c r="A13978" s="140" t="str">
        <f>IFERROR(__xludf.DUMMYFUNCTION("""COMPUTED_VALUE"""),"de")</f>
        <v>de</v>
      </c>
      <c r="B13978">
        <f>IFERROR(__xludf.DUMMYFUNCTION("""COMPUTED_VALUE"""),1772150.0)</f>
        <v>1772150</v>
      </c>
      <c r="C13978" t="str">
        <f>IFERROR(__xludf.DUMMYFUNCTION("""COMPUTED_VALUE"""),"Flutter Anfänger Tutorial - Baue Apps für Android &amp; IOS")</f>
        <v>Flutter Anfänger Tutorial - Baue Apps für Android &amp; IOS</v>
      </c>
    </row>
    <row r="13979">
      <c r="A13979" s="140" t="str">
        <f>IFERROR(__xludf.DUMMYFUNCTION("""COMPUTED_VALUE"""),"ja")</f>
        <v>ja</v>
      </c>
      <c r="B13979">
        <f>IFERROR(__xludf.DUMMYFUNCTION("""COMPUTED_VALUE"""),4159388.0)</f>
        <v>4159388</v>
      </c>
      <c r="C13979" t="str">
        <f>IFERROR(__xludf.DUMMYFUNCTION("""COMPUTED_VALUE"""),"【本質からわかる！】現場で使えるJavaプログラミングマスター講座：詳説・基礎文法編")</f>
        <v>【本質からわかる！】現場で使えるJavaプログラミングマスター講座：詳説・基礎文法編</v>
      </c>
    </row>
    <row r="13980">
      <c r="A13980" s="140" t="str">
        <f>IFERROR(__xludf.DUMMYFUNCTION("""COMPUTED_VALUE"""),"en")</f>
        <v>en</v>
      </c>
      <c r="B13980">
        <f>IFERROR(__xludf.DUMMYFUNCTION("""COMPUTED_VALUE"""),4373744.0)</f>
        <v>4373744</v>
      </c>
      <c r="C13980" t="str">
        <f>IFERROR(__xludf.DUMMYFUNCTION("""COMPUTED_VALUE"""),"R Programming 2022:Ninja Course With 5 Real World Projects!")</f>
        <v>R Programming 2022:Ninja Course With 5 Real World Projects!</v>
      </c>
    </row>
    <row r="13981">
      <c r="A13981" s="140" t="str">
        <f>IFERROR(__xludf.DUMMYFUNCTION("""COMPUTED_VALUE"""),"de")</f>
        <v>de</v>
      </c>
      <c r="B13981">
        <f>IFERROR(__xludf.DUMMYFUNCTION("""COMPUTED_VALUE"""),3621304.0)</f>
        <v>3621304</v>
      </c>
      <c r="C13981" t="str">
        <f>IFERROR(__xludf.DUMMYFUNCTION("""COMPUTED_VALUE"""),"Ultimativer Android Java Kurs für Beginner")</f>
        <v>Ultimativer Android Java Kurs für Beginner</v>
      </c>
    </row>
    <row r="13982">
      <c r="A13982" s="140" t="str">
        <f>IFERROR(__xludf.DUMMYFUNCTION("""COMPUTED_VALUE"""),"fr")</f>
        <v>fr</v>
      </c>
      <c r="B13982">
        <f>IFERROR(__xludf.DUMMYFUNCTION("""COMPUTED_VALUE"""),1132372.0)</f>
        <v>1132372</v>
      </c>
      <c r="C13982" t="str">
        <f>IFERROR(__xludf.DUMMYFUNCTION("""COMPUTED_VALUE"""),"De 0 à 10.000 visiteurs par jour grâce au référencement SEO")</f>
        <v>De 0 à 10.000 visiteurs par jour grâce au référencement SEO</v>
      </c>
    </row>
    <row r="13983">
      <c r="A13983" s="140" t="str">
        <f>IFERROR(__xludf.DUMMYFUNCTION("""COMPUTED_VALUE"""),"en")</f>
        <v>en</v>
      </c>
      <c r="B13983">
        <f>IFERROR(__xludf.DUMMYFUNCTION("""COMPUTED_VALUE"""),4442636.0)</f>
        <v>4442636</v>
      </c>
      <c r="C13983" t="str">
        <f>IFERROR(__xludf.DUMMYFUNCTION("""COMPUTED_VALUE"""),"Introduction to Bitcoin &amp; Crypto Assets")</f>
        <v>Introduction to Bitcoin &amp; Crypto Assets</v>
      </c>
    </row>
    <row r="13984">
      <c r="A13984" s="140" t="str">
        <f>IFERROR(__xludf.DUMMYFUNCTION("""COMPUTED_VALUE"""),"es")</f>
        <v>es</v>
      </c>
      <c r="B13984">
        <f>IFERROR(__xludf.DUMMYFUNCTION("""COMPUTED_VALUE"""),4120472.0)</f>
        <v>4120472</v>
      </c>
      <c r="C13984" t="str">
        <f>IFERROR(__xludf.DUMMYFUNCTION("""COMPUTED_VALUE"""),"Quarkus desarrollo ágil de microservicios, GraphQL y GraalVM")</f>
        <v>Quarkus desarrollo ágil de microservicios, GraphQL y GraalVM</v>
      </c>
    </row>
    <row r="13985">
      <c r="A13985" s="140" t="str">
        <f>IFERROR(__xludf.DUMMYFUNCTION("""COMPUTED_VALUE"""),"ko")</f>
        <v>ko</v>
      </c>
      <c r="B13985">
        <f>IFERROR(__xludf.DUMMYFUNCTION("""COMPUTED_VALUE"""),4324660.0)</f>
        <v>4324660</v>
      </c>
      <c r="C13985" t="str">
        <f>IFERROR(__xludf.DUMMYFUNCTION("""COMPUTED_VALUE"""),"【글로벌 Best】 Product Manager : 제품 관리 기술 배우고 취업에 성공하기(한글자막)")</f>
        <v>【글로벌 Best】 Product Manager : 제품 관리 기술 배우고 취업에 성공하기(한글자막)</v>
      </c>
    </row>
    <row r="13986">
      <c r="A13986" s="140" t="str">
        <f>IFERROR(__xludf.DUMMYFUNCTION("""COMPUTED_VALUE"""),"en")</f>
        <v>en</v>
      </c>
      <c r="B13986">
        <f>IFERROR(__xludf.DUMMYFUNCTION("""COMPUTED_VALUE"""),4015324.0)</f>
        <v>4015324</v>
      </c>
      <c r="C13986" t="str">
        <f>IFERROR(__xludf.DUMMYFUNCTION("""COMPUTED_VALUE"""),"Electric Vehicle Battery Management System - Advanced Course")</f>
        <v>Electric Vehicle Battery Management System - Advanced Course</v>
      </c>
    </row>
    <row r="13987">
      <c r="A13987" s="140" t="str">
        <f>IFERROR(__xludf.DUMMYFUNCTION("""COMPUTED_VALUE"""),"en")</f>
        <v>en</v>
      </c>
      <c r="B13987">
        <f>IFERROR(__xludf.DUMMYFUNCTION("""COMPUTED_VALUE"""),2808981.0)</f>
        <v>2808981</v>
      </c>
      <c r="C13987" t="str">
        <f>IFERROR(__xludf.DUMMYFUNCTION("""COMPUTED_VALUE"""),"Introduction to @RISK. Monte Carlo Simulation addin on Excel")</f>
        <v>Introduction to @RISK. Monte Carlo Simulation addin on Excel</v>
      </c>
    </row>
    <row r="13988">
      <c r="A13988" s="140" t="str">
        <f>IFERROR(__xludf.DUMMYFUNCTION("""COMPUTED_VALUE"""),"en")</f>
        <v>en</v>
      </c>
      <c r="B13988">
        <f>IFERROR(__xludf.DUMMYFUNCTION("""COMPUTED_VALUE"""),4404930.0)</f>
        <v>4404930</v>
      </c>
      <c r="C13988" t="str">
        <f>IFERROR(__xludf.DUMMYFUNCTION("""COMPUTED_VALUE"""),"Automated Software Testing with Playwright")</f>
        <v>Automated Software Testing with Playwright</v>
      </c>
    </row>
    <row r="13989">
      <c r="A13989" s="140" t="str">
        <f>IFERROR(__xludf.DUMMYFUNCTION("""COMPUTED_VALUE"""),"en")</f>
        <v>en</v>
      </c>
      <c r="B13989">
        <f>IFERROR(__xludf.DUMMYFUNCTION("""COMPUTED_VALUE"""),3730150.0)</f>
        <v>3730150</v>
      </c>
      <c r="C13989" t="str">
        <f>IFERROR(__xludf.DUMMYFUNCTION("""COMPUTED_VALUE"""),"Advanced Kalman Filtering and Sensor Fusion")</f>
        <v>Advanced Kalman Filtering and Sensor Fusion</v>
      </c>
    </row>
    <row r="13990">
      <c r="A13990" s="140" t="str">
        <f>IFERROR(__xludf.DUMMYFUNCTION("""COMPUTED_VALUE"""),"en")</f>
        <v>en</v>
      </c>
      <c r="B13990">
        <f>IFERROR(__xludf.DUMMYFUNCTION("""COMPUTED_VALUE"""),1941072.0)</f>
        <v>1941072</v>
      </c>
      <c r="C13990" t="str">
        <f>IFERROR(__xludf.DUMMYFUNCTION("""COMPUTED_VALUE"""),"Oracle BPM 12c for Beginners (step-by-step)")</f>
        <v>Oracle BPM 12c for Beginners (step-by-step)</v>
      </c>
    </row>
    <row r="13991">
      <c r="A13991" s="140" t="str">
        <f>IFERROR(__xludf.DUMMYFUNCTION("""COMPUTED_VALUE"""),"en")</f>
        <v>en</v>
      </c>
      <c r="B13991">
        <f>IFERROR(__xludf.DUMMYFUNCTION("""COMPUTED_VALUE"""),4226984.0)</f>
        <v>4226984</v>
      </c>
      <c r="C13991" t="str">
        <f>IFERROR(__xludf.DUMMYFUNCTION("""COMPUTED_VALUE"""),"Warehouse Management in Logistics &amp; Supply Chain Management")</f>
        <v>Warehouse Management in Logistics &amp; Supply Chain Management</v>
      </c>
    </row>
    <row r="13992">
      <c r="A13992" s="140" t="str">
        <f>IFERROR(__xludf.DUMMYFUNCTION("""COMPUTED_VALUE"""),"de")</f>
        <v>de</v>
      </c>
      <c r="B13992">
        <f>IFERROR(__xludf.DUMMYFUNCTION("""COMPUTED_VALUE"""),4018580.0)</f>
        <v>4018580</v>
      </c>
      <c r="C13992" t="str">
        <f>IFERROR(__xludf.DUMMYFUNCTION("""COMPUTED_VALUE"""),"Suchmaschinenoptimierung (SEO) für Einsteiger in 2022")</f>
        <v>Suchmaschinenoptimierung (SEO) für Einsteiger in 2022</v>
      </c>
    </row>
    <row r="13993">
      <c r="A13993" s="140" t="str">
        <f>IFERROR(__xludf.DUMMYFUNCTION("""COMPUTED_VALUE"""),"ja")</f>
        <v>ja</v>
      </c>
      <c r="B13993">
        <f>IFERROR(__xludf.DUMMYFUNCTION("""COMPUTED_VALUE"""),4230890.0)</f>
        <v>4230890</v>
      </c>
      <c r="C13993" t="str">
        <f>IFERROR(__xludf.DUMMYFUNCTION("""COMPUTED_VALUE"""),"Microsoft Access 基礎マスターコース【実務に活かせるデータ集計力が身に付く】")</f>
        <v>Microsoft Access 基礎マスターコース【実務に活かせるデータ集計力が身に付く】</v>
      </c>
    </row>
    <row r="13994">
      <c r="A13994" s="140" t="str">
        <f>IFERROR(__xludf.DUMMYFUNCTION("""COMPUTED_VALUE"""),"fr")</f>
        <v>fr</v>
      </c>
      <c r="B13994">
        <f>IFERROR(__xludf.DUMMYFUNCTION("""COMPUTED_VALUE"""),894568.0)</f>
        <v>894568</v>
      </c>
      <c r="C13994" t="str">
        <f>IFERROR(__xludf.DUMMYFUNCTION("""COMPUTED_VALUE"""),"Débuter avec C# et Unity | Guide Complet")</f>
        <v>Débuter avec C# et Unity | Guide Complet</v>
      </c>
    </row>
    <row r="13995">
      <c r="A13995" s="140" t="str">
        <f>IFERROR(__xludf.DUMMYFUNCTION("""COMPUTED_VALUE"""),"en")</f>
        <v>en</v>
      </c>
      <c r="B13995">
        <f>IFERROR(__xludf.DUMMYFUNCTION("""COMPUTED_VALUE"""),1172716.0)</f>
        <v>1172716</v>
      </c>
      <c r="C13995" t="str">
        <f>IFERROR(__xludf.DUMMYFUNCTION("""COMPUTED_VALUE"""),"Personal Income Tax in Canada")</f>
        <v>Personal Income Tax in Canada</v>
      </c>
    </row>
    <row r="13996">
      <c r="A13996" s="140" t="str">
        <f>IFERROR(__xludf.DUMMYFUNCTION("""COMPUTED_VALUE"""),"ko")</f>
        <v>ko</v>
      </c>
      <c r="B13996">
        <f>IFERROR(__xludf.DUMMYFUNCTION("""COMPUTED_VALUE"""),1806984.0)</f>
        <v>1806984</v>
      </c>
      <c r="C13996" t="str">
        <f>IFERROR(__xludf.DUMMYFUNCTION("""COMPUTED_VALUE"""),"글로벌 커리어 디자인하기")</f>
        <v>글로벌 커리어 디자인하기</v>
      </c>
    </row>
    <row r="13997">
      <c r="A13997" s="140" t="str">
        <f>IFERROR(__xludf.DUMMYFUNCTION("""COMPUTED_VALUE"""),"ar")</f>
        <v>ar</v>
      </c>
      <c r="B13997">
        <f>IFERROR(__xludf.DUMMYFUNCTION("""COMPUTED_VALUE"""),2936972.0)</f>
        <v>2936972</v>
      </c>
      <c r="C13997" t="str">
        <f>IFERROR(__xludf.DUMMYFUNCTION("""COMPUTED_VALUE"""),"Ultimate Microsoft PowerPoint (بالعربية PowerPoint كورس)")</f>
        <v>Ultimate Microsoft PowerPoint (بالعربية PowerPoint كورس)</v>
      </c>
    </row>
    <row r="13998">
      <c r="A13998" s="140" t="str">
        <f>IFERROR(__xludf.DUMMYFUNCTION("""COMPUTED_VALUE"""),"de")</f>
        <v>de</v>
      </c>
      <c r="B13998">
        <f>IFERROR(__xludf.DUMMYFUNCTION("""COMPUTED_VALUE"""),2587540.0)</f>
        <v>2587540</v>
      </c>
      <c r="C13998" t="str">
        <f>IFERROR(__xludf.DUMMYFUNCTION("""COMPUTED_VALUE"""),"Management")</f>
        <v>Management</v>
      </c>
    </row>
    <row r="13999">
      <c r="A13999" s="140" t="str">
        <f>IFERROR(__xludf.DUMMYFUNCTION("""COMPUTED_VALUE"""),"ja")</f>
        <v>ja</v>
      </c>
      <c r="B13999">
        <f>IFERROR(__xludf.DUMMYFUNCTION("""COMPUTED_VALUE"""),4098832.0)</f>
        <v>4098832</v>
      </c>
      <c r="C13999" t="str">
        <f>IFERROR(__xludf.DUMMYFUNCTION("""COMPUTED_VALUE"""),"iPadだけで手書きPOPを作る！超人気アプリ「Procreate」の使い方")</f>
        <v>iPadだけで手書きPOPを作る！超人気アプリ「Procreate」の使い方</v>
      </c>
    </row>
    <row r="14000">
      <c r="A14000" s="140" t="str">
        <f>IFERROR(__xludf.DUMMYFUNCTION("""COMPUTED_VALUE"""),"en")</f>
        <v>en</v>
      </c>
      <c r="B14000">
        <f>IFERROR(__xludf.DUMMYFUNCTION("""COMPUTED_VALUE"""),4345346.0)</f>
        <v>4345346</v>
      </c>
      <c r="C14000" t="str">
        <f>IFERROR(__xludf.DUMMYFUNCTION("""COMPUTED_VALUE"""),"VMware vRealize Network Insight Fundamentals")</f>
        <v>VMware vRealize Network Insight Fundamentals</v>
      </c>
    </row>
    <row r="14001">
      <c r="A14001" s="140" t="str">
        <f>IFERROR(__xludf.DUMMYFUNCTION("""COMPUTED_VALUE"""),"en")</f>
        <v>en</v>
      </c>
      <c r="B14001">
        <f>IFERROR(__xludf.DUMMYFUNCTION("""COMPUTED_VALUE"""),3842940.0)</f>
        <v>3842940</v>
      </c>
      <c r="C14001" t="str">
        <f>IFERROR(__xludf.DUMMYFUNCTION("""COMPUTED_VALUE"""),"Embedded Linux using Yocto Part 4")</f>
        <v>Embedded Linux using Yocto Part 4</v>
      </c>
    </row>
    <row r="14002">
      <c r="A14002" s="140" t="str">
        <f>IFERROR(__xludf.DUMMYFUNCTION("""COMPUTED_VALUE"""),"es")</f>
        <v>es</v>
      </c>
      <c r="B14002">
        <f>IFERROR(__xludf.DUMMYFUNCTION("""COMPUTED_VALUE"""),4164286.0)</f>
        <v>4164286</v>
      </c>
      <c r="C14002" t="str">
        <f>IFERROR(__xludf.DUMMYFUNCTION("""COMPUTED_VALUE"""),"Analista certificado en Microsoft PowerBI DA-100 Teoría Test")</f>
        <v>Analista certificado en Microsoft PowerBI DA-100 Teoría Test</v>
      </c>
    </row>
    <row r="14003">
      <c r="A14003" s="140" t="str">
        <f>IFERROR(__xludf.DUMMYFUNCTION("""COMPUTED_VALUE"""),"fr")</f>
        <v>fr</v>
      </c>
      <c r="B14003">
        <f>IFERROR(__xludf.DUMMYFUNCTION("""COMPUTED_VALUE"""),3882888.0)</f>
        <v>3882888</v>
      </c>
      <c r="C14003" t="str">
        <f>IFERROR(__xludf.DUMMYFUNCTION("""COMPUTED_VALUE"""),"Instagram Marketing 2022: Créer Votre Business Sur Instagram")</f>
        <v>Instagram Marketing 2022: Créer Votre Business Sur Instagram</v>
      </c>
    </row>
    <row r="14004">
      <c r="A14004" s="140" t="str">
        <f>IFERROR(__xludf.DUMMYFUNCTION("""COMPUTED_VALUE"""),"de")</f>
        <v>de</v>
      </c>
      <c r="B14004">
        <f>IFERROR(__xludf.DUMMYFUNCTION("""COMPUTED_VALUE"""),3940718.0)</f>
        <v>3940718</v>
      </c>
      <c r="C14004" t="str">
        <f>IFERROR(__xludf.DUMMYFUNCTION("""COMPUTED_VALUE"""),"Business English | Business Englisch für Deutsche")</f>
        <v>Business English | Business Englisch für Deutsche</v>
      </c>
    </row>
    <row r="14005">
      <c r="A14005" s="140" t="str">
        <f>IFERROR(__xludf.DUMMYFUNCTION("""COMPUTED_VALUE"""),"ko")</f>
        <v>ko</v>
      </c>
      <c r="B14005">
        <f>IFERROR(__xludf.DUMMYFUNCTION("""COMPUTED_VALUE"""),4382730.0)</f>
        <v>4382730</v>
      </c>
      <c r="C14005" t="str">
        <f>IFERROR(__xludf.DUMMYFUNCTION("""COMPUTED_VALUE"""),"【글로벌 Best】 DP-200 Azure 데이터 시험 : 하루만에 완벽 대비 (한글자막)")</f>
        <v>【글로벌 Best】 DP-200 Azure 데이터 시험 : 하루만에 완벽 대비 (한글자막)</v>
      </c>
    </row>
    <row r="14006">
      <c r="A14006" s="140" t="str">
        <f>IFERROR(__xludf.DUMMYFUNCTION("""COMPUTED_VALUE"""),"ko")</f>
        <v>ko</v>
      </c>
      <c r="B14006">
        <f>IFERROR(__xludf.DUMMYFUNCTION("""COMPUTED_VALUE"""),4382742.0)</f>
        <v>4382742</v>
      </c>
      <c r="C14006" t="str">
        <f>IFERROR(__xludf.DUMMYFUNCTION("""COMPUTED_VALUE"""),"【글로벌 Best】 SC-900: Microsoft Security Fundamental 시험 완벽 준비")</f>
        <v>【글로벌 Best】 SC-900: Microsoft Security Fundamental 시험 완벽 준비</v>
      </c>
    </row>
    <row r="14007">
      <c r="A14007" s="140" t="str">
        <f>IFERROR(__xludf.DUMMYFUNCTION("""COMPUTED_VALUE"""),"es")</f>
        <v>es</v>
      </c>
      <c r="B14007">
        <f>IFERROR(__xludf.DUMMYFUNCTION("""COMPUTED_VALUE"""),4362282.0)</f>
        <v>4362282</v>
      </c>
      <c r="C14007" t="str">
        <f>IFERROR(__xludf.DUMMYFUNCTION("""COMPUTED_VALUE"""),"Curso Testing para Android con JUnit, Mockito, Espresso, TDD")</f>
        <v>Curso Testing para Android con JUnit, Mockito, Espresso, TDD</v>
      </c>
    </row>
    <row r="14008">
      <c r="A14008" s="140" t="str">
        <f>IFERROR(__xludf.DUMMYFUNCTION("""COMPUTED_VALUE"""),"en")</f>
        <v>en</v>
      </c>
      <c r="B14008">
        <f>IFERROR(__xludf.DUMMYFUNCTION("""COMPUTED_VALUE"""),4473978.0)</f>
        <v>4473978</v>
      </c>
      <c r="C14008" t="str">
        <f>IFERROR(__xludf.DUMMYFUNCTION("""COMPUTED_VALUE"""),"Business Presentation Skills for Nonnative English Speakers")</f>
        <v>Business Presentation Skills for Nonnative English Speakers</v>
      </c>
    </row>
    <row r="14009">
      <c r="A14009" s="140" t="str">
        <f>IFERROR(__xludf.DUMMYFUNCTION("""COMPUTED_VALUE"""),"ja")</f>
        <v>ja</v>
      </c>
      <c r="B14009">
        <f>IFERROR(__xludf.DUMMYFUNCTION("""COMPUTED_VALUE"""),4071374.0)</f>
        <v>4071374</v>
      </c>
      <c r="C14009" t="str">
        <f>IFERROR(__xludf.DUMMYFUNCTION("""COMPUTED_VALUE"""),"C#で帳票ライブラリを使って印刷プログラムを作る方法")</f>
        <v>C#で帳票ライブラリを使って印刷プログラムを作る方法</v>
      </c>
    </row>
    <row r="14010">
      <c r="A14010" s="140" t="str">
        <f>IFERROR(__xludf.DUMMYFUNCTION("""COMPUTED_VALUE"""),"en")</f>
        <v>en</v>
      </c>
      <c r="B14010">
        <f>IFERROR(__xludf.DUMMYFUNCTION("""COMPUTED_VALUE"""),3711944.0)</f>
        <v>3711944</v>
      </c>
      <c r="C14010" t="str">
        <f>IFERROR(__xludf.DUMMYFUNCTION("""COMPUTED_VALUE"""),"Investment Funds in Canada (IFC /IFIC) Tutorials")</f>
        <v>Investment Funds in Canada (IFC /IFIC) Tutorials</v>
      </c>
    </row>
    <row r="14011">
      <c r="A14011" s="140" t="str">
        <f>IFERROR(__xludf.DUMMYFUNCTION("""COMPUTED_VALUE"""),"en")</f>
        <v>en</v>
      </c>
      <c r="B14011">
        <f>IFERROR(__xludf.DUMMYFUNCTION("""COMPUTED_VALUE"""),4375894.0)</f>
        <v>4375894</v>
      </c>
      <c r="C14011" t="str">
        <f>IFERROR(__xludf.DUMMYFUNCTION("""COMPUTED_VALUE"""),"Clickup - The Intermediate to Advanced Training Course")</f>
        <v>Clickup - The Intermediate to Advanced Training Course</v>
      </c>
    </row>
    <row r="14012">
      <c r="A14012" s="140" t="str">
        <f>IFERROR(__xludf.DUMMYFUNCTION("""COMPUTED_VALUE"""),"en")</f>
        <v>en</v>
      </c>
      <c r="B14012">
        <f>IFERROR(__xludf.DUMMYFUNCTION("""COMPUTED_VALUE"""),4324600.0)</f>
        <v>4324600</v>
      </c>
      <c r="C14012" t="str">
        <f>IFERROR(__xludf.DUMMYFUNCTION("""COMPUTED_VALUE"""),"WannaBeA CCSP")</f>
        <v>WannaBeA CCSP</v>
      </c>
    </row>
    <row r="14013">
      <c r="A14013" s="140" t="str">
        <f>IFERROR(__xludf.DUMMYFUNCTION("""COMPUTED_VALUE"""),"ja")</f>
        <v>ja</v>
      </c>
      <c r="B14013">
        <f>IFERROR(__xludf.DUMMYFUNCTION("""COMPUTED_VALUE"""),3314154.0)</f>
        <v>3314154</v>
      </c>
      <c r="C14013" t="str">
        <f>IFERROR(__xludf.DUMMYFUNCTION("""COMPUTED_VALUE"""),"【簿記３級講座_新試験制度完全対応】スライドで視覚的に、Webアプリで学習。たった10時間で日商簿記マスター")</f>
        <v>【簿記３級講座_新試験制度完全対応】スライドで視覚的に、Webアプリで学習。たった10時間で日商簿記マスター</v>
      </c>
    </row>
    <row r="14014">
      <c r="A14014" s="140" t="str">
        <f>IFERROR(__xludf.DUMMYFUNCTION("""COMPUTED_VALUE"""),"en")</f>
        <v>en</v>
      </c>
      <c r="B14014">
        <f>IFERROR(__xludf.DUMMYFUNCTION("""COMPUTED_VALUE"""),3900262.0)</f>
        <v>3900262</v>
      </c>
      <c r="C14014" t="str">
        <f>IFERROR(__xludf.DUMMYFUNCTION("""COMPUTED_VALUE"""),"Learn WSO2 MI: a Step Guide to Master ESB &amp; API Integration")</f>
        <v>Learn WSO2 MI: a Step Guide to Master ESB &amp; API Integration</v>
      </c>
    </row>
    <row r="14015">
      <c r="A14015" s="140" t="str">
        <f>IFERROR(__xludf.DUMMYFUNCTION("""COMPUTED_VALUE"""),"en")</f>
        <v>en</v>
      </c>
      <c r="B14015">
        <f>IFERROR(__xludf.DUMMYFUNCTION("""COMPUTED_VALUE"""),3740582.0)</f>
        <v>3740582</v>
      </c>
      <c r="C14015" t="str">
        <f>IFERROR(__xludf.DUMMYFUNCTION("""COMPUTED_VALUE"""),"The Complete Java Development Bootcamp")</f>
        <v>The Complete Java Development Bootcamp</v>
      </c>
    </row>
    <row r="14016">
      <c r="A14016" s="140" t="str">
        <f>IFERROR(__xludf.DUMMYFUNCTION("""COMPUTED_VALUE"""),"en")</f>
        <v>en</v>
      </c>
      <c r="B14016">
        <f>IFERROR(__xludf.DUMMYFUNCTION("""COMPUTED_VALUE"""),4347700.0)</f>
        <v>4347700</v>
      </c>
      <c r="C14016" t="str">
        <f>IFERROR(__xludf.DUMMYFUNCTION("""COMPUTED_VALUE"""),"Mainframe DB2 Developer Training By Anil Polsani")</f>
        <v>Mainframe DB2 Developer Training By Anil Polsani</v>
      </c>
    </row>
    <row r="14017">
      <c r="A14017" s="140" t="str">
        <f>IFERROR(__xludf.DUMMYFUNCTION("""COMPUTED_VALUE"""),"it")</f>
        <v>it</v>
      </c>
      <c r="B14017">
        <f>IFERROR(__xludf.DUMMYFUNCTION("""COMPUTED_VALUE"""),1585860.0)</f>
        <v>1585860</v>
      </c>
      <c r="C14017" t="str">
        <f>IFERROR(__xludf.DUMMYFUNCTION("""COMPUTED_VALUE"""),"React e Redux: Sviluppa applicazioni da zero")</f>
        <v>React e Redux: Sviluppa applicazioni da zero</v>
      </c>
    </row>
    <row r="14018">
      <c r="A14018" s="140" t="str">
        <f>IFERROR(__xludf.DUMMYFUNCTION("""COMPUTED_VALUE"""),"it")</f>
        <v>it</v>
      </c>
      <c r="B14018">
        <f>IFERROR(__xludf.DUMMYFUNCTION("""COMPUTED_VALUE"""),3371860.0)</f>
        <v>3371860</v>
      </c>
      <c r="C14018" t="str">
        <f>IFERROR(__xludf.DUMMYFUNCTION("""COMPUTED_VALUE"""),"Corso di Dizione Italiana")</f>
        <v>Corso di Dizione Italiana</v>
      </c>
    </row>
    <row r="14019">
      <c r="A14019" s="140" t="str">
        <f>IFERROR(__xludf.DUMMYFUNCTION("""COMPUTED_VALUE"""),"ko")</f>
        <v>ko</v>
      </c>
      <c r="B14019">
        <f>IFERROR(__xludf.DUMMYFUNCTION("""COMPUTED_VALUE"""),4385832.0)</f>
        <v>4385832</v>
      </c>
      <c r="C14019" t="str">
        <f>IFERROR(__xludf.DUMMYFUNCTION("""COMPUTED_VALUE"""),"웹툰 영어 유미의 세포들 우기편")</f>
        <v>웹툰 영어 유미의 세포들 우기편</v>
      </c>
    </row>
    <row r="14020">
      <c r="A14020" s="140" t="str">
        <f>IFERROR(__xludf.DUMMYFUNCTION("""COMPUTED_VALUE"""),"fr")</f>
        <v>fr</v>
      </c>
      <c r="B14020">
        <f>IFERROR(__xludf.DUMMYFUNCTION("""COMPUTED_VALUE"""),1689056.0)</f>
        <v>1689056</v>
      </c>
      <c r="C14020" t="str">
        <f>IFERROR(__xludf.DUMMYFUNCTION("""COMPUTED_VALUE"""),"S'initier aux mathématiques pour la finance et l'économie")</f>
        <v>S'initier aux mathématiques pour la finance et l'économie</v>
      </c>
    </row>
    <row r="14021">
      <c r="A14021" s="140" t="str">
        <f>IFERROR(__xludf.DUMMYFUNCTION("""COMPUTED_VALUE"""),"ko")</f>
        <v>ko</v>
      </c>
      <c r="B14021">
        <f>IFERROR(__xludf.DUMMYFUNCTION("""COMPUTED_VALUE"""),4390366.0)</f>
        <v>4390366</v>
      </c>
      <c r="C14021" t="str">
        <f>IFERROR(__xludf.DUMMYFUNCTION("""COMPUTED_VALUE"""),"【글로벌 Best】 PMI-ACP 시험 합격을 위한 모든 것 (한글자막)")</f>
        <v>【글로벌 Best】 PMI-ACP 시험 합격을 위한 모든 것 (한글자막)</v>
      </c>
    </row>
    <row r="14022">
      <c r="A14022" s="140" t="str">
        <f>IFERROR(__xludf.DUMMYFUNCTION("""COMPUTED_VALUE"""),"it")</f>
        <v>it</v>
      </c>
      <c r="B14022">
        <f>IFERROR(__xludf.DUMMYFUNCTION("""COMPUTED_VALUE"""),3483798.0)</f>
        <v>3483798</v>
      </c>
      <c r="C14022" t="str">
        <f>IFERROR(__xludf.DUMMYFUNCTION("""COMPUTED_VALUE"""),"Fondamenti di gestione della produzione")</f>
        <v>Fondamenti di gestione della produzione</v>
      </c>
    </row>
    <row r="14023">
      <c r="A14023" s="140" t="str">
        <f>IFERROR(__xludf.DUMMYFUNCTION("""COMPUTED_VALUE"""),"de")</f>
        <v>de</v>
      </c>
      <c r="B14023">
        <f>IFERROR(__xludf.DUMMYFUNCTION("""COMPUTED_VALUE"""),3704012.0)</f>
        <v>3704012</v>
      </c>
      <c r="C14023" t="str">
        <f>IFERROR(__xludf.DUMMYFUNCTION("""COMPUTED_VALUE"""),"Realtime Visualisierung in der Unreal Engine")</f>
        <v>Realtime Visualisierung in der Unreal Engine</v>
      </c>
    </row>
    <row r="14024">
      <c r="A14024" s="140" t="str">
        <f>IFERROR(__xludf.DUMMYFUNCTION("""COMPUTED_VALUE"""),"it")</f>
        <v>it</v>
      </c>
      <c r="B14024">
        <f>IFERROR(__xludf.DUMMYFUNCTION("""COMPUTED_VALUE"""),3145610.0)</f>
        <v>3145610</v>
      </c>
      <c r="C14024" t="str">
        <f>IFERROR(__xludf.DUMMYFUNCTION("""COMPUTED_VALUE"""),"NeuroMarketing e Vendita. Master Class (corso professionale)")</f>
        <v>NeuroMarketing e Vendita. Master Class (corso professionale)</v>
      </c>
    </row>
    <row r="14025">
      <c r="A14025" s="140" t="str">
        <f>IFERROR(__xludf.DUMMYFUNCTION("""COMPUTED_VALUE"""),"de")</f>
        <v>de</v>
      </c>
      <c r="B14025">
        <f>IFERROR(__xludf.DUMMYFUNCTION("""COMPUTED_VALUE"""),1725910.0)</f>
        <v>1725910</v>
      </c>
      <c r="C14025" t="str">
        <f>IFERROR(__xludf.DUMMYFUNCTION("""COMPUTED_VALUE"""),"Das eigene Wiki für Dokumentation, etc. mit DokuWiki")</f>
        <v>Das eigene Wiki für Dokumentation, etc. mit DokuWiki</v>
      </c>
    </row>
    <row r="14026">
      <c r="A14026" s="140" t="str">
        <f>IFERROR(__xludf.DUMMYFUNCTION("""COMPUTED_VALUE"""),"en")</f>
        <v>en</v>
      </c>
      <c r="B14026">
        <f>IFERROR(__xludf.DUMMYFUNCTION("""COMPUTED_VALUE"""),950214.0)</f>
        <v>950214</v>
      </c>
      <c r="C14026" t="str">
        <f>IFERROR(__xludf.DUMMYFUNCTION("""COMPUTED_VALUE"""),"Project Programme and Portfolio Governance")</f>
        <v>Project Programme and Portfolio Governance</v>
      </c>
    </row>
    <row r="14027">
      <c r="A14027" s="140" t="str">
        <f>IFERROR(__xludf.DUMMYFUNCTION("""COMPUTED_VALUE"""),"en")</f>
        <v>en</v>
      </c>
      <c r="B14027">
        <f>IFERROR(__xludf.DUMMYFUNCTION("""COMPUTED_VALUE"""),4321994.0)</f>
        <v>4321994</v>
      </c>
      <c r="C14027" t="str">
        <f>IFERROR(__xludf.DUMMYFUNCTION("""COMPUTED_VALUE"""),"VMware NSX Advanced Load Balancer (Avi) Fundamentals")</f>
        <v>VMware NSX Advanced Load Balancer (Avi) Fundamentals</v>
      </c>
    </row>
    <row r="14028">
      <c r="A14028" s="140" t="str">
        <f>IFERROR(__xludf.DUMMYFUNCTION("""COMPUTED_VALUE"""),"ja")</f>
        <v>ja</v>
      </c>
      <c r="B14028">
        <f>IFERROR(__xludf.DUMMYFUNCTION("""COMPUTED_VALUE"""),796730.0)</f>
        <v>796730</v>
      </c>
      <c r="C14028" t="str">
        <f>IFERROR(__xludf.DUMMYFUNCTION("""COMPUTED_VALUE"""),"サイバーセキュリティ～ハッキングと防御 ビギナー編")</f>
        <v>サイバーセキュリティ～ハッキングと防御 ビギナー編</v>
      </c>
    </row>
    <row r="14029">
      <c r="A14029" s="140" t="str">
        <f>IFERROR(__xludf.DUMMYFUNCTION("""COMPUTED_VALUE"""),"en")</f>
        <v>en</v>
      </c>
      <c r="B14029">
        <f>IFERROR(__xludf.DUMMYFUNCTION("""COMPUTED_VALUE"""),2347294.0)</f>
        <v>2347294</v>
      </c>
      <c r="C14029" t="str">
        <f>IFERROR(__xludf.DUMMYFUNCTION("""COMPUTED_VALUE"""),"SAP MM Consignment and Pipeline Procurement")</f>
        <v>SAP MM Consignment and Pipeline Procurement</v>
      </c>
    </row>
    <row r="14030">
      <c r="A14030" s="140" t="str">
        <f>IFERROR(__xludf.DUMMYFUNCTION("""COMPUTED_VALUE"""),"ja")</f>
        <v>ja</v>
      </c>
      <c r="B14030">
        <f>IFERROR(__xludf.DUMMYFUNCTION("""COMPUTED_VALUE"""),4066120.0)</f>
        <v>4066120</v>
      </c>
      <c r="C14030" t="str">
        <f>IFERROR(__xludf.DUMMYFUNCTION("""COMPUTED_VALUE"""),"【会計freee】帳簿作成の手順とコツを解説")</f>
        <v>【会計freee】帳簿作成の手順とコツを解説</v>
      </c>
    </row>
    <row r="14031">
      <c r="A14031" s="140" t="str">
        <f>IFERROR(__xludf.DUMMYFUNCTION("""COMPUTED_VALUE"""),"en")</f>
        <v>en</v>
      </c>
      <c r="B14031">
        <f>IFERROR(__xludf.DUMMYFUNCTION("""COMPUTED_VALUE"""),4132898.0)</f>
        <v>4132898</v>
      </c>
      <c r="C14031" t="str">
        <f>IFERROR(__xludf.DUMMYFUNCTION("""COMPUTED_VALUE"""),"Tricentis Tosca Automation tool(From beginner to Advance)")</f>
        <v>Tricentis Tosca Automation tool(From beginner to Advance)</v>
      </c>
    </row>
    <row r="14032">
      <c r="A14032" s="140" t="str">
        <f>IFERROR(__xludf.DUMMYFUNCTION("""COMPUTED_VALUE"""),"de")</f>
        <v>de</v>
      </c>
      <c r="B14032">
        <f>IFERROR(__xludf.DUMMYFUNCTION("""COMPUTED_VALUE"""),3095276.0)</f>
        <v>3095276</v>
      </c>
      <c r="C14032" t="str">
        <f>IFERROR(__xludf.DUMMYFUNCTION("""COMPUTED_VALUE"""),"Copywriting - Schreib Texte, die verkaufen")</f>
        <v>Copywriting - Schreib Texte, die verkaufen</v>
      </c>
    </row>
    <row r="14033">
      <c r="A14033" s="140" t="str">
        <f>IFERROR(__xludf.DUMMYFUNCTION("""COMPUTED_VALUE"""),"it")</f>
        <v>it</v>
      </c>
      <c r="B14033">
        <f>IFERROR(__xludf.DUMMYFUNCTION("""COMPUTED_VALUE"""),4432370.0)</f>
        <v>4432370</v>
      </c>
      <c r="C14033" t="str">
        <f>IFERROR(__xludf.DUMMYFUNCTION("""COMPUTED_VALUE"""),"Google Ads PRO 2022: la guida completa dalla A alla Z")</f>
        <v>Google Ads PRO 2022: la guida completa dalla A alla Z</v>
      </c>
    </row>
    <row r="14034">
      <c r="A14034" s="140" t="str">
        <f>IFERROR(__xludf.DUMMYFUNCTION("""COMPUTED_VALUE"""),"it")</f>
        <v>it</v>
      </c>
      <c r="B14034">
        <f>IFERROR(__xludf.DUMMYFUNCTION("""COMPUTED_VALUE"""),4327324.0)</f>
        <v>4327324</v>
      </c>
      <c r="C14034" t="str">
        <f>IFERROR(__xludf.DUMMYFUNCTION("""COMPUTED_VALUE"""),"10 Hours Italian Course  + 243 audios - Complete Beginners")</f>
        <v>10 Hours Italian Course  + 243 audios - Complete Beginners</v>
      </c>
    </row>
    <row r="14035">
      <c r="A14035" s="140" t="str">
        <f>IFERROR(__xludf.DUMMYFUNCTION("""COMPUTED_VALUE"""),"it")</f>
        <v>it</v>
      </c>
      <c r="B14035">
        <f>IFERROR(__xludf.DUMMYFUNCTION("""COMPUTED_VALUE"""),874268.0)</f>
        <v>874268</v>
      </c>
      <c r="C14035" t="str">
        <f>IFERROR(__xludf.DUMMYFUNCTION("""COMPUTED_VALUE"""),"Come usare Bootstrap per sviluppare un sito web")</f>
        <v>Come usare Bootstrap per sviluppare un sito web</v>
      </c>
    </row>
    <row r="14036">
      <c r="A14036" s="140" t="str">
        <f>IFERROR(__xludf.DUMMYFUNCTION("""COMPUTED_VALUE"""),"ja")</f>
        <v>ja</v>
      </c>
      <c r="B14036">
        <f>IFERROR(__xludf.DUMMYFUNCTION("""COMPUTED_VALUE"""),3750888.0)</f>
        <v>3750888</v>
      </c>
      <c r="C14036" t="str">
        <f>IFERROR(__xludf.DUMMYFUNCTION("""COMPUTED_VALUE"""),"アイデアを見つけ、形にする！DX時代の一般教養、デザイン思考入門講座")</f>
        <v>アイデアを見つけ、形にする！DX時代の一般教養、デザイン思考入門講座</v>
      </c>
    </row>
    <row r="14037">
      <c r="A14037" s="140" t="str">
        <f>IFERROR(__xludf.DUMMYFUNCTION("""COMPUTED_VALUE"""),"en")</f>
        <v>en</v>
      </c>
      <c r="B14037">
        <f>IFERROR(__xludf.DUMMYFUNCTION("""COMPUTED_VALUE"""),749290.0)</f>
        <v>749290</v>
      </c>
      <c r="C14037" t="str">
        <f>IFERROR(__xludf.DUMMYFUNCTION("""COMPUTED_VALUE"""),"CCNA and CCNP Real World Labs - Data Centers and Cabling")</f>
        <v>CCNA and CCNP Real World Labs - Data Centers and Cabling</v>
      </c>
    </row>
    <row r="14038">
      <c r="A14038" s="140" t="str">
        <f>IFERROR(__xludf.DUMMYFUNCTION("""COMPUTED_VALUE"""),"en")</f>
        <v>en</v>
      </c>
      <c r="B14038">
        <f>IFERROR(__xludf.DUMMYFUNCTION("""COMPUTED_VALUE"""),4437934.0)</f>
        <v>4437934</v>
      </c>
      <c r="C14038" t="str">
        <f>IFERROR(__xludf.DUMMYFUNCTION("""COMPUTED_VALUE"""),"Project Kickoff Meetings: How to Lead them Effectively")</f>
        <v>Project Kickoff Meetings: How to Lead them Effectively</v>
      </c>
    </row>
    <row r="14039">
      <c r="A14039" s="140" t="str">
        <f>IFERROR(__xludf.DUMMYFUNCTION("""COMPUTED_VALUE"""),"en")</f>
        <v>en</v>
      </c>
      <c r="B14039">
        <f>IFERROR(__xludf.DUMMYFUNCTION("""COMPUTED_VALUE"""),2849026.0)</f>
        <v>2849026</v>
      </c>
      <c r="C14039" t="str">
        <f>IFERROR(__xludf.DUMMYFUNCTION("""COMPUTED_VALUE"""),"Learn Embarcadero Borland C++ Builder in 1 hour")</f>
        <v>Learn Embarcadero Borland C++ Builder in 1 hour</v>
      </c>
    </row>
    <row r="14040">
      <c r="A14040" s="140" t="str">
        <f>IFERROR(__xludf.DUMMYFUNCTION("""COMPUTED_VALUE"""),"fr")</f>
        <v>fr</v>
      </c>
      <c r="B14040">
        <f>IFERROR(__xludf.DUMMYFUNCTION("""COMPUTED_VALUE"""),3930078.0)</f>
        <v>3930078</v>
      </c>
      <c r="C14040" t="str">
        <f>IFERROR(__xludf.DUMMYFUNCTION("""COMPUTED_VALUE"""),"Le guide complet pour maitriser Angular par la pratique")</f>
        <v>Le guide complet pour maitriser Angular par la pratique</v>
      </c>
    </row>
    <row r="14041">
      <c r="A14041" s="140" t="str">
        <f>IFERROR(__xludf.DUMMYFUNCTION("""COMPUTED_VALUE"""),"ko")</f>
        <v>ko</v>
      </c>
      <c r="B14041">
        <f>IFERROR(__xludf.DUMMYFUNCTION("""COMPUTED_VALUE"""),4466018.0)</f>
        <v>4466018</v>
      </c>
      <c r="C14041" t="str">
        <f>IFERROR(__xludf.DUMMYFUNCTION("""COMPUTED_VALUE"""),"바이든 4년, 세계경제 미래를 읽다")</f>
        <v>바이든 4년, 세계경제 미래를 읽다</v>
      </c>
    </row>
    <row r="14042">
      <c r="A14042" s="140" t="str">
        <f>IFERROR(__xludf.DUMMYFUNCTION("""COMPUTED_VALUE"""),"de")</f>
        <v>de</v>
      </c>
      <c r="B14042">
        <f>IFERROR(__xludf.DUMMYFUNCTION("""COMPUTED_VALUE"""),951866.0)</f>
        <v>951866</v>
      </c>
      <c r="C14042" t="str">
        <f>IFERROR(__xludf.DUMMYFUNCTION("""COMPUTED_VALUE"""),"Umfassender MBA Kurs: Preisgekrönter Professor aus USA")</f>
        <v>Umfassender MBA Kurs: Preisgekrönter Professor aus USA</v>
      </c>
    </row>
    <row r="14043">
      <c r="A14043" s="140" t="str">
        <f>IFERROR(__xludf.DUMMYFUNCTION("""COMPUTED_VALUE"""),"de")</f>
        <v>de</v>
      </c>
      <c r="B14043">
        <f>IFERROR(__xludf.DUMMYFUNCTION("""COMPUTED_VALUE"""),3911138.0)</f>
        <v>3911138</v>
      </c>
      <c r="C14043" t="str">
        <f>IFERROR(__xludf.DUMMYFUNCTION("""COMPUTED_VALUE"""),"MongoDB in 60 Minuten")</f>
        <v>MongoDB in 60 Minuten</v>
      </c>
    </row>
    <row r="14044">
      <c r="A14044" s="140" t="str">
        <f>IFERROR(__xludf.DUMMYFUNCTION("""COMPUTED_VALUE"""),"fr")</f>
        <v>fr</v>
      </c>
      <c r="B14044">
        <f>IFERROR(__xludf.DUMMYFUNCTION("""COMPUTED_VALUE"""),2700492.0)</f>
        <v>2700492</v>
      </c>
      <c r="C14044" t="str">
        <f>IFERROR(__xludf.DUMMYFUNCTION("""COMPUTED_VALUE"""),"Unity Maitriser les fondamentaux API, Classes et Structures")</f>
        <v>Unity Maitriser les fondamentaux API, Classes et Structures</v>
      </c>
    </row>
    <row r="14045">
      <c r="A14045" s="140" t="str">
        <f>IFERROR(__xludf.DUMMYFUNCTION("""COMPUTED_VALUE"""),"en")</f>
        <v>en</v>
      </c>
      <c r="B14045">
        <f>IFERROR(__xludf.DUMMYFUNCTION("""COMPUTED_VALUE"""),4256968.0)</f>
        <v>4256968</v>
      </c>
      <c r="C14045" t="str">
        <f>IFERROR(__xludf.DUMMYFUNCTION("""COMPUTED_VALUE"""),"Practical Statistics 2022 for Data Science with Python and R")</f>
        <v>Practical Statistics 2022 for Data Science with Python and R</v>
      </c>
    </row>
    <row r="14046">
      <c r="A14046" s="140" t="str">
        <f>IFERROR(__xludf.DUMMYFUNCTION("""COMPUTED_VALUE"""),"en")</f>
        <v>en</v>
      </c>
      <c r="B14046">
        <f>IFERROR(__xludf.DUMMYFUNCTION("""COMPUTED_VALUE"""),3693426.0)</f>
        <v>3693426</v>
      </c>
      <c r="C14046" t="str">
        <f>IFERROR(__xludf.DUMMYFUNCTION("""COMPUTED_VALUE"""),"The Complete French Course : Learn French - Beginners")</f>
        <v>The Complete French Course : Learn French - Beginners</v>
      </c>
    </row>
    <row r="14047">
      <c r="A14047" s="140" t="str">
        <f>IFERROR(__xludf.DUMMYFUNCTION("""COMPUTED_VALUE"""),"it")</f>
        <v>it</v>
      </c>
      <c r="B14047">
        <f>IFERROR(__xludf.DUMMYFUNCTION("""COMPUTED_VALUE"""),4329454.0)</f>
        <v>4329454</v>
      </c>
      <c r="C14047" t="str">
        <f>IFERROR(__xludf.DUMMYFUNCTION("""COMPUTED_VALUE"""),"Network Vulnerability Assessment")</f>
        <v>Network Vulnerability Assessment</v>
      </c>
    </row>
    <row r="14048">
      <c r="A14048" s="140" t="str">
        <f>IFERROR(__xludf.DUMMYFUNCTION("""COMPUTED_VALUE"""),"de")</f>
        <v>de</v>
      </c>
      <c r="B14048">
        <f>IFERROR(__xludf.DUMMYFUNCTION("""COMPUTED_VALUE"""),2281826.0)</f>
        <v>2281826</v>
      </c>
      <c r="C14048" t="str">
        <f>IFERROR(__xludf.DUMMYFUNCTION("""COMPUTED_VALUE"""),"Git Komplettkurs Visualisiert und verständlich mit Gitkraken")</f>
        <v>Git Komplettkurs Visualisiert und verständlich mit Gitkraken</v>
      </c>
    </row>
    <row r="14049">
      <c r="A14049" s="140" t="str">
        <f>IFERROR(__xludf.DUMMYFUNCTION("""COMPUTED_VALUE"""),"de")</f>
        <v>de</v>
      </c>
      <c r="B14049">
        <f>IFERROR(__xludf.DUMMYFUNCTION("""COMPUTED_VALUE"""),4199416.0)</f>
        <v>4199416</v>
      </c>
      <c r="C14049" t="str">
        <f>IFERROR(__xludf.DUMMYFUNCTION("""COMPUTED_VALUE"""),"Elementor Masterclass: Der WordPress Pagebuilder von A bis Z")</f>
        <v>Elementor Masterclass: Der WordPress Pagebuilder von A bis Z</v>
      </c>
    </row>
    <row r="14050">
      <c r="A14050" s="140" t="str">
        <f>IFERROR(__xludf.DUMMYFUNCTION("""COMPUTED_VALUE"""),"ja")</f>
        <v>ja</v>
      </c>
      <c r="B14050">
        <f>IFERROR(__xludf.DUMMYFUNCTION("""COMPUTED_VALUE"""),4240854.0)</f>
        <v>4240854</v>
      </c>
      <c r="C14050" t="str">
        <f>IFERROR(__xludf.DUMMYFUNCTION("""COMPUTED_VALUE"""),"【続】Microsoft Power Automate Desktop 入門講座 ～ フォルダーアクション 特訓編 ～")</f>
        <v>【続】Microsoft Power Automate Desktop 入門講座 ～ フォルダーアクション 特訓編 ～</v>
      </c>
    </row>
    <row r="14051">
      <c r="A14051" s="140" t="str">
        <f>IFERROR(__xludf.DUMMYFUNCTION("""COMPUTED_VALUE"""),"en")</f>
        <v>en</v>
      </c>
      <c r="B14051">
        <f>IFERROR(__xludf.DUMMYFUNCTION("""COMPUTED_VALUE"""),2861934.0)</f>
        <v>2861934</v>
      </c>
      <c r="C14051" t="str">
        <f>IFERROR(__xludf.DUMMYFUNCTION("""COMPUTED_VALUE"""),"Data Science Project Planning")</f>
        <v>Data Science Project Planning</v>
      </c>
    </row>
    <row r="14052">
      <c r="A14052" s="140" t="str">
        <f>IFERROR(__xludf.DUMMYFUNCTION("""COMPUTED_VALUE"""),"en")</f>
        <v>en</v>
      </c>
      <c r="B14052">
        <f>IFERROR(__xludf.DUMMYFUNCTION("""COMPUTED_VALUE"""),3784596.0)</f>
        <v>3784596</v>
      </c>
      <c r="C14052" t="str">
        <f>IFERROR(__xludf.DUMMYFUNCTION("""COMPUTED_VALUE"""),"Microsoft MS-700 Exam 2022 (Updated Question 2022 NEW!)")</f>
        <v>Microsoft MS-700 Exam 2022 (Updated Question 2022 NEW!)</v>
      </c>
    </row>
    <row r="14053">
      <c r="A14053" s="140" t="str">
        <f>IFERROR(__xludf.DUMMYFUNCTION("""COMPUTED_VALUE"""),"fr")</f>
        <v>fr</v>
      </c>
      <c r="B14053">
        <f>IFERROR(__xludf.DUMMYFUNCTION("""COMPUTED_VALUE"""),1565718.0)</f>
        <v>1565718</v>
      </c>
      <c r="C14053" t="str">
        <f>IFERROR(__xludf.DUMMYFUNCTION("""COMPUTED_VALUE"""),"MongoDB par la pratique")</f>
        <v>MongoDB par la pratique</v>
      </c>
    </row>
    <row r="14054">
      <c r="A14054" s="140" t="str">
        <f>IFERROR(__xludf.DUMMYFUNCTION("""COMPUTED_VALUE"""),"ja")</f>
        <v>ja</v>
      </c>
      <c r="B14054">
        <f>IFERROR(__xludf.DUMMYFUNCTION("""COMPUTED_VALUE"""),3591488.0)</f>
        <v>3591488</v>
      </c>
      <c r="C14054" t="str">
        <f>IFERROR(__xludf.DUMMYFUNCTION("""COMPUTED_VALUE"""),"もう知識だけなんて言わせない！手を動かせ！体で覚えろ！「ハンズオンで学ぶCisco ルーティングプロトコル」")</f>
        <v>もう知識だけなんて言わせない！手を動かせ！体で覚えろ！「ハンズオンで学ぶCisco ルーティングプロトコル」</v>
      </c>
    </row>
    <row r="14055">
      <c r="A14055" s="140" t="str">
        <f>IFERROR(__xludf.DUMMYFUNCTION("""COMPUTED_VALUE"""),"en")</f>
        <v>en</v>
      </c>
      <c r="B14055">
        <f>IFERROR(__xludf.DUMMYFUNCTION("""COMPUTED_VALUE"""),4433738.0)</f>
        <v>4433738</v>
      </c>
      <c r="C14055" t="str">
        <f>IFERROR(__xludf.DUMMYFUNCTION("""COMPUTED_VALUE"""),"Fortigate Firewall Administration Course")</f>
        <v>Fortigate Firewall Administration Course</v>
      </c>
    </row>
    <row r="14056">
      <c r="A14056" s="140" t="str">
        <f>IFERROR(__xludf.DUMMYFUNCTION("""COMPUTED_VALUE"""),"en")</f>
        <v>en</v>
      </c>
      <c r="B14056">
        <f>IFERROR(__xludf.DUMMYFUNCTION("""COMPUTED_VALUE"""),3970438.0)</f>
        <v>3970438</v>
      </c>
      <c r="C14056" t="str">
        <f>IFERROR(__xludf.DUMMYFUNCTION("""COMPUTED_VALUE"""),"The Swift Arcade Data Structures and Algorithms Bootcamp")</f>
        <v>The Swift Arcade Data Structures and Algorithms Bootcamp</v>
      </c>
    </row>
    <row r="14057">
      <c r="A14057" s="140" t="str">
        <f>IFERROR(__xludf.DUMMYFUNCTION("""COMPUTED_VALUE"""),"fr")</f>
        <v>fr</v>
      </c>
      <c r="B14057">
        <f>IFERROR(__xludf.DUMMYFUNCTION("""COMPUTED_VALUE"""),3195030.0)</f>
        <v>3195030</v>
      </c>
      <c r="C14057" t="str">
        <f>IFERROR(__xludf.DUMMYFUNCTION("""COMPUTED_VALUE"""),"LÖVE 2D : Apprenez à créer des jeux 2D facilement avec LUA")</f>
        <v>LÖVE 2D : Apprenez à créer des jeux 2D facilement avec LUA</v>
      </c>
    </row>
    <row r="14058">
      <c r="A14058" s="140" t="str">
        <f>IFERROR(__xludf.DUMMYFUNCTION("""COMPUTED_VALUE"""),"ko")</f>
        <v>ko</v>
      </c>
      <c r="B14058">
        <f>IFERROR(__xludf.DUMMYFUNCTION("""COMPUTED_VALUE"""),4371960.0)</f>
        <v>4371960</v>
      </c>
      <c r="C14058" t="str">
        <f>IFERROR(__xludf.DUMMYFUNCTION("""COMPUTED_VALUE"""),"성과급과 인센티브 시스템")</f>
        <v>성과급과 인센티브 시스템</v>
      </c>
    </row>
    <row r="14059">
      <c r="A14059" s="140" t="str">
        <f>IFERROR(__xludf.DUMMYFUNCTION("""COMPUTED_VALUE"""),"de")</f>
        <v>de</v>
      </c>
      <c r="B14059">
        <f>IFERROR(__xludf.DUMMYFUNCTION("""COMPUTED_VALUE"""),883040.0)</f>
        <v>883040</v>
      </c>
      <c r="C14059" t="str">
        <f>IFERROR(__xludf.DUMMYFUNCTION("""COMPUTED_VALUE"""),"WordPress für Anfänger und Fortgeschrittene")</f>
        <v>WordPress für Anfänger und Fortgeschrittene</v>
      </c>
    </row>
    <row r="14060">
      <c r="A14060" s="140" t="str">
        <f>IFERROR(__xludf.DUMMYFUNCTION("""COMPUTED_VALUE"""),"ko")</f>
        <v>ko</v>
      </c>
      <c r="B14060">
        <f>IFERROR(__xludf.DUMMYFUNCTION("""COMPUTED_VALUE"""),4389576.0)</f>
        <v>4389576</v>
      </c>
      <c r="C14060" t="str">
        <f>IFERROR(__xludf.DUMMYFUNCTION("""COMPUTED_VALUE"""),"【글로벌 Best】 AWS Certified Solutions Architect Associate 시험합격!")</f>
        <v>【글로벌 Best】 AWS Certified Solutions Architect Associate 시험합격!</v>
      </c>
    </row>
    <row r="14061">
      <c r="A14061" s="140" t="str">
        <f>IFERROR(__xludf.DUMMYFUNCTION("""COMPUTED_VALUE"""),"ja")</f>
        <v>ja</v>
      </c>
      <c r="B14061">
        <f>IFERROR(__xludf.DUMMYFUNCTION("""COMPUTED_VALUE"""),4196426.0)</f>
        <v>4196426</v>
      </c>
      <c r="C14061" t="str">
        <f>IFERROR(__xludf.DUMMYFUNCTION("""COMPUTED_VALUE"""),"駆け出しエンジニアのためのDocker入門")</f>
        <v>駆け出しエンジニアのためのDocker入門</v>
      </c>
    </row>
    <row r="14062">
      <c r="A14062" s="140" t="str">
        <f>IFERROR(__xludf.DUMMYFUNCTION("""COMPUTED_VALUE"""),"pt")</f>
        <v>pt</v>
      </c>
      <c r="B14062">
        <f>IFERROR(__xludf.DUMMYFUNCTION("""COMPUTED_VALUE"""),4111836.0)</f>
        <v>4111836</v>
      </c>
      <c r="C14062" t="str">
        <f>IFERROR(__xludf.DUMMYFUNCTION("""COMPUTED_VALUE"""),"Microsoft Power BI COMPLETO: Projetos Profissionais + DAX")</f>
        <v>Microsoft Power BI COMPLETO: Projetos Profissionais + DAX</v>
      </c>
    </row>
    <row r="14063">
      <c r="A14063" s="140" t="str">
        <f>IFERROR(__xludf.DUMMYFUNCTION("""COMPUTED_VALUE"""),"fr")</f>
        <v>fr</v>
      </c>
      <c r="B14063">
        <f>IFERROR(__xludf.DUMMYFUNCTION("""COMPUTED_VALUE"""),4408948.0)</f>
        <v>4408948</v>
      </c>
      <c r="C14063" t="str">
        <f>IFERROR(__xludf.DUMMYFUNCTION("""COMPUTED_VALUE"""),"Growth mindset : Le guide complet")</f>
        <v>Growth mindset : Le guide complet</v>
      </c>
    </row>
    <row r="14064">
      <c r="A14064" s="140" t="str">
        <f>IFERROR(__xludf.DUMMYFUNCTION("""COMPUTED_VALUE"""),"ja")</f>
        <v>ja</v>
      </c>
      <c r="B14064">
        <f>IFERROR(__xludf.DUMMYFUNCTION("""COMPUTED_VALUE"""),4348868.0)</f>
        <v>4348868</v>
      </c>
      <c r="C14064" t="str">
        <f>IFERROR(__xludf.DUMMYFUNCTION("""COMPUTED_VALUE"""),"Excel(エクセル)による確率分布基礎講座")</f>
        <v>Excel(エクセル)による確率分布基礎講座</v>
      </c>
    </row>
    <row r="14065">
      <c r="A14065" s="140" t="str">
        <f>IFERROR(__xludf.DUMMYFUNCTION("""COMPUTED_VALUE"""),"en")</f>
        <v>en</v>
      </c>
      <c r="B14065">
        <f>IFERROR(__xludf.DUMMYFUNCTION("""COMPUTED_VALUE"""),1669328.0)</f>
        <v>1669328</v>
      </c>
      <c r="C14065" t="str">
        <f>IFERROR(__xludf.DUMMYFUNCTION("""COMPUTED_VALUE"""),"Practical OpenGL and GLSL shaders fundamentals with C++")</f>
        <v>Practical OpenGL and GLSL shaders fundamentals with C++</v>
      </c>
    </row>
    <row r="14066">
      <c r="A14066" s="140" t="str">
        <f>IFERROR(__xludf.DUMMYFUNCTION("""COMPUTED_VALUE"""),"en")</f>
        <v>en</v>
      </c>
      <c r="B14066">
        <f>IFERROR(__xludf.DUMMYFUNCTION("""COMPUTED_VALUE"""),3540994.0)</f>
        <v>3540994</v>
      </c>
      <c r="C14066" t="str">
        <f>IFERROR(__xludf.DUMMYFUNCTION("""COMPUTED_VALUE"""),"GNU Make &amp; Makefile To Build C/C++ Projects - (LINUX,MAC)")</f>
        <v>GNU Make &amp; Makefile To Build C/C++ Projects - (LINUX,MAC)</v>
      </c>
    </row>
    <row r="14067">
      <c r="A14067" s="140" t="str">
        <f>IFERROR(__xludf.DUMMYFUNCTION("""COMPUTED_VALUE"""),"en")</f>
        <v>en</v>
      </c>
      <c r="B14067">
        <f>IFERROR(__xludf.DUMMYFUNCTION("""COMPUTED_VALUE"""),353448.0)</f>
        <v>353448</v>
      </c>
      <c r="C14067" t="str">
        <f>IFERROR(__xludf.DUMMYFUNCTION("""COMPUTED_VALUE"""),"The Feng Shui Bagua:  A Master Class with James Jay")</f>
        <v>The Feng Shui Bagua:  A Master Class with James Jay</v>
      </c>
    </row>
    <row r="14068">
      <c r="A14068" s="140" t="str">
        <f>IFERROR(__xludf.DUMMYFUNCTION("""COMPUTED_VALUE"""),"fr")</f>
        <v>fr</v>
      </c>
      <c r="B14068">
        <f>IFERROR(__xludf.DUMMYFUNCTION("""COMPUTED_VALUE"""),3607596.0)</f>
        <v>3607596</v>
      </c>
      <c r="C14068" t="str">
        <f>IFERROR(__xludf.DUMMYFUNCTION("""COMPUTED_VALUE"""),"Machine Learning Engineer — LE WORKFLOW ULTIME [Débutez Ici]")</f>
        <v>Machine Learning Engineer — LE WORKFLOW ULTIME [Débutez Ici]</v>
      </c>
    </row>
    <row r="14069">
      <c r="A14069" s="140" t="str">
        <f>IFERROR(__xludf.DUMMYFUNCTION("""COMPUTED_VALUE"""),"de")</f>
        <v>de</v>
      </c>
      <c r="B14069">
        <f>IFERROR(__xludf.DUMMYFUNCTION("""COMPUTED_VALUE"""),3123774.0)</f>
        <v>3123774</v>
      </c>
      <c r="C14069" t="str">
        <f>IFERROR(__xludf.DUMMYFUNCTION("""COMPUTED_VALUE"""),"Life Coaching Tool: Mindset für Glück und Erfolg")</f>
        <v>Life Coaching Tool: Mindset für Glück und Erfolg</v>
      </c>
    </row>
    <row r="14070">
      <c r="A14070" s="140" t="str">
        <f>IFERROR(__xludf.DUMMYFUNCTION("""COMPUTED_VALUE"""),"fr")</f>
        <v>fr</v>
      </c>
      <c r="B14070">
        <f>IFERROR(__xludf.DUMMYFUNCTION("""COMPUTED_VALUE"""),2650718.0)</f>
        <v>2650718</v>
      </c>
      <c r="C14070" t="str">
        <f>IFERROR(__xludf.DUMMYFUNCTION("""COMPUTED_VALUE"""),"Python Spark et Machine Learning")</f>
        <v>Python Spark et Machine Learning</v>
      </c>
    </row>
    <row r="14071">
      <c r="A14071" s="140" t="str">
        <f>IFERROR(__xludf.DUMMYFUNCTION("""COMPUTED_VALUE"""),"en")</f>
        <v>en</v>
      </c>
      <c r="B14071">
        <f>IFERROR(__xludf.DUMMYFUNCTION("""COMPUTED_VALUE"""),2587202.0)</f>
        <v>2587202</v>
      </c>
      <c r="C14071" t="str">
        <f>IFERROR(__xludf.DUMMYFUNCTION("""COMPUTED_VALUE"""),"Selenium Python with Behave BDD(Basic + Advance + Architect)")</f>
        <v>Selenium Python with Behave BDD(Basic + Advance + Architect)</v>
      </c>
    </row>
    <row r="14072">
      <c r="A14072" s="140" t="str">
        <f>IFERROR(__xludf.DUMMYFUNCTION("""COMPUTED_VALUE"""),"en")</f>
        <v>en</v>
      </c>
      <c r="B14072">
        <f>IFERROR(__xludf.DUMMYFUNCTION("""COMPUTED_VALUE"""),2518086.0)</f>
        <v>2518086</v>
      </c>
      <c r="C14072" t="str">
        <f>IFERROR(__xludf.DUMMYFUNCTION("""COMPUTED_VALUE"""),"Performance Testing Using Locust 1.0")</f>
        <v>Performance Testing Using Locust 1.0</v>
      </c>
    </row>
    <row r="14073">
      <c r="A14073" s="140" t="str">
        <f>IFERROR(__xludf.DUMMYFUNCTION("""COMPUTED_VALUE"""),"en")</f>
        <v>en</v>
      </c>
      <c r="B14073">
        <f>IFERROR(__xludf.DUMMYFUNCTION("""COMPUTED_VALUE"""),4320094.0)</f>
        <v>4320094</v>
      </c>
      <c r="C14073" t="str">
        <f>IFERROR(__xludf.DUMMYFUNCTION("""COMPUTED_VALUE"""),"SAP WM : Warehouse Management (Beginning to Advanced)")</f>
        <v>SAP WM : Warehouse Management (Beginning to Advanced)</v>
      </c>
    </row>
    <row r="14074">
      <c r="A14074" s="140" t="str">
        <f>IFERROR(__xludf.DUMMYFUNCTION("""COMPUTED_VALUE"""),"it")</f>
        <v>it</v>
      </c>
      <c r="B14074">
        <f>IFERROR(__xludf.DUMMYFUNCTION("""COMPUTED_VALUE"""),2600362.0)</f>
        <v>2600362</v>
      </c>
      <c r="C14074" t="str">
        <f>IFERROR(__xludf.DUMMYFUNCTION("""COMPUTED_VALUE"""),"Corso introduttivo di programmazione in Scala")</f>
        <v>Corso introduttivo di programmazione in Scala</v>
      </c>
    </row>
    <row r="14075">
      <c r="A14075" s="140" t="str">
        <f>IFERROR(__xludf.DUMMYFUNCTION("""COMPUTED_VALUE"""),"en")</f>
        <v>en</v>
      </c>
      <c r="B14075">
        <f>IFERROR(__xludf.DUMMYFUNCTION("""COMPUTED_VALUE"""),4176082.0)</f>
        <v>4176082</v>
      </c>
      <c r="C14075" t="str">
        <f>IFERROR(__xludf.DUMMYFUNCTION("""COMPUTED_VALUE"""),"Active Directory &amp; Group Policy Lab 2019")</f>
        <v>Active Directory &amp; Group Policy Lab 2019</v>
      </c>
    </row>
    <row r="14076">
      <c r="A14076" s="140" t="str">
        <f>IFERROR(__xludf.DUMMYFUNCTION("""COMPUTED_VALUE"""),"de")</f>
        <v>de</v>
      </c>
      <c r="B14076">
        <f>IFERROR(__xludf.DUMMYFUNCTION("""COMPUTED_VALUE"""),1406602.0)</f>
        <v>1406602</v>
      </c>
      <c r="C14076" t="str">
        <f>IFERROR(__xludf.DUMMYFUNCTION("""COMPUTED_VALUE"""),"MindManager Basics")</f>
        <v>MindManager Basics</v>
      </c>
    </row>
    <row r="14077">
      <c r="A14077" s="140" t="str">
        <f>IFERROR(__xludf.DUMMYFUNCTION("""COMPUTED_VALUE"""),"de")</f>
        <v>de</v>
      </c>
      <c r="B14077">
        <f>IFERROR(__xludf.DUMMYFUNCTION("""COMPUTED_VALUE"""),1783290.0)</f>
        <v>1783290</v>
      </c>
      <c r="C14077" t="str">
        <f>IFERROR(__xludf.DUMMYFUNCTION("""COMPUTED_VALUE"""),"German grammatical cases -  intensive training")</f>
        <v>German grammatical cases -  intensive training</v>
      </c>
    </row>
    <row r="14078">
      <c r="A14078" s="140" t="str">
        <f>IFERROR(__xludf.DUMMYFUNCTION("""COMPUTED_VALUE"""),"en")</f>
        <v>en</v>
      </c>
      <c r="B14078">
        <f>IFERROR(__xludf.DUMMYFUNCTION("""COMPUTED_VALUE"""),2911510.0)</f>
        <v>2911510</v>
      </c>
      <c r="C14078" t="str">
        <f>IFERROR(__xludf.DUMMYFUNCTION("""COMPUTED_VALUE"""),"KNX/ETS-Primer")</f>
        <v>KNX/ETS-Primer</v>
      </c>
    </row>
    <row r="14079">
      <c r="A14079" s="140" t="str">
        <f>IFERROR(__xludf.DUMMYFUNCTION("""COMPUTED_VALUE"""),"ja")</f>
        <v>ja</v>
      </c>
      <c r="B14079">
        <f>IFERROR(__xludf.DUMMYFUNCTION("""COMPUTED_VALUE"""),2336826.0)</f>
        <v>2336826</v>
      </c>
      <c r="C14079" t="str">
        <f>IFERROR(__xludf.DUMMYFUNCTION("""COMPUTED_VALUE"""),"これから始める「Googleスプレッドシート」基礎講座")</f>
        <v>これから始める「Googleスプレッドシート」基礎講座</v>
      </c>
    </row>
    <row r="14080">
      <c r="A14080" s="140" t="str">
        <f>IFERROR(__xludf.DUMMYFUNCTION("""COMPUTED_VALUE"""),"fr")</f>
        <v>fr</v>
      </c>
      <c r="B14080">
        <f>IFERROR(__xludf.DUMMYFUNCTION("""COMPUTED_VALUE"""),3792900.0)</f>
        <v>3792900</v>
      </c>
      <c r="C14080" t="str">
        <f>IFERROR(__xludf.DUMMYFUNCTION("""COMPUTED_VALUE"""),"Adobe Premiere Pro de A à Z pour les débutants en 2022")</f>
        <v>Adobe Premiere Pro de A à Z pour les débutants en 2022</v>
      </c>
    </row>
    <row r="14081">
      <c r="A14081" s="140" t="str">
        <f>IFERROR(__xludf.DUMMYFUNCTION("""COMPUTED_VALUE"""),"en")</f>
        <v>en</v>
      </c>
      <c r="B14081">
        <f>IFERROR(__xludf.DUMMYFUNCTION("""COMPUTED_VALUE"""),3520172.0)</f>
        <v>3520172</v>
      </c>
      <c r="C14081" t="str">
        <f>IFERROR(__xludf.DUMMYFUNCTION("""COMPUTED_VALUE"""),"Object Oriented Programming - Basics to Advance (Java OOP)")</f>
        <v>Object Oriented Programming - Basics to Advance (Java OOP)</v>
      </c>
    </row>
    <row r="14082">
      <c r="A14082" s="140" t="str">
        <f>IFERROR(__xludf.DUMMYFUNCTION("""COMPUTED_VALUE"""),"fr")</f>
        <v>fr</v>
      </c>
      <c r="B14082">
        <f>IFERROR(__xludf.DUMMYFUNCTION("""COMPUTED_VALUE"""),2390144.0)</f>
        <v>2390144</v>
      </c>
      <c r="C14082" t="str">
        <f>IFERROR(__xludf.DUMMYFUNCTION("""COMPUTED_VALUE"""),"Conjuguer les verbes en français")</f>
        <v>Conjuguer les verbes en français</v>
      </c>
    </row>
    <row r="14083">
      <c r="A14083" s="140" t="str">
        <f>IFERROR(__xludf.DUMMYFUNCTION("""COMPUTED_VALUE"""),"ko")</f>
        <v>ko</v>
      </c>
      <c r="B14083">
        <f>IFERROR(__xludf.DUMMYFUNCTION("""COMPUTED_VALUE"""),4254666.0)</f>
        <v>4254666</v>
      </c>
      <c r="C14083" t="str">
        <f>IFERROR(__xludf.DUMMYFUNCTION("""COMPUTED_VALUE"""),"【글로벌 Best】 업무 효율을 극대화할 수 있는 핵심 Excel 활용법 : 기초부터 심화까지")</f>
        <v>【글로벌 Best】 업무 효율을 극대화할 수 있는 핵심 Excel 활용법 : 기초부터 심화까지</v>
      </c>
    </row>
    <row r="14084">
      <c r="A14084" s="140" t="str">
        <f>IFERROR(__xludf.DUMMYFUNCTION("""COMPUTED_VALUE"""),"it")</f>
        <v>it</v>
      </c>
      <c r="B14084">
        <f>IFERROR(__xludf.DUMMYFUNCTION("""COMPUTED_VALUE"""),1230678.0)</f>
        <v>1230678</v>
      </c>
      <c r="C14084" t="str">
        <f>IFERROR(__xludf.DUMMYFUNCTION("""COMPUTED_VALUE"""),"Wordpress. Base ed Avanzato")</f>
        <v>Wordpress. Base ed Avanzato</v>
      </c>
    </row>
    <row r="14085">
      <c r="A14085" s="140" t="str">
        <f>IFERROR(__xludf.DUMMYFUNCTION("""COMPUTED_VALUE"""),"it")</f>
        <v>it</v>
      </c>
      <c r="B14085">
        <f>IFERROR(__xludf.DUMMYFUNCTION("""COMPUTED_VALUE"""),3696426.0)</f>
        <v>3696426</v>
      </c>
      <c r="C14085" t="str">
        <f>IFERROR(__xludf.DUMMYFUNCTION("""COMPUTED_VALUE"""),"Corso Completo di Inglese: Inglese per Principianti")</f>
        <v>Corso Completo di Inglese: Inglese per Principianti</v>
      </c>
    </row>
    <row r="14086">
      <c r="A14086" s="140" t="str">
        <f>IFERROR(__xludf.DUMMYFUNCTION("""COMPUTED_VALUE"""),"en")</f>
        <v>en</v>
      </c>
      <c r="B14086">
        <f>IFERROR(__xludf.DUMMYFUNCTION("""COMPUTED_VALUE"""),4090568.0)</f>
        <v>4090568</v>
      </c>
      <c r="C14086" t="str">
        <f>IFERROR(__xludf.DUMMYFUNCTION("""COMPUTED_VALUE"""),"Mastering Microsoft Azure: Advanced Services")</f>
        <v>Mastering Microsoft Azure: Advanced Services</v>
      </c>
    </row>
    <row r="14087">
      <c r="A14087" s="140" t="str">
        <f>IFERROR(__xludf.DUMMYFUNCTION("""COMPUTED_VALUE"""),"en")</f>
        <v>en</v>
      </c>
      <c r="B14087">
        <f>IFERROR(__xludf.DUMMYFUNCTION("""COMPUTED_VALUE"""),1750606.0)</f>
        <v>1750606</v>
      </c>
      <c r="C14087" t="str">
        <f>IFERROR(__xludf.DUMMYFUNCTION("""COMPUTED_VALUE"""),"Linux Master Class : Skill up to become a Linux professional")</f>
        <v>Linux Master Class : Skill up to become a Linux professional</v>
      </c>
    </row>
    <row r="14088">
      <c r="A14088" s="140" t="str">
        <f>IFERROR(__xludf.DUMMYFUNCTION("""COMPUTED_VALUE"""),"en")</f>
        <v>en</v>
      </c>
      <c r="B14088">
        <f>IFERROR(__xludf.DUMMYFUNCTION("""COMPUTED_VALUE"""),2467958.0)</f>
        <v>2467958</v>
      </c>
      <c r="C14088" t="str">
        <f>IFERROR(__xludf.DUMMYFUNCTION("""COMPUTED_VALUE"""),"Learn Python Requests")</f>
        <v>Learn Python Requests</v>
      </c>
    </row>
    <row r="14089">
      <c r="A14089" s="140" t="str">
        <f>IFERROR(__xludf.DUMMYFUNCTION("""COMPUTED_VALUE"""),"en")</f>
        <v>en</v>
      </c>
      <c r="B14089">
        <f>IFERROR(__xludf.DUMMYFUNCTION("""COMPUTED_VALUE"""),2516506.0)</f>
        <v>2516506</v>
      </c>
      <c r="C14089" t="str">
        <f>IFERROR(__xludf.DUMMYFUNCTION("""COMPUTED_VALUE"""),"Complete 2-in-1 Python for Business and Finance Bootcamp")</f>
        <v>Complete 2-in-1 Python for Business and Finance Bootcamp</v>
      </c>
    </row>
    <row r="14090">
      <c r="A14090" s="140" t="str">
        <f>IFERROR(__xludf.DUMMYFUNCTION("""COMPUTED_VALUE"""),"en")</f>
        <v>en</v>
      </c>
      <c r="B14090">
        <f>IFERROR(__xludf.DUMMYFUNCTION("""COMPUTED_VALUE"""),400282.0)</f>
        <v>400282</v>
      </c>
      <c r="C14090" t="str">
        <f>IFERROR(__xludf.DUMMYFUNCTION("""COMPUTED_VALUE"""),"Sales Forecasting")</f>
        <v>Sales Forecasting</v>
      </c>
    </row>
    <row r="14091">
      <c r="A14091" s="140" t="str">
        <f>IFERROR(__xludf.DUMMYFUNCTION("""COMPUTED_VALUE"""),"en")</f>
        <v>en</v>
      </c>
      <c r="B14091">
        <f>IFERROR(__xludf.DUMMYFUNCTION("""COMPUTED_VALUE"""),2863390.0)</f>
        <v>2863390</v>
      </c>
      <c r="C14091" t="str">
        <f>IFERROR(__xludf.DUMMYFUNCTION("""COMPUTED_VALUE"""),"Test Driven Development (TDD) - Beginners Essentials course")</f>
        <v>Test Driven Development (TDD) - Beginners Essentials course</v>
      </c>
    </row>
    <row r="14092">
      <c r="A14092" s="140" t="str">
        <f>IFERROR(__xludf.DUMMYFUNCTION("""COMPUTED_VALUE"""),"en")</f>
        <v>en</v>
      </c>
      <c r="B14092">
        <f>IFERROR(__xludf.DUMMYFUNCTION("""COMPUTED_VALUE"""),2824319.0)</f>
        <v>2824319</v>
      </c>
      <c r="C14092" t="str">
        <f>IFERROR(__xludf.DUMMYFUNCTION("""COMPUTED_VALUE"""),"Automate Everything with Python (Early Bird Access)")</f>
        <v>Automate Everything with Python (Early Bird Access)</v>
      </c>
    </row>
    <row r="14093">
      <c r="A14093" s="140" t="str">
        <f>IFERROR(__xludf.DUMMYFUNCTION("""COMPUTED_VALUE"""),"en")</f>
        <v>en</v>
      </c>
      <c r="B14093">
        <f>IFERROR(__xludf.DUMMYFUNCTION("""COMPUTED_VALUE"""),4466266.0)</f>
        <v>4466266</v>
      </c>
      <c r="C14093" t="str">
        <f>IFERROR(__xludf.DUMMYFUNCTION("""COMPUTED_VALUE"""),"Data Literacy for Business Professionals")</f>
        <v>Data Literacy for Business Professionals</v>
      </c>
    </row>
    <row r="14094">
      <c r="A14094" s="140" t="str">
        <f>IFERROR(__xludf.DUMMYFUNCTION("""COMPUTED_VALUE"""),"it")</f>
        <v>it</v>
      </c>
      <c r="B14094">
        <f>IFERROR(__xludf.DUMMYFUNCTION("""COMPUTED_VALUE"""),2305794.0)</f>
        <v>2305794</v>
      </c>
      <c r="C14094" t="str">
        <f>IFERROR(__xludf.DUMMYFUNCTION("""COMPUTED_VALUE"""),"CONTENT MARKETING 2021 - Corso completo")</f>
        <v>CONTENT MARKETING 2021 - Corso completo</v>
      </c>
    </row>
    <row r="14095">
      <c r="A14095" s="140" t="str">
        <f>IFERROR(__xludf.DUMMYFUNCTION("""COMPUTED_VALUE"""),"ko")</f>
        <v>ko</v>
      </c>
      <c r="B14095">
        <f>IFERROR(__xludf.DUMMYFUNCTION("""COMPUTED_VALUE"""),4251348.0)</f>
        <v>4251348</v>
      </c>
      <c r="C14095" t="str">
        <f>IFERROR(__xludf.DUMMYFUNCTION("""COMPUTED_VALUE"""),"여러명이 동시에 작업 가능한 구글 스프레드 시트 100% 활용방법")</f>
        <v>여러명이 동시에 작업 가능한 구글 스프레드 시트 100% 활용방법</v>
      </c>
    </row>
    <row r="14096">
      <c r="A14096" s="140" t="str">
        <f>IFERROR(__xludf.DUMMYFUNCTION("""COMPUTED_VALUE"""),"ko")</f>
        <v>ko</v>
      </c>
      <c r="B14096">
        <f>IFERROR(__xludf.DUMMYFUNCTION("""COMPUTED_VALUE"""),4277544.0)</f>
        <v>4277544</v>
      </c>
      <c r="C14096" t="str">
        <f>IFERROR(__xludf.DUMMYFUNCTION("""COMPUTED_VALUE"""),"미쿡식 영어발음 교정")</f>
        <v>미쿡식 영어발음 교정</v>
      </c>
    </row>
    <row r="14097">
      <c r="A14097" s="140" t="str">
        <f>IFERROR(__xludf.DUMMYFUNCTION("""COMPUTED_VALUE"""),"ja")</f>
        <v>ja</v>
      </c>
      <c r="B14097">
        <f>IFERROR(__xludf.DUMMYFUNCTION("""COMPUTED_VALUE"""),4271430.0)</f>
        <v>4271430</v>
      </c>
      <c r="C14097" t="str">
        <f>IFERROR(__xludf.DUMMYFUNCTION("""COMPUTED_VALUE"""),"Microsoft Teams基礎マスターコース【リモートワーク時代のコミュニケーション力を身に付ける】")</f>
        <v>Microsoft Teams基礎マスターコース【リモートワーク時代のコミュニケーション力を身に付ける】</v>
      </c>
    </row>
    <row r="14098">
      <c r="A14098" s="140" t="str">
        <f>IFERROR(__xludf.DUMMYFUNCTION("""COMPUTED_VALUE"""),"ja")</f>
        <v>ja</v>
      </c>
      <c r="B14098">
        <f>IFERROR(__xludf.DUMMYFUNCTION("""COMPUTED_VALUE"""),2754368.0)</f>
        <v>2754368</v>
      </c>
      <c r="C14098" t="str">
        <f>IFERROR(__xludf.DUMMYFUNCTION("""COMPUTED_VALUE"""),"【1時間速習】イメージでわかる！C言語ソケット通信プログラミング")</f>
        <v>【1時間速習】イメージでわかる！C言語ソケット通信プログラミング</v>
      </c>
    </row>
    <row r="14099">
      <c r="A14099" s="140" t="str">
        <f>IFERROR(__xludf.DUMMYFUNCTION("""COMPUTED_VALUE"""),"fr")</f>
        <v>fr</v>
      </c>
      <c r="B14099">
        <f>IFERROR(__xludf.DUMMYFUNCTION("""COMPUTED_VALUE"""),3636636.0)</f>
        <v>3636636</v>
      </c>
      <c r="C14099" t="str">
        <f>IFERROR(__xludf.DUMMYFUNCTION("""COMPUTED_VALUE"""),"UNITY : Création d'INTELLIGENCES ARTIFICIELLES (IA) avec C#")</f>
        <v>UNITY : Création d'INTELLIGENCES ARTIFICIELLES (IA) avec C#</v>
      </c>
    </row>
    <row r="14100">
      <c r="A14100" s="140" t="str">
        <f>IFERROR(__xludf.DUMMYFUNCTION("""COMPUTED_VALUE"""),"ja")</f>
        <v>ja</v>
      </c>
      <c r="B14100">
        <f>IFERROR(__xludf.DUMMYFUNCTION("""COMPUTED_VALUE"""),2937758.0)</f>
        <v>2937758</v>
      </c>
      <c r="C14100" t="str">
        <f>IFERROR(__xludf.DUMMYFUNCTION("""COMPUTED_VALUE"""),"初心者必見!!　プロが使うPhotoshopに匹敵するフリーの画像編集ソフトGIMPが基礎から簡単に学べる！")</f>
        <v>初心者必見!!　プロが使うPhotoshopに匹敵するフリーの画像編集ソフトGIMPが基礎から簡単に学べる！</v>
      </c>
    </row>
    <row r="14101">
      <c r="A14101" s="140" t="str">
        <f>IFERROR(__xludf.DUMMYFUNCTION("""COMPUTED_VALUE"""),"fr")</f>
        <v>fr</v>
      </c>
      <c r="B14101">
        <f>IFERROR(__xludf.DUMMYFUNCTION("""COMPUTED_VALUE"""),640088.0)</f>
        <v>640088</v>
      </c>
      <c r="C14101" t="str">
        <f>IFERROR(__xludf.DUMMYFUNCTION("""COMPUTED_VALUE"""),"Apprendre Javascript - Créer un jeu en ligne")</f>
        <v>Apprendre Javascript - Créer un jeu en ligne</v>
      </c>
    </row>
    <row r="14102">
      <c r="A14102" s="140" t="str">
        <f>IFERROR(__xludf.DUMMYFUNCTION("""COMPUTED_VALUE"""),"de")</f>
        <v>de</v>
      </c>
      <c r="B14102">
        <f>IFERROR(__xludf.DUMMYFUNCTION("""COMPUTED_VALUE"""),1061662.0)</f>
        <v>1061662</v>
      </c>
      <c r="C14102" t="str">
        <f>IFERROR(__xludf.DUMMYFUNCTION("""COMPUTED_VALUE"""),"Sprechtraining für Anfänger: Sprechen lernen wie ein Profi")</f>
        <v>Sprechtraining für Anfänger: Sprechen lernen wie ein Profi</v>
      </c>
    </row>
    <row r="14103">
      <c r="A14103" s="140" t="str">
        <f>IFERROR(__xludf.DUMMYFUNCTION("""COMPUTED_VALUE"""),"en")</f>
        <v>en</v>
      </c>
      <c r="B14103">
        <f>IFERROR(__xludf.DUMMYFUNCTION("""COMPUTED_VALUE"""),4413368.0)</f>
        <v>4413368</v>
      </c>
      <c r="C14103" t="str">
        <f>IFERROR(__xludf.DUMMYFUNCTION("""COMPUTED_VALUE"""),"Mastering of Python Script for System Administrator")</f>
        <v>Mastering of Python Script for System Administrator</v>
      </c>
    </row>
    <row r="14104">
      <c r="A14104" s="140" t="str">
        <f>IFERROR(__xludf.DUMMYFUNCTION("""COMPUTED_VALUE"""),"de")</f>
        <v>de</v>
      </c>
      <c r="B14104">
        <f>IFERROR(__xludf.DUMMYFUNCTION("""COMPUTED_VALUE"""),3051118.0)</f>
        <v>3051118</v>
      </c>
      <c r="C14104" t="str">
        <f>IFERROR(__xludf.DUMMYFUNCTION("""COMPUTED_VALUE"""),"Kostenrechnung")</f>
        <v>Kostenrechnung</v>
      </c>
    </row>
    <row r="14105">
      <c r="A14105" s="140" t="str">
        <f>IFERROR(__xludf.DUMMYFUNCTION("""COMPUTED_VALUE"""),"ko")</f>
        <v>ko</v>
      </c>
      <c r="B14105">
        <f>IFERROR(__xludf.DUMMYFUNCTION("""COMPUTED_VALUE"""),4400024.0)</f>
        <v>4400024</v>
      </c>
      <c r="C14105" t="str">
        <f>IFERROR(__xludf.DUMMYFUNCTION("""COMPUTED_VALUE"""),"【글로벌 Best】  완전 초보자를 위한 Java 프로그래밍 : 단기간에 Java 완벽 정복 (한글자막)")</f>
        <v>【글로벌 Best】  완전 초보자를 위한 Java 프로그래밍 : 단기간에 Java 완벽 정복 (한글자막)</v>
      </c>
    </row>
    <row r="14106">
      <c r="A14106" s="140" t="str">
        <f>IFERROR(__xludf.DUMMYFUNCTION("""COMPUTED_VALUE"""),"fr")</f>
        <v>fr</v>
      </c>
      <c r="B14106">
        <f>IFERROR(__xludf.DUMMYFUNCTION("""COMPUTED_VALUE"""),1995942.0)</f>
        <v>1995942</v>
      </c>
      <c r="C14106" t="str">
        <f>IFERROR(__xludf.DUMMYFUNCTION("""COMPUTED_VALUE"""),"AWS Solution Architect Associate en Francais [Examen blanc]")</f>
        <v>AWS Solution Architect Associate en Francais [Examen blanc]</v>
      </c>
    </row>
    <row r="14107">
      <c r="A14107" s="140" t="str">
        <f>IFERROR(__xludf.DUMMYFUNCTION("""COMPUTED_VALUE"""),"de")</f>
        <v>de</v>
      </c>
      <c r="B14107">
        <f>IFERROR(__xludf.DUMMYFUNCTION("""COMPUTED_VALUE"""),714260.0)</f>
        <v>714260</v>
      </c>
      <c r="C14107" t="str">
        <f>IFERROR(__xludf.DUMMYFUNCTION("""COMPUTED_VALUE"""),"Grundlagen der Achtsamkeitsmeditation")</f>
        <v>Grundlagen der Achtsamkeitsmeditation</v>
      </c>
    </row>
    <row r="14108">
      <c r="A14108" s="140" t="str">
        <f>IFERROR(__xludf.DUMMYFUNCTION("""COMPUTED_VALUE"""),"en")</f>
        <v>en</v>
      </c>
      <c r="B14108">
        <f>IFERROR(__xludf.DUMMYFUNCTION("""COMPUTED_VALUE"""),2763554.0)</f>
        <v>2763554</v>
      </c>
      <c r="C14108" t="str">
        <f>IFERROR(__xludf.DUMMYFUNCTION("""COMPUTED_VALUE"""),"Alteryx Designer Core Certification + Practice Tests-9 Hours")</f>
        <v>Alteryx Designer Core Certification + Practice Tests-9 Hours</v>
      </c>
    </row>
    <row r="14109">
      <c r="A14109" s="140" t="str">
        <f>IFERROR(__xludf.DUMMYFUNCTION("""COMPUTED_VALUE"""),"ko")</f>
        <v>ko</v>
      </c>
      <c r="B14109">
        <f>IFERROR(__xludf.DUMMYFUNCTION("""COMPUTED_VALUE"""),4370390.0)</f>
        <v>4370390</v>
      </c>
      <c r="C14109" t="str">
        <f>IFERROR(__xludf.DUMMYFUNCTION("""COMPUTED_VALUE"""),"【글로벌 Best】 Deep Learning 과 자연어 처리 (NLP) 의 모든 것: 챗봇 만들기(한글자막)")</f>
        <v>【글로벌 Best】 Deep Learning 과 자연어 처리 (NLP) 의 모든 것: 챗봇 만들기(한글자막)</v>
      </c>
    </row>
    <row r="14110">
      <c r="A14110" s="140" t="str">
        <f>IFERROR(__xludf.DUMMYFUNCTION("""COMPUTED_VALUE"""),"de")</f>
        <v>de</v>
      </c>
      <c r="B14110">
        <f>IFERROR(__xludf.DUMMYFUNCTION("""COMPUTED_VALUE"""),1146320.0)</f>
        <v>1146320</v>
      </c>
      <c r="C14110" t="str">
        <f>IFERROR(__xludf.DUMMYFUNCTION("""COMPUTED_VALUE"""),"Google Analytics Grundlagen")</f>
        <v>Google Analytics Grundlagen</v>
      </c>
    </row>
    <row r="14111">
      <c r="A14111" s="140" t="str">
        <f>IFERROR(__xludf.DUMMYFUNCTION("""COMPUTED_VALUE"""),"ja")</f>
        <v>ja</v>
      </c>
      <c r="B14111">
        <f>IFERROR(__xludf.DUMMYFUNCTION("""COMPUTED_VALUE"""),3231703.0)</f>
        <v>3231703</v>
      </c>
      <c r="C14111" t="str">
        <f>IFERROR(__xludf.DUMMYFUNCTION("""COMPUTED_VALUE"""),"C#で描画をする方法：自由に線や〇を描いて自前のグラフなどを作る方法")</f>
        <v>C#で描画をする方法：自由に線や〇を描いて自前のグラフなどを作る方法</v>
      </c>
    </row>
    <row r="14112">
      <c r="A14112" s="140" t="str">
        <f>IFERROR(__xludf.DUMMYFUNCTION("""COMPUTED_VALUE"""),"fr")</f>
        <v>fr</v>
      </c>
      <c r="B14112">
        <f>IFERROR(__xludf.DUMMYFUNCTION("""COMPUTED_VALUE"""),1961734.0)</f>
        <v>1961734</v>
      </c>
      <c r="C14112" t="str">
        <f>IFERROR(__xludf.DUMMYFUNCTION("""COMPUTED_VALUE"""),"Motivation X10 – réussite, confiance en soi et productivité")</f>
        <v>Motivation X10 – réussite, confiance en soi et productivité</v>
      </c>
    </row>
    <row r="14113">
      <c r="A14113" s="140" t="str">
        <f>IFERROR(__xludf.DUMMYFUNCTION("""COMPUTED_VALUE"""),"de")</f>
        <v>de</v>
      </c>
      <c r="B14113">
        <f>IFERROR(__xludf.DUMMYFUNCTION("""COMPUTED_VALUE"""),2580330.0)</f>
        <v>2580330</v>
      </c>
      <c r="C14113" t="str">
        <f>IFERROR(__xludf.DUMMYFUNCTION("""COMPUTED_VALUE"""),"Hybrides Projektmanagement: Scrum und Wasserfall vereint!")</f>
        <v>Hybrides Projektmanagement: Scrum und Wasserfall vereint!</v>
      </c>
    </row>
    <row r="14114">
      <c r="A14114" s="140" t="str">
        <f>IFERROR(__xludf.DUMMYFUNCTION("""COMPUTED_VALUE"""),"ja")</f>
        <v>ja</v>
      </c>
      <c r="B14114">
        <f>IFERROR(__xludf.DUMMYFUNCTION("""COMPUTED_VALUE"""),4314294.0)</f>
        <v>4314294</v>
      </c>
      <c r="C14114" t="str">
        <f>IFERROR(__xludf.DUMMYFUNCTION("""COMPUTED_VALUE"""),"After Effects【初・中級者】Duikを使った5種のキャラクター・アニメーション")</f>
        <v>After Effects【初・中級者】Duikを使った5種のキャラクター・アニメーション</v>
      </c>
    </row>
    <row r="14115">
      <c r="A14115" s="140" t="str">
        <f>IFERROR(__xludf.DUMMYFUNCTION("""COMPUTED_VALUE"""),"it")</f>
        <v>it</v>
      </c>
      <c r="B14115">
        <f>IFERROR(__xludf.DUMMYFUNCTION("""COMPUTED_VALUE"""),1715732.0)</f>
        <v>1715732</v>
      </c>
      <c r="C14115" t="str">
        <f>IFERROR(__xludf.DUMMYFUNCTION("""COMPUTED_VALUE"""),"GDPR pratico: Wordpress, Woocommerce e MailChimp")</f>
        <v>GDPR pratico: Wordpress, Woocommerce e MailChimp</v>
      </c>
    </row>
    <row r="14116">
      <c r="A14116" s="140" t="str">
        <f>IFERROR(__xludf.DUMMYFUNCTION("""COMPUTED_VALUE"""),"ja")</f>
        <v>ja</v>
      </c>
      <c r="B14116">
        <f>IFERROR(__xludf.DUMMYFUNCTION("""COMPUTED_VALUE"""),4335658.0)</f>
        <v>4335658</v>
      </c>
      <c r="C14116" t="str">
        <f>IFERROR(__xludf.DUMMYFUNCTION("""COMPUTED_VALUE"""),"現役YouTuberが教える！iPadだけでプロ級の動画編集をする方法。【LumaFusion】")</f>
        <v>現役YouTuberが教える！iPadだけでプロ級の動画編集をする方法。【LumaFusion】</v>
      </c>
    </row>
    <row r="14117">
      <c r="A14117" s="140" t="str">
        <f>IFERROR(__xludf.DUMMYFUNCTION("""COMPUTED_VALUE"""),"en")</f>
        <v>en</v>
      </c>
      <c r="B14117">
        <f>IFERROR(__xludf.DUMMYFUNCTION("""COMPUTED_VALUE"""),4344240.0)</f>
        <v>4344240</v>
      </c>
      <c r="C14117" t="str">
        <f>IFERROR(__xludf.DUMMYFUNCTION("""COMPUTED_VALUE"""),"Cucumber BDD Masterclass with Selenium WebDriver &amp; Java")</f>
        <v>Cucumber BDD Masterclass with Selenium WebDriver &amp; Java</v>
      </c>
    </row>
    <row r="14118">
      <c r="A14118" s="140" t="str">
        <f>IFERROR(__xludf.DUMMYFUNCTION("""COMPUTED_VALUE"""),"de")</f>
        <v>de</v>
      </c>
      <c r="B14118">
        <f>IFERROR(__xludf.DUMMYFUNCTION("""COMPUTED_VALUE"""),2883164.0)</f>
        <v>2883164</v>
      </c>
      <c r="C14118" t="str">
        <f>IFERROR(__xludf.DUMMYFUNCTION("""COMPUTED_VALUE"""),"Microsoft Power BI Grundlagen Workshop (Deutsch)")</f>
        <v>Microsoft Power BI Grundlagen Workshop (Deutsch)</v>
      </c>
    </row>
    <row r="14119">
      <c r="A14119" s="140" t="str">
        <f>IFERROR(__xludf.DUMMYFUNCTION("""COMPUTED_VALUE"""),"ko")</f>
        <v>ko</v>
      </c>
      <c r="B14119">
        <f>IFERROR(__xludf.DUMMYFUNCTION("""COMPUTED_VALUE"""),4398694.0)</f>
        <v>4398694</v>
      </c>
      <c r="C14119" t="str">
        <f>IFERROR(__xludf.DUMMYFUNCTION("""COMPUTED_VALUE"""),"【글로벌 Best】 Android 12 및 Kotlin 개발 완전 정복 (한글 자막)")</f>
        <v>【글로벌 Best】 Android 12 및 Kotlin 개발 완전 정복 (한글 자막)</v>
      </c>
    </row>
    <row r="14120">
      <c r="A14120" s="140" t="str">
        <f>IFERROR(__xludf.DUMMYFUNCTION("""COMPUTED_VALUE"""),"en")</f>
        <v>en</v>
      </c>
      <c r="B14120">
        <f>IFERROR(__xludf.DUMMYFUNCTION("""COMPUTED_VALUE"""),3701534.0)</f>
        <v>3701534</v>
      </c>
      <c r="C14120" t="str">
        <f>IFERROR(__xludf.DUMMYFUNCTION("""COMPUTED_VALUE"""),"The Ultimate Swagger Tools Course: Build OpenAPI with Ease")</f>
        <v>The Ultimate Swagger Tools Course: Build OpenAPI with Ease</v>
      </c>
    </row>
    <row r="14121">
      <c r="A14121" s="140" t="str">
        <f>IFERROR(__xludf.DUMMYFUNCTION("""COMPUTED_VALUE"""),"it")</f>
        <v>it</v>
      </c>
      <c r="B14121">
        <f>IFERROR(__xludf.DUMMYFUNCTION("""COMPUTED_VALUE"""),2354558.0)</f>
        <v>2354558</v>
      </c>
      <c r="C14121" t="str">
        <f>IFERROR(__xludf.DUMMYFUNCTION("""COMPUTED_VALUE"""),"VBA - La Guida Completa")</f>
        <v>VBA - La Guida Completa</v>
      </c>
    </row>
    <row r="14122">
      <c r="A14122" s="140" t="str">
        <f>IFERROR(__xludf.DUMMYFUNCTION("""COMPUTED_VALUE"""),"it")</f>
        <v>it</v>
      </c>
      <c r="B14122">
        <f>IFERROR(__xludf.DUMMYFUNCTION("""COMPUTED_VALUE"""),2799700.0)</f>
        <v>2799700</v>
      </c>
      <c r="C14122" t="str">
        <f>IFERROR(__xludf.DUMMYFUNCTION("""COMPUTED_VALUE"""),"EMAIL MARKETING CON GET RESPONSE: LA GUIDA COMPLETA™")</f>
        <v>EMAIL MARKETING CON GET RESPONSE: LA GUIDA COMPLETA™</v>
      </c>
    </row>
    <row r="14123">
      <c r="A14123" s="140" t="str">
        <f>IFERROR(__xludf.DUMMYFUNCTION("""COMPUTED_VALUE"""),"ko")</f>
        <v>ko</v>
      </c>
      <c r="B14123">
        <f>IFERROR(__xludf.DUMMYFUNCTION("""COMPUTED_VALUE"""),4382740.0)</f>
        <v>4382740</v>
      </c>
      <c r="C14123" t="str">
        <f>IFERROR(__xludf.DUMMYFUNCTION("""COMPUTED_VALUE"""),"【글로벌 Best】 DP-100 마이크로소프트 Azure 데이터 과학자 자격시험 완전 대비 (한글자막)")</f>
        <v>【글로벌 Best】 DP-100 마이크로소프트 Azure 데이터 과학자 자격시험 완전 대비 (한글자막)</v>
      </c>
    </row>
    <row r="14124">
      <c r="A14124" s="140" t="str">
        <f>IFERROR(__xludf.DUMMYFUNCTION("""COMPUTED_VALUE"""),"en")</f>
        <v>en</v>
      </c>
      <c r="B14124">
        <f>IFERROR(__xludf.DUMMYFUNCTION("""COMPUTED_VALUE"""),1524500.0)</f>
        <v>1524500</v>
      </c>
      <c r="C14124" t="str">
        <f>IFERROR(__xludf.DUMMYFUNCTION("""COMPUTED_VALUE"""),"Learn the ART of Substance Painter")</f>
        <v>Learn the ART of Substance Painter</v>
      </c>
    </row>
    <row r="14125">
      <c r="A14125" s="140" t="str">
        <f>IFERROR(__xludf.DUMMYFUNCTION("""COMPUTED_VALUE"""),"en")</f>
        <v>en</v>
      </c>
      <c r="B14125">
        <f>IFERROR(__xludf.DUMMYFUNCTION("""COMPUTED_VALUE"""),4165802.0)</f>
        <v>4165802</v>
      </c>
      <c r="C14125" t="str">
        <f>IFERROR(__xludf.DUMMYFUNCTION("""COMPUTED_VALUE"""),"The Neuroscience of Sleep and Dreams")</f>
        <v>The Neuroscience of Sleep and Dreams</v>
      </c>
    </row>
    <row r="14126">
      <c r="A14126" s="140" t="str">
        <f>IFERROR(__xludf.DUMMYFUNCTION("""COMPUTED_VALUE"""),"fr")</f>
        <v>fr</v>
      </c>
      <c r="B14126">
        <f>IFERROR(__xludf.DUMMYFUNCTION("""COMPUTED_VALUE"""),3671642.0)</f>
        <v>3671642</v>
      </c>
      <c r="C14126" t="str">
        <f>IFERROR(__xludf.DUMMYFUNCTION("""COMPUTED_VALUE"""),"Apprendre Symfony 5 en créant un blog et un site e-Commerce")</f>
        <v>Apprendre Symfony 5 en créant un blog et un site e-Commerce</v>
      </c>
    </row>
    <row r="14127">
      <c r="A14127" s="140" t="str">
        <f>IFERROR(__xludf.DUMMYFUNCTION("""COMPUTED_VALUE"""),"fr")</f>
        <v>fr</v>
      </c>
      <c r="B14127">
        <f>IFERROR(__xludf.DUMMYFUNCTION("""COMPUTED_VALUE"""),1421066.0)</f>
        <v>1421066</v>
      </c>
      <c r="C14127" t="str">
        <f>IFERROR(__xludf.DUMMYFUNCTION("""COMPUTED_VALUE"""),"Tout connaître de Nagios (Nagios Certified Professional)")</f>
        <v>Tout connaître de Nagios (Nagios Certified Professional)</v>
      </c>
    </row>
    <row r="14128">
      <c r="A14128" s="140" t="str">
        <f>IFERROR(__xludf.DUMMYFUNCTION("""COMPUTED_VALUE"""),"fr")</f>
        <v>fr</v>
      </c>
      <c r="B14128">
        <f>IFERROR(__xludf.DUMMYFUNCTION("""COMPUTED_VALUE"""),3448780.0)</f>
        <v>3448780</v>
      </c>
      <c r="C14128" t="str">
        <f>IFERROR(__xludf.DUMMYFUNCTION("""COMPUTED_VALUE"""),"Devenez incollable sur l'asynchronisme en C#")</f>
        <v>Devenez incollable sur l'asynchronisme en C#</v>
      </c>
    </row>
    <row r="14129">
      <c r="A14129" s="140" t="str">
        <f>IFERROR(__xludf.DUMMYFUNCTION("""COMPUTED_VALUE"""),"tr")</f>
        <v>tr</v>
      </c>
      <c r="B14129">
        <f>IFERROR(__xludf.DUMMYFUNCTION("""COMPUTED_VALUE"""),3242032.0)</f>
        <v>3242032</v>
      </c>
      <c r="C14129" t="str">
        <f>IFERROR(__xludf.DUMMYFUNCTION("""COMPUTED_VALUE"""),"Borsa Eğitimi 4 | Temel Analiz (Şirket/Bilanço İnceleme)")</f>
        <v>Borsa Eğitimi 4 | Temel Analiz (Şirket/Bilanço İnceleme)</v>
      </c>
    </row>
    <row r="14130">
      <c r="A14130" s="140" t="str">
        <f>IFERROR(__xludf.DUMMYFUNCTION("""COMPUTED_VALUE"""),"en")</f>
        <v>en</v>
      </c>
      <c r="B14130">
        <f>IFERROR(__xludf.DUMMYFUNCTION("""COMPUTED_VALUE"""),828670.0)</f>
        <v>828670</v>
      </c>
      <c r="C14130" t="str">
        <f>IFERROR(__xludf.DUMMYFUNCTION("""COMPUTED_VALUE"""),"Predictable Revenue Pipedrive Mastery Course")</f>
        <v>Predictable Revenue Pipedrive Mastery Course</v>
      </c>
    </row>
    <row r="14131">
      <c r="A14131" s="140" t="str">
        <f>IFERROR(__xludf.DUMMYFUNCTION("""COMPUTED_VALUE"""),"ja")</f>
        <v>ja</v>
      </c>
      <c r="B14131">
        <f>IFERROR(__xludf.DUMMYFUNCTION("""COMPUTED_VALUE"""),4226888.0)</f>
        <v>4226888</v>
      </c>
      <c r="C14131" t="str">
        <f>IFERROR(__xludf.DUMMYFUNCTION("""COMPUTED_VALUE"""),"はじめてのクラウド入門- ビジネスパーソンがクラウドコンピューティングの基本を学び、ビジネスへの活用方法を知る")</f>
        <v>はじめてのクラウド入門- ビジネスパーソンがクラウドコンピューティングの基本を学び、ビジネスへの活用方法を知る</v>
      </c>
    </row>
    <row r="14132">
      <c r="A14132" s="140" t="str">
        <f>IFERROR(__xludf.DUMMYFUNCTION("""COMPUTED_VALUE"""),"de")</f>
        <v>de</v>
      </c>
      <c r="B14132">
        <f>IFERROR(__xludf.DUMMYFUNCTION("""COMPUTED_VALUE"""),1696874.0)</f>
        <v>1696874</v>
      </c>
      <c r="C14132" t="str">
        <f>IFERROR(__xludf.DUMMYFUNCTION("""COMPUTED_VALUE"""),"Microsoft Word: Wissenschaftliche Arbeit formatieren")</f>
        <v>Microsoft Word: Wissenschaftliche Arbeit formatieren</v>
      </c>
    </row>
    <row r="14133">
      <c r="A14133" s="140" t="str">
        <f>IFERROR(__xludf.DUMMYFUNCTION("""COMPUTED_VALUE"""),"it")</f>
        <v>it</v>
      </c>
      <c r="B14133">
        <f>IFERROR(__xludf.DUMMYFUNCTION("""COMPUTED_VALUE"""),3509598.0)</f>
        <v>3509598</v>
      </c>
      <c r="C14133" t="str">
        <f>IFERROR(__xludf.DUMMYFUNCTION("""COMPUTED_VALUE"""),"Corso sui KPI in Analisi Commerciale")</f>
        <v>Corso sui KPI in Analisi Commerciale</v>
      </c>
    </row>
    <row r="14134">
      <c r="A14134" s="140" t="str">
        <f>IFERROR(__xludf.DUMMYFUNCTION("""COMPUTED_VALUE"""),"en")</f>
        <v>en</v>
      </c>
      <c r="B14134">
        <f>IFERROR(__xludf.DUMMYFUNCTION("""COMPUTED_VALUE"""),3977294.0)</f>
        <v>3977294</v>
      </c>
      <c r="C14134" t="str">
        <f>IFERROR(__xludf.DUMMYFUNCTION("""COMPUTED_VALUE"""),"Decision Modeling and Risk Analysis with Excel")</f>
        <v>Decision Modeling and Risk Analysis with Excel</v>
      </c>
    </row>
    <row r="14135">
      <c r="A14135" s="140" t="str">
        <f>IFERROR(__xludf.DUMMYFUNCTION("""COMPUTED_VALUE"""),"en")</f>
        <v>en</v>
      </c>
      <c r="B14135">
        <f>IFERROR(__xludf.DUMMYFUNCTION("""COMPUTED_VALUE"""),1541872.0)</f>
        <v>1541872</v>
      </c>
      <c r="C14135" t="str">
        <f>IFERROR(__xludf.DUMMYFUNCTION("""COMPUTED_VALUE"""),"MetaTrader 5: A Forex Trading Platform for Everyone")</f>
        <v>MetaTrader 5: A Forex Trading Platform for Everyone</v>
      </c>
    </row>
    <row r="14136">
      <c r="A14136" s="140" t="str">
        <f>IFERROR(__xludf.DUMMYFUNCTION("""COMPUTED_VALUE"""),"fr")</f>
        <v>fr</v>
      </c>
      <c r="B14136">
        <f>IFERROR(__xludf.DUMMYFUNCTION("""COMPUTED_VALUE"""),2897936.0)</f>
        <v>2897936</v>
      </c>
      <c r="C14136" t="str">
        <f>IFERROR(__xludf.DUMMYFUNCTION("""COMPUTED_VALUE"""),"Devenir Community Manager en moins de 5 heures")</f>
        <v>Devenir Community Manager en moins de 5 heures</v>
      </c>
    </row>
    <row r="14137">
      <c r="A14137" s="140" t="str">
        <f>IFERROR(__xludf.DUMMYFUNCTION("""COMPUTED_VALUE"""),"de")</f>
        <v>de</v>
      </c>
      <c r="B14137">
        <f>IFERROR(__xludf.DUMMYFUNCTION("""COMPUTED_VALUE"""),4295996.0)</f>
        <v>4295996</v>
      </c>
      <c r="C14137" t="str">
        <f>IFERROR(__xludf.DUMMYFUNCTION("""COMPUTED_VALUE"""),"Vue.js 3 - Der Komplettkurs (inkl. vue-router, vuex uvm.)")</f>
        <v>Vue.js 3 - Der Komplettkurs (inkl. vue-router, vuex uvm.)</v>
      </c>
    </row>
    <row r="14138">
      <c r="A14138" s="140" t="str">
        <f>IFERROR(__xludf.DUMMYFUNCTION("""COMPUTED_VALUE"""),"en")</f>
        <v>en</v>
      </c>
      <c r="B14138">
        <f>IFERROR(__xludf.DUMMYFUNCTION("""COMPUTED_VALUE"""),4433038.0)</f>
        <v>4433038</v>
      </c>
      <c r="C14138" t="str">
        <f>IFERROR(__xludf.DUMMYFUNCTION("""COMPUTED_VALUE"""),"Communications for New Managers")</f>
        <v>Communications for New Managers</v>
      </c>
    </row>
    <row r="14139">
      <c r="A14139" s="140" t="str">
        <f>IFERROR(__xludf.DUMMYFUNCTION("""COMPUTED_VALUE"""),"it")</f>
        <v>it</v>
      </c>
      <c r="B14139">
        <f>IFERROR(__xludf.DUMMYFUNCTION("""COMPUTED_VALUE"""),376328.0)</f>
        <v>376328</v>
      </c>
      <c r="C14139" t="str">
        <f>IFERROR(__xludf.DUMMYFUNCTION("""COMPUTED_VALUE"""),"5 principi per realizzare e tenere presentazioni persuasive")</f>
        <v>5 principi per realizzare e tenere presentazioni persuasive</v>
      </c>
    </row>
    <row r="14140">
      <c r="A14140" s="140" t="str">
        <f>IFERROR(__xludf.DUMMYFUNCTION("""COMPUTED_VALUE"""),"fr")</f>
        <v>fr</v>
      </c>
      <c r="B14140">
        <f>IFERROR(__xludf.DUMMYFUNCTION("""COMPUTED_VALUE"""),4217538.0)</f>
        <v>4217538</v>
      </c>
      <c r="C14140" t="str">
        <f>IFERROR(__xludf.DUMMYFUNCTION("""COMPUTED_VALUE"""),"Devenir un expert de Power Bi - La formation complète")</f>
        <v>Devenir un expert de Power Bi - La formation complète</v>
      </c>
    </row>
    <row r="14141">
      <c r="A14141" s="140" t="str">
        <f>IFERROR(__xludf.DUMMYFUNCTION("""COMPUTED_VALUE"""),"ja")</f>
        <v>ja</v>
      </c>
      <c r="B14141">
        <f>IFERROR(__xludf.DUMMYFUNCTION("""COMPUTED_VALUE"""),4383106.0)</f>
        <v>4383106</v>
      </c>
      <c r="C14141" t="str">
        <f>IFERROR(__xludf.DUMMYFUNCTION("""COMPUTED_VALUE"""),"ノーコードで超速WEB制作　STUDIO学習完全パック（初級〜上級編）")</f>
        <v>ノーコードで超速WEB制作　STUDIO学習完全パック（初級〜上級編）</v>
      </c>
    </row>
    <row r="14142">
      <c r="A14142" s="140" t="str">
        <f>IFERROR(__xludf.DUMMYFUNCTION("""COMPUTED_VALUE"""),"fr")</f>
        <v>fr</v>
      </c>
      <c r="B14142">
        <f>IFERROR(__xludf.DUMMYFUNCTION("""COMPUTED_VALUE"""),3135504.0)</f>
        <v>3135504</v>
      </c>
      <c r="C14142" t="str">
        <f>IFERROR(__xludf.DUMMYFUNCTION("""COMPUTED_VALUE"""),"Automatisation des tests avec Robot Framework A-Z™")</f>
        <v>Automatisation des tests avec Robot Framework A-Z™</v>
      </c>
    </row>
    <row r="14143">
      <c r="A14143" s="140" t="str">
        <f>IFERROR(__xludf.DUMMYFUNCTION("""COMPUTED_VALUE"""),"en")</f>
        <v>en</v>
      </c>
      <c r="B14143">
        <f>IFERROR(__xludf.DUMMYFUNCTION("""COMPUTED_VALUE"""),3906218.0)</f>
        <v>3906218</v>
      </c>
      <c r="C14143" t="str">
        <f>IFERROR(__xludf.DUMMYFUNCTION("""COMPUTED_VALUE"""),"Introduction to Online Community Management")</f>
        <v>Introduction to Online Community Management</v>
      </c>
    </row>
    <row r="14144">
      <c r="A14144" s="140" t="str">
        <f>IFERROR(__xludf.DUMMYFUNCTION("""COMPUTED_VALUE"""),"en")</f>
        <v>en</v>
      </c>
      <c r="B14144">
        <f>IFERROR(__xludf.DUMMYFUNCTION("""COMPUTED_VALUE"""),3773360.0)</f>
        <v>3773360</v>
      </c>
      <c r="C14144" t="str">
        <f>IFERROR(__xludf.DUMMYFUNCTION("""COMPUTED_VALUE"""),"Linux Heap Exploitation - Part 2")</f>
        <v>Linux Heap Exploitation - Part 2</v>
      </c>
    </row>
    <row r="14145">
      <c r="A14145" s="140" t="str">
        <f>IFERROR(__xludf.DUMMYFUNCTION("""COMPUTED_VALUE"""),"ko")</f>
        <v>ko</v>
      </c>
      <c r="B14145">
        <f>IFERROR(__xludf.DUMMYFUNCTION("""COMPUTED_VALUE"""),4263706.0)</f>
        <v>4263706</v>
      </c>
      <c r="C14145" t="str">
        <f>IFERROR(__xludf.DUMMYFUNCTION("""COMPUTED_VALUE"""),"감탄육아 스텝 1 -&gt; 바꿔볼 표현들 / 더해볼 표현들")</f>
        <v>감탄육아 스텝 1 -&gt; 바꿔볼 표현들 / 더해볼 표현들</v>
      </c>
    </row>
    <row r="14146">
      <c r="A14146" s="140" t="str">
        <f>IFERROR(__xludf.DUMMYFUNCTION("""COMPUTED_VALUE"""),"de")</f>
        <v>de</v>
      </c>
      <c r="B14146">
        <f>IFERROR(__xludf.DUMMYFUNCTION("""COMPUTED_VALUE"""),4218176.0)</f>
        <v>4218176</v>
      </c>
      <c r="C14146" t="str">
        <f>IFERROR(__xludf.DUMMYFUNCTION("""COMPUTED_VALUE"""),"Der komplette Unity 2021 Kurs - Werde C# Spieleentwickler")</f>
        <v>Der komplette Unity 2021 Kurs - Werde C# Spieleentwickler</v>
      </c>
    </row>
    <row r="14147">
      <c r="A14147" s="140" t="str">
        <f>IFERROR(__xludf.DUMMYFUNCTION("""COMPUTED_VALUE"""),"en")</f>
        <v>en</v>
      </c>
      <c r="B14147">
        <f>IFERROR(__xludf.DUMMYFUNCTION("""COMPUTED_VALUE"""),4511668.0)</f>
        <v>4511668</v>
      </c>
      <c r="C14147" t="str">
        <f>IFERROR(__xludf.DUMMYFUNCTION("""COMPUTED_VALUE"""),"Financial Modeling Bootcamp: Financial Forecasting in Excel")</f>
        <v>Financial Modeling Bootcamp: Financial Forecasting in Excel</v>
      </c>
    </row>
    <row r="14148">
      <c r="A14148" s="140" t="str">
        <f>IFERROR(__xludf.DUMMYFUNCTION("""COMPUTED_VALUE"""),"fr")</f>
        <v>fr</v>
      </c>
      <c r="B14148">
        <f>IFERROR(__xludf.DUMMYFUNCTION("""COMPUTED_VALUE"""),3398070.0)</f>
        <v>3398070</v>
      </c>
      <c r="C14148" t="str">
        <f>IFERROR(__xludf.DUMMYFUNCTION("""COMPUTED_VALUE"""),"Créez un site web avec Drupal 9")</f>
        <v>Créez un site web avec Drupal 9</v>
      </c>
    </row>
    <row r="14149">
      <c r="A14149" s="140" t="str">
        <f>IFERROR(__xludf.DUMMYFUNCTION("""COMPUTED_VALUE"""),"de")</f>
        <v>de</v>
      </c>
      <c r="B14149">
        <f>IFERROR(__xludf.DUMMYFUNCTION("""COMPUTED_VALUE"""),2434270.0)</f>
        <v>2434270</v>
      </c>
      <c r="C14149" t="str">
        <f>IFERROR(__xludf.DUMMYFUNCTION("""COMPUTED_VALUE"""),"Docker Einführung")</f>
        <v>Docker Einführung</v>
      </c>
    </row>
    <row r="14150">
      <c r="A14150" s="140" t="str">
        <f>IFERROR(__xludf.DUMMYFUNCTION("""COMPUTED_VALUE"""),"en")</f>
        <v>en</v>
      </c>
      <c r="B14150">
        <f>IFERROR(__xludf.DUMMYFUNCTION("""COMPUTED_VALUE"""),2694050.0)</f>
        <v>2694050</v>
      </c>
      <c r="C14150" t="str">
        <f>IFERROR(__xludf.DUMMYFUNCTION("""COMPUTED_VALUE"""),"COBIT 2019 Foundation Practice Test (450 Questions)")</f>
        <v>COBIT 2019 Foundation Practice Test (450 Questions)</v>
      </c>
    </row>
    <row r="14151">
      <c r="A14151" s="140" t="str">
        <f>IFERROR(__xludf.DUMMYFUNCTION("""COMPUTED_VALUE"""),"fr")</f>
        <v>fr</v>
      </c>
      <c r="B14151">
        <f>IFERROR(__xludf.DUMMYFUNCTION("""COMPUTED_VALUE"""),2031410.0)</f>
        <v>2031410</v>
      </c>
      <c r="C14151" t="str">
        <f>IFERROR(__xludf.DUMMYFUNCTION("""COMPUTED_VALUE"""),"Gestion des émotions")</f>
        <v>Gestion des émotions</v>
      </c>
    </row>
    <row r="14152">
      <c r="A14152" s="140" t="str">
        <f>IFERROR(__xludf.DUMMYFUNCTION("""COMPUTED_VALUE"""),"ko")</f>
        <v>ko</v>
      </c>
      <c r="B14152">
        <f>IFERROR(__xludf.DUMMYFUNCTION("""COMPUTED_VALUE"""),4382744.0)</f>
        <v>4382744</v>
      </c>
      <c r="C14152" t="str">
        <f>IFERROR(__xludf.DUMMYFUNCTION("""COMPUTED_VALUE"""),"【글로벌 Best】 2021년 AZ-700 설계 및 구현 Azure 네트워킹 시험 (한글자막)")</f>
        <v>【글로벌 Best】 2021년 AZ-700 설계 및 구현 Azure 네트워킹 시험 (한글자막)</v>
      </c>
    </row>
    <row r="14153">
      <c r="A14153" s="140" t="str">
        <f>IFERROR(__xludf.DUMMYFUNCTION("""COMPUTED_VALUE"""),"de")</f>
        <v>de</v>
      </c>
      <c r="B14153">
        <f>IFERROR(__xludf.DUMMYFUNCTION("""COMPUTED_VALUE"""),2728932.0)</f>
        <v>2728932</v>
      </c>
      <c r="C14153" t="str">
        <f>IFERROR(__xludf.DUMMYFUNCTION("""COMPUTED_VALUE"""),"Almanca Öğretiyoruz A1 konuları")</f>
        <v>Almanca Öğretiyoruz A1 konuları</v>
      </c>
    </row>
    <row r="14154">
      <c r="A14154" s="140" t="str">
        <f>IFERROR(__xludf.DUMMYFUNCTION("""COMPUTED_VALUE"""),"it")</f>
        <v>it</v>
      </c>
      <c r="B14154">
        <f>IFERROR(__xludf.DUMMYFUNCTION("""COMPUTED_VALUE"""),3119028.0)</f>
        <v>3119028</v>
      </c>
      <c r="C14154" t="str">
        <f>IFERROR(__xludf.DUMMYFUNCTION("""COMPUTED_VALUE"""),"Mini-corso di Spagnolo")</f>
        <v>Mini-corso di Spagnolo</v>
      </c>
    </row>
    <row r="14155">
      <c r="A14155" s="140" t="str">
        <f>IFERROR(__xludf.DUMMYFUNCTION("""COMPUTED_VALUE"""),"en")</f>
        <v>en</v>
      </c>
      <c r="B14155">
        <f>IFERROR(__xludf.DUMMYFUNCTION("""COMPUTED_VALUE"""),4427730.0)</f>
        <v>4427730</v>
      </c>
      <c r="C14155" t="str">
        <f>IFERROR(__xludf.DUMMYFUNCTION("""COMPUTED_VALUE"""),"React Front To Back 2022")</f>
        <v>React Front To Back 2022</v>
      </c>
    </row>
    <row r="14156">
      <c r="A14156" s="140" t="str">
        <f>IFERROR(__xludf.DUMMYFUNCTION("""COMPUTED_VALUE"""),"it")</f>
        <v>it</v>
      </c>
      <c r="B14156">
        <f>IFERROR(__xludf.DUMMYFUNCTION("""COMPUTED_VALUE"""),3636924.0)</f>
        <v>3636924</v>
      </c>
      <c r="C14156" t="str">
        <f>IFERROR(__xludf.DUMMYFUNCTION("""COMPUTED_VALUE"""),"CyberSecurity awareness per utenti")</f>
        <v>CyberSecurity awareness per utenti</v>
      </c>
    </row>
    <row r="14157">
      <c r="A14157" s="140" t="str">
        <f>IFERROR(__xludf.DUMMYFUNCTION("""COMPUTED_VALUE"""),"de")</f>
        <v>de</v>
      </c>
      <c r="B14157">
        <f>IFERROR(__xludf.DUMMYFUNCTION("""COMPUTED_VALUE"""),2627764.0)</f>
        <v>2627764</v>
      </c>
      <c r="C14157" t="str">
        <f>IFERROR(__xludf.DUMMYFUNCTION("""COMPUTED_VALUE"""),"Einführung in Berechnungen mit Calculate in Power BI Desktop")</f>
        <v>Einführung in Berechnungen mit Calculate in Power BI Desktop</v>
      </c>
    </row>
    <row r="14158">
      <c r="A14158" s="140" t="str">
        <f>IFERROR(__xludf.DUMMYFUNCTION("""COMPUTED_VALUE"""),"it")</f>
        <v>it</v>
      </c>
      <c r="B14158">
        <f>IFERROR(__xludf.DUMMYFUNCTION("""COMPUTED_VALUE"""),1689216.0)</f>
        <v>1689216</v>
      </c>
      <c r="C14158" t="str">
        <f>IFERROR(__xludf.DUMMYFUNCTION("""COMPUTED_VALUE"""),"Corso base per macOS")</f>
        <v>Corso base per macOS</v>
      </c>
    </row>
    <row r="14159">
      <c r="A14159" s="140" t="str">
        <f>IFERROR(__xludf.DUMMYFUNCTION("""COMPUTED_VALUE"""),"en")</f>
        <v>en</v>
      </c>
      <c r="B14159">
        <f>IFERROR(__xludf.DUMMYFUNCTION("""COMPUTED_VALUE"""),4415686.0)</f>
        <v>4415686</v>
      </c>
      <c r="C14159" t="str">
        <f>IFERROR(__xludf.DUMMYFUNCTION("""COMPUTED_VALUE"""),"Body Language in Business: Gain Confidence &amp; Read Others")</f>
        <v>Body Language in Business: Gain Confidence &amp; Read Others</v>
      </c>
    </row>
    <row r="14160">
      <c r="A14160" s="140" t="str">
        <f>IFERROR(__xludf.DUMMYFUNCTION("""COMPUTED_VALUE"""),"ko")</f>
        <v>ko</v>
      </c>
      <c r="B14160">
        <f>IFERROR(__xludf.DUMMYFUNCTION("""COMPUTED_VALUE"""),4278408.0)</f>
        <v>4278408</v>
      </c>
      <c r="C14160" t="str">
        <f>IFERROR(__xludf.DUMMYFUNCTION("""COMPUTED_VALUE"""),"【글로벌 Best】 머신 러닝 &amp; AI 로 추천 시스템 구축하기 (한글자막)")</f>
        <v>【글로벌 Best】 머신 러닝 &amp; AI 로 추천 시스템 구축하기 (한글자막)</v>
      </c>
    </row>
    <row r="14161">
      <c r="A14161" s="140" t="str">
        <f>IFERROR(__xludf.DUMMYFUNCTION("""COMPUTED_VALUE"""),"ko")</f>
        <v>ko</v>
      </c>
      <c r="B14161">
        <f>IFERROR(__xludf.DUMMYFUNCTION("""COMPUTED_VALUE"""),4197914.0)</f>
        <v>4197914</v>
      </c>
      <c r="C14161" t="str">
        <f>IFERROR(__xludf.DUMMYFUNCTION("""COMPUTED_VALUE"""),"기초부터 심화까지 한번에 해결하는 자바스크립트, jQuery")</f>
        <v>기초부터 심화까지 한번에 해결하는 자바스크립트, jQuery</v>
      </c>
    </row>
    <row r="14162">
      <c r="A14162" s="140" t="str">
        <f>IFERROR(__xludf.DUMMYFUNCTION("""COMPUTED_VALUE"""),"en")</f>
        <v>en</v>
      </c>
      <c r="B14162">
        <f>IFERROR(__xludf.DUMMYFUNCTION("""COMPUTED_VALUE"""),3970920.0)</f>
        <v>3970920</v>
      </c>
      <c r="C14162" t="str">
        <f>IFERROR(__xludf.DUMMYFUNCTION("""COMPUTED_VALUE"""),"The Complete Guide on Hyperledger Fabric v2.x on Kubernetes")</f>
        <v>The Complete Guide on Hyperledger Fabric v2.x on Kubernetes</v>
      </c>
    </row>
    <row r="14163">
      <c r="A14163" s="140" t="str">
        <f>IFERROR(__xludf.DUMMYFUNCTION("""COMPUTED_VALUE"""),"it")</f>
        <v>it</v>
      </c>
      <c r="B14163">
        <f>IFERROR(__xludf.DUMMYFUNCTION("""COMPUTED_VALUE"""),4116932.0)</f>
        <v>4116932</v>
      </c>
      <c r="C14163" t="str">
        <f>IFERROR(__xludf.DUMMYFUNCTION("""COMPUTED_VALUE"""),"Mindset vincente. Mentalità da leader per ottenere successo")</f>
        <v>Mindset vincente. Mentalità da leader per ottenere successo</v>
      </c>
    </row>
    <row r="14164">
      <c r="A14164" s="140" t="str">
        <f>IFERROR(__xludf.DUMMYFUNCTION("""COMPUTED_VALUE"""),"it")</f>
        <v>it</v>
      </c>
      <c r="B14164">
        <f>IFERROR(__xludf.DUMMYFUNCTION("""COMPUTED_VALUE"""),1805310.0)</f>
        <v>1805310</v>
      </c>
      <c r="C14164" t="str">
        <f>IFERROR(__xludf.DUMMYFUNCTION("""COMPUTED_VALUE"""),"Parlare in pubblico in 4 mosse")</f>
        <v>Parlare in pubblico in 4 mosse</v>
      </c>
    </row>
    <row r="14165">
      <c r="A14165" s="140" t="str">
        <f>IFERROR(__xludf.DUMMYFUNCTION("""COMPUTED_VALUE"""),"fr")</f>
        <v>fr</v>
      </c>
      <c r="B14165">
        <f>IFERROR(__xludf.DUMMYFUNCTION("""COMPUTED_VALUE"""),2347280.0)</f>
        <v>2347280</v>
      </c>
      <c r="C14165" t="str">
        <f>IFERROR(__xludf.DUMMYFUNCTION("""COMPUTED_VALUE"""),"CONTENT KING: Comment créer du contenu qui buzz à coup sûr ?")</f>
        <v>CONTENT KING: Comment créer du contenu qui buzz à coup sûr ?</v>
      </c>
    </row>
    <row r="14166">
      <c r="A14166" s="140" t="str">
        <f>IFERROR(__xludf.DUMMYFUNCTION("""COMPUTED_VALUE"""),"de")</f>
        <v>de</v>
      </c>
      <c r="B14166">
        <f>IFERROR(__xludf.DUMMYFUNCTION("""COMPUTED_VALUE"""),3280468.0)</f>
        <v>3280468</v>
      </c>
      <c r="C14166" t="str">
        <f>IFERROR(__xludf.DUMMYFUNCTION("""COMPUTED_VALUE"""),"Die perfekte Landingpage")</f>
        <v>Die perfekte Landingpage</v>
      </c>
    </row>
    <row r="14167">
      <c r="A14167" s="140" t="str">
        <f>IFERROR(__xludf.DUMMYFUNCTION("""COMPUTED_VALUE"""),"ja")</f>
        <v>ja</v>
      </c>
      <c r="B14167">
        <f>IFERROR(__xludf.DUMMYFUNCTION("""COMPUTED_VALUE"""),2642626.0)</f>
        <v>2642626</v>
      </c>
      <c r="C14167" t="str">
        <f>IFERROR(__xludf.DUMMYFUNCTION("""COMPUTED_VALUE"""),"Premiere Pro動画編集で使えるテレビ風テロップデザイン作成テクニック 入門クラス")</f>
        <v>Premiere Pro動画編集で使えるテレビ風テロップデザイン作成テクニック 入門クラス</v>
      </c>
    </row>
    <row r="14168">
      <c r="A14168" s="140" t="str">
        <f>IFERROR(__xludf.DUMMYFUNCTION("""COMPUTED_VALUE"""),"de")</f>
        <v>de</v>
      </c>
      <c r="B14168">
        <f>IFERROR(__xludf.DUMMYFUNCTION("""COMPUTED_VALUE"""),2324708.0)</f>
        <v>2324708</v>
      </c>
      <c r="C14168" t="str">
        <f>IFERROR(__xludf.DUMMYFUNCTION("""COMPUTED_VALUE"""),"Unreal Engine - Spieleentwicklung mit Blueprints")</f>
        <v>Unreal Engine - Spieleentwicklung mit Blueprints</v>
      </c>
    </row>
    <row r="14169">
      <c r="A14169" s="140" t="str">
        <f>IFERROR(__xludf.DUMMYFUNCTION("""COMPUTED_VALUE"""),"ja")</f>
        <v>ja</v>
      </c>
      <c r="B14169">
        <f>IFERROR(__xludf.DUMMYFUNCTION("""COMPUTED_VALUE"""),4113406.0)</f>
        <v>4113406</v>
      </c>
      <c r="C14169" t="str">
        <f>IFERROR(__xludf.DUMMYFUNCTION("""COMPUTED_VALUE"""),"一気に即戦力！学生と社会人新人のためのロジカルシンキング&amp;ライティング講座")</f>
        <v>一気に即戦力！学生と社会人新人のためのロジカルシンキング&amp;ライティング講座</v>
      </c>
    </row>
    <row r="14170">
      <c r="A14170" s="140" t="str">
        <f>IFERROR(__xludf.DUMMYFUNCTION("""COMPUTED_VALUE"""),"ja")</f>
        <v>ja</v>
      </c>
      <c r="B14170">
        <f>IFERROR(__xludf.DUMMYFUNCTION("""COMPUTED_VALUE"""),2696910.0)</f>
        <v>2696910</v>
      </c>
      <c r="C14170" t="str">
        <f>IFERROR(__xludf.DUMMYFUNCTION("""COMPUTED_VALUE"""),"Python 3.8マスター講座!!0から文法、標準ライブラリ、numpy, pandas, SQLAlchemy")</f>
        <v>Python 3.8マスター講座!!0から文法、標準ライブラリ、numpy, pandas, SQLAlchemy</v>
      </c>
    </row>
    <row r="14171">
      <c r="A14171" s="140" t="str">
        <f>IFERROR(__xludf.DUMMYFUNCTION("""COMPUTED_VALUE"""),"ko")</f>
        <v>ko</v>
      </c>
      <c r="B14171">
        <f>IFERROR(__xludf.DUMMYFUNCTION("""COMPUTED_VALUE"""),4371498.0)</f>
        <v>4371498</v>
      </c>
      <c r="C14171" t="str">
        <f>IFERROR(__xludf.DUMMYFUNCTION("""COMPUTED_VALUE"""),"【글로벌 Best】 No 코드 머신 러닝 : Modern ML 도구에 대한 실용적인 가이드 (한글자막)")</f>
        <v>【글로벌 Best】 No 코드 머신 러닝 : Modern ML 도구에 대한 실용적인 가이드 (한글자막)</v>
      </c>
    </row>
    <row r="14172">
      <c r="A14172" s="140" t="str">
        <f>IFERROR(__xludf.DUMMYFUNCTION("""COMPUTED_VALUE"""),"en")</f>
        <v>en</v>
      </c>
      <c r="B14172">
        <f>IFERROR(__xludf.DUMMYFUNCTION("""COMPUTED_VALUE"""),4430288.0)</f>
        <v>4430288</v>
      </c>
      <c r="C14172" t="str">
        <f>IFERROR(__xludf.DUMMYFUNCTION("""COMPUTED_VALUE"""),"Full-Stack Data Scientist A-Z™ BootCamp")</f>
        <v>Full-Stack Data Scientist A-Z™ BootCamp</v>
      </c>
    </row>
    <row r="14173">
      <c r="A14173" s="140" t="str">
        <f>IFERROR(__xludf.DUMMYFUNCTION("""COMPUTED_VALUE"""),"de")</f>
        <v>de</v>
      </c>
      <c r="B14173">
        <f>IFERROR(__xludf.DUMMYFUNCTION("""COMPUTED_VALUE"""),3174246.0)</f>
        <v>3174246</v>
      </c>
      <c r="C14173" t="str">
        <f>IFERROR(__xludf.DUMMYFUNCTION("""COMPUTED_VALUE"""),"Unit Testing in .Net")</f>
        <v>Unit Testing in .Net</v>
      </c>
    </row>
    <row r="14174">
      <c r="A14174" s="140" t="str">
        <f>IFERROR(__xludf.DUMMYFUNCTION("""COMPUTED_VALUE"""),"fr")</f>
        <v>fr</v>
      </c>
      <c r="B14174">
        <f>IFERROR(__xludf.DUMMYFUNCTION("""COMPUTED_VALUE"""),3278592.0)</f>
        <v>3278592</v>
      </c>
      <c r="C14174" t="str">
        <f>IFERROR(__xludf.DUMMYFUNCTION("""COMPUTED_VALUE"""),"Deep Learning - Python : La formation complète")</f>
        <v>Deep Learning - Python : La formation complète</v>
      </c>
    </row>
    <row r="14175">
      <c r="A14175" s="140" t="str">
        <f>IFERROR(__xludf.DUMMYFUNCTION("""COMPUTED_VALUE"""),"ja")</f>
        <v>ja</v>
      </c>
      <c r="B14175">
        <f>IFERROR(__xludf.DUMMYFUNCTION("""COMPUTED_VALUE"""),3949878.0)</f>
        <v>3949878</v>
      </c>
      <c r="C14175" t="str">
        <f>IFERROR(__xludf.DUMMYFUNCTION("""COMPUTED_VALUE"""),"【フーリエ変換ことはじめ】フーリエ変換を「使える」ようになろう！")</f>
        <v>【フーリエ変換ことはじめ】フーリエ変換を「使える」ようになろう！</v>
      </c>
    </row>
    <row r="14176">
      <c r="A14176" s="140" t="str">
        <f>IFERROR(__xludf.DUMMYFUNCTION("""COMPUTED_VALUE"""),"ko")</f>
        <v>ko</v>
      </c>
      <c r="B14176">
        <f>IFERROR(__xludf.DUMMYFUNCTION("""COMPUTED_VALUE"""),4395218.0)</f>
        <v>4395218</v>
      </c>
      <c r="C14176" t="str">
        <f>IFERROR(__xludf.DUMMYFUNCTION("""COMPUTED_VALUE"""),"【글로벌 Best】 기초부터 배우는 Python 인공 신경망 : 완벽가이드 (한글자막)")</f>
        <v>【글로벌 Best】 기초부터 배우는 Python 인공 신경망 : 완벽가이드 (한글자막)</v>
      </c>
    </row>
    <row r="14177">
      <c r="A14177" s="140" t="str">
        <f>IFERROR(__xludf.DUMMYFUNCTION("""COMPUTED_VALUE"""),"fr")</f>
        <v>fr</v>
      </c>
      <c r="B14177">
        <f>IFERROR(__xludf.DUMMYFUNCTION("""COMPUTED_VALUE"""),1454036.0)</f>
        <v>1454036</v>
      </c>
      <c r="C14177" t="str">
        <f>IFERROR(__xludf.DUMMYFUNCTION("""COMPUTED_VALUE"""),"Unreal Engine 4 : Création Des Mécaniques D'un Jeu De Survie")</f>
        <v>Unreal Engine 4 : Création Des Mécaniques D'un Jeu De Survie</v>
      </c>
    </row>
    <row r="14178">
      <c r="A14178" s="140" t="str">
        <f>IFERROR(__xludf.DUMMYFUNCTION("""COMPUTED_VALUE"""),"en")</f>
        <v>en</v>
      </c>
      <c r="B14178">
        <f>IFERROR(__xludf.DUMMYFUNCTION("""COMPUTED_VALUE"""),4438776.0)</f>
        <v>4438776</v>
      </c>
      <c r="C14178" t="str">
        <f>IFERROR(__xludf.DUMMYFUNCTION("""COMPUTED_VALUE"""),"PL-200: The follow-up Power Platform course to the PL-100")</f>
        <v>PL-200: The follow-up Power Platform course to the PL-100</v>
      </c>
    </row>
    <row r="14179">
      <c r="A14179" s="140" t="str">
        <f>IFERROR(__xludf.DUMMYFUNCTION("""COMPUTED_VALUE"""),"ja")</f>
        <v>ja</v>
      </c>
      <c r="B14179">
        <f>IFERROR(__xludf.DUMMYFUNCTION("""COMPUTED_VALUE"""),2274527.0)</f>
        <v>2274527</v>
      </c>
      <c r="C14179" t="str">
        <f>IFERROR(__xludf.DUMMYFUNCTION("""COMPUTED_VALUE"""),"Unity超簡単！ターン制対戦ゲームが作れる6つのテクニック")</f>
        <v>Unity超簡単！ターン制対戦ゲームが作れる6つのテクニック</v>
      </c>
    </row>
    <row r="14180">
      <c r="A14180" s="140" t="str">
        <f>IFERROR(__xludf.DUMMYFUNCTION("""COMPUTED_VALUE"""),"fr")</f>
        <v>fr</v>
      </c>
      <c r="B14180">
        <f>IFERROR(__xludf.DUMMYFUNCTION("""COMPUTED_VALUE"""),3374990.0)</f>
        <v>3374990</v>
      </c>
      <c r="C14180" t="str">
        <f>IFERROR(__xludf.DUMMYFUNCTION("""COMPUTED_VALUE"""),"Git: les bases indispensables [2022]")</f>
        <v>Git: les bases indispensables [2022]</v>
      </c>
    </row>
    <row r="14181">
      <c r="A14181" s="140" t="str">
        <f>IFERROR(__xludf.DUMMYFUNCTION("""COMPUTED_VALUE"""),"ja")</f>
        <v>ja</v>
      </c>
      <c r="B14181">
        <f>IFERROR(__xludf.DUMMYFUNCTION("""COMPUTED_VALUE"""),4294622.0)</f>
        <v>4294622</v>
      </c>
      <c r="C14181" t="str">
        <f>IFERROR(__xludf.DUMMYFUNCTION("""COMPUTED_VALUE"""),"5つの活用事例から40のスキルが身につく、Google Apps Script 開発入門【ES2015(ES6)対応】")</f>
        <v>5つの活用事例から40のスキルが身につく、Google Apps Script 開発入門【ES2015(ES6)対応】</v>
      </c>
    </row>
    <row r="14182">
      <c r="A14182" s="140" t="str">
        <f>IFERROR(__xludf.DUMMYFUNCTION("""COMPUTED_VALUE"""),"it")</f>
        <v>it</v>
      </c>
      <c r="B14182">
        <f>IFERROR(__xludf.DUMMYFUNCTION("""COMPUTED_VALUE"""),4185796.0)</f>
        <v>4185796</v>
      </c>
      <c r="C14182" t="str">
        <f>IFERROR(__xludf.DUMMYFUNCTION("""COMPUTED_VALUE"""),"Sviluppo Web Wordpress: Corso completo con Plugin e Temi")</f>
        <v>Sviluppo Web Wordpress: Corso completo con Plugin e Temi</v>
      </c>
    </row>
    <row r="14183">
      <c r="A14183" s="140" t="str">
        <f>IFERROR(__xludf.DUMMYFUNCTION("""COMPUTED_VALUE"""),"en")</f>
        <v>en</v>
      </c>
      <c r="B14183">
        <f>IFERROR(__xludf.DUMMYFUNCTION("""COMPUTED_VALUE"""),4381826.0)</f>
        <v>4381826</v>
      </c>
      <c r="C14183" t="str">
        <f>IFERROR(__xludf.DUMMYFUNCTION("""COMPUTED_VALUE"""),"Creativity and Fear: How To Do Your Best Work")</f>
        <v>Creativity and Fear: How To Do Your Best Work</v>
      </c>
    </row>
    <row r="14184">
      <c r="A14184" s="140" t="str">
        <f>IFERROR(__xludf.DUMMYFUNCTION("""COMPUTED_VALUE"""),"en")</f>
        <v>en</v>
      </c>
      <c r="B14184">
        <f>IFERROR(__xludf.DUMMYFUNCTION("""COMPUTED_VALUE"""),40393.0)</f>
        <v>40393</v>
      </c>
      <c r="C14184" t="str">
        <f>IFERROR(__xludf.DUMMYFUNCTION("""COMPUTED_VALUE"""),"Feng Shui The Easiest Way")</f>
        <v>Feng Shui The Easiest Way</v>
      </c>
    </row>
    <row r="14185">
      <c r="A14185" s="140" t="str">
        <f>IFERROR(__xludf.DUMMYFUNCTION("""COMPUTED_VALUE"""),"ko")</f>
        <v>ko</v>
      </c>
      <c r="B14185">
        <f>IFERROR(__xludf.DUMMYFUNCTION("""COMPUTED_VALUE"""),4354694.0)</f>
        <v>4354694</v>
      </c>
      <c r="C14185" t="str">
        <f>IFERROR(__xludf.DUMMYFUNCTION("""COMPUTED_VALUE"""),"한입 크기로 잘라 먹는 리액트(React.js)")</f>
        <v>한입 크기로 잘라 먹는 리액트(React.js)</v>
      </c>
    </row>
    <row r="14186">
      <c r="A14186" s="140" t="str">
        <f>IFERROR(__xludf.DUMMYFUNCTION("""COMPUTED_VALUE"""),"en")</f>
        <v>en</v>
      </c>
      <c r="B14186">
        <f>IFERROR(__xludf.DUMMYFUNCTION("""COMPUTED_VALUE"""),2518086.0)</f>
        <v>2518086</v>
      </c>
      <c r="C14186" t="str">
        <f>IFERROR(__xludf.DUMMYFUNCTION("""COMPUTED_VALUE"""),"Performance Testing Using Locust 1.0")</f>
        <v>Performance Testing Using Locust 1.0</v>
      </c>
    </row>
    <row r="14187">
      <c r="A14187" s="140" t="str">
        <f>IFERROR(__xludf.DUMMYFUNCTION("""COMPUTED_VALUE"""),"fr")</f>
        <v>fr</v>
      </c>
      <c r="B14187">
        <f>IFERROR(__xludf.DUMMYFUNCTION("""COMPUTED_VALUE"""),4129574.0)</f>
        <v>4129574</v>
      </c>
      <c r="C14187" t="str">
        <f>IFERROR(__xludf.DUMMYFUNCTION("""COMPUTED_VALUE"""),"DAX Masterclass pour Microsoft Power BI")</f>
        <v>DAX Masterclass pour Microsoft Power BI</v>
      </c>
    </row>
    <row r="14188">
      <c r="A14188" s="140" t="str">
        <f>IFERROR(__xludf.DUMMYFUNCTION("""COMPUTED_VALUE"""),"it")</f>
        <v>it</v>
      </c>
      <c r="B14188">
        <f>IFERROR(__xludf.DUMMYFUNCTION("""COMPUTED_VALUE"""),4296928.0)</f>
        <v>4296928</v>
      </c>
      <c r="C14188" t="str">
        <f>IFERROR(__xludf.DUMMYFUNCTION("""COMPUTED_VALUE"""),"Introduzione alla Finanza")</f>
        <v>Introduzione alla Finanza</v>
      </c>
    </row>
    <row r="14189">
      <c r="A14189" s="140" t="str">
        <f>IFERROR(__xludf.DUMMYFUNCTION("""COMPUTED_VALUE"""),"fr")</f>
        <v>fr</v>
      </c>
      <c r="B14189">
        <f>IFERROR(__xludf.DUMMYFUNCTION("""COMPUTED_VALUE"""),2013052.0)</f>
        <v>2013052</v>
      </c>
      <c r="C14189" t="str">
        <f>IFERROR(__xludf.DUMMYFUNCTION("""COMPUTED_VALUE"""),"WordPress Pour Les Débutants: Créer Un Site Gratuit Efficace")</f>
        <v>WordPress Pour Les Débutants: Créer Un Site Gratuit Efficace</v>
      </c>
    </row>
    <row r="14190">
      <c r="A14190" s="140" t="str">
        <f>IFERROR(__xludf.DUMMYFUNCTION("""COMPUTED_VALUE"""),"de")</f>
        <v>de</v>
      </c>
      <c r="B14190">
        <f>IFERROR(__xludf.DUMMYFUNCTION("""COMPUTED_VALUE"""),3864420.0)</f>
        <v>3864420</v>
      </c>
      <c r="C14190" t="str">
        <f>IFERROR(__xludf.DUMMYFUNCTION("""COMPUTED_VALUE"""),"Englisch für Fortgeschrittene (B1)")</f>
        <v>Englisch für Fortgeschrittene (B1)</v>
      </c>
    </row>
    <row r="14191">
      <c r="A14191" s="140" t="str">
        <f>IFERROR(__xludf.DUMMYFUNCTION("""COMPUTED_VALUE"""),"en")</f>
        <v>en</v>
      </c>
      <c r="B14191">
        <f>IFERROR(__xludf.DUMMYFUNCTION("""COMPUTED_VALUE"""),2149112.0)</f>
        <v>2149112</v>
      </c>
      <c r="C14191" t="str">
        <f>IFERROR(__xludf.DUMMYFUNCTION("""COMPUTED_VALUE"""),"Practical Project Portfolio Management")</f>
        <v>Practical Project Portfolio Management</v>
      </c>
    </row>
    <row r="14192">
      <c r="A14192" s="140" t="str">
        <f>IFERROR(__xludf.DUMMYFUNCTION("""COMPUTED_VALUE"""),"en")</f>
        <v>en</v>
      </c>
      <c r="B14192">
        <f>IFERROR(__xludf.DUMMYFUNCTION("""COMPUTED_VALUE"""),4267736.0)</f>
        <v>4267736</v>
      </c>
      <c r="C14192" t="str">
        <f>IFERROR(__xludf.DUMMYFUNCTION("""COMPUTED_VALUE"""),"AWS Networking Design - In Depth")</f>
        <v>AWS Networking Design - In Depth</v>
      </c>
    </row>
    <row r="14193">
      <c r="A14193" s="140" t="str">
        <f>IFERROR(__xludf.DUMMYFUNCTION("""COMPUTED_VALUE"""),"en")</f>
        <v>en</v>
      </c>
      <c r="B14193">
        <f>IFERROR(__xludf.DUMMYFUNCTION("""COMPUTED_VALUE"""),3990572.0)</f>
        <v>3990572</v>
      </c>
      <c r="C14193" t="str">
        <f>IFERROR(__xludf.DUMMYFUNCTION("""COMPUTED_VALUE"""),"DP-300: Azure Relational Database Administrator Exam Prep")</f>
        <v>DP-300: Azure Relational Database Administrator Exam Prep</v>
      </c>
    </row>
    <row r="14194">
      <c r="A14194" s="140" t="str">
        <f>IFERROR(__xludf.DUMMYFUNCTION("""COMPUTED_VALUE"""),"ko")</f>
        <v>ko</v>
      </c>
      <c r="B14194">
        <f>IFERROR(__xludf.DUMMYFUNCTION("""COMPUTED_VALUE"""),4370304.0)</f>
        <v>4370304</v>
      </c>
      <c r="C14194" t="str">
        <f>IFERROR(__xludf.DUMMYFUNCTION("""COMPUTED_VALUE"""),"비즈니스 프레임워크 패키지")</f>
        <v>비즈니스 프레임워크 패키지</v>
      </c>
    </row>
    <row r="14195">
      <c r="A14195" s="140" t="str">
        <f>IFERROR(__xludf.DUMMYFUNCTION("""COMPUTED_VALUE"""),"en")</f>
        <v>en</v>
      </c>
      <c r="B14195">
        <f>IFERROR(__xludf.DUMMYFUNCTION("""COMPUTED_VALUE"""),3523460.0)</f>
        <v>3523460</v>
      </c>
      <c r="C14195" t="str">
        <f>IFERROR(__xludf.DUMMYFUNCTION("""COMPUTED_VALUE"""),"The World of Computer Networking. Your CCNA starts here")</f>
        <v>The World of Computer Networking. Your CCNA starts here</v>
      </c>
    </row>
    <row r="14196">
      <c r="A14196" s="140" t="str">
        <f>IFERROR(__xludf.DUMMYFUNCTION("""COMPUTED_VALUE"""),"pt")</f>
        <v>pt</v>
      </c>
      <c r="B14196">
        <f>IFERROR(__xludf.DUMMYFUNCTION("""COMPUTED_VALUE"""),2193064.0)</f>
        <v>2193064</v>
      </c>
      <c r="C14196" t="str">
        <f>IFERROR(__xludf.DUMMYFUNCTION("""COMPUTED_VALUE"""),"Docker essencial para a plataforma .NET")</f>
        <v>Docker essencial para a plataforma .NET</v>
      </c>
    </row>
    <row r="14197">
      <c r="A14197" s="140" t="str">
        <f>IFERROR(__xludf.DUMMYFUNCTION("""COMPUTED_VALUE"""),"en")</f>
        <v>en</v>
      </c>
      <c r="B14197">
        <f>IFERROR(__xludf.DUMMYFUNCTION("""COMPUTED_VALUE"""),4224444.0)</f>
        <v>4224444</v>
      </c>
      <c r="C14197" t="str">
        <f>IFERROR(__xludf.DUMMYFUNCTION("""COMPUTED_VALUE"""),"Data-Driven Investing with Python | Financial Data Science")</f>
        <v>Data-Driven Investing with Python | Financial Data Science</v>
      </c>
    </row>
    <row r="14198">
      <c r="A14198" s="140" t="str">
        <f>IFERROR(__xludf.DUMMYFUNCTION("""COMPUTED_VALUE"""),"ja")</f>
        <v>ja</v>
      </c>
      <c r="B14198">
        <f>IFERROR(__xludf.DUMMYFUNCTION("""COMPUTED_VALUE"""),4177880.0)</f>
        <v>4177880</v>
      </c>
      <c r="C14198" t="str">
        <f>IFERROR(__xludf.DUMMYFUNCTION("""COMPUTED_VALUE"""),"After Effects【脱初心者】VFX入門-【6種】の3Dトラッキング")</f>
        <v>After Effects【脱初心者】VFX入門-【6種】の3Dトラッキング</v>
      </c>
    </row>
    <row r="14199">
      <c r="A14199" s="140" t="str">
        <f>IFERROR(__xludf.DUMMYFUNCTION("""COMPUTED_VALUE"""),"en")</f>
        <v>en</v>
      </c>
      <c r="B14199">
        <f>IFERROR(__xludf.DUMMYFUNCTION("""COMPUTED_VALUE"""),1346516.0)</f>
        <v>1346516</v>
      </c>
      <c r="C14199" t="str">
        <f>IFERROR(__xludf.DUMMYFUNCTION("""COMPUTED_VALUE"""),"Microsoft Excel Data Analysis and Dashboard Reporting")</f>
        <v>Microsoft Excel Data Analysis and Dashboard Reporting</v>
      </c>
    </row>
    <row r="14200">
      <c r="A14200" s="140" t="str">
        <f>IFERROR(__xludf.DUMMYFUNCTION("""COMPUTED_VALUE"""),"en")</f>
        <v>en</v>
      </c>
      <c r="B14200">
        <f>IFERROR(__xludf.DUMMYFUNCTION("""COMPUTED_VALUE"""),2418196.0)</f>
        <v>2418196</v>
      </c>
      <c r="C14200" t="str">
        <f>IFERROR(__xludf.DUMMYFUNCTION("""COMPUTED_VALUE"""),"Workplace Praise: Leaders Powerful Motivational Tool")</f>
        <v>Workplace Praise: Leaders Powerful Motivational Tool</v>
      </c>
    </row>
    <row r="14201">
      <c r="A14201" s="140" t="str">
        <f>IFERROR(__xludf.DUMMYFUNCTION("""COMPUTED_VALUE"""),"it")</f>
        <v>it</v>
      </c>
      <c r="B14201">
        <f>IFERROR(__xludf.DUMMYFUNCTION("""COMPUTED_VALUE"""),1594932.0)</f>
        <v>1594932</v>
      </c>
      <c r="C14201" t="str">
        <f>IFERROR(__xludf.DUMMYFUNCTION("""COMPUTED_VALUE"""),"Creare Cloud Ready App con Spring Cloud, Docker e Kubernetes")</f>
        <v>Creare Cloud Ready App con Spring Cloud, Docker e Kubernetes</v>
      </c>
    </row>
    <row r="14202">
      <c r="A14202" s="140" t="str">
        <f>IFERROR(__xludf.DUMMYFUNCTION("""COMPUTED_VALUE"""),"en")</f>
        <v>en</v>
      </c>
      <c r="B14202">
        <f>IFERROR(__xludf.DUMMYFUNCTION("""COMPUTED_VALUE"""),4237890.0)</f>
        <v>4237890</v>
      </c>
      <c r="C14202" t="str">
        <f>IFERROR(__xludf.DUMMYFUNCTION("""COMPUTED_VALUE"""),"Test Driven Development in iOS Using Swift")</f>
        <v>Test Driven Development in iOS Using Swift</v>
      </c>
    </row>
    <row r="14203">
      <c r="A14203" s="140" t="str">
        <f>IFERROR(__xludf.DUMMYFUNCTION("""COMPUTED_VALUE"""),"fr")</f>
        <v>fr</v>
      </c>
      <c r="B14203">
        <f>IFERROR(__xludf.DUMMYFUNCTION("""COMPUTED_VALUE"""),3192128.0)</f>
        <v>3192128</v>
      </c>
      <c r="C14203" t="str">
        <f>IFERROR(__xludf.DUMMYFUNCTION("""COMPUTED_VALUE"""),"Photoshop CC | 20 Ateliers Créas pour apprendre et maitriser")</f>
        <v>Photoshop CC | 20 Ateliers Créas pour apprendre et maitriser</v>
      </c>
    </row>
    <row r="14204">
      <c r="A14204" s="140" t="str">
        <f>IFERROR(__xludf.DUMMYFUNCTION("""COMPUTED_VALUE"""),"en")</f>
        <v>en</v>
      </c>
      <c r="B14204">
        <f>IFERROR(__xludf.DUMMYFUNCTION("""COMPUTED_VALUE"""),3710676.0)</f>
        <v>3710676</v>
      </c>
      <c r="C14204" t="str">
        <f>IFERROR(__xludf.DUMMYFUNCTION("""COMPUTED_VALUE"""),"The Complete Introduction to Azure Sentinel [SIEM]")</f>
        <v>The Complete Introduction to Azure Sentinel [SIEM]</v>
      </c>
    </row>
    <row r="14205">
      <c r="A14205" s="140" t="str">
        <f>IFERROR(__xludf.DUMMYFUNCTION("""COMPUTED_VALUE"""),"it")</f>
        <v>it</v>
      </c>
      <c r="B14205">
        <f>IFERROR(__xludf.DUMMYFUNCTION("""COMPUTED_VALUE"""),1350264.0)</f>
        <v>1350264</v>
      </c>
      <c r="C14205" t="str">
        <f>IFERROR(__xludf.DUMMYFUNCTION("""COMPUTED_VALUE"""),"Android O: Sviluppa App da zero con Firebase")</f>
        <v>Android O: Sviluppa App da zero con Firebase</v>
      </c>
    </row>
    <row r="14206">
      <c r="A14206" s="140" t="str">
        <f>IFERROR(__xludf.DUMMYFUNCTION("""COMPUTED_VALUE"""),"ja")</f>
        <v>ja</v>
      </c>
      <c r="B14206">
        <f>IFERROR(__xludf.DUMMYFUNCTION("""COMPUTED_VALUE"""),4043290.0)</f>
        <v>4043290</v>
      </c>
      <c r="C14206" t="str">
        <f>IFERROR(__xludf.DUMMYFUNCTION("""COMPUTED_VALUE"""),"【Pythonではじめる】ラズベリーパイと電子工作入門")</f>
        <v>【Pythonではじめる】ラズベリーパイと電子工作入門</v>
      </c>
    </row>
    <row r="14207">
      <c r="A14207" s="140" t="str">
        <f>IFERROR(__xludf.DUMMYFUNCTION("""COMPUTED_VALUE"""),"fr")</f>
        <v>fr</v>
      </c>
      <c r="B14207">
        <f>IFERROR(__xludf.DUMMYFUNCTION("""COMPUTED_VALUE"""),2210694.0)</f>
        <v>2210694</v>
      </c>
      <c r="C14207" t="str">
        <f>IFERROR(__xludf.DUMMYFUNCTION("""COMPUTED_VALUE"""),"Terraform - Automatisez votre Infrastructure sur AWS")</f>
        <v>Terraform - Automatisez votre Infrastructure sur AWS</v>
      </c>
    </row>
    <row r="14208">
      <c r="A14208" s="140" t="str">
        <f>IFERROR(__xludf.DUMMYFUNCTION("""COMPUTED_VALUE"""),"en")</f>
        <v>en</v>
      </c>
      <c r="B14208">
        <f>IFERROR(__xludf.DUMMYFUNCTION("""COMPUTED_VALUE"""),3269868.0)</f>
        <v>3269868</v>
      </c>
      <c r="C14208" t="str">
        <f>IFERROR(__xludf.DUMMYFUNCTION("""COMPUTED_VALUE"""),"Data Warehousing and SQL End to End")</f>
        <v>Data Warehousing and SQL End to End</v>
      </c>
    </row>
    <row r="14209">
      <c r="A14209" s="140" t="str">
        <f>IFERROR(__xludf.DUMMYFUNCTION("""COMPUTED_VALUE"""),"fr")</f>
        <v>fr</v>
      </c>
      <c r="B14209">
        <f>IFERROR(__xludf.DUMMYFUNCTION("""COMPUTED_VALUE"""),2375826.0)</f>
        <v>2375826</v>
      </c>
      <c r="C14209" t="str">
        <f>IFERROR(__xludf.DUMMYFUNCTION("""COMPUTED_VALUE"""),"Excel de A à Z - Cours Complet - de Débutant à Expert")</f>
        <v>Excel de A à Z - Cours Complet - de Débutant à Expert</v>
      </c>
    </row>
    <row r="14210">
      <c r="A14210" s="140" t="str">
        <f>IFERROR(__xludf.DUMMYFUNCTION("""COMPUTED_VALUE"""),"it")</f>
        <v>it</v>
      </c>
      <c r="B14210">
        <f>IFERROR(__xludf.DUMMYFUNCTION("""COMPUTED_VALUE"""),2841612.0)</f>
        <v>2841612</v>
      </c>
      <c r="C14210" t="str">
        <f>IFERROR(__xludf.DUMMYFUNCTION("""COMPUTED_VALUE"""),"ActiveCampaign - il corso completo, da zero ad avanzato")</f>
        <v>ActiveCampaign - il corso completo, da zero ad avanzato</v>
      </c>
    </row>
    <row r="14211">
      <c r="A14211" s="140" t="str">
        <f>IFERROR(__xludf.DUMMYFUNCTION("""COMPUTED_VALUE"""),"en")</f>
        <v>en</v>
      </c>
      <c r="B14211">
        <f>IFERROR(__xludf.DUMMYFUNCTION("""COMPUTED_VALUE"""),2680132.0)</f>
        <v>2680132</v>
      </c>
      <c r="C14211" t="str">
        <f>IFERROR(__xludf.DUMMYFUNCTION("""COMPUTED_VALUE"""),"Master Storyboard Skills for Commercials &amp; Video Games")</f>
        <v>Master Storyboard Skills for Commercials &amp; Video Games</v>
      </c>
    </row>
    <row r="14212">
      <c r="A14212" s="140" t="str">
        <f>IFERROR(__xludf.DUMMYFUNCTION("""COMPUTED_VALUE"""),"ko")</f>
        <v>ko</v>
      </c>
      <c r="B14212">
        <f>IFERROR(__xludf.DUMMYFUNCTION("""COMPUTED_VALUE"""),4462286.0)</f>
        <v>4462286</v>
      </c>
      <c r="C14212" t="str">
        <f>IFERROR(__xludf.DUMMYFUNCTION("""COMPUTED_VALUE"""),"영업 초고수들에게 배우는, 세일즈 필살전략")</f>
        <v>영업 초고수들에게 배우는, 세일즈 필살전략</v>
      </c>
    </row>
    <row r="14213">
      <c r="A14213" s="140" t="str">
        <f>IFERROR(__xludf.DUMMYFUNCTION("""COMPUTED_VALUE"""),"ko")</f>
        <v>ko</v>
      </c>
      <c r="B14213">
        <f>IFERROR(__xludf.DUMMYFUNCTION("""COMPUTED_VALUE"""),4371916.0)</f>
        <v>4371916</v>
      </c>
      <c r="C14213" t="str">
        <f>IFERROR(__xludf.DUMMYFUNCTION("""COMPUTED_VALUE"""),"영업(세일즈)의 A와 Z, 어프로치와 소개요청")</f>
        <v>영업(세일즈)의 A와 Z, 어프로치와 소개요청</v>
      </c>
    </row>
    <row r="14214">
      <c r="A14214" s="140" t="str">
        <f>IFERROR(__xludf.DUMMYFUNCTION("""COMPUTED_VALUE"""),"ko")</f>
        <v>ko</v>
      </c>
      <c r="B14214">
        <f>IFERROR(__xludf.DUMMYFUNCTION("""COMPUTED_VALUE"""),4389560.0)</f>
        <v>4389560</v>
      </c>
      <c r="C14214" t="str">
        <f>IFERROR(__xludf.DUMMYFUNCTION("""COMPUTED_VALUE"""),"【글로벌 Best】 AWS Certified Developer Associate 시험 합격을 위한 모든 것!")</f>
        <v>【글로벌 Best】 AWS Certified Developer Associate 시험 합격을 위한 모든 것!</v>
      </c>
    </row>
    <row r="14215">
      <c r="A14215" s="140" t="str">
        <f>IFERROR(__xludf.DUMMYFUNCTION("""COMPUTED_VALUE"""),"fr")</f>
        <v>fr</v>
      </c>
      <c r="B14215">
        <f>IFERROR(__xludf.DUMMYFUNCTION("""COMPUTED_VALUE"""),4258092.0)</f>
        <v>4258092</v>
      </c>
      <c r="C14215" t="str">
        <f>IFERROR(__xludf.DUMMYFUNCTION("""COMPUTED_VALUE"""),"Next.js : Cours Complet")</f>
        <v>Next.js : Cours Complet</v>
      </c>
    </row>
    <row r="14216">
      <c r="A14216" s="140" t="str">
        <f>IFERROR(__xludf.DUMMYFUNCTION("""COMPUTED_VALUE"""),"ar")</f>
        <v>ar</v>
      </c>
      <c r="B14216">
        <f>IFERROR(__xludf.DUMMYFUNCTION("""COMPUTED_VALUE"""),2882552.0)</f>
        <v>2882552</v>
      </c>
      <c r="C14216" t="str">
        <f>IFERROR(__xludf.DUMMYFUNCTION("""COMPUTED_VALUE"""),"دبـلـومـة الـتـسـويـق الالـكـتـرونـي الـشـامـلـة")</f>
        <v>دبـلـومـة الـتـسـويـق الالـكـتـرونـي الـشـامـلـة</v>
      </c>
    </row>
    <row r="14217">
      <c r="A14217" s="140" t="str">
        <f>IFERROR(__xludf.DUMMYFUNCTION("""COMPUTED_VALUE"""),"ko")</f>
        <v>ko</v>
      </c>
      <c r="B14217">
        <f>IFERROR(__xludf.DUMMYFUNCTION("""COMPUTED_VALUE"""),4312920.0)</f>
        <v>4312920</v>
      </c>
      <c r="C14217" t="str">
        <f>IFERROR(__xludf.DUMMYFUNCTION("""COMPUTED_VALUE"""),"알고리즘 코딩 테스트 입문부터 합격까지")</f>
        <v>알고리즘 코딩 테스트 입문부터 합격까지</v>
      </c>
    </row>
    <row r="14218">
      <c r="A14218" s="140" t="str">
        <f>IFERROR(__xludf.DUMMYFUNCTION("""COMPUTED_VALUE"""),"en")</f>
        <v>en</v>
      </c>
      <c r="B14218">
        <f>IFERROR(__xludf.DUMMYFUNCTION("""COMPUTED_VALUE"""),3861644.0)</f>
        <v>3861644</v>
      </c>
      <c r="C14218" t="str">
        <f>IFERROR(__xludf.DUMMYFUNCTION("""COMPUTED_VALUE"""),"Webflow For Beginners: How To Use Webflow")</f>
        <v>Webflow For Beginners: How To Use Webflow</v>
      </c>
    </row>
    <row r="14219">
      <c r="A14219" s="140" t="str">
        <f>IFERROR(__xludf.DUMMYFUNCTION("""COMPUTED_VALUE"""),"en")</f>
        <v>en</v>
      </c>
      <c r="B14219">
        <f>IFERROR(__xludf.DUMMYFUNCTION("""COMPUTED_VALUE"""),4325066.0)</f>
        <v>4325066</v>
      </c>
      <c r="C14219" t="str">
        <f>IFERROR(__xludf.DUMMYFUNCTION("""COMPUTED_VALUE"""),"Python PCEP: Pass Certified Entry-Level Python Programmer")</f>
        <v>Python PCEP: Pass Certified Entry-Level Python Programmer</v>
      </c>
    </row>
    <row r="14220">
      <c r="A14220" s="140" t="str">
        <f>IFERROR(__xludf.DUMMYFUNCTION("""COMPUTED_VALUE"""),"en")</f>
        <v>en</v>
      </c>
      <c r="B14220">
        <f>IFERROR(__xludf.DUMMYFUNCTION("""COMPUTED_VALUE"""),2860280.0)</f>
        <v>2860280</v>
      </c>
      <c r="C14220" t="str">
        <f>IFERROR(__xludf.DUMMYFUNCTION("""COMPUTED_VALUE"""),"Speed Learn 25 Mins: Leadership, Project Management &amp; Sales")</f>
        <v>Speed Learn 25 Mins: Leadership, Project Management &amp; Sales</v>
      </c>
    </row>
    <row r="14221">
      <c r="A14221" s="140" t="str">
        <f>IFERROR(__xludf.DUMMYFUNCTION("""COMPUTED_VALUE"""),"ko")</f>
        <v>ko</v>
      </c>
      <c r="B14221">
        <f>IFERROR(__xludf.DUMMYFUNCTION("""COMPUTED_VALUE"""),4390364.0)</f>
        <v>4390364</v>
      </c>
      <c r="C14221" t="str">
        <f>IFERROR(__xludf.DUMMYFUNCTION("""COMPUTED_VALUE"""),"【글로벌 Best】 PMP PMBOK 6 모의고사 완벽 대비: PMP 응시자용 1회 (한글)")</f>
        <v>【글로벌 Best】 PMP PMBOK 6 모의고사 완벽 대비: PMP 응시자용 1회 (한글)</v>
      </c>
    </row>
    <row r="14222">
      <c r="A14222" s="140" t="str">
        <f>IFERROR(__xludf.DUMMYFUNCTION("""COMPUTED_VALUE"""),"de")</f>
        <v>de</v>
      </c>
      <c r="B14222">
        <f>IFERROR(__xludf.DUMMYFUNCTION("""COMPUTED_VALUE"""),3820956.0)</f>
        <v>3820956</v>
      </c>
      <c r="C14222" t="str">
        <f>IFERROR(__xludf.DUMMYFUNCTION("""COMPUTED_VALUE"""),"Go - Der Kurs zum Buch")</f>
        <v>Go - Der Kurs zum Buch</v>
      </c>
    </row>
    <row r="14223">
      <c r="A14223" s="140" t="str">
        <f>IFERROR(__xludf.DUMMYFUNCTION("""COMPUTED_VALUE"""),"en")</f>
        <v>en</v>
      </c>
      <c r="B14223">
        <f>IFERROR(__xludf.DUMMYFUNCTION("""COMPUTED_VALUE"""),4212154.0)</f>
        <v>4212154</v>
      </c>
      <c r="C14223" t="str">
        <f>IFERROR(__xludf.DUMMYFUNCTION("""COMPUTED_VALUE"""),"Shopify Theme Development: Online Store 2.0 + TailwindCSS")</f>
        <v>Shopify Theme Development: Online Store 2.0 + TailwindCSS</v>
      </c>
    </row>
    <row r="14224">
      <c r="A14224" s="140" t="str">
        <f>IFERROR(__xludf.DUMMYFUNCTION("""COMPUTED_VALUE"""),"fr")</f>
        <v>fr</v>
      </c>
      <c r="B14224">
        <f>IFERROR(__xludf.DUMMYFUNCTION("""COMPUTED_VALUE"""),3546546.0)</f>
        <v>3546546</v>
      </c>
      <c r="C14224" t="str">
        <f>IFERROR(__xludf.DUMMYFUNCTION("""COMPUTED_VALUE"""),"UNITY : Créer un RPG 3D avec C# - Formation complète")</f>
        <v>UNITY : Créer un RPG 3D avec C# - Formation complète</v>
      </c>
    </row>
    <row r="14225">
      <c r="A14225" s="140" t="str">
        <f>IFERROR(__xludf.DUMMYFUNCTION("""COMPUTED_VALUE"""),"en")</f>
        <v>en</v>
      </c>
      <c r="B14225">
        <f>IFERROR(__xludf.DUMMYFUNCTION("""COMPUTED_VALUE"""),3992134.0)</f>
        <v>3992134</v>
      </c>
      <c r="C14225" t="str">
        <f>IFERROR(__xludf.DUMMYFUNCTION("""COMPUTED_VALUE"""),"The Complete C Programming Bootcamp")</f>
        <v>The Complete C Programming Bootcamp</v>
      </c>
    </row>
    <row r="14226">
      <c r="A14226" s="140" t="str">
        <f>IFERROR(__xludf.DUMMYFUNCTION("""COMPUTED_VALUE"""),"fr")</f>
        <v>fr</v>
      </c>
      <c r="B14226">
        <f>IFERROR(__xludf.DUMMYFUNCTION("""COMPUTED_VALUE"""),1444450.0)</f>
        <v>1444450</v>
      </c>
      <c r="C14226" t="str">
        <f>IFERROR(__xludf.DUMMYFUNCTION("""COMPUTED_VALUE"""),"Scripting Shell/Bash - Automatisez votre système Linux !")</f>
        <v>Scripting Shell/Bash - Automatisez votre système Linux !</v>
      </c>
    </row>
    <row r="14227">
      <c r="A14227" s="140" t="str">
        <f>IFERROR(__xludf.DUMMYFUNCTION("""COMPUTED_VALUE"""),"de")</f>
        <v>de</v>
      </c>
      <c r="B14227">
        <f>IFERROR(__xludf.DUMMYFUNCTION("""COMPUTED_VALUE"""),1207804.0)</f>
        <v>1207804</v>
      </c>
      <c r="C14227" t="str">
        <f>IFERROR(__xludf.DUMMYFUNCTION("""COMPUTED_VALUE"""),"Erstelle eigene VR Games mit Unity und Blender")</f>
        <v>Erstelle eigene VR Games mit Unity und Blender</v>
      </c>
    </row>
    <row r="14228">
      <c r="A14228" s="140" t="str">
        <f>IFERROR(__xludf.DUMMYFUNCTION("""COMPUTED_VALUE"""),"en")</f>
        <v>en</v>
      </c>
      <c r="B14228">
        <f>IFERROR(__xludf.DUMMYFUNCTION("""COMPUTED_VALUE"""),3598380.0)</f>
        <v>3598380</v>
      </c>
      <c r="C14228" t="str">
        <f>IFERROR(__xludf.DUMMYFUNCTION("""COMPUTED_VALUE"""),"Learn Firebase Core with React")</f>
        <v>Learn Firebase Core with React</v>
      </c>
    </row>
    <row r="14229">
      <c r="A14229" s="140" t="str">
        <f>IFERROR(__xludf.DUMMYFUNCTION("""COMPUTED_VALUE"""),"en")</f>
        <v>en</v>
      </c>
      <c r="B14229">
        <f>IFERROR(__xludf.DUMMYFUNCTION("""COMPUTED_VALUE"""),4076376.0)</f>
        <v>4076376</v>
      </c>
      <c r="C14229" t="str">
        <f>IFERROR(__xludf.DUMMYFUNCTION("""COMPUTED_VALUE"""),"Qt 6 Core Intermediate with C++")</f>
        <v>Qt 6 Core Intermediate with C++</v>
      </c>
    </row>
    <row r="14230">
      <c r="A14230" s="140" t="str">
        <f>IFERROR(__xludf.DUMMYFUNCTION("""COMPUTED_VALUE"""),"it")</f>
        <v>it</v>
      </c>
      <c r="B14230">
        <f>IFERROR(__xludf.DUMMYFUNCTION("""COMPUTED_VALUE"""),4360470.0)</f>
        <v>4360470</v>
      </c>
      <c r="C14230" t="str">
        <f>IFERROR(__xludf.DUMMYFUNCTION("""COMPUTED_VALUE"""),"Costruisci il tuo sito web con WordPress ed Elementor")</f>
        <v>Costruisci il tuo sito web con WordPress ed Elementor</v>
      </c>
    </row>
    <row r="14231">
      <c r="A14231" s="140" t="str">
        <f>IFERROR(__xludf.DUMMYFUNCTION("""COMPUTED_VALUE"""),"fr")</f>
        <v>fr</v>
      </c>
      <c r="B14231">
        <f>IFERROR(__xludf.DUMMYFUNCTION("""COMPUTED_VALUE"""),1331452.0)</f>
        <v>1331452</v>
      </c>
      <c r="C14231" t="str">
        <f>IFERROR(__xludf.DUMMYFUNCTION("""COMPUTED_VALUE"""),"La création d'objets 3D avec Blender pour l'Unreal Engine 4")</f>
        <v>La création d'objets 3D avec Blender pour l'Unreal Engine 4</v>
      </c>
    </row>
    <row r="14232">
      <c r="A14232" s="140" t="str">
        <f>IFERROR(__xludf.DUMMYFUNCTION("""COMPUTED_VALUE"""),"ko")</f>
        <v>ko</v>
      </c>
      <c r="B14232">
        <f>IFERROR(__xludf.DUMMYFUNCTION("""COMPUTED_VALUE"""),4457190.0)</f>
        <v>4457190</v>
      </c>
      <c r="C14232" t="str">
        <f>IFERROR(__xludf.DUMMYFUNCTION("""COMPUTED_VALUE"""),"고객의 지갑을 여는 설득언어")</f>
        <v>고객의 지갑을 여는 설득언어</v>
      </c>
    </row>
    <row r="14233">
      <c r="A14233" s="140" t="str">
        <f>IFERROR(__xludf.DUMMYFUNCTION("""COMPUTED_VALUE"""),"it")</f>
        <v>it</v>
      </c>
      <c r="B14233">
        <f>IFERROR(__xludf.DUMMYFUNCTION("""COMPUTED_VALUE"""),4156402.0)</f>
        <v>4156402</v>
      </c>
      <c r="C14233" t="str">
        <f>IFERROR(__xludf.DUMMYFUNCTION("""COMPUTED_VALUE"""),"Corso Completo su Trading View in Italiano™")</f>
        <v>Corso Completo su Trading View in Italiano™</v>
      </c>
    </row>
    <row r="14234">
      <c r="A14234" s="140" t="str">
        <f>IFERROR(__xludf.DUMMYFUNCTION("""COMPUTED_VALUE"""),"de")</f>
        <v>de</v>
      </c>
      <c r="B14234">
        <f>IFERROR(__xludf.DUMMYFUNCTION("""COMPUTED_VALUE"""),4017204.0)</f>
        <v>4017204</v>
      </c>
      <c r="C14234" t="str">
        <f>IFERROR(__xludf.DUMMYFUNCTION("""COMPUTED_VALUE"""),"Electron - Einstieg in die Entwicklung von Desktop Apps")</f>
        <v>Electron - Einstieg in die Entwicklung von Desktop Apps</v>
      </c>
    </row>
    <row r="14235">
      <c r="A14235" s="140" t="str">
        <f>IFERROR(__xludf.DUMMYFUNCTION("""COMPUTED_VALUE"""),"fr")</f>
        <v>fr</v>
      </c>
      <c r="B14235">
        <f>IFERROR(__xludf.DUMMYFUNCTION("""COMPUTED_VALUE"""),2753618.0)</f>
        <v>2753618</v>
      </c>
      <c r="C14235" t="str">
        <f>IFERROR(__xludf.DUMMYFUNCTION("""COMPUTED_VALUE"""),"Introduction au trading")</f>
        <v>Introduction au trading</v>
      </c>
    </row>
    <row r="14236">
      <c r="A14236" s="140" t="str">
        <f>IFERROR(__xludf.DUMMYFUNCTION("""COMPUTED_VALUE"""),"de")</f>
        <v>de</v>
      </c>
      <c r="B14236">
        <f>IFERROR(__xludf.DUMMYFUNCTION("""COMPUTED_VALUE"""),2262470.0)</f>
        <v>2262470</v>
      </c>
      <c r="C14236" t="str">
        <f>IFERROR(__xludf.DUMMYFUNCTION("""COMPUTED_VALUE"""),"KNX/ETS - Fibel")</f>
        <v>KNX/ETS - Fibel</v>
      </c>
    </row>
    <row r="14237">
      <c r="A14237" s="140" t="str">
        <f>IFERROR(__xludf.DUMMYFUNCTION("""COMPUTED_VALUE"""),"ja")</f>
        <v>ja</v>
      </c>
      <c r="B14237">
        <f>IFERROR(__xludf.DUMMYFUNCTION("""COMPUTED_VALUE"""),4225420.0)</f>
        <v>4225420</v>
      </c>
      <c r="C14237" t="str">
        <f>IFERROR(__xludf.DUMMYFUNCTION("""COMPUTED_VALUE"""),"【マクロで自動化】大量の Excel シート、ファイルを作成＆集計する VBA マスターコース")</f>
        <v>【マクロで自動化】大量の Excel シート、ファイルを作成＆集計する VBA マスターコース</v>
      </c>
    </row>
    <row r="14238">
      <c r="A14238" s="140" t="str">
        <f>IFERROR(__xludf.DUMMYFUNCTION("""COMPUTED_VALUE"""),"ja")</f>
        <v>ja</v>
      </c>
      <c r="B14238">
        <f>IFERROR(__xludf.DUMMYFUNCTION("""COMPUTED_VALUE"""),4259804.0)</f>
        <v>4259804</v>
      </c>
      <c r="C14238" t="str">
        <f>IFERROR(__xludf.DUMMYFUNCTION("""COMPUTED_VALUE"""),"After Effects【脱初心者】6種のパーティクル・アニメーション【モーショングラフィックス】")</f>
        <v>After Effects【脱初心者】6種のパーティクル・アニメーション【モーショングラフィックス】</v>
      </c>
    </row>
    <row r="14239">
      <c r="A14239" s="140" t="str">
        <f>IFERROR(__xludf.DUMMYFUNCTION("""COMPUTED_VALUE"""),"en")</f>
        <v>en</v>
      </c>
      <c r="B14239">
        <f>IFERROR(__xludf.DUMMYFUNCTION("""COMPUTED_VALUE"""),4284660.0)</f>
        <v>4284660</v>
      </c>
      <c r="C14239" t="str">
        <f>IFERROR(__xludf.DUMMYFUNCTION("""COMPUTED_VALUE"""),"SC-400 Course Microsoft Information Protection Administrator")</f>
        <v>SC-400 Course Microsoft Information Protection Administrator</v>
      </c>
    </row>
    <row r="14240">
      <c r="A14240" s="140" t="str">
        <f>IFERROR(__xludf.DUMMYFUNCTION("""COMPUTED_VALUE"""),"en")</f>
        <v>en</v>
      </c>
      <c r="B14240">
        <f>IFERROR(__xludf.DUMMYFUNCTION("""COMPUTED_VALUE"""),2977674.0)</f>
        <v>2977674</v>
      </c>
      <c r="C14240" t="str">
        <f>IFERROR(__xludf.DUMMYFUNCTION("""COMPUTED_VALUE"""),"Learn Robot Studio")</f>
        <v>Learn Robot Studio</v>
      </c>
    </row>
    <row r="14241">
      <c r="A14241" s="140" t="str">
        <f>IFERROR(__xludf.DUMMYFUNCTION("""COMPUTED_VALUE"""),"de")</f>
        <v>de</v>
      </c>
      <c r="B14241">
        <f>IFERROR(__xludf.DUMMYFUNCTION("""COMPUTED_VALUE"""),2249880.0)</f>
        <v>2249880</v>
      </c>
      <c r="C14241" t="str">
        <f>IFERROR(__xludf.DUMMYFUNCTION("""COMPUTED_VALUE"""),"Effizientes Arbeiten mit Microsoft Power BI Desktop")</f>
        <v>Effizientes Arbeiten mit Microsoft Power BI Desktop</v>
      </c>
    </row>
    <row r="14242">
      <c r="A14242" s="140" t="str">
        <f>IFERROR(__xludf.DUMMYFUNCTION("""COMPUTED_VALUE"""),"de")</f>
        <v>de</v>
      </c>
      <c r="B14242">
        <f>IFERROR(__xludf.DUMMYFUNCTION("""COMPUTED_VALUE"""),3606490.0)</f>
        <v>3606490</v>
      </c>
      <c r="C14242" t="str">
        <f>IFERROR(__xludf.DUMMYFUNCTION("""COMPUTED_VALUE"""),"Persönlichkeitsentwicklung: Werde zu deiner besten Version")</f>
        <v>Persönlichkeitsentwicklung: Werde zu deiner besten Version</v>
      </c>
    </row>
    <row r="14243">
      <c r="A14243" s="140" t="str">
        <f>IFERROR(__xludf.DUMMYFUNCTION("""COMPUTED_VALUE"""),"ko")</f>
        <v>ko</v>
      </c>
      <c r="B14243">
        <f>IFERROR(__xludf.DUMMYFUNCTION("""COMPUTED_VALUE"""),4366822.0)</f>
        <v>4366822</v>
      </c>
      <c r="C14243" t="str">
        <f>IFERROR(__xludf.DUMMYFUNCTION("""COMPUTED_VALUE"""),"【글로벌 Best】 R 프로그래밍: Data Science 에서의 R 고급 분석 (한글자막)")</f>
        <v>【글로벌 Best】 R 프로그래밍: Data Science 에서의 R 고급 분석 (한글자막)</v>
      </c>
    </row>
    <row r="14244">
      <c r="A14244" s="140" t="str">
        <f>IFERROR(__xludf.DUMMYFUNCTION("""COMPUTED_VALUE"""),"de")</f>
        <v>de</v>
      </c>
      <c r="B14244">
        <f>IFERROR(__xludf.DUMMYFUNCTION("""COMPUTED_VALUE"""),3212337.0)</f>
        <v>3212337</v>
      </c>
      <c r="C14244" t="str">
        <f>IFERROR(__xludf.DUMMYFUNCTION("""COMPUTED_VALUE"""),"Microsoft Power Automate - Erste Schritte")</f>
        <v>Microsoft Power Automate - Erste Schritte</v>
      </c>
    </row>
    <row r="14245">
      <c r="A14245" s="140" t="str">
        <f>IFERROR(__xludf.DUMMYFUNCTION("""COMPUTED_VALUE"""),"de")</f>
        <v>de</v>
      </c>
      <c r="B14245">
        <f>IFERROR(__xludf.DUMMYFUNCTION("""COMPUTED_VALUE"""),1314026.0)</f>
        <v>1314026</v>
      </c>
      <c r="C14245" t="str">
        <f>IFERROR(__xludf.DUMMYFUNCTION("""COMPUTED_VALUE"""),"C und C++ Programmierung von Anfang bis Moderne")</f>
        <v>C und C++ Programmierung von Anfang bis Moderne</v>
      </c>
    </row>
    <row r="14246">
      <c r="A14246" s="140" t="str">
        <f>IFERROR(__xludf.DUMMYFUNCTION("""COMPUTED_VALUE"""),"it")</f>
        <v>it</v>
      </c>
      <c r="B14246">
        <f>IFERROR(__xludf.DUMMYFUNCTION("""COMPUTED_VALUE"""),4218276.0)</f>
        <v>4218276</v>
      </c>
      <c r="C14246" t="str">
        <f>IFERROR(__xludf.DUMMYFUNCTION("""COMPUTED_VALUE"""),"Email Marketing con AWeber")</f>
        <v>Email Marketing con AWeber</v>
      </c>
    </row>
    <row r="14247">
      <c r="A14247" s="140" t="str">
        <f>IFERROR(__xludf.DUMMYFUNCTION("""COMPUTED_VALUE"""),"fr")</f>
        <v>fr</v>
      </c>
      <c r="B14247">
        <f>IFERROR(__xludf.DUMMYFUNCTION("""COMPUTED_VALUE"""),3682254.0)</f>
        <v>3682254</v>
      </c>
      <c r="C14247" t="str">
        <f>IFERROR(__xludf.DUMMYFUNCTION("""COMPUTED_VALUE"""),"Programmation géospatiale par python (ArcPy-ArcGIS )")</f>
        <v>Programmation géospatiale par python (ArcPy-ArcGIS )</v>
      </c>
    </row>
    <row r="14248">
      <c r="A14248" s="140" t="str">
        <f>IFERROR(__xludf.DUMMYFUNCTION("""COMPUTED_VALUE"""),"en")</f>
        <v>en</v>
      </c>
      <c r="B14248">
        <f>IFERROR(__xludf.DUMMYFUNCTION("""COMPUTED_VALUE"""),1540800.0)</f>
        <v>1540800</v>
      </c>
      <c r="C14248" t="str">
        <f>IFERROR(__xludf.DUMMYFUNCTION("""COMPUTED_VALUE"""),"One Day Management &amp; Marketing for New Manager")</f>
        <v>One Day Management &amp; Marketing for New Manager</v>
      </c>
    </row>
    <row r="14249">
      <c r="A14249" s="140" t="str">
        <f>IFERROR(__xludf.DUMMYFUNCTION("""COMPUTED_VALUE"""),"en")</f>
        <v>en</v>
      </c>
      <c r="B14249">
        <f>IFERROR(__xludf.DUMMYFUNCTION("""COMPUTED_VALUE"""),2142298.0)</f>
        <v>2142298</v>
      </c>
      <c r="C14249" t="str">
        <f>IFERROR(__xludf.DUMMYFUNCTION("""COMPUTED_VALUE"""),"Complete Guide to Maschine Mk3")</f>
        <v>Complete Guide to Maschine Mk3</v>
      </c>
    </row>
    <row r="14250">
      <c r="A14250" s="140" t="str">
        <f>IFERROR(__xludf.DUMMYFUNCTION("""COMPUTED_VALUE"""),"ko")</f>
        <v>ko</v>
      </c>
      <c r="B14250">
        <f>IFERROR(__xludf.DUMMYFUNCTION("""COMPUTED_VALUE"""),4382746.0)</f>
        <v>4382746</v>
      </c>
      <c r="C14250" t="str">
        <f>IFERROR(__xludf.DUMMYFUNCTION("""COMPUTED_VALUE"""),"【글로벌 Best】 SC-300 Microsoft ID 및 액세스 관리자 시험 대비 과정 (한글자막)")</f>
        <v>【글로벌 Best】 SC-300 Microsoft ID 및 액세스 관리자 시험 대비 과정 (한글자막)</v>
      </c>
    </row>
    <row r="14251">
      <c r="A14251" s="140" t="str">
        <f>IFERROR(__xludf.DUMMYFUNCTION("""COMPUTED_VALUE"""),"ko")</f>
        <v>ko</v>
      </c>
      <c r="B14251">
        <f>IFERROR(__xludf.DUMMYFUNCTION("""COMPUTED_VALUE"""),4420500.0)</f>
        <v>4420500</v>
      </c>
      <c r="C14251" t="str">
        <f>IFERROR(__xludf.DUMMYFUNCTION("""COMPUTED_VALUE"""),"【글로벌 Best】 DevOps 학습: 파이프라인 및 Docker를 이용한 Jenkins 와의 CI/CD")</f>
        <v>【글로벌 Best】 DevOps 학습: 파이프라인 및 Docker를 이용한 Jenkins 와의 CI/CD</v>
      </c>
    </row>
    <row r="14252">
      <c r="A14252" s="140" t="str">
        <f>IFERROR(__xludf.DUMMYFUNCTION("""COMPUTED_VALUE"""),"ko")</f>
        <v>ko</v>
      </c>
      <c r="B14252">
        <f>IFERROR(__xludf.DUMMYFUNCTION("""COMPUTED_VALUE"""),4431412.0)</f>
        <v>4431412</v>
      </c>
      <c r="C14252" t="str">
        <f>IFERROR(__xludf.DUMMYFUNCTION("""COMPUTED_VALUE"""),"혼자배우는 자바스크립트: 기본부터 포트폴리오까지 한번에 끝내기")</f>
        <v>혼자배우는 자바스크립트: 기본부터 포트폴리오까지 한번에 끝내기</v>
      </c>
    </row>
    <row r="14253">
      <c r="A14253" s="140" t="str">
        <f>IFERROR(__xludf.DUMMYFUNCTION("""COMPUTED_VALUE"""),"ko")</f>
        <v>ko</v>
      </c>
      <c r="B14253">
        <f>IFERROR(__xludf.DUMMYFUNCTION("""COMPUTED_VALUE"""),4370388.0)</f>
        <v>4370388</v>
      </c>
      <c r="C14253" t="str">
        <f>IFERROR(__xludf.DUMMYFUNCTION("""COMPUTED_VALUE"""),"【글로벌 Best】 Blockchain A-Z™: 블록체인 만들기 완벽 강의 (한글자막)")</f>
        <v>【글로벌 Best】 Blockchain A-Z™: 블록체인 만들기 완벽 강의 (한글자막)</v>
      </c>
    </row>
    <row r="14254">
      <c r="A14254" s="140" t="str">
        <f>IFERROR(__xludf.DUMMYFUNCTION("""COMPUTED_VALUE"""),"en")</f>
        <v>en</v>
      </c>
      <c r="B14254">
        <f>IFERROR(__xludf.DUMMYFUNCTION("""COMPUTED_VALUE"""),4149432.0)</f>
        <v>4149432</v>
      </c>
      <c r="C14254" t="str">
        <f>IFERROR(__xludf.DUMMYFUNCTION("""COMPUTED_VALUE"""),"Unreal Engine 5 Beginner Blueprints: Make your first game!")</f>
        <v>Unreal Engine 5 Beginner Blueprints: Make your first game!</v>
      </c>
    </row>
    <row r="14255">
      <c r="A14255" s="140" t="str">
        <f>IFERROR(__xludf.DUMMYFUNCTION("""COMPUTED_VALUE"""),"fr")</f>
        <v>fr</v>
      </c>
      <c r="B14255">
        <f>IFERROR(__xludf.DUMMYFUNCTION("""COMPUTED_VALUE"""),3250914.0)</f>
        <v>3250914</v>
      </c>
      <c r="C14255" t="str">
        <f>IFERROR(__xludf.DUMMYFUNCTION("""COMPUTED_VALUE"""),"Robot Structural Analysis Expert")</f>
        <v>Robot Structural Analysis Expert</v>
      </c>
    </row>
    <row r="14256">
      <c r="A14256" s="140" t="str">
        <f>IFERROR(__xludf.DUMMYFUNCTION("""COMPUTED_VALUE"""),"fr")</f>
        <v>fr</v>
      </c>
      <c r="B14256">
        <f>IFERROR(__xludf.DUMMYFUNCTION("""COMPUTED_VALUE"""),2319350.0)</f>
        <v>2319350</v>
      </c>
      <c r="C14256" t="str">
        <f>IFERROR(__xludf.DUMMYFUNCTION("""COMPUTED_VALUE"""),"Apprendre la data science par la pratique avec Python !")</f>
        <v>Apprendre la data science par la pratique avec Python !</v>
      </c>
    </row>
    <row r="14257">
      <c r="A14257" s="140" t="str">
        <f>IFERROR(__xludf.DUMMYFUNCTION("""COMPUTED_VALUE"""),"de")</f>
        <v>de</v>
      </c>
      <c r="B14257">
        <f>IFERROR(__xludf.DUMMYFUNCTION("""COMPUTED_VALUE"""),2147662.0)</f>
        <v>2147662</v>
      </c>
      <c r="C14257" t="str">
        <f>IFERROR(__xludf.DUMMYFUNCTION("""COMPUTED_VALUE"""),"Raspberry Pi für Einsteiger 2021 Edition (Mac+PC)")</f>
        <v>Raspberry Pi für Einsteiger 2021 Edition (Mac+PC)</v>
      </c>
    </row>
    <row r="14258">
      <c r="A14258" s="140" t="str">
        <f>IFERROR(__xludf.DUMMYFUNCTION("""COMPUTED_VALUE"""),"de")</f>
        <v>de</v>
      </c>
      <c r="B14258">
        <f>IFERROR(__xludf.DUMMYFUNCTION("""COMPUTED_VALUE"""),3550066.0)</f>
        <v>3550066</v>
      </c>
      <c r="C14258" t="str">
        <f>IFERROR(__xludf.DUMMYFUNCTION("""COMPUTED_VALUE"""),"E-Commerce")</f>
        <v>E-Commerce</v>
      </c>
    </row>
    <row r="14259">
      <c r="A14259" s="140" t="str">
        <f>IFERROR(__xludf.DUMMYFUNCTION("""COMPUTED_VALUE"""),"de")</f>
        <v>de</v>
      </c>
      <c r="B14259">
        <f>IFERROR(__xludf.DUMMYFUNCTION("""COMPUTED_VALUE"""),2846104.0)</f>
        <v>2846104</v>
      </c>
      <c r="C14259" t="str">
        <f>IFERROR(__xludf.DUMMYFUNCTION("""COMPUTED_VALUE"""),"Laravel 7 - Praxiskurs für Anfänger: Alle Grundlagen am Bsp.")</f>
        <v>Laravel 7 - Praxiskurs für Anfänger: Alle Grundlagen am Bsp.</v>
      </c>
    </row>
    <row r="14260">
      <c r="A14260" s="140" t="str">
        <f>IFERROR(__xludf.DUMMYFUNCTION("""COMPUTED_VALUE"""),"de")</f>
        <v>de</v>
      </c>
      <c r="B14260">
        <f>IFERROR(__xludf.DUMMYFUNCTION("""COMPUTED_VALUE"""),2249880.0)</f>
        <v>2249880</v>
      </c>
      <c r="C14260" t="str">
        <f>IFERROR(__xludf.DUMMYFUNCTION("""COMPUTED_VALUE"""),"Effizientes Arbeiten mit Microsoft Power BI Desktop")</f>
        <v>Effizientes Arbeiten mit Microsoft Power BI Desktop</v>
      </c>
    </row>
    <row r="14261">
      <c r="A14261" s="140" t="str">
        <f>IFERROR(__xludf.DUMMYFUNCTION("""COMPUTED_VALUE"""),"en")</f>
        <v>en</v>
      </c>
      <c r="B14261">
        <f>IFERROR(__xludf.DUMMYFUNCTION("""COMPUTED_VALUE"""),1582578.0)</f>
        <v>1582578</v>
      </c>
      <c r="C14261" t="str">
        <f>IFERROR(__xludf.DUMMYFUNCTION("""COMPUTED_VALUE"""),"American Accent Made Easy - Mastering the American Accent")</f>
        <v>American Accent Made Easy - Mastering the American Accent</v>
      </c>
    </row>
    <row r="14262">
      <c r="A14262" s="140" t="str">
        <f>IFERROR(__xludf.DUMMYFUNCTION("""COMPUTED_VALUE"""),"it")</f>
        <v>it</v>
      </c>
      <c r="B14262">
        <f>IFERROR(__xludf.DUMMYFUNCTION("""COMPUTED_VALUE"""),3829330.0)</f>
        <v>3829330</v>
      </c>
      <c r="C14262" t="str">
        <f>IFERROR(__xludf.DUMMYFUNCTION("""COMPUTED_VALUE"""),"Creiamo Applicazioni Responsive con Angular Material e RxJS")</f>
        <v>Creiamo Applicazioni Responsive con Angular Material e RxJS</v>
      </c>
    </row>
    <row r="14263">
      <c r="A14263" s="140" t="str">
        <f>IFERROR(__xludf.DUMMYFUNCTION("""COMPUTED_VALUE"""),"en")</f>
        <v>en</v>
      </c>
      <c r="B14263">
        <f>IFERROR(__xludf.DUMMYFUNCTION("""COMPUTED_VALUE"""),4225152.0)</f>
        <v>4225152</v>
      </c>
      <c r="C14263" t="str">
        <f>IFERROR(__xludf.DUMMYFUNCTION("""COMPUTED_VALUE"""),"Build a Chatbot on Salesforce using Einstein Bots")</f>
        <v>Build a Chatbot on Salesforce using Einstein Bots</v>
      </c>
    </row>
    <row r="14264">
      <c r="A14264" s="140" t="str">
        <f>IFERROR(__xludf.DUMMYFUNCTION("""COMPUTED_VALUE"""),"it")</f>
        <v>it</v>
      </c>
      <c r="B14264">
        <f>IFERROR(__xludf.DUMMYFUNCTION("""COMPUTED_VALUE"""),1131984.0)</f>
        <v>1131984</v>
      </c>
      <c r="C14264" t="str">
        <f>IFERROR(__xludf.DUMMYFUNCTION("""COMPUTED_VALUE"""),"Laravel (8): La guida pratica al framework php più usato")</f>
        <v>Laravel (8): La guida pratica al framework php più usato</v>
      </c>
    </row>
    <row r="14265">
      <c r="A14265" s="140" t="str">
        <f>IFERROR(__xludf.DUMMYFUNCTION("""COMPUTED_VALUE"""),"ja")</f>
        <v>ja</v>
      </c>
      <c r="B14265">
        <f>IFERROR(__xludf.DUMMYFUNCTION("""COMPUTED_VALUE"""),4131070.0)</f>
        <v>4131070</v>
      </c>
      <c r="C14265" t="str">
        <f>IFERROR(__xludf.DUMMYFUNCTION("""COMPUTED_VALUE"""),"超人気アプリ「Procreate」でオシャレなデジタルアート！iPadでペンギンを描く方法")</f>
        <v>超人気アプリ「Procreate」でオシャレなデジタルアート！iPadでペンギンを描く方法</v>
      </c>
    </row>
    <row r="14266">
      <c r="A14266" s="140" t="str">
        <f>IFERROR(__xludf.DUMMYFUNCTION("""COMPUTED_VALUE"""),"it")</f>
        <v>it</v>
      </c>
      <c r="B14266">
        <f>IFERROR(__xludf.DUMMYFUNCTION("""COMPUTED_VALUE"""),1424524.0)</f>
        <v>1424524</v>
      </c>
      <c r="C14266" t="str">
        <f>IFERROR(__xludf.DUMMYFUNCTION("""COMPUTED_VALUE"""),"Unreal Engine 4 - Impara a creare un videogame")</f>
        <v>Unreal Engine 4 - Impara a creare un videogame</v>
      </c>
    </row>
    <row r="14267">
      <c r="A14267" s="140" t="str">
        <f>IFERROR(__xludf.DUMMYFUNCTION("""COMPUTED_VALUE"""),"ko")</f>
        <v>ko</v>
      </c>
      <c r="B14267">
        <f>IFERROR(__xludf.DUMMYFUNCTION("""COMPUTED_VALUE"""),4276634.0)</f>
        <v>4276634</v>
      </c>
      <c r="C14267" t="str">
        <f>IFERROR(__xludf.DUMMYFUNCTION("""COMPUTED_VALUE"""),"뉴노멀 리더십 트렌드")</f>
        <v>뉴노멀 리더십 트렌드</v>
      </c>
    </row>
    <row r="14268">
      <c r="A14268" s="140" t="str">
        <f>IFERROR(__xludf.DUMMYFUNCTION("""COMPUTED_VALUE"""),"ja")</f>
        <v>ja</v>
      </c>
      <c r="B14268">
        <f>IFERROR(__xludf.DUMMYFUNCTION("""COMPUTED_VALUE"""),1282692.0)</f>
        <v>1282692</v>
      </c>
      <c r="C14268" t="str">
        <f>IFERROR(__xludf.DUMMYFUNCTION("""COMPUTED_VALUE"""),"超軟 やさしい内部監査入門")</f>
        <v>超軟 やさしい内部監査入門</v>
      </c>
    </row>
    <row r="14269">
      <c r="A14269" s="140" t="str">
        <f>IFERROR(__xludf.DUMMYFUNCTION("""COMPUTED_VALUE"""),"de")</f>
        <v>de</v>
      </c>
      <c r="B14269">
        <f>IFERROR(__xludf.DUMMYFUNCTION("""COMPUTED_VALUE"""),905646.0)</f>
        <v>905646</v>
      </c>
      <c r="C14269" t="str">
        <f>IFERROR(__xludf.DUMMYFUNCTION("""COMPUTED_VALUE"""),"C# programmieren lernen - der ultimative C Sharp Kurs")</f>
        <v>C# programmieren lernen - der ultimative C Sharp Kurs</v>
      </c>
    </row>
    <row r="14270">
      <c r="A14270" s="140" t="str">
        <f>IFERROR(__xludf.DUMMYFUNCTION("""COMPUTED_VALUE"""),"en")</f>
        <v>en</v>
      </c>
      <c r="B14270">
        <f>IFERROR(__xludf.DUMMYFUNCTION("""COMPUTED_VALUE"""),2890790.0)</f>
        <v>2890790</v>
      </c>
      <c r="C14270" t="str">
        <f>IFERROR(__xludf.DUMMYFUNCTION("""COMPUTED_VALUE"""),"Generate passive incomes: Create low content books on Amazon")</f>
        <v>Generate passive incomes: Create low content books on Amazon</v>
      </c>
    </row>
    <row r="14271">
      <c r="A14271" s="140" t="str">
        <f>IFERROR(__xludf.DUMMYFUNCTION("""COMPUTED_VALUE"""),"it")</f>
        <v>it</v>
      </c>
      <c r="B14271">
        <f>IFERROR(__xludf.DUMMYFUNCTION("""COMPUTED_VALUE"""),3973270.0)</f>
        <v>3973270</v>
      </c>
      <c r="C14271" t="str">
        <f>IFERROR(__xludf.DUMMYFUNCTION("""COMPUTED_VALUE"""),"Comunicare un evento sul Web 2.0")</f>
        <v>Comunicare un evento sul Web 2.0</v>
      </c>
    </row>
    <row r="14272">
      <c r="A14272" s="140" t="str">
        <f>IFERROR(__xludf.DUMMYFUNCTION("""COMPUTED_VALUE"""),"en")</f>
        <v>en</v>
      </c>
      <c r="B14272">
        <f>IFERROR(__xludf.DUMMYFUNCTION("""COMPUTED_VALUE"""),1935180.0)</f>
        <v>1935180</v>
      </c>
      <c r="C14272" t="str">
        <f>IFERROR(__xludf.DUMMYFUNCTION("""COMPUTED_VALUE"""),"Be a better UX designer by understanding development aspects")</f>
        <v>Be a better UX designer by understanding development aspects</v>
      </c>
    </row>
    <row r="14273">
      <c r="A14273" s="140" t="str">
        <f>IFERROR(__xludf.DUMMYFUNCTION("""COMPUTED_VALUE"""),"de")</f>
        <v>de</v>
      </c>
      <c r="B14273">
        <f>IFERROR(__xludf.DUMMYFUNCTION("""COMPUTED_VALUE"""),3072680.0)</f>
        <v>3072680</v>
      </c>
      <c r="C14273" t="str">
        <f>IFERROR(__xludf.DUMMYFUNCTION("""COMPUTED_VALUE"""),"SQL für Data Analytics mit T-SQL: Der Komplettkurs")</f>
        <v>SQL für Data Analytics mit T-SQL: Der Komplettkurs</v>
      </c>
    </row>
    <row r="14274">
      <c r="A14274" s="140" t="str">
        <f>IFERROR(__xludf.DUMMYFUNCTION("""COMPUTED_VALUE"""),"fr")</f>
        <v>fr</v>
      </c>
      <c r="B14274">
        <f>IFERROR(__xludf.DUMMYFUNCTION("""COMPUTED_VALUE"""),1465886.0)</f>
        <v>1465886</v>
      </c>
      <c r="C14274" t="str">
        <f>IFERROR(__xludf.DUMMYFUNCTION("""COMPUTED_VALUE"""),"Votre Futur et Javascript")</f>
        <v>Votre Futur et Javascript</v>
      </c>
    </row>
    <row r="14275">
      <c r="A14275" s="140" t="str">
        <f>IFERROR(__xludf.DUMMYFUNCTION("""COMPUTED_VALUE"""),"ko")</f>
        <v>ko</v>
      </c>
      <c r="B14275">
        <f>IFERROR(__xludf.DUMMYFUNCTION("""COMPUTED_VALUE"""),2369866.0)</f>
        <v>2369866</v>
      </c>
      <c r="C14275" t="str">
        <f>IFERROR(__xludf.DUMMYFUNCTION("""COMPUTED_VALUE"""),"김수영스쿨 4강 - 인간관계와 멘탈관리")</f>
        <v>김수영스쿨 4강 - 인간관계와 멘탈관리</v>
      </c>
    </row>
    <row r="14276">
      <c r="A14276" s="140" t="str">
        <f>IFERROR(__xludf.DUMMYFUNCTION("""COMPUTED_VALUE"""),"fr")</f>
        <v>fr</v>
      </c>
      <c r="B14276">
        <f>IFERROR(__xludf.DUMMYFUNCTION("""COMPUTED_VALUE"""),3535836.0)</f>
        <v>3535836</v>
      </c>
      <c r="C14276" t="str">
        <f>IFERROR(__xludf.DUMMYFUNCTION("""COMPUTED_VALUE"""),"Apprendre Angular par la création d'un site e-commerce 2021")</f>
        <v>Apprendre Angular par la création d'un site e-commerce 2021</v>
      </c>
    </row>
    <row r="14277">
      <c r="A14277" s="140" t="str">
        <f>IFERROR(__xludf.DUMMYFUNCTION("""COMPUTED_VALUE"""),"ko")</f>
        <v>ko</v>
      </c>
      <c r="B14277">
        <f>IFERROR(__xludf.DUMMYFUNCTION("""COMPUTED_VALUE"""),2886252.0)</f>
        <v>2886252</v>
      </c>
      <c r="C14277" t="str">
        <f>IFERROR(__xludf.DUMMYFUNCTION("""COMPUTED_VALUE"""),"아빠가 들려주는 Rshiny 뚝딱 만들기")</f>
        <v>아빠가 들려주는 Rshiny 뚝딱 만들기</v>
      </c>
    </row>
    <row r="14278">
      <c r="A14278" s="140" t="str">
        <f>IFERROR(__xludf.DUMMYFUNCTION("""COMPUTED_VALUE"""),"ja")</f>
        <v>ja</v>
      </c>
      <c r="B14278">
        <f>IFERROR(__xludf.DUMMYFUNCTION("""COMPUTED_VALUE"""),4393170.0)</f>
        <v>4393170</v>
      </c>
      <c r="C14278" t="str">
        <f>IFERROR(__xludf.DUMMYFUNCTION("""COMPUTED_VALUE"""),"独学者のための統計学基礎講座　「仮説検定と区間推定」")</f>
        <v>独学者のための統計学基礎講座　「仮説検定と区間推定」</v>
      </c>
    </row>
    <row r="14279">
      <c r="A14279" s="140" t="str">
        <f>IFERROR(__xludf.DUMMYFUNCTION("""COMPUTED_VALUE"""),"en")</f>
        <v>en</v>
      </c>
      <c r="B14279">
        <f>IFERROR(__xludf.DUMMYFUNCTION("""COMPUTED_VALUE"""),1671762.0)</f>
        <v>1671762</v>
      </c>
      <c r="C14279" t="str">
        <f>IFERROR(__xludf.DUMMYFUNCTION("""COMPUTED_VALUE"""),"Ultimate Simple Guide to Rocket Science")</f>
        <v>Ultimate Simple Guide to Rocket Science</v>
      </c>
    </row>
    <row r="14280">
      <c r="A14280" s="140" t="str">
        <f>IFERROR(__xludf.DUMMYFUNCTION("""COMPUTED_VALUE"""),"de")</f>
        <v>de</v>
      </c>
      <c r="B14280">
        <f>IFERROR(__xludf.DUMMYFUNCTION("""COMPUTED_VALUE"""),1916934.0)</f>
        <v>1916934</v>
      </c>
      <c r="C14280" t="str">
        <f>IFERROR(__xludf.DUMMYFUNCTION("""COMPUTED_VALUE"""),"Meditation Basis Kurs: Der Prozess der Meditation")</f>
        <v>Meditation Basis Kurs: Der Prozess der Meditation</v>
      </c>
    </row>
    <row r="14281">
      <c r="A14281" s="140" t="str">
        <f>IFERROR(__xludf.DUMMYFUNCTION("""COMPUTED_VALUE"""),"pt")</f>
        <v>pt</v>
      </c>
      <c r="B14281">
        <f>IFERROR(__xludf.DUMMYFUNCTION("""COMPUTED_VALUE"""),4258764.0)</f>
        <v>4258764</v>
      </c>
      <c r="C14281" t="str">
        <f>IFERROR(__xludf.DUMMYFUNCTION("""COMPUTED_VALUE"""),"Node.js do Zero a Maestria com diversos Projetos")</f>
        <v>Node.js do Zero a Maestria com diversos Projetos</v>
      </c>
    </row>
    <row r="14282">
      <c r="A14282" s="140" t="str">
        <f>IFERROR(__xludf.DUMMYFUNCTION("""COMPUTED_VALUE"""),"en")</f>
        <v>en</v>
      </c>
      <c r="B14282">
        <f>IFERROR(__xludf.DUMMYFUNCTION("""COMPUTED_VALUE"""),4341188.0)</f>
        <v>4341188</v>
      </c>
      <c r="C14282" t="str">
        <f>IFERROR(__xludf.DUMMYFUNCTION("""COMPUTED_VALUE"""),"Django 4 and Python Full-Stack Developer Masterclass")</f>
        <v>Django 4 and Python Full-Stack Developer Masterclass</v>
      </c>
    </row>
    <row r="14283">
      <c r="A14283" s="140" t="str">
        <f>IFERROR(__xludf.DUMMYFUNCTION("""COMPUTED_VALUE"""),"de")</f>
        <v>de</v>
      </c>
      <c r="B14283">
        <f>IFERROR(__xludf.DUMMYFUNCTION("""COMPUTED_VALUE"""),4010594.0)</f>
        <v>4010594</v>
      </c>
      <c r="C14283" t="str">
        <f>IFERROR(__xludf.DUMMYFUNCTION("""COMPUTED_VALUE"""),"Grundlagen | Agile &amp; Digitale Transformation | 5+12 Konzepte")</f>
        <v>Grundlagen | Agile &amp; Digitale Transformation | 5+12 Konzepte</v>
      </c>
    </row>
    <row r="14284">
      <c r="A14284" s="140" t="str">
        <f>IFERROR(__xludf.DUMMYFUNCTION("""COMPUTED_VALUE"""),"en")</f>
        <v>en</v>
      </c>
      <c r="B14284">
        <f>IFERROR(__xludf.DUMMYFUNCTION("""COMPUTED_VALUE"""),4039556.0)</f>
        <v>4039556</v>
      </c>
      <c r="C14284" t="str">
        <f>IFERROR(__xludf.DUMMYFUNCTION("""COMPUTED_VALUE"""),"DevOps Beginners to Advanced | Decoding DevOps with Projects")</f>
        <v>DevOps Beginners to Advanced | Decoding DevOps with Projects</v>
      </c>
    </row>
    <row r="14285">
      <c r="A14285" s="140" t="str">
        <f>IFERROR(__xludf.DUMMYFUNCTION("""COMPUTED_VALUE"""),"es")</f>
        <v>es</v>
      </c>
      <c r="B14285">
        <f>IFERROR(__xludf.DUMMYFUNCTION("""COMPUTED_VALUE"""),2355986.0)</f>
        <v>2355986</v>
      </c>
      <c r="C14285" t="str">
        <f>IFERROR(__xludf.DUMMYFUNCTION("""COMPUTED_VALUE"""),"PROGRAMACIÓN DE BASE DE DATOS ORACLE CON JAVA JDBC")</f>
        <v>PROGRAMACIÓN DE BASE DE DATOS ORACLE CON JAVA JDBC</v>
      </c>
    </row>
    <row r="14286">
      <c r="A14286" s="140" t="str">
        <f>IFERROR(__xludf.DUMMYFUNCTION("""COMPUTED_VALUE"""),"it")</f>
        <v>it</v>
      </c>
      <c r="B14286">
        <f>IFERROR(__xludf.DUMMYFUNCTION("""COMPUTED_VALUE"""),3138338.0)</f>
        <v>3138338</v>
      </c>
      <c r="C14286" t="str">
        <f>IFERROR(__xludf.DUMMYFUNCTION("""COMPUTED_VALUE"""),"Analisi Commerciale e Reporting Excel")</f>
        <v>Analisi Commerciale e Reporting Excel</v>
      </c>
    </row>
    <row r="14287">
      <c r="A14287" s="140" t="str">
        <f>IFERROR(__xludf.DUMMYFUNCTION("""COMPUTED_VALUE"""),"fr")</f>
        <v>fr</v>
      </c>
      <c r="B14287">
        <f>IFERROR(__xludf.DUMMYFUNCTION("""COMPUTED_VALUE"""),1700684.0)</f>
        <v>1700684</v>
      </c>
      <c r="C14287" t="str">
        <f>IFERROR(__xludf.DUMMYFUNCTION("""COMPUTED_VALUE"""),"Angular 6, Angular Material et RxJS 6 par la pratique")</f>
        <v>Angular 6, Angular Material et RxJS 6 par la pratique</v>
      </c>
    </row>
    <row r="14288">
      <c r="A14288" s="140" t="str">
        <f>IFERROR(__xludf.DUMMYFUNCTION("""COMPUTED_VALUE"""),"fr")</f>
        <v>fr</v>
      </c>
      <c r="B14288">
        <f>IFERROR(__xludf.DUMMYFUNCTION("""COMPUTED_VALUE"""),2079420.0)</f>
        <v>2079420</v>
      </c>
      <c r="C14288" t="str">
        <f>IFERROR(__xludf.DUMMYFUNCTION("""COMPUTED_VALUE"""),"SQL - Cours Complet - Apprendre SQL de A à Z")</f>
        <v>SQL - Cours Complet - Apprendre SQL de A à Z</v>
      </c>
    </row>
    <row r="14289">
      <c r="A14289" s="140" t="str">
        <f>IFERROR(__xludf.DUMMYFUNCTION("""COMPUTED_VALUE"""),"de")</f>
        <v>de</v>
      </c>
      <c r="B14289">
        <f>IFERROR(__xludf.DUMMYFUNCTION("""COMPUTED_VALUE"""),3903824.0)</f>
        <v>3903824</v>
      </c>
      <c r="C14289" t="str">
        <f>IFERROR(__xludf.DUMMYFUNCTION("""COMPUTED_VALUE"""),"Französisch für Anfänger (A1) | Französisch lernen")</f>
        <v>Französisch für Anfänger (A1) | Französisch lernen</v>
      </c>
    </row>
    <row r="14290">
      <c r="A14290" s="140" t="str">
        <f>IFERROR(__xludf.DUMMYFUNCTION("""COMPUTED_VALUE"""),"de")</f>
        <v>de</v>
      </c>
      <c r="B14290">
        <f>IFERROR(__xludf.DUMMYFUNCTION("""COMPUTED_VALUE"""),3892736.0)</f>
        <v>3892736</v>
      </c>
      <c r="C14290" t="str">
        <f>IFERROR(__xludf.DUMMYFUNCTION("""COMPUTED_VALUE"""),"HTML5 + CSS3: Vom Anfänger zum herausragenden Webentwickler")</f>
        <v>HTML5 + CSS3: Vom Anfänger zum herausragenden Webentwickler</v>
      </c>
    </row>
    <row r="14291">
      <c r="A14291" s="140" t="str">
        <f>IFERROR(__xludf.DUMMYFUNCTION("""COMPUTED_VALUE"""),"it")</f>
        <v>it</v>
      </c>
      <c r="B14291">
        <f>IFERROR(__xludf.DUMMYFUNCTION("""COMPUTED_VALUE"""),4218092.0)</f>
        <v>4218092</v>
      </c>
      <c r="C14291" t="str">
        <f>IFERROR(__xludf.DUMMYFUNCTION("""COMPUTED_VALUE"""),"Corso COMPLETO di PHP 8 - Masterclass")</f>
        <v>Corso COMPLETO di PHP 8 - Masterclass</v>
      </c>
    </row>
    <row r="14292">
      <c r="A14292" s="140" t="str">
        <f>IFERROR(__xludf.DUMMYFUNCTION("""COMPUTED_VALUE"""),"de")</f>
        <v>de</v>
      </c>
      <c r="B14292">
        <f>IFERROR(__xludf.DUMMYFUNCTION("""COMPUTED_VALUE"""),1506570.0)</f>
        <v>1506570</v>
      </c>
      <c r="C14292" t="str">
        <f>IFERROR(__xludf.DUMMYFUNCTION("""COMPUTED_VALUE"""),"Prozessmodellierung mit BPMN 2.0 Vom Einsteiger zum Experten")</f>
        <v>Prozessmodellierung mit BPMN 2.0 Vom Einsteiger zum Experten</v>
      </c>
    </row>
    <row r="14293">
      <c r="A14293" s="140" t="str">
        <f>IFERROR(__xludf.DUMMYFUNCTION("""COMPUTED_VALUE"""),"es")</f>
        <v>es</v>
      </c>
      <c r="B14293">
        <f>IFERROR(__xludf.DUMMYFUNCTION("""COMPUTED_VALUE"""),2246268.0)</f>
        <v>2246268</v>
      </c>
      <c r="C14293" t="str">
        <f>IFERROR(__xludf.DUMMYFUNCTION("""COMPUTED_VALUE"""),"Construye Web Api con ASP Net Core y Visual Studio Code")</f>
        <v>Construye Web Api con ASP Net Core y Visual Studio Code</v>
      </c>
    </row>
    <row r="14294">
      <c r="A14294" s="140" t="str">
        <f>IFERROR(__xludf.DUMMYFUNCTION("""COMPUTED_VALUE"""),"en")</f>
        <v>en</v>
      </c>
      <c r="B14294">
        <f>IFERROR(__xludf.DUMMYFUNCTION("""COMPUTED_VALUE"""),3735400.0)</f>
        <v>3735400</v>
      </c>
      <c r="C14294" t="str">
        <f>IFERROR(__xludf.DUMMYFUNCTION("""COMPUTED_VALUE"""),"Mastering BIND DNS")</f>
        <v>Mastering BIND DNS</v>
      </c>
    </row>
    <row r="14295">
      <c r="A14295" s="140" t="str">
        <f>IFERROR(__xludf.DUMMYFUNCTION("""COMPUTED_VALUE"""),"it")</f>
        <v>it</v>
      </c>
      <c r="B14295">
        <f>IFERROR(__xludf.DUMMYFUNCTION("""COMPUTED_VALUE"""),3901532.0)</f>
        <v>3901532</v>
      </c>
      <c r="C14295" t="str">
        <f>IFERROR(__xludf.DUMMYFUNCTION("""COMPUTED_VALUE"""),"Leadership e autorevolezza nelle riunioni online.")</f>
        <v>Leadership e autorevolezza nelle riunioni online.</v>
      </c>
    </row>
    <row r="14296">
      <c r="A14296" s="140" t="str">
        <f>IFERROR(__xludf.DUMMYFUNCTION("""COMPUTED_VALUE"""),"ja")</f>
        <v>ja</v>
      </c>
      <c r="B14296">
        <f>IFERROR(__xludf.DUMMYFUNCTION("""COMPUTED_VALUE"""),4450352.0)</f>
        <v>4450352</v>
      </c>
      <c r="C14296" t="str">
        <f>IFERROR(__xludf.DUMMYFUNCTION("""COMPUTED_VALUE"""),"デザインパターン１：デザインパターンを学ぶ準備とクラス図とファサードパターン")</f>
        <v>デザインパターン１：デザインパターンを学ぶ準備とクラス図とファサードパターン</v>
      </c>
    </row>
    <row r="14297">
      <c r="A14297" s="140" t="str">
        <f>IFERROR(__xludf.DUMMYFUNCTION("""COMPUTED_VALUE"""),"fr")</f>
        <v>fr</v>
      </c>
      <c r="B14297">
        <f>IFERROR(__xludf.DUMMYFUNCTION("""COMPUTED_VALUE"""),3666198.0)</f>
        <v>3666198</v>
      </c>
      <c r="C14297" t="str">
        <f>IFERROR(__xludf.DUMMYFUNCTION("""COMPUTED_VALUE"""),"Maîtriser les fondamentaux de Git et Github")</f>
        <v>Maîtriser les fondamentaux de Git et Github</v>
      </c>
    </row>
    <row r="14298">
      <c r="A14298" s="140" t="str">
        <f>IFERROR(__xludf.DUMMYFUNCTION("""COMPUTED_VALUE"""),"fr")</f>
        <v>fr</v>
      </c>
      <c r="B14298">
        <f>IFERROR(__xludf.DUMMYFUNCTION("""COMPUTED_VALUE"""),3608868.0)</f>
        <v>3608868</v>
      </c>
      <c r="C14298" t="str">
        <f>IFERROR(__xludf.DUMMYFUNCTION("""COMPUTED_VALUE"""),"Information Security ISMS - ISO/IEC 27001 LEAD IMPLEMENTER")</f>
        <v>Information Security ISMS - ISO/IEC 27001 LEAD IMPLEMENTER</v>
      </c>
    </row>
    <row r="14299">
      <c r="A14299" s="140" t="str">
        <f>IFERROR(__xludf.DUMMYFUNCTION("""COMPUTED_VALUE"""),"en")</f>
        <v>en</v>
      </c>
      <c r="B14299">
        <f>IFERROR(__xludf.DUMMYFUNCTION("""COMPUTED_VALUE"""),813922.0)</f>
        <v>813922</v>
      </c>
      <c r="C14299" t="str">
        <f>IFERROR(__xludf.DUMMYFUNCTION("""COMPUTED_VALUE"""),"Master Public Policy Analysis In Six Easy Steps: The Basics")</f>
        <v>Master Public Policy Analysis In Six Easy Steps: The Basics</v>
      </c>
    </row>
    <row r="14300">
      <c r="A14300" s="140" t="str">
        <f>IFERROR(__xludf.DUMMYFUNCTION("""COMPUTED_VALUE"""),"ko")</f>
        <v>ko</v>
      </c>
      <c r="B14300">
        <f>IFERROR(__xludf.DUMMYFUNCTION("""COMPUTED_VALUE"""),4409108.0)</f>
        <v>4409108</v>
      </c>
      <c r="C14300" t="str">
        <f>IFERROR(__xludf.DUMMYFUNCTION("""COMPUTED_VALUE"""),"【글로벌 Best】 Python 및 Binance API 를 사용한 가상화폐 알고리즘 거래")</f>
        <v>【글로벌 Best】 Python 및 Binance API 를 사용한 가상화폐 알고리즘 거래</v>
      </c>
    </row>
    <row r="14301">
      <c r="A14301" s="140" t="str">
        <f>IFERROR(__xludf.DUMMYFUNCTION("""COMPUTED_VALUE"""),"en")</f>
        <v>en</v>
      </c>
      <c r="B14301">
        <f>IFERROR(__xludf.DUMMYFUNCTION("""COMPUTED_VALUE"""),4312028.0)</f>
        <v>4312028</v>
      </c>
      <c r="C14301" t="str">
        <f>IFERROR(__xludf.DUMMYFUNCTION("""COMPUTED_VALUE"""),"VMware NSX-T Federation Fundamentals")</f>
        <v>VMware NSX-T Federation Fundamentals</v>
      </c>
    </row>
    <row r="14302">
      <c r="A14302" s="140" t="str">
        <f>IFERROR(__xludf.DUMMYFUNCTION("""COMPUTED_VALUE"""),"de")</f>
        <v>de</v>
      </c>
      <c r="B14302">
        <f>IFERROR(__xludf.DUMMYFUNCTION("""COMPUTED_VALUE"""),1547672.0)</f>
        <v>1547672</v>
      </c>
      <c r="C14302" t="str">
        <f>IFERROR(__xludf.DUMMYFUNCTION("""COMPUTED_VALUE"""),"Kompletter ARCore &amp; ARKit Spieleentwickler Augmented Reality")</f>
        <v>Kompletter ARCore &amp; ARKit Spieleentwickler Augmented Reality</v>
      </c>
    </row>
    <row r="14303">
      <c r="A14303" s="140" t="str">
        <f>IFERROR(__xludf.DUMMYFUNCTION("""COMPUTED_VALUE"""),"ko")</f>
        <v>ko</v>
      </c>
      <c r="B14303">
        <f>IFERROR(__xludf.DUMMYFUNCTION("""COMPUTED_VALUE"""),4187658.0)</f>
        <v>4187658</v>
      </c>
      <c r="C14303" t="str">
        <f>IFERROR(__xludf.DUMMYFUNCTION("""COMPUTED_VALUE"""),"Kotlin(코틀린) 제대로 배우기 (입문-중급)")</f>
        <v>Kotlin(코틀린) 제대로 배우기 (입문-중급)</v>
      </c>
    </row>
    <row r="14304">
      <c r="A14304" s="140" t="str">
        <f>IFERROR(__xludf.DUMMYFUNCTION("""COMPUTED_VALUE"""),"ko")</f>
        <v>ko</v>
      </c>
      <c r="B14304">
        <f>IFERROR(__xludf.DUMMYFUNCTION("""COMPUTED_VALUE"""),4217450.0)</f>
        <v>4217450</v>
      </c>
      <c r="C14304" t="str">
        <f>IFERROR(__xludf.DUMMYFUNCTION("""COMPUTED_VALUE"""),"데이터 분석 필수 과정!  MS SQL 로 실무 적용하기")</f>
        <v>데이터 분석 필수 과정!  MS SQL 로 실무 적용하기</v>
      </c>
    </row>
    <row r="14305">
      <c r="A14305" s="140" t="str">
        <f>IFERROR(__xludf.DUMMYFUNCTION("""COMPUTED_VALUE"""),"fr")</f>
        <v>fr</v>
      </c>
      <c r="B14305">
        <f>IFERROR(__xludf.DUMMYFUNCTION("""COMPUTED_VALUE"""),2275041.0)</f>
        <v>2275041</v>
      </c>
      <c r="C14305" t="str">
        <f>IFERROR(__xludf.DUMMYFUNCTION("""COMPUTED_VALUE"""),"Les grands principes de la finance d’entreprise")</f>
        <v>Les grands principes de la finance d’entreprise</v>
      </c>
    </row>
    <row r="14306">
      <c r="A14306" s="140" t="str">
        <f>IFERROR(__xludf.DUMMYFUNCTION("""COMPUTED_VALUE"""),"en")</f>
        <v>en</v>
      </c>
      <c r="B14306">
        <f>IFERROR(__xludf.DUMMYFUNCTION("""COMPUTED_VALUE"""),2364336.0)</f>
        <v>2364336</v>
      </c>
      <c r="C14306" t="str">
        <f>IFERROR(__xludf.DUMMYFUNCTION("""COMPUTED_VALUE"""),"SQL - The Query Writing Bootcamp [2019]")</f>
        <v>SQL - The Query Writing Bootcamp [2019]</v>
      </c>
    </row>
    <row r="14307">
      <c r="A14307" s="140" t="str">
        <f>IFERROR(__xludf.DUMMYFUNCTION("""COMPUTED_VALUE"""),"de")</f>
        <v>de</v>
      </c>
      <c r="B14307">
        <f>IFERROR(__xludf.DUMMYFUNCTION("""COMPUTED_VALUE"""),1275896.0)</f>
        <v>1275896</v>
      </c>
      <c r="C14307" t="str">
        <f>IFERROR(__xludf.DUMMYFUNCTION("""COMPUTED_VALUE"""),"Microsoft Word: Formatierung wissenschaftlicher Arbeiten")</f>
        <v>Microsoft Word: Formatierung wissenschaftlicher Arbeiten</v>
      </c>
    </row>
    <row r="14308">
      <c r="A14308" s="140" t="str">
        <f>IFERROR(__xludf.DUMMYFUNCTION("""COMPUTED_VALUE"""),"de")</f>
        <v>de</v>
      </c>
      <c r="B14308">
        <f>IFERROR(__xludf.DUMMYFUNCTION("""COMPUTED_VALUE"""),3265298.0)</f>
        <v>3265298</v>
      </c>
      <c r="C14308" t="str">
        <f>IFERROR(__xludf.DUMMYFUNCTION("""COMPUTED_VALUE"""),"WordPress 2021 vom Anfänger zum Profi")</f>
        <v>WordPress 2021 vom Anfänger zum Profi</v>
      </c>
    </row>
    <row r="14309">
      <c r="A14309" s="140" t="str">
        <f>IFERROR(__xludf.DUMMYFUNCTION("""COMPUTED_VALUE"""),"ko")</f>
        <v>ko</v>
      </c>
      <c r="B14309">
        <f>IFERROR(__xludf.DUMMYFUNCTION("""COMPUTED_VALUE"""),4305109.0)</f>
        <v>4305109</v>
      </c>
      <c r="C14309" t="str">
        <f>IFERROR(__xludf.DUMMYFUNCTION("""COMPUTED_VALUE"""),"【글로벌 Best】 Git &amp; Github 실무 활용 완벽 가이드(한글 자막)")</f>
        <v>【글로벌 Best】 Git &amp; Github 실무 활용 완벽 가이드(한글 자막)</v>
      </c>
    </row>
    <row r="14310">
      <c r="A14310" s="140" t="str">
        <f>IFERROR(__xludf.DUMMYFUNCTION("""COMPUTED_VALUE"""),"en")</f>
        <v>en</v>
      </c>
      <c r="B14310">
        <f>IFERROR(__xludf.DUMMYFUNCTION("""COMPUTED_VALUE"""),4258836.0)</f>
        <v>4258836</v>
      </c>
      <c r="C14310" t="str">
        <f>IFERROR(__xludf.DUMMYFUNCTION("""COMPUTED_VALUE"""),"Motion Design with Figma: Animations, Motion Graphics, UX/UI")</f>
        <v>Motion Design with Figma: Animations, Motion Graphics, UX/UI</v>
      </c>
    </row>
    <row r="14311">
      <c r="A14311" s="140" t="str">
        <f>IFERROR(__xludf.DUMMYFUNCTION("""COMPUTED_VALUE"""),"en")</f>
        <v>en</v>
      </c>
      <c r="B14311">
        <f>IFERROR(__xludf.DUMMYFUNCTION("""COMPUTED_VALUE"""),3888936.0)</f>
        <v>3888936</v>
      </c>
      <c r="C14311" t="str">
        <f>IFERROR(__xludf.DUMMYFUNCTION("""COMPUTED_VALUE"""),"Intro to Augmented Reality on the Web: WebXR and Three.js")</f>
        <v>Intro to Augmented Reality on the Web: WebXR and Three.js</v>
      </c>
    </row>
    <row r="14312">
      <c r="A14312" s="140"/>
    </row>
    <row r="14313">
      <c r="A14313" s="140"/>
    </row>
    <row r="14314">
      <c r="A14314" s="140"/>
    </row>
    <row r="14315">
      <c r="A14315" s="140"/>
    </row>
    <row r="14316">
      <c r="A14316" s="140"/>
    </row>
    <row r="14317">
      <c r="A14317" s="140"/>
    </row>
    <row r="14318">
      <c r="A14318" s="140"/>
    </row>
    <row r="14319">
      <c r="A14319" s="140"/>
    </row>
    <row r="14320">
      <c r="A14320" s="140"/>
    </row>
    <row r="14321">
      <c r="A14321" s="140"/>
    </row>
    <row r="14322">
      <c r="A14322" s="140"/>
    </row>
    <row r="14323">
      <c r="A14323" s="140"/>
    </row>
    <row r="14324">
      <c r="A14324" s="140"/>
    </row>
    <row r="14325">
      <c r="A14325" s="140"/>
    </row>
    <row r="14326">
      <c r="A14326" s="140"/>
    </row>
    <row r="14327">
      <c r="A14327" s="140"/>
    </row>
    <row r="14328">
      <c r="A14328" s="140"/>
    </row>
    <row r="14329">
      <c r="A14329" s="140"/>
    </row>
    <row r="14330">
      <c r="A14330" s="140"/>
    </row>
    <row r="14331">
      <c r="A14331" s="140"/>
    </row>
    <row r="14332">
      <c r="A14332" s="140"/>
    </row>
    <row r="14333">
      <c r="A14333" s="140"/>
    </row>
    <row r="14334">
      <c r="A14334" s="140"/>
    </row>
    <row r="14335">
      <c r="A14335" s="140"/>
    </row>
    <row r="14336">
      <c r="A14336" s="140"/>
    </row>
    <row r="14337">
      <c r="A14337" s="140"/>
    </row>
    <row r="14338">
      <c r="A14338" s="140"/>
    </row>
    <row r="14339">
      <c r="A14339" s="140"/>
    </row>
    <row r="14340">
      <c r="A14340" s="140"/>
    </row>
    <row r="14341">
      <c r="A14341" s="140"/>
    </row>
    <row r="14342">
      <c r="A14342" s="140"/>
    </row>
    <row r="14343">
      <c r="A14343" s="140"/>
    </row>
    <row r="14344">
      <c r="A14344" s="140"/>
    </row>
    <row r="14345">
      <c r="A14345" s="140"/>
    </row>
    <row r="14346">
      <c r="A14346" s="140"/>
    </row>
    <row r="14347">
      <c r="A14347" s="140"/>
    </row>
    <row r="14348">
      <c r="A14348" s="140"/>
    </row>
    <row r="14349">
      <c r="A14349" s="140"/>
    </row>
    <row r="14350">
      <c r="A14350" s="140"/>
    </row>
    <row r="14351">
      <c r="A14351" s="140"/>
    </row>
    <row r="14352">
      <c r="A14352" s="140"/>
    </row>
    <row r="14353">
      <c r="A14353" s="140"/>
    </row>
    <row r="14354">
      <c r="A14354" s="140"/>
    </row>
    <row r="14355">
      <c r="A14355" s="140"/>
    </row>
    <row r="14356">
      <c r="A14356" s="140"/>
    </row>
    <row r="14357">
      <c r="A14357" s="140"/>
    </row>
    <row r="14358">
      <c r="A14358" s="140"/>
    </row>
    <row r="14359">
      <c r="A14359" s="140"/>
    </row>
    <row r="14360">
      <c r="A14360" s="140"/>
    </row>
    <row r="14361">
      <c r="A14361" s="140"/>
    </row>
    <row r="14362">
      <c r="A14362" s="140"/>
    </row>
    <row r="14363">
      <c r="A14363" s="140"/>
    </row>
    <row r="14364">
      <c r="A14364" s="140"/>
    </row>
    <row r="14365">
      <c r="A14365" s="140"/>
    </row>
    <row r="14366">
      <c r="A14366" s="140"/>
    </row>
    <row r="14367">
      <c r="A14367" s="140"/>
    </row>
    <row r="14368">
      <c r="A14368" s="140"/>
    </row>
    <row r="14369">
      <c r="A14369" s="140"/>
    </row>
    <row r="14370">
      <c r="A14370" s="140"/>
    </row>
    <row r="14371">
      <c r="A14371" s="140"/>
    </row>
    <row r="14372">
      <c r="A14372" s="140"/>
    </row>
    <row r="14373">
      <c r="A14373" s="140"/>
    </row>
    <row r="14374">
      <c r="A14374" s="140"/>
    </row>
    <row r="14375">
      <c r="A14375" s="140"/>
    </row>
    <row r="14376">
      <c r="A14376" s="140"/>
    </row>
    <row r="14377">
      <c r="A14377" s="140"/>
    </row>
    <row r="14378">
      <c r="A14378" s="140"/>
    </row>
    <row r="14379">
      <c r="A14379" s="140"/>
    </row>
    <row r="14380">
      <c r="A14380" s="140"/>
    </row>
    <row r="14381">
      <c r="A14381" s="140"/>
    </row>
    <row r="14382">
      <c r="A14382" s="140"/>
    </row>
    <row r="14383">
      <c r="A14383" s="140"/>
    </row>
    <row r="14384">
      <c r="A14384" s="140"/>
    </row>
    <row r="14385">
      <c r="A14385" s="140"/>
    </row>
    <row r="14386">
      <c r="A14386" s="140"/>
    </row>
    <row r="14387">
      <c r="A14387" s="140"/>
    </row>
    <row r="14388">
      <c r="A14388" s="140"/>
    </row>
    <row r="14389">
      <c r="A14389" s="140"/>
    </row>
    <row r="14390">
      <c r="A14390" s="140"/>
    </row>
    <row r="14391">
      <c r="A14391" s="140"/>
    </row>
    <row r="14392">
      <c r="A14392" s="140"/>
    </row>
    <row r="14393">
      <c r="A14393" s="140"/>
    </row>
    <row r="14394">
      <c r="A14394" s="140"/>
    </row>
    <row r="14395">
      <c r="A14395" s="140"/>
    </row>
    <row r="14396">
      <c r="A14396" s="140"/>
    </row>
    <row r="14397">
      <c r="A14397" s="140"/>
    </row>
    <row r="14398">
      <c r="A14398" s="140"/>
    </row>
    <row r="14399">
      <c r="A14399" s="140"/>
    </row>
    <row r="14400">
      <c r="A14400" s="140"/>
    </row>
    <row r="14401">
      <c r="A14401" s="140"/>
    </row>
    <row r="14402">
      <c r="A14402" s="140"/>
    </row>
    <row r="14403">
      <c r="A14403" s="140"/>
    </row>
    <row r="14404">
      <c r="A14404" s="140"/>
    </row>
    <row r="14405">
      <c r="A14405" s="140"/>
    </row>
    <row r="14406">
      <c r="A14406" s="140"/>
    </row>
    <row r="14407">
      <c r="A14407" s="140"/>
    </row>
    <row r="14408">
      <c r="A14408" s="140"/>
    </row>
    <row r="14409">
      <c r="A14409" s="140"/>
    </row>
    <row r="14410">
      <c r="A14410" s="140"/>
    </row>
    <row r="14411">
      <c r="A14411" s="140"/>
    </row>
    <row r="14412">
      <c r="A14412" s="140"/>
    </row>
    <row r="14413">
      <c r="A14413" s="140"/>
    </row>
    <row r="14414">
      <c r="A14414" s="140"/>
    </row>
    <row r="14415">
      <c r="A14415" s="140"/>
    </row>
    <row r="14416">
      <c r="A14416" s="140"/>
    </row>
    <row r="14417">
      <c r="A14417" s="140"/>
    </row>
    <row r="14418">
      <c r="A14418" s="140"/>
    </row>
    <row r="14419">
      <c r="A14419" s="140"/>
    </row>
    <row r="14420">
      <c r="A14420" s="140"/>
    </row>
    <row r="14421">
      <c r="A14421" s="140"/>
    </row>
    <row r="14422">
      <c r="A14422" s="140"/>
    </row>
    <row r="14423">
      <c r="A14423" s="140"/>
    </row>
    <row r="14424">
      <c r="A14424" s="140"/>
    </row>
    <row r="14425">
      <c r="A14425" s="140"/>
    </row>
    <row r="14426">
      <c r="A14426" s="140"/>
    </row>
    <row r="14427">
      <c r="A14427" s="140"/>
    </row>
    <row r="14428">
      <c r="A14428" s="140"/>
    </row>
    <row r="14429">
      <c r="A14429" s="140"/>
    </row>
    <row r="14430">
      <c r="A14430" s="140"/>
    </row>
    <row r="14431">
      <c r="A14431" s="140"/>
    </row>
    <row r="14432">
      <c r="A14432" s="140"/>
    </row>
    <row r="14433">
      <c r="A14433" s="140"/>
    </row>
    <row r="14434">
      <c r="A14434" s="140"/>
    </row>
    <row r="14435">
      <c r="A14435" s="140"/>
    </row>
    <row r="14436">
      <c r="A14436" s="140"/>
    </row>
    <row r="14437">
      <c r="A14437" s="140"/>
    </row>
    <row r="14438">
      <c r="A14438" s="140"/>
    </row>
    <row r="14439">
      <c r="A14439" s="140"/>
    </row>
    <row r="14440">
      <c r="A14440" s="140"/>
    </row>
    <row r="14441">
      <c r="A14441" s="140"/>
    </row>
    <row r="14442">
      <c r="A14442" s="140"/>
    </row>
    <row r="14443">
      <c r="A14443" s="140"/>
    </row>
    <row r="14444">
      <c r="A14444" s="140"/>
    </row>
    <row r="14445">
      <c r="A14445" s="140"/>
    </row>
    <row r="14446">
      <c r="A14446" s="140"/>
    </row>
    <row r="14447">
      <c r="A14447" s="140"/>
    </row>
    <row r="14448">
      <c r="A14448" s="140"/>
    </row>
    <row r="14449">
      <c r="A14449" s="140"/>
    </row>
    <row r="14450">
      <c r="A14450" s="140"/>
    </row>
    <row r="14451">
      <c r="A14451" s="140"/>
    </row>
    <row r="14452">
      <c r="A14452" s="140"/>
    </row>
    <row r="14453">
      <c r="A14453" s="140"/>
    </row>
    <row r="14454">
      <c r="A14454" s="140"/>
    </row>
    <row r="14455">
      <c r="A14455" s="140"/>
    </row>
    <row r="14456">
      <c r="A14456" s="140"/>
    </row>
    <row r="14457">
      <c r="A14457" s="140"/>
    </row>
    <row r="14458">
      <c r="A14458" s="140"/>
    </row>
    <row r="14459">
      <c r="A14459" s="140"/>
    </row>
    <row r="14460">
      <c r="A14460" s="140"/>
    </row>
    <row r="14461">
      <c r="A14461" s="140"/>
    </row>
    <row r="14462">
      <c r="A14462" s="140"/>
    </row>
    <row r="14463">
      <c r="A14463" s="140"/>
    </row>
    <row r="14464">
      <c r="A14464" s="140"/>
    </row>
    <row r="14465">
      <c r="A14465" s="140"/>
    </row>
    <row r="14466">
      <c r="A14466" s="140"/>
    </row>
    <row r="14467">
      <c r="A14467" s="140"/>
    </row>
    <row r="14468">
      <c r="A14468" s="140"/>
    </row>
    <row r="14469">
      <c r="A14469" s="140"/>
    </row>
    <row r="14470">
      <c r="A14470" s="140"/>
    </row>
    <row r="14471">
      <c r="A14471" s="140"/>
    </row>
    <row r="14472">
      <c r="A14472" s="140"/>
    </row>
    <row r="14473">
      <c r="A14473" s="140"/>
    </row>
    <row r="14474">
      <c r="A14474" s="140"/>
    </row>
    <row r="14475">
      <c r="A14475" s="140"/>
    </row>
    <row r="14476">
      <c r="A14476" s="140"/>
    </row>
    <row r="14477">
      <c r="A14477" s="140"/>
    </row>
    <row r="14478">
      <c r="A14478" s="140"/>
    </row>
    <row r="14479">
      <c r="A14479" s="140"/>
    </row>
    <row r="14480">
      <c r="A14480" s="140"/>
    </row>
    <row r="14481">
      <c r="A14481" s="140"/>
    </row>
    <row r="14482">
      <c r="A14482" s="140"/>
    </row>
    <row r="14483">
      <c r="A14483" s="140"/>
    </row>
    <row r="14484">
      <c r="A14484" s="140"/>
    </row>
    <row r="14485">
      <c r="A14485" s="140"/>
    </row>
    <row r="14486">
      <c r="A14486" s="140"/>
    </row>
    <row r="14487">
      <c r="A14487" s="140"/>
    </row>
    <row r="14488">
      <c r="A14488" s="140"/>
    </row>
    <row r="14489">
      <c r="A14489" s="140"/>
    </row>
    <row r="14490">
      <c r="A14490" s="140"/>
    </row>
    <row r="14491">
      <c r="A14491" s="140"/>
    </row>
    <row r="14492">
      <c r="A14492" s="140"/>
    </row>
    <row r="14493">
      <c r="A14493" s="140"/>
    </row>
    <row r="14494">
      <c r="A14494" s="140"/>
    </row>
    <row r="14495">
      <c r="A14495" s="140"/>
    </row>
    <row r="14496">
      <c r="A14496" s="140"/>
    </row>
    <row r="14497">
      <c r="A14497" s="140"/>
    </row>
    <row r="14498">
      <c r="A14498" s="140"/>
    </row>
    <row r="14499">
      <c r="A14499" s="140"/>
    </row>
    <row r="14500">
      <c r="A14500" s="140"/>
    </row>
    <row r="14501">
      <c r="A14501" s="140"/>
    </row>
    <row r="14502">
      <c r="A14502" s="140"/>
    </row>
    <row r="14503">
      <c r="A14503" s="140"/>
    </row>
    <row r="14504">
      <c r="A14504" s="140"/>
    </row>
    <row r="14505">
      <c r="A14505" s="140"/>
    </row>
    <row r="14506">
      <c r="A14506" s="140"/>
    </row>
    <row r="14507">
      <c r="A14507" s="140"/>
    </row>
    <row r="14508">
      <c r="A14508" s="140"/>
    </row>
    <row r="14509">
      <c r="A14509" s="140"/>
    </row>
    <row r="14510">
      <c r="A14510" s="140"/>
    </row>
    <row r="14511">
      <c r="A14511" s="140"/>
    </row>
    <row r="14512">
      <c r="A14512" s="140"/>
    </row>
    <row r="14513">
      <c r="A14513" s="140"/>
    </row>
    <row r="14514">
      <c r="A14514" s="140"/>
    </row>
    <row r="14515">
      <c r="A14515" s="140"/>
    </row>
    <row r="14516">
      <c r="A14516" s="140"/>
    </row>
    <row r="14517">
      <c r="A14517" s="140"/>
    </row>
    <row r="14518">
      <c r="A14518" s="140"/>
    </row>
    <row r="14519">
      <c r="A14519" s="140"/>
    </row>
    <row r="14520">
      <c r="A14520" s="140"/>
    </row>
    <row r="14521">
      <c r="A14521" s="140"/>
    </row>
    <row r="14522">
      <c r="A14522" s="140"/>
    </row>
    <row r="14523">
      <c r="A14523" s="140"/>
    </row>
    <row r="14524">
      <c r="A14524" s="140"/>
    </row>
    <row r="14525">
      <c r="A14525" s="140"/>
    </row>
    <row r="14526">
      <c r="A14526" s="140"/>
    </row>
    <row r="14527">
      <c r="A14527" s="140"/>
    </row>
    <row r="14528">
      <c r="A14528" s="140"/>
    </row>
    <row r="14529">
      <c r="A14529" s="140"/>
    </row>
    <row r="14530">
      <c r="A14530" s="140"/>
    </row>
    <row r="14531">
      <c r="A14531" s="140"/>
    </row>
    <row r="14532">
      <c r="A14532" s="140"/>
    </row>
    <row r="14533">
      <c r="A14533" s="140"/>
    </row>
    <row r="14534">
      <c r="A14534" s="140"/>
    </row>
    <row r="14535">
      <c r="A14535" s="140"/>
    </row>
    <row r="14536">
      <c r="A14536" s="140"/>
    </row>
    <row r="14537">
      <c r="A14537" s="140"/>
    </row>
    <row r="14538">
      <c r="A14538" s="140"/>
    </row>
    <row r="14539">
      <c r="A14539" s="140"/>
    </row>
    <row r="14540">
      <c r="A14540" s="140"/>
    </row>
    <row r="14541">
      <c r="A14541" s="140"/>
    </row>
    <row r="14542">
      <c r="A14542" s="140"/>
    </row>
    <row r="14543">
      <c r="A14543" s="140"/>
    </row>
    <row r="14544">
      <c r="A14544" s="140"/>
    </row>
    <row r="14545">
      <c r="A14545" s="140"/>
    </row>
    <row r="14546">
      <c r="A14546" s="140"/>
    </row>
    <row r="14547">
      <c r="A14547" s="140"/>
    </row>
    <row r="14548">
      <c r="A14548" s="140"/>
    </row>
    <row r="14549">
      <c r="A14549" s="140"/>
    </row>
    <row r="14550">
      <c r="A14550" s="140"/>
    </row>
    <row r="14551">
      <c r="A14551" s="140"/>
    </row>
    <row r="14552">
      <c r="A14552" s="140"/>
    </row>
    <row r="14553">
      <c r="A14553" s="140"/>
    </row>
    <row r="14554">
      <c r="A14554" s="140"/>
    </row>
    <row r="14555">
      <c r="A14555" s="140"/>
    </row>
    <row r="14556">
      <c r="A14556" s="140"/>
    </row>
    <row r="14557">
      <c r="A14557" s="140"/>
    </row>
    <row r="14558">
      <c r="A14558" s="140"/>
    </row>
    <row r="14559">
      <c r="A14559" s="140"/>
    </row>
    <row r="14560">
      <c r="A14560" s="140"/>
    </row>
    <row r="14561">
      <c r="A14561" s="140"/>
    </row>
    <row r="14562">
      <c r="A14562" s="140"/>
    </row>
    <row r="14563">
      <c r="A14563" s="140"/>
    </row>
    <row r="14564">
      <c r="A14564" s="140"/>
    </row>
    <row r="14565">
      <c r="A14565" s="140"/>
    </row>
    <row r="14566">
      <c r="A14566" s="140"/>
    </row>
    <row r="14567">
      <c r="A14567" s="140"/>
    </row>
    <row r="14568">
      <c r="A14568" s="140"/>
    </row>
    <row r="14569">
      <c r="A14569" s="140"/>
    </row>
    <row r="14570">
      <c r="A14570" s="140"/>
    </row>
    <row r="14571">
      <c r="A14571" s="140"/>
    </row>
    <row r="14572">
      <c r="A14572" s="140"/>
    </row>
    <row r="14573">
      <c r="A14573" s="140"/>
    </row>
    <row r="14574">
      <c r="A14574" s="140"/>
    </row>
    <row r="14575">
      <c r="A14575" s="140"/>
    </row>
    <row r="14576">
      <c r="A14576" s="140"/>
    </row>
    <row r="14577">
      <c r="A14577" s="140"/>
    </row>
    <row r="14578">
      <c r="A14578" s="140"/>
    </row>
    <row r="14579">
      <c r="A14579" s="140"/>
    </row>
    <row r="14580">
      <c r="A14580" s="140"/>
    </row>
    <row r="14581">
      <c r="A14581" s="140"/>
    </row>
    <row r="14582">
      <c r="A14582" s="140"/>
    </row>
    <row r="14583">
      <c r="A14583" s="140"/>
    </row>
    <row r="14584">
      <c r="A14584" s="140"/>
    </row>
    <row r="14585">
      <c r="A14585" s="140"/>
    </row>
    <row r="14586">
      <c r="A14586" s="140"/>
    </row>
    <row r="14587">
      <c r="A14587" s="140"/>
    </row>
    <row r="14588">
      <c r="A14588" s="140"/>
    </row>
    <row r="14589">
      <c r="A14589" s="140"/>
    </row>
    <row r="14590">
      <c r="A14590" s="140"/>
    </row>
    <row r="14591">
      <c r="A14591" s="140"/>
    </row>
    <row r="14592">
      <c r="A14592" s="140"/>
    </row>
    <row r="14593">
      <c r="A14593" s="140"/>
    </row>
    <row r="14594">
      <c r="A14594" s="140"/>
    </row>
    <row r="14595">
      <c r="A14595" s="140"/>
    </row>
    <row r="14596">
      <c r="A14596" s="140"/>
    </row>
    <row r="14597">
      <c r="A14597" s="140"/>
    </row>
    <row r="14598">
      <c r="A14598" s="140"/>
    </row>
    <row r="14599">
      <c r="A14599" s="140"/>
    </row>
    <row r="14600">
      <c r="A14600" s="140"/>
    </row>
    <row r="14601">
      <c r="A14601" s="140"/>
    </row>
    <row r="14602">
      <c r="A14602" s="140"/>
    </row>
    <row r="14603">
      <c r="A14603" s="140"/>
    </row>
    <row r="14604">
      <c r="A14604" s="140"/>
    </row>
    <row r="14605">
      <c r="A14605" s="140"/>
    </row>
    <row r="14606">
      <c r="A14606" s="140"/>
    </row>
    <row r="14607">
      <c r="A14607" s="140"/>
    </row>
    <row r="14608">
      <c r="A14608" s="140"/>
    </row>
    <row r="14609">
      <c r="A14609" s="140"/>
    </row>
    <row r="14610">
      <c r="A14610" s="140"/>
    </row>
    <row r="14611">
      <c r="A14611" s="140"/>
    </row>
    <row r="14612">
      <c r="A14612" s="140"/>
    </row>
    <row r="14613">
      <c r="A14613" s="140"/>
    </row>
    <row r="14614">
      <c r="A14614" s="140"/>
    </row>
    <row r="14615">
      <c r="A14615" s="140"/>
    </row>
    <row r="14616">
      <c r="A14616" s="140"/>
    </row>
    <row r="14617">
      <c r="A14617" s="140"/>
    </row>
    <row r="14618">
      <c r="A14618" s="140"/>
    </row>
    <row r="14619">
      <c r="A14619" s="140"/>
    </row>
    <row r="14620">
      <c r="A14620" s="140"/>
    </row>
    <row r="14621">
      <c r="A14621" s="140"/>
    </row>
    <row r="14622">
      <c r="A14622" s="140"/>
    </row>
    <row r="14623">
      <c r="A14623" s="140"/>
    </row>
    <row r="14624">
      <c r="A14624" s="140"/>
    </row>
    <row r="14625">
      <c r="A14625" s="140"/>
    </row>
    <row r="14626">
      <c r="A14626" s="140"/>
    </row>
    <row r="14627">
      <c r="A14627" s="140"/>
    </row>
    <row r="14628">
      <c r="A14628" s="140"/>
    </row>
    <row r="14629">
      <c r="A14629" s="140"/>
    </row>
    <row r="14630">
      <c r="A14630" s="140"/>
    </row>
    <row r="14631">
      <c r="A14631" s="140"/>
    </row>
    <row r="14632">
      <c r="A14632" s="140"/>
    </row>
    <row r="14633">
      <c r="A14633" s="140"/>
    </row>
    <row r="14634">
      <c r="A14634" s="140"/>
    </row>
    <row r="14635">
      <c r="A14635" s="140"/>
    </row>
    <row r="14636">
      <c r="A14636" s="140"/>
    </row>
    <row r="14637">
      <c r="A14637" s="140"/>
    </row>
    <row r="14638">
      <c r="A14638" s="140"/>
    </row>
    <row r="14639">
      <c r="A14639" s="140"/>
    </row>
    <row r="14640">
      <c r="A14640" s="140"/>
    </row>
    <row r="14641">
      <c r="A14641" s="140"/>
    </row>
    <row r="14642">
      <c r="A14642" s="140"/>
    </row>
    <row r="14643">
      <c r="A14643" s="140"/>
    </row>
    <row r="14644">
      <c r="A14644" s="140"/>
    </row>
    <row r="14645">
      <c r="A14645" s="140"/>
    </row>
    <row r="14646">
      <c r="A14646" s="140"/>
    </row>
    <row r="14647">
      <c r="A14647" s="140"/>
    </row>
    <row r="14648">
      <c r="A14648" s="140"/>
    </row>
    <row r="14649">
      <c r="A14649" s="140"/>
    </row>
    <row r="14650">
      <c r="A14650" s="140"/>
    </row>
    <row r="14651">
      <c r="A14651" s="140"/>
    </row>
    <row r="14652">
      <c r="A14652" s="140"/>
    </row>
    <row r="14653">
      <c r="A14653" s="140"/>
    </row>
    <row r="14654">
      <c r="A14654" s="140"/>
    </row>
    <row r="14655">
      <c r="A14655" s="140"/>
    </row>
    <row r="14656">
      <c r="A14656" s="140"/>
    </row>
    <row r="14657">
      <c r="A14657" s="140"/>
    </row>
    <row r="14658">
      <c r="A14658" s="140"/>
    </row>
    <row r="14659">
      <c r="A14659" s="140"/>
    </row>
    <row r="14660">
      <c r="A14660" s="140"/>
    </row>
    <row r="14661">
      <c r="A14661" s="140"/>
    </row>
    <row r="14662">
      <c r="A14662" s="140"/>
    </row>
    <row r="14663">
      <c r="A14663" s="140"/>
    </row>
    <row r="14664">
      <c r="A14664" s="140"/>
    </row>
    <row r="14665">
      <c r="A14665" s="140"/>
    </row>
    <row r="14666">
      <c r="A14666" s="140"/>
    </row>
    <row r="14667">
      <c r="A14667" s="140"/>
    </row>
    <row r="14668">
      <c r="A14668" s="140"/>
    </row>
    <row r="14669">
      <c r="A14669" s="140"/>
    </row>
    <row r="14670">
      <c r="A14670" s="140"/>
    </row>
    <row r="14671">
      <c r="A14671" s="140"/>
    </row>
    <row r="14672">
      <c r="A14672" s="140"/>
    </row>
    <row r="14673">
      <c r="A14673" s="140"/>
    </row>
    <row r="14674">
      <c r="A14674" s="140"/>
    </row>
  </sheetData>
  <drawing r:id="rId1"/>
</worksheet>
</file>